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Filenet2\папка департамента\Сектор тарифообразования по РО\_Общая папка\ОТ\ТП 2025 год\! Готово\"/>
    </mc:Choice>
  </mc:AlternateContent>
  <bookViews>
    <workbookView xWindow="0" yWindow="0" windowWidth="25200" windowHeight="12000" tabRatio="829"/>
  </bookViews>
  <sheets>
    <sheet name="Приложение 1" sheetId="1" r:id="rId1"/>
    <sheet name="Приложение 2" sheetId="3" r:id="rId2"/>
    <sheet name="Приложение 3" sheetId="4" r:id="rId3"/>
    <sheet name="Лист1" sheetId="2" state="hidden" r:id="rId4"/>
  </sheets>
  <definedNames>
    <definedName name="_xlnm._FilterDatabase" localSheetId="0" hidden="1">'Приложение 1'!$A$8:$AJ$3266</definedName>
    <definedName name="Z_20D3A7EF_26E6_4DB0_B480_01A542330A65_.wvu.FilterData" localSheetId="0" hidden="1">'Приложение 1'!$A$8:$AJ$3266</definedName>
    <definedName name="Z_43DF7386_CB2C_4C1C_BD4D_696D63E82CA6_.wvu.FilterData" localSheetId="0" hidden="1">'Приложение 1'!$A$8:$AJ$3266</definedName>
    <definedName name="Z_443437C5_1090_4F25_B860_023FB7C1EF45_.wvu.FilterData" localSheetId="0" hidden="1">'Приложение 1'!$A$8:$AJ$3266</definedName>
    <definedName name="Z_448CDF5C_53C4_4C6D_BD5F_57069C1F6EF7_.wvu.FilterData" localSheetId="0" hidden="1">'Приложение 1'!$A$8:$AJ$3266</definedName>
    <definedName name="Z_7527256C_F8DE_4103_847C_6DA356811275_.wvu.FilterData" localSheetId="0" hidden="1">'Приложение 1'!$A$8:$AJ$3266</definedName>
    <definedName name="Z_7B487993_E7BD_4180_9F92_EA8CADC0A478_.wvu.FilterData" localSheetId="0" hidden="1">'Приложение 1'!$A$8:$AJ$3266</definedName>
    <definedName name="Z_7DA8894D_A32D_4271_B6DE_9FF402FF8A81_.wvu.FilterData" localSheetId="0" hidden="1">'Приложение 1'!$A$1:$A$17767</definedName>
    <definedName name="Z_9122B991_305B_44FA_A449_AB6E28E3333D_.wvu.FilterData" localSheetId="0" hidden="1">'Приложение 1'!$A$8:$AJ$3266</definedName>
    <definedName name="Z_94F36B91_F03D_49EC_934B_A4965695BB3E_.wvu.FilterData" localSheetId="0" hidden="1">'Приложение 1'!$A$8:$AJ$3266</definedName>
    <definedName name="Z_9FCC808B_2BFA_4D58_BEA4_BE99E59223F9_.wvu.FilterData" localSheetId="0" hidden="1">'Приложение 1'!$A$8:$AJ$3266</definedName>
    <definedName name="Z_A12EF0AE_0022_423D_A326_9CCD72281EC5_.wvu.Cols" localSheetId="0" hidden="1">'Приложение 1'!#REF!</definedName>
    <definedName name="Z_A12EF0AE_0022_423D_A326_9CCD72281EC5_.wvu.FilterData" localSheetId="0" hidden="1">'Приложение 1'!$A$8:$AJ$3266</definedName>
    <definedName name="Z_A12EF0AE_0022_423D_A326_9CCD72281EC5_.wvu.PrintArea" localSheetId="0" hidden="1">'Приложение 1'!$A$7:$H$17758</definedName>
    <definedName name="Z_A12EF0AE_0022_423D_A326_9CCD72281EC5_.wvu.PrintTitles" localSheetId="0" hidden="1">'Приложение 1'!$7:$8</definedName>
    <definedName name="Z_A12EF0AE_0022_423D_A326_9CCD72281EC5_.wvu.Rows" localSheetId="0" hidden="1">'Приложение 1'!$1:$3,'Приложение 1'!#REF!,'Приложение 1'!$3271:$3271,'Приложение 1'!$3411:$3411,'Приложение 1'!$3642:$3642,'Приложение 1'!$3878:$3878,'Приложение 1'!$3891:$3892,'Приложение 1'!$4038:$4038,'Приложение 1'!$4054:$4054</definedName>
    <definedName name="Z_AEFAB221_4F0B_4C91_9FB0_EF8DB09022AE_.wvu.FilterData" localSheetId="0" hidden="1">'Приложение 1'!$A$8:$AJ$3266</definedName>
    <definedName name="Z_B7FC12CE_4D81_4AFD_B466_7BD909A7D698_.wvu.Cols" localSheetId="0" hidden="1">'Приложение 1'!#REF!</definedName>
    <definedName name="Z_B7FC12CE_4D81_4AFD_B466_7BD909A7D698_.wvu.FilterData" localSheetId="0" hidden="1">'Приложение 1'!$A$1:$A$17767</definedName>
    <definedName name="Z_B7FC12CE_4D81_4AFD_B466_7BD909A7D698_.wvu.PrintArea" localSheetId="0" hidden="1">'Приложение 1'!$A$7:$H$17758</definedName>
    <definedName name="Z_B7FC12CE_4D81_4AFD_B466_7BD909A7D698_.wvu.PrintTitles" localSheetId="0" hidden="1">'Приложение 1'!$7:$8</definedName>
    <definedName name="Z_B7FC12CE_4D81_4AFD_B466_7BD909A7D698_.wvu.Rows" localSheetId="0" hidden="1">'Приложение 1'!$1:$3,'Приложение 1'!#REF!,'Приложение 1'!$14:$14,'Приложение 1'!$3271:$3271,'Приложение 1'!$3411:$3411,'Приложение 1'!$3642:$3642,'Приложение 1'!$3878:$3878,'Приложение 1'!$3891:$3892,'Приложение 1'!$4038:$4038,'Приложение 1'!$4054:$4054</definedName>
    <definedName name="Z_C563ED7E_33C9_4C22_8FE6_19FD9D780A93_.wvu.Cols" localSheetId="0" hidden="1">'Приложение 1'!#REF!</definedName>
    <definedName name="Z_C563ED7E_33C9_4C22_8FE6_19FD9D780A93_.wvu.FilterData" localSheetId="0" hidden="1">'Приложение 1'!$A$8:$AJ$3266</definedName>
    <definedName name="Z_C563ED7E_33C9_4C22_8FE6_19FD9D780A93_.wvu.PrintArea" localSheetId="0" hidden="1">'Приложение 1'!$A$7:$H$17758</definedName>
    <definedName name="Z_C563ED7E_33C9_4C22_8FE6_19FD9D780A93_.wvu.PrintTitles" localSheetId="0" hidden="1">'Приложение 1'!$7:$8</definedName>
    <definedName name="Z_C563ED7E_33C9_4C22_8FE6_19FD9D780A93_.wvu.Rows" localSheetId="0" hidden="1">'Приложение 1'!$1:$3,'Приложение 1'!#REF!,'Приложение 1'!$14:$14,'Приложение 1'!$3271:$3271,'Приложение 1'!$3411:$3411,'Приложение 1'!$3642:$3642,'Приложение 1'!$3878:$3878,'Приложение 1'!$3891:$3892,'Приложение 1'!$4038:$4038,'Приложение 1'!$4054:$4054</definedName>
    <definedName name="Z_C6E9A9FF_84E0_42CF_ABAD_E48161801AA8_.wvu.FilterData" localSheetId="0" hidden="1">'Приложение 1'!$A$8:$AJ$3266</definedName>
    <definedName name="Z_D8233CC6_A6D8_43BF_AA89_3BD7450FAC38_.wvu.Cols" localSheetId="0" hidden="1">'Приложение 1'!#REF!</definedName>
    <definedName name="Z_D8233CC6_A6D8_43BF_AA89_3BD7450FAC38_.wvu.FilterData" localSheetId="0" hidden="1">'Приложение 1'!$A$8:$AJ$3266</definedName>
    <definedName name="Z_D8233CC6_A6D8_43BF_AA89_3BD7450FAC38_.wvu.PrintArea" localSheetId="0" hidden="1">'Приложение 1'!$A$7:$H$17758</definedName>
    <definedName name="Z_D8233CC6_A6D8_43BF_AA89_3BD7450FAC38_.wvu.PrintTitles" localSheetId="0" hidden="1">'Приложение 1'!$7:$8</definedName>
    <definedName name="Z_D8233CC6_A6D8_43BF_AA89_3BD7450FAC38_.wvu.Rows" localSheetId="0" hidden="1">'Приложение 1'!$1:$3,'Приложение 1'!#REF!,'Приложение 1'!$14:$14,'Приложение 1'!$3271:$3271,'Приложение 1'!$3411:$3411,'Приложение 1'!$3642:$3642,'Приложение 1'!$3878:$3878,'Приложение 1'!$3891:$3892,'Приложение 1'!$4038:$4038,'Приложение 1'!$4054:$4054</definedName>
    <definedName name="Z_D8E75CD6_4669_4439_B9A2_CCDCA2C87298_.wvu.FilterData" localSheetId="0" hidden="1">'Приложение 1'!$A$8:$AJ$3266</definedName>
    <definedName name="Z_DF74B1AF_8CEC_4C17_ADAB_308035899C05_.wvu.FilterData" localSheetId="0" hidden="1">'Приложение 1'!$A$8:$AJ$3266</definedName>
    <definedName name="Z_DF74B1AF_8CEC_4C17_ADAB_308035899C05_.wvu.PrintArea" localSheetId="0" hidden="1">'Приложение 1'!$A$7:$H$17758</definedName>
    <definedName name="Z_DF74B1AF_8CEC_4C17_ADAB_308035899C05_.wvu.PrintTitles" localSheetId="0" hidden="1">'Приложение 1'!$7:$8</definedName>
    <definedName name="Z_DF74B1AF_8CEC_4C17_ADAB_308035899C05_.wvu.Rows" localSheetId="0" hidden="1">'Приложение 1'!$1:$3,'Приложение 1'!#REF!,'Приложение 1'!$14:$14,'Приложение 1'!$18:$1760,'Приложение 1'!$1768:$2127,'Приложение 1'!$2476:$2568,'Приложение 1'!$2576:$2581,'Приложение 1'!$2588:$3267,'Приложение 1'!$3271:$3271,'Приложение 1'!$3275:$3407,'Приложение 1'!$3411:$3411,'Приложение 1'!$3415:$3638,'Приложение 1'!$3642:$3642,'Приложение 1'!$3646:$3688,'Приложение 1'!$3694:$3702,'Приложение 1'!$3712:$3836,'Приложение 1'!$3843:$3874,'Приложение 1'!$3878:$3878,'Приложение 1'!$3884:$3889,'Приложение 1'!$3891:$3892,'Приложение 1'!$3897:$3901,'Приложение 1'!$3909:$3916,'Приложение 1'!$3924:$3927,'Приложение 1'!$3935:$3940,'Приложение 1'!$3948:$3953,'Приложение 1'!$3961:$3966,'Приложение 1'!#REF!,'Приложение 1'!$3975:$3984,'Приложение 1'!$3992:$3996,'Приложение 1'!$4005:$4012,'Приложение 1'!$4018:$4023,'Приложение 1'!$4030:$4033,'Приложение 1'!#REF!,'Приложение 1'!$4038:$4038,'Приложение 1'!$4042:$4049,'Приложение 1'!$4054:$4054,'Приложение 1'!$4058:$4062,'Приложение 1'!$4069:$4072,'Приложение 1'!$4077:$4079,'Приложение 1'!$4084:$4088,'Приложение 1'!$4094:$4097,'Приложение 1'!$4103:$4266,'Приложение 1'!$4271:$4285,'Приложение 1'!$4290:$4352,'Приложение 1'!$4357:$4360,'Приложение 1'!$4365:$4460,'Приложение 1'!$4465:$4479,'Приложение 1'!$4484:$4577,'Приложение 1'!$4582:$4595,'Приложение 1'!$4600:$4707,'Приложение 1'!$4712:$4729,'Приложение 1'!$4734:$4885,'Приложение 1'!$4890:$4912,'Приложение 1'!$4917:$4918,'Приложение 1'!$4923:$4926,'Приложение 1'!$4931:$4956,'Приложение 1'!$4961:$4979</definedName>
    <definedName name="Z_F262C7DB_A251_4146_A7F5_8DA2FEEDB5F3_.wvu.Cols" localSheetId="0" hidden="1">'Приложение 1'!#REF!</definedName>
    <definedName name="Z_F262C7DB_A251_4146_A7F5_8DA2FEEDB5F3_.wvu.FilterData" localSheetId="0" hidden="1">'Приложение 1'!$A$1:$A$17762</definedName>
    <definedName name="Z_F262C7DB_A251_4146_A7F5_8DA2FEEDB5F3_.wvu.PrintArea" localSheetId="0" hidden="1">'Приложение 1'!$A$7:$H$17758</definedName>
    <definedName name="Z_F262C7DB_A251_4146_A7F5_8DA2FEEDB5F3_.wvu.PrintTitles" localSheetId="0" hidden="1">'Приложение 1'!$7:$8</definedName>
    <definedName name="Z_F262C7DB_A251_4146_A7F5_8DA2FEEDB5F3_.wvu.Rows" localSheetId="0" hidden="1">'Приложение 1'!$1:$3,'Приложение 1'!#REF!,'Приложение 1'!$14:$14,'Приложение 1'!$3271:$3271,'Приложение 1'!$3411:$3411,'Приложение 1'!$3642:$3642,'Приложение 1'!$3878:$3878,'Приложение 1'!$3891:$3892,'Приложение 1'!$4038:$4038,'Приложение 1'!$4054:$4054</definedName>
    <definedName name="Z_F4CD4C4E_93C1_47A9_9C1D_72D4D5705C17_.wvu.FilterData" localSheetId="0" hidden="1">'Приложение 1'!$A$8:$AJ$3266</definedName>
    <definedName name="_xlnm.Print_Titles" localSheetId="0">'Приложение 1'!$7:$8</definedName>
    <definedName name="_xlnm.Print_Titles" localSheetId="1">'Приложение 2'!$6:$6</definedName>
    <definedName name="_xlnm.Print_Titles" localSheetId="2">'Приложение 3'!$5:$5</definedName>
    <definedName name="_xlnm.Print_Area" localSheetId="0">'Приложение 1'!$A$1:$H$17762</definedName>
    <definedName name="_xlnm.Print_Area" localSheetId="1">'Приложение 2'!$A$1:$N$25</definedName>
    <definedName name="_xlnm.Print_Area" localSheetId="2">'Приложение 3'!$A$1:$F$29</definedName>
  </definedNames>
  <calcPr calcId="162913"/>
  <customWorkbookViews>
    <customWorkbookView name="Бурлуцкая Евгения Вадимовна - Личное представление" guid="{DF74B1AF-8CEC-4C17-ADAB-308035899C05}" mergeInterval="0" personalView="1" maximized="1" xWindow="-8" yWindow="-8" windowWidth="1936" windowHeight="1056" tabRatio="717" activeSheetId="1"/>
    <customWorkbookView name="Лавлинская Ольга Николаевна - Личное представление" guid="{C563ED7E-33C9-4C22-8FE6-19FD9D780A93}" mergeInterval="0" personalView="1" maximized="1" xWindow="-8" yWindow="-8" windowWidth="1696" windowHeight="1026" tabRatio="718" activeSheetId="1"/>
    <customWorkbookView name="Чередниченко Маргарита Викторовна - Личное представление" guid="{D8233CC6-A6D8-43BF-AA89-3BD7450FAC38}" mergeInterval="0" personalView="1" maximized="1" xWindow="-1928" yWindow="-8" windowWidth="1936" windowHeight="1056" tabRatio="717" activeSheetId="1"/>
    <customWorkbookView name="Буланова Анастасия Васильевна - Личное представление" guid="{A12EF0AE-0022-423D-A326-9CCD72281EC5}" mergeInterval="0" personalView="1" xWindow="2" windowWidth="1114" windowHeight="1003" tabRatio="718" activeSheetId="1"/>
    <customWorkbookView name="Левицкий Кирилл Константинович - Личное представление" guid="{B7FC12CE-4D81-4AFD-B466-7BD909A7D698}" mergeInterval="0" personalView="1" maximized="1" xWindow="-8" yWindow="-8" windowWidth="1696" windowHeight="1026" tabRatio="718" activeSheetId="1"/>
    <customWorkbookView name="Кузнецова Наталья Валентиновна - Личное представление" guid="{F262C7DB-A251-4146-A7F5-8DA2FEEDB5F3}" mergeInterval="0" personalView="1" maximized="1" xWindow="-8" yWindow="-8" windowWidth="1936" windowHeight="1056" tabRatio="718"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4" i="3" l="1"/>
  <c r="N13" i="3"/>
  <c r="J14" i="3"/>
  <c r="J13" i="3"/>
  <c r="E23" i="4" l="1"/>
  <c r="D23" i="4"/>
  <c r="D9" i="4" s="1"/>
  <c r="C23" i="4"/>
  <c r="E22" i="4"/>
  <c r="C17" i="4"/>
  <c r="C14" i="4" s="1"/>
  <c r="C9" i="4" s="1"/>
  <c r="E17" i="4"/>
  <c r="D17" i="4"/>
  <c r="E14" i="4"/>
  <c r="D14" i="4"/>
  <c r="E9" i="4"/>
  <c r="F21" i="3"/>
  <c r="F22" i="3" s="1"/>
  <c r="F25" i="3" s="1"/>
  <c r="F14" i="3"/>
  <c r="N21" i="3"/>
  <c r="N22" i="3" s="1"/>
  <c r="N25" i="3" s="1"/>
  <c r="J21" i="3"/>
  <c r="J22" i="3" s="1"/>
  <c r="J25" i="3" s="1"/>
  <c r="F11" i="3"/>
  <c r="L2" i="3"/>
  <c r="K1" i="3"/>
  <c r="N11" i="3" s="1"/>
  <c r="C1" i="3"/>
  <c r="F13" i="3" l="1"/>
  <c r="H2" i="3"/>
  <c r="J11" i="3" l="1"/>
  <c r="G1" i="3"/>
  <c r="H2131" i="1" l="1"/>
  <c r="H3888" i="1" l="1"/>
  <c r="H3887" i="1"/>
  <c r="F3643" i="1" l="1"/>
  <c r="H4083" i="1" l="1"/>
  <c r="G4083" i="1"/>
  <c r="F4083" i="1"/>
  <c r="H4081" i="1"/>
  <c r="G4081" i="1"/>
  <c r="F4081" i="1"/>
  <c r="G4984" i="1" l="1"/>
  <c r="H17504" i="1"/>
  <c r="H4986" i="1"/>
  <c r="G4986" i="1"/>
  <c r="F4986" i="1"/>
  <c r="F4985" i="1"/>
  <c r="H4984" i="1"/>
  <c r="F4984" i="1"/>
  <c r="G4985" i="1" l="1"/>
  <c r="H4075" i="1" l="1"/>
  <c r="H4076" i="1"/>
  <c r="H4057" i="1"/>
  <c r="G4057" i="1"/>
  <c r="F4057" i="1"/>
  <c r="H4056" i="1"/>
  <c r="G4056" i="1"/>
  <c r="F4056" i="1"/>
  <c r="H4055" i="1"/>
  <c r="G4055" i="1"/>
  <c r="F4055" i="1"/>
  <c r="H4041" i="1"/>
  <c r="G4041" i="1"/>
  <c r="F4041" i="1"/>
  <c r="H4040" i="1"/>
  <c r="G4040" i="1"/>
  <c r="F4040" i="1"/>
  <c r="H4039" i="1"/>
  <c r="G4039" i="1"/>
  <c r="F4039" i="1"/>
  <c r="H4029" i="1"/>
  <c r="G4029" i="1"/>
  <c r="F4029" i="1"/>
  <c r="H4028" i="1"/>
  <c r="G4028" i="1"/>
  <c r="F4028" i="1"/>
  <c r="H4027" i="1"/>
  <c r="F4027" i="1"/>
  <c r="H4015" i="1"/>
  <c r="H4016" i="1"/>
  <c r="H4017" i="1"/>
  <c r="H4004" i="1"/>
  <c r="G4004" i="1"/>
  <c r="F4004" i="1"/>
  <c r="H4003" i="1"/>
  <c r="G4003" i="1"/>
  <c r="F4003" i="1"/>
  <c r="H4002" i="1"/>
  <c r="G4002" i="1"/>
  <c r="F4002" i="1"/>
  <c r="H3991" i="1"/>
  <c r="G3991" i="1"/>
  <c r="F3991" i="1"/>
  <c r="H3990" i="1"/>
  <c r="G3990" i="1"/>
  <c r="F3990" i="1"/>
  <c r="H3989" i="1"/>
  <c r="G3989" i="1"/>
  <c r="F3989" i="1"/>
  <c r="H3974" i="1"/>
  <c r="G3974" i="1"/>
  <c r="F3974" i="1"/>
  <c r="H3973" i="1"/>
  <c r="G3973" i="1"/>
  <c r="F3973" i="1"/>
  <c r="H3972" i="1"/>
  <c r="G3972" i="1"/>
  <c r="F3972" i="1"/>
  <c r="G4027" i="1" l="1"/>
  <c r="H3693" i="1" l="1"/>
  <c r="G3693" i="1"/>
  <c r="H3692" i="1"/>
  <c r="G3692" i="1"/>
  <c r="H3691" i="1"/>
  <c r="G3691" i="1"/>
  <c r="F3693" i="1"/>
  <c r="F3692" i="1"/>
  <c r="F3691" i="1"/>
  <c r="H2475" i="1" l="1"/>
  <c r="G2475" i="1"/>
  <c r="G2474" i="1"/>
  <c r="H2473" i="1"/>
  <c r="G2473" i="1"/>
  <c r="F2475" i="1"/>
  <c r="F2474" i="1"/>
  <c r="F2473" i="1"/>
  <c r="H2133" i="1"/>
  <c r="G2133" i="1"/>
  <c r="F2133" i="1"/>
  <c r="G2132" i="1"/>
  <c r="F2132" i="1"/>
  <c r="G2131" i="1"/>
  <c r="F2131" i="1"/>
  <c r="H1767" i="1" l="1"/>
  <c r="G1767" i="1"/>
  <c r="F1767" i="1"/>
  <c r="G1766" i="1"/>
  <c r="F1766" i="1"/>
  <c r="H1765" i="1"/>
  <c r="G1765" i="1"/>
  <c r="F1765" i="1"/>
  <c r="H17" i="1"/>
  <c r="H15" i="1"/>
  <c r="G17" i="1"/>
  <c r="G16" i="1"/>
  <c r="G15" i="1"/>
  <c r="F17" i="1"/>
  <c r="F16" i="1"/>
  <c r="F15" i="1"/>
  <c r="H4735" i="1" l="1"/>
  <c r="H4736" i="1"/>
  <c r="H4742" i="1"/>
  <c r="H19" i="1" l="1"/>
  <c r="H4082" i="1" l="1"/>
  <c r="G4082" i="1" l="1"/>
  <c r="F4082" i="1"/>
  <c r="G4076" i="1" l="1"/>
  <c r="F4076" i="1"/>
  <c r="G17504" i="1" l="1"/>
  <c r="F17504" i="1"/>
  <c r="G4075" i="1" l="1"/>
  <c r="F4075" i="1"/>
  <c r="H4068" i="1"/>
  <c r="G4068" i="1"/>
  <c r="F4068" i="1"/>
  <c r="H4067" i="1"/>
  <c r="G4067" i="1"/>
  <c r="F4067" i="1"/>
  <c r="H4066" i="1"/>
  <c r="G4066" i="1"/>
  <c r="F4066" i="1"/>
  <c r="G4015" i="1" l="1"/>
  <c r="F4015" i="1"/>
  <c r="G4016" i="1"/>
  <c r="F4016" i="1"/>
  <c r="H3908" i="1" l="1"/>
  <c r="G3908" i="1"/>
  <c r="F3908" i="1"/>
  <c r="G3907" i="1"/>
  <c r="F3907" i="1"/>
  <c r="H3907" i="1"/>
  <c r="H3906" i="1"/>
  <c r="G3906" i="1"/>
  <c r="F3906" i="1"/>
  <c r="H3894" i="1"/>
  <c r="G3894" i="1"/>
  <c r="F3894" i="1"/>
  <c r="G4017" i="1" l="1"/>
  <c r="F4017" i="1"/>
  <c r="H3960" i="1" l="1"/>
  <c r="H3959" i="1"/>
  <c r="H3958" i="1"/>
  <c r="G3960" i="1"/>
  <c r="G3959" i="1"/>
  <c r="G3958" i="1"/>
  <c r="F3960" i="1"/>
  <c r="F3959" i="1"/>
  <c r="F3958" i="1"/>
  <c r="H3947" i="1"/>
  <c r="H3946" i="1"/>
  <c r="H3945" i="1"/>
  <c r="G3947" i="1"/>
  <c r="G3946" i="1"/>
  <c r="G3945" i="1"/>
  <c r="F3947" i="1"/>
  <c r="F3946" i="1"/>
  <c r="F3945" i="1"/>
  <c r="H3934" i="1"/>
  <c r="H3933" i="1"/>
  <c r="H3932" i="1"/>
  <c r="G3934" i="1"/>
  <c r="G3933" i="1"/>
  <c r="G3932" i="1"/>
  <c r="F3934" i="1"/>
  <c r="F3933" i="1"/>
  <c r="F3932" i="1"/>
  <c r="H3923" i="1"/>
  <c r="H3922" i="1"/>
  <c r="H3921" i="1"/>
  <c r="G3923" i="1"/>
  <c r="G3922" i="1"/>
  <c r="G3921" i="1"/>
  <c r="F3923" i="1"/>
  <c r="F3922" i="1"/>
  <c r="F3921" i="1"/>
  <c r="H3896" i="1"/>
  <c r="H3895" i="1"/>
  <c r="G3895" i="1"/>
  <c r="G3896" i="1"/>
  <c r="F3896" i="1"/>
  <c r="F3895" i="1"/>
  <c r="H3883" i="1"/>
  <c r="H3882" i="1"/>
  <c r="H3881" i="1"/>
  <c r="G3883" i="1"/>
  <c r="G3882" i="1"/>
  <c r="G3881" i="1"/>
  <c r="F3883" i="1"/>
  <c r="F3882" i="1"/>
  <c r="F3881" i="1"/>
  <c r="H3842" i="1"/>
  <c r="H3841" i="1"/>
  <c r="H3840" i="1"/>
  <c r="G3842" i="1"/>
  <c r="G3841" i="1"/>
  <c r="G3840" i="1"/>
  <c r="F3842" i="1"/>
  <c r="F3841" i="1"/>
  <c r="F3840" i="1"/>
  <c r="H3711" i="1"/>
  <c r="H3710" i="1"/>
  <c r="H3709" i="1"/>
  <c r="G3711" i="1"/>
  <c r="G3710" i="1"/>
  <c r="G3709" i="1"/>
  <c r="F3711" i="1"/>
  <c r="F3710" i="1"/>
  <c r="F3709" i="1"/>
  <c r="H3414" i="1"/>
  <c r="H3413" i="1"/>
  <c r="H3412" i="1"/>
  <c r="G3414" i="1"/>
  <c r="G3413" i="1"/>
  <c r="G3412" i="1"/>
  <c r="F3414" i="1"/>
  <c r="F3413" i="1"/>
  <c r="F3412" i="1"/>
  <c r="H3274" i="1"/>
  <c r="H3273" i="1"/>
  <c r="H3272" i="1"/>
  <c r="G3274" i="1"/>
  <c r="G3273" i="1"/>
  <c r="G3272" i="1"/>
  <c r="F3274" i="1"/>
  <c r="F3273" i="1"/>
  <c r="F3272" i="1"/>
  <c r="H2586" i="1"/>
  <c r="H2585" i="1"/>
  <c r="G2587" i="1"/>
  <c r="G2586" i="1"/>
  <c r="G2585" i="1"/>
  <c r="F2587" i="1"/>
  <c r="F2586" i="1"/>
  <c r="F2585" i="1"/>
  <c r="H2574" i="1"/>
  <c r="H2573" i="1"/>
  <c r="G2575" i="1"/>
  <c r="G2574" i="1"/>
  <c r="G2573" i="1"/>
  <c r="F2575" i="1"/>
  <c r="F2574" i="1"/>
  <c r="F2573" i="1"/>
  <c r="H17419" i="1" l="1"/>
  <c r="G17419" i="1"/>
  <c r="F17419" i="1"/>
  <c r="H17506" i="1"/>
  <c r="H17505" i="1"/>
  <c r="G17506" i="1"/>
  <c r="G17505" i="1"/>
  <c r="F17506" i="1"/>
  <c r="F17505" i="1"/>
  <c r="H17688" i="1"/>
  <c r="H17687" i="1"/>
  <c r="G17689" i="1"/>
  <c r="G17688" i="1"/>
  <c r="G17687" i="1"/>
  <c r="F17689" i="1"/>
  <c r="F17688" i="1"/>
  <c r="F17687" i="1"/>
  <c r="H17689" i="1"/>
  <c r="H17711" i="1"/>
  <c r="H17710" i="1"/>
  <c r="H17709" i="1"/>
  <c r="G17711" i="1"/>
  <c r="G17710" i="1"/>
  <c r="G17709" i="1"/>
  <c r="F17711" i="1"/>
  <c r="F17710" i="1"/>
  <c r="F17709" i="1"/>
  <c r="H9686" i="1"/>
  <c r="G9688" i="1"/>
  <c r="G9687" i="1"/>
  <c r="G9686" i="1"/>
  <c r="F9688" i="1"/>
  <c r="F9687" i="1"/>
  <c r="F9686" i="1"/>
  <c r="H4093" i="1" l="1"/>
  <c r="H4092" i="1"/>
  <c r="H4091" i="1"/>
  <c r="G4093" i="1"/>
  <c r="G4092" i="1"/>
  <c r="G4091" i="1"/>
  <c r="F4093" i="1"/>
  <c r="F4092" i="1"/>
  <c r="F4091" i="1"/>
  <c r="H4100" i="1"/>
  <c r="G4102" i="1"/>
  <c r="G4101" i="1"/>
  <c r="G4100" i="1"/>
  <c r="F4102" i="1"/>
  <c r="F4101" i="1"/>
  <c r="F4100" i="1"/>
  <c r="H4270" i="1"/>
  <c r="H4269" i="1"/>
  <c r="H4268" i="1"/>
  <c r="G4270" i="1"/>
  <c r="G4269" i="1"/>
  <c r="G4268" i="1"/>
  <c r="F4270" i="1"/>
  <c r="F4269" i="1"/>
  <c r="F4268" i="1"/>
  <c r="H4289" i="1"/>
  <c r="H4288" i="1"/>
  <c r="H4287" i="1"/>
  <c r="G4289" i="1"/>
  <c r="G4288" i="1"/>
  <c r="G4287" i="1"/>
  <c r="F4289" i="1"/>
  <c r="F4288" i="1"/>
  <c r="F4287" i="1"/>
  <c r="H4356" i="1"/>
  <c r="H4355" i="1"/>
  <c r="H4354" i="1"/>
  <c r="G4356" i="1"/>
  <c r="G4355" i="1"/>
  <c r="G4354" i="1"/>
  <c r="F4356" i="1"/>
  <c r="F4355" i="1"/>
  <c r="F4354" i="1"/>
  <c r="H4362" i="1"/>
  <c r="G4364" i="1"/>
  <c r="G4363" i="1"/>
  <c r="G4362" i="1"/>
  <c r="F4364" i="1"/>
  <c r="F4363" i="1"/>
  <c r="F4362" i="1"/>
  <c r="H4464" i="1"/>
  <c r="H4463" i="1"/>
  <c r="H4462" i="1"/>
  <c r="G4464" i="1"/>
  <c r="G4463" i="1"/>
  <c r="G4462" i="1"/>
  <c r="F4464" i="1"/>
  <c r="F4463" i="1"/>
  <c r="F4462" i="1"/>
  <c r="H4481" i="1"/>
  <c r="G4483" i="1"/>
  <c r="G4482" i="1"/>
  <c r="G4481" i="1"/>
  <c r="F4483" i="1"/>
  <c r="F4482" i="1"/>
  <c r="F4481" i="1"/>
  <c r="H4581" i="1"/>
  <c r="H4580" i="1"/>
  <c r="H4579" i="1"/>
  <c r="G4581" i="1"/>
  <c r="G4580" i="1"/>
  <c r="G4579" i="1"/>
  <c r="F4581" i="1"/>
  <c r="F4580" i="1"/>
  <c r="F4579" i="1"/>
  <c r="H4599" i="1"/>
  <c r="H4598" i="1"/>
  <c r="H4597" i="1"/>
  <c r="G4599" i="1"/>
  <c r="G4598" i="1"/>
  <c r="G4597" i="1"/>
  <c r="F4599" i="1"/>
  <c r="F4598" i="1"/>
  <c r="F4597" i="1"/>
  <c r="H4711" i="1"/>
  <c r="H4710" i="1"/>
  <c r="H4709" i="1"/>
  <c r="G4711" i="1"/>
  <c r="G4710" i="1"/>
  <c r="G4709" i="1"/>
  <c r="F4711" i="1"/>
  <c r="F4710" i="1"/>
  <c r="F4709" i="1"/>
  <c r="H4731" i="1"/>
  <c r="G4733" i="1"/>
  <c r="G4732" i="1"/>
  <c r="G4731" i="1"/>
  <c r="F4733" i="1"/>
  <c r="F4732" i="1"/>
  <c r="F4731" i="1"/>
  <c r="H4889" i="1"/>
  <c r="H4888" i="1"/>
  <c r="H4887" i="1"/>
  <c r="G4889" i="1"/>
  <c r="G4888" i="1"/>
  <c r="G4887" i="1"/>
  <c r="F4889" i="1"/>
  <c r="F4888" i="1"/>
  <c r="F4887" i="1"/>
  <c r="H4916" i="1"/>
  <c r="H4915" i="1"/>
  <c r="H4914" i="1"/>
  <c r="G4916" i="1"/>
  <c r="G4915" i="1"/>
  <c r="G4914" i="1"/>
  <c r="F4916" i="1"/>
  <c r="F4915" i="1"/>
  <c r="F4914" i="1"/>
  <c r="H4922" i="1"/>
  <c r="H4921" i="1"/>
  <c r="H4920" i="1"/>
  <c r="G4922" i="1"/>
  <c r="G4921" i="1"/>
  <c r="G4920" i="1"/>
  <c r="F4922" i="1"/>
  <c r="F4921" i="1"/>
  <c r="F4920" i="1"/>
  <c r="H4930" i="1"/>
  <c r="H4929" i="1"/>
  <c r="H4928" i="1"/>
  <c r="G4930" i="1"/>
  <c r="G4929" i="1"/>
  <c r="G4928" i="1"/>
  <c r="F4930" i="1"/>
  <c r="F4929" i="1"/>
  <c r="F4928" i="1"/>
  <c r="H4960" i="1"/>
  <c r="H4959" i="1"/>
  <c r="H4958" i="1"/>
  <c r="G4960" i="1"/>
  <c r="G4959" i="1"/>
  <c r="G4958" i="1"/>
  <c r="F4960" i="1"/>
  <c r="F4959" i="1"/>
  <c r="F4958" i="1"/>
  <c r="H17417" i="1" l="1"/>
  <c r="G17417" i="1"/>
  <c r="F17417" i="1"/>
  <c r="H17418" i="1"/>
  <c r="G17418" i="1"/>
  <c r="F17418" i="1"/>
  <c r="H10648" i="1" l="1"/>
  <c r="H10647" i="1"/>
  <c r="H10646" i="1"/>
  <c r="H10645" i="1"/>
  <c r="H10644" i="1"/>
  <c r="H10643" i="1"/>
  <c r="H10642" i="1"/>
  <c r="H10641" i="1"/>
  <c r="H10640" i="1"/>
  <c r="H10639" i="1"/>
  <c r="H10638" i="1"/>
  <c r="H10637" i="1"/>
  <c r="H10636" i="1"/>
  <c r="H10635" i="1"/>
  <c r="H10634" i="1"/>
  <c r="H10633" i="1"/>
  <c r="H10632" i="1"/>
  <c r="H10631" i="1"/>
  <c r="H10630" i="1"/>
  <c r="H10629" i="1"/>
  <c r="H10628" i="1"/>
  <c r="H10627" i="1"/>
  <c r="H10626" i="1"/>
  <c r="H10625" i="1"/>
  <c r="H10624" i="1"/>
  <c r="H10623" i="1"/>
  <c r="H10622" i="1"/>
  <c r="H10621" i="1"/>
  <c r="H10620" i="1"/>
  <c r="H10619" i="1"/>
  <c r="H10618" i="1"/>
  <c r="H10617" i="1"/>
  <c r="H10616" i="1"/>
  <c r="H10615" i="1"/>
  <c r="H10614" i="1"/>
  <c r="H10613" i="1"/>
  <c r="H10612" i="1"/>
  <c r="H10611" i="1"/>
  <c r="H10610" i="1"/>
  <c r="H10609" i="1"/>
  <c r="H10608" i="1"/>
  <c r="H10607" i="1"/>
  <c r="H10606" i="1"/>
  <c r="H10605" i="1"/>
  <c r="H10604" i="1"/>
  <c r="H10603" i="1"/>
  <c r="H10602" i="1"/>
  <c r="H10601" i="1"/>
  <c r="H10600" i="1"/>
  <c r="H10599" i="1"/>
  <c r="H10598" i="1"/>
  <c r="H10597" i="1"/>
  <c r="H10596" i="1"/>
  <c r="H10595" i="1"/>
  <c r="H10594" i="1"/>
  <c r="H10593" i="1"/>
  <c r="H10592" i="1"/>
  <c r="H10591" i="1"/>
  <c r="H10590" i="1"/>
  <c r="H10589" i="1"/>
  <c r="H10588" i="1"/>
  <c r="H10587" i="1"/>
  <c r="H10586" i="1"/>
  <c r="H10585" i="1"/>
  <c r="H10584" i="1"/>
  <c r="H10583" i="1"/>
  <c r="H10582" i="1"/>
  <c r="H10581" i="1"/>
  <c r="H10580" i="1"/>
  <c r="H10579" i="1"/>
  <c r="H10578" i="1"/>
  <c r="H10577" i="1"/>
  <c r="H10576" i="1"/>
  <c r="H10575" i="1"/>
  <c r="H10574" i="1"/>
  <c r="H10573" i="1"/>
  <c r="H10572" i="1"/>
  <c r="H10571" i="1"/>
  <c r="H10570" i="1"/>
  <c r="H10569" i="1"/>
  <c r="H10568" i="1"/>
  <c r="H10567" i="1"/>
  <c r="H10566" i="1"/>
  <c r="H10565" i="1"/>
  <c r="H10564" i="1"/>
  <c r="H10563" i="1"/>
  <c r="H10562" i="1"/>
  <c r="H10561" i="1"/>
  <c r="H10560" i="1"/>
  <c r="H10559" i="1"/>
  <c r="H10558" i="1"/>
  <c r="H10557" i="1"/>
  <c r="H10556" i="1"/>
  <c r="H10555" i="1"/>
  <c r="H10554" i="1"/>
  <c r="H10553" i="1"/>
  <c r="H10552" i="1"/>
  <c r="H10551" i="1"/>
  <c r="H10550" i="1"/>
  <c r="H10549" i="1"/>
  <c r="H10548" i="1"/>
  <c r="H10547" i="1"/>
  <c r="H10546" i="1"/>
  <c r="H10545" i="1"/>
  <c r="H10544" i="1"/>
  <c r="H10543" i="1"/>
  <c r="H10542" i="1"/>
  <c r="H10541" i="1"/>
  <c r="H10540" i="1"/>
  <c r="H10539" i="1"/>
  <c r="H10538" i="1"/>
  <c r="H10537" i="1"/>
  <c r="H10536" i="1"/>
  <c r="H10535" i="1"/>
  <c r="H10534" i="1"/>
  <c r="H10533" i="1"/>
  <c r="H10532" i="1"/>
  <c r="H10531" i="1"/>
  <c r="H10530" i="1"/>
  <c r="H10529" i="1"/>
  <c r="H10528" i="1"/>
  <c r="H10527" i="1"/>
  <c r="H10526" i="1"/>
  <c r="H10525" i="1"/>
  <c r="H10524" i="1"/>
  <c r="H10523" i="1"/>
  <c r="H10522" i="1"/>
  <c r="H10521" i="1"/>
  <c r="H10520" i="1"/>
  <c r="H10519" i="1"/>
  <c r="H10518" i="1"/>
  <c r="H10517" i="1"/>
  <c r="H10516" i="1"/>
  <c r="H10515" i="1"/>
  <c r="H10514" i="1"/>
  <c r="H10513" i="1"/>
  <c r="H10512" i="1"/>
  <c r="H10511" i="1"/>
  <c r="H10510" i="1"/>
  <c r="H10509" i="1"/>
  <c r="H10508" i="1"/>
  <c r="H10507" i="1"/>
  <c r="H10506" i="1"/>
  <c r="H10505" i="1"/>
  <c r="H10504" i="1"/>
  <c r="H10503" i="1"/>
  <c r="H10502" i="1"/>
  <c r="H10501" i="1"/>
  <c r="H10500" i="1"/>
  <c r="H10499" i="1"/>
  <c r="H10498" i="1"/>
  <c r="H10497" i="1"/>
  <c r="H10496" i="1"/>
  <c r="H10495" i="1"/>
  <c r="H10494" i="1"/>
  <c r="H10493" i="1"/>
  <c r="H10492" i="1"/>
  <c r="H10491" i="1"/>
  <c r="H10490" i="1"/>
  <c r="H10489" i="1"/>
  <c r="H10488" i="1"/>
  <c r="H10487" i="1"/>
  <c r="H10486" i="1"/>
  <c r="H10485" i="1"/>
  <c r="H10484" i="1"/>
  <c r="H10483" i="1"/>
  <c r="H10482" i="1"/>
  <c r="H10481" i="1"/>
  <c r="H10480" i="1"/>
  <c r="H10479" i="1"/>
  <c r="H10478" i="1"/>
  <c r="H10477" i="1"/>
  <c r="H10476" i="1"/>
  <c r="H10475" i="1"/>
  <c r="H10474" i="1"/>
  <c r="H10473" i="1"/>
  <c r="H10472" i="1"/>
  <c r="H10471" i="1"/>
  <c r="H10470" i="1"/>
  <c r="H10469" i="1"/>
  <c r="H10468" i="1"/>
  <c r="H10467" i="1"/>
  <c r="H10466" i="1"/>
  <c r="H10465" i="1"/>
  <c r="H10464" i="1"/>
  <c r="H10463" i="1"/>
  <c r="H10462" i="1"/>
  <c r="H10461" i="1"/>
  <c r="H10460" i="1"/>
  <c r="H10459" i="1"/>
  <c r="H10458" i="1"/>
  <c r="H10457" i="1"/>
  <c r="H10456" i="1"/>
  <c r="H10455" i="1"/>
  <c r="H10454" i="1"/>
  <c r="H10453" i="1"/>
  <c r="H10452" i="1"/>
  <c r="H10451" i="1"/>
  <c r="H10450" i="1"/>
  <c r="H10449" i="1"/>
  <c r="H10448" i="1"/>
  <c r="H10447" i="1"/>
  <c r="H10446" i="1"/>
  <c r="H10445" i="1"/>
  <c r="H10444" i="1"/>
  <c r="H10443" i="1"/>
  <c r="H10442" i="1"/>
  <c r="H10441" i="1"/>
  <c r="H10440" i="1"/>
  <c r="H10439" i="1"/>
  <c r="H10438" i="1"/>
  <c r="H10437" i="1"/>
  <c r="H10436" i="1"/>
  <c r="H10435" i="1"/>
  <c r="H10434" i="1"/>
  <c r="H10433" i="1"/>
  <c r="H10432" i="1"/>
  <c r="H10431" i="1"/>
  <c r="H10430" i="1"/>
  <c r="H10429" i="1"/>
  <c r="H10428" i="1"/>
  <c r="H10427" i="1"/>
  <c r="H10426" i="1"/>
  <c r="H10425" i="1"/>
  <c r="H10424" i="1"/>
  <c r="H10423" i="1"/>
  <c r="H10422" i="1"/>
  <c r="H10421" i="1"/>
  <c r="H10420" i="1"/>
  <c r="H10419" i="1"/>
  <c r="H10418" i="1"/>
  <c r="H10417" i="1"/>
  <c r="H10416" i="1"/>
  <c r="H10415" i="1"/>
  <c r="H10414" i="1"/>
  <c r="H10413" i="1"/>
  <c r="H10412" i="1"/>
  <c r="H10411" i="1"/>
  <c r="H10410" i="1"/>
  <c r="H10409" i="1"/>
  <c r="H10408" i="1"/>
  <c r="H10407" i="1"/>
  <c r="H10406" i="1"/>
  <c r="H10405" i="1"/>
  <c r="H10404" i="1"/>
  <c r="H10403" i="1"/>
  <c r="H10402" i="1"/>
  <c r="H10401" i="1"/>
  <c r="H10400" i="1"/>
  <c r="H10399" i="1"/>
  <c r="H10398" i="1"/>
  <c r="H10397" i="1"/>
  <c r="H10396" i="1"/>
  <c r="H10395" i="1"/>
  <c r="H10394" i="1"/>
  <c r="H10393" i="1"/>
  <c r="H10392" i="1"/>
  <c r="H10391" i="1"/>
  <c r="H10390" i="1"/>
  <c r="H10389" i="1"/>
  <c r="H10388" i="1"/>
  <c r="H10387" i="1"/>
  <c r="H10386" i="1"/>
  <c r="H10385" i="1"/>
  <c r="H10384" i="1"/>
  <c r="H10383" i="1"/>
  <c r="H10382" i="1"/>
  <c r="H10381" i="1"/>
  <c r="H10380" i="1"/>
  <c r="H10379" i="1"/>
  <c r="H10378" i="1"/>
  <c r="H10377" i="1"/>
  <c r="H10376" i="1"/>
  <c r="H10375" i="1"/>
  <c r="H10374" i="1"/>
  <c r="H10373" i="1"/>
  <c r="H10372" i="1"/>
  <c r="H10371" i="1"/>
  <c r="H10370" i="1"/>
  <c r="H10369" i="1"/>
  <c r="H10368" i="1"/>
  <c r="H10367" i="1"/>
  <c r="H10366" i="1"/>
  <c r="H10365" i="1"/>
  <c r="H10364" i="1"/>
  <c r="H10363" i="1"/>
  <c r="H10362" i="1"/>
  <c r="H10361" i="1"/>
  <c r="H10360" i="1"/>
  <c r="H10359" i="1"/>
  <c r="H10358" i="1"/>
  <c r="H10357" i="1"/>
  <c r="H10356" i="1"/>
  <c r="H10355" i="1"/>
  <c r="H10354" i="1"/>
  <c r="H10353" i="1"/>
  <c r="H10352" i="1"/>
  <c r="H10351" i="1"/>
  <c r="H10350" i="1"/>
  <c r="H10349" i="1"/>
  <c r="H10348" i="1"/>
  <c r="H10347" i="1"/>
  <c r="H10346" i="1"/>
  <c r="H10345" i="1"/>
  <c r="H10344" i="1"/>
  <c r="H10343" i="1"/>
  <c r="H10342" i="1"/>
  <c r="H10341" i="1"/>
  <c r="H10340" i="1"/>
  <c r="H10339" i="1"/>
  <c r="H10338" i="1"/>
  <c r="H10337" i="1"/>
  <c r="H10336" i="1"/>
  <c r="H10335" i="1"/>
  <c r="H10334" i="1"/>
  <c r="H10333" i="1"/>
  <c r="H10332" i="1"/>
  <c r="H10331" i="1"/>
  <c r="H10330" i="1"/>
  <c r="H10329" i="1"/>
  <c r="H10328" i="1"/>
  <c r="H10327" i="1"/>
  <c r="H10326" i="1"/>
  <c r="H10325" i="1"/>
  <c r="H10324" i="1"/>
  <c r="H10323" i="1"/>
  <c r="H10322" i="1"/>
  <c r="H10321" i="1"/>
  <c r="H10320" i="1"/>
  <c r="H10319" i="1"/>
  <c r="H10318" i="1"/>
  <c r="H10317" i="1"/>
  <c r="H10316" i="1"/>
  <c r="H10315" i="1"/>
  <c r="H10314" i="1"/>
  <c r="H10313" i="1"/>
  <c r="H10312" i="1"/>
  <c r="H10311" i="1"/>
  <c r="H10310" i="1"/>
  <c r="H10309" i="1"/>
  <c r="H10308" i="1"/>
  <c r="H10307" i="1"/>
  <c r="H10306" i="1"/>
  <c r="H10305" i="1"/>
  <c r="H10304" i="1"/>
  <c r="H10303" i="1"/>
  <c r="H10302" i="1"/>
  <c r="H10301" i="1"/>
  <c r="H10300" i="1"/>
  <c r="H10299" i="1"/>
  <c r="H10298" i="1"/>
  <c r="H10297" i="1"/>
  <c r="H10296" i="1"/>
  <c r="H10295" i="1"/>
  <c r="H10294" i="1"/>
  <c r="H10293" i="1"/>
  <c r="H10292" i="1"/>
  <c r="H10291" i="1"/>
  <c r="H10290" i="1"/>
  <c r="H10289" i="1"/>
  <c r="H10288" i="1"/>
  <c r="H10287" i="1"/>
  <c r="H10286" i="1"/>
  <c r="H10285" i="1"/>
  <c r="H10284" i="1"/>
  <c r="H10283" i="1"/>
  <c r="H10282" i="1"/>
  <c r="H10281" i="1"/>
  <c r="H10280" i="1"/>
  <c r="H10279" i="1"/>
  <c r="H10278" i="1"/>
  <c r="H10277" i="1"/>
  <c r="H10276" i="1"/>
  <c r="H10275" i="1"/>
  <c r="H10274" i="1"/>
  <c r="H10273" i="1"/>
  <c r="H10272" i="1"/>
  <c r="H10271" i="1"/>
  <c r="H10270" i="1"/>
  <c r="H10269" i="1"/>
  <c r="H10268" i="1"/>
  <c r="H10267" i="1"/>
  <c r="H10266" i="1"/>
  <c r="H10265" i="1"/>
  <c r="H10264" i="1"/>
  <c r="H10263" i="1"/>
  <c r="H10262" i="1"/>
  <c r="H10261" i="1"/>
  <c r="H10260" i="1"/>
  <c r="H10259" i="1"/>
  <c r="H10258" i="1"/>
  <c r="H10257" i="1"/>
  <c r="H10256" i="1"/>
  <c r="H10255" i="1"/>
  <c r="H10254" i="1"/>
  <c r="H10253" i="1"/>
  <c r="H10252" i="1"/>
  <c r="H10251" i="1"/>
  <c r="H10250" i="1"/>
  <c r="H10249" i="1"/>
  <c r="H10248" i="1"/>
  <c r="H10247" i="1"/>
  <c r="H10246" i="1"/>
  <c r="H10245" i="1"/>
  <c r="H10244" i="1"/>
  <c r="H10243" i="1"/>
  <c r="H10242" i="1"/>
  <c r="H10241" i="1"/>
  <c r="H10240" i="1"/>
  <c r="H10239" i="1"/>
  <c r="H10238" i="1"/>
  <c r="H10237" i="1"/>
  <c r="H10236" i="1"/>
  <c r="H10235" i="1"/>
  <c r="H10234" i="1"/>
  <c r="H10233" i="1"/>
  <c r="H10232" i="1"/>
  <c r="H10231" i="1"/>
  <c r="H10230" i="1"/>
  <c r="H10229" i="1"/>
  <c r="H10228" i="1"/>
  <c r="H10227" i="1"/>
  <c r="H10226" i="1"/>
  <c r="H10225" i="1"/>
  <c r="H10224" i="1"/>
  <c r="H10223" i="1"/>
  <c r="H10222" i="1"/>
  <c r="H10221" i="1"/>
  <c r="H10220" i="1"/>
  <c r="H10219" i="1"/>
  <c r="H10218" i="1"/>
  <c r="H10217" i="1"/>
  <c r="H10216" i="1"/>
  <c r="H10215" i="1"/>
  <c r="H10214" i="1"/>
  <c r="H10213" i="1"/>
  <c r="H10212" i="1"/>
  <c r="H10211" i="1"/>
  <c r="H10210" i="1"/>
  <c r="H10209" i="1"/>
  <c r="H10208" i="1"/>
  <c r="H10207" i="1"/>
  <c r="H10206" i="1"/>
  <c r="H10205" i="1"/>
  <c r="H10204" i="1"/>
  <c r="H10203" i="1"/>
  <c r="H10202" i="1"/>
  <c r="H10201" i="1"/>
  <c r="H10200" i="1"/>
  <c r="H10199" i="1"/>
  <c r="H10198" i="1"/>
  <c r="H10197" i="1"/>
  <c r="H10196" i="1"/>
  <c r="H10195" i="1"/>
  <c r="H10194" i="1"/>
  <c r="H10193" i="1"/>
  <c r="H10192" i="1"/>
  <c r="H10191" i="1"/>
  <c r="H10190" i="1"/>
  <c r="H10189" i="1"/>
  <c r="H10188" i="1"/>
  <c r="H10187" i="1"/>
  <c r="H10186" i="1"/>
  <c r="H10185" i="1"/>
  <c r="H10184" i="1"/>
  <c r="H10183" i="1"/>
  <c r="H10182" i="1"/>
  <c r="H10181" i="1"/>
  <c r="H10180" i="1"/>
  <c r="H10179" i="1"/>
  <c r="H10178" i="1"/>
  <c r="H10177" i="1"/>
  <c r="H10176" i="1"/>
  <c r="H10175" i="1"/>
  <c r="H10174" i="1"/>
  <c r="H10173" i="1"/>
  <c r="H10172" i="1"/>
  <c r="H10171" i="1"/>
  <c r="H10170" i="1"/>
  <c r="H10169" i="1"/>
  <c r="H10168" i="1"/>
  <c r="H10167" i="1"/>
  <c r="H10166" i="1"/>
  <c r="H10165" i="1"/>
  <c r="H10164" i="1"/>
  <c r="H10163" i="1"/>
  <c r="H10162" i="1"/>
  <c r="H10161" i="1"/>
  <c r="H10160" i="1"/>
  <c r="H10159" i="1"/>
  <c r="H10158" i="1"/>
  <c r="H10157" i="1"/>
  <c r="H10156" i="1"/>
  <c r="H10155" i="1"/>
  <c r="H10154" i="1"/>
  <c r="H10153" i="1"/>
  <c r="H10152" i="1"/>
  <c r="H10151" i="1"/>
  <c r="H10150" i="1"/>
  <c r="H10149" i="1"/>
  <c r="H10148" i="1"/>
  <c r="H10147" i="1"/>
  <c r="H10146" i="1"/>
  <c r="H10145" i="1"/>
  <c r="H10144" i="1"/>
  <c r="H10143" i="1"/>
  <c r="H10142" i="1"/>
  <c r="H10141" i="1"/>
  <c r="H10140" i="1"/>
  <c r="H10139" i="1"/>
  <c r="H10138" i="1"/>
  <c r="H10137" i="1"/>
  <c r="H10136" i="1"/>
  <c r="H10135" i="1"/>
  <c r="H10134" i="1"/>
  <c r="H10133" i="1"/>
  <c r="H10132" i="1"/>
  <c r="H10131" i="1"/>
  <c r="H10130" i="1"/>
  <c r="H10129" i="1"/>
  <c r="H10128" i="1"/>
  <c r="H10127" i="1"/>
  <c r="H10126" i="1"/>
  <c r="H10125" i="1"/>
  <c r="H10124" i="1"/>
  <c r="H10123" i="1"/>
  <c r="H10122" i="1"/>
  <c r="H10121" i="1"/>
  <c r="H10120" i="1"/>
  <c r="H10119" i="1"/>
  <c r="H10118" i="1"/>
  <c r="H10117" i="1"/>
  <c r="H10116" i="1"/>
  <c r="H10115" i="1"/>
  <c r="H10114" i="1"/>
  <c r="H10113" i="1"/>
  <c r="H10112" i="1"/>
  <c r="H10111" i="1"/>
  <c r="H10110" i="1"/>
  <c r="H10109" i="1"/>
  <c r="H10108" i="1"/>
  <c r="H10107" i="1"/>
  <c r="H10106" i="1"/>
  <c r="H10105" i="1"/>
  <c r="H10104" i="1"/>
  <c r="H10103" i="1"/>
  <c r="H10102" i="1"/>
  <c r="H10101" i="1"/>
  <c r="H10100" i="1"/>
  <c r="H10099" i="1"/>
  <c r="H10098" i="1"/>
  <c r="H10097" i="1"/>
  <c r="H10096" i="1"/>
  <c r="H10095" i="1"/>
  <c r="H10094" i="1"/>
  <c r="H10093" i="1"/>
  <c r="H10092" i="1"/>
  <c r="H10091" i="1"/>
  <c r="H10090" i="1"/>
  <c r="H10089" i="1"/>
  <c r="H10088" i="1"/>
  <c r="H10087" i="1"/>
  <c r="H10086" i="1"/>
  <c r="H10085" i="1"/>
  <c r="H10084" i="1"/>
  <c r="H10083" i="1"/>
  <c r="H10082" i="1"/>
  <c r="H10081" i="1"/>
  <c r="H10080" i="1"/>
  <c r="H10079" i="1"/>
  <c r="H10078" i="1"/>
  <c r="H10077" i="1"/>
  <c r="H10076" i="1"/>
  <c r="H10075" i="1"/>
  <c r="H10074" i="1"/>
  <c r="H10073" i="1"/>
  <c r="H10072" i="1"/>
  <c r="H10071" i="1"/>
  <c r="H10070" i="1"/>
  <c r="H10069" i="1"/>
  <c r="H10068" i="1"/>
  <c r="H10067" i="1"/>
  <c r="H10066" i="1"/>
  <c r="H10065" i="1"/>
  <c r="H10064" i="1"/>
  <c r="H10063" i="1"/>
  <c r="H10062" i="1"/>
  <c r="H10061" i="1"/>
  <c r="H10060" i="1"/>
  <c r="H10059" i="1"/>
  <c r="H10058" i="1"/>
  <c r="H10057" i="1"/>
  <c r="H10056" i="1"/>
  <c r="H10055" i="1"/>
  <c r="H10054" i="1"/>
  <c r="H10053" i="1"/>
  <c r="H10052" i="1"/>
  <c r="H10051" i="1"/>
  <c r="H10050" i="1"/>
  <c r="H10049" i="1"/>
  <c r="H10048" i="1"/>
  <c r="H10047" i="1"/>
  <c r="H10046" i="1"/>
  <c r="H10045" i="1"/>
  <c r="H10044" i="1"/>
  <c r="H10043" i="1"/>
  <c r="H10042" i="1"/>
  <c r="H10041" i="1"/>
  <c r="H10040" i="1"/>
  <c r="H10039" i="1"/>
  <c r="H10038" i="1"/>
  <c r="H10037" i="1"/>
  <c r="H10036" i="1"/>
  <c r="H10035" i="1"/>
  <c r="H10034" i="1"/>
  <c r="H10033" i="1"/>
  <c r="H10032" i="1"/>
  <c r="H10031" i="1"/>
  <c r="H10030" i="1"/>
  <c r="H10029" i="1"/>
  <c r="H10028" i="1"/>
  <c r="H10027" i="1"/>
  <c r="H10026" i="1"/>
  <c r="H10025" i="1"/>
  <c r="H10024" i="1"/>
  <c r="H10023" i="1"/>
  <c r="H10022" i="1"/>
  <c r="H10021" i="1"/>
  <c r="H10020" i="1"/>
  <c r="H10019" i="1"/>
  <c r="H10018" i="1"/>
  <c r="H10017" i="1"/>
  <c r="H10016" i="1"/>
  <c r="H10015" i="1"/>
  <c r="H10014" i="1"/>
  <c r="H10013" i="1"/>
  <c r="H10012" i="1"/>
  <c r="H10011" i="1"/>
  <c r="H10010" i="1"/>
  <c r="H10009" i="1"/>
  <c r="H10008" i="1"/>
  <c r="H10007" i="1"/>
  <c r="H10006" i="1"/>
  <c r="H10005" i="1"/>
  <c r="H10004" i="1"/>
  <c r="H10003" i="1"/>
  <c r="H10002" i="1"/>
  <c r="H10001" i="1"/>
  <c r="H10000" i="1"/>
  <c r="H9999" i="1"/>
  <c r="H9998" i="1"/>
  <c r="H9997" i="1"/>
  <c r="H9996" i="1"/>
  <c r="H9995" i="1"/>
  <c r="H9994" i="1"/>
  <c r="H9993" i="1"/>
  <c r="H9992" i="1"/>
  <c r="H9991" i="1"/>
  <c r="H9990" i="1"/>
  <c r="H9989" i="1"/>
  <c r="H9988" i="1"/>
  <c r="H9987" i="1"/>
  <c r="H9986" i="1"/>
  <c r="H9985" i="1"/>
  <c r="H9984" i="1"/>
  <c r="H9983" i="1"/>
  <c r="H9982" i="1"/>
  <c r="H9981" i="1"/>
  <c r="H9980" i="1"/>
  <c r="H9979" i="1"/>
  <c r="H9978" i="1"/>
  <c r="H9977" i="1"/>
  <c r="H9976" i="1"/>
  <c r="H9975" i="1"/>
  <c r="H9974" i="1"/>
  <c r="H9973" i="1"/>
  <c r="H9972" i="1"/>
  <c r="H9971" i="1"/>
  <c r="H9970" i="1"/>
  <c r="H9969" i="1"/>
  <c r="H9968" i="1"/>
  <c r="H9967" i="1"/>
  <c r="H9966" i="1"/>
  <c r="H9965" i="1"/>
  <c r="H9964" i="1"/>
  <c r="H9963" i="1"/>
  <c r="H9962" i="1"/>
  <c r="H9961" i="1"/>
  <c r="H9960" i="1"/>
  <c r="H9959" i="1"/>
  <c r="H9958" i="1"/>
  <c r="H9957" i="1"/>
  <c r="H9956" i="1"/>
  <c r="H9955" i="1"/>
  <c r="H9954" i="1"/>
  <c r="H9953" i="1"/>
  <c r="H9952" i="1"/>
  <c r="H9951" i="1"/>
  <c r="H9950" i="1"/>
  <c r="H9949" i="1"/>
  <c r="H9948" i="1"/>
  <c r="H9947" i="1"/>
  <c r="H9946" i="1"/>
  <c r="H9945" i="1"/>
  <c r="H9944" i="1"/>
  <c r="H9943" i="1"/>
  <c r="H9942" i="1"/>
  <c r="H9941" i="1"/>
  <c r="H9940" i="1"/>
  <c r="H9939" i="1"/>
  <c r="H9938" i="1"/>
  <c r="H9937" i="1"/>
  <c r="H9936" i="1"/>
  <c r="H9935" i="1"/>
  <c r="H9934" i="1"/>
  <c r="H9933" i="1"/>
  <c r="H9932" i="1"/>
  <c r="H9931" i="1"/>
  <c r="H9930" i="1"/>
  <c r="H9929" i="1"/>
  <c r="H9928" i="1"/>
  <c r="H9927" i="1"/>
  <c r="H9926" i="1"/>
  <c r="H9925" i="1"/>
  <c r="H9924" i="1"/>
  <c r="H9923" i="1"/>
  <c r="H9922" i="1"/>
  <c r="H9921" i="1"/>
  <c r="H9920" i="1"/>
  <c r="H9919" i="1"/>
  <c r="H9918" i="1"/>
  <c r="H9917" i="1"/>
  <c r="H9916" i="1"/>
  <c r="H9915" i="1"/>
  <c r="H9914" i="1"/>
  <c r="H9913" i="1"/>
  <c r="H9912" i="1"/>
  <c r="H9911" i="1"/>
  <c r="H9910" i="1"/>
  <c r="H9909" i="1"/>
  <c r="H9908" i="1"/>
  <c r="H9907" i="1"/>
  <c r="H9906" i="1"/>
  <c r="H9905" i="1"/>
  <c r="H9904" i="1"/>
  <c r="H9903" i="1"/>
  <c r="H9902" i="1"/>
  <c r="H9901" i="1"/>
  <c r="H9900" i="1"/>
  <c r="H9899" i="1"/>
  <c r="H9898" i="1"/>
  <c r="H9897" i="1"/>
  <c r="H9896" i="1"/>
  <c r="H9895" i="1"/>
  <c r="H9894" i="1"/>
  <c r="H9893" i="1"/>
  <c r="H9892" i="1"/>
  <c r="H9891" i="1"/>
  <c r="H9890" i="1"/>
  <c r="H9889" i="1"/>
  <c r="H9888" i="1"/>
  <c r="H9887" i="1"/>
  <c r="H9886" i="1"/>
  <c r="H9885" i="1"/>
  <c r="H9884" i="1"/>
  <c r="H9883" i="1"/>
  <c r="H9882" i="1"/>
  <c r="H9881" i="1"/>
  <c r="H9880" i="1"/>
  <c r="H9879" i="1"/>
  <c r="H9878" i="1"/>
  <c r="H9877" i="1"/>
  <c r="H9876" i="1"/>
  <c r="H9875" i="1"/>
  <c r="H9874" i="1"/>
  <c r="H9873" i="1"/>
  <c r="H9872" i="1"/>
  <c r="H9871" i="1"/>
  <c r="H9870" i="1"/>
  <c r="H9869" i="1"/>
  <c r="H9868" i="1"/>
  <c r="H9867" i="1"/>
  <c r="H9866" i="1"/>
  <c r="H9865" i="1"/>
  <c r="H9864" i="1"/>
  <c r="H9863" i="1"/>
  <c r="H9862" i="1"/>
  <c r="H9861" i="1"/>
  <c r="H9860" i="1"/>
  <c r="H9859" i="1"/>
  <c r="H9858" i="1"/>
  <c r="H9857" i="1"/>
  <c r="H9856" i="1"/>
  <c r="H9855" i="1"/>
  <c r="H9854" i="1"/>
  <c r="H9853" i="1"/>
  <c r="H9852" i="1"/>
  <c r="H9851" i="1"/>
  <c r="H9850" i="1"/>
  <c r="H9849" i="1"/>
  <c r="H9848" i="1"/>
  <c r="H9847" i="1"/>
  <c r="H9846" i="1"/>
  <c r="H9845" i="1"/>
  <c r="H9844" i="1"/>
  <c r="H9843" i="1"/>
  <c r="H9842" i="1"/>
  <c r="H9841" i="1"/>
  <c r="H9840" i="1"/>
  <c r="H9839" i="1"/>
  <c r="H9838" i="1"/>
  <c r="H9837" i="1"/>
  <c r="H9836" i="1"/>
  <c r="H9835" i="1"/>
  <c r="H9834" i="1"/>
  <c r="H9833" i="1"/>
  <c r="H9832" i="1"/>
  <c r="H9831" i="1"/>
  <c r="H9830" i="1"/>
  <c r="H9829" i="1"/>
  <c r="H9828" i="1"/>
  <c r="H9827" i="1"/>
  <c r="H9826" i="1"/>
  <c r="H9825" i="1"/>
  <c r="H9824" i="1"/>
  <c r="H9823" i="1"/>
  <c r="H9822" i="1"/>
  <c r="H9821" i="1"/>
  <c r="H9820" i="1"/>
  <c r="H9819" i="1"/>
  <c r="H9818" i="1"/>
  <c r="H9817" i="1"/>
  <c r="H9816" i="1"/>
  <c r="H9815" i="1"/>
  <c r="H9814" i="1"/>
  <c r="H9813" i="1"/>
  <c r="H9812" i="1"/>
  <c r="H9811" i="1"/>
  <c r="H9810" i="1"/>
  <c r="H9809" i="1"/>
  <c r="H9808" i="1"/>
  <c r="H9807" i="1"/>
  <c r="H9806" i="1"/>
  <c r="H9805" i="1"/>
  <c r="H9804" i="1"/>
  <c r="H9803" i="1"/>
  <c r="H9802" i="1"/>
  <c r="H9801" i="1"/>
  <c r="H9800" i="1"/>
  <c r="H9799" i="1"/>
  <c r="H9798" i="1"/>
  <c r="H9797" i="1"/>
  <c r="H9796" i="1"/>
  <c r="H9795" i="1"/>
  <c r="H9794" i="1"/>
  <c r="H9793" i="1"/>
  <c r="H9792" i="1"/>
  <c r="H9791" i="1"/>
  <c r="H9790" i="1"/>
  <c r="H9789" i="1"/>
  <c r="H9788" i="1"/>
  <c r="H9787" i="1"/>
  <c r="H9786" i="1"/>
  <c r="H9785" i="1"/>
  <c r="H9784" i="1"/>
  <c r="H9783" i="1"/>
  <c r="H9782" i="1"/>
  <c r="H9781" i="1"/>
  <c r="H9780" i="1"/>
  <c r="H9779" i="1"/>
  <c r="H9778" i="1"/>
  <c r="H9777" i="1"/>
  <c r="H9776" i="1"/>
  <c r="H9775" i="1"/>
  <c r="H9774" i="1"/>
  <c r="H9773" i="1"/>
  <c r="H9772" i="1"/>
  <c r="H9771" i="1"/>
  <c r="H9770" i="1"/>
  <c r="H9769" i="1"/>
  <c r="H9768" i="1"/>
  <c r="H9767" i="1"/>
  <c r="H9766" i="1"/>
  <c r="H9765" i="1"/>
  <c r="H9764" i="1"/>
  <c r="H9763" i="1"/>
  <c r="H9762" i="1"/>
  <c r="H9761" i="1"/>
  <c r="H9760" i="1"/>
  <c r="H9759" i="1"/>
  <c r="H9758" i="1"/>
  <c r="H9757" i="1"/>
  <c r="H9756" i="1"/>
  <c r="H9755" i="1"/>
  <c r="H9754" i="1"/>
  <c r="H9753" i="1"/>
  <c r="H9752" i="1"/>
  <c r="H9751" i="1"/>
  <c r="H9750" i="1"/>
  <c r="H9749" i="1"/>
  <c r="H9748" i="1"/>
  <c r="H9747" i="1"/>
  <c r="H9746" i="1"/>
  <c r="H9745" i="1"/>
  <c r="H9744" i="1"/>
  <c r="H9743" i="1"/>
  <c r="H9742" i="1"/>
  <c r="H9741" i="1"/>
  <c r="H9740" i="1"/>
  <c r="H9739" i="1"/>
  <c r="H9738" i="1"/>
  <c r="H9737" i="1"/>
  <c r="H9736" i="1"/>
  <c r="H9735" i="1"/>
  <c r="H9734" i="1"/>
  <c r="H9733" i="1"/>
  <c r="H9732" i="1"/>
  <c r="H9731" i="1"/>
  <c r="H9730" i="1"/>
  <c r="H9729" i="1"/>
  <c r="H9728" i="1"/>
  <c r="H9727" i="1"/>
  <c r="H9726" i="1"/>
  <c r="H9725" i="1"/>
  <c r="H9724" i="1"/>
  <c r="H9723" i="1"/>
  <c r="H9722" i="1"/>
  <c r="H9721" i="1"/>
  <c r="H9720" i="1"/>
  <c r="H9719" i="1"/>
  <c r="H9718" i="1"/>
  <c r="H9717" i="1"/>
  <c r="H9716" i="1"/>
  <c r="H9715" i="1"/>
  <c r="H9714" i="1"/>
  <c r="H9713" i="1"/>
  <c r="H9712" i="1"/>
  <c r="H9711" i="1"/>
  <c r="H9710" i="1"/>
  <c r="H9709" i="1"/>
  <c r="H9708" i="1"/>
  <c r="H9707" i="1"/>
  <c r="H9706" i="1"/>
  <c r="H9705" i="1"/>
  <c r="H9704" i="1"/>
  <c r="H9703" i="1"/>
  <c r="H9702" i="1"/>
  <c r="H9701" i="1"/>
  <c r="H9700" i="1"/>
  <c r="H9699" i="1"/>
  <c r="H9698" i="1"/>
  <c r="H9697" i="1"/>
  <c r="H9696" i="1"/>
  <c r="H9695" i="1"/>
  <c r="H9694" i="1"/>
  <c r="H9693" i="1"/>
  <c r="H9692" i="1"/>
  <c r="H9691" i="1"/>
  <c r="H9690" i="1"/>
  <c r="H5818" i="1"/>
  <c r="H5817" i="1"/>
  <c r="H5816" i="1"/>
  <c r="H5815" i="1"/>
  <c r="H5814" i="1"/>
  <c r="H5813" i="1"/>
  <c r="H5812" i="1"/>
  <c r="H5811" i="1"/>
  <c r="H5810" i="1"/>
  <c r="H5809" i="1"/>
  <c r="H5808" i="1"/>
  <c r="H5807" i="1"/>
  <c r="H5806" i="1"/>
  <c r="H5805" i="1"/>
  <c r="H5804" i="1"/>
  <c r="H5803" i="1"/>
  <c r="H5802" i="1"/>
  <c r="H5801" i="1"/>
  <c r="H5800" i="1"/>
  <c r="H5799" i="1"/>
  <c r="H5798" i="1"/>
  <c r="H5797" i="1"/>
  <c r="H5796" i="1"/>
  <c r="H5795" i="1"/>
  <c r="H5794" i="1"/>
  <c r="H5793" i="1"/>
  <c r="H5792" i="1"/>
  <c r="H5791" i="1"/>
  <c r="H5790" i="1"/>
  <c r="H5789" i="1"/>
  <c r="H5788" i="1"/>
  <c r="H5787" i="1"/>
  <c r="H5786" i="1"/>
  <c r="H5785" i="1"/>
  <c r="H5784" i="1"/>
  <c r="H5783" i="1"/>
  <c r="H5782" i="1"/>
  <c r="H5781" i="1"/>
  <c r="H5780" i="1"/>
  <c r="H5779" i="1"/>
  <c r="H5778" i="1"/>
  <c r="H5777" i="1"/>
  <c r="H5776" i="1"/>
  <c r="H5775" i="1"/>
  <c r="H5774" i="1"/>
  <c r="H5773" i="1"/>
  <c r="H5772" i="1"/>
  <c r="H5771" i="1"/>
  <c r="H5770" i="1"/>
  <c r="H5769" i="1"/>
  <c r="H5768" i="1"/>
  <c r="H5767" i="1"/>
  <c r="H5766" i="1"/>
  <c r="H5765" i="1"/>
  <c r="H5764" i="1"/>
  <c r="H5763" i="1"/>
  <c r="H5762" i="1"/>
  <c r="H5761" i="1"/>
  <c r="H5760" i="1"/>
  <c r="H5759" i="1"/>
  <c r="H5758" i="1"/>
  <c r="H5757" i="1"/>
  <c r="H5756" i="1"/>
  <c r="H5755" i="1"/>
  <c r="H5754" i="1"/>
  <c r="H5753" i="1"/>
  <c r="H5752" i="1"/>
  <c r="H5751" i="1"/>
  <c r="H5750" i="1"/>
  <c r="H5749" i="1"/>
  <c r="H5748" i="1"/>
  <c r="H5747" i="1"/>
  <c r="H5746" i="1"/>
  <c r="H5745" i="1"/>
  <c r="H5744" i="1"/>
  <c r="H5743" i="1"/>
  <c r="H5742" i="1"/>
  <c r="H5741" i="1"/>
  <c r="H5740" i="1"/>
  <c r="H5739" i="1"/>
  <c r="H5738" i="1"/>
  <c r="H5737" i="1"/>
  <c r="H5736" i="1"/>
  <c r="H5735" i="1"/>
  <c r="H5734" i="1"/>
  <c r="H5733" i="1"/>
  <c r="H5732" i="1"/>
  <c r="H5731" i="1"/>
  <c r="H5730" i="1"/>
  <c r="H5729" i="1"/>
  <c r="H5728" i="1"/>
  <c r="H5727" i="1"/>
  <c r="H5726" i="1"/>
  <c r="H5725" i="1"/>
  <c r="H5724" i="1"/>
  <c r="H5723" i="1"/>
  <c r="H5722" i="1"/>
  <c r="H5721" i="1"/>
  <c r="H5720" i="1"/>
  <c r="H5719" i="1"/>
  <c r="H5718" i="1"/>
  <c r="H5717" i="1"/>
  <c r="H5716" i="1"/>
  <c r="H5715" i="1"/>
  <c r="H5714" i="1"/>
  <c r="H5713" i="1"/>
  <c r="H5712" i="1"/>
  <c r="H5711" i="1"/>
  <c r="H5710" i="1"/>
  <c r="H5709" i="1"/>
  <c r="H5708" i="1"/>
  <c r="H5707" i="1"/>
  <c r="H5706" i="1"/>
  <c r="H5705" i="1"/>
  <c r="H5704" i="1"/>
  <c r="H5703" i="1"/>
  <c r="H5702" i="1"/>
  <c r="H5701" i="1"/>
  <c r="H5700" i="1"/>
  <c r="H5699" i="1"/>
  <c r="H5698" i="1"/>
  <c r="H5697" i="1"/>
  <c r="H5696" i="1"/>
  <c r="H5695" i="1"/>
  <c r="H5694" i="1"/>
  <c r="H5693" i="1"/>
  <c r="H5692" i="1"/>
  <c r="H5691" i="1"/>
  <c r="H5690" i="1"/>
  <c r="H5689" i="1"/>
  <c r="H5688" i="1"/>
  <c r="H5687" i="1"/>
  <c r="H5686" i="1"/>
  <c r="H5685" i="1"/>
  <c r="H5684" i="1"/>
  <c r="H5683" i="1"/>
  <c r="H5682" i="1"/>
  <c r="H5681" i="1"/>
  <c r="H5680" i="1"/>
  <c r="H5679" i="1"/>
  <c r="H5678" i="1"/>
  <c r="H5677" i="1"/>
  <c r="H5676" i="1"/>
  <c r="H5675" i="1"/>
  <c r="H5674" i="1"/>
  <c r="H5673" i="1"/>
  <c r="H5672" i="1"/>
  <c r="H5671" i="1"/>
  <c r="H5670" i="1"/>
  <c r="H5669" i="1"/>
  <c r="H5668" i="1"/>
  <c r="H5667" i="1"/>
  <c r="H5666" i="1"/>
  <c r="H5665" i="1"/>
  <c r="H5664" i="1"/>
  <c r="H5663" i="1"/>
  <c r="H5662" i="1"/>
  <c r="H5661" i="1"/>
  <c r="H5660" i="1"/>
  <c r="H5659" i="1"/>
  <c r="H5658" i="1"/>
  <c r="H5657" i="1"/>
  <c r="H5656" i="1"/>
  <c r="H5655" i="1"/>
  <c r="H5654" i="1"/>
  <c r="H5653" i="1"/>
  <c r="H5652" i="1"/>
  <c r="H5651" i="1"/>
  <c r="H5650" i="1"/>
  <c r="H5649" i="1"/>
  <c r="H5648" i="1"/>
  <c r="H5647" i="1"/>
  <c r="H5646" i="1"/>
  <c r="H5645" i="1"/>
  <c r="H5644" i="1"/>
  <c r="H5643" i="1"/>
  <c r="H5642" i="1"/>
  <c r="H5641" i="1"/>
  <c r="H5640" i="1"/>
  <c r="H5639" i="1"/>
  <c r="H5638" i="1"/>
  <c r="H5637" i="1"/>
  <c r="H5636" i="1"/>
  <c r="H5635" i="1"/>
  <c r="H5634" i="1"/>
  <c r="H5633" i="1"/>
  <c r="H5632" i="1"/>
  <c r="H5631" i="1"/>
  <c r="H5630" i="1"/>
  <c r="H5629" i="1"/>
  <c r="H5628" i="1"/>
  <c r="H5627" i="1"/>
  <c r="H5626" i="1"/>
  <c r="H5625" i="1"/>
  <c r="H5624" i="1"/>
  <c r="H5623" i="1"/>
  <c r="H5622" i="1"/>
  <c r="H5621" i="1"/>
  <c r="H5620" i="1"/>
  <c r="H5619" i="1"/>
  <c r="H5618" i="1"/>
  <c r="H5617" i="1"/>
  <c r="H5616" i="1"/>
  <c r="H5615" i="1"/>
  <c r="H5614" i="1"/>
  <c r="H5613" i="1"/>
  <c r="H5612" i="1"/>
  <c r="H5611" i="1"/>
  <c r="H5610" i="1"/>
  <c r="H5609" i="1"/>
  <c r="H5608" i="1"/>
  <c r="H5607" i="1"/>
  <c r="H5606" i="1"/>
  <c r="H5605" i="1"/>
  <c r="H5604" i="1"/>
  <c r="H5603" i="1"/>
  <c r="H5602" i="1"/>
  <c r="H5601" i="1"/>
  <c r="H5600" i="1"/>
  <c r="H5599" i="1"/>
  <c r="H5598" i="1"/>
  <c r="H5597" i="1"/>
  <c r="H5596" i="1"/>
  <c r="H5595" i="1"/>
  <c r="H5594" i="1"/>
  <c r="H5593" i="1"/>
  <c r="H5592" i="1"/>
  <c r="H5591" i="1"/>
  <c r="H5590" i="1"/>
  <c r="H5589" i="1"/>
  <c r="H5588" i="1"/>
  <c r="H5587" i="1"/>
  <c r="H5586" i="1"/>
  <c r="H5585" i="1"/>
  <c r="H5584" i="1"/>
  <c r="H5583" i="1"/>
  <c r="H5582" i="1"/>
  <c r="H5581" i="1"/>
  <c r="H5580" i="1"/>
  <c r="H5579" i="1"/>
  <c r="H5578" i="1"/>
  <c r="H5577" i="1"/>
  <c r="H5576" i="1"/>
  <c r="H5575" i="1"/>
  <c r="H5574" i="1"/>
  <c r="H5573" i="1"/>
  <c r="H5572" i="1"/>
  <c r="H5571" i="1"/>
  <c r="H5570" i="1"/>
  <c r="H5569" i="1"/>
  <c r="H5568" i="1"/>
  <c r="H5567" i="1"/>
  <c r="H5566" i="1"/>
  <c r="H5565" i="1"/>
  <c r="H5564" i="1"/>
  <c r="H5563" i="1"/>
  <c r="H5562" i="1"/>
  <c r="H5561" i="1"/>
  <c r="H5560" i="1"/>
  <c r="H5559" i="1"/>
  <c r="H5558" i="1"/>
  <c r="H5557" i="1"/>
  <c r="H5556" i="1"/>
  <c r="H5555" i="1"/>
  <c r="H5554" i="1"/>
  <c r="H5553" i="1"/>
  <c r="H5552" i="1"/>
  <c r="H5551" i="1"/>
  <c r="H5550" i="1"/>
  <c r="H5549" i="1"/>
  <c r="H5548" i="1"/>
  <c r="H5547" i="1"/>
  <c r="H5546" i="1"/>
  <c r="H5545" i="1"/>
  <c r="H5544" i="1"/>
  <c r="H5543" i="1"/>
  <c r="H5542" i="1"/>
  <c r="H5541" i="1"/>
  <c r="H5540" i="1"/>
  <c r="H5539" i="1"/>
  <c r="H5538" i="1"/>
  <c r="H5537" i="1"/>
  <c r="H5536" i="1"/>
  <c r="H5535" i="1"/>
  <c r="H5534" i="1"/>
  <c r="H5533" i="1"/>
  <c r="H5532" i="1"/>
  <c r="H5531" i="1"/>
  <c r="H5530" i="1"/>
  <c r="H5529" i="1"/>
  <c r="H5528" i="1"/>
  <c r="H5527" i="1"/>
  <c r="H5526" i="1"/>
  <c r="H5525" i="1"/>
  <c r="H5524" i="1"/>
  <c r="H5523" i="1"/>
  <c r="H5522" i="1"/>
  <c r="H5521" i="1"/>
  <c r="H5520" i="1"/>
  <c r="H5519" i="1"/>
  <c r="H5518" i="1"/>
  <c r="H5517" i="1"/>
  <c r="H5516" i="1"/>
  <c r="H5515" i="1"/>
  <c r="H5514" i="1"/>
  <c r="H5513" i="1"/>
  <c r="H5512" i="1"/>
  <c r="H5511" i="1"/>
  <c r="H5510" i="1"/>
  <c r="H5509" i="1"/>
  <c r="H5508" i="1"/>
  <c r="H5507" i="1"/>
  <c r="H5506" i="1"/>
  <c r="H5505" i="1"/>
  <c r="H5504" i="1"/>
  <c r="H5503" i="1"/>
  <c r="H5502" i="1"/>
  <c r="H5501" i="1"/>
  <c r="H5500" i="1"/>
  <c r="H5499" i="1"/>
  <c r="H5498" i="1"/>
  <c r="H5497" i="1"/>
  <c r="H5496" i="1"/>
  <c r="H5495" i="1"/>
  <c r="H5494" i="1"/>
  <c r="H5493" i="1"/>
  <c r="H5492" i="1"/>
  <c r="H5491" i="1"/>
  <c r="H5490" i="1"/>
  <c r="H5489" i="1"/>
  <c r="H5488" i="1"/>
  <c r="H5487" i="1"/>
  <c r="H5486" i="1"/>
  <c r="H5485" i="1"/>
  <c r="H5484" i="1"/>
  <c r="H5483" i="1"/>
  <c r="H5482" i="1"/>
  <c r="H5481" i="1"/>
  <c r="H5480" i="1"/>
  <c r="H5479" i="1"/>
  <c r="H5478" i="1"/>
  <c r="H5477" i="1"/>
  <c r="H5476" i="1"/>
  <c r="H5475" i="1"/>
  <c r="H5474" i="1"/>
  <c r="H5473" i="1"/>
  <c r="H5472" i="1"/>
  <c r="H5471" i="1"/>
  <c r="H5470" i="1"/>
  <c r="H5469" i="1"/>
  <c r="H5468" i="1"/>
  <c r="H5467" i="1"/>
  <c r="H5466" i="1"/>
  <c r="H5465" i="1"/>
  <c r="H5464" i="1"/>
  <c r="H5463" i="1"/>
  <c r="H5462" i="1"/>
  <c r="H5461" i="1"/>
  <c r="H5460" i="1"/>
  <c r="H5459" i="1"/>
  <c r="H5458" i="1"/>
  <c r="H5457" i="1"/>
  <c r="H5456" i="1"/>
  <c r="H5455" i="1"/>
  <c r="H5454" i="1"/>
  <c r="H5453" i="1"/>
  <c r="H5452" i="1"/>
  <c r="H5451" i="1"/>
  <c r="H5450" i="1"/>
  <c r="H5449" i="1"/>
  <c r="H5448" i="1"/>
  <c r="H5447" i="1"/>
  <c r="H5446" i="1"/>
  <c r="H5445" i="1"/>
  <c r="H5444" i="1"/>
  <c r="H5443" i="1"/>
  <c r="H5442" i="1"/>
  <c r="H5441" i="1"/>
  <c r="H5440" i="1"/>
  <c r="H5439" i="1"/>
  <c r="H5438" i="1"/>
  <c r="H5437" i="1"/>
  <c r="H5436" i="1"/>
  <c r="H5435" i="1"/>
  <c r="H5434" i="1"/>
  <c r="H5433" i="1"/>
  <c r="H5432" i="1"/>
  <c r="H5431" i="1"/>
  <c r="H5430" i="1"/>
  <c r="H5429" i="1"/>
  <c r="H5428" i="1"/>
  <c r="H5427" i="1"/>
  <c r="H5426" i="1"/>
  <c r="H5425" i="1"/>
  <c r="H5424" i="1"/>
  <c r="H5423" i="1"/>
  <c r="H5422" i="1"/>
  <c r="H5421" i="1"/>
  <c r="H5420" i="1"/>
  <c r="H5419" i="1"/>
  <c r="H5418" i="1"/>
  <c r="H5417" i="1"/>
  <c r="H5416" i="1"/>
  <c r="H5415" i="1"/>
  <c r="H5414" i="1"/>
  <c r="H5413" i="1"/>
  <c r="H5412" i="1"/>
  <c r="H5411" i="1"/>
  <c r="H5410" i="1"/>
  <c r="H5409" i="1"/>
  <c r="H5408" i="1"/>
  <c r="H5407" i="1"/>
  <c r="H5406" i="1"/>
  <c r="H5405" i="1"/>
  <c r="H5404" i="1"/>
  <c r="H5403" i="1"/>
  <c r="H5402" i="1"/>
  <c r="H5401" i="1"/>
  <c r="H5400" i="1"/>
  <c r="H5399" i="1"/>
  <c r="H5398" i="1"/>
  <c r="H5397" i="1"/>
  <c r="H5396" i="1"/>
  <c r="H5395" i="1"/>
  <c r="H5394" i="1"/>
  <c r="H5393" i="1"/>
  <c r="H5392" i="1"/>
  <c r="H5391" i="1"/>
  <c r="H5390" i="1"/>
  <c r="H5389" i="1"/>
  <c r="H5388" i="1"/>
  <c r="H5387" i="1"/>
  <c r="H5386" i="1"/>
  <c r="H5385" i="1"/>
  <c r="H5384" i="1"/>
  <c r="H5383" i="1"/>
  <c r="H5382" i="1"/>
  <c r="H5381" i="1"/>
  <c r="H5380" i="1"/>
  <c r="H5379" i="1"/>
  <c r="H5378" i="1"/>
  <c r="H5377" i="1"/>
  <c r="H5376" i="1"/>
  <c r="H5375" i="1"/>
  <c r="H5374" i="1"/>
  <c r="H5373" i="1"/>
  <c r="H5372" i="1"/>
  <c r="H5371" i="1"/>
  <c r="H5370" i="1"/>
  <c r="H5369" i="1"/>
  <c r="H5368" i="1"/>
  <c r="H5367" i="1"/>
  <c r="H5366" i="1"/>
  <c r="H5365" i="1"/>
  <c r="H5364" i="1"/>
  <c r="H5363" i="1"/>
  <c r="H5362" i="1"/>
  <c r="H5361" i="1"/>
  <c r="H5360" i="1"/>
  <c r="H5359" i="1"/>
  <c r="H5358" i="1"/>
  <c r="H5357" i="1"/>
  <c r="H5356" i="1"/>
  <c r="H5355" i="1"/>
  <c r="H5354" i="1"/>
  <c r="H5353" i="1"/>
  <c r="H5352" i="1"/>
  <c r="H5351" i="1"/>
  <c r="H5350" i="1"/>
  <c r="H5349" i="1"/>
  <c r="H5348" i="1"/>
  <c r="H5347" i="1"/>
  <c r="H5346" i="1"/>
  <c r="H5345" i="1"/>
  <c r="H5344" i="1"/>
  <c r="H5343" i="1"/>
  <c r="H5342" i="1"/>
  <c r="H5341" i="1"/>
  <c r="H5340" i="1"/>
  <c r="H5339" i="1"/>
  <c r="H5338" i="1"/>
  <c r="H5337" i="1"/>
  <c r="H5336" i="1"/>
  <c r="H5335" i="1"/>
  <c r="H5334" i="1"/>
  <c r="H5333" i="1"/>
  <c r="H5332" i="1"/>
  <c r="H5331" i="1"/>
  <c r="H5330" i="1"/>
  <c r="H5329" i="1"/>
  <c r="H5328" i="1"/>
  <c r="H5327" i="1"/>
  <c r="H5326" i="1"/>
  <c r="H5325" i="1"/>
  <c r="H5324" i="1"/>
  <c r="H5323" i="1"/>
  <c r="H5322" i="1"/>
  <c r="H5321" i="1"/>
  <c r="H5320" i="1"/>
  <c r="H5319" i="1"/>
  <c r="H5318" i="1"/>
  <c r="H5317" i="1"/>
  <c r="H5316" i="1"/>
  <c r="H5315" i="1"/>
  <c r="H5314" i="1"/>
  <c r="H5313" i="1"/>
  <c r="H5312" i="1"/>
  <c r="H5311" i="1"/>
  <c r="H5310" i="1"/>
  <c r="H5309" i="1"/>
  <c r="H5308" i="1"/>
  <c r="H5307" i="1"/>
  <c r="H5306" i="1"/>
  <c r="H5305" i="1"/>
  <c r="H5304" i="1"/>
  <c r="H5303" i="1"/>
  <c r="H5302" i="1"/>
  <c r="H5301" i="1"/>
  <c r="H5300" i="1"/>
  <c r="H5299" i="1"/>
  <c r="H5298" i="1"/>
  <c r="H5297" i="1"/>
  <c r="H5296" i="1"/>
  <c r="H5295" i="1"/>
  <c r="H5294" i="1"/>
  <c r="H5293" i="1"/>
  <c r="H5292" i="1"/>
  <c r="H5291" i="1"/>
  <c r="H5290" i="1"/>
  <c r="H5289" i="1"/>
  <c r="H5288" i="1"/>
  <c r="H5287" i="1"/>
  <c r="H5286" i="1"/>
  <c r="H5285" i="1"/>
  <c r="H5284" i="1"/>
  <c r="H5283" i="1"/>
  <c r="H5282" i="1"/>
  <c r="H5281" i="1"/>
  <c r="H5280" i="1"/>
  <c r="H5279" i="1"/>
  <c r="H5278" i="1"/>
  <c r="H5277" i="1"/>
  <c r="H5276" i="1"/>
  <c r="H5275" i="1"/>
  <c r="H5274" i="1"/>
  <c r="H5273" i="1"/>
  <c r="H5272" i="1"/>
  <c r="H5271" i="1"/>
  <c r="H5270" i="1"/>
  <c r="H5269" i="1"/>
  <c r="H5268" i="1"/>
  <c r="H5267" i="1"/>
  <c r="H5266" i="1"/>
  <c r="H5265" i="1"/>
  <c r="H5264" i="1"/>
  <c r="H5263" i="1"/>
  <c r="H5262" i="1"/>
  <c r="H5261" i="1"/>
  <c r="H5260" i="1"/>
  <c r="H5259" i="1"/>
  <c r="H5258" i="1"/>
  <c r="H5257" i="1"/>
  <c r="H5256" i="1"/>
  <c r="H5255" i="1"/>
  <c r="H5254" i="1"/>
  <c r="H5253" i="1"/>
  <c r="H5252" i="1"/>
  <c r="H5251" i="1"/>
  <c r="H5250" i="1"/>
  <c r="H5249" i="1"/>
  <c r="H5248" i="1"/>
  <c r="H5247" i="1"/>
  <c r="H5246" i="1"/>
  <c r="H5245" i="1"/>
  <c r="H5244" i="1"/>
  <c r="H5243" i="1"/>
  <c r="H5242" i="1"/>
  <c r="H5241" i="1"/>
  <c r="H5240" i="1"/>
  <c r="H5239" i="1"/>
  <c r="H5238" i="1"/>
  <c r="H5237" i="1"/>
  <c r="H5236" i="1"/>
  <c r="H5235" i="1"/>
  <c r="H5234" i="1"/>
  <c r="H5233" i="1"/>
  <c r="H5232" i="1"/>
  <c r="H5231" i="1"/>
  <c r="H5230" i="1"/>
  <c r="H5229" i="1"/>
  <c r="H5228" i="1"/>
  <c r="H5227" i="1"/>
  <c r="H5226" i="1"/>
  <c r="H5225" i="1"/>
  <c r="H5224" i="1"/>
  <c r="H5223" i="1"/>
  <c r="H5222" i="1"/>
  <c r="H5221" i="1"/>
  <c r="H5220" i="1"/>
  <c r="H5219" i="1"/>
  <c r="H5218" i="1"/>
  <c r="H5217" i="1"/>
  <c r="H5216" i="1"/>
  <c r="H5215" i="1"/>
  <c r="H5214" i="1"/>
  <c r="H5213" i="1"/>
  <c r="H5212" i="1"/>
  <c r="H5211" i="1"/>
  <c r="H5210" i="1"/>
  <c r="H5209" i="1"/>
  <c r="H5208" i="1"/>
  <c r="H5207" i="1"/>
  <c r="H5206" i="1"/>
  <c r="H5205" i="1"/>
  <c r="H5204" i="1"/>
  <c r="H5203" i="1"/>
  <c r="H5202" i="1"/>
  <c r="H5201" i="1"/>
  <c r="H5200" i="1"/>
  <c r="H5199" i="1"/>
  <c r="H5198" i="1"/>
  <c r="H5197" i="1"/>
  <c r="H5196" i="1"/>
  <c r="H5195" i="1"/>
  <c r="H5194" i="1"/>
  <c r="H5193" i="1"/>
  <c r="H5192" i="1"/>
  <c r="H5191" i="1"/>
  <c r="H5190" i="1"/>
  <c r="H5189" i="1"/>
  <c r="H5188" i="1"/>
  <c r="H5187" i="1"/>
  <c r="H5186" i="1"/>
  <c r="H5185" i="1"/>
  <c r="H5184" i="1"/>
  <c r="H5183" i="1"/>
  <c r="H5182" i="1"/>
  <c r="H5181" i="1"/>
  <c r="H5180" i="1"/>
  <c r="H5179" i="1"/>
  <c r="H5178" i="1"/>
  <c r="H5177" i="1"/>
  <c r="H5176" i="1"/>
  <c r="H5175" i="1"/>
  <c r="H5174" i="1"/>
  <c r="H5173" i="1"/>
  <c r="H5172" i="1"/>
  <c r="H5171" i="1"/>
  <c r="H5170" i="1"/>
  <c r="H5169" i="1"/>
  <c r="H5168" i="1"/>
  <c r="H5167" i="1"/>
  <c r="H5166" i="1"/>
  <c r="H5165" i="1"/>
  <c r="H5164" i="1"/>
  <c r="H5163" i="1"/>
  <c r="H5162" i="1"/>
  <c r="H5161" i="1"/>
  <c r="H5160" i="1"/>
  <c r="H5159" i="1"/>
  <c r="H5158" i="1"/>
  <c r="H5157" i="1"/>
  <c r="H5156" i="1"/>
  <c r="H5155" i="1"/>
  <c r="H5154" i="1"/>
  <c r="H5153" i="1"/>
  <c r="H5152" i="1"/>
  <c r="H5151" i="1"/>
  <c r="H5150" i="1"/>
  <c r="H5149" i="1"/>
  <c r="H5148" i="1"/>
  <c r="H5147" i="1"/>
  <c r="H5146" i="1"/>
  <c r="H5145" i="1"/>
  <c r="H5144" i="1"/>
  <c r="H5143" i="1"/>
  <c r="H5142" i="1"/>
  <c r="H5141" i="1"/>
  <c r="H5140" i="1"/>
  <c r="H5139" i="1"/>
  <c r="H5138" i="1"/>
  <c r="H5137" i="1"/>
  <c r="H5136" i="1"/>
  <c r="H5135" i="1"/>
  <c r="H5134" i="1"/>
  <c r="H5133" i="1"/>
  <c r="H5132" i="1"/>
  <c r="H5131" i="1"/>
  <c r="H5130" i="1"/>
  <c r="H5129" i="1"/>
  <c r="H5128" i="1"/>
  <c r="H5127" i="1"/>
  <c r="H5126" i="1"/>
  <c r="H5125" i="1"/>
  <c r="H5124" i="1"/>
  <c r="H5123" i="1"/>
  <c r="H5122" i="1"/>
  <c r="H5121" i="1"/>
  <c r="H5120" i="1"/>
  <c r="H5119" i="1"/>
  <c r="H5118" i="1"/>
  <c r="H5117" i="1"/>
  <c r="H5116" i="1"/>
  <c r="H5115" i="1"/>
  <c r="H5114" i="1"/>
  <c r="H5113" i="1"/>
  <c r="H5112" i="1"/>
  <c r="H5111" i="1"/>
  <c r="H5110" i="1"/>
  <c r="H5109" i="1"/>
  <c r="H5108" i="1"/>
  <c r="H5107" i="1"/>
  <c r="H5106" i="1"/>
  <c r="H5105" i="1"/>
  <c r="H5104" i="1"/>
  <c r="H5103" i="1"/>
  <c r="H5102" i="1"/>
  <c r="H5101" i="1"/>
  <c r="H5100" i="1"/>
  <c r="H5099" i="1"/>
  <c r="H5098" i="1"/>
  <c r="H5097" i="1"/>
  <c r="H5096" i="1"/>
  <c r="H5095" i="1"/>
  <c r="H5094" i="1"/>
  <c r="H5093" i="1"/>
  <c r="H5092" i="1"/>
  <c r="H5091" i="1"/>
  <c r="H5090" i="1"/>
  <c r="H5089" i="1"/>
  <c r="H5088" i="1"/>
  <c r="H5087" i="1"/>
  <c r="H5086" i="1"/>
  <c r="H5085" i="1"/>
  <c r="H5084" i="1"/>
  <c r="H5083" i="1"/>
  <c r="H5082" i="1"/>
  <c r="H5081" i="1"/>
  <c r="H5080" i="1"/>
  <c r="H5079" i="1"/>
  <c r="H5078" i="1"/>
  <c r="H5077" i="1"/>
  <c r="H5076" i="1"/>
  <c r="H5075" i="1"/>
  <c r="H5074" i="1"/>
  <c r="H5073" i="1"/>
  <c r="H5072" i="1"/>
  <c r="H5071" i="1"/>
  <c r="H5070" i="1"/>
  <c r="H5069" i="1"/>
  <c r="H5068" i="1"/>
  <c r="H5067" i="1"/>
  <c r="H5066" i="1"/>
  <c r="H5065" i="1"/>
  <c r="H5064" i="1"/>
  <c r="H5063" i="1"/>
  <c r="H5062" i="1"/>
  <c r="H5061" i="1"/>
  <c r="H5060" i="1"/>
  <c r="H5059" i="1"/>
  <c r="H5058" i="1"/>
  <c r="H5057" i="1"/>
  <c r="H5056" i="1"/>
  <c r="H5055" i="1"/>
  <c r="H5054" i="1"/>
  <c r="H5053" i="1"/>
  <c r="H5052" i="1"/>
  <c r="H5051" i="1"/>
  <c r="H5050" i="1"/>
  <c r="H5049" i="1"/>
  <c r="H5048" i="1"/>
  <c r="H5047" i="1"/>
  <c r="H5046" i="1"/>
  <c r="H5045" i="1"/>
  <c r="H5044" i="1"/>
  <c r="H5043" i="1"/>
  <c r="H5042" i="1"/>
  <c r="H5041" i="1"/>
  <c r="H5040" i="1"/>
  <c r="H5039" i="1"/>
  <c r="H5038" i="1"/>
  <c r="H5037" i="1"/>
  <c r="H5036" i="1"/>
  <c r="H5035" i="1"/>
  <c r="H5034" i="1"/>
  <c r="H5033" i="1"/>
  <c r="H5032" i="1"/>
  <c r="H5031" i="1"/>
  <c r="H5030" i="1"/>
  <c r="H5029" i="1"/>
  <c r="H5028" i="1"/>
  <c r="H5027" i="1"/>
  <c r="H5026" i="1"/>
  <c r="H5025" i="1"/>
  <c r="H5024" i="1"/>
  <c r="H5023" i="1"/>
  <c r="H5022" i="1"/>
  <c r="H5021" i="1"/>
  <c r="H5020" i="1"/>
  <c r="H5019" i="1"/>
  <c r="H5018" i="1"/>
  <c r="H5017" i="1"/>
  <c r="H5016" i="1"/>
  <c r="H5015" i="1"/>
  <c r="H5014" i="1"/>
  <c r="H5013" i="1"/>
  <c r="H5012" i="1"/>
  <c r="H5011" i="1"/>
  <c r="H5010" i="1"/>
  <c r="H5009" i="1"/>
  <c r="H5008" i="1"/>
  <c r="H5007" i="1"/>
  <c r="H5006" i="1"/>
  <c r="H5005" i="1"/>
  <c r="H5004" i="1"/>
  <c r="H5003" i="1"/>
  <c r="H5002" i="1"/>
  <c r="H5001" i="1"/>
  <c r="H5000" i="1"/>
  <c r="H4999" i="1"/>
  <c r="H4998" i="1"/>
  <c r="H4997" i="1"/>
  <c r="H4996" i="1"/>
  <c r="H4995" i="1"/>
  <c r="H4994" i="1"/>
  <c r="H4993" i="1"/>
  <c r="H4992" i="1"/>
  <c r="H4991" i="1"/>
  <c r="H4990" i="1"/>
  <c r="H4989" i="1"/>
  <c r="H4988" i="1"/>
  <c r="H4985" i="1" l="1"/>
  <c r="H9687" i="1"/>
  <c r="H9688" i="1"/>
  <c r="H4744" i="1"/>
  <c r="H4743" i="1"/>
  <c r="H4741" i="1"/>
  <c r="H4740" i="1"/>
  <c r="H4739" i="1"/>
  <c r="H4738" i="1"/>
  <c r="H4737" i="1"/>
  <c r="H4487" i="1"/>
  <c r="H4486" i="1"/>
  <c r="H4485" i="1"/>
  <c r="H4375" i="1"/>
  <c r="H4374" i="1"/>
  <c r="H4373" i="1"/>
  <c r="H4372" i="1"/>
  <c r="H4371" i="1"/>
  <c r="H4370" i="1"/>
  <c r="H4369" i="1"/>
  <c r="H4368" i="1"/>
  <c r="H4367" i="1"/>
  <c r="H4366" i="1"/>
  <c r="H4108" i="1"/>
  <c r="H4107" i="1"/>
  <c r="H4106" i="1"/>
  <c r="H4105" i="1"/>
  <c r="H4104" i="1"/>
  <c r="H4732" i="1" l="1"/>
  <c r="H4482" i="1"/>
  <c r="H4363" i="1"/>
  <c r="H4101" i="1"/>
  <c r="H4483" i="1"/>
  <c r="H4102" i="1"/>
  <c r="H4364" i="1"/>
  <c r="H4733" i="1"/>
  <c r="H3643" i="1" l="1"/>
  <c r="H3644" i="1"/>
  <c r="G3644" i="1"/>
  <c r="G3643" i="1"/>
  <c r="F3644" i="1"/>
  <c r="H2488" i="1" l="1"/>
  <c r="H2487" i="1"/>
  <c r="H2486" i="1"/>
  <c r="H2485" i="1"/>
  <c r="H2484" i="1"/>
  <c r="H2483" i="1"/>
  <c r="H2482" i="1"/>
  <c r="H2481" i="1"/>
  <c r="H2480" i="1"/>
  <c r="H2479" i="1"/>
  <c r="H2478" i="1"/>
  <c r="H2477" i="1"/>
  <c r="H2169" i="1"/>
  <c r="H2168" i="1"/>
  <c r="H2167" i="1"/>
  <c r="H2166" i="1"/>
  <c r="H2165" i="1"/>
  <c r="H2164" i="1"/>
  <c r="H2163" i="1"/>
  <c r="H2162" i="1"/>
  <c r="H2161" i="1"/>
  <c r="H2160" i="1"/>
  <c r="H2159" i="1"/>
  <c r="H2158" i="1"/>
  <c r="H2157" i="1"/>
  <c r="H2156" i="1"/>
  <c r="H2155" i="1"/>
  <c r="H2154" i="1"/>
  <c r="H2153" i="1"/>
  <c r="H2152" i="1"/>
  <c r="H2151" i="1"/>
  <c r="H2150" i="1"/>
  <c r="H2149" i="1"/>
  <c r="H2148" i="1"/>
  <c r="H2147" i="1"/>
  <c r="H2146" i="1"/>
  <c r="H2145" i="1"/>
  <c r="H2144" i="1"/>
  <c r="H2143" i="1"/>
  <c r="H2142" i="1"/>
  <c r="H2141" i="1"/>
  <c r="H2140" i="1"/>
  <c r="H2139" i="1"/>
  <c r="H2138" i="1"/>
  <c r="H2137" i="1"/>
  <c r="H2136" i="1"/>
  <c r="H2135" i="1"/>
  <c r="H2132" i="1" s="1"/>
  <c r="H1811" i="1"/>
  <c r="H1810" i="1"/>
  <c r="H1809" i="1"/>
  <c r="H1808" i="1"/>
  <c r="H1807" i="1"/>
  <c r="H1806" i="1"/>
  <c r="H1805" i="1"/>
  <c r="H1804" i="1"/>
  <c r="H1803" i="1"/>
  <c r="H1802" i="1"/>
  <c r="H1801" i="1"/>
  <c r="H1800" i="1"/>
  <c r="H1799" i="1"/>
  <c r="H1798" i="1"/>
  <c r="H1797" i="1"/>
  <c r="H1796" i="1"/>
  <c r="H1795" i="1"/>
  <c r="H1794" i="1"/>
  <c r="H1793" i="1"/>
  <c r="H1792" i="1"/>
  <c r="H1791" i="1"/>
  <c r="H1790" i="1"/>
  <c r="H1789" i="1"/>
  <c r="H1788" i="1"/>
  <c r="H1787" i="1"/>
  <c r="H1786" i="1"/>
  <c r="H1785" i="1"/>
  <c r="H1784" i="1"/>
  <c r="H1783" i="1"/>
  <c r="H1782" i="1"/>
  <c r="H1781" i="1"/>
  <c r="H1780" i="1"/>
  <c r="H1779" i="1"/>
  <c r="H1778" i="1"/>
  <c r="H1777" i="1"/>
  <c r="H1776" i="1"/>
  <c r="H1775" i="1"/>
  <c r="H1774" i="1"/>
  <c r="H1773" i="1"/>
  <c r="H1772" i="1"/>
  <c r="H1771" i="1"/>
  <c r="H1770" i="1"/>
  <c r="H1769" i="1"/>
  <c r="H121" i="1"/>
  <c r="H120" i="1"/>
  <c r="H119" i="1"/>
  <c r="H118" i="1"/>
  <c r="H117" i="1"/>
  <c r="H116" i="1"/>
  <c r="H115" i="1"/>
  <c r="H114" i="1"/>
  <c r="H113" i="1"/>
  <c r="H112" i="1"/>
  <c r="H111" i="1"/>
  <c r="H110" i="1"/>
  <c r="H109" i="1"/>
  <c r="H108" i="1"/>
  <c r="H107" i="1"/>
  <c r="H106" i="1"/>
  <c r="H105" i="1"/>
  <c r="H104" i="1"/>
  <c r="H103" i="1"/>
  <c r="H102" i="1"/>
  <c r="H101" i="1"/>
  <c r="H100" i="1"/>
  <c r="H99" i="1"/>
  <c r="H98" i="1"/>
  <c r="H97" i="1"/>
  <c r="H96" i="1"/>
  <c r="H95" i="1"/>
  <c r="H94" i="1"/>
  <c r="H93" i="1"/>
  <c r="H92" i="1"/>
  <c r="H91" i="1"/>
  <c r="H90" i="1"/>
  <c r="H89" i="1"/>
  <c r="H88" i="1"/>
  <c r="H87" i="1"/>
  <c r="H86" i="1"/>
  <c r="H85" i="1"/>
  <c r="H84" i="1"/>
  <c r="H83" i="1"/>
  <c r="H82" i="1"/>
  <c r="H81" i="1"/>
  <c r="H80" i="1"/>
  <c r="H79" i="1"/>
  <c r="H78" i="1"/>
  <c r="H77" i="1"/>
  <c r="H76"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8" i="1"/>
  <c r="H1766" i="1" l="1"/>
  <c r="H2474" i="1"/>
  <c r="H16" i="1"/>
  <c r="H3645" i="1" l="1"/>
  <c r="G3645" i="1"/>
  <c r="F3645" i="1"/>
  <c r="H2587" i="1"/>
  <c r="H2575" i="1"/>
</calcChain>
</file>

<file path=xl/sharedStrings.xml><?xml version="1.0" encoding="utf-8"?>
<sst xmlns="http://schemas.openxmlformats.org/spreadsheetml/2006/main" count="51299" uniqueCount="13720">
  <si>
    <t>0,4 кВ и ниже</t>
  </si>
  <si>
    <t>3.1.2.1.4.2</t>
  </si>
  <si>
    <t>3.1.2.1.2.1</t>
  </si>
  <si>
    <t>Год ввода объекта</t>
  </si>
  <si>
    <t>Уровень напряжения, кВ</t>
  </si>
  <si>
    <t>Присоединенная максимальная мощность, кВт</t>
  </si>
  <si>
    <t>Объект электросетевого хозяйства/
Средство коммерческого учета электрической энергии (мощности)</t>
  </si>
  <si>
    <t>Протяженность (для линий электропередачи), метров/Количество пунктов секционирования, штук/ Количество точек учета, штук</t>
  </si>
  <si>
    <t>Расходы на строительство объекта/на обеспечение средствами коммерческого учета электрической энергии (мощности), тыс. руб.</t>
  </si>
  <si>
    <t>к Методическим указаниям по определению размера платы</t>
  </si>
  <si>
    <t xml:space="preserve"> за технологическое присоединение к электрическим сетям,</t>
  </si>
  <si>
    <t>утв. приказом Федеральной антимонопольной службы</t>
  </si>
  <si>
    <t xml:space="preserve">0,4 кВ </t>
  </si>
  <si>
    <t xml:space="preserve"> 1-20 кВ</t>
  </si>
  <si>
    <t>Приложение № 1</t>
  </si>
  <si>
    <t>2.3.1.3.1.1.</t>
  </si>
  <si>
    <t>2.3.1.3.2.1.</t>
  </si>
  <si>
    <t>2.3.1.3.3.1.</t>
  </si>
  <si>
    <t>2.3.1.4.1.1.</t>
  </si>
  <si>
    <t>2.3.1.4.2.1.</t>
  </si>
  <si>
    <t>2.3.1.4.3.1.</t>
  </si>
  <si>
    <t>2.3.2.3.1.1.</t>
  </si>
  <si>
    <t>2.3.2.3.2.1.</t>
  </si>
  <si>
    <t>3.1.1.1.2.1</t>
  </si>
  <si>
    <t>1-10 кВ</t>
  </si>
  <si>
    <t>3.1.1.1.3.1</t>
  </si>
  <si>
    <t>3.1.1.1.5.2</t>
  </si>
  <si>
    <t>3.1.2.1.1.1</t>
  </si>
  <si>
    <t>3.1.2.2.3.1</t>
  </si>
  <si>
    <t>1-20 кВ</t>
  </si>
  <si>
    <t>4.1.4.</t>
  </si>
  <si>
    <t>6/0,4</t>
  </si>
  <si>
    <t>5.1.1.1</t>
  </si>
  <si>
    <t>10/0,4</t>
  </si>
  <si>
    <t>5.1.1.2</t>
  </si>
  <si>
    <t>5.1.2.1</t>
  </si>
  <si>
    <t>5.1.2.2</t>
  </si>
  <si>
    <t>5.1.3.1</t>
  </si>
  <si>
    <t>5.1.3.2</t>
  </si>
  <si>
    <t>5.1.3.3</t>
  </si>
  <si>
    <t>5.1.4.1</t>
  </si>
  <si>
    <t>5.1.4.2</t>
  </si>
  <si>
    <t>5.1.5.2</t>
  </si>
  <si>
    <t>8.1.1.</t>
  </si>
  <si>
    <t>8.2.1.</t>
  </si>
  <si>
    <t>1 - 20 кВ</t>
  </si>
  <si>
    <t>8.2.3.</t>
  </si>
  <si>
    <t>110 кВ</t>
  </si>
  <si>
    <t>2.3.2.3.3.1</t>
  </si>
  <si>
    <t>2.3.2.4.1.1.</t>
  </si>
  <si>
    <t>3.1.1.1.1.1</t>
  </si>
  <si>
    <t>8.2.2.</t>
  </si>
  <si>
    <r>
      <t>Обеспечение средствами коммерческого учета электрической энергии (мощности) (C</t>
    </r>
    <r>
      <rPr>
        <b/>
        <vertAlign val="subscript"/>
        <sz val="14"/>
        <color indexed="8"/>
        <rFont val="Times New Roman"/>
        <family val="1"/>
        <charset val="204"/>
      </rPr>
      <t>8,i</t>
    </r>
    <r>
      <rPr>
        <b/>
        <sz val="14"/>
        <color indexed="8"/>
        <rFont val="Times New Roman"/>
        <family val="1"/>
        <charset val="204"/>
      </rPr>
      <t>)</t>
    </r>
  </si>
  <si>
    <r>
      <t>Строительство  воздушных  линий  (C</t>
    </r>
    <r>
      <rPr>
        <b/>
        <vertAlign val="subscript"/>
        <sz val="14"/>
        <color indexed="8"/>
        <rFont val="Times New Roman"/>
        <family val="1"/>
        <charset val="204"/>
      </rPr>
      <t>2,i</t>
    </r>
    <r>
      <rPr>
        <b/>
        <sz val="14"/>
        <color indexed="8"/>
        <rFont val="Times New Roman"/>
        <family val="1"/>
        <charset val="204"/>
      </rPr>
      <t>)</t>
    </r>
  </si>
  <si>
    <r>
      <t>Строительство  кабельных  линий  (C</t>
    </r>
    <r>
      <rPr>
        <b/>
        <vertAlign val="subscript"/>
        <sz val="14"/>
        <color indexed="8"/>
        <rFont val="Times New Roman"/>
        <family val="1"/>
        <charset val="204"/>
      </rPr>
      <t>3,i</t>
    </r>
    <r>
      <rPr>
        <b/>
        <sz val="14"/>
        <color indexed="8"/>
        <rFont val="Times New Roman"/>
        <family val="1"/>
        <charset val="204"/>
      </rPr>
      <t>)</t>
    </r>
  </si>
  <si>
    <r>
      <t>Строительство пунктов секционирования  (C</t>
    </r>
    <r>
      <rPr>
        <b/>
        <vertAlign val="subscript"/>
        <sz val="14"/>
        <color indexed="8"/>
        <rFont val="Times New Roman"/>
        <family val="1"/>
        <charset val="204"/>
      </rPr>
      <t>4,i</t>
    </r>
    <r>
      <rPr>
        <b/>
        <sz val="14"/>
        <color indexed="8"/>
        <rFont val="Times New Roman"/>
        <family val="1"/>
        <charset val="204"/>
      </rPr>
      <t>)</t>
    </r>
  </si>
  <si>
    <r>
      <t>Строительство трансформаторных подстанций (ТП), за исключением распределительных трансформаторных подстанций (РТП), с уровнем напряжения до 35 кВ (C</t>
    </r>
    <r>
      <rPr>
        <b/>
        <vertAlign val="subscript"/>
        <sz val="14"/>
        <color indexed="8"/>
        <rFont val="Times New Roman"/>
        <family val="1"/>
        <charset val="204"/>
      </rPr>
      <t>5,i</t>
    </r>
    <r>
      <rPr>
        <b/>
        <sz val="14"/>
        <color indexed="8"/>
        <rFont val="Times New Roman"/>
        <family val="1"/>
        <charset val="204"/>
      </rPr>
      <t>)</t>
    </r>
  </si>
  <si>
    <t>пообъектная расшифровка *</t>
  </si>
  <si>
    <t xml:space="preserve">* -  пообъектная расшифровка доступна в формате Excel при нажатии " + " </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</si>
  <si>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гостевого дома Апонович К.С., расположенного по адресу: Ростовская область, Чертковский район, с. Алексеево- Лозовское, к.н. 61:42:00101016:4464</t>
  </si>
  <si>
    <t>Обеспечение коммерческим учетом электрической энергии (мощности) в точке поставки по присоединению нежилого помещения Главы КФХ Мажиева Х.М., расположенного по адресу: Ростовская область, Дубовский район, х. Мирный, ул. Магистральная, д. 31, к.н. 61:09:0100101:633</t>
  </si>
  <si>
    <t>Строительство ВЛ-10 кВ от существующей оп.7 за Р-7 ВЛ-10 кВ «Кутейниково» от   ПС Н-9, с установкой ТП-10/0,4 кВ и ВЛИ-0,4 кВ от вновь установленной ТП-10/0,4 кВ для присоединения ангара ИП Богомазова Е.В. (ориентировочная протяженность ЛЭП 0,085 км, ориентировочная мощность трансформатора 25 кВА)</t>
  </si>
  <si>
    <t>Строительство участка ВЛ-6 кВ от существующей оп. №71 ВЛ-6 кВ «АБЗ» от ПС Ш-15, с установкой ТП-6/0,4 кВ, и строительство ВЛИ-0,4 кВ от вновь установленной ТП-6/0,4 кВ для присоединения автостоянки ИП Афанасьева М.М. (ориентировочная протяженность ЛЭП 0,025 км, ориентировочная мощность трансформатора 25 кВА)</t>
  </si>
  <si>
    <t>Строительство участка ВЛ-6 кВ от существующей оп. №66 ВЛ-6 кВ «АБЗ» от ПС Ш-15, с установкой ТП-6/0,4 кВ, и строительство ВЛИ-0,4 кВ от вновь установленной ТП-6/0,4 кВ для присоединения базовой станции сотовой связи №61-02531 ПАО «Мобильные ТелеСистемы». (ориентировочная протяженность ЛЭП 0,04 км, ориентировочная мощность трансформатора 25 кВА)</t>
  </si>
  <si>
    <t>Строительство участка ВЛ-6 кВ от существующей оп. №104 отпайки на КТП-6/0,4кВ №222 ВЛ-6 кВ «Пушкино» от ПС 110/6 кВ С-2, с установкой ТП-6/0,4 кВ, и строительство ВЛИ-0,4 кВ от вновь установленной ТП-6/0,4 кВ для присоединения нежилого помещения ИП Сахно В.И. (ориентировочная протяженность ЛЭП 0,75 км, ориентировочная мощность трансформатора 25 кВА)</t>
  </si>
  <si>
    <t>Строительство участка ВЛ-6 кВ от существующей оп. №1 ВЛ-6 кВ «Комплекс» от ПС Ш-11, с установкой ТП-6/0,4 кВ, и строительство ВЛИ-0,4 кВ от вновь установленной ТП-6/0,4 кВ для присоединения крановой площадки ГБУ РО «Ростоблгазификация», Красносулинский район, на территории Пролетарского с/п (ориентировочная протяженность ЛЭП 2,75 км, ориентировочная мощность трансформатора 25 кВА)</t>
  </si>
  <si>
    <t>Строительство участка ВЛ-10 кВ от существующей оп. №33 отпайки на КТП№672 ГРС Шахты-2 ВЛ-10 кВ «Родина» от   ПС Ш-42, с установкой ТП-10/0,4 кВ, и строительство ВЛИ-0,4 кВ от вновь установленной ТП-10/0,4 кВ  для присоединения офиса ИП Романченко (ориентировочная протяженность ЛЭП 0,73 км, ориентировочная мощность трансформатора 25 кВА)</t>
  </si>
  <si>
    <t>Строительство ТП-10/0,4, ВЛ-10 кВ от существующей оп. №1 отпайки к КТП 599 по ВЛ 10 кВ Сельхозтехника ПС Ш-39, и ВЛИ-0,4 кВ от вновь установленной ТП-10/0,4 кВ для присоединения объекта придорожного сервиса ИП Серхель Д.М., Октябрьский район, п. Персиановский, ул. Школьная, 43. (ориентировочная протяженность ЛЭП 0,015 км, ориентировочная мощность трансформатора 25 кВА)</t>
  </si>
  <si>
    <t>Строительство ВЛИ 0,4 кВ от ВЛ 0,4кВ КТП 85 ВЛ 10кВ «Мостовой» ПС 35/10кВ Ш18 для электроснабжения   жилого дома в ст.Верхнекундрюченской Усть-Донецкого района Ростовской области (Шабанов С.А.) (ориентировочная протяженность ЛЭП – 0,2 км)</t>
  </si>
  <si>
    <t>Строительство ВЛИ-0,4 кВ от оп. №10 ВЛИ-0,4 кВ №1 КТП №626 ВЛ-6 кВ Прогресс от ПС 35 кВ Ш-41 для электроснабжения жилого дома Киселевой С.В., Октябрьский район, Ростовская область, ст. Бессергеневская, ул. Казачья, д.30. (ориентировочная протяженность ЛЭП – 0,06 км)</t>
  </si>
  <si>
    <t>Строительство ВЛИ-0,4 кВ от вновь сооружаемой ТП 10/0,4кВ по договору ТП № 61-1-20-00502493 от 19.03.2020г. по ВЛ-10В «Жилмасив» ПС Ш-34 с коммерческим учетом электрической энергии (мощности) в точке поставки для электроснабжения рыбной фермы ИП Ажогин А.А., в ст. Мелиховская, Усть-Донецкого р-на, (ориентировочная протяженность ЛЭП 0,07 км)</t>
  </si>
  <si>
    <t>Строительство ВЛИ-0,4 кВ от строящейся ВЛ-0,4 кВ, строящейся ТП-10/0,4кВ строящейся ВЛ-10 кВ от опоры № 112 ВЛ-10 кВ «Огиб» ПС Ш-26 по договору ТП № № 61-1-19-00442519 от 05.06.2019 для присоединения Азово-Черноморское территориальное управление Федерального агенства по рыболовству в ст. Усть-Быстрянской, Усть-Донецкого района (ориентировочная протяженность ЛЭП 0,08 км)</t>
  </si>
  <si>
    <t xml:space="preserve"> Строительство ВЛИ-0,4 кВ от оп. №25 ВЛ-0,4 кВ №1 КТП №179 ВЛ-6 кВ СТФ от ПС 35 кВ Ш-20 для электроснабжения жилого дома Емельяновой Т.Ю. Ростовская область, Октябрьский район, п. Атюхта, ул. Вербная, д.7а. (ориентировочная протяженность ЛЭП – 0,07 км)</t>
  </si>
  <si>
    <t xml:space="preserve"> Строительство ВЛ 0,4 кВ от существующей оп. №6 ВЛИ 0,4 кВ №1 от КТП №375 по ВЛ 6- кВ Пролетарка от ПС С-2 для присоединения нежилого здания. Ростовская область, Красносулинский район, х. Малая Гнилуша, ул. Центральная, д. 1а (Администрация Пролетарского СП) (ориентировочная протяженность ЛЭП-0,095 км)</t>
  </si>
  <si>
    <t>Строительство ВЛИ-0, 4 кВ от оп. №3 ВЛ-0,4 кВ №1 от ЗТП №131 по ВЛ-6кВ «Южно-Горьковская» от ПС Н-6 для электроснабжения базовой станции БС№61-01939 (ПАО «МТС») (ориентировочная протяженность ЛЭП – 0,09 км)</t>
  </si>
  <si>
    <t>Строительство ВЛИ-0, 4 кВ от оп. №1 ВЛ-0,4 кВ №1 от КТП №66 по ВЛ-6кВ «Совхоз-10» от ПС Ш-12 для электроснабжения базовой станции БС№61-02533 (ПАО «МТС») (ориентировочная протяженность ЛЭП – 0,075 км)</t>
  </si>
  <si>
    <t>Строительство ВЛИ-0,4 кВ от КТП №239 ВЛ-6 кВ Орошение от ПС 110/35/6 кВ Н-8 для электроснабжения нежилого здания ИП Петросян Н.Э. Красносулинский район, г. Красный Сулин, ул. Прибрежная, д.52. (ориентировочная протяженность ЛЭП – 0,34 км)</t>
  </si>
  <si>
    <t>Строительство ВЛИ-0,23 кВ от оп.36 по ВЛ-0,4кВ № 2от КТП 10/0,4кВ  № 15 по ВЛ-10кВ «Юдино» ПС Н-19 для электроснабжения жилого дома Лесниковой Н.П. Родионово-Несветайский р-н х. Юдино, ул. Нагорная,  д. 18 (ориентировочная протяженность ЛЭП – 0,070 км)</t>
  </si>
  <si>
    <t>Строительство ВЛИ-0,4 кВ от РУ 0,4кВ КТП 10/0,4кВ № 501 по ВЛ-10кВ «Ростовский» ПС Н-9, для электроснабжения жилого дома Шульги Е.Ю. Родионово-Несветайский р-н х. Веселый, ул. Новая, д. 26 (ориентировочная протяженность ЛЭП – 0,08 км)</t>
  </si>
  <si>
    <t>Строительство ВЛИ-0,4 кВ от МТП № 361 ВЛ-10В «Жилмасив» ПС Ш-34 с коммерческим учетом электрической энергии (мощности) в точке поставки для электроснабжения нежилых зданий ИП Кононов В.В., ИП Мащенко И.Ю., в ст. Мелиховская, Усть-Донецкого р-на, (ориентировочная протяженность ЛЭП 0,22 км)</t>
  </si>
  <si>
    <t>Строительство ВЛИ-0,4 кВ от оп. №9 ВЛИ-0,4 кВ №1 МТП №802 ВЛ-10 кВ Красюковка ПС Ш-39 для электроснабжения жилого дома Вербицкой Е.Н. (ориентировочная протяженность ЛЭП – 0,06 км)</t>
  </si>
  <si>
    <t>Строительство ВЛИ-0,4 кВ от оп. №28 ВЛ-0,4 кВ №2 КТП №135 ВЛ-10 кВ Летний Гурт-Горняк ПС Ш-48 для электроснабжения жилого дома Васильева Б.Ю. Ростовская обл., Октябрьский р-н, х. Ягодинка, ул. Степная, д.34 (ориентировочная протяженность ЛЭП – 0,05 км)</t>
  </si>
  <si>
    <t>Строительство ВЛИ-0,4 кВ от оп. №22 ВЛИ-0,4 кВ №3 КТП №5 ВЛ-10 кВ Комсомолец ПС Ш-35 для электроснабжения жилого дома Калинина Р.Г., Ростовская обл., Октябрьский р-н, п. Новозарянский, ул. Крупской, д.2-а. (ориентировочная протяженность ЛЭП – 0,05 км)</t>
  </si>
  <si>
    <t>Строительство ВЛИ-0,4 кВ от ВЛ-0,4кВ №2 КТП № 323 ВЛ-10кВ «КРС» ПС Ш-34 для электроснабжения жилого дома Косаревой Н.В.: ул. Октябрьская, д. 75, ст. Раздорская, Усть-Донецкого р-на, (ориентировочная протяженность ЛЭП 0,05 км)</t>
  </si>
  <si>
    <t>Строительство ВЛИ-0,4 кВ от оп.3 ВЛ 0,4 кВ № 1 от МТП 10/0,4кВ  № М-2  по ВЛ-10кВ «Маяки» ПС Н-15, для электроснабжения жилого дома Семенова А.А.по адресу: р-н. Родионово-Несветайский, х. Атамано-Власовка, ул. Чапаева,  д. 3,  (ориентировочная протяженность ЛЭП – 0,040 км)</t>
  </si>
  <si>
    <t>Строительство ВЛИ-0,4 кВ от оп.19 ВЛ 0,4 кВ №2 от КТП 10/0,4кВ  № А-21 по ВЛ-10кВ «Аграфеновка» ПС Н-15 для электроснабжения жилого дома Назикян С.А. Родионово-Несветайский р-н сл. Аграфеновка, ул.Кирова д. 6г (ориентировочная протяженность ЛЭП – 0,070 км)</t>
  </si>
  <si>
    <t>Строительство ТП-10/0,4, ВЛ-10 кВ от существующей оп. №92 ВЛ 10 кВ «Россия» ПС Н-17, и ВЛИ-0,4 кВ от вновь установленной ТП-10/0,4 кВ для присоединения жилого дома Кан В.А. сл. Большекрепинская, ул. Рассвет, д.1 (ориентировочная протяженность ЛЭП 0,09 км, ориентировочная мощность трансформатора 25 кВА)</t>
  </si>
  <si>
    <t>Строительство ВЛ 0,4 кВ от существующей оп. №10 ВЛ 0,4 кВ №1 от КТП №228 по ВЛ 6- кВ Платово от ПС Г-2 для присоединения жилого дома. Ростовская область, Красносулинский район, х. Верхняя Ковалевка, ул. Садовая, д. 71 (Александрова И.П) (ориентировочная протяженность ЛЭП-0,115 км)</t>
  </si>
  <si>
    <t>Строительство ВЛ 0,4 кВ от существующей оп. №5 ВЛ 0,4 кВ №1 от КТП №436 по ВЛ 6- кВ Ударник от ПС Г-7 для присоединения РЩ-0,4 кВ Ростовская область, Красносулинский район, Киселевское сельское поселение, х. Бобров, в 64,5 м. на запад от дома № 45 по улице Бургустинская (Государственное казенное учреждение субъектов Росийской Федерации Федеральное государственное казенное учреждение «Пограничное управление федеральной службы безопасности Российской Федерации по Ростовской области») (ориентировочная протяженность ЛЭП-0,13 км)</t>
  </si>
  <si>
    <t>Строительство ВЛ-0,4 кВ от РУ 0,4 кВ вновь установленной ТП 10/0,4 кВ, строительство участка ВЛ-10 кВ от опоры № 71, ВЛ-10 кВ № 2 Л-СП-3, ПС 110/10 кВ «Богатовская ПТФ», для электроснабжения строящегося коровника Абрамяна В.Ю., расположенного по адресу: Ростовская обл., Белокалитвинский р-н, Краснодонецкое сельское поселение, к.н. 61:04:0600016:916. (ориентировочная протяженность ЛЭП – 0,056 км, ориентировочная мощность ТП – 0, 025 МВА)</t>
  </si>
  <si>
    <t>Строительство участка ВЛ-10 кВ от опоры № 197,  ВЛ-10 кВ№2, ПС 110/35/10 кВ «Тарасовская», ТП 10/0,4 кВ, ВЛ-0,4кВ от РУ проектируемой ТП 10/0,4 для подключения зерносклада СТФ Андросюк Г.А., расположенного по адресу: Ростовская обл., Тарасовский р-н, х. Россошь, 160 м на восток от жилого дома по ул. Песчаная, №29 к.н. №61:37:0600005:1143 (ориентировочная протяженность ЛЭП – 0,250 км, ориентировочная мощность ТП 0,025 МВА)</t>
  </si>
  <si>
    <t>Строительство участка ВЛ-10 кВ от опоры № 194 ВЛ-10 кВ № 6, ПС 110/10 кВ «Волченская ПТФ», ТП 10/0,4 кВ и ВЛ-0,4 кВ от РУ-0,4 кВ новой ТП 10/0,4 кВ для подключения хозпостройки не капитального типа Кобилевой С.И., расположенного по адресу: Ростовская обл., Каменский р-н, х. Светлый, АКХ «Восход» пашня р.у. №35, пашня р.у. №36, пашня р.у. №1, пастбище р.у. №1-1 к.н. 61:15:0602901:956 (ориентировочная протяженность ЛЭП – 0,585км, ориентировочная трансформаторная мощность 0,025 мВА)</t>
  </si>
  <si>
    <t>Строительство ВЛ-10 кВ от опоры №198, ВЛ-10 кВ №4, ПС 35/70 кВ  Курнолиповская, ТП 10/0,4 кВ и участка ВЛ -0,4 кВ  от РУ-0,4 кВ новой ТП 10-0,4 кВ, для подключения строящегося карьера ООО «Легион», расположенного по адресу: Ростовская область, Тарасовский район, х. Ерофеевка, к.н.:61:37:0600022:391 (ориентировочная протяженность ЛЭП-1,29км, ориентировочная мощность ТП-0,16МВА)</t>
  </si>
  <si>
    <t>Строительство участка ВЛ-10 кВ от опоры № 44, ВЛ-10 кВ № 3, ПС 35/10 кВ «Митякинская», ТП 10/0,4 кВ и участка ВЛ-0,4 кВ от РУ-0,4 кВ новой ТП 10/0,4 кВ, для электроснабжения строящегося склада, кашара Киреева А.В., расположенного по адресу: Ростовская обл., Тарасовский р-н, х. Каюковка, участок находится примерно в 0,8 км по направлению на северо-запад от ориентира, х. Каюковка, к.н.з.у. 61:37:600012:931 (ориентировочная протяженность ЛЭП – 3,200 км, ориентировочная мощность ТП – 0, 025» МВА)</t>
  </si>
  <si>
    <t>'Строительство участка ВЛ-6 кВ от опоры № 55/68, ВЛ-6 кВ «Михайловка-1», ПС 110/35/6 кВ «Б-8», ТП-6/0,4 кВ, ВЛ-0,4 кВ от ТП-6/0,4 кВ для подключения строящегося здания Андреева С.В., расположенного по адресу: Ростовская обл., Тацинский р-н, х. Михайлов, примерно в 1,2 км на север от ул. Ленина, 126, к.н. № 61:38:0600006:1373 (ориентировочная протяженность ЛЭП – 0,15 км, ориентировочная мощность ТП – 0,025 МВА)</t>
  </si>
  <si>
    <t>Строительство участка ВЛ-10 кВ от опоры № 4 Л-430, ВЛ-10 кВ № 2, ПС 35/10 кВ «Глубокинская», ТП 10/0,4 кВ и участка ВЛ-0,4кВ от РУ-0,4кВ проектируемого ТП 10/0,4 кВ для подключения охотничьего домика Степанова А.С., расположенного по адресу: Ростовская обл., Каменский р-н, р.п.  Глубокий, кадастровый номер земельного участка: 61:15:0600901:3050 (ориентировочная протяженность ЛЭП – 0,307 км, ориентировочная мощность ТП – 0,063МВА)</t>
  </si>
  <si>
    <t>Строительство участка ВЛ-10кВ от опоры № 43, ВЛ-10 кВ № 2, отпайка Л -286, ПС 110/35/10/6 кВ «К - 4»,  ТП 10/0,4кВ и участка ВЛ-0,4кВ от РУ-0,4кВ проектируемого ТП 10/0,4кВ для подключения строящегося магазина Матиевской Н.Н., расположенного по адресу: Ростовская обл., Каменский р-н, х. Красновка,  ул. Профильная, д. 132А, кадастровый номер земельного участка 61:15:0080108:1893 (ориентировочная протяженность ВЛ-10кВ – 0,025 км, ориентировочная протяженность ВЛ-0,4кВ – 0,005км,  ориентировочная мощность ТП – 0,100МВА)</t>
  </si>
  <si>
    <t>Строительство участка ВЛ-10 кВ от опоры № 77, ВЛ-10 кВ Кирова-2, ПС 110/35/10 кВ «Б-4», для подключения хозяйственного строения Абрамян В.Г., расположенного по адресу: Ростовская обл., Каменский р-н, СПК им. Кирова, р. уч. 25, к.н. 61:15:0602501:1005 (ориентировочная протяженность ЛЭП – 0,515 км)</t>
  </si>
  <si>
    <t>Строительство участка ВЛ-10 кВ от опоры № 4, Л-227, ВЛ-10 кВ №2, ПС 35/10 кВ «Вольно-Донская», ТП 10/0,4 кВ для подключения строящегося склада ИП Курак И.В., расположенного по адресу: Ростовская обл., Морозовский р-н, х. Вишневка, 525 м западнее от ул. Прудовая, 15, к.н. 61:24:0600011:328 (ориентировочная протяженность ЛЭП – 0,01 км, ориентировочная трансформаторная мощность 0,100 мВА)</t>
  </si>
  <si>
    <t>Строительство участка ВЛ-6кВ от опоры №19, Л-751, ВЛ-6кВ «х. Чапаев», ПС 110/35/6кВ «Ясногорская», установка ТП 6/0,4кВ и участка ВЛ-0,4кВ от проектируемого ТП 6/0,4кВ для подключения строящегося склада ИП Мураль Н.М., расположенного по адресу: Ростовская обл., Белокалитвинский р-н, х. Чапаева, к.н. 61:04:0600015:525, (ориентировочная протяженность ЛЭП – 0,050 км, ориентировочная трансформаторная мощность-25кВА)</t>
  </si>
  <si>
    <t>Строительство участка ВЛ-10 кВ от опоры № 7, ВЛ-10 кВ № 1, ПС 35/10 кВ «Советская-1», ТП 10/0,4 кВ и участка ВЛ-0,4кВ от РУ-0,4кВ проектируемого ТП 10/0,4 кВ для подключения строящегося свинарника Елисеев Сергей Анатольевич, расположенного по адресу: Ростовская обл., Советский   р-н, примерно в 0,51 км на север от ориентира х. Русаков, к.н.: 61:36:0600002:416 (ориентировочная протяженность ЛЭП – 0,09 км, ориентировочная мощность ТП – 0,025МВА)</t>
  </si>
  <si>
    <t>Строительство участка ВЛ-10 кВ от опоры № 198, ВЛ-10 кВ № 3, ПС 35/10 кВ «Калач-Куртлакская», ТП 10/0,4 кВ и участка ВЛ-0,4кВ от РУ-0,4кВ проектируемого ТП 10/0,4 кВ для подключения жилого дома Абдулжалилова Н.С., расположенного по адресу: Ростовская обл., Советский р-н, х. Средняя Гусынка, ул. Речная д. 5, к.н.: 61:36:0040201:28 (ориентировочная протяженность ЛЭП – 0,06 км, ориентировочная мощность ТП – 0,025МВА)</t>
  </si>
  <si>
    <t>Строительство участка ВЛ-10кВ от опоры № 5, отпайка Л-102 ВЛ-10 кВ №5, ПС 35/10 кВ «Войковская»,  ТП 10/0,4кВ и участка ВЛ-0,4кВ от РУ-0,4кВ проектируемого ТП 10/0,4кВ для подключения производственного участка ООО «Газпром добыча Краснодар», расположенного по адресу: Ростовская обл., Тарасовский р-н, ст. Митякинская,  ул. Седова, д. №28, КН земельного участка 61:37:0100101:4330 (ориентировочная протяженность ЛЭП – 0,035 км, ориентировочная мощность ТП – 0,063МВА)</t>
  </si>
  <si>
    <t>Строительство участка ВЛ-10 кВ от опоры № 27, ВЛ-10 кВ № 6, ПС 35/10 кВ «Вишневецкая», ТП 10/0,4 кВ и участка ВЛ-0,4  кВ от РУ-0,4 кВ новой ТП 10/0,4 кВ, для подключения производственного здания ИП Рудакова Д.В., расположенного по адресу: Ростовская обл.,Каменский р-н, АКХ «Колос», пастбище р.у. 6, к.н.з.у. 61:15:0602101:2532 (ориентировочная протяженность ЛЭП – 0,054 км, трансформаторная мощность – 0,160 МВА, прибор учёта электроэнергии - 1 шт.)</t>
  </si>
  <si>
    <t>Строительство участка ВЛ-10 кВ от опоры № 34, ВЛ-10 кВ № 6, ПС 35/10 кВ «Вишневецкая», ТП 10/0,4 кВ и участка ВЛ-0,4 кВ от РУ-0,4 кВ новой ТП 10/0,4 кВ, для подключения производственного здания ИП Рудакова Д.В., расположенного по адресу: Ростовская обл., Каменский р-н, АКХ «Колос», участки № 54, № 6 к.н.з.у. 61:15:0602101:1359 (ориентировочная протяженность ЛЭП – 0,062 км, трансформаторная мощность – 0,160 МВА, прибор учёта электроэнергии - 1 шт.)</t>
  </si>
  <si>
    <t>Строительство участка ВЛ-10 кВ от опоры № 364, ВЛ-10 кВ №3, ПС 35/10 кВ «Скосырская», ТП-10/0,4 кВ и участка  ВЛ-0,4 кВ от РУ 0,4 кВ проектируемого ТП -10/0,4 кВ для подключения жилого дома Гуровой Е.Ф., расположенного по адресу: Ростовская обл., Тацинский р-н, х. Качалин, ул. Свободы, д.46, к.н. № 61:38:0070501:44 (ориентировочная протяженность  ЛЭП – 0,398 км, ориентировочная мощность ТП – 0,025 МВА)</t>
  </si>
  <si>
    <t>Строительство участка ВЛ-10 кВ от опоры № 192 ВЛ-10 кВ № 6, ПС 35/10 кВ «Вишневецкая», ТП 10/0,4 кВ и ВЛ-0,4 кВ от РУ-0,4 кВ новой ТП 10/0,4 кВ, для подключения строящегося жилого дома Абрамова В.В., расположенного по адресу: Ростовская обл., Каменский р-н, х. Филиппенков, ул. Кирова, д. № 2 корп. б, 620 м северо-восточнее, к.н.з.у. 61:15:0080501:1940 (ориентировочная протяженность ЛЭП – 0,092км, ориентировочная трансформаторная мощность 0,040 мВА)</t>
  </si>
  <si>
    <t>40</t>
  </si>
  <si>
    <t xml:space="preserve">«Строительство участка ВЛ-10кВ от опоры № 31, ВЛ-10кВ № 3, ПС 35/10кВ «Калитвенская»,  КТП 10/0,4кВ и участка ВЛ-0,4кВ от РУ-0,4кВ проектируемого КТП 10/0,4кВ для подключения здания телятника МТФ № 4 ИП Кудиновой Е.В. расположенного по адресу: Ростовская обл., Каменский р-н, ст. Калитвенская, ООО «Донские зори» МТФ-4 (ориентировочная протяженность ЛЭП – 0,956км,трансформаторная мощность – 0,040МВА)»
</t>
  </si>
  <si>
    <t>30</t>
  </si>
  <si>
    <t>Строительство ВЛ 10 кВ от опоры №1-00/19 по ВЛ 10 кВ Л-1 Мелькомбинат, строительство КТП 10/0,4 и ВЛ 0,4 кВ для электроснабжения объекта – нежилое здание, расположенного по адресу: РФ, Ростовская область, Сальский р-н, п. Рыбасово, в кадастровом квартале  61:34:0600012 с условным центром в п. Рыбасово, к.н. 61:34:0600012:1577, заявитель  Бутько С.И.» (Ориентировочная протяженность ЛЭП - 0,02 км, ориентировочная мощность ТП – 0,063 МВА)</t>
  </si>
  <si>
    <t>Строительство ВЛ 0,4 кВ от опоры №2-00/2 ВЛ 0,4 кВ Л-2 КТП 10/0,4 кВ №388 по ВЛ 10 кВ Л-1 Островянская для электроснабжения объекта – «жилой дом», расположенного по адресу: РФ, Ростовская область, Орловский район, х. Островянский, ул. Коммунистическая,47», к.н. 61:29:0070101:292, заявитель Абрамцева Елена Александровна»(Ориентировочная протяженность ЛЭП - 0,14 км)</t>
  </si>
  <si>
    <t>Строительство ВЛ 0,4 кВ от опоры №1-00/3 ВЛ 0,4 кВ Л-1                               КТП-10/0,4 кВ №323 по ВЛ 10 кВ Л-1 Летницкая для электроснабжения объекта – «амбулатория», расположенного по адресу: РФ, Ростовская область, Песчанокопский район, с. Летник, ул. Кирова, д. 5, к.н. 61:30:0060101:49, заявитель МБУЗ «ЦРБ» Песчанокопского района. (Ориентировочная протяженность ЛЭП - 0,120 км)</t>
  </si>
  <si>
    <t>Строительство ВЛ 0,4 кВ от КТП 10/0,4 кВ №119 по ВЛ 10 кВ Л-2 РП 21 С  для электроснабжения объекта – «нежилое здание (склад)», расположенного по адресу: РФ, Ростовская область, Сальский район, п. Конезавод имени Будённого, в кадастровом квартале 61:34:0600006 с условным центром в п. Конезавод имени Будённого, к.н. 61:34:0600006:601, заявитель Клевзоник Е.П.» (Ориентировочная протяженность ЛЭП – 0,08 км).</t>
  </si>
  <si>
    <t>Строительство ВЛИ 0,4 кВ от опоры №3-00/5 ВЛ 0,4 кВ Л-3 КТП 10/0,4 кВ №232 по ВЛ 10 кВ Л-5 Северная для электроснабжения объекта – теплица, расположенного по адресу: РФ, Ростовская область, Песчанокопский район, с. Николаевка, ул. Кирова, 31-б, к.н.з.у. 61:30:0600003:1475, заявитель ИП Костенко А.А. (Ориентировочная протяженность ЛЭП - 0,025 км)</t>
  </si>
  <si>
    <t>Строительство ВЛ 0,4 кВ от КТП 10/0,4 кВ №251 по ВЛ 10 кВ Л-9 Трубецкая для электроснабжения объекта – «скважина», расположенного по адресу: РФ, Ростовская область, Сальский район, п. Загорье, 300 метров южнее южной окраины поселка Загорье Сальского района, к.н. 61:34:0600005:2731, заявитель ИП Рягузов А.А. (Ориентировочная протяженность ЛЭП - 0,08 км)</t>
  </si>
  <si>
    <t>«Строительство ВЛ 0,4 кВ от КТП 10/0,4 кВ №247 по ВЛ 10 кВ Л-4 КРС для электроснабжения объекта – «БС №70443 РсО Опенки-Поселковая», расположенного по адресу: РФ, Ростовская область, Пролетарский район, п. Опенки, ул. Поселковая, пересечение улиц Поселковая и Центральная,235 метров западнее от дома                                  ул. Центральная 12 (Координаты:46.635529 41:881391), заявитель ПАО «Вымпел-Коммуникации». (Ориентировочная протяженность ЛЭП - 0,4 км).</t>
  </si>
  <si>
    <t>Строительство ВЛ 10 кВ от опоры №1-00/53 по ВЛ 10 кВ Л-1 Сеятель, МТП 10/0,23 кВ и ВЛ 0,23 кВ для электроснабжения объекта – садовый домик, расположенного по адресу: 347627 Российская Федерация, Ростовская обл., Сальский район, п. Сеятель Северный, поле II 2к., участок 5, кадастровый номер земельного участка:61:34:0600020:1185, заявитель Бейдин А.В. (Ориентировочная протяженность ЛЭП-0,05 км, ориентировочная мощность ТП-0,01 МВА).</t>
  </si>
  <si>
    <t>Строительство ВЛ 0,4 кВ от опоры 1-00/2 ВЛ 0,4 кВ Л-1 КТП 10/0,4 кВ №285 по ВЛ 10 кВ Л-1 Юловская для электроснабжения объектов – «жилой дом» заявитель Коростелев И.П. и «жилой дом» заявитель Коростелев С.П., расположенных по адресу: РФ, Ростовская обл., Сальский район, п. Юловский, ул. Заречная д. 9, д. 10, к.н. 61:34:0190101:2719, 61:34:0190101:2718» (Ориентировочная протяженность ЛЭП – 0,1 км)</t>
  </si>
  <si>
    <t>Строительство ВЛ 0,4 кВ от КТП 10/0,4 кВ №389 по ВЛ 10 кВ Л-3 Чапаевская для электроснабжения объекта – «жилой дом», расположенного по адресу: РФ, Ростовская область, Сальский район, с. Романовка, ул. Комсомольская, д.25, к.н. 61:34:100101:0233, заявитель Статов Р.В.» (Ориентировочная протяженность ЛЭП – 0,5 км).</t>
  </si>
  <si>
    <t>Строительство ВЛИ 0,4 кВ от КТП 10/0,4 кВ №254 по ВЛ 10 кВ Л-3 Южная для электроснабжения объекта – Крытый ток, расположенного по адресу: РФ, Ростовская область, Песчанокопский район, п. Раздельный, юго-восточнее участка №98 граф. учета бывшего клх. ОС Развиленский, к.н. 61:30:0600012:48, заявитель Индивидуальный предприниматель глава КФХ Абакумов К.В.» (Ориентировочная протяженность ЛЭП - 0,48 км).</t>
  </si>
  <si>
    <t>Строительство ТП 10/0,4 кВ от опоры №1-00/61-4 ВЛ 10 кВ Л-1 Шаблиевская, строительство ВЛ 0,4 кВ от РУ 0,4 кВ вновь строящейся ТП 10/0,4 кВ для электроснабжения объекта – «нежилое здание (телятник)», расположенного по адресу: Российская Федерация, Ростовская область, Сальский район, с. Шаблиевка, 500м на Юго-Запад с.Шаблиевка, к.н.з.у.: 61:34:0600009:1061, заявитель Темиров К. З. (Ориентировочная протяженность ЛЭП-0,1 км, ориентировочная мощность ТП-0,04 МВА).</t>
  </si>
  <si>
    <t>Строительство ВЛ 0,4 кВ от опоры №1-00/15 ВЛ 0,4 кВ Л-1 КТП 10/0,4 кВ №246 по ВЛ 10 кВ Л-4 Плодородненская, для электроснабжения объекта – «нежилое помещение (склад)», расположенного по адресу: 347773 Российская Федерация, Ростовская обл., р-н Целинский, с. Плодородное, ул. Молодежная, д. 62, кадастровый номер земельного участка: 61:40:0070101:405, заявитель ИП глава КФХ Тарасов Н.В.» (Ориентировочная протяженность ЛЭП-0,06 км)</t>
  </si>
  <si>
    <t>Строительство ВЛ-0,4 кВ от КТП 10/0,4 кВ №901 по ВЛ-10 кВ Л-2 Ганчуковская, для электроснабжения объекта – «склад», расположенного по адресу: РФ, Ростовская область, Пролетарский район, в 400 м восточнее х. Ганчуков, к.н.з.у.:61:31:0500005:1102, заявитель ООО «КХ «Зерновое»(Ориентировочная протяженность ЛЭП – 0,13 км)</t>
  </si>
  <si>
    <t>Строительство ВЛ 0,4 кВ от опоры №6-00/7 ВЛ 0,4 кВ Л-6 КТП-6/0,4 кВ №491 по ВЛ 6 кВ Л-1 Екатериновская для электроснабжения объекта – «коттедж», расположенного по адресу: РФ, Ростовская область, Сальский район, Левый берег реки Маныч, 5 км+500 м северо-западнее от разъезда «Маныч», к.н. 61:34:0600006:621, заявитель Жуков В.М. (Ориентировочная протяженность ЛЭП - 0,04 км)</t>
  </si>
  <si>
    <t>Строительство ВЛ 0,4 кВ от опоры №2-00/8-2 ВЛ 0,4 кВ Л-2 КТП-10/0,4кВ №533 по ВЛ 10 кВ Л-3 Суховская для электроснабжения объекта – «жилой дом», расположенного по адресу: РФ, Ростовская область, Пролетарский район, х. Сухой, ул. Мира, д. 11, к.н. 61:31:0090101:2642, заявитель Ражабова Л.Н. (Ориентировочная протяженность ЛЭП - 0,085 км).</t>
  </si>
  <si>
    <t>Строительство ВЛ 0,4 кВ от опоры №1-00/13 ВЛ 0,4 кВ Л-1 КТП 10/0,4 кВ № 218 по ВЛ 10 кВ Л-6 КРС, для электроснабжения объекта – «жилой дом», расположенного по адресу: РФ, Ростовская область, Пролетарский район,  п. Корсаки, ул. Широкая, д. 11, кв.1, к.н. 61:31:0080401:9, заявитель Доля А.В. (Ориентировочная протяженность ЛЭП – 0,06 км)</t>
  </si>
  <si>
    <t>Строительство ВЛ 0,4 кВ от опоры № 1-00/17 ВЛ 0,4 кВ Л-1 КТП 10/0,4 кВ № 806 по ВЛ 10 кВ Л-4 Будённовская, для электроснабжения объекта – «Базовая станция/оборудование сотовой связи», расположенного по адресу: РФ, Ростовская область, Пролетарский район, х. Мокрая Ельмута, ул. Городовикова, участок в 70 м от дома 27, заявитель АО «ПБК» (Ориентировочная протяженность ЛЭП – 0,50 км)</t>
  </si>
  <si>
    <t>Строительство ВЛ 0,4 кВ от опоры №2-00/5 ВЛ 0,4 кВ Л-2  КТП-10/0,4 кВ №215 по ВЛ 10 кВ Л-4 КРС для электроснабжения объекта – «склад ядохимикатов», расположенного по адресу: РФ, Ростовская область, Пролетарский район, п. Вербный, к.н. 61:31:0600012:677, заявитель Акимова Е.Д. (Ориентировочная протяженность ЛЭП - 0,18 км)</t>
  </si>
  <si>
    <t>Строительство ВЛ 0,4 кВ от опоры № 1-00/13-1-3 ВЛ 0,4 кВ Л-1 КТП 10/0,4 кВ № 10 по ВЛ 10 кВ Л-8 Пролетарская, для электроснабжения объекта – «объект сельскохозяйственного назначения», расположенного по адресу: РФ, Ростовская область, Пролетарский район, ЗАО имени 50-летия СССР, отделение №2, контур 314, к.н.: 61:31:0600008:1700, заявитель ИП глава К(Ф)Х Соцков А.Б.
(Ориентировочная протяженность ЛЭП – 0,075 км)</t>
  </si>
  <si>
    <t>Строительство ВЛ 0,4 кВ от КТП 10/0,4 кВ №517 по ВЛ 10 кВ Л-5 Ивановская для электроснабжения объекта – «склад», расположенного по адресу: Российская Федерация, Ростовская обл., р-н Сальский, с. Ивановка, в кадастровом квартале 61:34:0600018 с условным центром с. Ивановка, кадастровый номер земельного участка: 61:34:0600018:1672, заявитель Доценко А.В. (Ориентировочная протяженность ЛЭП-0,45 км).</t>
  </si>
  <si>
    <t>Строительство ВЛ 0,4 кВ от опоры №2-02/11 ВЛ 0,4 кВ Л-2 КТП 10/0,4 кВ № 280 по ВЛ 10 кВ Л-7 Кундрюченская, для электроснабжения объекта – «жилой дом», расположенного по адресу: РФ, Ростовская область, Орловский район, х. Луганский, ул. 50 лет Октября, д. 1а, к.н. з.у.: 61:29:0010501:2373, заявитель Гайдукова О.А. (Ориентировочная протяженность ЛЭП – 0,045 км)</t>
  </si>
  <si>
    <t>Строительство участка  ВЛИ 0,4 кВ от опоры 2-00/6 ВЛ 0,4 кВ Л-2  КТП 10/0,4 кВ №260 по ВЛ 10 кВ Л-3 Ново-Донская для электроснабжения объекта – «склад», расположенного по адресу: РФ, Ростовская область, Целинский район, с. Средний Егорлык, с к.н. з.у.: 61:40:0080101:1801,  заявитель ИП глава КФХ Савельев Михаил Васильевич (Ориентировочная протяженность ЛЭП-0,035 км)</t>
  </si>
  <si>
    <t>Строительство ВЛ 10 кВ от опоры №4-03/44 ВЛ 10кВ Л-4 Уютная, строительство КТП 10/0,4 и ВЛ 0,4 кВ для электроснабжения объекта – «дачный дом», расположенного по адресу: РФ, Ростовская область, Пролетарский район, СА "Уютная", отделение 3, контур 310, к.н.: 61:31:0600011:938, заявитель Котляров А.А. (Ориентировочная протяженность ЛЭП – 3,81 км, ориентировочная мощность ТП – 0,025 МВА)</t>
  </si>
  <si>
    <t>Строительство ВЛ 10кВ от опоры №5-01/1 ВЛ 10кВ Л-5 ПС АРЗ, строительство КТП 10/0,4 и ВЛ 0,4кВ для электроснабжения объекта – административное здание, расположенного по адресу: Ростовская область, г. Сальск, ул. Карла Маркса, д. 108, корп. Д, к.н. 61:57:0010859:61, заявитель Кондакова Е.В.» (Ориентировочная протяженность ЛЭП-0,02км, ориентировочная мощность ТП-0,04МВА)</t>
  </si>
  <si>
    <t>Строительство ВЛ 0,4 кВ от ВЛ 0,4 кВ №1 ТП 10/0,4 кВ №2-4 ПС 110/35/10 кВ «Чалтырь» для технологического присоединения жилых домов Заявителей (Литвинов С.Ф., Игнатенко А.Р.) по адресу: Ростовская область, Мясниковский район, с. Султан Салы, ул. Суворова, д 10 к.н. №61:25:0030401:0365, ул. Суворова, д 12а к.н. №61:25:0030401:458 (ориентировочная протяженность ЛЭП 0,34 км)</t>
  </si>
  <si>
    <t>Строительство ВЛ 0,4 кВ от ВЛ 0,4 кВ № 2 ТП 10/0,4 кВ №1-16 ПС 110/35/10 кВ Чалтырь, для технологического присоединения магазина Заявителя (Сапонждян С.Н.) по адресу: Ростовская область, Мясниковский район, с. Крым, ул. Большесальская, д.45а к.н. 61:25:0201023:299 (ориентировочная протяженность ЛЭП 0,08 км)</t>
  </si>
  <si>
    <t>Строительство ВЛ 0,4 кВ от ВЛ 0,4 кВ № 1 ТП 10/0,4 кВ №4-32 по ВЛ 10 кВ №4 ПС 110/35/10 кВ Чалтырь, для технологического присоединения жилого дома Заявителя (Баян А.М.) по адресу: Ростовская область, Мясниковский район, с. Крым, ул. 10-я Линия, д.36 к.н.61:25:0201003:20 (ориентировочная протяженность ЛЭП – 0,08 км.)</t>
  </si>
  <si>
    <t>Строительство ВЛ 0,4 кВ от опоры по ВЛ 0,4 кВ №2 ТП 10/0,4 кВ №1-148 ПС 110/35/10 кВ, для технологического присоединения жилых домов заявителя: (Килафян О.В.) по адресу: Ростовская область, Мясниковский район, х.  Ленинаван, ул. 1-я Кольцевая, д. 53. к.н. 61:25:0600401:13468, ул. Алексеевская, д. 1, к.н. 61:25:0600401:13473 (ориентировочная протяженность ЛЭП 0,19 км)</t>
  </si>
  <si>
    <t>Строительство ВЛ 0,4 кВ от новой ТП 10/0,4 кВ, строительство ТП 10/0,4 кВ, строительство ВЛ 10 кВ от ВЛ 10 кВ №3 ПС 110/35/10 кВ «Чалтырь», отпайки на ТП №3-8 ПС 110/35/10 кВ Чалтырь для технологического присоединения магазина Заявителя (ИП Явруян С.О.) по адресу: Ростовская область, Мясниковский район, с. Чалтырь, ул. Социалистическая, д 13 к.н. №61:25:0101205:9 (ориентировочная протяженность ЛЭП 0,11 км; мощность силового трансформатора 100 кВА)</t>
  </si>
  <si>
    <t>Строительство ВЛ 0,4 кВ от ВЛ 0,4 кВ №1 КТП 10/0,4 кВ №171м ВЛ 10 кВ №3 ПС 35/10 кВ «ГСКБ» для технологического присоединения Заявителя (Черипко С.Г.) по адресу: Ростовская область, Неклиновский р-н, п. Дмитриадовка, ул. Транспортная, 1, к.н. 61:26:0180401:1458 (ориентировочная протяженность ЛЭП 0,165 км)</t>
  </si>
  <si>
    <t>Строительство ВЛ 0,4 кВ от ВЛ 0,4 кВ №1 КТП 10/0,4 кВ №667 ВЛ 10 кВ №1/3 ПС 110/35/10 кВ «Троицкая-1» для технологического присоединения жилого дома Заявителя (Свидовская Е.В.) по адресу: Ростовская область, Неклиновский р-н, с. Николаевка, ул. Парковая, 122 А, к.н. 61:26:0110101:7708 (ориентировочная протяженность ЛЭП 0,33 км)</t>
  </si>
  <si>
    <t>Строительство ВЛ 0,4 кВ от ВЛ 0,4 кВ №2 КТП 10/0,4 кВ №51м ВЛ 10 кВ №НС-3 ПС 35/10 кВ «Лакадемоновская» для технологического присоединения личного подсобного хозяйства Заявителя (Деркач Е.А.) по адресу: Ростовская область, Неклиновский р-н, с. Беглица, ул. Приморская, 15, к.н. 61:26:0160401:361 (ориентировочная протяженность ЛЭП 0,23 км)</t>
  </si>
  <si>
    <t>Строительство ВЛ 0,4 кВ от РУ 0,4 кВ новой ТП 10/0,4 кВ, строительство ТП 10/0,4 кВ, строительство ВЛ 10 кВ от ВЛ 10 кВ №1 ПС 110/35/10 кВ Чалтырь, запитанной от ВЛ 10 кВ №13 ПС 110/35/10 кВ Чалтырь, для технологического присоединения питомника по выращиванию растений, заявителя (Ткодян С.Л.) по адресу: Ростовская область, Мясниковский р-н,установлено относительно ориентира, расположенного в границах участка, Красно-Крымское сельское поселение, на Землях колхоза «Дружба» к.н. № 61:25:0600401:3440 (ориентировочная протяженность ЛЭП - 0,033 км, ориентировочная мощность ТП – 25 кВА)</t>
  </si>
  <si>
    <t>Строительство ВЛ 0,4 кВ от ВЛ 0,4 кВ №1 КТП 10/0,4 кВ №300м ВЛ 10 кВ №3 ПС 35/10 кВ «ГСКБ» для технологического присоединения нежилого здания Заявителя (ИП Никушин Н.Н.) по адресу: Ростовская область, Неклиновский р-н, п. Дмитриадовка, ул. Транспортная, 26, к.н. 61:26:0600024:3521 (ориентировочная протяженность ЛЭП 0,28 км)</t>
  </si>
  <si>
    <t>Строительство ВЛ 0,4 кВ от КТП 10/0,4 кВ №244 ВЛ 10 кВ №8 ПС 35/10 кВ «Покровская» для технологического присоединения нежилого здания Заявителя (Бабенко А.В.) по адресу: Ростовская область, Неклиновский район, с. Покровское, ул. О. Кошевого, 1, к.н. 61:26:0050101:198 (ориентировочная протяженность ЛЭП 0,173 км)</t>
  </si>
  <si>
    <t>Строительство ВЛ 0,4 кВ от новой ТП 10/0,4 кВ, строительство ТП 10/0,4 кВ, строительство ВЛ 10 кВ от ВЛ 10 кВ №1 ПС 110/35/10 кВ Чалтырь, для технологического присоединения нежилого здания Заявителя (ИП Бадасян Р.Б.) по адресу: Ростовская область, Мясниковский район, земли колхоза «Дружба» к.н. №61:25:0600401:8030 (ориентировочная протяженность ЛЭП 0,015 км; мощность силового трансформатора 25 кВА)»</t>
  </si>
  <si>
    <t>«Строительство ВЛ 0,4 кВ от опоры проектируемой по договору №61-1-20-00509881 по ВЛ 0,4 кВ №2 ТП 10/0,4 кВ №5-10 по ВЛ 10 кВ №5 ПС 110/27/10 кВ Хапры-Тяговая для технологического присоединения Заявителей (Чалая В.М., Чибичян С.А.) по адресу: Ростовская область, Мясниковский район, х. Калинин, ул. Набережная д.256, д.257 (ориентировочная протяженность ЛЭП 0,1 км)»</t>
  </si>
  <si>
    <t>«Строительство ВЛ 0,4 кВ от новой ТП 10/0,4 кВ, строительство ТП 10/0,4 кВ, строительство ВЛ 10 кВ от ВЛ 10 кВ №7 ПС 110/35/10 кВ Синявская, для технологического присоединения Заявителя (Барабольская Е.И.) по адресу: Ростовская область, Мясниковский район, х. Недвиговка, ул. Молодежная, д.2, корп А, к.н.  №61:25:0070101:1661. (ориентировочная протяженность ЛЭП 0,09 км; мощность силового трансформатора 25 кВА)»</t>
  </si>
  <si>
    <t>Строительство ВЛ 0,4 кВ от ВЛ 0,4 кВ проектируемой по договору № 61-1-19-00425669 от 07.02.19 ТП №6-7 ПС 35/10 кВ Б.Салы для технологического присоединения жилого дома заявителя: (Мирошниченко А.Ю.) по адресу: Ростовская область, Мясниковский район, с. Б. Салы,ул. Счастливая, д 19. к.н. 61:25:0600501:1889 (ориентировочная протяженность ЛЭП 0,18 км)</t>
  </si>
  <si>
    <t>Строительство ВЛ 0,4 кВ от ВЛ 0,4 кВ №1 ТП №6-7 ПС 35/10 кВ Б.Салы для технологического присоединения жилого дома заявителя: (Оганесян В.Ю.) по адресу: Ростовская область, Мясниковский район, с. Б. Салы, ул. Семейная, д 10. к.н. 61:25:0600501:1873 (ориентировочная протяженность ЛЭП 0,18 км)</t>
  </si>
  <si>
    <t>Строительство ВЛ 0,4 кВ от опоры проектируемой ВЛ 0,4 кВ по договору №61-1-19-00433953 от 27.03.2019 г., для технологического присоединения жилого дома Заявителя (Нечаев А.П.) по адресу: Ростовская область, Неклиновский район, х. Красный Десант, ул. Цветочная, 2-в, к.н. 61:26:0600024:1075 (ориентировочная протяженность ЛЭП 0,2 км)</t>
  </si>
  <si>
    <t>Строительство ВЛ 0,4 кВ от новой ТП 10/0,4 кВ, строительство ТП 10/0,4 кВ, строительство ВЛ 10 кВ от опоры по ВЛ 10 кВ №3 ПС 35/10 кВ М-Курганская, для технологического присоединения ЛЭП 0,4 кВ Заявителя (ИП Головко С.И.) по адресу: Ростовская область, Матвеево-Курганский район, п. Матвеев Курган, ул. Московская, д. 93, к.н. 61:21:0010133:63 (ориентировочная протяженность ЛЭП 0,035 км; мощность силового трансформатора 100 кВА)</t>
  </si>
  <si>
    <t>«Строительство ВЛ 0,4 кВ от ВЛ 0,4 кВ №2 КТП №147 ВЛ 10 кВ №4 ПС 110/10 кВ «Самбек» для технологического присоединения ВРУ 0,4 кВ освещения автодороги Заявителя (МКУ НР «УКС») по адресу: Ростовская область, Неклиновский район, с. Самбек, описание местоположения проезд от автомобильной с. Самбек - пос. Матвеев-Курган-с. Куйбышево - г. Снежное (до границы Украины) до ул. Спортивная в с. Самбек, к.н. 61:26:0000000:6222 (ориентировочная протяженность ЛЭП 0,12 км)»</t>
  </si>
  <si>
    <t>Строительство ВЛ 0,4 кВ от РУ 0,4 кВ ТП 10/0,4 кВ №5-3 по ВЛ 10 кВ №5 ПС 35/10 кВ Б.Салы для технологического присоединения производственной базы Заявителя (Гаричева Л.С.) по адресу: Ростовская область, Мясниковский район, с. Б.Салы, ул. Абовяна, д.48 к.н.  №61:25:0040101:5275 (ориентировочная протяженность ЛЭП 0,09 км)</t>
  </si>
  <si>
    <t>Строительство ВЛ 0,4 кВ от ВЛ 0,4 кВ №1 ТП 10/0,4 кВ №1-203 по ВЛ 10 кВ №1 ПС 110/35/10 кВ Чалтырь для технологического присоединения жилого дома Заявителя (Насхулиян Ж.Л.) по адресу: Ростовская область, Мясниковский район, х. Ленинакан, ул. Дзержинского, д. 5-д, к.н. 61:25:0030301:1605., д. 5, к.н. 61:25:0030301:1607. (ориентировочная протяженность ЛЭП 0,08 км)</t>
  </si>
  <si>
    <t>Строительство ВЛ 0,4 кВ от опоры по ВЛ 0,4 кВ №1 ТП 10/0,4 кВ №1-106 по ВЛ 10 кВ №1 ПС 110/35/10 кВ Чалтырь, для технологического присоединения жилого дома Заявителя (Дьягольченко И.А.) по адресу: Ростовская область, Мясниковский район, х. Ленинаван, ул.  Софийская, д. 6, к.н. №61:25:0600401:5547 (ориентировочная протяженность ЛЭП 0,035 км)</t>
  </si>
  <si>
    <t>Строительство ВЛ 0,4 кВ от опоры по ВЛ 0,4 кВ №2 ТП 10/0,4 кВ №8-1 по ВЛ 10 кВ №8 ПС 110/35/10 кВ Синявская, для технологического присоединения жилого дома Заявителя (Геворгян Г.Т.) по адресу: Ростовская область, Мясниковский район, х. Веселый, ул. Ленина, д.77, корп. А, к.н.  №61:25:0060101:2880, (ориентировочная протяженность ЛЭП 0,08 км)</t>
  </si>
  <si>
    <t>Строительство ВЛ 0,4 кВ от опоры по ВЛ 0,4 кВ №1 ТП 10/0,4 кВ №6-1А по ВЛ 10 кВ №6 ПС 35/10 кВ Б. Салы для технологического присоединения жилого дома Заявителя (Машарипова В.А.) по адресу: Ростовская область, Мясниковский район, с. Большие Салы, ул. 26 Бакинских Комиссаров, д. 2, к.н.  №61:25:0040101:1680, (ориентировочная протяженность ЛЭП 0,015 км)</t>
  </si>
  <si>
    <t>Строительство ВЛ 0,4 кВ от опоры по ВЛ 0,4 кВ №2 ТП 10/0,4 кВ №5-10 по ВЛ 10 кВ №5 ПС 110/27/10 кВ Хапры-Тяговая для технологического присоединения жилого дома Заявителя (Беденко А.Г.) по адресу: Ростовская область, Мясниковский район, х. Калинин, ул. Набережная, д. 208, корп. Б, к.н.  №61:25:0050101:6803, (ориентировочная протяженность ЛЭП 0,05 км)</t>
  </si>
  <si>
    <t>Строительство ВЛ 0,4 кВ от ВЛ 0,4 кВ №1 КТП 10/0,4 кВ №50м ВЛ 10 кВ №НС-3 ПС 35/10 кВ «Лакадемоновская» для технологического присоединения жилого дома Заявителя (Кириченко О.В.) по адресу: Ростовская область, Неклиновский район, с. Беглица, ул. Зарайченкова, 88, к.н. 61:26:0160401:769 (ориентировочная протяженность ЛЭП 0,24 км)</t>
  </si>
  <si>
    <t>Строительство ВЛ 0,4 кВ от КТП 10/0,4 кВ №471 ВЛ 10 кВ №3 ПС 110/10 кВ «Самбек» для электроснабжения нежилого здания заявителя (ООО «Донской бизнес») по адресу: Ростовская обл., Неклиновский район, с. Самбек, ул. Молодежная, 31, к.н. 61:26:0020101:1103 (ориентировочная протяженность ЛЭП 0,16 км)</t>
  </si>
  <si>
    <t>Строительство участка ВЛ 0,4 кВ от опоры ВЛ 0,4 кВ №1 КТП 10/0,4 кВ №580 по ВЛ 10 кВ №5 ПС 110/10 кВ «Самбек» до опоры ВЛ 0,4 кВ построенной для технологического присоединения базовой станции сотовой связи №1156 заявителя ООО «Т2 Мобайл» по адресу: Ростовская область, Неклиновский район, с. Бессергеновка, ул. К.Зуева, 34 м к востоку от дома №2, к.н. 61:26:0040201:001 (ориентировочная протяженность ЛЭП 0,19 км)</t>
  </si>
  <si>
    <t>Строительство ВЛ 0,4 кВ от КТП 10/0,4 кВ №369 ВЛ 10 кВ №7 ПС 110/10 кВ «Самбек», для технологического присоединения цеха по розливу воды заявителя (Пахомов М.А.), по адресу: Ростовская область, Неклиновский район, с. Самбек, ул. Морская, 27-в, к.н. 61:26:0020101:1204 (ориентировочная протяженность ЛЭП 0,150 км)</t>
  </si>
  <si>
    <t>Строительство ВЛ 0,4 кВ от ВЛ 0,4 кВ №1 КТП 10/0,4 кВ №494м ВЛ 10 кВ №7/8 ПС 35/10 кВ «Гаевка» для технологического присоединения жилого дома Заявителя (Рамазанов М.А.) по адресу: Ростовская область, Неклиновский район, с. Гаевка, ул. Набережная, 9, к.н. 61:26:0160301:503 (ориентировочная протяженность ЛЭП 0,11 км)</t>
  </si>
  <si>
    <t>Строительство ВЛ 0,4 кВ от ВЛ 0,4 кВ №1 КТП 10/0,4 кВ №50м ВЛ 10 кВ №НС-3 ПС 35/10 кВ «Лакадемоновская» для технологического присоединения ВРУ 0,4 кВ сельскохозяйственного назначения Заявителя (ИП Григоренко Е.А.) по адресу: Ростовская область, Неклиновский район, с. Беглица, СПК рыбколхоз «им. Орлова», поле №11, к.н. 61:26:0600021:360 (ориентировочная протяженность ЛЭП 0,12 км)</t>
  </si>
  <si>
    <t>Строительство ВЛ 0,4 кВ от новой ТП 10/0,4 кВ, строительство ТП 10/0,4 кВ, строительство ВЛ 10 кВ от ВЛ 10 кВ №4 ПС 110/35/10 кВ «Чалтырь», отпайки на ТП 10/0,4 кВ №4-5, для технологического присоединения нежилого помещения Заявителя (ИП Осипян С.С.) по адресу: Ростовская область, Мясниковский район, с. Крым ул. 18-я Линия д. 2-м. к.н. 61:25:0201008:272 (ориентировочная протяженность ЛЭП 0,03 км; мощность силового трансформатора 25 кВА)</t>
  </si>
  <si>
    <t xml:space="preserve">Строительство ВЛ 0,4 кВ от новой ТП 10/0,4 кВ, строительство ТП 10/0,4 кВ, строительство ВЛ 10 кВ от ВЛ 10 кВ № 6 ПС 110/35/10 кВ «Чалтырь» для технологического присоединения склада Заявителя (ИП Хатламаджиян Г.А.) по адресу: Ростовская область, Мясниковский район, 4,3 км на северо-запад от с. Чалтырь участок к.н. №61:25:0600101:13, условный к.н. 61:25:600101:0001:3257/А, и для технологического присоединения ангара Заявителя (ИП Хейгетян В.Х.) по адресу: Ростовская область, Мясниковский район, по адресу: Ростовская область, Мясниковский район, 4,3 км на северо-запад от с. Чалтырь участок №2/3 к.н. №61:25:0600101:130 (ориентировочная протяженность ЛЭП 0,57 км; мощность силового трансформатора 25 кВА)
</t>
  </si>
  <si>
    <t>Строительство ВЛ 0,4 кВ от новой ТП 10/0,4 кВ, строительство ТП 10/0,4 кВ, строительство ВЛ 10 кВ от ВЛ 10 кВ №7 ПС 35/10 кВ «Б. Салы», для технологического присоединения здания столовой, Заявителя (Булгурян М.К.) по адресу: Ростовская область, Мясниковский район, с. Большие Салы ул. 5-я Промышленная 1, к.н. 61:25:0600501:2051 (ориентировочная протяженность ЛЭП 0,61 км; мощность силового трансформатора 40 кВА)</t>
  </si>
  <si>
    <t>Строительство ВЛ 0,4 кВ от новой ТП 10/0,4 кВ, строительство ТП 10/0,4 кВ, строительство ВЛ 10 кВ от ВЛ 10 кВ №3 ПС 35/10 кВ «ГСКБ», для технологического присоединения жилого дома Заявителя (Лещенко О.М.) по адресу: Ростовская область, Неклиновский район, с. Александрова Коса, ул. Мира, 23, к.н. 61:26:0600024:1377 (ориентировочная протяженность ЛЭП 0,310 км; мощность силового трансформатора 25 кВА)</t>
  </si>
  <si>
    <t>Строительство ВЛ 0,4 кВ от ВЛ 0,4 кВ №2 КТП 10/0,4 кВ №303м ВЛ 10 кВ №5 ПС 35/10 кВ «Русский Колодец» для технологического присоединения ВРУ 0,4 кВ сельскохозяйственного назначения Заявителя (Шиленко Н.П.) по адресу: Ростовская область, Неклиновский р-н, к.н. 61:26:0600022:197 (ориентировочная протяженность ЛЭП 0,4 км)</t>
  </si>
  <si>
    <t>Строительство ВЛ 0,4 кВ от КТП 10/0,4 кВ №170м ВЛ 10 кВ №8 ПС 35/10 кВ «Русский Колодец» для технологического присоединения личного подсобного хозяйства Заявителя (Лофиченко Д.А.) по адресу: Ростовская область, Неклиновский р-н, х. Красный Десант, ул. Октябрьская, 17-Б, к.н. 61:26:0070101:681 (ориентировочная протяженность ЛЭП 0,3 км)</t>
  </si>
  <si>
    <t>Строительство ВЛ 0,4 кВ от новой ТП 10/0,4 кВ, строительство ТП 10/0,4 кВ, строительство ВЛ 10 кВ от ВЛ 10 кВ №1 ПС 110/35/10 кВ «Чалтырь» отпайки на ТП 10/0,4 кВ №1-8, для технологического присоединения жилых домов Заявителя (Согомонова О.Ю.) по адресам: Ростовская область, Мясниковский район, х. Ленинакан, ул. Суворова д.113, д.111, д.109, д.107 (ориентировочная протяженность ЛЭП 0,13 км; мощность силового трансформатора 100 кВА)</t>
  </si>
  <si>
    <t>Строительство ВЛ 0,4 кВ от новой ТП 10/0,4 кВ, строительство ТП 10/0,4 кВ, строительство ВЛ 10 кВ от ВЛ 10 кВ № 2 ПС 110/35/10 кВ «Чалтырь», проектируемой по договору №61-1-18-00414343 от 20.12.2018, для технологического присоединения авто спортивного комплекса Заявителя (учебный центр «Развитие») по адресу: Ростовская область, Мясниковский район, земли колхоза «Дружба» уч. №27 к.н. 61:25:0600401:1285 (ориентировочная протяженность ЛЭП 1,26 км; мощность силового трансформатора 63 кВА)</t>
  </si>
  <si>
    <t>Строительство ВЛ 0,4 кВ от новой ТП 10/0,4 кВ, строительство ТП 10/0,4 кВ, строительство ВЛ 10 кВ от ВЛ 10 кВ №2 отпайки на ТП №2-4 ПС 110/35/10 кВ Чалтырь для технологического присоединения нежилого помещения и склада Заявителей (Топалян Г.В., Топалян В.М.) по адресу: Ростовская область, Мясниковский район, с. Султан Салы ул. Селивёрстова, д. 1, д. 1/б к.н. №61:25:0030401:466, №61:25:0030401:465 (ориентировочная протяженность ЛЭП 0,74 км; мощность силового трансформатора 250 кВА)</t>
  </si>
  <si>
    <t>Строительство ВЛ 0,4 кВ от опоры по ВЛ 0,4 кВ №1 ТП 10/0,4 кВ №1-171 по ВЛ 10 кВ №1 ПС 110/35/10 кВ Чалтырь, запитанной от ВЛ 10 кВ №29-35 ПС 110/10 кВ Р-29, для технологического присоединения жилых домов Заявителей (Стрельченко А.А, Михальчук Т.И.) по адресу: Ростовская область, Мясниковский район, х. Ленинаван, ул. Кутузова, д. 28, 28/б, к.н. №61:25:0600401:15448, 61:25:0600401:15447, (ориентировочная протяженность ЛЭП 0,035 км)</t>
  </si>
  <si>
    <t>Строительство ВЛ 0,4 кВ от РУ 0,4 кВ ТП 10/0,4 кВ, строительство ТП 10/0,4 кВ, строительство ВЛ 10 кВ от ВЛ 10 кВ №4 ПС 110/35/10 кВ Чалтырь, для технологического присоединения нежилого здания Заявителя: (ИП Лопатина Т.А.), по адресу: Мясниковский район, с. Крым, ул. 11-я линия, д 1-н (ориентировочная протяженность ЛЭП 0,02 км; мощность силового трансформатора – 160 кВА)</t>
  </si>
  <si>
    <t>Строительство ВЛ 0,4 кВ от КТП 10/0,4 кВ №97 по ВЛ 10 кВ №1 ПС 35/10 кВ Анастасиевская для технологического присоединения базовой станции сотовой связи «Анастасиевка-Центр» Заявителя (ПАО «МегаФон) по адресу: Ростовская область, М-Курганский р-н, с. Марфинка, примерно в 150 м на восток от дома 27 по ул. Молодежная с. Марфинка, к.н. 61:00:00:00000 (ориентировочная протяженность ЛЭП 0,49 км)</t>
  </si>
  <si>
    <t>Строительство ВЛ 0,4 кВ от ВЛ 0,4 кВ №1 КТП №143м ВЛ 10 кВ №2 ПС 110/35/10 кВ «Федоровская» для технологического присоединения жилого дома Заявителя (Варданян Э.О) по адресу: Ростовская область, Неклиновский район, с. Федоровка, ул. Чехова, 11, к.н. 61:26:0140101:4223 (ориентировочная протяженность ЛЭП 0,15 км)</t>
  </si>
  <si>
    <t>Строительство ВЛ 0,4 кВ от ВЛ 0,4 кВ №1 КТП №235м ВЛ 10 кВ №3 ПС 35/10 кВ «Лакадемоновская» для технологического присоединения личного подсобного хозяйства Заявителя (Ефименко Н.И.) по адресу: Ростовская область, Неклиновский район, с. Лакедемоновка, ул. Социалистическая, 64, к.н. 61:26:0160101:2364 (ориентировочная протяженность ЛЭП 0,15 км)</t>
  </si>
  <si>
    <t>Строительство ВЛ 0,4 кВ от ВЛ 0,4 кВ №2 КТП 10/0,4 кВ №52м ВЛ 10 кВ №4 ПС 35/10 кВ «Русский Колодец» для технологического присоединения жилого дома Заявителя (Куцерубов Р.А.) по адресу: Ростовская область, Неклиновский р-н, х. Красный Десант, ул. Цветочная 2 В, к.н. 61:26:0600024:1077 (ориентировочная протяженность ЛЭП 0,2 км)</t>
  </si>
  <si>
    <t>Строительство двух ВЛ 0,4 кВ от РУ 0,4 кВ двух новых ТП 10/0,4 кВ, строительство двух ТП 10/0,4 кВ, строительство ВЛ 10 кВ от ВЛ 10 кВ №6 ПС 110/35/10 кВ «Чалтырь» отпайки на ТП 10/0,4 кВ №5-32А до первой новой ТП 10/0,4 кВ, строительство ВЛ 10 кВ от ВЛ 10 кВ №5 ПС 110/35/10 кВ «Чалтырь до второй новой ТП 10/0,4 кВ для технологического присоединения нежилого помещения Заявителя (ООО «Форель») по адресу: Ростовская область, Мясниковский район, с. Чалтырь, тер. Промзона 2 к.н. №61:25:0101330:58 (ориентировочная протяженность ЛЭП 0,43 км; мощность силового трансформатора 2х100 кВА)</t>
  </si>
  <si>
    <t>Строительство ВЛ 0,4 кВ от новой ТП 10/0,4 кВ, строительство ТП 10/0,4 кВ, строительство ВЛ 10 кВ от ВЛ 10 кВ № 3 ПС 110/35/10 кВ «Чалтырь», для технологического присоединения нежилого помещения Заявителя (ИП Мкртичян Г.А.) по адресу: Ростовская область, Мясниковский район, с. Крым ул. Гаражная д. 121-А к.н.61:25:0201026:112 для технологического присоединения склада Заявителя (Дзреян Х.А.) по адресу: Ростовская область, Мясниковский район, с. Чалтырь ул. Нахичеванская 45 к.н. №61:25:0101232:11 (ориентировочная протяженность ЛЭП 0,19 км; мощность силового трансформатора 100 кВА)</t>
  </si>
  <si>
    <t>Строительство ВЛ 0,4 кВ от ВЛ 0,4 кВ №3 ТП 10/0,4 кВ №443 по ВЛ 10 кВ №2 ПС 35/10 кВ «Троицкая» для технологического присоединения личных подсобных хозяйств Заявителей (Штинов К.А., Багунц М.С.) по адресу: Ростовская область, Неклиновский район, с. Троицкое, ул. Ленина, 91А, к.н. 61:26:0010101:6015, 93А, к.н. 61:26:0010101:6037 (ориентировочная протяженность ЛЭП 0,2 км)</t>
  </si>
  <si>
    <t>Строительство ВЛ 0,4 кВ от ВЛ 0,4 кВ №1 КТП 10/0,4 кВ №784 ВЛ 10 кВ №6 ПС 110/10 кВ «Самбек» для электроснабжения заявителя (Пуглий М.Г.) по адресу: Ростовская обл., Неклиновский район, п. Ореховый, ул. 1-я Строительная, 71, к.н. 61:26:00600014:401 (ориентировочная протяженность ЛЭП 0,23 км)</t>
  </si>
  <si>
    <t>Строительство ВЛ 0,4 кВ от ВЛ 0,4 кВ №1 КТП 10/0,4 кВ №3/8 ВЛ 10 кВ №4 ПС 110/35/10 кВ «Синявская» для технологического присоединения ВРУ 0,4 кВ полевого стана Заявителя (ИП Гавриловская Э.В.) по адресу: Ростовская область, Неклиновский р-н, с. Синявское, в границах СПК колхоз «Синявский», к.н. 61:26:0600017:1089 (ориентировочная протяженность ЛЭП 0,28 км)</t>
  </si>
  <si>
    <t>Строительство ВЛ 0,4 кВ от ВЛ 0,4 кВ №1 КТП 10/0,4 кВ №846 ВЛ 10 кВ №1/3 ПС 110/35/10 кВ «Троицкая-1» для технологического присоединения стоянок автотранспорта Заявителей (Манукян Г.Ш., Варданян Ш.К.) по адресу: Ростовская область, Неклиновский район, к.н. 61:26:0600014:2021, к.н. 61:26:0600014:2022 (ориентировочная протяженность ЛЭП 0,21 км)</t>
  </si>
  <si>
    <t>Строительство ВЛ 0,4 кВ от РУ 0,4 кВ проектируемого ТП 10/0,4 кВ, строительство ТП 10/0,4 кВ, строительство ВЛ 10 кВ от ВЛ 10 кВ №1 ПС 110/35/10 кВ Чалтырь запитанной от ВЛ 10 кВ №29-35 ПС 110/10кВ Р-29, для технологического присоединения индивидуального жилого дома Заявителя: (Оганесян С.Г.) по адресу: Ростовская обл. Мясниковский р-н, х. Ленинаван, ул. Набережная, д 12 к.н. 61:25:0030202:100 (ориентировочная протяженность ЛЭП -0,36 км; мощность силового трансформатора – 100 кВА)</t>
  </si>
  <si>
    <t>Строительство ВЛ 0,4 кВ от новой ТП 10/0,4 кВ, строительство ТП 10/0,4 кВ, строительство ВЛ 10 кВ от ВЛ 10 кВ №6 ПС 110/35/10 кВ «Чалтырь», для технологического присоединения сарая Заявителя (Хейгетян А.М.) по адресу: Ростовская область, Мясниковский район, с. Чалтырь тер. промзона уч. №2 к.н. 61:25:0101330:62 (ориентировочная протяженность ЛЭП 0,06 км; мощность силового трансформатора 40 кВА)</t>
  </si>
  <si>
    <t>Строительство ВЛ 0,4 кВ от ВЛ 0,4 кВ №1 ТП 6/0,4 кВ №299 ВЛ 6 кВ №44 ПС 35/6 кВ Т-8 для технологического присоединения гаража Заявителя (Павлов В.Н.) по адресу: Ростовская область, г. Таганрог, ул. Дачная, к.н. 61:58:0004217:71 (ориентировочная протяженность ЛЭП 0,22 км)</t>
  </si>
  <si>
    <t>Строительство ВЛ 0,4 кВ от ТП 6/0,4 кВ №139 по КЛ 6 кВ №5 ПС 110/6 Т-5, для технологического присоединения нежилого помещения здание-автомойка и пункт технического обслуживания, заявителя (ООО «Аква-Темп») по адресу: Ростовская область, Таганрог, ул. Октябрьская, 24а к.н. 61:58:03003:0017. (ориентировочная протяженность ЛЭП - 0,18 км.)</t>
  </si>
  <si>
    <t>Строительство ВЛ 0,4 кВ от ВЛ 0,4 кВ №3 ТП 6/0,4 кВ №25 по КЛ 6 кВ №11 ПС Т-5 для технологического присоединения: жилого дома заявителя (Лядов К.Е.) по адресу: Ростовская обл., г. Таганрог, ул. Криво-Кузнечная, 30 к.н. № 61:58:0002088:0:7, (ориентировочная протяженность ЛЭП – 0,13 км)</t>
  </si>
  <si>
    <t>Строительство ВЛ 0,4 кВ от ВЛ 0,4 кВ №4 ТП 6/0,4 кВ №91 по КЛ 6 кВ №49 ПС Т-25 для технологического присоединения жилого дома Заявителя (Мерцалов С.А.) по адресу: Ростовская область, г. Таганрог, ул. Крайняя, д.16 к.н. 61:58:5 62 10:28 2/560:5/62/10:1 (ориентировочная протяженность ЛЭП – 0,21 км.)</t>
  </si>
  <si>
    <t>Строительство двух КВЛ 10 кВ от вновь смонтированной ячейки I-ой и II-ой секции шин КРУН 10 кВ ПС Пролетарская для электроснабжения объекта «реконструкция резервуарного парка… ФГУ комбината «Кавказ Росрезерва (3 этап)», расположенного по адресу: Ростовская область, Пролетарский район, г. Пролетарск, к.н.: 61:31:0000000:1» (Ориентировочная протяженность ЛЭП 10 кВ -17,925 км, в том числе КЛ методом ГНБ - 1,386 км)</t>
  </si>
  <si>
    <t>Строительство ВЛ 0,4 кВ от новой ТП 10/0,4 кВ, строительство ТП 10/0,4 кВ, строительство ВЛ 10 кВ от ВЛ 10 кВ №12 ПС 110/35/10 кВ «Чалтырь» для технологического присоединения кафе Заявителя (ИП Бабаджанян А.О.) по адресу: Ростовская область, Мясниковский район, с. Чалтырь, ул.Красноармейская, д 126 к.н. №61:25:0101608:104 (ориентировочная протяженность ЛЭП 0,18 км; мощность силового трансформатора 100 кВА)</t>
  </si>
  <si>
    <t>Строительство ВЛ 0,4 кВ от новой ТП 10/0,4 кВ, строительство ТП 10/0,4 кВ, строительство ВЛ 10 кВ от ВЛ 10 кВ №13 ПС 110/35/10 кВ «Чалтырь» для технологического присоединения Заявителя (Мнацаканян С.А.) по адресу: Ростовская область, Мясниковский район, х. Ленинакан, ул. Южная 12 к.н. №61:25:0600401:1131, ул. Южная 21 к.н. №61:25:0600401:6611 (ориентировочная протяженность ЛЭП 0,045 км; мощность силового трансформатора 400 кВА)</t>
  </si>
  <si>
    <t>Строительство ВЛ 0,4 кВ от новой ТП 10/0,4 кВ, строительство ТП 10/0,4 кВ, строительство ВЛ 10 кВ от ВЛ 10 кВ №1 ПС 110/35/10 кВ «Чалтырь», запитанной от ВЛ 10 кВ №13 ПС 110/35/10 кВ Чалтырь для технологического присоединения нежилого здания Заявителя (Мнацаканян В.А.) по адресу: Ростовская область, Мясниковский район, х. Красный Крым, Краснокрымское сельское поселение, на землях колхоза «Дружба» к.н. №61:25:0600401:3887 (ориентировочная протяженность ЛЭП 0,035 км; мощность силового трансформатора 160 кВА)</t>
  </si>
  <si>
    <t>Строительство ВЛ 0,4 кВ от новой ТП 10/0,4 кВ, строительство ТП 10/0,4 кВ, строительство ВЛ 10 кВ от ВЛ 10 кВ №5 ПС 35/10 кВ Б. Салы, для технологического присоединения нежилых помещений Заявителей (ИП Поповян М.А., ИП Поповян М.А, Григорян С.В., Бугаян А.Г., Бугаян Г.А.) по адресу: Ростовская область, Мясниковский район, с. Большие Салы, северная окраина, уч. 5 к.н. 61:25:0600501:1813, уч. 2 к.н. 61:25:0600501:1812, уч.4 к.н. 61:25:0600501:1814, уч. 3 к.н. 61:25:0600501:1815, уч. 1 к.н. 61:25:0600501:1811 (ориентировочная протяженность ЛЭП 0,36 км; мощность силового трансформатора 100 кВА)</t>
  </si>
  <si>
    <t xml:space="preserve">Строительство ВЛ 0,4 кВ от новой ТП 10/0,4 кВ, строительство ТП 10/0,4 кВ, строительство ВЛ 10 кВ от ВЛ 10 кВ № 7 ПС 35/10 кВ «Б.Салы», для технологического присоединения питомника Заявителя (ИП Вареникова С.Н.) по адресу: Ростовская область, Мясниковский район, с. Большие Салы ул. 4-я Промышленная д. 30. к.н. 61:25:0600501:2054, д. 28. к.н. 61:25:0600501:2056, ул. 5-я Промышленная д. 27. к.н. 61:25:0600501:2025 (ориентировочная протяженность ЛЭП 0,93 км; мощность силового трансформатора 63 кВА)
</t>
  </si>
  <si>
    <t>Строительство ВЛ 0,4 кВ от новой ТП 10/0,4 кВ, строительство ТП 10/0,4 кВ, строительство ВЛ 10 кВ от ВЛ 10 кВ №3 ПС 110/10 кВ «Самбек», для технологического присоединения детского дошкольного учреждения Заявителя (Администрация Неклиновского района) по адресу: Ростовская область, Неклиновский район, с. Самбек, ул. Западная, 22 корп. А, к.н. 61:26:0020101:4060 (ориентировочная протяженность ЛЭП 0,2 км; мощность силового трансформатора 160 кВА)</t>
  </si>
  <si>
    <t>Строительство ВЛ 0,4 кВ от новой ТП 10/0,4 кВ, строительство ТП 10/0,4 кВ, строительство ВЛ 10 кВ от ВЛ 10 кВ №13 ПС 110/35/10 кВ «Чалтырь», для технологического присоединения производственно-складского здания Заявителя (ИП Бабиян К.М.) по адресу: Ростовская область, Мясниковский район, с. Крым ул. Большесальская д. 50 б  к.н. 61:25:0201026:285  (ориентировочная протяженность ЛЭП 0,05 км; мощность силового трансформатора 160 кВА)</t>
  </si>
  <si>
    <t>Строительство ВЛ 0,4 кВ от новой ТП 10/0,4 кВ, строительство ТП 10/0,4 кВ, строительство ВЛ 10 кВ от ВЛ 10 кВ № 7 ПС 110/35/10 кВ «Синявская», для технологического присоединения магазина Заявителя (ИП Бликян Н.Б.) по адресу: Ростовская область, Мясниковский район, х. Недвиговка ул. Ченцова д. 31 к.н. 61:25:0070101:1387 (ориентировочная протяженность ЛЭП 0,38 км; мощность силового трансформатора 100 кВА)</t>
  </si>
  <si>
    <t>Строительство ВЛ 0,4 кВ от новой ТП 10/0,4 кВ, строительство ТП 10/0,4 кВ, строительство ВЛ 10 кВ от ВЛ 10 кВ №1 ПС 110/35/10 кВ «Чалтырь», запитанной от ВЛ 10 кВ №13 ПС 110/35/10 кВ Чалтырь до новой ТП 10/0,4 кВ для технологического присоединения нежилого помещения Заявителя (Петрикин В.А.) по адресу: Ростовская область, Мясниковский район, Краснокрымское сельское поселение, х. Красный Крым, 1-й км автодороги Ростов-Новошахтинск, Промышленная зона, 1-й проезд, уч. 8/а, к.н. 61:25:0600401:13298. (ориентировочная протяженность ЛЭП 0,02 км; мощность силового трансформатора 25 кВА)</t>
  </si>
  <si>
    <t>Строительство ТП 10/0,4 кВ, строительство ВЛ 10 кВ от ВЛ 10 кВ №1 ПС 110/35/10 кВ «Чалтырь»  до новой ТП 10/0,4 кВ для технологического присоединения нежилого помещения Заявителя (ООО «СИНЕРГИЯ») по адресу: Ростовская область, Мясниковский район, 0-й+810 км автодороги Ростов-на-Дону – Новошахтинск, к.н. 61:25:0600401:10433. (ориентировочная протяженность ЛЭП 0,01 км; мощность силового трансформатора 40 кВА)</t>
  </si>
  <si>
    <t>Строительство ВЛ 10 кВ от ВЛ 10 кВ №1 ПС 35/10 кВ Чалтырь отпайки на ТП 10/0,4 кВ №1-133 до новой ТП 10/0,4 кВ, строительство ТП 10/0,4 кВ у границы земельного участка заявителя (Гукова И.А.) (ориентировочная протяженность ЛЭП - 0,11 км, ориентировочная мощность ТП – 100 кВА)</t>
  </si>
  <si>
    <t>Строительство ВЛ 0,4 кВ от новой ТП 10/0,4 кВ, строительство ТП 10/0,4 кВ, строительство ВЛ 10 кВ от ВЛ 10 кВ №6 ПС 35/10 кВ «Б.Салы» для технологического присоединения жилых домов Заявителей по адресу: Ростовская область, Мясниковский район, с. Большие Салы, ул. Бакинская, ул. Тбилисская, ул. Армянская, ул. Ростовская, ул. Ярославская, ул. Белорусская, ул. Московская (ориентировочная протяженность ЛЭП 1,98 км; мощность силового трансформатора 400 кВА)</t>
  </si>
  <si>
    <t>Строительство КЛ-10 кВ от вновь установленной опоры ВЛ-10 кВ «Сельхозтехника» от ПС 35/6 кВ Ш-39, с установкой ТП-10/0,4 кВ, и строительство ВЛИ-0,4 кВ от вновь установленной ТП-10/0,4 кВ  для присоединения нежилого здания Маилян М.С.(ориентировочная протяженность ЛЭП- 0,105 км, ориентировочная мощность трансформатора 160 кВА)</t>
  </si>
  <si>
    <t>Строительство ТП-6/0,4, ВЛ-6 кВ от существующей оп. №63 ВЛ 6 кВ АБЗ ПС Ш-15, и ВЛИ-0,4 кВ от вновь установленной ТП-6/0,4 кВ для присоединения нежилого помещения ИП Маилян М.С. (ориентировочная протяженность ЛЭП 0,015 км, ориентировочная мощность трансформатора 160 кВА)</t>
  </si>
  <si>
    <t>Строительство ТП-10/0,4 кВ, участка ВЛ-10 кВ от существующей оп. №23 ВЛ-10 кВ «Дружба» от ПС С-5 и ВЛИ-0,4 кВ от вновь установленной ТП-10/0,4 кВ для присоединения сельскохозяйственной ярмарки ИП Шумилин Б.А. (ориентировочная протяженность ЛЭП 6,2 км, ориентировочная мощность трансформатора 63 кВА)</t>
  </si>
  <si>
    <t>Строительство ВЛ-10 кВ от оп.17 отпайки на КТП В-5 по ВЛ-10 кВ «Прохоровка» от ПС Н-22, с установкой ТП-10/0,4 кВ и ВЛИ-0,4 для присоединения распределительного щита максимальной мощности 15кВт: Ростовская обл., р-н. Родионово-Несветайский, 2150м северо-восточнее от сл. Алексеево-Тузловка, (ФГКУ «ПУ ФСБ РФ по РО»). (ориентировочная протяженность ЛЭП 2,4 км, ориентировочная мощность трансформатора 25 кВА)</t>
  </si>
  <si>
    <t xml:space="preserve"> Строительство ВЛИ-0,4 кВ от вновь установленной ТП-10/0,4 кВ строящейся ВЛ-10 кВ от существующей оп. №112 ВЛ-10 кВ «Огиб» Ш-26 для присоединения ветеринарно наблюдательного пункта водно биологических ресурсов и аквакультуры в ст.Усть-Быстрянской, Усть-Донецкого района (ориентировочная протяженность ЛЭП 0,630 км, ориентировочная мощность трансформатора 100 кВА)</t>
  </si>
  <si>
    <t>Строительство ТП-6/0,4 кВ,  строительство участка ВЛ-6 кВ от существующей оп. №48  ВЛ-6 кВ «Поселок» от   ПС Ш-41 и строительство ВЛИ-0,4 кВ от вновь установленной ТП-6/0,4 кВ  для присоединения центра гребного спорта ООО «Ростовская областная Федерация Гребли на Байдарках и Каноэ»» (ориентировочная протяженность ЛЭП 0,015 км, ориентировочная мощность трансформатора 25 кВА)</t>
  </si>
  <si>
    <t>Строительство участка ВЛ-6 кВ от существующей оп. №25 отпайки к КТП 6/0,4 кВ №110 по ВЛ-6 кВ «Орошение», с установкой ТП-6/0,4 кВ, и строительство ВЛИ-0,4 кВ от вновь установленной ТП-6/0,4 кВ для присоединения домика охотника и рыболова. Ростовская область, г. Красный Сулин, 1,3 км. на юго-запад от дома №29 по пер. Русский (Мелихов А.В.) (ориентировочная протяженность ЛЭП 0,485 км, ориентировочная мощность трансформатора 63 кВА)</t>
  </si>
  <si>
    <t>Строительство ВЛИ-0,4 кВ от оп.39 по ВЛ-0,4кВ № 1от КТП 10/0,4кВ  № 124 по ВЛ-10кВ «Юдино» ПС Н-19 для электроснабжения жилого дома Васильева Ш.И. Родионово-Несветайский р-н, х. Волошино, ул. Северная, д. 10 (ориентировочная протяженность ЛЭП – 0,160 км)</t>
  </si>
  <si>
    <t>Строительство ВЛИ-0,4 кВ от оп. №39 ВЛ-0,4 кВ №3 КТП №96 ВЛ-10 кВ  «Родина» от ПС 110/10 кВ Ш-42 для электроснабжения садового дома в п. Новосветловский, Октябрьского района Ростовской области ( Черный В.Д.) (ориентировочная протяженность ЛЭП – 0,135 км)</t>
  </si>
  <si>
    <t>Строительство ВЛИ-0,4 кВ от оп. №7 ВЛИ-0,4 кВ №2 КТП №654 ВЛ-10 кВ Совхоз от ПС 110 кВ Ш-16 для электроснабжения блокированных жилых домов Арутюновой В.К. Октябрьский район, п. Каменоломни, ул. Пролетарская, д.71, д.73. (ориентировочная протяженность ЛЭП – 0,26 км)</t>
  </si>
  <si>
    <t>Строительство ВЛИ-0,4 кВ от оп. №6 ВЛИ-0,4 кВ №1 КТП №670 ВЛ-10 кВ Совхоз от ПС 110 кВ Ш-16 для электроснабжения жилого дома Антошкина Е.А. Ростовская область Октябрьский район, п. Красногорняцкий, ул. Кудаченко, д.2. (ориентировочная протяженность ЛЭП – 0,03 км)</t>
  </si>
  <si>
    <t xml:space="preserve"> Строительство участка ВЛЗ-10кВ от ВЛ-10кВ «Жилмасив» ПС 110/35/10кВ Ш-34, с установкой ТП-10/0,4 кВ, и строительство ВЛИ-0,4 кВ от вновь установленной ТП-10/0,4 кВ для присоединения хозяйственных построек Дуванова А.Б. в ст.Мелиховской, Усть-Донецкого района (ориентировочная протяженность ЛЭП 0,245 км, ориентировочная мощность трансформатора 25 кВА)</t>
  </si>
  <si>
    <t>Строительство ВЛИ-0,4 кВ от оп.24 по ВЛ-0,4кВ №1 от КТП 6/0,4 кВ  №228 по ВЛ-6кВ Кривянка ПС Ш-43 для электроснабжения жилого дома Антоновой Н.В. Октябрьский р-н, ст-ца Кривянская, пер. Дальний,  д. 1А. (ориентировочная протяженность ЛЭП – 0,035 км)</t>
  </si>
  <si>
    <t>Строительство ТП-10/0,4, ВЛ-10 кВ от существующей оп.№ 62 за Р-7 ВЛ-10кВ «Кутейниково» ПС Н-9, и ВЛИ-0,4 кВ от вновь установленной ТП-10/0,4 кВ для присоединения площадки водопроводных сооружений: ул.Папанина,5, сл. Родионово-Несветайская, Родионово-Несветайский  район ( Администрация Родионово-Несветайского района) (ориентировочная протяженность ЛЭП 0,185 км, ориентировочная мощность трансформатора 63 кВА)</t>
  </si>
  <si>
    <t>Строительство ТП-6/0,4 кВ, строительство участка ВЛ-6 кВ от существующей оп. №11 ВЛ-6 кВ «Россия» от   ПС Ш-12 и строительство ВЛИ-0,4 кВ от вновь установленной ТП-6/0,4 кВ для присоединения нежилого здания Витковского В.В. Октябрьский район, г. Шахты, ул. Келдыша, д. 1-в (ориентировочная протяженность ЛЭП 0,285 км, ориентировочная мощность трансформатора 25 кВА)</t>
  </si>
  <si>
    <t>Строительство ВЛИ-0,4 кВ от РУ-0,4 кВ КТП 10/0,4 кВ №691 по ВЛ 10 кВ Сельхозтехника ПС Ш-39 для присоединения торгового павильона ИП Ванян А.К. Ростовская область, Октябрьский район, п. Персиановский, ул. Школьная, 37 (ориентировочная протяженность ЛЭП 0,095 км)</t>
  </si>
  <si>
    <t>Строительство ВЛИ-0,4 кВ от оп.17 по ВЛ-0,4кВ №2 от КТП 10/0,4 кВ № 533 по ВЛ-10кВ Красюковка ПС Ш-39 для электроснабжения жилого дома Любохинец Л.В. Ростовская обл., Октябрьский р-н, сл. Красюковская, ул. Вишневая, д. 15 (ориентировочная протяженность ЛЭП – 0,1 км)</t>
  </si>
  <si>
    <t>Строительство участка ВЛ-6 кВ от существующей оп. №2 отпайки на КТП №41 ВЛ-6 кВ «Совхоз-10» от ПС Ш-12, с установкой ТП-10/0,4 кВ, и строительство ВЛИ-0,4 кВ от вновь установленной ТП-10/0,4 кВ для присоединения жилых домов Шишкова И.П. (ориентировочная протяженность ЛЭП 0,2 км, ориентировочная мощность трансформатора 63 кВА)</t>
  </si>
  <si>
    <t>Строительство участка ВЛ-10 кВ от существующей оп. №10 ВЛ-10 кВ «СТФ» от   ПС Ш-38, с установкой ТП-10/0,4 кВ, и строительство ВЛИ-0,4 кВ от вновь установленной ТП-10/0,4 кВ для присоединения жилых домов Михайльо М.М., Колубелова Е.А.  (ориентировочная протяженность ЛЭП 0,13 км, ориентировочная мощность трансформатора 100 кВА)</t>
  </si>
  <si>
    <t>Строительство участка ВЛИ-0,4кВ от ВЛ-0,4кВ КТП №332 ВЛ-10кВ «КРС» ПС 110/35/10кВ Ш-34, для присоединения жилого дома Скопинцева С.Н. в ст. Раздорской Усть-Донецкого района (ориентировочная протяженность ЛЭП 0,125 км)</t>
  </si>
  <si>
    <t>Строительство ВЛИ-0,4 кВ от оп. №107 ВЛИ-0,4 кВ №3 от КТП №227 ВЛ-6 кВ  «Поселок» от ПС 35/6кВ Ш-41 для электроснабжения   жилого дома в ст. Бессергеневская, ул. Песчанная, д. 49-б (Барзыкин С.В) Октябрьского района Ростовской области  (ориентировочная протяженность ЛЭП – 0,205 км)</t>
  </si>
  <si>
    <t>Строительство ВЛИ-0,4 кВ от конечной опоры строящейся ВЛ-0,4 кВ (по договору №61-1-19-00425003 от 14.02.2019) для электроснабжения   жилого дома Выпряжкина Е.И.  в х. Яново-Грушевский, с/т «Электровозостроитель» уч. №1 Октябрьского района Ростовской области (ориентировочная протяженность ЛЭП – 0,23 км)</t>
  </si>
  <si>
    <t>Строительство участка ВЛ-6 кВ от существующей оп. №99 отпайки на КТП №458(на балансе Государственной компании «Автодор») подключенной от оп. №227 по ВЛ-6 кВ «Мир» ПС 35/6 кВ Г-6, с установкой ТП-6/0,4 кВ, и строительство ВЛИ-0,4 кВ от вновь установленной ТП-6/0,4 кВ для присоединения ВРУ-0,4 кВ вышки сотовой связи, Ростовская обл, Красносулинский район, х. Русско-Прохоровский, СПК «Дружба» (ИП Хлопонин И. П) (ориентировочная протяженность ЛЭП 0,05 км, ориентировочная мощность трансформатора 25 кВА)</t>
  </si>
  <si>
    <t>Строительство участка ВЛ-10 кВ от ВЛ-10 кВ «Крымский» ПС Ш14, с установкой ТП-10/0,4 кВ, и строительство ВЛИ-0,4 кВ для присоединения фермы, х. Крымский, Усть-Донецкого района ИП Максименко А.А. (ориентировочная протяженность ЛЭП 0,75 км, ориентировочная мощность трансформатора 0,25 МВА)</t>
  </si>
  <si>
    <t>Строительство ВЛ-0,4 кВ от существующей оп. №7 по ВЛ 0,4 кВ №1 от КТП № 126 по ВЛ-6 кВ «Кадамовка» для присоединения домика фермера Сулименко И.А., расположенного в 2,13 км. На юго-восток от х.Садки (ориентировочная протяженность ВЛ 0,39 км)</t>
  </si>
  <si>
    <t>Строительство участка ВЛ-6 кВ от существующей оп. №72 отпайки к КТП №165 по ВЛ-6 кВ «Платово», с установкой ТП-6/0,4 кВ, и строительство ВЛИ-0,4 кВ для присоединения жилого дома Головешкиной М.В. (ориентировочная протяженность ЛЭП 0,495 км, ориентировочная мощность трансформатора 0,025 МВА)</t>
  </si>
  <si>
    <t>Строительство ВЛИ-0,4 кВ от РУ-0,4 кВ  КТП №188 ВЛ-10 кВ  «Зверпромхоз» от ПС 110/10 кВ Ш-42 для электроснабжения   фермы в сл. Красюковская, Октябрьского района Ростовской области ( Деулин Ю.А) (ориентировочная протяженность ЛЭП – 0,535 км)</t>
  </si>
  <si>
    <t>Строительство ТП-6/0,4 кВ, строительство участка ВЛ-6 кВ от проектируемой опоры по договору №61-1-18-00389177 от 30.07.2019 от оп. №58 отпайки на КТП №66 по ВЛ-6кВ «Совхоз-10» от ПС Ш-12 и строительство ВЛИ-0,4 кВ от вновь установленной ТП-6/0,4 кВ для присоединения ангара ИП Коваленко Д.О. (ориентировочная протяженность ЛЭП 0,03 км, ориентировочная мощность трансформатора 160 кВА)</t>
  </si>
  <si>
    <t>Строительство ВЛИ-0,4 кВ от  оп.2 ВЛ 0,4 кВ № 2 от КТП 10/0,4кВ  № 230 по ВЛ-10кВ «Кутейниково» ПС Н-9 для  электроснабжения жилого дома Белёвой Е.Д. в сл. Родионово-Несветайская. ориентировочная протяженность ЛЭП – 0,500  км</t>
  </si>
  <si>
    <t>Строительство ВЛИ-0,4 кВ от оп. №15 ВЛИ-0,4 кВ №1 КТП №657 ВЛ-6 кВ  Рыбхоз от ПС 35кВ Ш-41 для электроснабжения жилого дома в х. Калинин, пер. Атаманский, д.7, Октябрьского района Ростовской области (Погорелов А.И.) (ориентировочная протяженность ЛЭП – 0,150 км)</t>
  </si>
  <si>
    <t>Строительство участка ВЛЗ-10кВ от ВЛ-10кВ «Апаринка» ПС 110/35/27,5/10кВ Ш-14, с установкой ТП-10/0,4 кВ, и строительство ВЛИ-0,4 кВ от вновь установленной ТП-10/0,4 кВ для присоединения дачных домов  Демьяновой С.В., Заиченко С.Ю., Долотов В.А. в х.Апаринском, Усть-Донецкого района (ориентировочная протяженность ЛЭП 0,140 км, ориентировочная мощность трансформатора 250 кВА)</t>
  </si>
  <si>
    <t>Строительство ВЛИ-0,4кВ от ВЛ-0,4кВ ТП №251 ВЛ-10кВ «Жилмассив» ПС 110/35/10кВ Ш-34 для присоединения жилых домов Нечипоренко Т.И. Кулешовой Я.С. Кулешовой С.С. в п. Донские Зори Усть-Донецкого района (ориентировочная протяженность ЛЭП 0,305 км)</t>
  </si>
  <si>
    <t>Строительство ВЛИ-0,4 кВ от оп. №4 ВЛИ-0,4 кВ №1 КТП №607 по ВЛ-10 кВ «Комсомолец» от ПС 110/35/10кВ Ш-35 для электроснабжения базовой станции сотовой связи №61-01899 в п. Новозарянский Октябрьского района Ростовской области (ПАО «МТС») (ориентировочная протяженность ЛЭП – 0,155 км)</t>
  </si>
  <si>
    <t>Строительство ТП-10/0,4 кВ от существующей оп. №28 ВЛ 10 кВ «Полив» ПС 35/10 кВ Н-19 и ВЛИ-0,4 кВ от вновь установленной ТП-10/0,4 кВ для присоединения фермы: Ростовская обл., р-н. Родионово-Несветайский, х. Волошино, юго-западная окраина х.Волошино,( Глава К(Ф)Х ИП Степаненко А.А.) (ориентировочная протяженность ЛЭП 0,005км, ориентировочная мощность трансформатора 25 кВА)</t>
  </si>
  <si>
    <t>Строительство ВЛИ-0,4 кВ от оп. №9 ВЛ-0,4 кВ № 1 от КТП 10/0,4 кВ № 66 по ВЛ-10 кВ «Молблок» от ПС Н-21 для присоединения БС № 61-02310 (ПАО «МТС») ориентировочная протяженность ЛЭП – 0,250 км</t>
  </si>
  <si>
    <t>Строительство ВЛИ-0,4 кВ от опоры №45 по ВЛ-0,4кВ № 1 от   КТП 10/0,4кВ  № 82 по ВЛ-10кВ «Юдино» ПС Н-19 для электроснабжения жилого дома Ганцовой А.Х. Родионово-Несветайский р-н, х. Юдино, ул. Новоселов,  д. 22А (ориентировочная протяженность ЛЭП – 0,07 км)</t>
  </si>
  <si>
    <t>Строительство ВЛИ-0,4 кВ от оп.13 по ВЛ-0,4кВ № 2 от   КТП 10/0,4кВ № 230 по ВЛ-10кВ «Кутейниково» ПС Н-9 для электроснабжения жилого дома Злогодухова А.С. Родионово-Несветайский р-н сл. Родионово-Несветайская ул. Покрышкина, д. 50А (ориентировочная протяженность ЛЭП – 0,12 км</t>
  </si>
  <si>
    <t>Строительство ВЛИ-0,4 кВ от оп.34 по ВЛ-0,4кВ № 2 от   КТП 10/0,4кВ  № 214 по ВЛ-10кВ «Ростовский» ПС Н-9 для электроснабжения блокированных жилого дома Мирущенко Н.П. Родионово-Несветайский р-н, х. Веселый, ул. Новая,  д. 23 (ориентировочная протяженность ЛЭП – 0,160 км)</t>
  </si>
  <si>
    <t>Строительство ВЛИ-0,23 кВ от РУ 0,4кВ КТП 10/0,4кВ № 508 по ВЛ-10кВ «КРС» ПС Н-9 для электроснабжения жилого дома Серенко Н.А. Родионово-Несветайский р-н сл. Родионово-Несветайская, ул. Сосновая, д. 5А (ориентировочная протяженность ЛЭП – 0,10 км)</t>
  </si>
  <si>
    <t>Строительство ВЛИ-0,4 кВ от оп.31 по ВЛ-0,4кВ №2 от КТП 10/0,4 кВ  №135 по ВЛ-10кВ Летний Гурт-Горняк ПС Ш-48 для электроснабжения нежилого здания ООО «Джамп» Ростовская обл., Октябрьский р-н, автодорога г.Шахты-ст.Раздорская -а/д «Шахты-Цимлянск» 14км+190м (слева) (ориентировочная протяженность ЛЭП – 0,15 км)</t>
  </si>
  <si>
    <t>Строительство ТП-6/0,4, ВЛ-6 кВ от существующей оп. №3 отпайки к КТП №214 по ВЛ 6 кВ Прогресс ПС Ш-41, и ВЛИ-0,4 кВ от вновь установленной ТП-6/0,4 кВ для присоединения девяти жилых домов в ст. Заплавская, Октябрьского района, Ростовской области (ориентировочная протяженность ЛЭП 1,020 км, ориентировочная мощность трансформатора 160 кВА)</t>
  </si>
  <si>
    <t>Строительство участка ВЛ-10 кВ от существующей оп. №43 по ВЛ-10 кВ «Дружба» от ПС С-5, с установкой ТП-10/0,4 кВ, и строительство ВЛИ-0,4 кВ от вновь установленной ТП-10/0,4 кВ для присоединения сельского дома культуры в Красносулинском районе, ст. Владимировская, ул. Ленина, (ориентировочная протяженность ЛЭП 0,337 км, ориентировочная мощность трансформатора 250 кВА)</t>
  </si>
  <si>
    <t>Строительство ВЛИ-0,4 кВ от оп. №24 ВЛИ-0,4 кВ №1 МТП №802 ВЛ-10 кВ Красюковка ПС Ш-39 для электроснабжения двух садовых домов СТ «Электровозостроитель» (Кривцов С.Я., Мельникова Е.Н.) (ориентировочная протяженность ЛЭП – 0,04 км)</t>
  </si>
  <si>
    <t>Строительство ВЛИ-0,4 кВ от оп. №11 ВЛИ-0,4 кВ №1 МТП №802 ВЛ-10 кВ Красюковка ПС Ш-39 для электроснабжения садового дома Коломиец Е.А в СТ «Электровозостроитель» (ориентировочная протяженность ЛЭП – 0,15 км)</t>
  </si>
  <si>
    <t>Строительство ТП-10/0,4, ВЛ-10 кВ от существующей оп. №3 отпайки к КТП 1 по ВЛ 10 кВ Красюковка ПС Ш-39, и ВЛИ-0,4 кВ от вновь установленной ТП-10/0,4 кВ для присоединения дошкольной образовательной организации на 120 мест в сл. Красюковская, Октябрьского района, Ростовской области (ориентировочная протяженность ЛЭП 0,34 км, ориентировочная мощность трансформатора 160 кВА)</t>
  </si>
  <si>
    <t>Строительство ТП-10/0,4, ВЛ-10 кВ от существующей оп. №29 отпайки к КТП 434 по ВЛ 10 кВ Зверпромхоз ПС Ш-42, и ВЛИ-0,4 кВ от вновь установленной ТП-10/0,4 кВ для присоединения шести жилых домов в п. Персиановский, Октябрьского района, Ростовской области (ориентировочная протяженность ЛЭП 1,385 км, ориентировочная мощность трансформатора 100 кВА)</t>
  </si>
  <si>
    <t>Строительство участка ВЛЗ10 кВ от ВЛ10 кВ Жилмассив ПС 110/35/10 Ш34, с установкой ТП 10/0,4 кВ, и строительство ВЛИ 0,4 кВ от вновь установленной ТП 10/0,4 кВ для присоединения ВРУ-0,4 кВ нежилого здания, ИП Кононов В.В. в ст. Мелиховская Усть-Донецкого района (ориентировочная протяженность ЛЭП 0,085 км, ориентировочная мощность трансформатора 0,25 МВА)</t>
  </si>
  <si>
    <t>Строительство ТП-6/0,4, ВЛ-6 кВ от существующей оп. №19 ВЛ 6 кВ Пушкино ПС С-2, и ВЛИ-0,4 кВ от вновь установленной ТП-6/0,4 кВ для присоединения ангара ИП Оверченко Д.Ю., Ростовская область, Красносулинский район, х. Клевцово, с/п «Пролетарское»
(ориентировочная протяженность ЛЭП 0,12 км. ориентировочная мощность трансформатора 250 кВА)</t>
  </si>
  <si>
    <t>Строительство участка ВЛ-6 кВ от оп. №10 ЛЭП 6 кВ строящейся по договору №61-1-20-00511053 от 15.06.2020г. с Мелиховым А.В, по ВЛ-6 кВ «Орошение» ПС 110/35/6 кВ Н-8, с установкой МТП-6/0,4 кВ, и строительство ВЛИ-0,4 кВ от вновь установленной МТП-6/0,4 кВ для присоединения ВРУ-0,4 кВ производственного здания/помещения, Ростовская обл, г.Красный Сулин, Красносулинское городское поселение, ул.Заводская, д.1 (ООО «ЮжСталь) (ориентировочная протяженность ЛЭП 0,04 км, ориентировочная мощность трансформатора 160 кВА)</t>
  </si>
  <si>
    <t>Строительство ВЛИ-0,4 кВ от РУ-0,4 кВ МТП №803 ВЛ-10 кВ Красюковка ПС Ш-39 для электроснабжения пяти жилых домов Ростовская обл., Октябрьский р-н, садоводческое товарищество «Электровозостроитель», уч.111, уч.123, уч.70, уч.69, уч.68 (ориентировочная протяженность ЛЭП – 0,75 км)</t>
  </si>
  <si>
    <t>Строительство ВЛ 0,4 кВ от новой ТП 10/0,4 кВ, строительство ТП 10/0,4 кВ, строительство ВЛ 10 кВ от ВЛ-10 кВ №5 ПС 110/35/10 кВ Алексеевская, для технологического присоединения ВРУ-0,4 кВ жилого дома заявителя (Симонян Е.М.) по адресу: Ростовская обл., р-н М-Курганский, х. Староротовка, ул. Рябиновая 13, к.н. 61:21:0010401:752 (ориентировочная протяжённость ЛЭП 0,09 км; мощность силового трансформатора 250 кВА)</t>
  </si>
  <si>
    <t>Строительство участка ВЛ 0,4 кВ от проектируемой ВЛ-0,4 кВ по договору № 61-1-16-00289471 от 20.12.2016 г. для технологического присоединения ВРУ-0,4 кВ личного подсобного хозяйства заявителя (Корниенко А.А.) по адресу: Ростовская обл., Неклиновский р-н, с. Николаевка, пер. Ломоносовский, д. 39-а, к. н. 61:26:0110101:9259 (ориентировочная протяженность ЛЭП 0,04 км)</t>
  </si>
  <si>
    <t>Строительство ВЛ 0,4 кВ от новой ТП 10/0,4 кВ, строительство ТП 10/0,4 кВ, строительство ВЛ 10 кВ от ВЛ 10 кВ №1 ПС 110/35/10 кВ Чалтырь, отпайки на ТП №1-189А, для технологического присоединения жилых домов Заявителя (Дзиваян С.Х.) по адресу: Ростовская область, Мясниковский район, х. Красный Крым, ул. Российская, д.32 к.н. 61:25:0600401:9953, д.34 к.н. 61:25:0600401:9952, д.3 к.н. 61:25:0600401:9714, д.26 к.н. 61:25:0600401:9743, д.25 к.н. 61:25:0600401:9729 (ориентировочная протяженность ЛЭП 0,07 км; мощность силового трансформатора 250 кВА)</t>
  </si>
  <si>
    <t>Строительство ВЛ 0,4 кВ от новой ТП 10/0,4 кВ, строительство ТП 10/0,4 кВ, строительство ВЛ 10 кВ от ВЛ 10 кВ № 13 ПС 110/35/10 кВ «Чалтырь», для технологического присоединения нежилого помещения Заявителя (ИП Халамбащян А.В.) по адресу: Ростовская область, Мясниковский район, с. Чалтырь земли колхоза имени Мясникяна к.н. 61:25:0000000:6050  (ориентировочная протяженность ЛЭП 0,84 км; мощность силового трансформатора 25 кВА)</t>
  </si>
  <si>
    <t>Строительство ВЛ 0,4 кВ от ВЛ 0,4 кВ №1 КТП №223 ВЛ 10 кВ №3 ПС 110/10 кВ «Некрасовская» для технологического присоединения жилого дома Заявителя (Жерносек А.И.) по адресу: Ростовская область, Неклиновский район, х. Жатва, ул. Полевая, 16, к.н. 61:26:0130701:2 (ориентировочная протяженность ЛЭП 0,25 км)</t>
  </si>
  <si>
    <t xml:space="preserve">Строительство ВЛ 0,4 кВ от ВЛ 0,4 кВ №3 ТП 10/0,4 кВ №1-54 по ВЛ 10 кВ №1 ПС 110/35/10 кВ «Чалтырь» для технологического присоединения жилых домов заявителей (Алейникова Н.Г., Сагамонова О.И.) по адресу: Ростовская область, Мясниковский район, х. Ленинаван ул. Садовая 1/3 к.н.61:25:0030202:4236; ул. Садовая 1/11 к.н .61:25:0030202:4244 (ориентировочная протяженность ЛЭП 0,25 км)
</t>
  </si>
  <si>
    <t>Строительство ВЛ 0,4 кВ от ВЛ 0,4 кВ №1 ТП 10/0,4 кВ №2-4 по ВЛ 10 кВ №2 ПС 110/35/10 кВ Чалтырь для технологического присоединения жилого дома заявителя (Талошный С.В.) по адресу: Ростовская область, Мясниковский район, с. Султан Салы ул. Селиверстова д. 5 г к.н.61:25:0030401:1398 (ориентировочная протяженность ЛЭП 0,37 км)</t>
  </si>
  <si>
    <t>Строительство ВЛ 0,4 кВ от новой ТП 10/0,4 кВ, строительство ТП 10/0,4 кВ, строительство ВЛ 10 кВ от ВЛ 10 кВ №5 ПС 110/10 кВ «Лиманная», для технологического присоединения нежилого помещения Заявителя (ИП Неткачев А.В.) по адресу: Ростовская область, Неклиновский район, х. Павло-Мануйловский, ул. Родниковая, 41-а, к.н. 61:26:0090801:272 (ориентировочная протяженность ЛЭП 0,74 км; мощность силового трансформатора 160 кВА)</t>
  </si>
  <si>
    <t>Строительство ВЛ 0,4 кВ от новой ТП 10/0,4 кВ, строительство ТП 10/0,4 кВ, строительство ВЛ 10 кВ от ВЛ 10 кВ № 3 ПС 35/10 кВ «ГСКБ», для технологического присоединения нежилого помещения Заявителя (ИП Саркисян Б.В.) по адресу: Ростовская область, Неклиновский район, с. Комаровка, ул. Мирная, 1-В к.н. 61:25:0180301:967 (ориентировочная протяженность ЛЭП 0,16 км; мощность силового трансформатора 160 кВА)</t>
  </si>
  <si>
    <t>Строительство ВЛ 0,4 кВ от ВЛ 0,4 кВ проектируемой по договору №61-1-18-00404885 от ТП 10/0,4 кВ №7-21 по ВЛ 10 кВ №7 ПС 110/35/10 кВ Синявская, для технологического присоединения жилых домов Заявителей (Сербин В.В., Гужавин А.В., Сухоносова Е.С.)  по адресу: Ростовская область, Мясниковский район, х. Недвиговка, ул. Успенская (ориентировочная протяженность ЛЭП – 0,38 км.)</t>
  </si>
  <si>
    <t>Строительство ВЛ 0,4 кВ от ВЛ 0,4 кВ №2 ТП 10/0,4 кВ №7-13 по ВЛ 10 кВ №7 ПС 110/35/10 кВ Синявская для технологического присоединения жилых домов Заявителей (Заболотнева А.В., Криволапов И.Е., Мочкаева С.А., Солянкина Э.С.) по адресу: Ростовская область, Мясниковский район, х. Хапры, ул. Гагарина д.45, д.47, пер. Костенко д.11, д.14 (ориентировочная протяженность ЛЭП 0,6 км)</t>
  </si>
  <si>
    <t>Строительство КВЛ 0,4 кВ от КТП 10/0,4 кВ №316 ВЛ 10 кВ №4 ПС 110/10 кВ «Самбек» для технологического присоединения парковой зоны военно-исторического комплекса «Самбекские высоты» Заявителя (Администрация Самбекского с.п.) по адресу: Ростовская область, Неклиновский район, 50 м западнее с. Самбек, к.н. 61:26:0600015:3453 (ориентировочная протяженность ЛЭП 0,24 км)</t>
  </si>
  <si>
    <t>Строительство ВЛ 0,4 кВ от новой ТП 10/0,4 кВ, строительство ТП 10/0,4 кВ, строительство ВЛ 10 кВ от ВЛ 10 кВ №1 ПС 110/35/10 кВ «Чалтырь», отпайки на ТП 10/0,4 кВ №1-8, для технологического присоединения станции техобслуживания, автомойки, АБК Заявителя (ИП Батыжев Р.Х.) по адресу: Ростовская область, Мясниковский район, х. Ленинакан ул. Торговый проспект 19, к.н. 61:25:0600401:10478 (ориентировочная протяженность ЛЭП 0,06 км; мощность силового трансформатора 160 кВА)</t>
  </si>
  <si>
    <t>Строительство ВЛ 0,4 кВ от ВЛ 0,4 кВ №3 ТП 10/0,4 кВ №265м по ВЛ 10 кВ №3 ПС 35/10 кВ «Русский Колодец» для технологического присоединения жилого дома Заявителя (Гуляева Г.А.) по адресу: Ростовская область, Неклиновский район, х. Ключникова Балка, ул. Пушкина, 54, к.н. 61:26:0070501:76 (ориентировочная протяженность ЛЭП 0,12 км)</t>
  </si>
  <si>
    <t>Строительство ВЛ 0,4 кВ от ВЛ 0,4 кВ №2 ТП 10/0,4 кВ №1-133 по ВЛ 10 кВ №1 ПС 110/35/10 кВ «Чалтырь» для технологического присоединения; жилых домов заявителей (Бабиева С.Е., Керимова Л.К., Пегливанов В.Х.) по адресу: Ростовская область, Мясниковский район, х. Ленинаван ул. Мясникяна 74 к.н. 61:25:0600401:11498, ул. 70 лет Победы 19 к.н. 61:25:0600401:11502, ул. 70 лет Победы 22/78 к.н. 61:25:0600401:11497,  (ориентировочная протяженность ЛЭП 0,14 км)</t>
  </si>
  <si>
    <t>Строительство ВЛ 0,4 кВ от ВЛ 0,4 кВ №1 КТП 10/0,4 кВ №134 ВЛ 10 кВ №6 ПС 110/10 кВ «Самбек» для технологического присоединения магазина Заявителя (Шевченко Р.Л.) по адресу: Ростовская область, Неклиновский р-н, с. Вареновка, ул. Партизанская, 2 Б, к.н. 61:26:0600015:984 (ориентировочная протяженность ЛЭП 0,145 км)</t>
  </si>
  <si>
    <t>Строительство ВЛ 0,4 кВ от новой ТП 10/0,4 кВ, строительство ТП 10/0,4 кВ, строительство ВЛ 10 кВ от ВЛ 10 кВ №1 ПС 35/10 кВ «Лакадемоновская» для технологического присоединения жилых домов Заявителя (Чичканова Е.Ю.) по адресу: Ростовская область, Неклиновский район, с. Малофедоровка, ул. Лиманная, 19, 31, 43, 49, 58, 68 (ориентировочная протяженность ЛЭП 0,71 км; мощность силового трансформатора 630 кВА)</t>
  </si>
  <si>
    <t>Строительство ВЛ 0,4 кВ от РУ 0,4 кВ ТП 10/0,4 кВ №1-208 по ВЛ 10 кВ №1 ПС 110/35/10 кВ Чалтырь для технологического присоединения жилых домов Заявителей (Никишов А.С., Борисова А.А., Борисов С.Ю., Борисов Д.С., Горьковая А.Н.) по адресу: Мясниковский район, х. Красный Крым (ориентировочная протяженность ЛЭП 0,45 км)</t>
  </si>
  <si>
    <t>Строительство ВЛ 0,4 кВ от КТП 10/0,4 кВ №849 ВЛ 10 кВ №5/3 ПС 110/35/10 кВ «Троицкая-1» для технологического присоединения нежилого помещения Заявителя (Малахова Е.В.) по адресу: Ростовская область, г. Таганрог, Николаевское шоссе, 14-В, к.н. 61:58:0005268:36 (ориентировочная протяженность ЛЭП 0,28 км)</t>
  </si>
  <si>
    <t>Строительство ВЛ 0,4 кВ от новой ТП 10/0,4 кВ, строительство ТП 10/0,4 кВ, строительство ВЛ 10 кВ от ВЛ 10 кВ №6 ПС 110/10 кВ «Самбек», для технологического присоединения жилого дома Заявителя (Гладких С.В.) по адресу: Ростовская область, Неклиновский район, п. Ореховый, ул. Ростовская, 27, к.н. 61:26:0600014:1512 (ориентировочная протяженность ЛЭП 1,74 км; мощность силового трансформатора 25 кВА)</t>
  </si>
  <si>
    <t>Строительство ВЛ 0,4 кВ от РУ 0,4 кВ ТП 10/0,4 кВ, строительство ТП 10/0,4 кВ, строительство ВЛ 10 кВ от ВЛ 10 кВ №2 отпайки на ТП 10/0,4 кВ №2-6 ПС 110/35/10 кВ Чалтырь для технологического присоединения нежилого помещения Заявителя: (Саркисян С.А.), по адресу: Мясниковский район, земли колхоза «Дружба», ориентир с. Султан Салы, примерно 300м. от ориентира по направлению на северо-восток, к.н. 61:25:0600401:1236 (ориентировочная протяженность ЛЭП 0,21 км; мощность силового трансформатора – 160 кВА)</t>
  </si>
  <si>
    <t>«Строительство ЛЭП 0,4 кВ по ВЛ-0,4 кВ №3 от ЗТП-10/0,4 кВ №328 по ВЛ-10 кВ №3 ПС-35/10 кВ М-Курганская, для технологического присоединения Заявителя (Администрация Матвеево-Курганского сельского поселения) по адресу: Ростовская область, Матвеево-Курганский район, п. Матвеев Курган, ул. Донецкая д.2, примерно 24м в южном направлении (ориентировочная протяженность ЛЭП 0,03 км)»</t>
  </si>
  <si>
    <t>Строительство ВЛ 0,4 кВ от новой ТП 6/0,4 кВ, строительство ТП 6/0,4 кВ, строительство КЛ 6 кВ от ячейки №17 РП 6 кВ №16, для технологического присоединения амбулаторно-поликлиническое учреждение, заявителя (Албатова Е.Н.) по адресу: Ростовская область, Таганрог, ул. Бакинская, д. 56, к.н. 61:58:0004487:70. (ориентировочная протяженность ЛЭП - 0,75 км, мощность силового трансформатора 160 кВА)</t>
  </si>
  <si>
    <t xml:space="preserve">«Строительство ВЛ 0,4 кВ от новой ТП 6/0,4 кВ, строительство КЛ 6 кВ от РУ-6 кВ ТП-6/0,4 кВ проектируемой по договору ТП № 61-1-19-00429155 от 13.03.2019 г. до новой ТП 6/0,4 кВ, строительство новой ТП 6/0,4 кВ для технологического присоединения жилых домов Заявителей (Беликова С.А., Клеветов Ю.В., ООО «СтройИнвест-Девелопмент») по адресу: г. Таганрог, ул. Бакинская (ориентировочная протяженность ЛЭП 1,475 км, ориентировочной мощностью ТП 250 кВА)»
</t>
  </si>
  <si>
    <t>Строительство ВЛ 0,4 кВ от новой ТП 6/0,4 кВ проектируемой по титулу: ««Строительство ВЛ 0,4 кВ от новой ТП 6/0,4 кВ, строительство КЛ 6 кВ от РУ-6 кВ ТП-6/0,4 кВ проектируемой по договору ТП № 61-1-19-00429155 от 13.03.2019 г. до новой ТП 6/0,4 кВ, строительство новой ТП 6/0,4 кВ для технологического присоединения жилых домов Заявителей (Беликова С.А., Клеветов Ю.В., ООО «СтройИнвест-Девелопмент») по адресу: г. Таганрог, ул. Бакинская (ориентировочная протяженность ЛЭП 1,475 км, ориентировочной мощностью ТП 250 кВА)»», для Заявителей (Суворин Д.Н., Мягкая К.С.) по адресу г. Таганрог, ул. Бакинская (ориентировочной протяженностью 0,350 км)</t>
  </si>
  <si>
    <t>Строительство КВЛ 0,4 кВ от РУ 0,4 кВ ТП 6/0,4 кВ №57 по КЛ 6 кВ №1702 ПС 110/6 кВ Т-17 для электроснабжения нежилого здания ИП Лыков М.С. по адресу: РО г. Таганрог ул. Александровская, 60, к.н.61:58:0001094:2. (ориентировочная протяженность ЛЭП – 0,375 км.)</t>
  </si>
  <si>
    <t>Строительство участка ВЛ-6 кВ от существующей оп. №37 отпайки на КТП №696 ВЛ 6 кВ Совхоз-10 от ПС 35/6кВ Ш-12 для присоединения ТП 6/0,4кВ ООО «МАК-Лоджистик» (ориентировочная протяженность ЛЭП 0,12 км)</t>
  </si>
  <si>
    <t>«Строительство участка ВЛ-6 кВ от существующей оп. №25 отпайки к КТП 6/0,4 кВ №110 по ВЛ-6 кВ «Орошение», с установкой ТП-6/0,4 кВ, и строительство ВЛИ-0,4 кВ от вновь установленной ТП-6/0,4 кВ для присоединения домика охотника и рыболова. Ростовская область, г. Красный Сулин, 1,3 км. на юго-запад от дома №29 по пер. Русский (Мелихов А.В.) (ориентировочная протяженность ЛЭП 0,485 км, ориентировочная мощность трансформатора 63 кВА)</t>
  </si>
  <si>
    <t xml:space="preserve"> Строительство ТП-6/0,4 кВ, строительство участка ВЛ-6 кВ от проектируемой опоры по договору №61-1-18-00389177 от 30.07.2019 от оп. №58 отпайки на КТП №66 по ВЛ-6кВ «Совхоз-10» от ПС Ш-12 и строительство ВЛИ-0,4 кВ от вновь установленной ТП-6/0,4 кВ для присоединения ангара ИП Коваленко Д.О. (ориентировочная протяженность ЛЭП 0,03 км, ориентировочная мощность трансформатора 160 кВА)</t>
  </si>
  <si>
    <t>Строительство участка ВЛЗ-10кВ от ВЛ-10кВ «Жилмасив» ПС 110/35/10кВ Ш-34, с установкой ТП-10/0,4 кВ, и строительство ВЛИ-0,4 кВ от вновь установленной ТП-10/0,4 кВ для присоединения хозяйственных построек Дуванова А.Б. в ст.Мелиховской, Усть-Донецкого района (ориентировочная протяженность ЛЭП 0,245 км, ориентировочная мощность трансформатора 25 кВА)</t>
  </si>
  <si>
    <t>«Строительство участка ВЛ-10 кВ от ВЛ-10 кВ «Крымский» ПС Ш14, с установкой ТП-10/0,4 кВ, и строительство ВЛИ-0,4 кВ для присоединения фермы, х. Крымский, Усть-Донецкого района ИП Максименко А.А. (ориентировочная протяженность ЛЭП 0,75 км, ориентировочная мощность трансформатора 0,25 МВА)</t>
  </si>
  <si>
    <t>Строительство ВЛ-6 кВ от существующей оп. №140 по ВЛ 6 кВ Орошение ПС Ш9 для присоединения объекта туристической отрасли ИП Дроздов А.Ю.(ориентировочная протяженность ЛЭП 0,02 км)</t>
  </si>
  <si>
    <t>Строительство ВЛ 10 кВ от ВЛ 10 кВ №1 ПС 110/35/10 кВ «Синявская» для технологического присоединения водопроводной насосной станции первого подъема Заявителя (РУЗКС ЮВО – филиал ФКП «УЗКС МО РФ») по адресу: Ростовская область, Неклиновский район, с. Синявское, СПК колхоз «Синявский», к.н. 61:26:0600017:1084 (ориентировочная протяженность ЛЭП 0,6 км)</t>
  </si>
  <si>
    <t>Строительство ВЛИ-0,4 кВ от РУ вновь установленной ТП 6/0,4 кВ (по договору ТП от 28.06.2019 №61-1-19-00450907) для присоединения котельной Государственного бюджетного учреждения социального обслуживания населения Ростовской области «Романовский специальный дом-интернат для престарелых и инвалидов», расположенной по адресу: Ростовская область, Волгодонской район, станица Романовская, ул. Ленина, д. 53, к.н. 61:08:0070105:24:9 (ориентировочная протяженность ЛЭП 0,056 км)</t>
  </si>
  <si>
    <t>Строительство участка ВЛИ-0,4 кВ от опоры №7 ВЛ-0,4 кВ №3 КТП-8171/250 кВА ВЛ-10 кВ №5 ПС 35/10 кВ Донская для присоединения ВРУ-0,4 кВ БС №61-01924, расположенного по адресу: Ростовская область, Волгодонской район, п. Донской, пер. Донской, д.2, кв./оф. 1, к.н. 61:08:0060201:207 (ориентировочная протяженность ЛЭП 0,012 км)</t>
  </si>
  <si>
    <t>Строительство участка ВЛ-6 кВ от существующей опоры №6/38 ВЛ-6 кВ ПС 35/6 кВ Потаповская, с установкой ТП-6/0,4 кВ, и строительство ВЛИ-0,4 кВ от вновь установленной ТП-6/0,4 кВ  для присоединения животноводческой фермы Попова А.М. (ориентировочная протяженность ЛЭП 1,275 км, ориентировочная мощность трансформатора 25 кВА)</t>
  </si>
  <si>
    <t>Строительство участка ВЛИ-0,4 кВ от опоры №1/4 ВЛ-0,4 кВ №3 КТП-8576/250 кВА ВЛ-6 кВ №6 ПС 35/6 кВ Потаповская для присоединения жилых домов Петровец А.Ф. и Валинтиенко Н.М., расположенных  по адресам: Ростовская область, Волгодонской район, х. Степной, ул. Весенняя, д.3, к.н. 61:08:0040702:180 и д.4, кв./оф. 2, к.н. 61:08:0040702:182 (ориентировочная протяженность ЛЭП 0,35 км)</t>
  </si>
  <si>
    <t xml:space="preserve">Строительство участка ВЛИ-0,4 кВ от вновь установленной опоры вновь построенной ВЛИ-0,4 кВ от вновь установленной ТП-6/0,4 кВ по ВЛ-6 кВ №1 ПС 35/6 кВ НС-12 (по договорам №61-1-18-00388977 от 20.08.2018г и №61-1-18-00395029 от 27.08.2018г.) для присоединения жилых домов Дедогрюк З.И и Кузнецовой Е.В., расположенных по адресам: Ростовская область, Волгодонской район, с/т Юбилейное, к.н. 61:08:0601901:407 и  к.н. 61:08:0601901:871 (ориентировочная протяженность ЛЭП 0,235 км)
</t>
  </si>
  <si>
    <t>Строительство участка ВЛИ-0,4 кВ от опоры № 14 ВЛ-0,4кВ №2 КТП-8560/100кВА ВЛ-6 кВ №1 ПС 35/6 кВ НС-12 для присоединения жилого дома Диановой-Волковой Т.В., расположенного по адресу: Ростовская область, Волгодонской район, станица Романовская, снт. Юбилейное,  кадастровый номер земельного участка:  61:08:0601901:874 (ориентировочная  протяженность ЛЭП 0,025 км</t>
  </si>
  <si>
    <t>Строительство участка ВЛИ-0,4 кВ от опоры №1 ВЛ-0,4 кВ №1 КТП-8306/250 кВА по ВЛ 6 кВ №11 ПС 35/6 кВ Шлюзовая для присоединения фоторадарного комплекса Министерства транспорта Ростовской области, расположенного по адресу: Ростовская область, Волгодонской район, автомобильная дорога общего пользования регионального значения г. Ростов-на-Дону (от магистрали "Дон") - г. Семикаракорск - г. Волгодонск на участке км 96+040-км 203+000 в Волгодонском районе, к.н.: 61:08:0000000:0:69  (ориентировочная протяженность ЛЭП -0,025 км)</t>
  </si>
  <si>
    <t>Строительство участка ВЛИ-0,4 кВ от опоры № 1/15 ВЛ-0,4кВ №1 КТП-8390/160кВА ВЛ-6 кВ №6 ПС 35/6 кВ Потаповская для жилого дома Горячевой О.Н., расположенного по адресу: Ростовская область, Волгодонской район, х. Потапов, ул. 50 лет Победы,  д. 24, кадастровый номер земельного участка:  61:08:0040105:89 (ориентировочная  протяженность ЛЭП 0,015 км)</t>
  </si>
  <si>
    <t>Строительство ВЛИ-0,4 кВ от новой ТП-10/0,4 кВ и строительство ТП 10/0,4 кВ от опоры №4/8 ВЛ-10 кВ №8 ПС 110/35/10 кВ Заветинская для присоединения нежилого здания ИП главы К(Ф)Х Ковганова В.В., расположенного по адресу: Ростовская область, Заветинский район, с. Заветное, к.н. 61:11:0600008:745 (ориентировочная протяженность ЛЭП 0,08 км, ориентировочная мощность трансформатора 25 кВА)</t>
  </si>
  <si>
    <t>Строительство участка ВЛИ-0,4 кВ от опоры №5/7 ВЛ-0,4 кВ №1 КТП-6522/250 кВА ВЛ-10 кВ №2 ПС 35/10 кВ Рассвет для присоединения жилого дома Морозовой Н.В., расположенного по адресу: Ростовская область, Мартыновский район, п. Зеленолугский, ул. Советская, д.13, к.н. 61:20:0020401:468 (ориентировочная протяженность ЛЭП 0,03 км)</t>
  </si>
  <si>
    <t>Строительство ВЛИ-0,4 кВ от РУ-0,4 кВ КТП-8585/63 кВА ВЛ-6 кВ №7 ПС 35/6 кВ Романовская для присоединения складского помещения Сорокина П.В., расположенного по адресу: Ростовская область, Волгодонской район, станица Романовская, ул. Тюхова, д.135а, к.н.61:08:0600601:4349 (ориентировочная протяженность ЛЭП 0,028 км)</t>
  </si>
  <si>
    <t>Строительство участка ВЛИ-0,4 кВ от опоры №11 ВЛ-0,4 кВ №2 КТП-8484/160 кВА ВЛ-6 кВ №5 ПС 35/6 кВ Романовская для присоединения складского помещения Сорокина С.П., расположенного по адресу: Ростовская область, Волгодонской район, станица Романовская, ул. Тюхова, д.96г, к.н.61:08:0070128:956 (ориентировочная протяженность ЛЭП 0,025 км)</t>
  </si>
  <si>
    <t>Строительство участка ВЛИ-0,4 кВ от опоры №12 ВЛ-0,4 кВ №3 КТП-8527/100 кВА ВЛ-6 кВ №1 ПС 35/6 кВ НС-12 для присоединения отделения почтовой связи Федерального государственного унитарного предприятия «Почта России», расположенного по адресу: Ростовская область, Волгодонской район, х. Семенкин, ул. Центральная, д.9, пом. 3, к.н. 61:08:001235:112 (ориентировочная протяженность ЛЭП 0,045 км)»</t>
  </si>
  <si>
    <t>Строительство участка ВЛИ-0,4 кВ от опоры №22 ВЛ-0,4 кВ №3 КТП-8484/160 кВА ВЛ-6 кВ №5 ПС 35/6 кВ Романовская для присоединения жилого дома Лызовой Н.В., расположенного по адресу: Ростовская область, Волгодонской район, станица Романовская, ул. Ленина, д.93, к.н. 61:08:0070128:180 (ориентировочная протяженность ЛЭП 0,11 км)</t>
  </si>
  <si>
    <t>Строительство участка ВЛИ-0,4 кВ от опоры №8 ВЛ-0,4 кВ №4 КТП-1621/160 кВА ВЛ-10 кВ №5 ПС 110/10 кВ Искра, с установкой шкафа 0,4 кВ, и  обеспечение коммерческим учетом электрической энергии (мощности) в точке поставки по присоединению жилого дома Бутова А.И., расположенного по адресу: Ростовская область, Цимлянский район, х. Паршиков, ул. Молодежная, д. 15, кадастровый номер земельного участка. 61:41:0050405:307 (ориентировочная протяженность ЛЭП 0,18 км)</t>
  </si>
  <si>
    <t>Строительство участка ВЛИ-0,4 кВ от опоры №8 ВЛ-0,4 кВ №1 КТП-1464/100 кВА ВЛ-10 кВ №11 ПС 35/10 кВ Камышевская, с установкой шкафа 0,4 кВ, и обеспечение коммерческим учетом электрической энергии (мощности) в точке поставки по присоединению жилого дома Дулимова С.Г., расположенного по адресу: Ростовская область, Цимлянский район, станица Лозновская, ул. Центральная, д.63, кадастровый номер земельного участка 61:41:040201:0004 (ориентировочная протяжённость ЛЭП 0,23 км)</t>
  </si>
  <si>
    <t>Строительство участка ВЛИ-0,4 кВ от опоры №6 ВЛИ-0,4 кВ №1 КТП-1511/250 кВА ВЛ-10 кВ №5 ПС 35/10 кВ Лозновская для присоединения жилого дома Сличенко Ю.Н., расположенного по адресу: Ростовская область, Цимлянский район, х. Лозной, ул. Абрикосовая, д.109, к.н.61:41:0600011:1232 (ориентировочная протяженность ЛЭП 0,02 км</t>
  </si>
  <si>
    <t>Строительство участка ВЛИ-0,4 кВ от опоры №7 ВЛ-0,4 кВ №2 КТП-3409/100 кВА ВЛ-10 кВ №24 ПС 110/10 кВ Жуковская для присоединения полевого стана КФХ Пупкова В.С., расположенного по адресу: Ростовская область, Дубовский район, станица Жуковская, Жуковское сельское поселение, в границах кадастрового квартала 61:09:0600002, к.н. 61:09:0600002:1655 (ориентировочная протяженность ЛЭП 0,32 км)</t>
  </si>
  <si>
    <t>Строительство участка ВЛ-10 кВ от опоры №4/11 ВЛ-10 кВ №13 ПС 35/10 кВ Андреевская, с установкой ТП-10/0,4 кВ, и строительство ВЛИ-0,4 кВ от вновь установленной ТП-10/0,4 кВ  для присоединения помещения-бойни ИП Магомедова Р.Д., расположенного по адресу: Ростовская область, Дубовский район, станица Андреевская, ул. Кольцевая, д.37, к.н. 61:09:002385:11 (ориентировочная протяженность ЛЭП 0,1 км, ориентировочная мощность трансформатора 160 кВА)</t>
  </si>
  <si>
    <t>Строительство участка ВЛИ-0,4 кВ от опоры №9 ВЛ-0,4 кВ №1 КТП-3507/60 кВА ВЛ-10 кВ №22 ПС 110/10 кВ Жуковская, с установкой шкафа 0,4 кВ, и обеспечение коммерческим учетом электрической энергии (мощности) в точке поставки по присоединению нежилого помещения КФХ Муртазалиева М-Р.Б., расположенного по адресу: Ростовская область, Дубовский район, станица Жуковская, 1 км на юго-запад от станицы Жуковская, кадастровый номер земельного участка 61:09:0600002:1652 (ориентировочная протяженность ЛЭП - 0,31 км)</t>
  </si>
  <si>
    <t>Строительство участка ВЛИ-0,4 кВ от опоры №3/2 ВЛИ-0,4 кВ №2 КТП-7398/250 кВА по ВЛ-10 кВ №11 ПС 35/10 кВ Николаевская для присоединения жилого дома Новиковой И.А., расположенного по адресу: Ростовская область, Константиновский район, х. Старая Станица, ул. Новая, д. 10,  к.н.:  61:17:0050501:507 (ориентировочная  протяженность ЛЭП 0,022 км)</t>
  </si>
  <si>
    <t>Строительство участка ВЛИ-0,4 кВ от опоры №7 ВЛ-0,4 кВ №1 ЗТП-7218/400 кВА ВЛ-10 кВ №26 ПС 110/35/10 кВ КГУ для присоединения административно-бытовых корпусов ИП Костромина М.Д. и ИП Болотова Е.С., расположенных по адресам: Ростовская область, Константиновский район, Константиновское городское поселение, 0,45 км восточнее х. Ведерников, к.н.: 61:17:0600017:565 и 0,35 км восточнее х. Ведерников, к.н.: 61:17:0600017:576 (ориентировочная протяженность ЛЭП 0,175 км)</t>
  </si>
  <si>
    <t>Строительство ВЛИ-0,4 кВ от опоры №6 кВ ВЛИ-0,4 кВ №2 КТП-7027/100 кВА по ВЛ-10 кВ №24 ПС 110/35/10 кВ КГУ для присоединения жилого дома Сергеева О.В., расположенного по адресу: Ростовская область, Константиновский район, х. Ведерников, ул. Казачья, д. 2-а, к.н. 61:17:0010603:192 (ориентировочная протяженность ЛЭП 0,19 км)»</t>
  </si>
  <si>
    <t>Строительство участка ВЛИ-0,4 кВ от опоры №11 ВЛ-0,4 кВ №2 КТП-7402/160 кВА ВЛ-10 кВ №11 ПС 35/10 кВ Николаевская, с установкой шкафа 0,4 кВ, и обеспечение коммерческим учетом электрической энергии (мощности) в точке поставки по присоединению нежилого здания-магазина ИП Меджидова Р.З., расположенного по адресу: Ростовская область, Константиновский район, станица Николаевская, ул. Центральная, кадастровый номер земельного участка: 61:17:0050101:6582 (ориентировочная протяженность ЛЭП 0,15 км)</t>
  </si>
  <si>
    <t>Строительство участка ВЛИ-0,4 кВ от опоры №18 ВЛИ-0,4 кВ №1 КТП-7398/250 кВА ВЛ-10 кВ №11 ПС 35/10 кВ Николаевская, с установкой шкафа 0,4 кВ, и  обеспечение коммерческим учетом электрической энергии (мощности) в точке поставки по присоединению жилого дома  АО «Николаевское хлебоприемное», расположенного по адресу: Ростовская область, Константиновский район, х. Старая Станица, ул. Западная, д. 2, кадастровый номер земельного участка. 61:17:0050501:505 (ориентировочная протяженность ЛЭП 0,05 км)»</t>
  </si>
  <si>
    <t>Строительство участка ВЛИ-0,4кВ от опоры №2 ВЛ-0,4кВ №2 КТП-7165/250кВА ВЛ-10кВ №5 ПС 35/10кВ Савельевская, с установкой шкафа 0,4 кВ, и обеспечение коммерческим учетом электрической энергии (мощности) в точке поставки по присоединению нежилого помещения ИП главы К(Ф)Х Гаврилова Ю.А., расположенного по адресу: Ростовская область, Константиновский район, примерно в 200 м от х. Гапкин по направлению на запад, кадастровый номер земельного участка: 61:17:0600008:1913 (ориентировочная протяженность ЛЭП 0,125км)</t>
  </si>
  <si>
    <t>Строительство ВЛИ-0,4 кВ от РУ-0,4 кВ КТП-4320/100 кВА ВЛ-10 кВ №4 ПС 110/10 кВ Денисовская и  установка прибора коммерческого учета электрической энергии (мощности) в точке поставки  для присоединения нежилого помещения ИП главы К(Ф)Х Хамутаева М.Х., расположенного по адресу: Ростовская область, Ремонтненский район, п. Денисовский, ул. Садовая,  д. 15б, кадастровый номер объекта 61:32:0030101:1663 (ориентировочная протяженность ЛЭП 0,217 км)</t>
  </si>
  <si>
    <t>Строительство ВЛИ-0,4 кВ от РУ-0,4 кВ КТП-6623/160 кВА по ВЛ-6 кВ №6 ПС 110/35/6 кВ Обливная для присоединения детского сада Муниципального бюджетного дошкольного учреждения детский сад «Чебурашка» х. Лесной, расположенного по адресу: Ростовская область, Мартыновский район, х. Лесной, пер. Степной, д. 2,  к.н.:  61:20:060401:0901 (ориентировочная  протяженность ЛЭП 0,107 км)</t>
  </si>
  <si>
    <t>Строительство ВЛИ-0,4 кВ от вновь установленной ТП-10/0,4 кВ по ВЛ-10 кВ №11 ПС 35/10 кВ Николаевская  (по договору ТП №61-1-18-00408599 от 20.11.2018г) для присоединения жилого дома Клименко С.А., расположенного по адресу: Ростовская область, Константиновский район, станица Николаевская, ул. 8 Марта, д. 38, к.н. 61:17:050101:1252 (ориентировочная протяженность ЛЭП 0,053 км)</t>
  </si>
  <si>
    <t>Строительство участка ВЛИ-0,4 кВ от опоры №1 ВЛ-0,4 кВ №1 КТП-2884/250 кВА по ВЛ-10 кВ №4 ПС 110/10 кВ Василевская для присоединения базы Холовой Т.Х., расположенной по адресу: Ростовская область, Зимовниковский район, п. Зимовники, ул. Магистральная, д. 63Г,  к.н.: 61:13:0010125:131 (ориентировочная  протяженность ЛЭП 0,08 км)</t>
  </si>
  <si>
    <t>Строительство ВЛИ-0,4 кВ от  РУ-0,4 кВ вновь установленной ТП-6/0,4 кВ по ВЛ-6 кВ №1 ПС 35/6 кВ Романовская (по договорам ТП №61-20-00512427 от 27.05.2020г, №61-20-00514229 от 03.07.2020г, №61-20-00514117 от 03.07.2020г, №61-20-00514159 от 03.07.2020г, №61-20-00514143 от 03.07.2020г, №61-20-00514141 от 03.07.2020г, №61-20-00514453 от 03.07.2020г, №61-20-00514205 от 03.07.2020г, №61-20-00514341 от 03.07.2020г, №61-20-00514339 от 03.07.2020г, №61-20-00514145 от 03.07.2020г, №61-20-00514425 от 03.07.2020г) с установкой шкафа 0,4 кВ, и обеспечение коммерческим учетом электрической энергии (мощности) в точках поставки по присоединению летнего домика ООО "Тема", расположенного по адресу: Ростовская обл., г. Волгодонск, ул. Отдыха, д.39а, кадастровый номер земельного участка 61:48:0020101:60 (ориентировочная протяженность ЛЭП 0,35 км)</t>
  </si>
  <si>
    <t>Строительство участка ВЛИ-0,4 кВ от опоры № 6 ВЛ-0,4 кВ №1 КТП-7401/250 кВА ВЛ-10 кВ №11 ПС 35/10 кВ Николаевская, с установкой шкафа 0,4 кВ, и обеспечение коммерческим учетом электрической энергии (мощности) в точке поставки по присоединению жилого дома Старицкой Ю.С., расположенного по адресу: Ростовская область, Константиновский район, станица Николаевская, ул. 8 Марта, д. 9, кадастровый номер земельного участка: 61:17:0050101:1293 (ориентировочная протяженность ЛЭП 0,03 км)</t>
  </si>
  <si>
    <t>Строительство участка ВЛИ-0,4 кВ от опоры №1/3 ВЛ-0,4 кВ №1 КТП-7390/250 кВА ВЛ-10 кВ №4 ПС 35/10 кВ Николаевская, с установкой шкафа 0,4 кВ, и  обеспечение коммерческим учетом электрической энергии (мощности) в точке поставки по присоединению жилого дома Яркиной А.В., расположенного по адресу: Ростовская область, Константиновский район, станица Николаевская, ул. Максима Горького, д. 21, кадастровый номер земельного участка 61:17:0050101:53 (ориентировочная протяженность ЛЭП 0,04 км)</t>
  </si>
  <si>
    <t>Строительство участка ВЛ-10 кВ от опоры №5/15 ВЛ-10 кВ №12 ПС 35/10 кВ Мариинская,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точке поставки по присоединению нежилого помещения ИП главы К(Ф)Х Пышняка В.В., расположенного по адресу: Ростовская область, Константиновский район, х. Правда, 88 м на юг от х. Правда, к.н.з.у. 61:17:0600016:2271 (ориентировочная протяженность ЛЭП 0,02 км, ориентировочная мощность трансформатора 63 кВА)</t>
  </si>
  <si>
    <t>Строительство участка ВЛИ-0,4 кВ от вновь установленной опоры в пролете опор №№5-6 ВЛ-0,4 кВ №2 КТП-7375/250 кВА ВЛ-10 кВ №11 ПС 35/10 кВ Мариинская, с установкой шкафа 0,4 кВ, и  обеспечение коммерческим учетом электрической энергии (мощности) в точке поставки по присоединению автогаража с пристройкой ИП главы К(Ф)Х Мищенко В.В., расположенного по адресу: Ростовская область, Константиновский район, севернее станицы Мариинская, кадастровый номер земельного участка 61:17:0600016:2248 (ориентировочная протяженность ЛЭП 0,03 км)</t>
  </si>
  <si>
    <t>Строительство участка ВЛИ-0,4 кВ от опоры №17 ВЛ-0,4 кВ №1 ЗТП-7390/250 кВА ВЛ-10 кВ №4 ПС 35/10 кВ Николаевская, с установкой шкафов 0,4 кВ, и обеспечение коммерческим учетом электрической энергии (мощности) в точках поставки по присоединению жилых домов Костоглод С.С. и Абраменко И.Н, расположенных по адресам: Ростовская область, Константиновский район, станица Николаевская, ул. Центральная, д. 54, кв. 3, кадастровый номер земельного участка 61:17:0050101:6392 и  д. 54-а, кадастровый номер земельного участка 61:17:0050101:6393  (ориентировочная протяженность ЛЭП 0,045 км)</t>
  </si>
  <si>
    <t>Строительство участка ВЛИ-0,4 кВ от опоры №24 ВЛ-0,4 кВ №1 КТП-7135/63 кВА по ВЛ-10 кВ №1 ПС 35/10 кВ Богоявленская, с установкой шкафа 0,4 кВ, и  обеспечение коммерческим учетом электрической энергии (мощности) в точке поставки по присоединению жилого дома Терентьева Ю.И., расположенного по адресу: Ростовская область, Константиновский район, х. Кастырский, ул. Дальняя, д. 34, кадастровый номер земельного участка 61:17:0030301:288 (ориентировочная протяженность ЛЭП 0,08 км)</t>
  </si>
  <si>
    <t>Строительство участка ВЛИ-0,4 кВ от опоры №7 ВЛ-0,4 кВ №1 КТП-7139 ВЛ-10 кВ №3 ПС 35 кВ Богоявленская и установка приборов коммерческого учета электрической энергии (мощности) в точках поставки для присоединения жилых домов Костромина Е.И. и Топилина А.С., расположенных по адресам: Ростовская область, Константиновский район, станица Богоявленская, ул. Парковая,  д. 37 и д. 41, кадастровые номера земельных участков 61:17:0030101:17 и 61:17:0030101:933 (ориентировочная протяженность ЛЭП 0,245 км)</t>
  </si>
  <si>
    <t>Строительство участка ВЛИ-0,4 кВ от опоры №1/4 ВЛ-0,4 кВ №2 КТП-7165 ВЛ-10 кВ №5 ПС 35 кВ Савельевская и установка прибора коммерческого учета электрической энергии (мощности) в точке поставки для присоединения нежилого помещения ИП Главы К(Ф)Х Макарова В.В., расположенного по адресу: Ростовская область, Константиновский район, примерно в 200 м от х. Гапкин по направлению на запад, кадастровый номер земельного участка 61:17:0600008:1911 (ориентировочная протяженность ЛЭП 0,03 км)</t>
  </si>
  <si>
    <t>Строительство участка ВЛИ-0,4 кВ от опоры №19 ВЛ-0,4 кВ №3 КТП 7166 ВЛ-10 кВ №5 ПС 35 кВ Савельевская и установка прибора коммерческого учета электрической энергии (мощности) в точке поставки для присоединения хозяйственной постройки Гамаюновой В.В., расположенной по адресу: Ростовская область, Константиновский район, х. Гапкин, ул. Зеленая, д.36, к.н.з.у. 61:17:0040101:738 ( (количество приборов учета-1шт,ориентировочная протяженность ЛЭП 0,03 км)</t>
  </si>
  <si>
    <t>Реконструкция участка ВЛ-0,4 кВ №3 КТП-8456/100 кВА по ВЛ-6 кВ №14 ПС 35/6 кВ Романовская, в пролетах опор №7-№13,для присоединения жилого дома Власовой И.В., расположенного по адресу: Ростовская область, Волгодонской район, станица Романовская, ул. Тюхова, д. 123, к.н. 61:08:0070130:47 (ориентировочная протяженность ЛЭП 0,18 км)</t>
  </si>
  <si>
    <t>Реконструкция участка ВЛ-0,4 кВ №3 КТП-8132/100 кВА по ВЛ-10 кВ №3 ПС 110/35/10 кВ ПС Большовска, в пролетах опор №1-№8, для присоединения дома культуры на 100 мест Администрации Дубенцовского сельского поселения, расположенного по адресу: Ростовская область, Волгодонской район, х. Морозов, пер. Почтовый, д. 23, к.н. 61:08:0020203:337 (ориентировочная протяженность ЛЭП 0,14 км)</t>
  </si>
  <si>
    <t>Строительство ВЛИ-0,4 кВ от вновь установленной ТП-6/0,4 кВ по ВЛ-6 кВ №1 ПС 35/6 кВ НС-12 (по договору №61-1-18-00388977 от 20.08.2018г.) для присоединения жилого дома Ситниковой Л.Н., расположенного по адресу: Ростовская область, Волгодонской район, с/т Юбилейное, к.н. 61:08:0601901:813 (ориентировочная протяженность ЛЭП 0,25 км)</t>
  </si>
  <si>
    <t>Строительство участка ВЛЗ-6 кВ от опоры №133 ВЛ-6 кВ №1 ПС 35/6 кВ Романовская, с установкой ТП-6/0,4 кВ, строительство ВЛИ-0,4 кВ от РУ-0,4 кВ вновь установленной ТП-6/0,4 кВ и обеспечение коммерческим учетом электрической энергии (мощности) в точке поставки по присоединению спального домика Фирсенкова С.И., расположенного по адресу: Ростовская область, Волгодонской район, г. Волгодонск, ул. Отдыха, д. 67, к.н. 61:48:0020101:1445 (ориентировочная протяженность ЛЭП 0,14 км, ориентировочная мощность трансформатора 25 кВА)</t>
  </si>
  <si>
    <t>Строительство участка ВЛИ-0,4 кВ от опоры №1/9 ВЛ-0,4 кВ №1 КТП-8033/160 кВА ВЛ-10 кВ №1 ПС 35/10 кВ Рябичевская, с установкой шкафа 0,22 кВ, и  обеспечение коммерческим учетом электрической энергии (мощности) в точке поставки по присоединению здания хоз.назначения Никитюк М.В., расположенного по адресу: Ростовская область, Волгодонской район, х. Рябичев, ул. Юбилейная, д. 52, кадастровый номер земельного участка. 61:08:0030107:582 (ориентировочная протяженность ЛЭП 0,035 км)</t>
  </si>
  <si>
    <t>Строительство участка ВЛИ- 0,4 кВ от опоры №6 ВЛ-0,4 кВ №1 КТП-8430/160 кВА ВЛ-6 кВ №11 ПС 35/6 кВ Шлюзовая для присоединения жилого дома Медведевой И.Ю., расположенного по адресу: Ростовская область, Волгодонской район, х. Лагутники, ул. Ленина, д.22д, к.н. 61:08:0070208:274 (ориентировочная протяженность ЛЭП 0,025 км)</t>
  </si>
  <si>
    <t>Строительство участка ВЛИ-0,4 кВ от опоры №4 ВЛ-0,4 кВ №2 КТП-8007/400 кВА ВЛ-10 кВ №7 ПС 35/10 кВ Рябичевская для присоединения магазина ИП Коробкина А.Н., расположенного по адресу: Ростовская область, Волгодонской район, х. Рябичев, ул. Театральная, д. 47, кадастровый номер земельного участка. 61:08:0030102:642 (ориентировочная протяженность ЛЭП 0,035 км)</t>
  </si>
  <si>
    <t>Строительство участка ВЛИ-0,4 кВ от опоры №11 ВЛ-0,4 кВ №1 КТП-8163/160 кВА ВЛ-10 кВ №9 ПС 35/10/6 кВ Донская для присоединения квартиры Шостака В.В., расположенного по адресу: Ростовская область, Волгодонской район, п. Мичуринский, ул. Молодежная, д.29, кв./оф. 1, к.н.61:08:0060401:45 (ориентировочная протяженность ЛЭП 0,32 км)</t>
  </si>
  <si>
    <t>Строительство участка ВЛ-10 кВ от опоры №2/25 ВЛ-10 кВ №5 ПС 110/10 кВ Вербовая, с установкой ТП-10/0,4 кВ и строительство ВЛИ-0,4 кВ от РУ-0,4 кВ вновь установленной ТП-10/0,4 кВ  для присоединения скважины КФХ Алиева М.М., расположенной по адресу: Ростовская область, Дубовский район, х. Агрономов, установлено ориентира в границах КК 600003 Вербовологовского сельского поселения, поле №125, 124, контур №313, расположенного в границах участка, кадастровый номер земельного участка: 61:09:0600003:160 (ориентировочная протяженность ЛЭП 0,03 км, ориентировочная мощность трансформатора 25 кВА)</t>
  </si>
  <si>
    <t>Строительство участка ВЛИ-0,4 кВ от опоры №13  ВЛ-0,4 кВ №2 КТП-3181/63 кВА ВЛ-10 кВ №3 ПС 35/10 кВ Эркетиновская, с установкой шкафа 0,4 кВ, и  обеспечение коммерческим учетом электрической энергии (мощности) в точке поставки по присоединению жилого дома Алиева Р.А., расположенного по адресу: Ростовская область, Дубовский район, станица Эркетиновская, ул. Молодежная, д. 12, кадастровый номер земельного участка. 61:09:0080601:407 (ориентировочная протяженность ЛЭП 0,041 км)</t>
  </si>
  <si>
    <t>Строительство ВЛИ-0,4 кВ от РУ-0,4 кВ КТП-3498/40 кВА ВЛ-10 кВ №5 ПС 110/10 кВ Вербовая, с установкой шкафа 0,4 кВ, и обеспечение коммерческим учетом электрической энергии (мощности) в точке поставки по присоединению БССС №69043 "РсО Вербовый Лог" ПАО "Вымпел-Коммуникации", расположенной по адресу: Ростовская область, Дубовский район, х. Вербовый Лог, ул. Телевизионная, д.1, кадастровый номер земельного участка 61:09:0130101:1501 (ориентировочная протяженность ЛЭП 0,015 км)</t>
  </si>
  <si>
    <t>Строительство участка ВЛИ-0,4 кВ от опоры №10 ВЛ-0,4 кВ №1КТП-3510/400 кВА ВЛ-10 кВ №3 ПС 110/35/10 кВ Дубовская для присоединения МТФ Новиковой Е.В., расположенной по адресу: 
Ростовская область, Дубовский район, х. Романов, в границах кадастрового квартала 60 00 05, с/у-5872га, к.н. 61:09:0600005:1524 
(ориентировочная протяженность ЛЭП 0,4 км)»</t>
  </si>
  <si>
    <t>Строительство участка ВЛИ-0,4 кВ от опоры №1 ВЛ-0,4 кВ №1 КТП-3535 ВЛ-10 кВ №3 ПС 35 кВ Эркетиновская и установка прибора коммерческого учета электрической энергии (мощности) в точке поставки для присоединения нежилого помещения ИП главы К(Ф)Х Мордовцева Н.А., расположенного по адресу: РО, Дубовский район, Андреевское сельское поселение, к.н.з.у. 61:09:0600010:393 (ориентировочная протяженность  ЛЭП 0,05 км, количество приборов учета  - 1 шт.)</t>
  </si>
  <si>
    <t>Строительство ВЛИ-0,4 кВ от РУ-0,4 кВ КТП-3124/40 кВА ВЛ-10 кВ №2 ПС 35/10 кВ Эркетиновская для присоединения жилого дома Дижы А.Н., расположенного по адресу: Ростовская область, Дубовский район, х. Кут-Кудинов, ул. Раздольная, д. 55, к.н. 61:09:0600010:243 (ориентировочная протяженность ЛЭП 0,1 км)</t>
  </si>
  <si>
    <t>Строительство участка ВЛИ-0,4 кВ от опоры №21/1 ВЛ-0,4 кВ №1 КТП-6555/160 кВА ВЛ-10 кВ №6 ПС 110/10 кВ Несмеяновская, с установкой шкафа 0,22 кВ, и  обеспечение коммерческим учетом электрической энергии (мощности) в точке поставки по присоединению скважины для полива огорода Бачатовой Н.И., расположенной по адресу: Ростовская область, Мартыновский район, х. Малоорловский, ул. Новая, д. 48, кадастровый номер земельного участка. 61:20:0060101:5251 (ориентировочная протяженность ЛЭП 0,021 км)</t>
  </si>
  <si>
    <t>Строительство ВЛИ-0,4 кВ от РУ-0,4 кВ КТП-8533/400 кВА ВЛ-6 кВ №5 ПС 35/6 кВ НС-13, с установкой шкафа 0,4 кВ, и  обеспечение коммерческим учетом электрической энергии (мощности) в точке поставки по присоединению складского помещения главы КФХ Крючко М.С., расположенного по адресу: Ростовская область, Волгодонской район, 140 м западнее дома №15 ул. Новоселов, х. Сухая Балка, кадастровый номер земельного участка: 61:08:0600801:887 (ориентировочная протяженность ЛЭП 0,09 км)</t>
  </si>
  <si>
    <t>Строительство участка ВЛИ-0,4 кВ от опоры №17 ВЛ-0,4 кВ №3 КТП-8345/160 кВА ВЛ-6 кВ №6 ПС 35/6 кВ Потаповская, с установкой шкафа 0,4 кВ, и  обеспечение коммерческим учетом электрической энергии (мощности) в точке поставки по присоединению жилого дома Саенко О.В., расположенного по адресу: Ростовская область, Волгодонской район, х. Степной, ул. Набережная, д. 7, кадастровый номер земельного участка. 61:08:0040701:8 (ориентировочная протяженность ЛЭП 0,1 км)</t>
  </si>
  <si>
    <t xml:space="preserve">Строительство участка ВЛИ-0,4 кВ от опоры №23 ВЛ-0,4 кВ №1 КТП-8365/40 кВА по ВЛ-6 кВ №1 ПС 35/6 кВ Потаповская для присоединения бытовки Сардарова К.Н., расположенной по адресу: Ростовская область, Волгодонской район, примерно в 1 км по направлению на юго-восток от х. Потапов, к.н. 61:08:0601501:32 (ориентировочная протяженность ЛЭП 0,115 км)»
</t>
  </si>
  <si>
    <t>Строительство участка ВЛИ-0,4 кВ от вновь установленной опоры вновь построенной ВЛИ-0,4 кВ от вновь установленной ТП 6/0,4 кВ по ВЛ-6 кВ №1 ПС 35/6 кВ Романовская для присоединения спального домика Зюзина А.А., расположенного по адресу: Ростовская область, г. Волгодонск, ул. Отдыха, д. 5а, к.н.:  61:48:20101:1356 (ориентировочная  протяженность ЛЭП 0,03 км)</t>
  </si>
  <si>
    <t>Строительство ВЛИ-0,4 кВ от РУ-0,4 кВ вновь установленной ТП-6/0,4 кВ по ВЛ-6 кВ №1 ПС 35/6 кВ Романовская (по договорам №61-1-19-00441801 от 13.05.2019г и №61-1-19-00437609 от 15.05.2019г) для присоединения базы отдыха «Связь» ООО «Амарант», расположенной по адресу: Ростовская область, г. Волгодонск, ул. Отдыха, д.1, к.н. 61:48:0020101:204 (ориентировочная  протяженность ЛЭП 0,28 км)</t>
  </si>
  <si>
    <t>Строительство участка ВЛИ-0,4 кВ от опоры №3/3 ВЛ-0,4 кВ №1 КТП-8137/250 кВА по ВЛ-10 кВ №3 ПС 110/35/10 кВ Большовская для присоединения здания коровника АО «Родник»., расположенного по адресу: Ростовская область, Волгодонской район, х. Морозов, 1088 м. западнее д. 66 по ул. Школьная, к.н. 61:08:0600301:152 (ориентировочная протяженность ЛЭП 0,15 км)</t>
  </si>
  <si>
    <t>Строительство участка ВЛИ-0,4 кВ от опоры №11 ВЛ-0,4 кВ №1 КТП-1375/40 кВА по ВЛ-10 кВ №2 ПС 35/10 кВ ЖБИ для присоединения жилого дома Шестакова И.О., расположенного по адресу: Ростовская область, Цимлянский район, станица Красноярская, пер. Средний, д.1а, к.н. 61:41:0020127:779 (ориентировочная протяженность ЛЭП 0,07 км)</t>
  </si>
  <si>
    <t>Строительство участка ВЛИ-0,4 кВ от опоры №4 ВЛ-0,4 кВ №1 КТП-1435/63 кВА по ВЛ-10 кВ №5 ПС 110/10 кВ Искра для присоединения коровника ИП главы К(Ф)Х Морозова В.В, расположенного по адресу: Ростовская область, Цимлянский район, 0,1 км южнее станицы Кумшацкой, к.н. 61:41:0600008:681 (ориентировочная протяженность ЛЭП 0,27 км)</t>
  </si>
  <si>
    <t>Строительство участка ВЛИ-0,4 кВ от опоры №20 ВЛ-0,4 кВ №2 КТП-1388 ВЛ-10 кВ №3 ПС 35 кВ Лозновская и установка прибора коммерческого учета электрической энергии (мощности) в точке поставки для присоединения жилого дома Федосеева О.И., расположенного по адресу: Ростовская область, Цимлянский район, х. Лозной, ул. Мира,  д. 45, кадастровый номер земельного участка 61:41:0030109:21 (ориентировочная протяженность ЛЭП 0,075 км)</t>
  </si>
  <si>
    <t>Установка ТП-10/0,4 кВ от опоры №48 ВЛ-10 кВ №6 ПС 110/35/10 кВ Мартыновская, с перезаводом ВЛ-0,4 кВ №1 КТП-10/0,4 кВ №6098 по ВЛ-10 кВ №6 ПС 110/35/10 кВ Мартыновская в РУ-0,4 кВ вновь установленной ТП-10/0,4 кВ  для присоединения нежилого здания (автомойка самообслуживания) Макарова Д.В., расположенного по адресу: Ростовская обл., Мартыновский район, слобода Большая Мартыновка мкр. Аэропорт, д.3, к.н. 61:20:0600019:1193 (ориентировочная мощность трансформатора 63 кВА)</t>
  </si>
  <si>
    <t>Строительство участка ВЛИ-0,4 кВ от опоры №1/5 ВЛ-0,4 кВ №1 КТП-7156 ВЛ-10 кВ №7 ПС 35 кВ Богоявленская и установка прибора коммерческого учета электрической энергии (мощности) в точке поставки для присоединения жилого дома Нехаенко Т.С., расположенного по адресу: Ростовская область, Константиновский район, станица Богоявленская, ул. Кленовая,  д. 63, кадастровый номер земельного участка 61:17:0030101:21 (ориентировочная протяженность ЛЭП 0,04 км)</t>
  </si>
  <si>
    <t>Строительство участка ВЛ-10 кВ от опоры №16/53 ВЛ-10 кВ №6 ПС 110 кВ Ремонтненская,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объектов дорожного хозяйства (светофорные объекты, объекты видеофиксации) Министерства транспорта Ростовской области, расположенных по адресу: Ростовская область, Ремонтненский район, дор. г. Элиста – с. Ремонтное – п. Зимовники,  к.н.з.у. 61:32:0000000:124 (ориентировочная протяженность ЛЭП 0,121 км, ориентировочная мощность трансформатора 25 кВА)</t>
  </si>
  <si>
    <t>Строительство ВЛИ-0,4 кВ от РУ-0,4 кВ КТП 4111 ВЛ-10 кВ №5 ПС 110 кВ Б. Ремонтное и установка прибора коммерческого учета электрической энергии (мощности) в точке поставки для присоединения базовой станции/оборудования сотовой связи АО «Первая Башенная Компания», расположенной по адресу: Ростовская область, Ремонтненский район, с. Большое Ремонтное, ул. Ленина, д. 42, участок в 55м от дома №42, к.н.з.у.;  61:32:0040101 (ориентировочная протяженность ЛЭП 0,03 км)</t>
  </si>
  <si>
    <t>Строительство участка ВЛ-0,4 кВ от опоры № 13, ВЛ-0,4 кВ №2, КТП№453 ВЛ-10кВ №1 ПС 35/10 кВ «Колушкинская» для подключения строящегося жилого дома Морозовой В.Н., расположенного по адресу: Ростовская обл., Тарасовский р-н, сл. Ефремово-Степановка, ул. Первомайская, д.12 (ориентировочная протяженность ЛЭП – 0,04 км)</t>
  </si>
  <si>
    <t>15</t>
  </si>
  <si>
    <t>Строительство участка ВЛ 0,4кВ от опоры №10, ВЛ 0,4кВ №3, КТП 18, ВЛ 10кВ 32, ПС 110/35/10кВ "Обливская-1", для подключения жилого дома Кужатовой А.С., расположенного по адресу: Ростовская область, Обливский р-н, х. Сеньшин, ул. Березовая, дом №38, КН №61:27:0070801:33 (ориентировочная протяженность ЛЭП - 0,170км)</t>
  </si>
  <si>
    <t>Строительство участка ВЛ-10 кВ от опоры № 40 ВЛ-10 кВ № 1, ПС 35/10 кВ «Глубокинская», ТП 10/0,4 кВ и ВЛ-0,4 кВ от РУ-0,4 кВ новой ТП 10/0,4 кВ, для подключения нежилого помещения МУП Каменского р-на «Глубокинское пассажирское автотранспортное предприятие», расположенного по адресу: Ростовская обл., Каменский р-н, р.п. Глубокий, пер. Переездный, д. № 54, к.н. 61:15:0010106:2 (ориентировочная протяженность ЛЭП – 0,264 км, ориентировочная трансформаторная мощность 0,063 мВА)</t>
  </si>
  <si>
    <t>Строительство участка ВЛ-0,4 кВ от опоры № 44, ВЛ-0,4 кВ № 1, КТП № 389, ВЛ-10 кВ №1, ПС 35/10 кВ «ЗСК», для подключения БС № 61-02875 ПАО «Мобильные Теле Системы», расположенной по адресу: Ростовская обл., Каменский р-н, х. Сибилев, пер. Лесной, д. № 6, к.н. 61:15:0120501:431 (ориентировочная протяженность ЛЭП – 0,517 км)</t>
  </si>
  <si>
    <t>10</t>
  </si>
  <si>
    <t>20</t>
  </si>
  <si>
    <t>Строительство участка ВЛ-0,4 кВ от опоры № 4, ВЛ-0,4 кВ № 1, КТП № 518, ВЛ-10 кВ № 3, ПС 35/10 кВ «Первомайская» для подключения жилого дома Юровой Т.Н. расположенного по адресу: Ростовская обл., Каменский р-н, х. Груцинов, ул. Студенческая, д. № 16, к.н.з.у. 61:15:00050101:345 (ориентировочная протяженность ЛЭП – 0,112 км)</t>
  </si>
  <si>
    <t>Строительство участка ВЛ-0,4кВ от опоры № 9/5, ВЛ-0,4кВ №1, КТП №377, ВЛ-10кВ № 3, ПС 110/35/10/6кВ «К-4», для подключения строящегося жилого дома Сергиенко Л.В. расположенного по адресу: Ростовская обл., Каменский р-н, х. Старая Станица, ул. Космонавтов, к.н.  61:15:0130102:2986
(ориентировочная протяженность ЛЭП – 0,038км)</t>
  </si>
  <si>
    <t>5</t>
  </si>
  <si>
    <t>Строительство участка ВЛ-0,4кВ от опоры № 10, ВЛ-0,4кВ №1, КТП №191, ВЛ-10кВ  «Кирова-2», ПС 110/35/10кВ «Б-4»,  для подключения строящегося жилого дома Палкиной Г.Д., расположенного по адресу: Ростовская обл., Каменский р-н, х. Верхнеговейный, ул. Балочная, д. №11 (ориентировочная протяженность ЛЭП – 0,575км)</t>
  </si>
  <si>
    <t>Строительство участка ВЛ-0,4 кВ от опоры № 33, ВЛ-0,4 кВ №3, КТП№99 ВЛ-10кВ №5 ПС 35/10 кВ «Войковская», для подключения БС №61-02326 ПАО «МТС», расположенной по адресу: Ростовская обл., Тарасовский р-н, ст. Митякинская, ул. Ленина, 27 (ориентировочная протяженность ЛЭП – 0,065 км)</t>
  </si>
  <si>
    <t>Строительство участка ВЛ-0,4 кВ от опоры № 10, ВЛ-0,4 кВ №2 , КТП№351 ВЛ-10кВ №1 ПС 35/10 кВ «Тарасовская СХТ», для подключения БС №61-02543 ПАО «МТС», расположенной по адресу: Ростовская обл., Тарасовский р-н, х.Васильевка, ул. Железнодорожная, 31А (ориентировочная протяженность ЛЭП – 0,051 км)</t>
  </si>
  <si>
    <t>Строительство участка ВЛ-0,4 кВ от опоры № 47, ВЛ-0,4 кВ №1, КТП№703, ВЛ-6 кВ «Донец», ПС 110/6 кВ «Б-1», для подключения жилого дома Злобиной А.Г., расположенного по адресу: Ростовская обл., Белокалитвинский р-н, х. Какичев, пер. Лодочный д. 4., к.н. № 61:04:0160502:110. (ориентировочная протяженность ЛЭП – 0,261 км)</t>
  </si>
  <si>
    <t>Строительство участка ВЛ-0,4 кВ от опоры № 5, ВЛ-0,4 кВ № 1,  КТП 428, ВЛ 10 кВ № 3, ПС 35/10 кВ «Нижнепоповская», для подключения строящегося жилого дома Гусейновой В.Г., расположенного по адресу: Ростовская обл., Белокалитвинский р-н, п. Сосны, ул. Крайняя д. 5 а., КН № 61:04:0150405:246 (ориентировочная протяженность ЛЭП – 0,118 км)</t>
  </si>
  <si>
    <t>Строительство участка ВЛ-0,4 кВ от опоры № 1, ВЛ-0,4 кВ № 1, КТП 467, ВЛ 10 кВ Л-28 фид. № 14, ПС 110/35/10 кВ «Б-3» РП-28, для подключения жилого дома Фильцовой В.С., расположенного по адресу: Ростовская обл., Белокалитвинский р-н, х. Дороговский, пер. Мирный д. 3., КН № 61:04:0150301:245 (ориентировочная протяженность ЛЭП – 0,284 км)</t>
  </si>
  <si>
    <t>Строительство участка ВЛ-0,4 кВ от опоры № 18, ВЛ-0,4 кВ №1, КТП № 206, ВЛ-10 кВ №5, ПС 110/10 кВ «Волченская ПТФ» для подключения жилого дома Говорухина В.В. расположенного по адресу: Ростовская обл., Каменский р-н, х. Волченский, ул. Заречная, д. № 65, к.н. 61:15:0040101:584 (ориентировочная протяженность ЛЭП – 0,051 км)</t>
  </si>
  <si>
    <t>Строительство участка ВЛ-0,4 кВ от опоры № 2, ВЛ-0,4 кВ №1, КТП № 15, ВЛ-10 кВ №4, ПС 35/10 кВ «Каменская СХТ» для подключения жилого дома Фомушина Н.А. расположенного по адресу: Ростовская обл., Каменский р-н, х. Диченский ул.Степная, дом № 12 корпус А, к.н. 61:15:130301:0020. (ориентировочная протяженность ЛЭП – 0,070 км)</t>
  </si>
  <si>
    <t>Строительство участка ВЛ-0,4 кВ от опоры № 9/4, ВЛ-0,4 кВ №1, КТП №377, ВЛ-10 кВ №3, ПС 110/35/10/6 кВ «К-4», для подключения строящегося жилого дома Хрипко М.И., расположенного по адресу: Ростовская обл., Каменский  р-н, х. Старая Станица, ул. Космонавтов, к.н. 61:15:0130102:2999 (ориентировочная протяженность ЛЭП – 0,047км)</t>
  </si>
  <si>
    <t>Строительство участка ВЛ-0,4кВ от опоры № 44, ВЛ-0,4кВ №1, КТП №143, ВЛ-10кВ «Кирова-1», ПС 110/35/10кВ «Б-4» для подключения жилого дома Янпольского В.В., расположенного по адресу: Ростовская обл., Каменский р-н,  х. Нижнесазонов, ул. Донская, д. №4(ориентировочная протяженность ЛЭП – 0,273км)</t>
  </si>
  <si>
    <t>Строительство участка ВЛ-0,4кВ от опоры №25, ВЛ-0,4кВ №1, КТП №223, ВЛ-10 кВ №3, ПС 35/10кВ «Селивановская», для подключения водонапорной башни «Муниципального унитарного пассажирского автотранспортного предприятия Милютинского района», расположенного по адресу: Ростовская обл., Милютинский р-н, ст-ца Селивановская, ул. Череватенко,  к.н.з.у. 61:23:0080101:2063 (ориентировочная протяженность ЛЭП–0,17км)</t>
  </si>
  <si>
    <t>«Строительство участка ВЛ-0,4 кВ от опоры № 13, ВЛ-0,4 кВ № 3, КТП № 457, ВЛ- 6 кВ Михайловка-1, ПС 110/35/6 кВ «Б-8», для подключения строящегося коровника ИП Зайцевой Т.А., расположенного по адресу: Ростовская область, Тацинский район, х. Михайлов, из земель СПК Русь пастбище по балке Малокановская, к.н. 61:38:0600006:1424 (ориентировочная протяженность ЛЭП – 0,43 км, прибор учёта электроэнергии - 1шт)»</t>
  </si>
  <si>
    <t>Строительство участка ВЛ-0,4 кВ от РУ 0,4 кВ  КТП №325 ВЛ-10 кВ №2 ПС 35/10 кВ «Скосырская» для подключения жилого дома Романцовой А.В., расположенного по адресу: Ростовская обл., Тацинский р-н, х. Верхнеобливский, ул. Гагарина, д. 9, к.н. № 61:38:0070101:130 (ориентировочная протяженность ЛЭП – 0,362 км)</t>
  </si>
  <si>
    <t>Строительство участка ВЛ-0,4 кВ от опоры № 7, ВЛ-0,4 кВ № 1,  КТП 49, ВЛ 10 кВ № 2, ПС 110/10 кВ «Головокалитвинская», для подключения жилого дома Чекунова С.В., расположенного по адресу: Ростовская обл., Белокалитвинский р-н, х. Ильинка, ул. Советская д. 1., КН № 61:04:0140107:111 (ориентировочная протяженность ЛЭП – 0,473 км)</t>
  </si>
  <si>
    <t>Строительство участка ВЛ-0,4кВ от опоры № 2/3, ВЛ-0,4кВ №1, ЗТП № 8, ВЛ-10кВ № 3, ПС 35/10кВ «Каменская СХТ» для подключения жилого дома Резкого В.М., расположенного по адресу: Ростовская обл., Каменский р-н, х. Старая Станица, ул. 2-я Садовая, д. № 56, корп. А, к.н. 61:15:0130105:1741 (ориентировочная протяженность ЛЭП – 0,110км)</t>
  </si>
  <si>
    <t>Строительство участка ВЛ-0,4 кВ от опоры № 47, ВЛ-0,4 кВ № 1, КТП № 82, ВЛ-10 кВ № 6, ПС 35/10 кВ «Вишневецкая» для подключения жилого дома Казаченко А.Н., расположенного по адресу: Ростовская обл., Каменский р-н, х. Верхнекрасный, ул. Некрасова, д. № 25, к.н. 61:15:0100201:29 (ориентировочная протяженность ЛЭП – 0,300км)</t>
  </si>
  <si>
    <t>Строительство участка ВЛ-10 кВ от опоры № 9, Л-174, ВЛ-10 кВ № 4, ПС 35/10 кВ «Вишневецкая», ТП 10/0,4 кВ и участка ВЛ-0,4кВ от РУ-0,4кВ проектируемого ТП 10/0,4 кВ для подключения распределительного щита ФГКУ «Пограничное управление Федеральной службы безопасности РФ по Ростовской области», расположенного по адресу: Ростовская обл., Каменский р-н, х. Лопуховатый, к.н: 61:15:0140401:9 (ориентировочная протяженность ЛЭП- 0,356 км, ориентировочная мощность ТП – 0,025МВА)</t>
  </si>
  <si>
    <t>70</t>
  </si>
  <si>
    <t>Строительство участка ВЛ-0,4 кВ от опоры № 5, ВЛ-0,4 кВ № 5, ЗТП № 4, ВЛ-10 кВ № 3, ПС 110/35/10/6 кВ «К-4» для подключения «Базовой станции сотовой связи БС-1791» ООО «Т2- Мобайл» расположенной по адресу: Ростовская обл., Каменский р-н, х. Старая Станица, ул. Буденного, д. №112 к.н. 61:15:0130102:2992 (ориентировочная протяженность ЛЭП – 0,139 км)</t>
  </si>
  <si>
    <t>Строительство участка ВЛ-0,4 кВ от РУ-0,4 кВ КТП № 192 Л-192,  ВЛ-10 кВ №1, ПС 35/10 кВ «Каменская СХТ» для подключения жилого дома Попова А.П. расположенного по адресу: Ростовская обл., Каменский р-н, х. Лесной, ул. Лермонтова, д. № 25, корп. 1 (ориентировочная протяженность ЛЭП – 0,040 км)</t>
  </si>
  <si>
    <t>Строительство участка ВЛ-0,22 кВ от опоры № 41/22, ВЛ-0,4 кВ № 1, КТП № 118, ВЛ-10 кВ № 6, ПС 110/10 кВ «Волченская ПТФ» для подключения распределительного щита Федерального государственного казенного учреждения «Пограничное управление Федеральной службы безопасности РФ по Ростовской области», расположенного по адресу: Ростовская обл., Каменский р-н, х. Плешаков, примерно 200 м от ориентира по направлению на запад (ориентировочная протяженность ЛЭП – 1,300 км)</t>
  </si>
  <si>
    <t>Строительство участка ВЛ-0,4 кВ от опоры № 6, ВЛ-0,4 кВ №1, КТП № 582, ВЛ-10 кВ №1, ПС 35/10 кВ «Первомайская» для подключения жилого дома Пискунова П.М. расположенного по адресу: Ростовская обл., Каменский р-н, х. Нижнеерохин ул. Московская, д.29. к.н.з.у. 61:15:0060501:152 (ориентировочная протяженность ЛЭП – 0,566 км)</t>
  </si>
  <si>
    <t>Строительство участка ВЛ-10 кВ от опоры № 6 отпайки Л107, ВЛ-10 кВ №1, ПС 35/10 кВ «Успенская», ТП 10/0,4 кВ и участка ВЛ 0,4 кВ от РУ -0,4 кВ новой ТП10/0,4 кВ, для подключения нежилого здания (склада) Коржова А.А.  и жилого дома Атаева Г.А., расположенных по адресу: Ростовская область Милютинский р-он, п. Аграрный, в 0,9 км на северо-запад от п. Аграрный, к. н. з. у.61:23:0600012:448 и ул. Новая, д.11, кв.1, к.н.з.у. 61:23:010401:149 (ориентировочная протяженность ЛЭП – 0,290 км, ориентировочная мощность ТП 0,04 МВА)</t>
  </si>
  <si>
    <t>Строительство участка ВЛ-0,4кВ от опоры № 6, ВЛ-0,4кВ №1, КТП №175, ВЛ-10кВ №3, ПС 35/10кВ «Семёновская» для подключения нежилого здания (склада) Последова Н.И., расположенного по адресу: Ростовская обл.,  Милютинский р-н, п. Доброполье, 200 м северо-западнее п. Доброполье, к.н.з.у. 61:23:0600009:386. (ориентировочная протяженность ЛЭП – 0,140 км)</t>
  </si>
  <si>
    <t>Строительство участка ВЛ-10 кВ от опоры № 82 ВЛ 10 кВ № 7  ПС 110/35/10 кВ «Милютинская», новой ТП 10/0,4 кВ и участка ВЛ-0,4 кВ от РУ-0,4 кВ новой ТП 10/0,4 кВ для подключения жилых домов  Харитонова И.И. и Калиматова А.Р., расположенных по адресу: Ростовская обл., Милютинский р-н, х. Юдин, ул. Прорва, д.4, 4А, к.н.з.у: 61:23:0030101:157, 61:23:030101:520 (ориентировочная протяжённость ЛЭП- 0,690 км, ориентировочная мощность ТП-0,04 МВА)</t>
  </si>
  <si>
    <t>Строительство участка ВЛ-0,4 кВ от опоры № 7, ВЛ-0,4 кВ №1, КТП №347, ВЛ-10 кВ №3, ПС 35/10 кВ «Знаменская», для подключения жилого дома Калединой Е. В., расположенного по адресу: Ростовская обл., Милютинский р-н, х. Отрадно-Курносовский, ул. Отрадная, д.17, к.н.з.у.  61:23:0020601:23 (ориентировочная протяженность ЛЭП – 0,63 км)</t>
  </si>
  <si>
    <t>50</t>
  </si>
  <si>
    <t>Строительство участка ВЛ-0,4 кВ от опоры № 13, ВЛ-0,4 кВ № 1, КТП 452, ВЛ- 10 кВ №1, ПС 35/10 кВ «Колушкинская», для подключения жилого дома Плешаковой Т.Г., расположенного по адресу: Ростовская обл., Тарасовский р-н, сл. Ефремово-Степановка, ул. Октябрьская, дом №4, КН № 61:37:0080101:242 (ориентировочная протяженность ЛЭП – 0,05 км)</t>
  </si>
  <si>
    <t>Строительство участка ВЛ-0,4 кВ от опоры № 17, ВЛ-0,4 кВ № 2,  КТП 450, ВЛ- 10 кВ №1, ПС 35/10 кВ «Колушкинская», для подключения жилого дома Плешакова Б.Н., расположенного по адресу: Ростовская обл., Тарасовский р-н, сл. Ефремово-Степановка, ул. Розы Люксембург, дом №6, КН № 61:37:0080101:49 (ориентировочная протяженность ЛЭП – 0,08 км)</t>
  </si>
  <si>
    <t>Строительство участка ВЛ-0,4 кВ от РУ-0,4 кВ, КТП № 335, ВЛ-10 кВ №3, ПС 110/35/10 кВ «Тарасовская», для подключения строящегося склада Чаус И.А., расположенного по адресу: Ростовская обл., Тарасовский р-н, 108 м на запад от х. Нижняя Тарасовка, к.н.з.у. 61:37:0600005:1256. (ориентировочная протяженность ЛЭП – 0,242 км)</t>
  </si>
  <si>
    <t>Строительство участка ВЛИ-0,4 кВ от опоры № 1/7, ВЛ-0,4 кВ №1 , КТП №209 ВЛ-10 кВ №3 ПС 35/10 кВ «Быстрянская», для подключения жилого дома Будникова С.М., расположенного по адресу: Ростовская обл., Тацинский р-н, х. Ковылкин, ул. Гагарина, д. 1, к.н. № 61:38:0110101:272 (ориентировочная протяженность ЛЭП – 0,137 км)</t>
  </si>
  <si>
    <t>Строительство участка ВЛ-0,4 кВ от опоры № 12, ВЛ-0,4 кВ № 3,  КТП 213, ВЛ 10 кВ № 1, ПС 35/10 кВ «Элеватор», для подключения стоянки сельскохозяйственной техники ИП Главы К(Ф)Х Кулюк В.В., расположенного по адресу: Ростовская обл., Морозовский р-н, х. Морозов, 250 м северо-восточнее от ул. Заречная, 15, к.н. 61:24:0600009:248 (ориентировочная протяженность ЛЭП – 0,330 км)</t>
  </si>
  <si>
    <t>Строительство участка ВЛ-0,4 кВ от опоры №17 ВЛ-0,4 кВ №1, КТП №4, ВЛ-10 кВ №1, ПС 35/10 Вольно-Донская, для подключения жилого дома, расположенной по адресу Ростовская обл., р-н. Морозовский, х. Сибирьки, ул. Большая Садовая, д. 5, к.н. 61:24:0060601:176 (ориентировочная протяженность ЛЭП – 0,1 км)</t>
  </si>
  <si>
    <t>12</t>
  </si>
  <si>
    <t>Строительство участка ВЛ-0,22 кВ от оп. №15 ВЛ-0,4 кВ №1 КТП  № 113 по ВЛ- 10 кВ №4, ПС 35/10 кВ «Войковская», для подключения строящегося жилого дома Пахомова А.Л.,   расположенного по адресу: Ростовская область, Тарасовский  район, ст. Митякинская, ул. Подлесная, дома  №4,  к.н. 61:37:0100101:40 (ориентировочная протяженность ЛЭП – 0,015 км, прибор учёта электроэнергии–1 шт).</t>
  </si>
  <si>
    <t>Строительство участка ВЛ-0,4 кВ от опоры № 1, ВЛ-0,4 кВ № 1, КТП 516, ВЛ 10 № 2 Л-СП 3, ПС 110/10 кВ «Богатовская ПТФ», для подключения строящегося жилого дома Борисовой А.Н., расположеннго по адресу: Ростовская обл., Белокалитвинский р-н, х. Богатов., ул. Сосновая,  д 32, КН № 61:04:0080201:248 (ориентировочная протяженность ЛЭП – 0,150 км)</t>
  </si>
  <si>
    <t>Строительство участка ВЛ-0,4 кВ от опоры № 10, ВЛ-0,4 кВ № 1, КТП 397, ВЛ 10 кВ № 2, ПС 35/10 кВ «Нижнепоповская», для подключения жилого дома Бородиной Т.И., расположенного по адресу: Ростовская обл., Белокалитвинский р-н, х. Нижнепопов, ул. 2-я д. 3, кв. 2., КН № 61:04:0150204:161 (ориентировочная протяженность ЛЭП – 0,232 км)</t>
  </si>
  <si>
    <t>Строительство участка ВЛИ-0,4 кВ от опоры № 2, ВЛ-0,4 кВ №2, МТП № 64, ВЛ-10 кВ № 3, ПС 35/10 кВ «Каменская СХТ» для подключения строящегося жилого дома Лознева В.В. расположенного по адресу: Ростовская обл., Каменский р-н, х. Старая Станица, ул. 50 лет Победы, дом № 11, КН ЗУ 61:15:0130103:1280 (ориентировочная протяженность ЛЭП – 0,017 км, прибор учёта электроэнергии – 1 шт)</t>
  </si>
  <si>
    <t>Строительство участка ВЛ-0,4 кВ от опоры № 40/2, ВЛ-0,4 кВ № 2, КТП № 120, ВЛ-10 кВ № 2, ПС 35/10 кВ «Каменская СХТ» для подключения строящегося жилого дома Чокати В.Г. расположенного по адресу: Ростовская обл., Каменский р-н, х. Старая Станица, с восточной стороны земельного участка с КН 61:15:0130106:472, КН ЗУ 61:15:0130106:571 (ориентировочная протяженность ЛЭП – 0,050 км, прибор учета электроэнергии – 1шт).</t>
  </si>
  <si>
    <t>Строительство участка ВЛ-0,4кВ от опоры № 23, ВЛ-0,4кВ № 2, КТП № 71, ВЛ-10кВ № 4, ПС 35/10кВ «Каменская СХТ» для подключения строящегося жилого дома Меркуловой Е.А. расположенного по адресу: Ростовская обл., Каменский р-н, х. Абрамовка, ул. Ленина, д. 73, КН 61:15:0602101:2672 (ориентировочная протяженность ЛЭП – 0,116км, прибор учёта электроэнергии - 1шт.)</t>
  </si>
  <si>
    <t>Строительство участка ВЛ-0,4 кВ от проектируемой   ВЛ-0,4 кВ проектируемой КТП 10/04 кВ (по договору № 61-1-20-00513463 от 15.06.2020 г. и договору № 61-1-20-00513501 от 15.06.2020 г.), от опоры № 82, ВЛ-10 кВ № 7, ПС 110/35/10 кВ «Милютинская», для подключения жилого дома Деменко А.В., расположенного по адресу: Ростовская область, Милютинский район, х.Юдин, пер. Тырсовый, д. 7, к.н. 61:23:030101:160 (ориентировочная протяженность ЛЭП – 0,3 км, прибор учёта электроэнергии - 1шт)</t>
  </si>
  <si>
    <t>Строительство участка ВЛ-0,4 кВ от КТП № 189, ВЛ-6 кВ «Кирова», ПС 35/6 кВ «Б-6», для подключения сооружения транспорта и связи ИП Кондакова Е.И., расположенного по адресу: Ростовская обл., Тацинский р-н, п. Жирнов, примерно в 4,1 км на юго-восток от п. Жирнов, к.н. № 61:38:0600008:1410 (ориентировочная протяженность ЛЭП – 0,3 км)</t>
  </si>
  <si>
    <t>Строительство участка ВЛИ-0,4 кВ от РУ-0,4 кВ КТП № 311, ВЛ-10 кВ № 4, ПС 110/10 кВ «Волченская ПТФ», для подключения жилого дома Краснова М.В. расположенного по адресу: Ростовская обл., Каменский р-н, х. Волченский, ул. Садовая, д. № 12, КН 61:15:0040101:450 (ориентировочная протяженность ЛЭП – 0,254 км, прибор учёта электроэнергии - 1шт)</t>
  </si>
  <si>
    <t>Строительство участка ВЛ-0,4 кВ от опоры № 7, ВЛ-0,4 кВ № 1, КТП № 355, ВЛ-10 кВ № 4, ПС 35/10 кВ «Верхне-Кольцовская», для подключения ВРУ-0,4 кВ жилого дома Карасева В.А., расположенного по адресу: Ростовская область, Тацинский район, ст. Ермаковская, пер. Нижний, д. 2, корп. А, к.н. 61:38:0080101:1745 (ориентировочная протяженность ЛЭП – 0,37 км, прибор учёта электроэнергии - 1шт)</t>
  </si>
  <si>
    <t>Строительство участка ВЛ-0,4 кВ от опоры № 12 ВЛ-0,4 кВ №2 КТП № 426, ВЛ-10 кВ № 3, ПС 35/10 кВ «Нижнепоповская», для подключения малоэтажной жилой застройки Буценко Михаила Владимировича, расположенного по адресу: Ростовская обл., Белокалитвинский р-н, п. Сосны, ул. Октябрьская, КНЗУ 61:04:0150415:316 (ориентировочная   протяженность ЛЭП – 0,220 км, прибор учёта электроэнергии - 1шт)</t>
  </si>
  <si>
    <t>Строительство участка ВЛ-0,4 кВ от опоры № 24 ВЛ 0,4 кВ № 2, КТП № 953, ВЛ-10 кВ фид «Западной», ПС 35/10 кВ «Ш-26», для подключения ВРУ-0,4 кВ нежилой застройки Гончарова В.А., расположенного по адресу: Ростовская область, Белокалитвинский р-н, х. Западный, ул. Садовая, д. 40 д, к.н. 61:04:0080301:131 (ориентировочная протяженность ЛЭП – 0,221 км, прибор учёта электроэнергии - 1шт)</t>
  </si>
  <si>
    <t>Строительство участка ВЛ-0,4 кВ от опоры №14, ВЛ-0,4 кВ №1, КТП 378, ВЛ-10 кВ №2, ПС 35/10 кВ "Селивановская", для подключения жилого дома Череватенко А.П., расположенного по адресу: Ростовская область, Милютинский р-н, ст. Селивановская, ул. Заречная, дом №2, КН № 61:23:080101:0378 (ориентировочная протяженность ЛЭП 0,110 км)</t>
  </si>
  <si>
    <t>Строительство участка ВЛ-0,4 кВ от РУ-0,4 кВ, КТП № 93, ВЛ-10 кВ № 1, ПС 35/10 кВ «Успенская», для подключения ВРУ-0,4 кВ жилого дома Овчаренко И.Н., расположенного по адресу: Ростовская область, Милютинский р-н, х. Антоновка, ул. Твердохлебовка, д. 10, к.н. 61:23:0040101:593 (ориентировочная протяженность ЛЭП – 0,32 км, прибор учёта электроэнергии - 1шт)</t>
  </si>
  <si>
    <t>Строительство участка ВЛ-0,4 кВ от опоры №1 ВЛ-0,4кВ №1, КТП № 204, ВЛ-10 кВ № 4, ПС 110/35/10 кВ «Б-11», для подключения жилого дома Шулева С.Г., расположенного по адресу: Ростовская обл., Морозовский р-н,г. Морозовск, ул. Каруна, 8/92, к.н. 61:24:0014007:92 (ориентировочная   протяженность ЛЭП – 0,13 км, прибор учёта электроэнергии - 1шт)</t>
  </si>
  <si>
    <t>Строительство участка ВЛ-0,4 кВ от опоры № 31, ВЛ-0,4 кВ №4, КТП № 73, ВЛ-10 кВ № 3, ПС 35/10 кВ «Советская-1», для подключения сторожевого дома Оберемко В.Н. расположенного по адресу: Ростовская обл., Советский р-н, ст Советская, примерно 0,16 км на восток от ориентира  ст. Советская, КНЗУ 61:36:0600002:443 (ориентировочная протяженность ЛЭП – 0,2 км, прибор учёта электроэнергии - 1шт)</t>
  </si>
  <si>
    <t>Строительство участка ВЛ-10 кВ от опоры № 39, ВЛ-10 кВ № 4, ПС 35/10 кВ «Тацинская СХТ», ТП 10/0,4 кВ и ВЛ-0,4 кВ от РУ-0,4 кВ проектируемой ТП 10/0,4 кВ, для подключения строящегося нежилого здания ИП Громова А.А, расположенного по адресу: Ростовская обл., Тацинский р-н, Тацинское сельское поселение, ст-ца Тацинская, ул. Пролетарская, д. 139-к, КН ЗУ 61:38:0010122:90 (ориентировочная протяженность ЛЭП –0,124 км, трансформаторная мощность – 0,1 МВА, прибор учёта электроэнергии - 1шт.)</t>
  </si>
  <si>
    <t>Строительство участка ВЛ-0,4 кВ от опоры № 1, ВЛ-0,4 кВ № 3, КТП № 259, ВЛ-10 кВ № 3, ПС 35/10 кВ «Алифановская», для подключения ВРУ-0,4 кВ жилого дома Литвинова Н.Г, расположенного по адресу: Ростовская область, Тацинский район, х. Потапов, ул. Мира, д. 3, к.н. 61:38:030901:0097 (ориентировочная протяженность ЛЭП – 0,523 км, прибор учёта электроэнергии - 1шт)</t>
  </si>
  <si>
    <t>Строительство участка ВЛ-0,4 кВ от опоры № 6, ВЛ-0,4 кВ № 2, КТП № 259, ВЛ-10 кВ № 3, ПС 35/10 кВ «Алифановская», для подключения ВРУ-0,4 кВ жилого дома Кононовой Л.В., расположенного по адресу: Ростовская область, Тацинский район, х. Потапов, ул. Набережная, д. 19, к.н. 61:38:0030901:11 (ориентировочная протяженность ЛЭП – 0,295 км, прибор учёта электроэнергии - 1шт)</t>
  </si>
  <si>
    <t>Строительство ВЛ-10 кВ от опоры № 73 по ВЛ-10 кВ № 5 ПС 110/10 кВ «Дегтевская» с установкой КТП и строительством ВЛ-0,4 кВ, для технологического присоединения БС 61-02516 заявителя,  ПАО «Мобильные ТелеСистемы, расположенной в Ростовской области, Миллеровский р-н, сл. Дегтево,  (61:22:0600006:820) (ориентировочная   протяженность ЛЭП – 5,52 км, ориентировочная мощность ТП – 0,04 МВА)</t>
  </si>
  <si>
    <t>Строительство ВЛ-10 кВ от опоры № 42 по ВЛ-10 кВ № 1 ПС 220/110/10 кВ «Вешенская 2» с установкой КТП и строительством ВЛ-0,4 кВ», для технологического присоединения жилых домов заявителей, Симонова М.Ю. и Лапина Е.А., расположенных в Ростовской области, Шолоховский р-н, х. Калининский, ул. Газовиков 30, Газовиков 32 (61:43:0050101:658, (61:43:0050101:720) (ориентировочная   протяженность ЛЭП – 0,51 км, ориентировочная мощность ТП – 0,04 МВА)</t>
  </si>
  <si>
    <t>Строительство ВЛ-0,4 кВ от опоры №2 ВЛ-0,4кВ №2 ТП №606/100 кВА по ВЛ-10 кВ №3 ПС 110/10кВ "Промзона" с установкой на границе земельного участка Заявителя шкафа 0,4 кВ с коммутационным аппаратом для технологического присоединения жилого дома заявителя Орлянский О.И., расположенного в Ростовской области Миллеровский р-н , х. Терновой, пер.Новый д.1 (61:22:0061001:823) (ориентировочная протяженность ЛЭП-0,04км,)</t>
  </si>
  <si>
    <t xml:space="preserve">Строительство ВЛ-0,4 кВ от РУ 0,4 кВ КТП-10/0,4 №221 по ВЛ-10 кВ № 2 ПС 110/35/10 кВ «Вешенская 1», для электроснабжения жилых домов заявителей, Абакумовой Т.В. и Михайловского М.К., расположенных в Ростовской области, Шолоховский р-н, х. Зубковский, ул. Решетовская 28, ул. Решетовская 35, (61:43:0030301:315), (61:43:0030301:117), (ориентировочная протяженность ЛЭП 1,05 км)
</t>
  </si>
  <si>
    <t>Строительство ВЛ-10 кВ от опоры №173 по ВЛ-10 кВ №5 ПС 110/35/10 кВ "ГОК" с установкой КТП и строительством ВЛ-0,4 кВ, для технологического присоединения БС 61-02519 заявителя, ПАО "Мобильные ТелеСистемы, расположенной в Ростовской области, Миллеровский р-н, Верхнеталовское сельское поселение, (61:22:0600023:459), (ориентировочная протяженность ЛЭП- 0,045 км, ориентировочная мощность ТП- 0,025 МВА)</t>
  </si>
  <si>
    <t>Строительство ВЛ-10 кВ от проектируемой ВЛ 10 кВ (строящейся по договору № 61-1-19-00440933 от 13.05.2019г.) от опоры №73 ВЛ-10 кВ №5 ПС 110/10 кВ «Дегтевская» с установкой КТП и строительством ВЛ-0,4 кВ, для электроснабжения придорожного сервиса заявителя, ИП Пятицкой Е.И., расположенного в Ростовской области, Миллеровский р-н, северо-западная сторона сл. Дегтево, (61:22:0600006:820) (ориентировочная   протяженность ЛЭП – 5,52 км, ориентировочная мощность ТП – 0,063 МВА)</t>
  </si>
  <si>
    <t>Строительство ВЛ-10 кВ от опоры №94/110 по ВЛ-10 кВ №1 ПС 110/35/10 кВ "Сулин"с установкой КТП и строительством  ВЛ- 0,4 кВ, для технологического  присоединения распределительного щита заявителя, ФГКУ "Пограничное управление ФСБ РФ по Ростовской области", расположенного в Ростовской области, Миллеровский р-н, Сулинское сельское поселение, (к.н. 61:22:0600018:459) (ориентировочная протяженность ЛЭП- 0,66 км., ориентировочная мощность ТП- 0,025 МВА)</t>
  </si>
  <si>
    <t>Строительство ВЛ-0,4 кВ от КТП 10/0,4 кВ №76 по ВЛ-10 кВ №3 ПС 35/10 кВ "Боковская", для технологического присоединения гаража заявителя Васильева В.М., расположенного в Ростовской области, Боковский р-н, ст. Боковская, ул. Гагарина 8Б,(61:05:0010101:726) (ориентировочная протяженность ЛЭП-0,047км,)»</t>
  </si>
  <si>
    <t>Строительство ВЛ-0,4 кВ от опоры №19 ВЛ-0,4 кВ №2 ТП-10/0,4 кВ №50 по ВЛ-10 кВ №6 ПС 110/35/10 кВ «Кашарская», обеспечение коммерческим учетом электрической энергии (мощности) в точке поставки и установка шкафа 0,4 с коммутационными аппаратами, для технологического присоединения сельскохозяйственного производства заявителя, ИП Решетько В.А., расположенное Ростовская область, Кашарский р-н, с. Лысогорка (к.н. 61:16:0600010:347) (ориентировочная протяженность ЛЭП – 0,077 км)</t>
  </si>
  <si>
    <t>Строительство ВЛ-0,4 кВ от опоры №3 по ВЛ-0,4кВ №3 КТП-10/0,4 кВ №369 по ВЛ-10 кВ №2 ПС 35/10 кВ "Колундаевская"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кухни заявителя, Ильиной Н.Н., расположенной  Ростовская область, Шолоховский р-н, х. Поповский, ул. Школьная, д. 8, (к.н.з.у. 61:43:0090701:162) (ориентировочная протяженность ЛЭП-0,17 км)</t>
  </si>
  <si>
    <t>Строительство ВЛ-0,4 кВ от опоры №4 по ВЛ-0,4кВ №3 КТП-10/0,4 кВ №333 по ВЛ-10 кВ №2 ПС 35/10 кВ "Терновская-2",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Поповой Н.И., расположенного по адресу:  Ростовская область, Шолоховский р-н, ст-ца. Еланская, ул. Донская, д. 4, (к.н.з.у. 61:43:0020301:141) (ориентировочная протяженность ЛЭП-0,1 км)</t>
  </si>
  <si>
    <t>Строительство ВЛ-0,4 кВ от опоры №19 по ВЛ-0,4кВ №3 КТП-10/0,4 кВ №26 по ВЛ-10 кВ №1 ПС 35/10 кВ "Базковская"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квартиры заявителя, Кисель Н.И., расположенной  Ростовская область, Шолоховский р-н, ст. Базковская, ул. Калинина, д. 62, (к.н.з.у. 61:43:0010102:1415) (ориентировочная протяженность ЛЭП-0,17 км)</t>
  </si>
  <si>
    <t>Строительство ВЛ-10 кВ от опоры №7 по ВЛ-10 кВ №2  ПС 110/35/10 кВ "Калининская" с установкой КТП и строительством ВЛ-0,4 кВ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строящегося склада  заявителя, ИП Глава КФХ Лащенов А.И., расположенного в  Ростовская область, Шолоховский р-н, пс. Межселенная территория, по границе СПК Калининское,  (61:23:0600016:249) (ориентировочная протяженность ЛЭП-0,02 км, ориентировочная мощность ТП- 0,025 МВА)</t>
  </si>
  <si>
    <t>Строительство ВЛ-10 кВ от опоры №72/166 по ВЛ-10 кВ №3  ПС 35/10 кВ "Мальчевская" с установкой КТП и строительством ВЛ-0,4 кВ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гостиници  заявителя, ИП Позигун И.Н., расположенного в  Ростовская область, Миллеровский  р-н,  (61:22:0600008:1226) (ориентировочная протяженность ЛЭП-0,18 км, ориентировочная мощность ТП- 0,160 МВА)</t>
  </si>
  <si>
    <t>Строительство ВЛ-0,4 кВ от опоры №18 по ВЛ-0,4 кВ №1 КТП-10/0,4 кВ №206 по ВЛ-10 кВ №1 ПС 110/35/10 кВ "Вешенская 1",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Конышева В.Н., расположенной  Ростовская область, Шолоховский р-н, х. Дубровский, ул. Центральная, д. 4  (к.н.з.у.61:43:0030101:152) (ориентировочная протяженность ЛЭП-0,13 км)</t>
  </si>
  <si>
    <t>Строительство ВЛ-0,4 кВ от опоры №16/13 по ВЛ-0,4 кВ №1 КТП-10/0,4 кВ №220 по ВЛ-10 кВ №2 ПС 110/35/10 кВ «Вешенская 1»,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Крымцевой Е.Г., расположенного Ростовская область, Шолоховский р-н, х. Зубковский, ул. Заречная, д. 12, (к.н.з.у. 61:43:0030301:205) (ориентировочная протяженность ЛЭП – 0,1 км) (1 шт)</t>
  </si>
  <si>
    <t>Строительство ВЛ-10 кВ от опоры № 146/100 по ВЛ-10 кВ № 18 ПС 110/35/10 кВ «ГОК» с установкой КТП и строительством ВЛ-0,4 кВ,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сельскохозяйственной ярмарки заявителя, ИП Салманов Н.М., расположенного в Ростовской области, Миллеровский р-н, Первомайское сельское поселение,  (61:22:0600028:963) (ориентировочная   протяженность ЛЭП – 0,057 км, ориентировочная мощность ТП – 0,025 МВА) (1 шт.)</t>
  </si>
  <si>
    <t>Строительство ВЛ-0,4 кВ от опоры №17 по ВЛ-0,4 кВ №2 КТП-10/0,4 кВ №206 по ВЛ-10 кВ №1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Пинкина Н.И., расположенного Ростовская область, Шолоховский р-н, х. Дударевский, ул. Центральная, д. 54, (к.н.з.у. 61:43:0030101:1264) (ориентировочная протяженность ЛЭП – 0,06 км) (1 шт)</t>
  </si>
  <si>
    <t>Строительство ВЛ-0,4 кВ от опоры №6 по ВЛ-0,4 кВ №1 КТП-10/0,4 кВ №227 по ВЛ-10 кВ №2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Кривошлыковой Е.И., расположенного по адресу: Ростовская область, Шолоховский р-н, х. Зубковский, ул. Лесная, д. 63, (к.н.з.у. 61:43:0030301:147) (ориентировочная протяженность ЛЭП – 0,36 км) (1 шт.)</t>
  </si>
  <si>
    <t>Строительство ВЛ-0,4 кВ от опоры №52/3 по ВЛ-0,4 кВ №2 КТП-10/0,4 кВ №284 по ВЛ-10 кВ №5 ПС 35/10 кВ «Ореховская»,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личного подсобного хозяйства заявителя, Шишкова Ю.А., расположенного по адресу: Ростовская область, Миллеровский р-н, х. Ореховка, (к.н.з.у. 61:22:0600027:2077) (ориентировочная протяженность ЛЭП – 0,055 км) (1 шт.)</t>
  </si>
  <si>
    <t>Строительство ВЛ-0,4 кВ от опоры №8 по ВЛ-0,4 кВ №1 КТП-10/0,4 кВ №165 по ВЛ-10 кВ №5 ПС 35/10 кВ «Долотинская»,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Думина С.А., расположенного по адресу: Ростовская область, Миллеровский р-н, х. Новоалександровка, ул. Горная, д. 11 (к.н.з.у. 61:22:0060901:21) (ориентировочная протяженность ЛЭП – 0,3 км) (1 шт.)</t>
  </si>
  <si>
    <t>Строительство ВЛ-10 кВ от опоры № 81 по ВЛ-10 кВ № 2 ПС 35/10 кВ «Криворожская» с установкой КТП и строительством ВЛ-0,4 кВ, установка коммерческого учета электрической энергии (мощности) в точке поставки и установка шкафа 0,4 кВ с коммутационным аппаратом, для технологического присоединения ангара заявителя, ИП Шоста А.Н., расположенного в Ростовской области, Миллеровский р-н, сл. Криворожье, Криворожское сельское поселение,  (61:22:0600024:703) (ориентировочная   протяженность ЛЭП – 0,026 км, ориентировочная мощность ТП – 0,025 МВА) (1 шт.)</t>
  </si>
  <si>
    <t>Строительство ВЛ-0,4 кВ от опоры №13 по ВЛ-0,4 кВ №1 КТП-10/0,4 кВ №662 по ВЛ-10 кВ №1 ПС 35/10 кВ «Криворожская»,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сельскохозяйственного ангара заявителя, Луганцева А.С., расположенного по адресу: Ростовская область, Миллеровский р-н, Криворожское сельское поселение (к.н.з.у. 61:22:0600024:710) (ориентировочная протяженность ЛЭП – 0,05 км) (1 шт.)</t>
  </si>
  <si>
    <t>Строительство ВЛ-0,4 кВ от опоры №13/14 по ВЛ-0,4 кВ №3 КТП-10/0,4 кВ №210 по ВЛ-10 кВ №1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Фроловой В.В., расположенного по адресу: Ростовская область, Шолоховский р-н, х. Антиповский, ул. Школьная, д. 78, (к.н.з.у. 61:43:0030201:206) (ориентировочная протяженность ЛЭП – 0,12 км) (1 шт.)</t>
  </si>
  <si>
    <t>Строительство ВЛ-0,4 кВ от опоры №3/5 по ВЛ-0,4 кВ №2 ЗТП-10/0,4 кВ №379 по ВЛ-10 кВ №3 ПС 35/10 кВ «Колундаевская»,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Афанасьева П.Н., расположенного по адресу: Ростовская область, Шолоховский р-н, х. Колундаевский, ул. Школьная, д. 4, (к.н.з.у. 61:43:0060101:1105) (ориентировочная протяженность ЛЭП – 0,075 км) (1 шт.)</t>
  </si>
  <si>
    <t>Строительство ВЛ-0,4 кВ от опоры №12 по ВЛ-0,4 кВ №3 КТП-10/0,4 кВ №104 по ВЛ-10 кВ №1 ПС 35/10 кВ «Базковская»,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Медведевой Н.М., расположенного по адресу: Ростовская область, Шолоховский р-н, х. Громковский, ул. Советская, д. 302 а, (к.н.з.у. 61:43:0010501:968) (ориентировочная протяженность ЛЭП – 0,085 км) (1 шт.)</t>
  </si>
  <si>
    <t>Строительство ВЛ-10 кВ от опоры № 170 по ВЛ-10 кВ № 4 ПС 35/10 кВ «Кружилинская» с установкой КТП и строительством ВЛ-0,4 кВ, установку коммерческого учета (3 шт.) электрической энергии (мощности) в точке поставки и установка шкафов 0,4 кВ с коммутационным аппаратом, для технологического присоединения жилых домов заявителей, Заикина В.В., Чернышевой Ю.В., и Торопова А.В., расположенных в Ростовской области, Шолоховский р-н, х. Чукаринский, ул Сосновая 26, ул. Сосновая 28, ул. Сосновая 30 (61:43:0070501:206, 61:43:0070501:205, 61:43:0070501:207) (ориентировочная   протяженность ЛЭП – 0,24 км, ориентировочная мощность ТП – 0,063 МВА) (3 шт.)</t>
  </si>
  <si>
    <t>Строительство ВЛ-10 кВ от опоры № 3/51/209 по ВЛ-10 кВ № 18 ПС 110/35/10 кВ «ГОК» с установкой ТП и строительством ВЛ-0,4 кВ, установка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мастерской по ремонту сельскохозяйственной техники заявителя, ООО «Агросервис», расположенной в Ростовской области, г.  Миллерово,  (61:54:0100001:17) (ориентировочная   протяженность ЛЭП – 0,48 км, ориентировочная мощность ТП – 0,16 МВА)</t>
  </si>
  <si>
    <t>Строительство ВЛ-0,4 кВ от опоры №5 ВЛ 0,4 кВ №2 КТП-10/0,4 кВ №722 по ВЛ-10 кВ №5 ПС 110/10 кВ «Маяк»,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базовой станции заявителя, ООО «Т2 Мобайл», расположенной по адресу: Ростовская область, Миллеровский р-н, сл. Никольская, ул. Российская, д. 12, кв. 2, к.н.з.у. 61:22:0100101:53 (ориентировочная протяженность ЛЭП – 0,16 км)</t>
  </si>
  <si>
    <t>Строительство ВЛ-0,4 кВ от опоры №2/27 по ВЛ-0,4 кВ №2 КТП-10/0,4 кВ №28 по ВЛ-10 кВ №4 ПС 35/10 кВ «Боковская»,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Гладковой Н.В., расположенного по адресу: Ростовская область, Боковский р-н, х. Дуленков, ул. Огородная, д. 23-Г, (к.н.з.у. 61:05:0010603:198) (ориентировочная протяженность ЛЭП – 0,066 км)</t>
  </si>
  <si>
    <t>Строительство ВЛ-10 кВ от опоры № 5/164 по ВЛ-10 кВ № 2 ПС 110/35/10 кВ «Сохрановская» с установкой КТП и строительством ВЛ-0,4 кВ, установка приборов учета электрической энергии (мощности) в точках поставки и установка шкафов ( 0,4 кВ) с коммутационными аппаратами, для технологического присоединения гостиницы и объекта общественного питания Заявителя, Курганской Л.А., расположенных в Ростовской области, Чертковский р-н, х. Нагибин, ул. Молодежная 53, 55,  (ориентировочная   протяженность ЛЭП – 0,322 км, ориентировочная мощность ТП – 0,16 МВА, количество приборов учёта 0,4 кВ – 2 шт.)</t>
  </si>
  <si>
    <t>Строительство ВЛ-0,4 кВ от опоры №3/13 ВЛ-0,4 кВ №1 КТП-10/0,4 кВ №132 по ВЛ-10 кВ №1 ПС 35/10 кВ «В. Чирская», установка прибора коммерческого учета электрической энергии (мощности) в точке поставки и установка шкафа 0,22 кВ с коммутационным аппаратом, (1 шт.) для технологического присоединения модульного ФАП заявителя, МБУЗ «Центральная районная больница Боковского района», расположенного по адресу: Ростовская область, Боковский р-н, х. Большенаполовский, ул. Школьная, д. 71 а, (к.н.з.у. 61:05:0020204:438) (ориентировочная протяженность ЛЭП – 0,03 км)</t>
  </si>
  <si>
    <t>Строительство ВЛ-10 кВ от опоры № 35 по ВЛ-10 кВ № 2 ПС 35/10 кВ «Курская» с установкой КТП и строительством ВЛ-0,4 кВ, установка коммерческого учета электрической энергии (мощности) в точке поставки и установка шкафа 0,4 кВ с коммутационным аппаратом, для технологического присоединения ангара заявителя, ИП Глава КФХ Петров Н.Ю., расположенного в Ростовской области, Миллеровский р-н, Криворожское сельское поселение,  (61:22:0600020:466) (ориентировочная   протяженность ЛЭП – 1,355 км, ориентировочная мощность ТП – 0,025 МВА) (1 шт)</t>
  </si>
  <si>
    <t>Строительство ВЛ-10 кВ от опоры № 10/92 по ВЛ-10 кВ № 7 ПС 110/35/10 кВ «Сулин» с установкой КТП и строительством ВЛ-0,4 кВ, установка коммерческого учета электрической энергии (мощности) в точке поставки и установка шкафа 0,4 кВ с коммутационным аппаратом, для технологического присоединения коровника заявителя, ИП Глава КФХ Ломатченко Ю.А., расположенного в Ростовской области, Миллеровский р-н, Сулинское сельское поселение,  (61:22:0600022:800) (ориентировочная   протяженность ЛЭП – 2,05 км, ориентировочная мощность ТП – 0,025 МВА) (1 шт.)</t>
  </si>
  <si>
    <t>Строительство ВЛ-10 кВ от опоры № 22/52 по ВЛ-10 кВ № 1 ПС 110/10 кВ «Дегтевская» с установкой КТП и строительством ВЛ-0,4 кВ», обеспечение коммерческим учетом электрической энергии (мощности) в точке поставки и установка шкафа 0,4 кВ с коммутационными аппаратами, для технологического присоединения ангара заявителя, ИП Беличенко А.Е., расположенного Ростовская область, Миллеровский р-н, (к.н.з.у. 61:22:0600006:1227) (ориентировочная протяженность ЛЭП – 0,955 км, ориентировочная мощность ТП – 0,025 МВА)</t>
  </si>
  <si>
    <t>Строительство ВЛ-10 кВ от опоры № 234/45 по ВЛ-10 кВ № 1 ПС 110/35/10 кВ «Вешенская 1» с установкой КТП и строительством ВЛ-0,4 кВ», для технологического присоединения жилого дома заявителя, Дударевой А.П., расположенного в Ростовской области, Шолоховский р-н, х. Щебуняевский, ул. Песчаная 9 (61:43:0080601:14, (ориентировочная протяженность ЛЭП – 0,96 км, ориентировочная мощность ТП – 0,025 МВА)</t>
  </si>
  <si>
    <t xml:space="preserve">Строительство ВЛ-0,4 кВ от РУ 0,4 кВ КТП-10/0,4 кВ №249 по ВЛ-10 кВ №6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Бесхлебнова А.Ф., расположенного по адресу: Ростовская область, Шолоховский р-н, х. Черновский, ул. Заречная, д.1, (к.н.з.у. 61:43:0060801:441) (ориентировочная протяженность ЛЭП – 0,86 км) </t>
  </si>
  <si>
    <t>Строительство ВЛ-10 кВ от опоры № 187 по ВЛ-10 кВ № 6 ПС 110/35/10 кВ «Сохрановская» с установкой КТП и строительством ВЛ-0,4 кВ», для технологического присоединения станции техобслуживания заявителя,  ИП Мухамедова И.М., расположенной в Ростовской области, Чертковский р-н, х. Нагибин,  (61:42:0600003:669) (ориентировочная   протяженность ЛЭП – 1,88 км, ориентировочная мощность ТП – 0,250 МВА)</t>
  </si>
  <si>
    <t>Строительство ВЛ-10кВ от опоры № 203 по ВЛ-10кВ № 4 ПС 110/35/10 кВ "Ал. Лозовская" с установкой КТП и строительством ВЛ-0,4кВ", для технологического присоединения базовой станции №61-02514 ПАО Мобильные ТелеСистемы, расположенной в Ростовской области, Чертковский р-н, х. Ястребиновский, (61:42:06000018) (ориентировочная протяженность ЛЭП 2,31км, ориентировочная мощность ТП 0,025МВА)</t>
  </si>
  <si>
    <t>Строительство ВЛ 0,4 кВ от ВЛ 0,4 кВ №1 КТП №629 ВЛ 10 кВ №501 ПС 35 кВ АС5 для электроснабжения ВРУ 0,4 кВ жилого дома Апальковой Ю. А. на участке с КН 61:02:0020101:131 в х. Алитуб Аксайского района Ростовской области (ориентировочная протяжённость ЛЭП 0,028 км)</t>
  </si>
  <si>
    <t xml:space="preserve">Строительство ВЛ 0,4 кВ от сущ. опоры №1/10 ВЛ 0,4 кВ №1 КТП 10/0,4 кВ № 89 ВЛ 10 кВ №706 ПС 110/10 кВ АС 7 для электроснабжения ВРУ 0,4 кВ жилого дома Бандурина В.А. на участке с КН 61:02:00600007:2787, в п. Красный Колос, ул, Казачья, 8, Аксайский район Ростовской области </t>
  </si>
  <si>
    <t>Строительство ВЛ 0,4 кВ от ВЛ 0,4 кВ №2 КТП №72 ВЛ 6 кВ №804 ПС 35 кВ АС8 для электроснабжения ВРУ 0,4 кВ жилого дома Басенко Е. В. на участке с КН 61:02:0600010:3456 в п. Российский Аксайского района Ростовской области (ориентировочная протяжённость ЛЭП 0,055 км)</t>
  </si>
  <si>
    <t>Строительство ТП 10/0,4 кВ, ВЛ 0,4 кВ,  ВЛ 10 кВ от ВЛ 10 кВ №1003 ПС 110 кВ АС10 для электроснабжения жилого дома Вуколова К.В. По ул. Краузиной, 6 в ст-це Грушевская Аксайского района Ростовской области (ориентировочная мощность трансформатора 0,250 МВА, ориентировочная протяженность ЛЭП 0,280 км)</t>
  </si>
  <si>
    <t>«Строительство ВЛ 0,4 кВ от ВЛ 0,4 кВ №4 техперевооружаемой КТП №190 (по договору №61-1-19-00484861 от 28.11.2019 г.) ВЛ 10 кВ №1513 ПС 110 кВ АС15 для электроснабжения ВРУ 0,4 кВ жилого дома Гурулева М. В. по ул. Грушевая, 5 в п. Водопадный Аксайского района Ростовской области (ориентировочная протяжённость ЛЭП 0,168 км)»</t>
  </si>
  <si>
    <t xml:space="preserve">Строительство ВЛ 0,4 кВ от ВЛ 0,4 кВ №1 КТП №146 ВЛ 10 кВ №434 ПС 220 кВ Р4, КЛ 0,4 кВ РУ 0,4 кВ КТП №231 ВЛ 10 кВ №441 ПС 220 кВ Р4 для электроснабжения детского сада на 60 мест на участке с КН 61:02:0010148:59 в п. Янтарный Аксайского района Ростовской области (ориентировочная протяжённость ЛЭП 0,33 км)
</t>
  </si>
  <si>
    <t>«Строительство ВЛ 0,4 кВ от РУ 0,4 кВ техперевооружаемой КТП №190 (по договору №61-1-19-00484861 от 28.11.2019 г.) ВЛ 10 кВ №1513 ПС 110 кВ АС15 для электроснабжения ВРУ 0,4 кВ жилого дома Жалолова Р. Н. по ул. Вишневая, 2/12 в п. Водопадный Аксайского района Ростовской области (ориентировочная протяжённость ЛЭП 0,076 км)»</t>
  </si>
  <si>
    <t>Строительство ВЛ 0,4 кВ от ВЛ 0,4 кВ №1 КТП №450 ВЛ 10 кВ №1103 ПС 110 кВ АС11 для электроснабжения ВРУ 0,4 кВ жилого дома Кабраль Д. С. на участке с КН 61:02:0600009:3051 в ст-це Мишкинская Аксайского района Ростовской области (ориентировочная протяжённость ЛЭП 0,085 км)</t>
  </si>
  <si>
    <t>Строительство ВЛ 0,4 кВ от РУ 0,4 кВ КТП №72 ВЛ 6 кВ №804 ПС 35 кВ АС8 для электроснабжения ВРУ 0,4 кВ жилого дома Перелыгина Р. А. по ул. Еловая, 20/17 в п. Российский Аксайского района Ростовской области (ориентировочная протяжённость ЛЭП 0,240 км)</t>
  </si>
  <si>
    <t>Строительство ВЛ 0,4 кВ от РУ 0,4 кВ КТП №95 ВЛ 6 кВ №305 ПС 35 кВ АС3 для электроснабжения автомойки ИП Ткачевой В. А. на участке с КН 61:02:0120103:799 в г. Аксае Аксайского района Ростовской области (ориентировочная протяжённость ЛЭП 0,2 км)</t>
  </si>
  <si>
    <t>Строительство ВЛ 0,4 кВ от ВЛ 0,4 кВ №1 КТП №148 ВЛ 6 кВ №802 ПС 35 кВ АС8 для электроснабжения ВРУ 0,4 кВ жилых домов по адресу: Ростовская обл., Аксайский р-н, п. Опытный, с/т “Энергетик” (ориентировочная протяжённость ЛЭП 0,190 км)</t>
  </si>
  <si>
    <t>Строительство ВЛ 0,4 кВ от ВЛ 0,4 кВ №2 КТП №137 ВЛ 10 кВ №108 ПС 110 кВ БГ1 для электроснабжения жилого дома Исаева И. по адресу РО, Багаевский район, х. Елкин, пер. Северный, д. 28, к.н. 61:03:0030133:16. (ориентировочная протяжённость ЛЭП 0,145 км)</t>
  </si>
  <si>
    <t>Строительство ВЛ 0,4 кВ от ВЛ 0,4 кВ №1 КТП №147 ВЛ 10 кВ №307 ПС 35 кВ БГ3 для электроснабжения теплицы Хамдиева А.Х. по адресу РО, Багаевский район, Елкинское сельское поселение, к.н. 61:03:0600002:681. (ориентировочная протяжённость ЛЭП 0,085 км)</t>
  </si>
  <si>
    <t>Строительство ВЛ 0,4 кВ от опоры № 22 ВЛ-0,4 кВ № 3 КТП № 637 ВЛ 10 кВ №608 ПС СМ6  с установкой на границе земельного участка Заявителя прибора учета для электроснабжения ВРУ-0,4 кВ жилого дома заявителя Таировой А.Ш.(1 прибор учета)</t>
  </si>
  <si>
    <t xml:space="preserve">Строительство ВЛ 0,4 кВ от проектируемой ВЛ 0,4 кВ (по договору №61-1-18-00419781 от 27.12.2018 г.) проектируемого КТПН 6/0,4 кВ ВЛ 6 кВ №305 ПС 35 кВ АС3 для электроснабжения ВРУ 0,4 кВ жилых домов на участках с КН 61:02:0600010:14281, 61:02:0600010:14306 в г. Аксае Аксайского района Ростовской области </t>
  </si>
  <si>
    <t xml:space="preserve">Строительство ВЛ 0,4 кВ от ВЛ 0,4 кВ №1 КТП №245 ВЛ 10 кВ №1513 ПС 110 кВ АС15 для электроснабжения ВРУ 0,4 кВ жилых домов Бугаян А. М. на участке с КН 61:02:060010:16034, 61:02:060010:16038 в п. Водопадный Аксайского района Ростовской области (ориентировочная протяжённость ЛЭП 0,130 км)
</t>
  </si>
  <si>
    <t xml:space="preserve">Строительство ВЛ 0,4 кВ от ВЛ 0,4 кВ №1 КТП №11 ВЛ 10 кВ №655 ПС 110 кВ АС6 для электроснабжения устройства катодной защиты филиала ПАО “Газпром газораспределение Ростов-на-Дону” в г. Аксае по адресу: Ростовская обл., р-н Аксайский, ст-ца Старочеркасская </t>
  </si>
  <si>
    <t>«Строительство КТПН 10/0,4 кВ, ВЛ 0,4 кВ, ВЛ 10 кВ от ВЛ 10 кВ №102 ПС 110 кВ АС1 для электроснабжения ВРУ 0,4 кВ гостиничного комплекса Казарян Н. С. на участке с КН 61:02:0000000:6785 в ст-це Ольгинская Аксайского района Ростовской области (ориентировочная мощность трансформатора 0,025 МВА, ориентировочная протяжённость ЛЭП 0,095 км)»</t>
  </si>
  <si>
    <t>Строительство КТПН 10/0,4 кВ, ВЛ 10 кВ, ВЛ 0,4 кВ от ВЛ 10 кВ №103 ПС 110 кВ АС1 для электроснабжения ВРУ 0,4 кВ жилого дома Кораблинова И. А. по ул. Ноябрьская, 34 в х. Островского Аксайского района Ростовской области (ориентировочная мощность трансформатора 0,025 МВА, ориентировочная протяжённость ЛЭП 0,172 км)</t>
  </si>
  <si>
    <t>Строительство КТПН 10/0,4 кВ, ВЛ 10 кВ, ВЛ 0,4 кВ от ВЛ 10 кВ №705 ПС 35 кВ АС7 для электроснабжения ВРУ 0,23 кВ пастбища Кудря О. А. на участке с КН 61:02:0600006:4739 в п. Красный Аксайского района Ростовской области (ориентировочная мощность трансформатора 0,025 МВА, ориентировочная протяжённость ЛЭП 0,050 км)</t>
  </si>
  <si>
    <t>Техническое перевооружение КТП №443 ВЛ 10 кВ №1103 ПС 110 кВ АС11 с заменой силового трансформатора и строительство ВЛ 0,4 кВ от ВЛ 0,4 кВ №2 КТП №443 ВЛ 10 кВ №1103 ПС 110 кВ АС11 для электроснабжения ВРУ 0,4 кВ складов Лиманской Т. В. на участке с КН 61:02:0070501:553 в х. Александровка Аксайского района Ростовской области</t>
  </si>
  <si>
    <t>Строительство ВЛ-0,4 кВ, ВЛ 0,4 кВ от опоры №9 ВЛ 0,4 кВ №3 КТП 10/0,4 кВ №419 ВЛ 10 кВ №1005 ПС 110/10 кВ АС 10 для электроснабжения жилого дома Любимова В.С. на участке с КН 61:02:0030107:281, в ст-це Грушевская Аксайского района Ростовской области (ориентировочная протяженность ЛЭП 0,022 км)</t>
  </si>
  <si>
    <t xml:space="preserve">Строительство ВЛ 0,4 кВ от проектируемой КТПН 10/0,4 кВ (по договору №61-1-19-00460413 от 08.08.2019 г.) КЛ 10 кВ №3ф3 РП-3 КЛ 10 кВ №1532 ПС 110 кВ АС15 для электроснабжения ВРУ 0,4 кВ шиномонтажа Нуриддиновой Т. Ш. по ул. Авиаторов, 4 в г. Аксае Аксайского района Ростовской области </t>
  </si>
  <si>
    <t>«Строительство КТПН 10/0,4 кВ, ВЛ 0,4 кВ, ВЛ 10 кВ от ВЛ 10 кВ №1003 ПС 110 кВ АС10 для электроснабжения ВРУ 0,4 кВ нежилого здания Цветкова В. П. на участке с КН 61:02:0600002:1270 в КСП им. Ленина Аксайского района Ростовской области (ориентировочная мощность трансформатора 0,025 МВА, ориентировочная протяжённость ЛЭП 0,040 км)»</t>
  </si>
  <si>
    <t>Строительство ТП 10/0,4 кВ, ВЛ 10 кВ, ВЛ 0,4 кВ от опоры №219 ВЛ 10 кВ №257 ПС 110 кВ БГ2 для электроснабжения жилого дома Железняковой В.В.  по адресу: Ростовская обл., Багаевский район, х. Усьман, пер. Донской, к.н. 61:03:0600009:376 (ориентировочная мощность трансформатора 0,025 МВА, ориентировочная протяжённость ЛЭП 0,21 км)</t>
  </si>
  <si>
    <t>Строительство ВЛ 0,4 кВ от ВЛ 0,4 кВ №2 КТП №124 ВЛ 10 кВ №108 ПС 110 кВ БГ1 для электроснабжения магазина по адресу РО, Багаевский район, х. Елкин, пер. Центральный, д. 54-д. (ориентировочная протяжённость ЛЭП 0,035 км)</t>
  </si>
  <si>
    <t>Строительство ТП 10/0,4 кВ, ВЛ 0,4 кВ, ВЛ 10 кВ от ВЛ 10 кВ №810 ПС 35 кВ В-8 для электроснабжения вагончика  ИП Главы КФХ Абдуловой С. Р. на участке с КН 61:06:0600004:40 в Веселовском районе Ростовской области, п. Полевой, участок находиться примерно в 1,2 км от ориентира по направлению на юго-восток п. Полевой</t>
  </si>
  <si>
    <t xml:space="preserve">Строительство ВЛ 0,4 кВ от РУ 0,4 кВ  КТП 10/0.4 кВ № 120, ВЛ 10 кВ №405  ПС 35 кВ В4 для электроснабжения магазина ИП Амирханян Ш. В. на участке с КН 61:06:0600012:878 в п. Веселый, ул. Октябрьская, д. 218, Веселовского района, Ростовской области и технической станции Хасанова Ё. О. на участке с КН 61:06:0600012:1096 в п. Веселый, ул. Октябрьская, д. 222-а Веселовского района, Ростовской области (ориентировочная протяжённость ЛЭП 0,330 км)
</t>
  </si>
  <si>
    <t>Строительство ВЛ 0,4 кВ от ВЛ 0,4 кВ №1 КТП №418 ВЛ 10 кВ №810 ПС 35 кВ В8 для электроснабжения шкафа телекоммуникационного ПАО «Ростелеком»  по адресу Ростовская Область, Веселовский район, п. Средний Маныч, вблизи ул. Просвещения. 24, (ориентировочная протяжённость ЛЭП 0,05 км)</t>
  </si>
  <si>
    <t>Строительство ВЛ 0,4 кВ по ВЛ 0,4 кВ №1 КТП №424 ВЛ 10 кВ №708 ПС 35 кВ В7 для электроснабжения мельницы ИП Главы КФХ Самаркина М. Н. по адресу РО, Веселовский район, х. Нижнесоленый, ул. Саманная, 1-а, к.н. 61:06:0020306:34 (ориентировочная протяжённость ЛЭП 0,195 км</t>
  </si>
  <si>
    <t>Строительство ВЛ 0,4 кВ от ВЛ 0,4 кВ №2   КТП №206 ВЛ 10 кВ №211 ПС 110 кВ СМ2 для электроснабжения ВРУ-0,4 кВ Базовой станции сотовой связи БС-1386 заявителя ООО «Т2 Мобайл» по адресу: Ростовская обл., р-н. Семикаракорский, х. Титов, пер. Вишневый, д. 2,  корп. б, кадастровый номер земельного участка: 61:35:0030201:1836</t>
  </si>
  <si>
    <t>Строительство ТП 10/0,4 кВ, ВЛ 10 кВ, ВЛ 0,4 кВ от опоры №5/100 ВЛ 10 кВ №1125 ПС 110 кВ СМ1 для электроснабжения дома культуры заявителя Администрация Новозолотовского сельского поселения по адресу: Ростовская обл., Семикаракорский район, х. Чебачий, ул. Парковая, 11 к.н.:61:35:0060201:730 (ориентировочная мощность трансформатора 0,16 МВА, ориентировочная протяжённость ЛЭП 0,01 км)</t>
  </si>
  <si>
    <t>«Техническое перевооружение КТП №7 ВЛ 10 кВ №657 ПС 110 кВ АС6 с заменой силового трансформатора и строительством ВЛ 0,4 кВ для электроснабжения ВРУ 0,4 кВ жилого дома Борец Т. М. на участке с КН 61:02:0110102:3707 в ст-це Старочеркасская Аксайского района Ростовской области (ориентировочная мощность трансформатора 0,250 МВА, ориентировочная протяжённость ЛЭП 0,060 км)»</t>
  </si>
  <si>
    <t xml:space="preserve">Строительство ВЛ 0,4 кВ от РУ 0,4 кВ КТП №421 ВЛ 10 кВ №1101 ПС 110 кВ АС11 для электроснабжения ВРУ 0,4 кВ жилого дома Галактионова В. Б. по ул. Спортивная, 11 в ст-це Мишкинская Аксайского района Ростовской области (ориентировочная протяжённость ЛЭП 0,249 км)
</t>
  </si>
  <si>
    <t>Техническое перевооружение КТП №138 ВЛ 6 кВ №807 ПС 35 кВ АС8 с заменой силового трансформатора и строительством ВЛ 0,4 кВ для электроснабжения ВРУ 0,4 кВ жилого дома Красовой О. Н. по ул. Пушкина, 7А в х. Большой Лог Аксайского района Ростовской области</t>
  </si>
  <si>
    <t>Строительство КТПН 10/0,4 кВ, ВЛ 10 кВ, ВЛ 0,4 кВ от ВЛ 10 кВ №1103 ПС 110 кВ АС11 для электроснабжения ВРУ 0,4 кВ нежилого помещения Холодовой С. П. на участке с КН 61:02:0600009:907 в х. Киров Аксайского района Ростовской области (ориентировочная мощность трансформатора 0,025 МВА, ориентировочная протяжённость ЛЭП 0,540 км)</t>
  </si>
  <si>
    <t xml:space="preserve">Строительство ВЛ 0,4 кВ от проектируемой ВЛ 0,4 кВ (по договору №61-1-18-00414451 от 03.12.2018 г.) проектируемого КТПН 10/0,4 кВ ВЛ 10 кВ №1203 ПС 110 кВ АС12 для электроснабжения ВРУ 0,4 кВ жилого дома Власова В. В. на участке с КН 61:33:0600015:581 в Родионово-Несветайском районе Ростовской области </t>
  </si>
  <si>
    <t>Строительство ВЛ 0,4 кВ от ВЛ 0,4 кВ №3 КТП №613 ВЛ 10 кВ №101 ПС 110 кВ АС1 для электроснабжения ВРУ 0,4 кВ жилого дома Жукова В. И. на участке с КН 61:02:0090102:3880 в ст-це Ольгинская Аксайского района Ростовской области (ориентировочная протяжённость ЛЭП 0,095 км)</t>
  </si>
  <si>
    <t xml:space="preserve">«Строительство ВЛ 0,4 кВ от РУ 0,4 кВ КТП №653 ВЛ 10 кВ №403 ПС 110 кВ АС4 для электроснабжения ВРУ 0,4 кВ жилого дома Кубанкина А. В. по пер. Новый, 6 в х. Ленина Аксайского района Ростовской области (ориентировочная протяжённость ЛЭП 0,150 км)»
</t>
  </si>
  <si>
    <t>Строительство ВЛ 0,4 кВ от ВЛ 0,4 кВ №2 техперевооружаемой КТП №73 (по договору №61-1-19-00513789 от 10.06.2020 г.) ВЛ 6 кВ №305 ПС 35 кВ АС3 для электроснабжения ВРУ 0,4 кВ жилого дома Манило С. Л. на участке с КН 61:02:0600010:14237 в г. Аксае Аксайского района Ростовской области</t>
  </si>
  <si>
    <t xml:space="preserve">Строительство ВЛ 0,4 кВ от проектируемой ВЛ 0,4 кВ (по договору №61-1-19-00444581 от 03.06.2019 г.) КТП №72 ВЛ 6 кВ №804 ПС 35 кВ АС8 для электроснабжения жилого дома Травенко Н. И. по ул. Еловая, 16 в п. Российский Аксайского района Ростовской области </t>
  </si>
  <si>
    <t>Строительство ТП 6/0,4 кВ, ВЛ 0,4 кВ, ВЛ 6 кВ от ВЛ 6 кВ №806 ПС 35 кВ АС8 для электроснабжения производственно-складского помещения Чернова А. А. на участке с КН 61:02:0600011:2257 в п. Реконструктор Аксайского района Ростовской области (ориентировочная мощность трансформатора 0,063 МВА, ориентировочная протяжённость ЛЭП 0,060 км)</t>
  </si>
  <si>
    <t>Строительство ВЛ 0,4 кВ от ВЛ 0,4 кВ №1 КТП 10/0,4 кВ №83 ВЛ 10 кВ №301 ПС 35 кВ БГ3 для электроснабжения дачного дома Кнышева В.Г. по адресу РО, Багаевский район, п. Дачный, к.н. 61:03:0600004:3857. (ориентировочная протяжённость ЛЭП 0,025 км)</t>
  </si>
  <si>
    <t>Строительство ВЛ 0,4 кВ от ВЛ 0,4 кВ №3 КТП №577 ВЛ 10 кВ №704 ПС 35 кВ БГ7 для электроснабжения жилых домов Негодаева А.Л. и Цой В.В. по адресу РО, Багаевский район, х. Красный, ул. Новая, д. 18, д. 20, к.н. 61:03:0060107:336, к.н. 61:03:0060107:335</t>
  </si>
  <si>
    <t>Строительство ВЛ 0,4 кВ от ВЛ 0,4 кВ №1 КТП 10/0,4 кВ №11 ВЛ 10 кВ №259 ПС 110 кВ БГ2 для электроснабжения жилых домов Самокатовой И.В. и Романенко Т.К. по адресу РО, Багаевский район, ст. Манычская, ул. Озерная д. 3, д. 1, к.н. 61:03:0040130:35, к.н. 61:03:0040130:0034</t>
  </si>
  <si>
    <t>Строительство ВЛ 0,4 кВ от РУ 0,4 кВ КТП 10/0,4 кВ №592 ВЛ 10 кВ №704 ПС 35 кВ БГ7 для электроснабжения склада Штоколова В.И. по адресу РО, Багаевский район, х. Красный, Красненское сельское поселение, к.н. 61:03:0600010:732(1). (ориентировочная протяжённость ЛЭП 0,03 км)</t>
  </si>
  <si>
    <t>Строительство ВЛ 0,4 кВ по ВЛ 0,4 кВ №2 КТП №95 ВЛ 10 кВ №157 ПС 110 кВ В1 для электроснабжения магазина ИП Абдурахмановой А. И. по адресу РО, Веселовский район, п. Веселый, ул. Октябрьская, 1-д, к.н. 61:06:0000000:1868 (ориентировочная протяжённость ЛЭП 0,035 км)</t>
  </si>
  <si>
    <t>Строительство ТП 10/0,4 кВ, ВЛ 0,4 кВ, ВЛ 10 кВ от ВЛ 10 кВ №403 ПС 110 кВ АС4 для электроснабжения склада ИП Быстровой Е. В. на участке с КН 61:02:0600016:4156 в х. Маяковского Аксайского района Ростовской области (ориентировочная мощность трансформатора 0,250 МВА, ориентировочная протяжённость ЛЭП 0,085 км)</t>
  </si>
  <si>
    <t xml:space="preserve">Строительство ВЛ 0,4 кВ от ВЛ 0,4 кВ №1 КТП №425 ВЛ 10 кВ №1109 ПС 110 кВ АС11 с заменой силового трансформатора КТП №425 ВЛ 10 кВ №1109 ПС 110 кВ АС11 для электроснабжения ВРУ 0,4 кВ жилого дома Денисова И. В. на участке с КН 61:02:0030301:608 в х. Веселый Аксайского района Ростовской области </t>
  </si>
  <si>
    <t>Строительство ВЛ 0,4 кВ от РУ 0,4 кВ КТП №176 ВЛ 10 кВ №1206 ПС 110 кВ АС12 для электроснабжения нежилого помещения ИП Иванникова М. А. на участке с КН 61:02:0600007:3133 в п. Красный Колос Аксайского района Ростовской области (ориентировочная протяжённость ЛЭП 0,24 км;1 прибор учета)</t>
  </si>
  <si>
    <t>Строительство ВЛ 0,4 кВ от ВЛ 0,4 кВ №2 КТП №645 ВЛ 10 кВ №102 ПС 110 кВ АС1 для электроснабжения ВРУ 0,4 кВ жилого дома Колесникова А. Н. на участке с КН 61:02:0090102:3632 в ст-це Ольгинская Аксайского района Ростовской области (ориентировочная протяжённость ЛЭП 0,04 км)»</t>
  </si>
  <si>
    <t xml:space="preserve">Строительство ВЛ 0,4 кВ от проектируемой опоры установленной на границе земельного участка с к.н. 61:02:0600016:3846 по титулу: «Строительство ВЛ 0,4 кВ от РУ-0,4 кВ КТП 10/0,4 кВ № 653 ВЛ 10 кВ № 403 ПС 110/10 кВ АС 4» (по договору № 61-1-20-00509565 от 29.04.2020г.)  для электроснабжения ВРУ 0,4 кВ жилого дома Компанченко Д.В. на участке с КН 61:02:0600016:3840, в ул. Платова, 36, х. Ленина, Аксайский район, Ростовской области </t>
  </si>
  <si>
    <t>Строительство ВЛ 0,4 кВ от РУ 0,4 кВ КТП №255 ВЛ 10 кВ №1208 ПС 110 кВ АС12 для электроснабжения нежилого помещения ИП Маилян М. С. на участке с КН 61:02:0600004:1631 в Аксайском районе Ростовской области (ориентировочная протяжённость ЛЭП 0,03 км)</t>
  </si>
  <si>
    <t>Строительство ВЛ 0,4 кВ от проектируемой ВЛ 0,4 кВ проектируемой КТПН 10/0,4 кВ (по договору №61-1-20-00443323 от 21.05.2019 г.) ВЛ 10 кВ №107 ПС 110 кВ АС1 для электроснабжения ВРУ 0,4 кВ жилого дома Храпова В. А. в ст-це Ольгинская Аксайского района Ростовской области</t>
  </si>
  <si>
    <t xml:space="preserve">Строительство ВЛ 0,4 кВ от ВЛ 0,4 кВ №3 КТП №184 ВЛ 6 кВ №807 ПС 35 кВ АС8 с заменой силового трансформатора КТП №184 ВЛ 6 кВ №807 ПС 35 кВ АС8 для электроснабжения ВРУ 0,4 кВ жилого дома Яйлаханян С. В. на участке с КН 61:02:0010201:6158 в х. Большой Лог Аксайского района Ростовской области </t>
  </si>
  <si>
    <t>Строительство ВЛ 0,4 кВ от ВЛ 0,4 кВ №1 КТП №275 ВЛ 10 кВ №3 ПС 35 кВ Б. Салы для электроснабжения ВРУ 0,4 кВ жилого дома Якобец Д. С. на участке с КН 61:02:0600005:7364 в п. Темерницкий Аксайского района Ростовской области (ориентировочная протяжённость ЛЭП 0,03 км)</t>
  </si>
  <si>
    <t xml:space="preserve">Строительство ВЛ 10 кВ, КТП 10/0,4 кВ, ВЛ 0,4 кВ от опоры 10 кВ № 111 ВЛ 10 кВ № 1009 ПС 110 кВ В10 для электроснабжения дождевальных установок ИП глава КФХ Карпенко В. В. на участке с КН 61:06:060009:435 в х. Новоселовка, 0,628 км на север от северной его окраины Веселовского района, Ростовской области </t>
  </si>
  <si>
    <t>«Строительство ВЛ 0,4 кВ от опоры № 28 до опоры № 24 по ВЛ 0,4 кВ №1, КТП 10/0.4 кВ № 313, ВЛ 10 кВ №902  ПС 35  кВ  В9 для электроснабжения жилого дома Раю В. И.  на участке с КН 61:07:000000:2210 в х. Красный Октябрь, ул. Школьная д. 143,  Веселовского района, Ростовской области (ориентировочная протяжённость ЛЭП 0,120 км)»</t>
  </si>
  <si>
    <t xml:space="preserve">Строительство ВЛ 0,4 кВ от КТП №175   ВЛ 10 кВ №125 ПС 110 кВ СМ1 для электроснабжения дома блокированной застройки заявителя Тамилиной Л.А. по адресу: РО г. Семикаракорск, примерно в 60 м на северо-восток от ул. Солнечная, д.27 к.н.: 61:35:0110205:638 (ориентировочная протяжённость ЛЭП 0,3км)
</t>
  </si>
  <si>
    <t>Строительство ВЛ 0,4 кВ от опоры № 31 ВЛ-0,4 кВ № 3 КТП № 637 ВЛ 10 кВ №608 ПС СМ6  с установкой на границе земельного участка Заявителя прибора учета для электроснабжения ВРУ-0,4 кВ жилого здания заявителя ООО «АгроПартнер» по адресу: Ростовская область, Семикаракорский р-н, х. Большемечетный, ул. Широкая, д. 1/1, к.н.: 61:35:0020101:332</t>
  </si>
  <si>
    <t>Строительство ТП 10/0,4 кВ, ВЛ 0,4 кВ, ВЛ 10 кВ от ВЛ 10 кВ №208 ПС 110 кВ СМ2 для электроснабжения ВРУ-0,4 кВ жилого здания заявителя Молокановой Е.А. по адресу: Российская Федерация, Ростовская обл., р-н. Семикаракорский, х. Жуков, контуры полей № 16,17,8,30,48,32,36,35 массива земель, реорганизованного с/х предприятия ЗАО "Зеленая Горка", кадастровый номер земельного участка: 61:35:0600007:658</t>
  </si>
  <si>
    <t>Строительство КТПН 10/0,4 кВ, ВЛ 0,4 кВ, ВЛ 10 кВ от ВЛ 10 кВ №702 ПС 35 кВ НГ7 для электроснабжения ВРУ 0,4 кВ автостоянки Капанадзе Т. Д. по ул. Буденновская, 283Б в г. Новочеркасске Ростовской области (ориентировочная мощность трансформатора 0,025 МВА, ориентировочная протяжённость ЛЭП 0,050 км)</t>
  </si>
  <si>
    <t>Строительство ВЛ 0,4 кВ от ВЛ 0,4 кВ №1 КТП №406 ВЛ 10 кВ №1005 ПС 110 кВ АС10 для электроснабжения ВРУ 0,4 кВ жилого дома Голубовой Е. В. по ул. Колхозная, 20А в ст. Грушевская Аксайского района Ростовской области (ориентировочная протяжённость ЛЭП 0,111км)</t>
  </si>
  <si>
    <t>Строительство КТПН 10/0,4 кВ, ВЛ 10 кВ, ВЛ 0,4 кВ от ВЛ 10 кВ №1205 ПС 110 кВ АС12 для электроснабжения ВРУ 0,4 кВ жилого дома Леус Н. В. на участке с КН 61:02:0600006:5498 в п. Красный Аксайского района Ростовской области (ориентировочная мощность трансформатора 0,025 МВА, ориентировочная протяжённость ЛЭП 0,1 км)</t>
  </si>
  <si>
    <t xml:space="preserve">Строительство ВЛ 0,4 кВ от РУ 0,4 кВ проектируемой КТПН 6/0,4 кВ (по договору №61-1-19-00468643 от 05.09.2019 г.) ВЛ 6 кВ №3 РП6 КЛ 6 кВ №340 ПС 110 кВ БТ3 для электроснабжения ВРУ 0,4 кВ жилого дома Новак О. И. по ул. Тургенева, 62 в п. Красный Сад Азовского района Ростовской области </t>
  </si>
  <si>
    <t>Строительство КТП 10/0,4 кВ, ВЛ 0,4 кВ, ВЛ 10 кВ от ВЛ-10 кВ № 407 ПС 35 кВ В4 для электроснабжения Скворцовой Т. В. на участке с КН 61:06:0600006:359 в х. Малая Западенка, кв. 1 Веселовского района, Ростовской области (ориентировочная мощность трансформатора 0,025 МВА, ориентировочная протяжённость ЛЭП 0,17 км)</t>
  </si>
  <si>
    <t>Строительство КТПН 10/0,4 кВ, ВЛ 0,4 кВ, ВЛ 10 кВ от ВЛ 10 кВ №105 ПС 110 кВ АС1 для электроснабжения ВРУ 0,4 кВ нежилого помещения Бережного А. М. на участке с КН 61:02:0600015:4163 в х. Нижнеподпольный Аксайского района Ростовской области (ориентировочная мощность трансформатора 0,025 МВА, ориентировочная протяжённость ЛЭП 0,353 км)</t>
  </si>
  <si>
    <t>Строительство ТП 10/0,4 кВ, ВЛ 0,4 кВ, ВЛ 10 кВ от ВЛ 10 кВ №101 ПС 110 кВ АС1 для электроснабжения магазина Бочаровой В. А. по ул. Ленина, 192 в ст-це Ольгинская Аксайского района Ростовской области (ориентировочная мощность трансформатора 0,100 МВА, ориентировочная протяжённость ЛЭП 0,508 км)</t>
  </si>
  <si>
    <t xml:space="preserve">Строительство ВЛ 0,4 кВ от РУ 0,4 кВ проектируемой КТПН 10/0,4 кВ ВЛ 10 кВ №1106 ПС 110 кВ АС11 (по договору №61-1-19-00430805 от 14.03.2019 г.) для электроснабжения ВРУ 0,4 кВ жилых домов в г. Новочеркасске Ростовской области (ориентировочная протяжённость ЛЭП 0,060 км)
</t>
  </si>
  <si>
    <t xml:space="preserve">Строительство КТПН 10/0,4 кВ, ВЛ 0,4 кВ, ВЛ 10 кВ от ВЛ 10 кВ №414 ПС 220 кВ Р4 для электроснабжения ВРУ 0,4 кВ нежилых зданий в х. Камышеваха Аксайского района Ростовской области (ориентировочная мощность трансформатора 0,100 МВА, ориентировочная протяжённость ЛЭП 0,195 км)
</t>
  </si>
  <si>
    <t>«Строительство ТП 10/0,4 кВ, ВЛ 0,4 кВ, ВЛ 10 кВ от ВЛ 10 кВ №107 ПС 110 кВ АС1 для электроснабжения ВРУ 0,4 кВ жилого дома Ковалевой М. Н. на участке с КН 61:02:0600015:5017 в ст-це Ольгинская Аксайского района Ростовской области (ориентировочная мощность трансформатора 0,025 МВА, ориентировочная протяжённость ЛЭП 0,413 км)»</t>
  </si>
  <si>
    <t>Строительство ТП 10/0,4 кВ, ВЛ 0,4 кВ, ВЛ 10 кВ от ВЛ 10 кВ №3 ПС 35 кВ Б. Салы для электроснабжения магазина Маркосян А. С. по ул. Северная, 2 в п. Темерницкий Аксайского района Ростовской области (ориентировочная мощность трансформатора 0,250 МВА, ориентировочная протяжённость ЛЭП 0,060 км)</t>
  </si>
  <si>
    <t>Строительство ВЛ 0,4 кВ от опоры № 38 ВЛ 0,4 кВ №1 КТП-642 ВЛ 10 кВ №107 ПС 110/35/10 кВ АС 1 для электроснабжения жилого дома Орловой Н.И. по адресу Ростовская область, Аксайский район, ст-ца Ольгинская, ул. Широкая, д. 255, кадастровый номер земельного участка: 61:02:0600015:5173</t>
  </si>
  <si>
    <t>«Строительство ВЛ 0,4 кВ от проектируемой ВЛ 0,4 кВ проектируемой КТПН 10/0,4 кВ (по договору №61-1-19-00471857 от 17.10.2019 г.) ВЛ 10 кВ №706 ПС 35 кВ АС7 для электроснабжения ВРУ 0,4 кВ жилого дома Пчелинцевой А. В. по ул. Сарматская, 18 в п. Красный Колос Аксайского района Ростовской области (ориентировочная протяжённость ЛЭП 0,039 км)»</t>
  </si>
  <si>
    <t>Строительство ТП 6/0,4 кВ, ВЛ 0,4 кВ, ВЛ 6 кВ от ВЛ 6 кВ №806 ПС 35 кВ АС8 для электроснабжения нежилого здания Романенко С.А. на участке с КН 61:02:0600011:2113 в Аксайском районе Ростовской области (ориентировочная мощность трансформатора 0,063 МВА,ориентировочная протяженность ЛЭП 0,073 км)</t>
  </si>
  <si>
    <t>Строительство КВЛ 0,4 кВ ТП 6/0,4 кВ №4 КЛ 6 кВ № 4107 ПС 110 кВ Р41 для электроснабжения АО «Русские Башни» (ориентировочная протяжённость ЛЭП 0,207 км)</t>
  </si>
  <si>
    <t>Строительство ВЛ 0,4 кВ от ВЛ 0,4 кВ №2 КТП 10/0,4 кВ №11 ВЛ 10 кВ №259 ПС 110 кВ БГ2 для электроснабжения жилого дома Дюбина В.Н. по адресу РО, Багаевский район, ст. Манычская, ул. Кирова, д. 56 А, к.н. 61:03:0040134:56. (ориентировочная протяжённость ЛЭП 0,025 км)</t>
  </si>
  <si>
    <t>Строительство двух КТП 10/0,4 кВ, ВЛ 0,4 кВ, ВЛ 10 кВ от ВЛ 10 кВ №263 ПС 110 кВ БГ2 для электроснабжения ВРУ 0,4 кВ нежилого здания Науменко И.А., жилого дома Санатова А.В. по адресу: Ростовская обл., р-н. Аксайский, х. Алитуб, к.н.: 61:02:0600019:1687, к.н. 61:02:0600019:1686, ВРУ 0,4 кВ дачных домиков Ельцова В.В., Ельцова Е.В., Жидкова С.М., Гапченко М.С., Янченковой М.А., Бырдина Ю.А., Кумпане Л.Н.,Лузгарева А.И., Бакун В.П. по адресу: Ростовская обл., р-н. Багаевский, х. Арпачин</t>
  </si>
  <si>
    <t>Строительство ВЛ 0,4 кВ от ВЛ 0,4 кВ №2 КТП 10/0,4 кВ №163 ВЛ 10 кВ №605 ПС 110 кВ БГ6 для электроснабжения жилого дома Кияшко Н.С. по адресу РО, Багаевский район, х. Карповка, ул. Центральная д. 3-б, к.н. 61:03:0020203:188. (ориентировочная протяжённость ЛЭП 0,055 км)</t>
  </si>
  <si>
    <t>Строительство ВЛ 0,4 кВ от ВЛ 0,4 кВ №1 КТП 10/0,4 кВ №574 ВЛ 10 кВ №704 ПС 35 кВ БГ7 для электроснабжения храма Местной религиозной организации православный Приход храма Апостола Иоанна Богослова х. Красный Багаевского района Ростовской области Шахтинской Епархии Русской Православной Церкви (Московский Патриархат) по адресу РО, Багаевский район, х. Красный, ул. Центральная, д. 9-д</t>
  </si>
  <si>
    <t>Строительство ТП 10/0,4 кВ, ВЛ 0,4 кВ, ВЛ 10 кВ от опоры №107 ВЛ 10 кВ №205 ПС 110 кВ СМ2 для электроснабжения ВРУ-0,4 кВ жилого здания заявителя ИП Глава КФХ Алмакаев Г.А. по адресу: Российская Федерация, Ростовская обл., Семикаракорский р-н., ст-ца. Задоно-Кагальницкая, 1,3,4,5,10,11 восточная часть контура № 12, северрная часть контура № 12 массива земель, реорганизованного с/х предприятия ОАО " Задоно-Кагальницкая птицефабрика", кадастровый номер земельного участка: 61:35:0600008:146</t>
  </si>
  <si>
    <t>Строительство ВЛ 0,4 кВ от опоры № 4 ВЛ 0,4 кВ № 1 КТП № 176 ВЛ 10 кВ №125 ПС СМ1 для электроснабжения ВРУ-0,4 кВ жилого дома заявителя Ленкова Ю.В. по адресу: Ростовская обл., р-н. Семикаракорский, г. Семикаракорск, примерно в 27 м на северо-восток от ул. Солнечная, 1/43-а, к.н.: 61:35:0110210:221</t>
  </si>
  <si>
    <t>Строительство КТПН 10/0,4 кВ, ВЛ 0,4 кВ, ВЛ 10 кВ от ВЛ 10 кВ №3 ПС 35 кВ Б. Салы для электроснабжения ВРУ 0,4 кВ жилого дома Бабаева Л. И. на участке с КН 61:02:0600005:10787 в п. Темерницкий Аксайского района Ростовской области (ориентировочная мощность трансформатора 0,025 МВА, ориентировочная протяжённость ЛЭП 0,06 км)</t>
  </si>
  <si>
    <t xml:space="preserve">Строительство КТПН 10/0,4 кВ, ВЛ 0,4 кВ, ВЛ 10 кВ от ВЛ 10 кВ №1109 ПС 110 кВ АС11 для электроснабжения ВРУ 0,4 кВ жилого дома Валитова О.А. на участке с КН 61:02:0600002:1093, КН 61:02:0600002:1092, КН 61:02:0600002:1080, ВРУ 0,4 кВ жилого дома Таибова на участке с КН 61:02:0600002:1081, КН 61:02:0600002:1082, КН 61:02:0600002:1083 в ст-це Грушевская Аксайского района Ростовской области (ориентировочная мощность трансформатора 0,160 МВА, ориентировочная протяженность ЛЭП 0,657  км)
</t>
  </si>
  <si>
    <t>Строительство ВЛ 0,4 кВ от ВЛ 0,4 кВ №1 КТП №725 ВЛ 10 кВ №105 ПС 110 кВ АС1 для электроснабжения ВРУ 0,4 кВ жилого дома Волошина А. С. на участке с КН 61:02:0090201:1092 в х. Нижнеподпольный Аксайского района Ростовской области (ориентировочная протяжённость ЛЭП 0,05 км;1 прибор учета)</t>
  </si>
  <si>
    <t>Строительство КТПН 10/0,4кВ, ВЛ-10кВ, ВЛ-0,4кВ от ВЛ-10кВ №403 ПС 110кВ АС4 для электроснабжения ВРУ 0,4кВ нежилого помещения ООО "Донлес" на участке с КН 61:02:0600016:2804 в х. Маяковского Аксайского района Ростовской области (ориентировочная мощность трансформатора 0,025 МВА, ориентировочная протяженность ЛЭП 2,225км)</t>
  </si>
  <si>
    <t>Строительство ВЛ 0,4 кВ от ВЛ 0,4 кВ №1 ТП 10 кВ №32 ВЛ 10 кВ №657 ПС 110 кВ АС6 для электроснабжения ВРУ 0,4 кВ жилого дома Зайцевой Н. В. по ул. 1-я Иловайская, 71 в ст-це Старочеркасская Аксайского района Ростовской области (ориентировочная протяжённость ЛЭП 0,116 км)</t>
  </si>
  <si>
    <t>«Строительство ВЛ 0,4 кВ от проектируемой ВЛ 0,4 кВ (по договору №61-1-19-00430805 от 14.03.2019 г.) проектируемой КТПН 10/0,4 кВ ВЛ 10 кВ №1106 ПС 110 кВ АС11 для электроснабжения ВРУ 0,23 кВ жилого дома Ковбаса В. И. на участке с КН 61:55:011016:0213 в г. Новочеркасске Ростовской области (ориентировочная протяжённость ЛЭП 0,040 км)»</t>
  </si>
  <si>
    <t>Строительство ВЛ 0,4 кВ от ВЛ 0,4 кВ №1 ТП 10 кВ №451 ВЛ 10 кВ №1109 ПС 110 кВ АС11 для электроснабжения ВРУ 0,22 кВ жилого дома Комфарина А. Н. на участке с КН 61:02:0030301:613 в х. Веселый Аксайского района Ростовской области (ориентировочная протяжённость ЛЭП 0,054 км)</t>
  </si>
  <si>
    <t>Строительство КТП 10/0,4 кВ, ВЛ 0,4 кВ, ВЛ 10 кВ от ВЛ 10 кВ №1208 ПС 110 кВ АС12 для электроснабжения жилого дома Конторина А.В. в п. Щепкин, Аксайского района, Ростовской области (ориентировочная мощность трансформатора 0,025 МВА, ориентировочная протяжённость ЛЭП 0,982 км)</t>
  </si>
  <si>
    <t>Строительство ВЛ 0,4 кВ от ВЛ 0,4 кВ №3 КТП №491 ВЛ 10 кВ №1103 ПС 110 кВ АС11 с заменой силового трансформатора КТП №491 ВЛ 10 кВ №1101 ПС 110 кВ АС11 для электроснабжения ВРУ 0,4 кВ жилого дома Кучерова Н. Ю. в ст-це Мишкинская Аксайского района Ростовской области</t>
  </si>
  <si>
    <t>«Строительство ВЛ 0,4 кВ от проектируемой ВЛ 0,4 кВ проектируемой КТПН 10/0,4 кВ (по договору №61-1-19-00437155 от 30.04.2019 г.) ВЛ 10 кВ №1106 ПС 110 кВ АС11 для электроснабжения ВРУ 0,4 кВ жилого дома Лиманцевой Т. В. на участке с КН 61:55:0011023:655 в г. Новочеркасске Ростовской области (ориентировочная протяжённость ЛЭП 0,046 км)»</t>
  </si>
  <si>
    <t>Строительство КТП 10/0,4 кВ, ВЛ 0,4 кВ, ВЛ 10 кВ от ВЛ 10 кВ №1109 ПС 110/35 кВ АС11 для электроснабжения нежилого здания Макарова А.И. в ст. Грушевская Аксайского района Ростовской области (ориентировочная мощность трансформатора 0,025 МВА, ориентировочная протяжённость ЛЭП 0,198 км)</t>
  </si>
  <si>
    <t>Строительство КТПН 10/0,4 кВ, ВЛ 0,4 кВ, ВЛ 10 кВ от ВЛ 10 кВ №1109 ПС 110 кВ АС11 для электроснабжения ВРУ 0,4 кВ жилого дома Мацейко В. Г. на участке с КН 61:02:0600002:1132 в ст-це Грушевская Аксайского района Ростовской области (ориентировочная мощность трансформатора 0,025 МВА, ориентировочная протяжённость ЛЭП 0,060 км)</t>
  </si>
  <si>
    <t>Строительство КТПН 10/0,4 кВ, ВЛ  10 кВ, ВЛ 0,4 кВ от ВЛ 10 кВ №1103 ПС 110 кВ АС11 для электроснабжения шкафа управления светофорами Министерства транспорта Ростовской области на участке с КН 61:02:0600002:783 в ст-це Грушевская Аксайского района Ростовской области (ориентировочная мощность трансформатора 0,025 МВА, ориентировочная протяжённость ЛЭП 0,060 км)</t>
  </si>
  <si>
    <t>Строительство ВЛ 0,4 кВ от ВЛ 0,4 кВ №1 КТП №235 ВЛ 10 кВ №3 ПС 35 кВ Б. Салы для электроснабжения БС №61-02333 ПАО “МТС” на участке с КН 61:02:0600005:9648 в пос. Темерницкий Аксайского района Ростовской области (ориентировочная протяжённость ЛЭП 0,185 км)</t>
  </si>
  <si>
    <t>Строительство ТП 10/0,4 кВ, ВЛ 0,4 кВ, ВЛ 10 кВ от ВЛ 10 кВ №655 ПС 110 кВ АС6 для электроснабжения караванного помещения ООО “Причал” в г. Аксае Аксайского района Ростовской области (ориентировочная мощность трансформатора 0,160 МВА, ориентировочная протяжённость ЛЭП 0,122 км)</t>
  </si>
  <si>
    <t xml:space="preserve">Строительство КТПН 10/0,4 кВ, ВЛ 0,4 кВ, ВЛ 10 кВ от опоры №76 ВЛ 10 № 1109 ПС 110/35/10 кВ АС 11 для электроснабжения ВРУ 0,4 кВ нежилого здания ИП Степанян А.Н. на участке с КН 61:02:0600002:2748 в ст-це Грушевская Аксайского района Ростовской области </t>
  </si>
  <si>
    <t>Строительство ТП 10/0,4 кВ, ВЛ 0,4 кВ, ВЛ 10 кВ от ВЛ 10 кВ №1212 ПС 110 кВ АС12 для электроснабжения магазина ИП Сучкова Ф. А. на участке с КН 61:02:00800104:110 в п. Октябрьский Аксайского района Ростовской области (ориентировочная мощность трансформатора 0,16 МВА, ориентировочная протяжённость ЛЭП 0,075 км)</t>
  </si>
  <si>
    <t>Строительство КТПН 10/0,4 кВ, ВЛ 10 кВ, ВЛ 0,4 кВ от ВЛ 10 кВ №403 ПС 110 кВ АС4 для электроснабжения ВРУ 0,4 кВ хозяйственного помещения Тумасян Э. А. на участке с КН 61:02:0600016:3863 в х. Маяковского Аксайского района Ростовской области (ориентировочная мощность трансформатора 0,025 МВА, ориентировочная протяжённость ЛЭП 2,470 км)</t>
  </si>
  <si>
    <t xml:space="preserve">Строительство КТП 10/0,4 кВ, ВЛ 0,4 кВ, ВЛ 10 кВ от ВЛ 10 кВ №605 ПС 110 кВ БГ6 для электроснабжения жилых домов Бидзюра А.Ф., Хромченко Н.В., Рошка А.С. по адресу: Ростовская обл., р-н. Багаевский, х. Карповка, ул. Нижняя, д.1, д. 2, ул. Южная, д. 13, к.н.: 61:03:0020208:39, к.н.: 61:03:020208:0005, к.н.: 61:03:020205:0011 </t>
  </si>
  <si>
    <t xml:space="preserve">Строительство ТП 10/0,4 кВ, ВЛ 10 кВ, ВЛ 0,4 кВ от опоры №68 ВЛ 10 кВ №307 ПС 35 кВ БГ3 для электроснабжения земельного участка сельскохозяйственного назначения (теплицы) Даврушева Ш.А. по адресу: Ростовская область, Багаевский район, Елкинское сельское поселение, к.н. 61:03:0600002:374 </t>
  </si>
  <si>
    <t>Строительство ТП 10/0,4 кВ, ВЛ 10 кВ, ВЛ 0,4 кВ от опоры №3/12 ВЛ 10 кВ №704 ПС 35 кВ БГ7 для электроснабжения Красненской средней школы по адресу: Ростовская область, Багаевский район, х. Красный, ул. Центральная, д. 30/3, к.н.61:03:060103:0022 (ориентировочная мощность трансформатора 0,16 МВА, ориентировочная протяжённость ЛЭП 0,12 км)</t>
  </si>
  <si>
    <t>Строительство ТП 10/0,4 кВ, ВЛ 0,4 кВ, ВЛ 10 кВ от ВЛ 10 кВ №305 ПС 35 кВ БГ3 для электроснабжения вагончика Курбонова О.У. по адресу:  Ростовская область, Багаевский район, участок находится примерно в 1700 м от ориентира по направлению на юго-восток, к. н. 61:03:0600004:632 (ориентировочная мощность трансформатора 0,025 МВА, ориентировочная протяжённость ЛЭП 0,015 км)</t>
  </si>
  <si>
    <t xml:space="preserve">Строительство ВЛ 0,4 кВ от опоры № 10 ВЛ 0,4 кВ № 2 КТП № 425 ВЛ 10 кВ №402 ПС СМ4  с установкой на границе земельного участка Заявителя прибора учета для электроснабжения ВРУ-0,4 кВ жилого дома заявителя Левизовой З.И. по адресу: Ростовская обл., р-н. Семикаракорский, х. Сусат ул. Песчаная, д.10/1, к.н.: 61:35:0090101:2879 </t>
  </si>
  <si>
    <t>Строительство ВЛ 0,4 кВ от РУ 0,4 кВ ТП 10/0,4 кВ (проектируемой по договору № 61-1-19-00464855 от 20.08.2019 г.) по КЛ 10 кВ №19-36 и №19-46 ПС 110 кВ Р19 с техническим перевооружением ТП 10/0,4 кВ (проектируемой по договору № 61-1-19-00464855 от 20.08.2019 г.) с заменой силового трансформатора для электроснабжения ЛЭП 0,4 кВ объекта: «Нежилое здание» (ООО «РБК»), расположенного по адресу: г. Ростов-на-Дону, ул. Доватора, кад. Номер земельного участка 61:44:0073012:49</t>
  </si>
  <si>
    <t>Строительство участка ВЛИ-0,4кВ для подключения жилого дома заявителя Шацкой Н.В. с. Елизаветовка Азовский район, Ростовская область (ориентировочная протяженность ЛЭП - 0.05 км)</t>
  </si>
  <si>
    <t>Строительство участка ВЛ-0,4кВ для подключения жилого дома заявителя Моисеенко С.А. с. Кулешовка Азовский район, Ростовская область.</t>
  </si>
  <si>
    <t>Строительство участка ВЛИ-0,4кВ от проектируемой опоры ВЛ-0,4 кВ проектируемой ТП 10/0,4кВ (по договору № 61-1-18-00409567 от 12.12.2018г.) ВЛ-10 кВ №1815 ПС 35/10 «А-18» для электроснабжения жилого дома заявителя Волова Д.В. Рыболовецкий колхоз им. Ленина, Азовский район, Ростовская область (ориентировочная протяженность ЛЭП – 0,06 км)</t>
  </si>
  <si>
    <t>Строительство участка ВЛИ-0,4кВ от оп. №112-17 по ВЛ-0,4кВ №1 от КТП 10/0,4кВ №112 по ВЛ-10кВ №3113 ПС 110/35/10 кВ «А-31» для электроснабжения жилого дома заявителя Бобыревой О.М. с.Пешково, Азовский район, Ростовская область (ориентировочная протяженность ЛЭП – 0,08 км)</t>
  </si>
  <si>
    <t>Строительство участка ВЛИ-0,4кВ от оп. №334-14 ВЛ-0,4 кВ №2 КТП 10/0,4 кВ №334 ВЛ-10 202Н ПС 110/6/10 кВ «НС-2» для электроснабжения жилого дома заявителя Дьяченко Н.В. ЗАО «Обильное», Азовский район, Ростовская область (ориентировочная протяженность ЛЭП – 0,1 км)</t>
  </si>
  <si>
    <t>Строительство участка ВЛИ-0,4кВ от оп.№311-14 ВЛ-0,4 кВ №2 КТП 10/0,4 кВ №311 ВЛ-10 кВ №106 Н ПС 110/6/10 кВ «НС-1» для электроснабжения жилого дома заявителя Гоголадзе К.А., СХА «Кулешовское» поле III Азовский район, Ростовская область (ориентировочная протяженность ЛЭП – 0,06 км)</t>
  </si>
  <si>
    <t>Строительство участка ВЛИ-0,4кВ от №8-13 по ВЛ-0,4кВ №1 от КТП 10/0,4кВ №8 по ВЛ-10кВ №3125 ПС 110/35/10 кВ «А-31» для электроснабжения жилого дома заявителя Пелипенко А.В., с. Пешково Азовский район, Ростовская область (ориентировочная протяженность ЛЭП – 0,08 км)</t>
  </si>
  <si>
    <t>Строительство участка ВЛИ-0,4кВ от проектируемой ВЛ-0,4 кВ (по договору № 61-1-19-00466687 от 12.09.2019 г.) КТП-10/0,4 кВ №14 ВЛ-10кВ №106Н ПС 110/6/10 кВ «НС-1» для электроснабжения жилого дома заявителя Пироговой М.А., п. Овощной Азовский район, Ростовская область (ориентировочная протяженность ЛЭП – 0,06 км)</t>
  </si>
  <si>
    <t>Строительство участка ВЛИ-0,4кВ от оп. №211-256 ВЛ 0,4 кВ №5 КТП 10/0,4 кВ №211 ВЛ-10 кВ №910 ПС 35/10 кВ «А-9» для электроснабжения жилого дома заявителя Никитенко С.Ю., ДНТ «Южное» Азовский район, Ростовская область (ориентировочная протяженность ЛЭП – 0,180 км)</t>
  </si>
  <si>
    <t>Строительство участка ВЛИ 0,4кВ от РУ 0,4кВ КТП 10/0,4кВ №167 ВЛ 10кВ №307Н ПС 110/35/6/10кВ "НС-3" для электроснабжения вагончиков заявителя Ли Е.Э., х. Еремеевка Азовский район, Ростовская область (ориентировочная протяженность ЛЭП 0,350)</t>
  </si>
  <si>
    <t>Строительство участка ВЛИ-0,4кВ от оп. №48-2 ВЛ-0,4кВ №1 КТП-10/0,4 кВ №48 ВЛ-10 кВ №1815 ПС 35/10 «А-18» для электроснабжения жилого дома заявителя Янборисовой М.Ю., Рыболовецкий колхоз им. Ленина Азовский район, Ростовская область (ориентировочная протяженность ЛЭП – 0,100км)</t>
  </si>
  <si>
    <t>Строительство участка ВЛИ-0,4 кВ от проектируемой ВЛИ-0,4 кВ тех.перевооружаемого КТП 6/0,4 кВ № 350 (по договору ТП № 61-1-20-00499303 от 04.03.2020г.) по ВЛ-6 кВ № 207Н ПС 110/6/10 кВ «НС-2» для электроснабжения участка заявителя Щербаковой Н.В. Ростовская область, Азовский район, СНТ «Квант» (ориентировочная протяженность ЛЭП– 0,130 км)</t>
  </si>
  <si>
    <t>Строительство участка ВЛИ-0,4кВ от проектируемой ВЛ-0,4 кВ (по договору №61-1-19-00465315 от 30.08.2019г.) КТП 10/0,4 кВ №329 ВЛ-10 кВ №106Н ПС 110/6/10 кВ «НС-1» для электроснабжения садового дома заявителя Карпинской Э.В., ДНТ «Виктория» Азовский район, Ростовская область (ориентировочная протяженность ЛЭП – 0,03 км)</t>
  </si>
  <si>
    <t>Строительство участка ВЛИ-0,4кВ от оп. №77-118 ВЛ-0,4кВ №2 КТП-10/0,4 кВ №77 ВЛ-10кВ №3125 ПС 110/35/10 кВ «А-31» для электроснабжения жилого дома заявителя Коваленко А.В., с. Головатовка, Азовский район, Ростовская область (ориентировочная протяженность ЛЭП – 0,100 км)</t>
  </si>
  <si>
    <t>Строительство участка ВЛИ-0,4кВ от оп. №103-28 по ВЛ-0,4кВ №2 от КТП 10/0,4кВ №103 по ВЛ-10кВ №2608 ПС 110/10 кВ «А-26» для электроснабжения жилого дома заявителя Гузенко Н.Н., с. Кулешовка, Азовский район, Ростовская область (ориентировочная протяженность ЛЭП – 0,180 км)</t>
  </si>
  <si>
    <t>Строительство участка ВЛИ-0,4кВ от РУ-0,4 кВ КТП-6/0,4 кВ №79 ВЛ-6 кВ №207Н ПС 110/6/10 кВ «НС-2» для электроснабжения нежилого здания (ангара) заявителя Кеник А.С., поле №127 СХКА им. ХХ Партсъезда, Азовский район, Ростовская область (ориентировочная протяженность ЛЭП – 0,450 км)</t>
  </si>
  <si>
    <t>Строительство участка ВЛИ-0,4кВ от оп. №160-27 ВЛ-0,4 кВ №1 КТП 10/0,4 кВ№160 ВЛ-10 кВ №1101 ПС 35/10 кВ А-11 для электроснабжения жилого дома заявителя Колесникова О.И., с. Кагальник, Азовский район, Ростовская область (ориентировочная протяженность ЛЭП – 0,150 км)</t>
  </si>
  <si>
    <t>Строительство участка ВЛИ-0,4кВ от оп. №40-10 ВЛ-0,4 кВ №1 КТП 10/0,4 кВ №40 ВЛ-10кВ №1802 ПС 35/10 кВ «А-18» для электроснабжения жилого дома заявителя Молчанова В.А. х. Рогожкино, Азовский район, Ростовская область (ориентировочная протяженность ЛЭП – 0,250 км)</t>
  </si>
  <si>
    <t>Строительство участка ВЛ-10 кВ от проектируемой опоры (по договору ТП №61-1-16-00279673 от 26.09.2016г.) ВЛ-10 кВ №1908 РП-19 ПС 110/35/10 кВ Самарская для подключения АЗС стационарного типа №231 заявителя ООО «Газэнергосеть розница» Азовский район Ростовская область (ориентировочная протяженность ЛЭП – 0,03 км)</t>
  </si>
  <si>
    <t>Строительство участка ВЛИ-0,4кВ от оп. №351-10 ВЛ-0,4 кВ №1 КТП 6/0,4 кВ №351 ВЛ-6кВ 207Н от ПС 110/6/10 кВ НС-2 для электроснабжения участка заявителя Годуновой И.А., СТ «Квант», Азовский район, Ростовская область (ориентировочная протяженность ЛЭП – 0,08 км)</t>
  </si>
  <si>
    <t>Строительство участка ВЛИ-0,4кВ от оп. 350-38/8 ВЛ-0,4 кВ №1  тех.перевооружаемого КТП 6/0,4 кВ №350 (по договору ТП № 61-1-20-00499303 от 04.03.2020г.) ВЛ-6кВ 207Н от ПС 110/6/10 кВ НС-2 для электроснабжения участка заявителя Пидоря С.Л., СТ «Квант», Азовский район, Ростовская область (ориентировочная протяженность ЛЭП – 0,075 км)</t>
  </si>
  <si>
    <t>Строительство участка ВЛИ-0,4кВ от проектируемой ВЛ-0,4 кВ (по договору ТП № 61-1-19-00485551 от 05.12.2019г.) КТП 6/0,4 кВ №350 ВЛ-6кВ 207Н от ПС 110/6/10 кВ НС-2 для электроснабжения участка заявителя Дорошенко Л.Н., СТ «Квант», Азовский район, Ростовская область (ориентировочная протяженность ЛЭП – 0,150 км)</t>
  </si>
  <si>
    <t>Строительство участка ВЛИ-0,4кВ от оп. №350-28 ВЛ-0,4 кВ №4 тех.перевооружаемого КТП 6/0,4 кВ №350 (по договору ТП № 61-1-20-00499303 от 04.03.2020г.) ВЛ-6кВ 207Н от ПС 110/6/10 кВ НС-2 для электроснабжения участка заявителя Галкиной О.В., СНТ «Квант», Азовский район, Ростовская область (ориентировочная протяженность ЛЭП – 0,100 км)</t>
  </si>
  <si>
    <t>Строительство участка ВЛИ-0,4кВ от оп. №350-38/8 ВЛ-0,4 кВ №1 тех.перевооружаемого КТП 6/0,4 кВ №350 (по договору ТП № 61-1-20-00499303 от 04.03.2020г.) ВЛ-6кВ 207Н от ПС 110/6/10 кВ НС-2 для электроснабжения участка заявителя Штефан А.П., СНТ «Квант», Азовский район, Ростовская область (ориентировочная протяженность ЛЭП – 0,190 км)</t>
  </si>
  <si>
    <t>«Строительство участка ВЛИ-0,4кВ от оп. №257-86 ВЛ-0,4 кВ №2 КТП 6/0,4 кВ №257 ВЛ-6 кВ №10701 ПС 110/35/6 кВ «А-1» для электроснабжения жилых домов Токун В.Г. г. Азов, Ростовская область (ориентировочная протяженность ЛЭП – 0,125 км)</t>
  </si>
  <si>
    <t>Строительство ВЛ-10 кВ от оп. №28-127 ВЛ-10 кВ №1014 ПС 110/35/10 кВ Самарская, установка ТП-10/0,4 кВ, строительство участка ВЛ-0,4 кВ для подключения линии освещения заявителя Щитникова В.П. с. Самарское, Азовский район Ростовская область (ориентировочная протяженность ЛЭП – 0,08 км, ориентировочная трансформаторная мощность – 0,025 МВА)</t>
  </si>
  <si>
    <t>Строительство ВЛ-0,4 кВ от проектируемой опоры ВЛ-0,4 кВ КТП 10/0,4 кВ №211 ВЛ-10кВ №910 ПС 35/10 кВ А-9 (по договору ТП №61-1-18-00360717 от 01.03.2018г.) для подключения жилого дома заявителя Афониной Н.И. Азовский район, Ростовская область (ориентировочная протяженность ЛЭП - 0.219 км)</t>
  </si>
  <si>
    <t>Строительство ВЛ-0,4 кВ от ВЛ-0,4 кВ №2 КТП 10/0,4 кВ №7 ВЛ-10кВ №3125 ПС 110/35/10 кВ А-31 для подключения жилого дома заявителя Урамовой Е.Ю. с. Пешково, Азовский район, Ростовская область (ориентировочная протяженность ЛЭП - 0.230 км)</t>
  </si>
  <si>
    <t>Строительство ВЛ-0,4 кВ от проектируемой опоры ВЛ-0,4 кВ КТП 10/0,4 кВ №211 ВЛ-10кВ №910 ПС 35/10 кВ А-9 (по договору ТП №61-1-18-00363245 от 02.03.2018г.) для подключения жилого дома заявителя Белецкого И.А. Азовский район, Ростовская область (ориентировочная протяженность ЛЭП - 0.210 км)</t>
  </si>
  <si>
    <t>Строительство участка ВЛИ-0,4кВ от оп. №35-39 ВЛ-0,4кВ №1 КТП-10/0,4 кВ №34 ВЛ-10 кВ №1005 ПС 110/10 кВ «Полячки» и системы учета электрической энергии (мощности) на границе земельного участка для электроснабжения ангара заявителя Харькова И.А., Ростовская область, Кагальницкий р-н, х. Камышеваха (ориентировочная протяженность ЛЭП – 0,03 км)</t>
  </si>
  <si>
    <t>Строительство участка ВЛИ-0,4кВ от оп. №135-138 ВЛ-0,4кВ №4 КТП-10/0,4 кВ №135 ВЛ-10 кВ №805 ПС 110/10 кВ «БОС» и системы учета электрической энергии (мощности) на границе земельного участка для электроснабжения жилого дома заявителя Патотовой С.Ю., п. Мокрый Батай, Кагальницкий р-он Ростовская область (ориентировочная протяженность ЛЭП – 0,02 км)</t>
  </si>
  <si>
    <t xml:space="preserve">Строительство ВЛ-10 кВ от опоры №45 ВЛ-10 кВ №3105 ПС 110/35/10 кВ А-31, ТП-10/0,4 кВ, ВЛИ-0,4 кВ, для электроснабжения полевого стана Мартыненко Г.Г. с. Займо-Обрыв, Азовский район, Ростовская область (ориентировочная протяженность ЛЭП– 0,06 км, ориентировочная трансформаторная мощность – 0,025 МВА)  </t>
  </si>
  <si>
    <t>Строительство участка ВЛИ-0,4кВ от проектируемой ВЛ-0,4 кВ (по договору ТП №61-1-19-00465335 от 29.08.2019г.) КТП 10/0,4 кВ №334 ВЛ-10 202Н ПС 110/6/10 кВ «НС-2» для электроснабжения жилого дома заявителя Лукашова Д.В., ЗАО «Обильное», Азовский район, Ростовская область (ориентировочная протяженность ЛЭП – 0,03 км)</t>
  </si>
  <si>
    <t>Строительство участка ВЛИ-0,4кВ от оп. №334-20 ВЛ-0,4 кВ №1 от КТП 10/0,4 кВ №334 ВЛ-10 202Н ПС 110/6/10 кВ «НС-2» для электроснабжения жилого дома заявителя Шелудяковой Ю.С., ЗАО «Обильное», Ростовская область (ориентировочная протяженность ЛЭП – 0,045 км)</t>
  </si>
  <si>
    <t>Строительство участка ВЛИ-0,4кВ от проектируемой ВЛ-0,4 кВ (по договору ТП №61-1-19-00455047 от 29.07.2019 г.) вновь построенной ТП 10/0,4 кВ по ВЛ-10кВ №3127 ПС 110/35/10 кВ «А-31» для электроснабжения садового дома заявителя Чурилина С.Е., Пешковское сельское поселение, Азовский район, Ростовская область (ориентировочная протяженность ЛЭП – 0,490 км)</t>
  </si>
  <si>
    <t>Строительство участка ВЛИ-0,4 кВ от оп. №211-91 ВЛ-0,4кВ №5 КТП-10/0,4 кВ №211 по ВЛ-10кВ №910 ПС 35/10 кВ «А-9» для подключения жилого дома заявителя Фролова А.А. Азовский р-он, Ростовская область (ориентировочная протяженность ЛЭП– 0,170 км)</t>
  </si>
  <si>
    <t>'Строительство участка ВЛИ-0,4кВ от проектируемой ВЛ-0,4 кВ (по договору ТП № 61-1-19-00490535 от 23.12.2019 г.) КТП 6/0,4 кВ №350 ВЛ-6кВ 207Н от ПС 110/6/10 кВ НС-2 для электроснабжения участка заявителя Шитовой А.В., СТ «Квант», Азовский район, Ростовская область (ориентировочная протяженность ЛЭП – 0,140 км)</t>
  </si>
  <si>
    <t>Строительство участка ВЛИ-0,4кВ от проектируемой ВЛ-0,4 кВ (по договору ТП № 61-1-20-00510403 от 20.05.2020 г.) МТП 10/0,4 кВ №205 по ВЛ-10кВ №3127 ПС 110/35/10 кВ «А-31» для электроснабжения жилого дома заявителя Артемова Г.К., с.Кагальник, Азовский район, Ростовская область (ориентировочная протяженность ЛЭП – 0,08 км)</t>
  </si>
  <si>
    <t>'Строительство ТП 10/0,4 кВ от опоры №5-17/6 ВЛ-10 кВ № 107Н ПС 110/6/10 кВ «НС-1», строительство ВЛИ-0,4 кВ, для электроснабжения нежилого помещения заявителя ООО «РусЭл» п.Овощной, Азовский район Ростовская область (ориентировочная протяженность ЛЭП– 0,03 км, ориентировочная трансформаторная мощность – 0,063 МВА)</t>
  </si>
  <si>
    <t>Строительство участка ВЛИ-0,4кВ от проектируемой ВЛ-0,4 кВ (по договору ТП № 61-1-20-00499303 от 04.03.2020г.) КТП 6/0,4 кВ №350 по ВЛ-6 кВ №207Н от ПС 110/6/10 кВ НС-2 для электроснабжения участка заявителя Сытовой В.М., СТ «Квант», Азовский район, Ростовская область (ориентировочная протяженность ЛЭП – 0,03 км)</t>
  </si>
  <si>
    <t>Строительство участка ВЛИ-0,4кВ от опоры №175-27 ВЛ-0,4 кВ №1 КТП-10/0,4 кВ №175 по ВЛ-10 кВ № 605 ПС 110/6/10 кВ Е-6 и установка системы учета электрической энергии (мощности) на границе земельного участка для электроснабжения жилого дома заявителя Кротенко Ю.В., Егорлыкский р-он Ростовская область (1шт), (ориентировочная протяженность ЛЭП – 0,030 км)</t>
  </si>
  <si>
    <t>Строительство участка ВЛИ-0,4кВ от проектируемой опоры ВЛ-0,4 кВ проектируемой ТП 10/0,4кВ (по договору № 61-1-18-00400391 от 09.11.2018г.) по ВЛ-10кВ №808К ПС 110/10 кВ «БОС» для подключения хоз.постройки заявителя Зольникова В.И., Азовский район, Ростовская область (ориентировочная протяженность ЛЭП – 0,05 км)</t>
  </si>
  <si>
    <t>Строительство ТП 10/0,4 кВ от оп. №182 ВЛ-10 кВ № 202 Н ПС 110/10/6 кВ НС-2, ЛЭП-0,4 кВ, для электроснабжения нежилого здания заявителя ИП Косых В.С. с. Кулешовка, Азовский район, Ростовская область (ориентировочная протяженность ЛЭП– 0,02 км, ориентировочная трансформаторная мощность – 0,04 МВА)</t>
  </si>
  <si>
    <t>Строительство ВЛ-10 кВ от опоры 10 кВ № 43 по ВЛ-10кВ №1107 ПС 35/10 кВ А-11, ТП-10/0,4 кВ, ВЛИ-0,4 кВ, для электроснабжения гаража заявителя Бойко А.Г., с. Кагальник, Азовский район Ростовская область (ориентировочная протяженность ЛЭП– 0,060 км, ориентировочная трансформаторная мощность – 0,025 МВА)</t>
  </si>
  <si>
    <t>Строительство участка ВЛИ-0,4кВ от оп. №36-42 ВЛ-0,4кВ №2 КТП-10/0,4 кВ №36 ВЛ-10 кВ №313 ПС 35/10 кВ «КГ-3» и системы учета электрической энергии (мощности) на границе земельного участка для электроснабжения жилого дома заявителя Мышакиной Л.А., Ростовская область, Кагальницкий р-н, ст. Кировская, ул. Кирова д.73Б (ориентировочная протяженность ЛЭП – 0,03 км)</t>
  </si>
  <si>
    <t xml:space="preserve">Строительство участка ВЛИ-0,4кВ от оп. №134-4 ВЛ-0,4кВ №1 КТП-10/0,4 кВ №134 ВЛ-10 кВ №101 ПС 220/110/35/10 кВ «Зерновая» и системы учета электрической энергии (мощности) на границе земельного участка для электроснабжения жилого дома заявителя Ващаева Н.Н., г. Зерноград, Ростовская область, Зерноградский р-он, г. Зерноград, ул. Аксайская д.12 (ориентировочная протяженность ЛЭП – 0,04 км) </t>
  </si>
  <si>
    <t xml:space="preserve">Строительство участка ВЛИ-0,4кВ от оп. №134-36 ВЛ-0,4кВ №2 КТП-10/0,4 кВ №134 ВЛ-10 кВ №101 ПС 220/110/35/10 кВ «Зерновая» и системы учета электрической энергии (мощности) на границе земельного участка для электроснабжения жилого дома заявителя Маркова А.В., Ростовская область, Зерноградский р-н, г. Зерноград, пер. Ярославский д.34 (ориентировочная протяженность ЛЭП – 0,08 км) </t>
  </si>
  <si>
    <t>Строительство участка ВЛИ-0,4кВ от оп. №202-21 ВЛ-0,4кВ №1 КТП-10/0,4 кВ №202 ВЛ-10 кВ №319 ПС 35/10 кВ «КГ-3» и системы учета электрической энергии (мощности) на границе земельного участка для электроснабжения ЛПХ заявителя Христюченко И.В., Ростовская область, Кагальницкий р-н, п. Мокрый Батай, ул. Садовая д.93 (ориентировочная протяженность ЛЭП – 0,025 км)</t>
  </si>
  <si>
    <t xml:space="preserve">Строительство участка ВЛИ-0,4кВ от оп. №4-73 ВЛ-0,4кВ №2 КТП-10/0,4 кВ №4 ВЛ-10 кВ №305 ПС 35/10 кВ «КГ-3» и системы учета электрической энергии (мощности) на границе земельного участка для электроснабжения ЛПХ заявителя Шеметовой О.Ю., Ростовская область, Кагальницкий р-н, ст. Кировская ул. Садовая д. 34  (ориентировочная протяженность ЛЭП – 0,03км)  </t>
  </si>
  <si>
    <t>Строительство участка ВЛИ-0,4кВ от оп. №222-17 по ВЛ 0,4 кВ №1 КТП 10/0,4 кВ №222 ВЛ-10 кВ №901 ПС 35/10 кВ «А-9» для электроснабжения жилого дома заявителя Демьяновских А.В., с. Высочино, Ростовская область (ориентировочная протяженность ЛЭП – 0,06 км)</t>
  </si>
  <si>
    <t>«Техническое перевооружение ВЛИ-0,4кВ №1 от оп. №102-8 до опоры №102-44 ВЛ-0,4кВ №1 КТП-10/0,4 кВ №102 ВЛ-10 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Архиповой А.Е., х. Обуховка, Азовский р-он Ростовская область (ориентировочная протяженность ЛЭП – 0,055 км)».</t>
  </si>
  <si>
    <t xml:space="preserve">Строительство участка ВЛИ-0,4кВ от оп. №101-26 ВЛ 0,4 кВ №2 КТП 10/0,4 кВ №101 ВЛ-10кВ №2412 ПС 35/10 кВ «А-24» и системы учета электрической энергии (мощности) на границе земельного участка для электроснабжения жилого дома заявителя Срединской Е.А., х. Полушкин, Азовский р-он Ростовская область (ориентировочная протяженность ЛЭП – 0,03 км)  </t>
  </si>
  <si>
    <t xml:space="preserve">Строительство участка ВЛИ-0,4кВ от РУ-0,4 кВ КТП 10/0,4 кВ №162 ВЛ-10кВ №1101 ПС 35/10 кВ «А-11» и установка системы учета электрической энергии (мощности) на границе земельного участка для электроснабжения жилого дома заявителя Журовой Л.П., с. Кагальник, Азовский р-он Ростовская область (ориентировочная протяженность ЛЭП – 0,100 км)  </t>
  </si>
  <si>
    <t xml:space="preserve">Строительство участка ВЛИ-0,4кВ от оп. №37-58 ВЛ-0,4 кВ №2 КТП 10/0,4 кВ №37 ВЛ-10кВ №1702 ПС 35/10 кВ «А-17» и установка системы учета электрической энергии (мощности) на границе земельного участка для электроснабжения жилого дома заявителя Ушакова М.Ю., с. Стефанидинодар, Азовский р-он Ростовская область (ориентировочная протяженность ЛЭП – 0,08 км)  </t>
  </si>
  <si>
    <t xml:space="preserve">Строительство участка ВЛИ-0,4кВ от проектируемой ВЛ-0,4 кВ (по договору №61-1-19-00474079 от 23.10.2019г.) КТП 10/0,4 кВ №233 ВЛ-10 кВ №1815 ПС «А-18» и установка системы учета электрической энергии (мощности) на границе земельного участка для электроснабжения жилого дома заявителя Мардаревой О.Н., Рыболовецкий колхоз им. Ленина, Азовский р-он Ростовская область (ориентировочная протяженность ЛЭП – 0,140 км)  </t>
  </si>
  <si>
    <t xml:space="preserve">Строительство участка ВЛИ-0,4кВ от №184-28 ВЛ-0,4 кВ №3 КТП 10/0,4 кВ №184 ВЛ-10кВ №3113 ПС 110/35/10 кВ «А-31» и системы учета электрической энергии (мощности) на границе земельного участка для электроснабжения жилого дома заявителя Макеевой А.С., с. Пешково, Азовский р-он Ростовская область (ориентировочная протяженность ЛЭП – 0,07 км) </t>
  </si>
  <si>
    <t xml:space="preserve">Строительство участка ВЛИ-0,4кВ от № 25-161 ВЛ-0,4 кВ №3 КТП 10/0,4 кВ №25 ВЛ-10кВ №1815 ПС 35/10 кВ «А-18» и системы учета электрической энергии (мощности) на границе земельного участка для электроснабжения жилого дома заявителя Тихомирова Г.А., х.Колузаево, Азовский р-он Ростовская область (ориентировочная протяженность ЛЭП – 0,200 км) </t>
  </si>
  <si>
    <t xml:space="preserve">Строительство ВЛ-10 кВ от оп. 10 кВ №139 по ВЛ-10 кВ №1001 ПС 110/35/10 кВ «Самарская», ТП-10/0,4 кВ, ВЛИ-0,4 кВ, для электроснабжения сарая заявителя Канюк А.Б., х. Победа, Азовский район Ростовская область (ориентировочная протяженность ЛЭП– 0,120 км, ориентировочная трансформаторная мощность – 0,025 МВА)  </t>
  </si>
  <si>
    <t xml:space="preserve">Строительство участка ВЛИ-0,4кВ от оп. № 25-10 ВЛ-0,4 кВ №3 КТП 10/0,4 кВ №25 ВЛ-10кВ №1815 ПС 35/10 кВ «А-18» и системы учета электрической энергии (мощности) на границе земельного участка для электроснабжения жилого дома заявителя Тюрина С.В., х. Колузаево Ростовская область (ориентировочная протяженность ЛЭП – 0,08 км)   </t>
  </si>
  <si>
    <t xml:space="preserve">Строительство участка ВЛИ-0,4 кВ от оп. №136-52 по ВЛ-0,4 кВ №2 от КТП 10/0,4 кВ №136 ВЛ-10кВ №803 ПС 35/10 кВ А-8 для электроснабжения жилого дома заявителя Змушко А.В., с. Семибалки, Азовский р-он, Ростовская область (ориентировочная протяженность ЛЭП - 0,780 км)  </t>
  </si>
  <si>
    <t xml:space="preserve">Строительство участка ВЛИ-0,4кВ от РУ-0,4 кВ КТП 10/0,4 кВ №99 ВЛ-10кВ №106Н ПС 110/6/10 кВ «НС-1» и системы учета электрической энергии (мощности) на границе земельного участка для электроснабжения жилого дома заявителя Шрамко А.С., п. Овощной, Азовский р-он Ростовская область (ориентировочная протяженность ЛЭП – 0,300 км)  </t>
  </si>
  <si>
    <t>Строительство участка ВЛИ-0,4кВ от оп. №27-6 ВЛ-0,4 кВ №1 от ЗТП 10/0,4 кВ №27 КЛ-10кВ №1205, 1211 ПС 110/10 кВ «А-12» для электроснабжения магазина заявителя Требушнего К.В., с. Кулешовка, Ростовская область (ориентировочная протяженность ЛЭП – 0,150 км)</t>
  </si>
  <si>
    <t>Строительство участка ВЛИ-0,4кВ от оп. №19-96 ВЛ-0,4кВ №2 КТП-10/0,4 кВ №19 ВЛ-10 кВ №211 ПС 35/10 кВ «КГ-2» и системы учета электрической энергии (мощности) на границе земельного участка для электроснабжения личного подсобного хозяйства заявителя Бывакина И.В., Ростовская область, Кагальницкий р-н, х. Кагальничек, ул. Трудовая д.10А (ориентировочная протяженность ЛЭП – 0,025 км)</t>
  </si>
  <si>
    <t>Строительство ВЛ-10 кВ от оп. №18 по ВЛ-10кВ №1501 ПС 110/10 кВ «ЗР-15», ТП-10/0,4 кВ, ЛЭП-0,4 кВ и установка системы учета электрической энергии (мощности) на границе земельного участка для электроснабжения садового дома заявителя Бондаренко С.Н., Ростовская область, Зерноградский р-н, СТ «Эксперимент» участок №1 (ориентировочная протяженность ЛЭП– 0,035 км, ориентировочная трансформаторная мощность – 0,025 МВА)</t>
  </si>
  <si>
    <t>Строительство участка ВЛИ-0,4кВ от оп. №91-84 ВЛ-0,4кВ №1 КТП 10/0,4 кВ №91 ВЛ-10 кВ №415 ПС 35/10 кВ «КГ-4» и системы учета электрической энергии (мощности) на границе земельного участка для электроснабжения личного подсобного хозяйства заявителя Самсонова А.В., Ростовская область, Кагальницкий район, п. Лугань, ул. Луганская д.20 (ориентировочная протяженность ЛЭП – 0,03км)</t>
  </si>
  <si>
    <t xml:space="preserve">Строительство участка ВЛИ-0,4кВ от оп. №83-36 по ВЛ-0,4 кВ №1 КТП 10/0,4 кВ №83 ВЛ-10 кВ №801 ПС 35/10 кВ «ЗР-8» для электроснабжения ангара заявителя ООО «Эдельвейс», х. Клюев, Зерноградский район, Ростовская область (ориентировочная протяженность ЛЭП – 0,26 км) </t>
  </si>
  <si>
    <t xml:space="preserve">Строительство участка ВЛИ-0,4 кВ от РУ-0,4 кВ проектируемой ТП 10/0,4 кВ (по договору ТП №61-1-18-00397065 от 10.09.2018г.) ВЛ-10 кВ №3127 ПС 110/35/10 кВ А-31 для подключения жилого дома заявителя Сухомлина Н.В. Азовский район Ростовская область (ориентировочная протяженность ЛЭП – 0,360 км)  </t>
  </si>
  <si>
    <t xml:space="preserve">Строительство ВЛ-10 кВ от оп. №6-66 по ВЛ-10кВ №3127 ПС 110/35/10 кВ «А-31», ТП-10/0,4 кВ, ВЛИ-0,4 кВ и установка системы учета электрической энергии (мощности) на границе земельного участка для электроснабжения магазина заявителя ИП Мироненко С.А., с. Займо-Обрыв, Азовский район Ростовская область (ориентировочная протяженность ЛЭП– 0,06 км, ориентировочная трансформаторная мощность – 0,1 МВА)  </t>
  </si>
  <si>
    <t xml:space="preserve">Строительство участка ВЛИ-0,4кВ от проектируемой ВЛ-0,4 кВ (по договору № 61-1-20-00499239 от 12.03.2020г.) КТП 6/0,4 кВ №352 по ВЛ-6 кВ №207Н от ПС 110/6/10 кВ НС-2 и установка системы учета электрической энергии (мощности) на границе земельного участка для электроснабжения участка заявителя Прониной Т.И., СТ «Квант», Азовский р-он Ростовская область (ориентировочная протяженность ЛЭП – 0,03 км) </t>
  </si>
  <si>
    <t xml:space="preserve">Строительство участка ВЛИ-0,4кВ от оп. 311-3/4 ВЛ-0,4 кВ №2 КТП 10/0,4 кВ №311 ВЛ-10кВ №106Н ПС 110/6/10 кВ «НС-1» и системы учета электрической энергии (мощности) на границе земельного участка для электроснабжения жилого дома заявителя Щербиной С.Н., СХА "Кулешовское" поле III, Азовский район Ростовская область (ориентировочная протяженность ЛЭП – 0,120 км) </t>
  </si>
  <si>
    <t xml:space="preserve">Строительство участка ВЛИ-0,4кВ от оп. №17-30 ВЛ-0,4кВ №1 КТП 10/0,4 кВ №17 ВЛ-10кВ №107Н ПС 110/6/10 кВ «НС-1» и системы учета электрической энергии (мощности) на границе земельного участка для электроснабжения жилого дома заявителя Стельмашова А.В., п. Овощной, Азовский р-он Ростовская область (ориентировочная протяженность ЛЭП – 0,04 км) </t>
  </si>
  <si>
    <t xml:space="preserve">Строительство участка ВЛИ-0,4кВ от оп. №311-1/5 ВЛ-0,4 кВ №3 КТП 10/0,4 кВ №311 ВЛ-10кВ №106Н ПС 110/6/10 кВ «НС-1» и системы учета электрической энергии (мощности) на границе земельного участка для электроснабжения жилого дома заявителя Острижного Е.В., СХА "Кулешовское" поле III о, Азовский р-он Ростовская область (ориентировочная протяженность ЛЭП – 0,065 км) </t>
  </si>
  <si>
    <t>Строительство участка ВЛИ-0,4 кВ от проектируемой ТП 10/0,4 кВ (по договору ТП № 61-1-20-00475639 от 14.04.20г.) по ВЛ-10 кВ №313 ПС 35/10 кВ «КГ-3»  и системы учета электрической энергии (мощности) на границе земельного участка для электроснабжения офисного здание заявителя  Гурова Ю.А. Ростовская область, Кагальницкий район, ст. Кировская  (ориентировочная протяженность ЛЭП– 0,17 км)</t>
  </si>
  <si>
    <t>Строительство участка ВЛИ-0,4кВ от оп. №182-34 ВЛ-0,4кВ №3 КТП-10/0,4 кВ №182 ВЛ-10 кВ №805 ПС 110/10 кВ «БОС» и системы учета электрической энергии (мощности) на границе земельного участка для электроснабжения жилого дома заявителя Кузьменко С.В., Ростовская область, Кагальницкий р-н, п. Мокрый Батай, пер. Осенний д.2 (ориентировочная протяженность ЛЭП – 0,05 км)</t>
  </si>
  <si>
    <t xml:space="preserve">Строительство участка ВЛИ-0,4кВ от проектируемой ТП 10/0,4 кВ (по договору ТП № 61-1-19-00475639 от 15.10.2019г.) ВЛ 10 кВ №313 ПС 35/10 кВ «КГ-3» и системы учета электрической энергии (мощности) на границе земельного участка для электроснабжения офисного здания заявителя ИП Артюхова А.А., ст. Кировская, Кагальницкий район, Ростовская область (ориентировочная протяженность ЛЭП – 0,1 км) </t>
  </si>
  <si>
    <t xml:space="preserve">Строительство участка ВЛИ-0,4кВ от оп. №75-57 ВЛ-0,4кВ №3 КТП-10/0,4 кВ №75 ВЛ-10 кВ №1501 ПС 35/10 кВ «ЗР-15» и системы учета электрической энергии (мощности) на границе земельного участка для электроснабжения фельдшерско-акушерского пункта заявителя Муниципальное бюджетное учреждение здравоохранения "Центральная районная больница", Ростовская обл., р-н. Зерноградский п. Экспериментальный ул. Гастелло д.2а (ориентировочная протяженность ЛЭП – 0,3 км)  </t>
  </si>
  <si>
    <t xml:space="preserve">Строительство участка ВЛИ-0,4кВ от проектируемой ВЛ-0,4 кВ (по договору № 61-1-20-00499303 от 04.03.2020 г.) КТП-6/0,4 кВ №350 по ВЛ-6 кВ № 207Н ПС 110/6/10 кВ «НС-2» и установка системы учета электрической энергии (мощности) на границе земельных участков для электроснабжения объектов заявителей Гамзюковой О.Д., Бухтояровой В.А., Гуриной Л.В., СТ «Квант», Азовский р-он Ростовская область (ориентировочная протяженность ЛЭП – 0,115 км)   </t>
  </si>
  <si>
    <t xml:space="preserve">Строительство участка ВЛИ-0,4кВ от проектируемой ВЛ-0,4 кВ (по договору ТП № 61-1-20-00519109 от 11.08.2020 г.) КТП 10/0,4 кВ №334 ВЛ-10 202Н ПС 110/6/10 кВ «НС-2» и установка системы учета электрической энергии (мощности) на границе земельных участков для электроснабжения жилых домов заявителей Додвинова С.А., Трусовой Е.А., ЗАО «Обильное» Азовский р-он Ростовская область (ориентировочная протяженность ЛЭП – 0,04 км)     </t>
  </si>
  <si>
    <t xml:space="preserve">Строительство участка ВЛИ-0,4кВ от РУ-0,4 кВ КТП 10/0,4 кВ №174 ВЛ-10кВ 1011 ПС 110/35/10 кВ «Самарская» и системы учета электрической энергии (мощности) на границе земельных участков для электроснабжения жилых домов заявителей Сокирко А.И., Хныковой Н.В., с. Самарское, Азовский р-он Ростовская область (ориентировочная протяженность ЛЭП – 0,09 км)   </t>
  </si>
  <si>
    <t xml:space="preserve">Строительство участка ВЛИ 0,4кВ от опоры №21-28 ВЛ 0,4 кВ №2 КТП 10/0,4 кВ №21 ВЛ 10 кВ №1702 ПС 35/10 кВ «А-17» и системы учета электрической энергии (мощности) на границе земельного участка для электроснабжения вагончика заявителя Ксандо Н.А., с.Стефанидинодар, Азовский район, Ростовская область (ориентировочная протяженность ЛЭП – 0,095 км)   </t>
  </si>
  <si>
    <t xml:space="preserve">Строительство участка ВЛИ 0,4кВ от опоры №18-1 ВЛ 0,4кВ №1 КТП 10/0,4 кВ №18 ВЛ 10 кВ №3113 ПС 110/35/10 А-31 и системы учета электрической энергии (мощности) на границе земельного участка для электроснабжения жилого дома заявителя Урамовой М.В., с. Пешково, Азовский район Ростовская область (ориентировочная протяженность ЛЭП – 0,04 км)    </t>
  </si>
  <si>
    <t>Строительство ВЛ-10 кВ от опоры №77 ВЛ-10 кВ №1019 ПС 110/35/10 кВ Самарская, ТП-10/0,4 кВ, ВЛИ-0,4 кВ, для электроснабжения объектов 7 заявителей х. Победа, Азовский район, Ростовская область (ориентировочная протяженность ЛЭП– 0,510 км, ориентировочная трансформаторная мощность – 0,160 МВА)</t>
  </si>
  <si>
    <t xml:space="preserve">Строительство ВЛ-6 кВ от проектируемой ВЛ-6 кВ (по договору ТП №61-1-19-00480705 от 02.12.2019г.) по ВЛ-6кВ №207Н ПС 110/6/10 кВ «НС-2», ТП-6/0,4 кВ, ВЛ-0,4 кВ и установка системы учета электрической энергии (мощности) на границе земельного участка для электроснабжения хозяйственной постройки заявителя Кеник А.С., 3,1 км на юго-восток от пункта ГГС Пеленкин, Азовский район Ростовская область (ориентировочная протяженность ЛЭП– 0,940 км, ориентировочная трансформаторная мощность – 0,025 МВА) </t>
  </si>
  <si>
    <t xml:space="preserve">Строительство участка ВЛИ-0,4кВ от оп. №57-128 ВЛ-0,4кВ №2 КТП-10/0,4 кВ №128 ВЛ-10 кВ №313 ПС 35/10 кВ «КГ-3» и системы учета электрической энергии (мощности) на границе земельного участка для электроснабжения магазина заявителя Кареник Н.А., Ростовская область, Кагальницкий р-н, ст Кировская, ул. Кирова д.94 (ориентировочная протяженность ЛЭП – 0,05 км)   </t>
  </si>
  <si>
    <t xml:space="preserve">Строительство участка ВЛИ 0,4кВ от опоры № 83-171 ВЛ 0,4 кВ №2 КТП 10/0,4 кВ №83 ВЛ 10кВ №415 ПС 35/10 кВ «КГ-4» и системы учета электрической энергии (мощности) на границе земельного участка для электроснабжения жилого дома заявителя Бредихина И.Ю., с. Васильево-Шамшево, Кагальницкий район, Ростовская область (ориентировочная протяженность ЛЭП – 0,07 км)  </t>
  </si>
  <si>
    <t xml:space="preserve">Строительство участка ВЛИ 0,4кВ от опоры № 182-36 ВЛ 0,4 кВ №3 КТП 10/0,4 кВ №182 ВЛ 10кВ №805 ПС 110/10 кВ «БОС» и системы учета электрической энергии (мощности) на границе земельного участка для электроснабжения жилого дома заявителя Борисюк Д.П., п. Мокрый Батай, Кагальницкий район, Ростовская область (ориентировочная протяженность ЛЭП – 0,065 км)  </t>
  </si>
  <si>
    <t>Строительство МТП 10/0,4кВ от оп. 10-130 ВЛ 10 кВ 805 ПС 110/10 кВ "БОС", для электроснабжения жилого дома заявителя Буднева А.В., п. Мокрый Батай, Кагальницкий район Ростовская область (ориентировочная трансформаторная мощность – 0,100 МВА)</t>
  </si>
  <si>
    <t xml:space="preserve">Строительство ЛЭП-10 кВ от оп. 45-113 ВЛ-10 кВ №305 ПС 35/10 кВ «КГ-3», ТП-10/0,4 кВ, ЛЭП-0,4 кВ, для электроснабжения освещение дороги заявителя Министрерство транспорта, Ростовкая область, Кагальницкий район, (ориентировочная протяженность ЛЭП– 0,04 км, ориентировочная трансформаторная мощность – 0,025 МВА) </t>
  </si>
  <si>
    <t xml:space="preserve">Строительство ЛЭП-10 кВ от оп. №8 ВЛ-10 кВ №318 ПС 35/10 кВ "КГ-3", ТП-10/0,4 кВ, ЛЭП-0,4 кВ, для электроснабжения частной клиники заявителя ИП Зайцева П.П., ст. Кировская Кагальницкий район, Ростовская область (ориентировочная протяженностьЛЭП-0,36 км, ориентировочная трансформаторная мощность-0,250 МВА)  </t>
  </si>
  <si>
    <t>Строительство участка ВЛИ-0,4кВ от проектируемой ВЛ-0,4 кВ (по договору №61-1-20-00519721 от 07.08.2020г.) КТП 10/0,4 кВ №48 по ВЛ-10кВ №1815 ПС 35/10 кВ «А-18» и установка системы учета электрической энергии (мощности) на границе земельных участков для электроснабжения жилых домов заявителей Зарецкого А.В., Давыдовой А.В., Рыболовецкий колхоз им. Ленина, Азовский р-он Ростовская область (ориентировочная протяженность ЛЭП – 0,055 км)</t>
  </si>
  <si>
    <t xml:space="preserve">Строительство участка ВЛИ-0,4кВ от проектируемой ВЛ-0,4 кВ (по договору ТП № № 61-1-18-00414119 от 17.12.2018 г.) вновь построенной ТП 10/0,4 кВ по ВЛ-10 кВ №1815 ПС 35/10 кВ «А-18» для электроснабжения жилого дома заявителя Хныкина Н.В, х.Городище, Азовский район, Ростовская область (ориентировочная протяженность ЛЭП – 0,165 км)  </t>
  </si>
  <si>
    <t>Строительство участка ВЛИ 0,4кВ от проектируемой ВЛ 0,4 кВ (по договору ТП № 61-1-20-00543131 от 24.11.2020 г.) КТП 10/0,4 кВ №174 ВЛ 10кВ 1011 ПС 110/35/10 кВ «Самарская» и системы учета электрической энергии (мощности) на границе земельного участка для электроснабжения хозяйственной постройки заявителя Савченко Ю.В., с. Самарское, Азовский район, Ростовская область (ориентировочная протяженность ЛЭП – 0,075 км)</t>
  </si>
  <si>
    <t>Строительство ЛЭП-10 кВ от оп. 10 кВ оп. №60 по ВЛ-10кВ №2907 РП-29 ПС 35/10 кВ «А-18», ТП-10/0,4 кВ, ЛЭП-0,4 кВ, для электроснабжения жилого дома заявителя Хвостикова Д.Н., х. Коса, Азовский район Ростовская область (ориентировочная протяженность ЛЭП– 0,150 км, ориентировочная трансформаторная мощность – 0,025 МВА)</t>
  </si>
  <si>
    <t xml:space="preserve">Строительство участка ВЛИ-0,4кВ от оп. №50-19 ВЛ-0,4кВ №1 КТП-10/0,4кВ №50 ВЛ-10кВ №2907 ПС 35/10 «А-18» для электроснабжения жилого дома заявителя Фальченко Д.А., ст-ца Елизаветинская, Ростовская область (ориентировочная протяженность ЛЭП – 0,130км) </t>
  </si>
  <si>
    <t>Строительство ЛЭП-10 кВ от оп. 10 кВ №2 по ВЛ-10 кВ №106Н ПС 110/6/10 кВ НС-1, ТП-10/0,4 кВ, ЛЭП-0,4 кВ, для электроснабжения жилого дома заявителя Озманян Г.М., п. Овощной, Азовский район Ростовская область (ориентировочная протяженность ЛЭП– 0,045 км, ориентировочная трансформаторная мощность – 0,025 МВА)</t>
  </si>
  <si>
    <t>Строительство ЛЭП-10 кВ от оп. 10 кВ №57 по ВЛ-10кВ №808 от ПС 110/10 кВ «БОС», ТП-10/0,4 кВ, ЛЭП-0,4 кВ, для электроснабжения придорожного кафе заявителя Черкасова Н.Н., п. Красный Сад, Азовский район Ростовская область (ориентировочная протяженность ЛЭП– 0,050 км, ориентировочная трансформаторная мощность – 0,025 МВА)</t>
  </si>
  <si>
    <t>Строительство ВЛ-10 кВ от оп. 10 кВ №17 по ВЛ-10кВ №1802 ПС 35/10 кВ «А-18», ТП-10/0,4 кВ, ВЛ-0,4 кВ и системы учета электрической энергии (мощности) на границе земельного участка для электроснабжения жилого дома заявителя Родионова Д.Н., х. Дугино, Азовский район Ростовская область (ориентировочная протяженность ЛЭП– 0,340 км, ориентировочная трансформаторная мощность – 0,025 МВА)</t>
  </si>
  <si>
    <t>Строительство ВЛИ - 0,4 кВ совместным подвесом по ВЛ 10 кВ № 313 ПС 35/10 «КГ-3» в пролете опор №4-194 ÷ 12-194 от РУ 0,4 кВ техперевооружаемой КТП-10/0,4 кВ №194 ВЛ-10кВ №313 ПС 35/10 «КГ-3» и установка коммерческого учета электрической энергии (мощности) для электроснабжения магазина Заявителя ИП Шульженко А.В., Кагальницкий район Ростовская область (ориентировочная протяженность ЛЭП– 0,300 км</t>
  </si>
  <si>
    <t>Строительство участка ВЛИ-0,4кВ от оп. №28-188 ВЛ-0,4кВ №4 ЗТП-10/0,4 кВ №28 ВЛ-10 кВ №313 ПС 35/10 кВ «КГ-3» и системы учета электрической энергии (мощности) на границе земельного участка для электроснабжения жилого дома заявителя Маликова Д.В., ст. Кировская, Кагальницкий р-он Ростовская область (ориентировочная протяженность ЛЭП – 0,05 км)</t>
  </si>
  <si>
    <t>Строительство ВЛ-10 кВ от оп. № 158 по ВЛ-10кВ №1005 ПС 110/10 кВ «Полячки», ТП-10/0,4 кВ, ВЛИ-0,4 кВ и установка коммерческого учета электрической энергии (мощности) на границе земельного участка для электроснабжения рыбохозяйства заявителя ООО «Агенство оценки и учета», Кагальницкий р-н, п. Березовая Роща, Ростовская область (ориентировочная протяженность ЛЭП– 0,310 км, ориентировочная трансформаторная мощность – 0,025 МВА)</t>
  </si>
  <si>
    <t>Строительство участка ВЛИ 0,4кВ от РУ 0,4 кВ КТП 10/0,4 кВ №13 ВЛ 10кВ №3203 ПС 110/35/10 кВ «А-32» и системы учета электрической энергии (мощности) на границе земельного участка для электроснабжения сельскохозяйственной базы заявителя ИП Швидченко А.Н., Азовский район, АОЗТ им. Ленина, Ростовская область (ориентировочная протяженность ЛЭП – 0,03 км)</t>
  </si>
  <si>
    <t>Строительство участка ВЛИ 0,4кВ от проектируемой ВЛ 0,4 кВ (по договору ТП № 61-1-20-00543967 от 10.11.2020 г.) МТП 10/0,4 кВ №311 ВЛ 10кВ №106Н ПС 110/6/10 кВ НС-1 и системы учета электрической энергии (мощности) на границе земельного участка для электроснабжения жилого дома заявителя Сопиной М.И., СХА "Кулешовское" поле III о, Азовский район, Ростовская область (ориентировочная протяженность ЛЭП – 0,065км)</t>
  </si>
  <si>
    <t>Строительство участка ВЛИ 0,4кВ от опоры №311-5/1 ВЛ 0,4 кВ №2 МТП 10/0,4 кВ №311 ВЛ 10кВ №106Н ПС 110/6/10 кВ НС-1 и системы учета электрической энергии (мощности) на границе земельного участка для электроснабжения жилого дома заявителя Соколова А.Ю., СХА "Кулешовское" поле III о, Азовский район, Ростовская область (ориентировочная протяженность ЛЭП – 0,150 км)</t>
  </si>
  <si>
    <t>Строительство участка ВЛИ 0,4кВ от опоры №101-76 ВЛ-0,4 кВ №2 КТП 10/0,4 кВ №101 ВЛ-10 кВ №2412 ПС 35/10 кВ А-24 и системы учета электрической энергии (мощности) на границе земельного участка для электроснабжения жилого дома заявителя Алфеева И.В., х. Полушкин, Азовский район, Ростовская область (ориентировочная протяженность ЛЭП – 0,06 км)</t>
  </si>
  <si>
    <t>Строительство участка ВЛИ 0,4кВ от опоры №136-61 ВЛ 0,4 кВ №3 КТП 10/0,4 кВ №136 ВЛ 10кВ №3113 ПС 110/35/10 кВ А-31 и системы учета электрической энергии (мощности) на границе земельного участка для электроснабжения жилого дома заявителя Герасименко Д.А., с. Пешково, Азовский район, Ростовская область (ориентировочная протяженность ЛЭП – 0,100 км)</t>
  </si>
  <si>
    <t>Строительство участка ВЛИ 0,4кВ от опоры № 105-9 ВЛ-0,4 кВ №1 КТП 10/0,4 кВ №105 ВЛ-10кВ №803 ПС 35/10 кВ «А-8» и системы учета электрической энергии (мощности) на границе земельного участка для электроснабжения жилого дома заявителя Сорокина Г.В., с.Семибалки, Азовский район, Ростовская область (ориентировочная протяженность ЛЭП – 0,03 км)</t>
  </si>
  <si>
    <t>Строительство ВЛИ 0,4 кВ от опоры №2-64 технически перевооружаемой ВЛ 0,4 кВ №1 КТП 10/0,4 кВ №2 ВЛ 10кВ №606 ПС 35/10 кВ А-6 и установка коммерческого учета электрической энергии (мощности) на границе земельного участка для электроснабжения жилого дома заявителя Мартынив Е.А., с. Порт-Катон, Азовский р-он Ростовская область (ориентировочная протяженность ЛЭП – 0,140 км)</t>
  </si>
  <si>
    <t>Строительство участка ВЛИ-0,4кВ от РУ-0,4кВ КТП-10/0,4 кВ №64  ВЛ-10 кВ № 405 ПС 35/10 кВ Е-4 и установка системы учета электрической энергии (мощности) на границе земельного участка для электроснабжения жилого дома заявителя ИП Руденко Н.Ф., Егорлыкский р-он Ростовская область (ориентировочная протяженность ЛЭП – 0,020 км)</t>
  </si>
  <si>
    <t>Строительство участка ВЛИ-0,4кВ от опоры №161-34 ВЛ-0,4 кВ №3 КТП-10/0,4 кВ №161 по ВЛ-10 кВ № 802 ПС 110/6/10 кВ Роговская, установить в существующую КТП дополнительный автоматический выключатель Iн=40А и установка системы учета электрической энергии (мощности) на границе земельного участка для электроснабжения артезианской скважины заявителя ЕМУП «Коммунальник», ст.Новороговская, Егорлыкский р-он Ростовская область (1шт), (ориентировочная протяженность ЛЭП – 0,250 км)</t>
  </si>
  <si>
    <t>Строительство участка ВЛИ-0,4кВ от РУ-0,4 кВ КТП 10/0,4 кВ №32 ВЛ-10 кВ №2008  ПС 220/110/10 кВ «А-20» для подключения дома заявителя Курузьян М.Х., Азовский район, Ростовская область (ориентировочная протяженность ЛЭП – 0,120 км)</t>
  </si>
  <si>
    <t>Строительство участка ВЛИ 0,4кВ от опоры 350-5/2 ВЛ-0,4 кВ №4 КТП 6/0,4 кВ №350 по ВЛ 6 кВ №207Н ПС 110/6/10 кВ «НС-2» и системы учета электрической энергии (мощности) на границе земельного участка для электроснабжения хоз.постройки заявителя Филимонова Е.К., СНТ «Квант», Азовский район, Ростовская область (ориентировочная протяженность ЛЭП – 0,08 км)</t>
  </si>
  <si>
    <t>Строительство ВЛ 10 кВ от опоры № 8 по ВЛ 10 кВ №107Н ПС 110/6/10 кВ НС-1, ТП 10/0,4 кВ, ВЛИ 0,4 кВ и установка системы учета электрической энергии (мощности) на границе земельного участка для электроснабжения жилого дома заявителя Кудряшова Е.В., ДНТ «Дон», Азовский район, Ростовская область (ориентировочная протяженность ЛЭП– 0,100 км, ориентировочная трансформаторная мощность – 0,025 МВА)</t>
  </si>
  <si>
    <t>Строительство участка ВЛИ 0,4кВ от опоры №36-11 ВЛ-0,4 кВ №1 КТП 10/0,4 кВ №36 ВЛ-10 кВ №1702 ПС 35/10 кВ А-17 и системы учета электрической энергии (мощности) на границе земельного участка для электроснабжения жилого дома заявителя Гейнц И.А., с.Стефанидинодар, Азовский район, Ростовская область (ориентировочная протяженность ЛЭП – 0,06 км)</t>
  </si>
  <si>
    <t>Строительство ВЛ 6 кВ от опоры № 69 по ВЛ 6кВ №207Н ПС 110/6/10 кВ НС-2, ТП 6/0,4 кВ, ВЛИ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производства заявителя ООО «Нардек», ориентир Пункт ГГС Пеленкин (поле№132,135,133,136 СХКА им. Партсъезда), 4,2 км на юго-восток, Азовский район, Ростовская область (ориентировочная протяженность ЛЭП– 0,105 км, ориентировочная трансформаторная мощность – 0,025 МВА)</t>
  </si>
  <si>
    <t xml:space="preserve">Строительство ВЛ-10 кВ от опоры №45 ВЛ-10 кВ №802 ПС 35/10 кВ А-8, ТП-10/0,4 кВ, ВЛИ-0,4 кВ для подключения жилого дома Иванченко А.А. х. Павло-Очаково Азовский р-он, Ростовская область (ориентировочная протяженность ЛЭП – 0,730 км, ориентировочная трансформаторная мощность – 0,025 МВА) </t>
  </si>
  <si>
    <t>Строительство участка ВЛИ 0,4кВ от опоры оп. №184-44 ВЛ-0,4 кВ №2 КТП 10/0,4 кВ №184 ВЛ-10кВ №3113 ПС 110/35/10 кВ «А-31» и системы учета электрической энергии (мощности) на границе земельного участка для электроснабжения жилого дома заявителя Грущенко В.Н., с. Пешково, Азовский район, Ростовская область (ориентировочная протяженность ЛЭП – 0,085 км)</t>
  </si>
  <si>
    <t>Строительство участка ВЛИ 0,4кВ от проектируемой ВЛ 0,4 кВ (по договору ТП № 61-1-20-00551955 от 01.02.2021 г.) КТП 10/0,4 кВ №174 ВЛ 10кВ 1011 ПС 110/35/10 кВ «Самарская» и системы учета электрической энергии (мощности) на границе земельного участка для электроснабжения жилого дома заявителя Сырги А.В., с.Самарское, Азовский район, Ростовская область (ориентировочная протяженность ЛЭП – 0,06 км)</t>
  </si>
  <si>
    <t>Строительство участка ВЛИ 0,4кВ от опоры № 115-5 ВЛ-0,4 кВ №1 КТП 10/0,4 кВ №115 ВЛ-10 кВ №3125 от ПС 110/35/10 кВ А-31 и системы учета электрической энергии (мощности) на границе земельных участков для электроснабжения жилых домов заявителя Кутир П.А., с. Пешково, Азовский район, Ростовская область (ориентировочная протяженность ЛЭП – 0,085 км)</t>
  </si>
  <si>
    <t>Строительство участка ВЛИ 0,4кВ от опоры №136-61 ВЛ 0,4 кВ №3 КТП 10/0,4 кВ №136 ВЛ 10кВ №3113 ПС 110/35/10 кВ А-31 и системы учета электрической энергии (мощности) на границе земельных участков для электроснабжения жилых домов заявителей Старцевой Т.В., Старцева А.В., с. Пешково, Азовский район, Ростовская область (ориентировочная протяженность ЛЭП – 0,140 км)</t>
  </si>
  <si>
    <t>Строительство участка ВЛИ-0,4кВ от РУ-0,4кВ КТП-10/0,4 кВ №130 ВЛ-10 кВ №1702 ПС 35/10 кВ «А-17» и системы учета электрической энергии (мощности) на границе земельного участка для электроснабжения дачного дома заявителя Северенко Е.В., КСП «Ленинское знамя», в границах Круглянского СП, Азовский р-он Ростовская область (ориентировочная протяженность ЛЭП – 0,620 км)</t>
  </si>
  <si>
    <t>Строительство участка ВЛИ 0,4кВ от опоры № 102-17 ВЛ 0,4 кВ №1 КТП 10/0,4 кВ №102 ВЛ 10кВ №413 ПС 35/10 кВ «КГ-4» и системы учета электрической энергии (мощности) на границе земельного участка для электроснабжения жилого дома заявителя Бредихина С.Я., х. Кут, Кагальницкий район, Ростовская область (ориентировочная протяженность ЛЭП – 0,06 км)</t>
  </si>
  <si>
    <t>Строительство участка ВЛИ 0,4кВ от опоры № 28-281 ВЛ 0,4 №1 от ЗТП-28 по ВЛ-10 313 ПС 35 кВ КГ3 и системы учета электрической энергии (мощности) на границе земельного участка для электроснабжения жилого дома заявителя Аристакесян С.А., Ростовская область, Кагальницкий р-н, ст. Кировская, ул. Олимпийская д.26 (ориентировочная протяженность ЛЭП – 0,03 км)</t>
  </si>
  <si>
    <t>Строительство ВЛ-10 кВ от оп. №6-246 ВЛ-10 кВ №1107 ПС 35/10 кВ А-11, строительство ТП-10/0,4 кВ, строительство участка ВЛ-0,4 кВ для подключения жилого дома заявителя Михалева А.С. х. Узяк, Азовский район Ростовская область (ориентировочная протяженность ЛЭП – 0,430 км, ориентировочная трансформаторная мощность – 0,025 МВА)</t>
  </si>
  <si>
    <t>Строительство ВЛ-10 кВ от оп. № 76 по ВЛ-10 кВ №914 от ПС 110/35/10 кВ А-9, ТП-10/0,4 кВ, ВЛ-0,4 кВ и системы учета электрической энергии (мощности) на границе земельного участка для электроснабжения хозяйственного помещения заявителя ООО «Органик Фудс Инвестмент», с.Пешково, Азовский район Ростовская область (ориентировочная протяженность ЛЭП– 0,09 км, ориентировочная трансформаторная мощность – 0,025 МВА)</t>
  </si>
  <si>
    <t xml:space="preserve">Строительство ВЛ 0,4 кВ от №365-5 ВЛ 0,4кВ №1 КТП 10/0,4 кВ №365              ВЛ 10кВ №107Н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Ткачевой М.Ю., п. Овощной, Азовский р-он Ростовская область (ориентировочная протяженность ЛЭП – 0,115 км)
</t>
  </si>
  <si>
    <t>Строительство участка ВЛИ 0,4кВ от опоры № 45-19 ВЛ-0,4 кВ №2 КТП 10/0,4 кВ №45 ВЛ-10кВ №2907 РП-29 ПС 35/10 кВ «А-18» и системы учета электрической энергии (мощности) на границе земельного участка для электроснабжения жилого дома заявителя Клокотовой Н.П., х. Курган, Азовский район, Ростовская область (ориентировочная протяженность ЛЭП – 0,085 км)</t>
  </si>
  <si>
    <t>Строительство участка ВЛИ 0,4кВ от опоры №4-21 ВЛ-0,4 кВ №1 КТП 10/0,4 кВ №4 (бесхозная) ВЛ-10 кВ 1702 ПС 35/10 кВ А-17 и системы учета электрической энергии (мощности) на границе земельного участка для электроснабжения жилого дома заявителя Гладких В.О., с. Стефанидинодар, Азовский район, Ростовская область (ориентировочная протяженность ЛЭП – 0,09 км)</t>
  </si>
  <si>
    <t>Строительство участка ВЛИ 0,4кВ от опоры №15-10 ВЛ 0,4 кВ №1 КТП 10/0,4 кВ №15 ВЛ 10кВ №802 ПС 35/10 кВ «А-8» и системы учета электрической энергии (мощности) на границе земельного участка для электроснабжения жилого дома заявителя Минина С.А., х. Павло-Очаково, Азовский район, Ростовская область (ориентировочная протяженность ЛЭП – 0,130 км)</t>
  </si>
  <si>
    <t>Строительство участка ВЛИ 0,4кВ от опоры №166-48 ВЛ-0,4 кВ №2 КТП 10/0,4 кВ №166 ВЛ-10кВ №1701 ПС 35/10 кВ А-17 и системы учета электрической энергии (мощности) на границе земельного участка для электроснабжения жилого дома заявителя Велигура О.С., с. Круглое, Азовский район, Ростовская область (ориентировочная протяженность ЛЭП – 0,250 км)</t>
  </si>
  <si>
    <t>Техническое перевооружение ВЛ 0,4 кВ №3 от РУ 0,4 кВ КТП 10/0,4 кВ №25 до опоры №25-104 ВЛ 0,4 кВ №3 КТП 10/0,4 кВ №25 ВЛ 10 кВ №1815 ПС А-18 для электроснабжения лодочной станции заявителя Кривко И.А., х. Курган, Азовский район Ростовская область (ориентировочная протяженность ЛЭП – 0,580 км)</t>
  </si>
  <si>
    <t>Строительство участка ВЛИ 0,4кВ от опоры №48-59 ВЛ-0,4 кВ №1 КТП 10/0,4 кВ №48 ВЛ-10кВ №1815 ПС 35/10 кВ «А-18» и системы учета электрической энергии (мощности) на границе земельных участков для электроснабжения жилых домов заявителя Самохвалова Н.С., Рыболовецкий колхоз им. Ленина, в границах квартала 61:01:0600002 на территории Елизаветинского сельского поселения от ПТ «Пять братьев» 800м на северо-восток, Азовский район, Ростовская область (ориентировочная протяженность ЛЭП – 0,210 км)</t>
  </si>
  <si>
    <t>Строительство ВЛ 10 кВ от опоры № 80 по ВЛ 10 кВ №1316 ПС 35/10 кВ А-13, ТП 10/0,4 кВ, ВЛ 0,4 кВ и установка системы учета электрической энергии (мощности) на границе земельного участка для электроснабжения объекта крестьянского (фермерского) хозяйства заявителя ИП Падалка О.Н., Ростовская область, Азовский район, в 200 м по направлению на запад от ориентира х.Сонино, Азовский район, Ростовская область (ориентировочная протяженность ЛЭП– 0,880 км, ориентировочная трансформаторная мощность – 0,025 МВА)</t>
  </si>
  <si>
    <t>Строительство участка ВЛИ-0,4кВ от оп. №97-1 ВЛ-0,4кВ №1 КТП-10/0,4 кВ №97 ВЛ-10 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Волконогова Д.О., х. Казачий Ерик, Азовский р-он Ростовская область (ориентировочная протяженность ЛЭП – 0,150 км)</t>
  </si>
  <si>
    <t xml:space="preserve">Строительство участка ВЛИ-0,4кВ от оп. №40-66 ВЛ-0,4кВ №2 КТП-10/0,4 кВ №40 ВЛ-10 кВ №1802 ПС 35/10 «А-18» и установка коммерческого учета электрической энергии (мощности) на границе земельных участков для электроснабжения жилых домов заявителей Дьякова П.В., Дьяковой Г.И., х. Рогожкино, Ростовская область (ориентировочная протяженность ЛЭП – 0,110 км)
</t>
  </si>
  <si>
    <t>Строительство участка ВЛИ-0,4кВ от проектируемой ВЛ-0,4 кВ (по договору ТП №61-1-18-00409567 от 12.12.2018г.) КТП 10/0,4 кВ №48 по ВЛ-10кВ №1815 ПС 35/10 кВ «А-18» для электроснабжения жилого дома заявителя Заряева П.В., Рыболовецкий колхоз им. Ленина, Азовский район, Ростовская область (ориентировочная протяженность ЛЭП – 0,120 км)</t>
  </si>
  <si>
    <t>Строительство участка ВЛИ-0,4кВ от опоры №329-28 ВЛ-0,4 кВ №2 КТП-10/0,4 кВ №329 по ВЛ-10 кВ № 106Н ПС 110/6/10 кВ «НС-1» и установка системы учета электрической энергии (мощности) на границе земельного участка для электроснабжения жилого дома заявителя Пономаревой И.А., ДНТ "Виктория", Азовский р-он Ростовская область (ориентировочная протяженность ЛЭП – 0,130 км)</t>
  </si>
  <si>
    <t>Строительство участка ВЛИ-0,4кВ от оп. №13-72 ВЛ-0,4кВ №3 КТП-10/0,4 кВ №13 ВЛ-10 кВ №3125 ПС 110/35/10 кВ «А-31» и системы учета электрической энергии (мощности) на границе земельного участка для электроснабжения жилого дома заявителя Редькиной З.И., с. Головатовка, Азовский р-он Ростовская область (ориентировочная протяженность ЛЭП – 0,150 км)</t>
  </si>
  <si>
    <t>Строительство КЛ-10 кВ от оп. №9 ВЛ-10кВ №808К ПС 110/10 кВ «БОС», ТП-10/0,4 кВ, ВЛИ-0,4 кВ, для электроснабжения насоса для полива заявителя Горобец А.А. Ростовская область, г. Батайск (ориентировочная протяженность ЛЭП– 0,210 км, ориентировочная трансформаторная мощность– 0,025 МВА)</t>
  </si>
  <si>
    <t xml:space="preserve">Строительство участка ВЛИ-0,4кВ от оп. №257-83 по ВЛ-0,4кВ №2 КТП 6/0,4кВ №257 ВЛ-6кВ №10701 ПС 110/35/6 «А-1» для электроснабжения жилого дома заявителя Буйлова Н.А., г. Азов, Ростовская область (ориентировочная протяженность ЛЭП – 0,07км)  </t>
  </si>
  <si>
    <t>Строительство участка ВЛ-0,4кВ для подключения магазина заявителя ИП Гиваргизовой А.Б. г. Азов, Ростовская область.</t>
  </si>
  <si>
    <t>Строительство участка ВЛИ-0,4кВ от РУ-0,4 кВ КТП 10/0,4кВ №337 по ВЛ-10кВ №910-№1106 ПС 35/10 кВ «А-9» для электроснабжения станции ТО заявителя ИП Шабанова В.В., г. Азов, Ростовская область (ориентировочная протяженность ЛЭП – 0,100 км)</t>
  </si>
  <si>
    <t>Строительство участка ВЛИ-0,4кВ от РУ-0,4 кВ КТП 10/0,4 кВ №184 ВЛ-10 кВ №910-1106 ПС 35/10 кВ «А-9» для электроснабжения энергопринимающих устройств ЗАО «Русские Башни», г. Азов, Ростовская область (ориентировочная протяженность ЛЭП – 0,385км)</t>
  </si>
  <si>
    <t xml:space="preserve">Строительство участка ВЛИ-0,4кВ от проектируемой ВЛ-0,4 кВ (по договору ТП № 61-1-20-00531301 от 14.09.2020 г.) КТП 6/0,4 кВ №257 ВЛ-6 кВ №10701 ПС 110/35/6 кВ «А-1» и системы учета электрической энергии (мощности) на границе земельного участка для электроснабжения жилого дома заявителя Любова А.А., г. Азов Ростовская область (ориентировочная протяженность ЛЭП – 0,160 км) </t>
  </si>
  <si>
    <t>Строительство участка ВЛИ-0,4кВ от оп. №257-67 по ВЛ 0,4 кВ №2 КТП 6/0,4 кВ №257 ВЛ-6 кВ №10701 ПС 110/35/6 кВ «А-1» и системы учета электрической энергии (мощности) на границе земельного участка для электроснабжения жилого дома заявителя Великохацкого А.А., г. Азов Ростовская область (ориентировочная протяженность ЛЭП – 0,03 км)</t>
  </si>
  <si>
    <t>Строительство участка ВЛИ-0,4кВ от оп. №253-124 по ВЛ 0,4 кВ №4 КТП 6/0,4 кВ №253 ВЛ-6 кВ №10701 ПС 110/35/6 кВ «А-1» и системы учета электрической энергии (мощности) на границе земельного участка для электроснабжения жилых домов заявителя Авакяна Р.Р., г. Азов Ростовская область (ориентировочная протяженность ЛЭП – 0,04 км)</t>
  </si>
  <si>
    <t>Строительство участка ВЛИ-0,4кВ от оп. № 257-89 ВЛ-0,4 кВ №2 КТП 6/0,4 кВ №257 ВЛ-6 кВ №10701 ПС 110/35/6 кВ «А-1» и системы учета электрической энергии (мощности) на границе земельного участка для электроснабжения жилого дома заявителя Гуренко Л.П., г. Азов, Азовский р-он Ростовская область (ориентировочная протяженность ЛЭП – 0,03 км)</t>
  </si>
  <si>
    <t>Строительство участка ВЛИ 0,4кВ от проектируемой ВЛ 0,4 кВ (по договору ТП № 61-1-20-00515125 от 15.06.2020 г.) КТП 6/0,4 кВ №257 ВЛ 6 кВ №10701 ПС 110/35/6 кВ «А-1» и системы учета электрической энергии (мощности) на границе земельного участка для электроснабжения жилого дома заявителя Таутиевой А.Н., г.Азов Ростовская область (ориентировочная протяженность ЛЭП – 0,085 км)</t>
  </si>
  <si>
    <t xml:space="preserve">Строительство участка ВЛИ 0,4кВ от опоры № 257-94 ВЛ 0,4 кВ №2 КТП 6/0,4 кВ №257 КВЛ 6 кВ №10701 ПС 110/35/6 кВ «А-1» и системы учета электрической энергии (мощности) на границе земельного участка для электроснабжения жилого дома заявителя Сибиль Г.Н., г. Азов Ростовская область (ориентировочная протяженность ЛЭП – 0,100 км) </t>
  </si>
  <si>
    <t xml:space="preserve">Строительство участка ВЛИ 0,4кВ от опоры №257-94 ВЛ 0,4 кВ №2 КТП 6/0,4 кВ №257 ВЛ 6 кВ №10701 ПС 110/35/6 кВ А-1 и системы учета электрической энергии (мощности) на границе земельных участков для электроснабжения жилых домов заявителей Головневой О.В., Холкина А.Я., г. Азов, Ростовская область (ориентировочная протяженность ЛЭП – 0,135 км)
</t>
  </si>
  <si>
    <t>Строительство участка ВЛИ-0,4кВ от РУ-0,4 кВ КТП 6/0,4 кВ №330 ВЛ-6 кВ №10701 ПС 110/35/6 кВ «А-1» для подключения склада заявителя ИП Солохиной Е.В., г. Азов, Ростовская область (ориентировочная протяженность ЛЭП – 0,140 км)</t>
  </si>
  <si>
    <t>Строительство участка ВЛИ 0,4кВ от опоры № 134-2 ВЛ 0,4 №1 КТП-134 ВЛ-10 101 ПС 110 кВ Зерновая и системы учета электрической энергии (мощности) на границе земельного участка для электроснабжения жилого дома заявителя Рыжая А.М., г. Зерноград, Зерноградский район, Ростовская область (ориентировочная протяженность ЛЭП – 0,03 км)</t>
  </si>
  <si>
    <t>Строительство участка ВЛЗ-10 кВ от опоры  №5/8 ВЛ-10 кВ №24 ПС 110/35/10 кВ КГУ, с установкой ТП-10/0,4 кВ, и строительство ВЛИ-0,4 кВ от вновь установленной ТП-10/0,4 кВ  для присоединения цеха переработки молока Мосояна А.О. (ориентировочная протяженность ЛЭП 0,085 км, ориентировочная мощность трансформатора 63 кВА)</t>
  </si>
  <si>
    <t>Строительство участка ВЛЗ-10 кВ от опоры №172 ВЛ-10 кВ №2 ПС 35/10 кВ Нижне-Журавская, с установкой ТП-10/0,4 кВ и строительство ВЛИ-0,4 кВ от РУ-0,4 кВ вновь установленной ТП-10/0,4 кВ  для присоединения жилого дома Сергеенко С.В. расположенного по адресу: Ростовская область, Константиновский район, х. Хрящевский, пер. Дальний, д. 11, к.н. 61:17:0600010:3479 (ориентировочная протяженность ЛЭП 0,099 км, ориентировочная мощность трансформатора 25 кВА)»</t>
  </si>
  <si>
    <t>Строительство участка ВЛЗ-10 кВ от опоры №4/8 ВЛ-10кВ №6 РП 10/10 кВ Маркинская ПС 110/35/10 кВ Черкассы для присоединения ТП-10/0,4 кВ ОАО «РЖД», расположенного по адресу: Ростовская область, Цимлянский район, участок Морозовская-Куберле (на пикете км 53+450; км 95+50) в границах Цимлянского района, с кадастровым номером 61:41:0000000:23. (ориентировочная протяженность ЛЭП 0,13км)</t>
  </si>
  <si>
    <t>Строительство участка ВЛЗ-6 кВ от опоры №1/2 ВЛ-6 кВ №2 ПС 35/6 кВ Потаповская, с установкой ТП-6/0,4 кВ и строительство ВЛИ-0,4 кВ от РУ-0,4 кВ вновь установленной ТП-6/0,4 кВ  для присоединения автогаражей Мисана А.В., расположенных по адресу: Ростовская область, Волгодонской район, х. Потапов, ул. Комсомольская, д.61е, к.н. 61:08:0040103:97 (ориентировочная протяженность ЛЭП 0,02 км, ориентировочная мощность трансформатора 160 кВА)</t>
  </si>
  <si>
    <t>Строительство участка ВЛЗ-6 кВ от опоры №6/10 ВЛ-6 кВ №5 ПС 35/6 кВ Романовская, с установкой ТП-6/0,4 кВ и строительство ВЛИ-0,4 кВ от РУ-0,4 кВ вновь установленной ТП-6/0,4 кВ  для присоединения столовой Государственного бюджетного учреждения социального обслуживания населения Ростовской области «Романовский специальный дом-интернат для престарелых и инвалидов», расположенной по адресу: Ростовская область, Волгодонской район, станица Романовская, пер. Союзный, д.39, к.н. 61:08:0070119:7:12 (ориентировочная протяженность ЛЭП 0,018 км, ориентировочная мощность трансформатора 160 кВА)</t>
  </si>
  <si>
    <t>Строительство участка ВЛЗ-10 кВ от опоры №77 ВЛ-10 кВ №11 ПС 35/10 кВ Николаевская, с установкой ТП-10/0,4 кВ, и строительство ВЛИ-0,4 кВ от вновь установленной ТП-10/0,4 кВ  для присоединения жилого дома Пономаревой Т.П., расположенного по адресу: Ростовская область, Константиновский район, станица Николаевская, ул. 8 Марта, д.26, к.н. 61:17:0050101:1241 (ориентировочная протяженность ЛЭП 0,054 км, ориентировочная мощность трансформатора 63 кВА</t>
  </si>
  <si>
    <t xml:space="preserve">Строительство участка ВЛЗ-10 кВ от опоры №1/25 ВЛ-10 кВ №5 ПС 35/10 кВ Лозновская, с установкой ТП-10/0,4 кВ и строительство ВЛИ-0,4 кВ от РУ-0,4 кВ вновь установленной ТП-10/0,4 кВ  для присоединения жилого дома Путанашенко А.А., расположенного по адресу: Ростовская область, Цимлянский район, п. Сосенки, ул. Степная, д. 3,к.н. 61:41:0030302:65 (ориентировочная протяженность ЛЭП 0,41 км, ориентировочная мощность трансформатора 160 кВА)
</t>
  </si>
  <si>
    <t>Строительство ВЛ 10 кВ от опоры №20 ВЛ 10 № 1406 ПС 35/10 кВ АС 14 для электроснабжения КТПН-10/0,4 кВ нежилого здания ИП Гореловский С.В. на участке с КН 61:02:0600008:1875 в п. Рассвет, ул. Магистральная, 7, Аксайского района Ростовской области (ориентировочная протяжённость ЛЭП 0,195 км)»</t>
  </si>
  <si>
    <t xml:space="preserve">Строительство КТПН 6/0,4 кВ, ВЛ 0,4 кВ от проектируемой ВЛ 6 кВ (по договору №61-1-17-00321639 от 24.07.2017 г.) от ВЛ 6 кВ РП6 КЛ 6 кВ №340 ПС 110 кВ БТ3 для электроснабжения ВРУ 0,4 кВ жилых домов по ул. Крылова в п. Красный Сад Азовского района Ростовской области </t>
  </si>
  <si>
    <t xml:space="preserve">Строительство ТП 10/0,4 кВ, ВЛ 10 кВ, ВЛ 0,4 кВ от проектируемой ВЛ 10 кВ (по договору №61-1-18-00396989) от ВЛ 10 кВ №101 ПС 110 кВ АС1 для электроснабжения сыроварни ИП КФХ Архиповой К. В. на участке с КН 61:02:0600015:7010 в х. Махин Аксайского района Ростовской области </t>
  </si>
  <si>
    <t>Строительство ТП 10/0,4 кВ, ВЛ 10 кВ, ВЛ 0,4 кВ от ВЛ 10 кВ №414 ПС 220 кВ Р4 для электроснабжения магазина Творогова П. Э. по ул. Норильская, 4 в х. Камышеваха Аксайского района Ростовской области (ориентировочная мощность трансформатора 0,250 МВА, ориентировочная протяжённость ЛЭП 0,055 км)</t>
  </si>
  <si>
    <t>Строительство КТПН 10/0,4 кВ, ВЛ 10 кВ, ВЛ 0,4 кВ от ВЛ 10 кВ №1106 ПС 110 кВ АС11 для электроснабжения ВРУ 0,4 кВ жилых домов и базовой станции сотовой связи ПАО “Вымпел-Коммуникации” в г. Новочеркасске Ростовской области (ориентировочная мощность трансформатора 0,160 МВА, ориентировочная протяжённость ЛЭП 0,811 км)</t>
  </si>
  <si>
    <t>Строительство ТП 10/0,4 кВ, ВЛ 10 кВ, ВЛ 0,4 кВ от ВЛ 10 кВ №111 ПС 110 кВ АС1 для электроснабжения тепличного комплекса ИП Резанова В. С. на участке с КН 61:02:0600017:443 в нп. АО Луговое Аксайского района Ростовской области (ориентировочная мощность трансформатора 0,250 МВА, ориентировочная протяжённость ЛЭП 0,696 км)</t>
  </si>
  <si>
    <t>Строительство ТП 10/0,4 кВ, ВЛ 10 кВ, ВЛ 0,4 кВ от ВЛ 10 кВ №441 ПС 220 кВ Р4 для электроснабжения нежилого помещения и нежилого здания на участках с КН 61:02:0600010:12170, 61:02:0600010:12172 в п. Янтарный Аксайского района Ростовской области (ориентировочная мощность трансформатора 0,400 МВА, ориентировочная протяжённость ЛЭП 0,660 км)</t>
  </si>
  <si>
    <t>Строительство ТП 10/0,4 кВ, ВЛ 10 кВ, ВЛ 0,4 кВ от опоры №284 ВЛ 10 кВ №257 ПС 110 кВ БГ2 для электроснабжения насоса для полива Енанова А.Ж.  по адресу: Ростовская обл., Багаевский район, х. Усьман, участок б/н, установлено относительно ориентира в районе х. Усьман, расположенного в границах участка, поля №39, 27, 28 (в границах бывшего ЗАО «Крепинское», к.н. 61:03: 600009:0069 (ориентировочная мощность трансформатора 0, 16 МВА, ориентировочная протяжённость ЛЭП 0,165 км)</t>
  </si>
  <si>
    <t>Строительство ТП 10/0,4 кВ, ВЛ 10 кВ, ВЛ 0,4 кВ от опоры №316 ВЛ 10 кВ №255 ПС 110 кВ БГ2 для электроснабжения насосной станции Рогова А.А. по адресу: Ростовская область, Аксайский район, АО «Заречное», поле 43, к.н. 61:02:0600019:1219 (ориентировочная мощность трансформатора 0,25 МВА, ориентировочная протяжённость ЛЭП 0,13 км)</t>
  </si>
  <si>
    <t>Строительство ТП 10/0,4 кВ, ВЛ 10 кВ, ВЛ 0,4 кВ от опоры №324 ВЛ 10 кВ №255 ПС 110 кВ БГ2 для электроснабжения насосной станции Шкуро И.С. по адресу: Ростовская область, Аксайский район, установлено относительно ориентира, расположенного в границах участка, к.н.61:02:0600019:1297</t>
  </si>
  <si>
    <t xml:space="preserve">Строительство КТПН 10/0,4 кВ, ВЛ 10 кВ, ВЛ 0,4 кВ от ВЛ 10 кВ №1103 ПС 110 кВ АС11 для электроснабжения ВРУ 0,4 кВ жилых домов в ст-це Мишкинская Аксайского района Ростовской области (ориентировочная мощность трансформатора 0,630 МВА, ориентировочная протяжённость ЛЭП 2,115 км)
</t>
  </si>
  <si>
    <t xml:space="preserve">Строительство ВЛ 0,4 кВ, КТП 10/0,4 кВ, ВЛ 10 кВ от ВЛ 10 кВ № 910 ПС 35 кВ В9 для электроснабжения жилых домов в АО «Красный Маныч в 5,6 км к северо-западу от х. Красный Маныч, Веселовского района, Ростовской области (ориентировочная протяжённость ЛЭП 1,15 км, мощность трансформатора 0,160 МВА)
</t>
  </si>
  <si>
    <t>Строительство ТП 10/0,4 кВ, ВЛ 10 кВ, ВЛ 0,4 кВ от ВЛ 10 кВ №1547 ПС 110 кВ АС15 для электроснабжения ВРУ 0,4 кВ магазина Зильберова Д. А. по ул. Малахитовая, 2/4 в х. Камышеваха Аксайского района Ростовской области (ориентировочная мощность трансформатора 0,160 МВА, ориентировочная протяжённость ЛЭП 0,099 км)</t>
  </si>
  <si>
    <t xml:space="preserve">Строительство КТПН 6/0,4 кВ, ВЛ 6 кВ, ВЛ 0,4 кВ от ВЛ 6 кВ №3 РП6 КЛ 6 кВ №340 ПС 110 кВ БТ3 для электроснабжения ВРУ 0,4 кВ жилых домов по ул. Лермонтова, 68А, ул. Есенина, 41А в п. Красный Сад Азовского района Ростовской области (ориентировочная мощность трансформатора 0,040 МВА, ориентировочная протяжённость ЛЭП 0,756 км)
</t>
  </si>
  <si>
    <t xml:space="preserve">Строительство КТПН 10/0,4 кВ, ВЛ 10 кВ, ВЛ 0,4 кВ от ВЛ 10 кВ №3 ПС 35 кВ Б. Салы для электроснабжения ВРУ 0,4 кВ жилых домов в пос. Темерницкий Аксайского района Ростовской области (ориентировочная мощность трансформатора 0,063 МВА, ориентировочная протяжённость ЛЭП 0,904 км)
</t>
  </si>
  <si>
    <t>Строительство ТП 10/0,4 кВ, ВЛ 0,4 кВ, ВЛ 10 кВ от ВЛ 10 кВ №1208 ПС 110 кВ АС12 для электроснабжения складов Вышковского Р. В. на участке с КН 61:02:0600006:5713 в АО “Щепкинское” Аксайского района Ростовской области (ориентировочная мощность трансформатора 0,250 МВА, ориентировочная протяжённость ЛЭП 0,404 км)</t>
  </si>
  <si>
    <t>Строительство ТП 10/0,4 кВ, ВЛ 0,4 кВ, ВЛ 10 кВ от ВЛ 10 кВ №1006 ПС 110 кВ АС10 для электроснабжения нежилого помещения ИП Карапетян Р. С. на участке с КН 61:02:0600002:2673 в КСП им. Ленина Аксайского района Ростовской области (ориентировочная мощность трансформатора 0,160 МВА, ориентировочная протяжённость ЛЭП 0,030 км)</t>
  </si>
  <si>
    <t xml:space="preserve">Строительство КТПН 6/0,4 кВ, ВЛ 0,4 кВ, ВЛ 6 кВ от ВЛ 6 кВ №807 ПС 35 кВ АС8 для электроснабжения жилых домов в х. Большой Лог Аксайского района Ростовской области (ориентировочная мощность трансформатора 0,160 МВА, ориентировочная протяжённость ЛЭП 0,473 км)
</t>
  </si>
  <si>
    <t>Строительство ВЛ 6 кВ от ВЛ 6 кВ №308 ПС 110 кВ СМ3 для электроснабжения ВРУ-0,4 кВ фермы животноводства заявителя ООО «Лиманский» по адресу: Российская Федерация, Ростовская обл., р-н. Семикаракорский, х. Лиманский, массив земель ФГУП "ОПХ Лиманский" РосНИИПМ, кадастровый номер земельного участка: 61:35:000000:0146</t>
  </si>
  <si>
    <t xml:space="preserve">Строительство МТП 6/0,4 кВ, ВЛ 0,4 кВ, КВЛ 6 кВ от ВЛ 6 кВ №804 ПС 35 кВ АС8 для электроснабжения ВРУ 0,4 кВ жилых домов Дербенцевой Е. Г. в п. Российский Аксайского района Ростовской области (ориентировочная мощность трансформатора 0,1 МВА, ориентировочная протяжённость ЛЭП 1,409 км)
</t>
  </si>
  <si>
    <t>Строительство ТП 6/0,4 кВ, ВЛ 0,4 кВ, ВЛ 6 кВ от ВЛ 6 кВ №806 ПС 35 кВ АС8 для электроснабжения нежилого здания ООО “Кондитерская фабрика” Московский десертъ” на участке с КН 61:02:0600011:1336 в Аксайском районе Ростовской области (ориентировочная мощность трансформатора 0,250 МВА, ориентировочная протяжённость ЛЭП 0,030 км)</t>
  </si>
  <si>
    <t xml:space="preserve">Строительство КТПН 10/0,4 кВ, ВЛ 0,4 кВ, ВЛ 10 кВ от ВЛ 10 кВ №101 ПС 110 кВ АС1 для электроснабжения ВРУ 0,4 кВ жилого дома Барбанова Д. В. по ул. Черкасская, 2 в х. Махин Аксайского района Ростовской области (ориентировочная мощность трансформатора 0,025 МВА, ориентировочная протяжённость ЛЭП 0,925 км)
</t>
  </si>
  <si>
    <t>Строительство КТП 10/0,4 кВ, ВЛ 0,4 кВ, ВЛ 10 кВ от ВЛ 10 кВ №111 ПС 110 кВ АС1 для электроснабжения нежилой застройки ООО «Формула» на участке с КН 61:02:0050101:2710 в п. Дорожный Аксайского района Ростовской области (ориентировочная мощность трансформатора 0,25 МВА, ориентировочная протяжённость ЛЭП 0,06 км)</t>
  </si>
  <si>
    <t>Строительство ТП 10/0,4 кВ, ВЛ 0,4 кВ, ВЛ 10 кВ от ВЛ 10 кВ №403 ПС 110 кВ АС4 для электроснабжения нежилого здания Хачатурян Е. М. на участке с КН 61:02:0060101:3844 в х. Ленина Аксайского района Ростовской области (ориентировочная мощность трансформатора 0,250 МВА, ориентировочная протяжённость ЛЭП 0,060 км)</t>
  </si>
  <si>
    <t xml:space="preserve">Строительство ТП 10/0,4 кВ, ВЛ 0,4 кВ, ВЛ 10 кВ от ВЛ 10 кВ №103 ПС 110 кВ АС1 для электроснабжения нежилой застройки (хозяйственная постройка, нежилое здание) ООО «Аксайское сельскохозяйственное предприятие» на участке с КН 61:02:0600021:1634 в х. Островского Аксайского района Ростовской области </t>
  </si>
  <si>
    <t xml:space="preserve">Строительство КТПН 10/0,4 кВ, ВЛ 0,4 кВ, ВЛ 10 кВ от ВЛ 10 кВ №3 ПС 35 кВ Б. Салы для электроснабжения ВРУ 0,4 кВ жилых домов по проезду Серебряный, Бронзовый, Медный в п. Щепкин Аксайского района Ростовской области (ориентировочная мощность трансформатора 0,250 МВА, ориентировочная протяжённость ЛЭП 1,014 км)
</t>
  </si>
  <si>
    <t xml:space="preserve">Строительство ТП 6/0,4 кВ, ВЛ 0,4 кВ, ВЛ 6 кВ от ВЛ 6 кВ №806 ПС 35 кВ АС8 для электроснабжения нежилого здания ООО “Южная региональная компания по предоставлению услуг телефонной связи” на участке с КН 61:02:0600011:1799 в Аксайском районе Ростовской области </t>
  </si>
  <si>
    <t>Строительство ТП 10/0,4 кВ, ВЛ 0,4 кВ, ВЛ 10 кВ от ВЛ 10 кВ №105 ПС 110 кВ АС1 для электроснабжения газонаполнительной станции ООО “ДонАвтономГаз” на участке с КН 61:02:0600015:4738 в Аксайском районе Ростовской области (ориентировочная мощность трансформатора 0,250 МВА, ориентировочная протяжённость ЛЭП 0,322 км)</t>
  </si>
  <si>
    <t>Строительство КТПН 6/0,4 кВ, ВЛ 0,4 кВ, ВЛ 6 кВ от ВЛ 6 кВ №806 ПС 35 кВ АС8 для электроснабжения ВРУ 0,4 кВ нежилого помещения Семеновой Г. К. на участке с КН 61:02:0600011:1810 в п. Мускатный Аксайского района Ростовской области (ориентировочная мощность трансформатора 0,025 МВА, ориентировочная протяжённость ЛЭП 0,04 км)</t>
  </si>
  <si>
    <t>Строительство КТПН 10/0,4 кВ, ВЛ 10 кВ, ВЛ 0,4 кВ от ВЛ 10 кВ №1109 ПС 110 кВ АС11 для электроснабжения ВРУ 0,4 кВ складского помещения Григорьева В. В. на участке с КН 61:02:0600002:2422 в Аксайском районе Ростовской области (ориентировочная мощность трансформатора      0,025 МВА, ориентировочная протяжённость ЛЭП 0,058 км)</t>
  </si>
  <si>
    <t xml:space="preserve">Строительство ТП 10/0,4 кВ, ВЛ 10 кВ, ВЛ 0,4 кВ от опоры №5/26  ВЛ 10 кВ №125 ПС 110 кВ СМ1 для электроснабжения жилых домов, заявителей: Воликова А.Ю. на участке с к.н.61:35:060201:2469 по адресу: Ростовская область, Семикаракорский  район,  х. Чебачий ул. Гагарина, 83, Рогаченко  А. М. на участке с к.н.61:35:060201:141 по адресу: Ростовская область, Семикаракорский  район,  х. Чебачий ул. Гагарина, 79; Попова Г.Н. на участке с к.н.61:35:060201:0705 по адресу: Ростовская область, Семикаракорский  район,  х. Чебачий ул. Горького, 104, Гавшева Лидия Михайловна по адресу х. Чебачий, ул. Горького, д.100      к.н.:61:35:0060201:0048; Павлов Иван Викторович по адресу; в 30 м. на восток от строения по адресу: х. Чебачий, ул. Горького, д.108   к.н.:61:35:0060201:2211; Симакина Елена Васильевна по адресу х. Чебачий, ул. Горького, д.98      к.н.:61:35:0060201:477   </t>
  </si>
  <si>
    <t xml:space="preserve">Строительство участка ВЛИ-0,4 кВ от оп. № 28-23 ВЛ-0,4 кВ № 1 ЗТП-10/0,4 кВ № 28 ВЛ-10 кВ № 313 ПС 35/10 кВ «КГ-3» для подключения жилого дома заявителя Ковтун А.М. ст-ца Кировская Кагальницкий район Ростовская область (ориентировочная протяженность ЛЭП– 0,23 км) </t>
  </si>
  <si>
    <t>Строительство ВЛ-10 кВ, ТП-10/0,4 кВ, ВЛ-0,4 кВ для электроснабжения нежилого помещения заявителя ИП Сапухина А.А. х. Обуховка, Азовский район, Ростовская область (ориентировочная протяженность ЛЭП– 0,630 км, ориентировочная трансформаторная мощность – 0,16 МВА)</t>
  </si>
  <si>
    <t>Строительство ЛЭП-10 кВ от оп. №1-6 ВЛ-10 кВ № 801 ПС 35/10 кВ «А-8», ТП-10/0,4 кВ, ЛЭП-0,4 кВ, для электроснабжения базы отдыха заявителя ООО «Казачок» Азовский район Ростовская область (ориентировочная протяженность ЛЭП– 0,210 км, ориентировочная трансформаторная мощность – 0,160 МВА)</t>
  </si>
  <si>
    <t>Строительство участка ВЛИ-0,4кВ от опоры №111-36 по ВЛ-0,4кВ №1 от КТП 10/0,4кВ №111 по ВЛ-10кВ №3113 ПС 110/35/10 кВ «А-31» для электроснабжения жилого дома заявителя Андрющенко Ю.Ю., с. Пешково Азовский район, Ростовская область (ориентировочная протяженность ЛЭП – 0,100 км)</t>
  </si>
  <si>
    <t>Строительство ТП 10/0,4 кВ от оп. №36 по ВЛ-10 кВ №1802 ПС 35/10 кВ А-18, ВЛИ-0,4 кВ от проектируемой ТП 10/0,4 кВ для электроснабжения садового дома заявителя Куревлевой С.Н. х.Дугино, Азовский район Ростовская область (ориентировочная протяженность ЛЭП– 0,05 км, ориентировочная трансформаторная мощность – 0,025 МВА)</t>
  </si>
  <si>
    <t>Строительство ЛЭП-10 кВ от оп. №6-212 ВЛ-10 кВ № 808 ПС 110/10 кВ БОС, ТП-10/0,4 кВ, ЛЭП-0,4 кВ, для электроснабжения зоны хранения под овощную продукцию заявителя ООО «Траст-Групп» п. Красный сад Азовский район Ростовская область (ориентировочная протяженность ЛЭП– 0,170 км, ориентировочная трансформаторная мощность – 0,250 МВА)</t>
  </si>
  <si>
    <t>Строительство ЛЭП-10 кВ от проектируемой опоры 10 кВ (по договору №61-1-19-00476153 от 22.10.2019г.) ВЛ-10кВ №808 от ПС 110/10 кВ «БОС», ТП-10/0,4 кВ, ЛЭП-0,4 кВ, для электроснабжения нежилого помещения заявителя ООО «Русавтотрейд», Азовский район Ростовская область (ориентировочная протяженность ЛЭП– 0,075 км, ориентировочная трансформаторная мощность – 0,250 МВА)</t>
  </si>
  <si>
    <t>Строительство ВЛ-10 кВ от оп. №85 ВЛ-10 кВ № 2608 ПС 110/10 кВ «А-26», строительство ТП-10/0,4 кВ, строительство ВЛИ-0,4 кВ, для электроснабжения магазина заявителя ИП Авакян С.А. с. Кулешовка, Азовский район Ростовская область (ориентировочная протяженность ЛЭП– 0,09 км, ориентировочная трансформаторная мощность – 0,063 МВА)</t>
  </si>
  <si>
    <t>Строительство ВЛ-10 кВ от опоры №1-324 ВЛ-10 кВ №106Н ПС 110/6/10 кВ НС-1, ТП-10/0,4 кВ, ВЛИ-0,4 кВ для подключения объектов Каджояна Р.Г. п. Овощной Азовский р-он, Ростовская область (ориентировочная протяженность ЛЭП – 0,05 км, ориентировочная трансформаторная мощность – 0,1 МВА)</t>
  </si>
  <si>
    <t>Строительство отпайки ВЛЗ-10 кВ для подключения ТП-10/0,4 кВ заявителя ИП Галдин А.В. ст-ца Кировская Кагальницкий район Ростовская область (ориентировочная протяженность ЛЭП– 0,06 км)</t>
  </si>
  <si>
    <t>Строительство ЛЭП-10 кВ от опоры №182 по ВЛ-10кВ №202Н от ПС 110/10/6 кВ «НС-2», ТП-10/0,4 кВ, ЛЭП-0,4 кВ, для электроснабжения ангара заявителя ИП Негодаева Г.В., с.Кулешовка, Азовский район Ростовская область (ориентировочная протяженность ЛЭП– 0,150 км, ориентировочная трансформаторная мощность – 0,160 МВА</t>
  </si>
  <si>
    <t>Строительство ВЛ-10 кВ от оп. №20-61 ВЛ-10 кВ №3127 ПС 110/35/10 кВ А-31, строительство ТП-10/0,4 кВ, строительство участка ВЛ-0,4 кВ для подключения хоз.постройки заявителя Куликова С.А. с. Займо-Обрыв,  Азовский район Ростовская область (ориентировочная протяженность ЛЭП – 0,075 км, ориентировочная трансформаторная мощность – 0,16 МВА)</t>
  </si>
  <si>
    <t>Строительство ТП-10/0,4 кВ от оп. №7 ВЛ 10 кВ №915 ПС 35/10 А-9, строительство участка ВЛ-0,4 кВ для подключения системы орошения заявителя Оганисяна А.С., Азовский район Ростовская область (ориентировочная протяженность ЛЭП – 0,03 км, ориентировочная трансформаторная мощность – 0,16 МВА)</t>
  </si>
  <si>
    <t xml:space="preserve">Строительство ВЛ-10 кВ от оп. №10-182 ВЛ-10 кВ № 805 ПС 110/10 кВ «БОС», ТП-10/0,4 кВ, ВЛИ-0,4 кВ для электроснабжения объектов заявителя Живанович И.В. п. Мокрый Батай, Кагальницкий район Ростовская область (ориентировочная протяженность ЛЭП– 0,440 км, ориентировочная трансформаторная мощность – 0,063 МВА) </t>
  </si>
  <si>
    <t xml:space="preserve">Строительство ТП-10/0,4 кВ, от оп. №15 ВЛ 10 кВ №609 ПС 35/10 кВ «А-6», ВЛИ-0,4 кВ для электроснабжения врачебной амбулатории МБУЗ «ЦРБ» Азовского р-на с. Маргаритово, Азовский район, Ростовская область (ориентировочная протяженность ЛЭП– 0,03 км, ориентировочная трансформаторная мощность – 0,063 МВА) </t>
  </si>
  <si>
    <t>Строительство ВЛ-10 кВ от оп. №3-35 ВЛ-10 кВ № 1814 ПС 35/10 кВ «А-18», ТП-10/0,4 кВ, ВЛИ-0,4 кВ, для электроснабжения жилого дома заявителя Руденко И.В. х. Дугино, Азовский район Ростовская область (ориентировочная протяженность ЛЭП– 0,250 км, ориентировочная трансформаторная мощность – 0,025 МВА)</t>
  </si>
  <si>
    <t>Строительство ЛЭП-10 кВ от оп. №1-60 ВЛ-10 кВ № 1802 ПС 35/10 А-18, ТП-10/0,4 кВ, ЛЭП-0,4 кВ, для электроснабжения стройплощадки заявителя ИП Хаишбашян М.А. х. Рогожкино Азовский район Ростовская область (ориентировочная протяженность ЛЭП– 0,330 км, ориентировочная трансформаторная мощность – 0,250 МВА)</t>
  </si>
  <si>
    <t>Строительство ЛЭП-10 кВ от опоры № 2-38 по ВЛ-10кВ №106 Н ПС 110/10/6 кВ НС-1, ТП-10/0,4 кВ, ЛЭП-0,4 кВ, для электроснабжения магазина заявителя Яндиева Р.М., п. Овощной, Азовский район Ростовская область (ориентировочная протяженность ЛЭП– 0,060 км, ориентировочная трансформаторная мощность – 0,160 МВА)</t>
  </si>
  <si>
    <t>Строительство ВЛ-10 кВ от оп. 10 кВ №139 по ВЛ-10 кВ №1001 ПС 110/35/10 кВ «Самарская», ТП-10/0,4 кВ, ВЛИ-0,4 кВ, для электроснабжения сарая заявителя Канюк А.Б., х. Победа, Азовский район Ростовская область (ориентировочная протяженность ЛЭП– 0,120 км, ориентировочная трансформаторная мощность – 
0,025 МВА)</t>
  </si>
  <si>
    <t xml:space="preserve">Строительство ЛЭП-10 кВ от оп. 6 кВ по ВЛ-10кВ №101 ПС 35/10 кВ «Е-1», ТП-10/0,4 кВ, ЛЭП-0,4 кВ и установка системы учета электрической энергии (мощности) на границе земельного участка для электроснабжения жилого помещения заявителя Кирюшкина В.Н., ст.Егорлыкская, Егорлыкский район Ростовская область (ориентировочная протяженность ЛЭП– 0,480 км, ориентировочная трансформаторная мощность – 0,025 МВА)  </t>
  </si>
  <si>
    <t>'Строительство ВЛ-10 кВ от оп. №18 по ВЛ-10кВ №1501 ПС 110/10 кВ «ЗР-15», ТП-10/0,4 кВ, ЛЭП-0,4 кВ и установка системы учета электрической энергии (мощности) на границе земельного участка для электроснабжения садового дома заявителя Бондаренко С.Н., Ростовская область, Зерноградский р-н, СТ «Эксперимент» участок №1 (ориентировочная протяженность ЛЭП– 0,035 км, ориентировочная трансформаторная мощность – 0,025 МВА)</t>
  </si>
  <si>
    <t>'Строительство ВЛ-10 кВ от оп. №6-66 по ВЛ-10кВ №3127 ПС 110/35/10 кВ «А-31», ТП-10/0,4 кВ, ВЛИ-0,4 кВ и установка системы учета электрической энергии (мощности) на границе земельного участка для электроснабжения магазина заявителя ИП Мироненко С.А., с. Займо-Обрыв, Азовский район Ростовская область (ориентировочная протяженность ЛЭП– 0,06 км, ориентировочная трансформаторная мощность – 0,1 МВА)</t>
  </si>
  <si>
    <t>Строительство ВЛ-6 кВ от проектируемой ВЛ-6 кВ (по договору ТП №61-1-19-00480705 от 02.12.2019г.) по ВЛ-6кВ №207Н ПС 110/6/10 кВ «НС-2», ТП-6/0,4 кВ, ВЛ-0,4 кВ и установка системы учета электрической энергии (мощности) на границе земельного участка для электроснабжения хозяйственной постройки заявителя Кеник А.С., 3,1 км на юго-восток от пункта ГГС Пеленкин, Азовский район Ростовская область (ориентировочная протяженность ЛЭП– 0,940 км, ориентировочная трансформаторная мощность – 0,025 МВА)</t>
  </si>
  <si>
    <t xml:space="preserve">Строительство ЛЭП-10 кВ от оп. 10 кВ №3-50 по ВЛ-10кВ №211 ПС 35/10 кВ «А-2», ТП-10/0,4 кВ, ЛЭП-0,4 кВ и установка системы учета электрической энергии (мощности) на границе земельного участка для электроснабжения склада заявителя ИП Балинской А.А., х.Новоалександровка, Азовский район Ростовская область (ориентировочная протяженность ЛЭП– 0,06 км, ориентировочная трансформаторная мощность – 0,250 МВА)  </t>
  </si>
  <si>
    <t>Строительство ВЛ-10 кВ от опоры №8-223 ВЛ-10 кВ №901 ПС 35/10 кВ А-9, ТП-10/0,4 кВ, ВЛИ-0,4 кВ для подключения полевого стана ИП главы К(Ф)Х Поплавного А.В. с. Высочино Азовский р-он, Ростовская область (ориентировочная протяженность ЛЭП – 0,060 км, ориентировочная трансформаторная мощность – 0,160 МВА)</t>
  </si>
  <si>
    <t>Строительство ВЛ-10 кВ от опоры №153 ВЛ-10 кВ №1513 ПС 35/10 кВ А-15, ТП-10/0,4 кВ, ВЛИ-0,4 кВ для подключения объектов заявителей Малой Е.В., Теренина В.В., Коломейцева С.Г. п.Ленинский Лесхоз, Азовский р-он, Ростовская область (ориентировочная протяженность ЛЭП – 0,220 км, ориентировочная трансформаторная мощность – 0,063 МВА)</t>
  </si>
  <si>
    <t>Строительство ВЛ-10 кВ от оп. № 19 ВЛ-10 кВ № 2608 ПС 110/10 кВ А-26, ТП-10/0,4 кВ, ВЛИ-0,4 кВ для подключения магазина заявителя ИП Амировой Е.С. с. Кулешовка Азовский район Ростовская область (ориентировочная протяженность ЛЭП – 0,07 км, ориентировочная трансформаторная мощность – 0,16 МВА)</t>
  </si>
  <si>
    <t>«Строительство КЛ-10 кВ от оп. №9 ВЛ-10кВ №808К ПС 110/10 кВ «БОС», ТП-10/0,4 кВ, ВЛИ-0,4 кВ, для электроснабжения насоса для полива заявителя Горобец А.А. Ростовская область, г. Батайск (ориентировочная протяженность ЛЭП– 0,210 км, ориентировочная трансформаторная мощность– 0,025 МВА)»</t>
  </si>
  <si>
    <t>'Строительство ВЛ-10 кВ от оп. №123 ВЛ-10 кВ № 910-1106 ПС 35/10 кВ «А-9», ТП-10/0,4 кВ, ВЛИ-0,4 кВ, для электроснабжения склада заявителя Алоян А.В., ул. Победы, г. Азов, Азовский район Ростовская область (ориентировочная протяженность ЛЭП– 0,08 км, ориентировочная трансформаторная мощность – 0,250 МВА)</t>
  </si>
  <si>
    <t>Строительство ВЛ 10 кВ от опоры №172 ВЛ-10 кВ №105Н ПС 110/6/10 кВ «НС-1» и установка системы учета электрической энергии (мощности) на границе земельного участка для электроснабжения жилого дома заявителя Чистяковой М.М., х.Шмат Азовского района, Ростовская область (ориентировочная протяженность ЛЭП– 0,07 км)</t>
  </si>
  <si>
    <t>Строительство ВЛИ 0,4 кВ от опоры 25-104 технически перевооружаемой ВЛ 0,4 №3 КТП 10/0,4 кВ №25 ВЛ 10кВ №1815 ПС 35/10 кВ А-18 и установка коммерческого учета электрической энергии (мощности) на границе земельного участка для электроснабжения лодочной станции заявителя Кривко И.А., х. Курган, Азовский район Ростовская область (ориентировочная протяженность ЛЭП – 0,410 км)</t>
  </si>
  <si>
    <t>Строительство ЛЭП 6 кВ от опоры № 47 по ВЛ 6 кВ №2301 ПС 35/6 кВ Правобережная, ТП 6/0,4 кВ, ЛЭП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производства ООО «Рыболовецкая Артель Белый Амур», Ростовская область, Азовский район, х. Дугино (ориентировочная протяженность ЛЭП– 0,120 км, ориентировочная трансформаторная мощность – 0,250 МВА)</t>
  </si>
  <si>
    <t>Строительство ВЛ 10 кВ от оп. №3-38 по ВЛ 10кВ №716 ПС 110/35/10 кВ «Юбилейная», ТП 10/0,4 кВ, ВЛИ 0,4 кВ и установка системы учета электрической энергии (мощности) на границе земельного участка для электроснабжения административного здания заявителя ИП главы к(ф)х Оптовкина И.В., Ростовская область, Кагальницкий район, п. Воронцовка (ориентировочная протяженность ЛЭП– 0,06 км, ориентировочная трансформаторная мощность – 0,250 МВА)</t>
  </si>
  <si>
    <t>Строительство ЛЭП-10 кВ от оп. 10 кВ №128 по ВЛ-10кВ №3214 ПС 110/35/10 кВ «А-32», ТП-10/0,4 кВ, ЛЭП-0,4 кВ и системы учета электрической энергии (мощности) на границе земельного участка для электроснабжения склада заявителя ИП Гончарова Н.С., х.Красная Заря, Азовский район Ростовская область (ориентировочная протяженность ЛЭП– 0,930 км, ориентировочная трансформаторная мощность – 0,063 МВА)</t>
  </si>
  <si>
    <t>Строительство участка ВЛ-10 кВ от опоры №73 ВЛ-10 кВ №6 ПС 110/35/10 кВ Большовская, с установкой ТП-10/0,4 кВ и строительство ВЛИ-0,4 кВ от РУ-0,4 кВ вновь установленной ТП-10/0,4 кВ  для присоединения животноводческого помешения ООО «Купец-Дон», расположенного по адресу: Ростовская область, Волгодонской район, х. Морозов, 6 км. по направлению на северо-восток от х. Морозов, к.н. 61:08:0600301:167 (ориентировочная протяженность ЛЭП 4,53 км, ориентировочная мощность трансформатора 63 кВА</t>
  </si>
  <si>
    <t>Строительство участка ВЛИ-0,4 кВ от опоры № 1/5 ВЛ-0,4кВ №1 КТП-8560/100кВА ВЛ-6 кВ №1 ПС 35/6 кВ НС-12 для присоединения жилого дома Сандаловой В.М., расположенного по адресу: Ростовская область, Волгодонской район, станица Романовская, снт. Юбилейное, кадастровый номер земельного участка:  61:08:0601901:989 (ориентировочная  протяженность ЛЭП 0,11 км)</t>
  </si>
  <si>
    <t>Строительство участка ВЛИ-0,4 кВ от опоры №2 ВЛ-0,4 кВ №1 КТП-8355/100 кВА ВЛ-6 кВ №1 ПС 35/6 кВ Потаповская для присоединения жилого дома Делидон Е.Я., расположенного по адресу: Ростовская область, Волгодонской район, х. Потапов, ул. Пушкина, д. 4, к.н. 61:08:040108:0207 (ориентировочная протяженность ЛЭП 0,37 км)</t>
  </si>
  <si>
    <t>Строительство участка ВЛИ-0,4 кВ от опоры вновь построенной ВЛИ-0,4 кВ (по договору ТП №61-1-17-00305369 от 26.04.2017г) от вновь смонтированной ТП-10/0,4 кВ по ВЛ-10 кВ №5 ПС 35/10 кВ Лозновская для присоединения жилого дома Кучкиной Л.Н. (ориентировочная протяженность ЛЭП 0,41 км)</t>
  </si>
  <si>
    <t>Строительство ВЛИ-0,4 кВ от РУ-0,4 кВ КТП-6449/100 кВА ВЛ-10 кВ №6 ПС 35/10 кВ Рисовая для присоединения пруда Кириченко П.П., расположенного по адресу: Ростовская область, Мартыновский район, х. Комаров, Комаровское сельское поселение, к.н. 61:20:0600017:1905 (ориентировочная протяженность ЛЭП 0,25 км)</t>
  </si>
  <si>
    <t>Строительство участка ВЛИ-0,4 кВ от опоры №1/3 ВЛ-0,4 кВ №1КТП-5111/25 кВА ВЛ-10 кВ №3 ПС 35/10 кВ Потапенковская для присоединения нежилого здания Трегубова Н.В., расположенного по адресу: Ростовская область, Заветинский район, вблизи х. Потапенко, к.н.61:11:0600009:25 (ориентировочная протяженность ЛЭП 0,75 км</t>
  </si>
  <si>
    <t>Строительство участка ВЛИ-0,4 кВ от опоры №16 ВЛ-0,4 кВ №3 КТП-8565/400 кВА по ВЛ-6 кВ №5 ПС 35/6 кВ НС-13 для присоединения склада для ремонта и хранения сельскохозяйственной техники Яйчени С.В., расположенного по адресу: Ростовская область, Волгодонской район, п. Саловский, ул. Луговая, 240 м. юго-западнее дома №12, к.н.  61:08:0600801:799 (ориентировочная протяженность ЛЭП 0,2 км)</t>
  </si>
  <si>
    <t>Строительство ВЛИ-0,4 кВ от РУ-0,4 кВ КТП-7055/100 кВА ВЛ-10 кВ №1 ПС 35/10 кВ Почтовская для присоединения ирригатора катушечного ИП главы К(Ф)Х Лобова С.Н., расположенного по адресу: Ростовская область, Константиновский район, примерно в 2,625 км по направлению на север от х. Кременский, к.н.61:17:600002:0551 (ориентировочная протяженность ЛЭП 1,14 км)</t>
  </si>
  <si>
    <t>Строительство участка ВЛ-10 кВ от опоры №6/115 ВЛ-10 кВ №7 ПС 35/10 кВ Кисилевская, с установкой ТП-10/0,4 кВ, и строительство ВЛИ-0,4 кВ от вновь установленной ТП-10/0,4 кВ  для присоединения объекта ИП главы К(Ф)Х Бердуновой В.В., расположенного по адресу: Ростовская область, Заветинский район, 21 км севернее с. Киселевка, к.н. 61:11:0600002:392 (ориентировочная протяженность ЛЭП 4,75 км, ориентировочная мощность трансформатора 250 кВА</t>
  </si>
  <si>
    <t>Строительство участка ВЛ-0,4кВ от опоры №1, ВЛ-0,4 кВ №1, КТП № 580, ВЛ-10кВ №3, ПС 35/10кВ «Краснодонецкая» для подключения жилого дома Линник Н.А., расположенного по адресу: Ростовская обл., Белокалитвинский р-н, х. Нижнесеребряковский, ул. Советская, д. 28 (ориентировочная протяженность ЛЭП – 0,452 км)</t>
  </si>
  <si>
    <t>Строительство участка ВЛ-0,4кВ от опоры № 9, ВЛ-0,4кВ №1, КТП №377, ВЛ-10кВ  №3, ПС 110/35/10/6кВ «К-4»,  для подключения строящихся жилых домов Кизиева А.А. и Кононовой Е.Н., расположенных по адресу: Ростовская обл., Каменский р-н, х. Старая Станица, ул. Космонавтов, д. №№ 20, 22 (ориентировочная протяженность ЛЭП – 0,165км)</t>
  </si>
  <si>
    <t>Строительство участка ВЛ-0,4 кВ от опоры № 1, ВЛ-0,4 кВ № 1 , КТП № 147, ВЛ-10 кВ № 4, ПС 35/10 кВ «Литвиновская» для подключения жилого дома Алексеенкова Н. Н., расположенного по адресу: Ростовская обл., Белокалитвинский р-н, х. Гусынка, ул. Хуторская, д. 21, (ориентировочная протяженность ЛЭП – 0,517 км)</t>
  </si>
  <si>
    <t>Строительство участка ВЛ-0,4 кВ от опоры № 1, ВЛ-0,4 кВ № 1 , КТП № 57, ВЛ-10 кВ № 2, ПС 110/10 кВ «Головокалитвинская » для подключения жилого дома Суслова А .И., расположенного по адресу: Ростовская обл., Белокалитвинский р-н, х. Ильинка, ул. Октябрьская, д.30, (ориентировочная протяженность ЛЭП – 0,342 км)</t>
  </si>
  <si>
    <t>Строительство участка ВЛ-0,4 кВ от опоры № 1, ВЛ-0,4 кВ №1 , КТП №703, ВЛ-6 кВ «Донец», ПС 110/6 кВ «Б-1», для подключения жилого дома Маратканова В.В., и коровника Лежнева А.Н., расположенных по адресу: Ростовская обл., Белокалитвинский р-н, х. Какичев, ул. Нагайская д. 23., к.н. № 61:04:0160501:142 и ул. Нагайская д. 25а., к.н. № 61:04:0160501:308 (ориентировочная протяженность ЛЭП – 0,594 км)</t>
  </si>
  <si>
    <t>Строительство участка ВЛ-0,4 кВ от РУ 0,4 кВ, КТП № 122 по ВЛ-10 кВ №3, Л-122, ПС 35/10 кВ «Каменская СХТ», для подключения магазина Бочарова С.С., расположенного по адресу: Ростовская обл., Каменский р-н, х. Старая Станица, 500 м юго-восточнее х. Старая Станица и 30 м вправо от автодороги Старая Станица - М-4 Дон к.н. 61:15:0130106:15. (ориентировочная протяженность ЛЭП – 0,259 км)</t>
  </si>
  <si>
    <t>Строительство участка ВЛ-0,4 кВ от РУ 0,4 кВ, КТП №27, ВЛ-10 кВ  №4, ПС 110/35/10 кВ «Милютинская», для подключения жилого дома Джабраиловой С.М., расположенного по адресу: Ростовская обл., Милютинский р-н, х. Терновой, ул. Свистуновка  д.1, к.н.  61:23:0030601:10 (ориентировочная протяженность ЛЭП – 0,955 км)</t>
  </si>
  <si>
    <t>Строительство участка ВЛ-0,4 кВ от КТП № 356, ВЛ-10 кВ № 1, ПС 35/10кВ «Тарасовская СХТ», для подключения БС №61-02874 ПАО «Мобильные ТелеСистемы» расположенного по адресу: Ростовская обл., Тарасовский р-н, х.Каюковка, Дячкинское сельское поселениее, к.н. 61:37:0030501:805 (ориентировочная протяженность ЛЭП – 0,95 км)</t>
  </si>
  <si>
    <t>Строительство участка ВЛ-0,4кВ от АВ-0,4 кВ №1, КТП № 166, ВЛ-10кВ №1, ПС 35/10кВ «Литвиновская» для подключения коровника ИП Караханяна Ю.М., расположенного по адресу: Ростовская обл., Белокалитвинский р-н, примерно 1800 метров на юго-запад от западной границы х.Титов, к.н. 61:04:0600006:5150 (ориентировочная протяженность ЛЭП – 0,151 км)</t>
  </si>
  <si>
    <t>150</t>
  </si>
  <si>
    <t>Строительство участка ВЛ-0,4кВ от АВ 0,4кВ № 1, КТП№522 ВЛ-10кВ №2 Л-СП-3, ПС 110/10кВ «Богатовская ПТФ», для подключения строящегося коровника Хорошева А.А., расположенного по адресу: Ростовская обл., Белокалитвинский р-н, в 1000 метров от ориентира пункт триангуляции «Бурун» по направлению на северо-восток (ориентировочная протяженность ЛЭП – 0,189 км)</t>
  </si>
  <si>
    <t>Строительство участка ВЛ-0,4 кВ от опоры № 1, ВЛ-0,4 кВ № 1,  КТП 116, ВЛ 10 кВ № 4, ПС 110/10 кВ «Головокалитвинская», для подключения строящегося коровника ИП Бондаревой Н.Н., расположенного по адресу: Ростовская обл., Белокалитвинский р-н, х. Кононов., КН № 61:04:0600004:246 (ориентировочная протяженность ЛЭП – 0,370 км)</t>
  </si>
  <si>
    <t>Строительство участка ВЛ-0,4 кВ от опоры № 10, ВЛ-0,4 кВ № 2, КТП 423, ВЛ 10 кВ № 3, ПС 35/10 кВ «Нижнепоповская», для подключения нежилого здания Таракановой И.А., расположеннго по адресу: Ростовская обл., Белокалитвинский р-н, п. Сосны., К/С Дружный, участок №12, КН № 61:47:0010220:256 (ориентировочная протяженность ЛЭП – 0,372 км)</t>
  </si>
  <si>
    <t>Строительство участка ВЛ-0,4 кВ от опоры № 11, ВЛ-0,4 кВ № 1,  КТП 357, ВЛ 6 кВ «Курский карьер», ПС 110/35/6 кВ «Б-2», для подключения жилого здания Калманович Н.В., расположенного по адресу: Ростовская обл., Белокалитвинский р-н, х. Крутинский., ул. Победы, дом №1, КН № 61:04:0130101:113 (ориентировочная протяженность ЛЭП – 0,307 км)</t>
  </si>
  <si>
    <t>Строительство участка ВЛ-0,4 кВ от КТП №120 ВЛ-10кВ №5 ПС 35/10 кВ «Калач-Куртлакская», для подключения свинарника ИП  Арутюняна В.Х., расположенного по адресу: Ростовская обл., Советский р-н, примерно в 0,5 км на запад от ориентира сл. Петрово, к.н. №61:36:0600003:326 (ориентировочная протяженность ЛЭП – 0,4 км)</t>
  </si>
  <si>
    <t>Строительство участка ВЛ-0,4 кВ от КТП № 31, ВЛ-10 кВ № 6, ПС 110/35/10 кВ «Обливская-1» для подключения стадиона Администрации Обливского сельского поселения, расположенного по адресу: Ростовская обл., Обливский р-н, ст. Обливская, ул. Калиманова, д.1. к.н. 61:27:0070147:169:20 (ориентировочная протяженность ЛЭП – 0,314 км)</t>
  </si>
  <si>
    <t>Строительство участка ВЛ-0,4 кВ от КТП № 2, ВЛ-10 кВ № 3, ПС 35/10 кВ «Алифановская», для подключения строящегося здания ИП Партышев М.Ю., расположенного по адресу: Ростовская область, Тацинский район, х. Маслов, в 1,2 км на юго-запад от х. Маслов, к.н. 61:38:0600004:38 (ориентировочная протяженность ЛЭП – 0,22 км, прибор учёта электроэнергии - 1шт)</t>
  </si>
  <si>
    <t>'Строительство участка ВЛ-10кВ от опоры № 50, отпайки Л-367, ВЛ-10кВ № 2, ПС 35/10кВ «Знаменская»,  ТП 10/0,4кВ и участка ВЛ-0,4кВ от РУ-0,4кВ проектируемого ТП 10/0,4кВ для подключения производственной фермы ООО «Молочные реки» расположенной по адресу: Ростовская обл., Милютинский р-н, х. Приходько-Придченский, ул. Петровка, д. 5, корп. 1 (ориентировочная протяженность ЛЭП – 0,060 км, ориентировочная мощность ТП – 0,160 МВА)</t>
  </si>
  <si>
    <t>115</t>
  </si>
  <si>
    <t>Строительство участка ВЛ-0,4 кВ от опоры № 11, ВЛ-0,4 кВ №1, от проектируемого КТП 10/0,4 кВ, ВЛ-10 кВ №4, ПС 35/10 кВ «Советская-1», ТП 10/0,4 кВ для подключения площадки для хранения техники ГУП РО « РостовАвтоДор», расположенной по адресу: Ростовская обл., Советский р-н, примерно в 0,01км по направлению на юго-запад от ориентира ст. Советская к.н. № 61:36:0600002:404 (ориентировочная протяженность ЛЭП – 0,055 км, ориентировочная трансформаторная мощность 63 кВА)</t>
  </si>
  <si>
    <t>Строительство участка ВЛ-0,4 кВ от опоры № 42, ВЛ-0,4 кВ № 2, КТП № 20, ВЛ- 10 кВ №5, ПС 110/35/10 кВ «Милютинская», для подключения жилого дома Зубова О.Н., расположенного по адресу: Ростовская область, Милютинский район, х. Широкий Лог, ул. Казачья, д. 34, к.н. 61:23:0030901:94 (ориентировочная протяженность ЛЭП – 0,360 км)</t>
  </si>
  <si>
    <t>Строительство участка ВЛ-0,4 кВ от опоры № 1, ВЛ-0,4 кВ № 2, КТП № 40, ВЛ- 10 кВ №5, ПС 110/35/10 кВ «Милютинская», для подключения жилого дома Щур Ю.И.,   расположенного по адресу: Ростовская область, Милютинский район, х. Сулинский, ул. Транспортная, д. 9, к.н. 61:23:0010101:2 (ориентировочная протяженность ЛЭП – 0,350 км)</t>
  </si>
  <si>
    <t>Строительство участка ВЛ-0,4 кВ от опоры № 13, ВЛ-0,4 кВ № 1, КТП № 205, ВЛ- 10 кВ №1, ПС 35/10 кВ «Митякинская», для подключения зерносклада ИП главы К(Ф)Х Калинкиной С.А., расположенного по адресу: Ростовская область, Тарасовский район, х. Верхний Митякин, ул. Заречная, д. 161а, к.н. 61:37:0060101:566 (ориентировочная протяженность ЛЭП – 0,4 км)</t>
  </si>
  <si>
    <t>Строительство участка ВЛ-0,4кВ от опоры № 1, ВЛ-0,4кВ №1, КТП№208, ВЛ-10кВ №3, ПС 35/10кВ «Литвиновская», для подключения жилого дома Рубашкиной Д.А., расположенного по адресу: Ростовская обл., Белокалитвинский р-н, х. Кочевань, ул. Мира д.4. (ориентировочная протяженность ЛЭП – 0,571км)</t>
  </si>
  <si>
    <t>Строительство участка ВЛ-0,4кВ от опоры № 1, ВЛ-0,4кВ №1, КТП№905 ВЛ-10кВ №4 ПС 35/10кВ «Грушевская» для подключения жилого дома Мишева Р.В., расположенного по адресу: Ростовская обл., Белокалитвинский р-н, х. Чернышев, ул. Центральная д.9 (ориентировочная протяженность ЛЭП – 408км)</t>
  </si>
  <si>
    <t>Строительство участка ВЛ-0,4кВ от опоры №1, ВЛ-0,4кВ №1, КТП №515, ВЛ-10кВ №2 Л-СП-3, ПС 110/10кВ «Богатовская ПТФ», для подключения жилых домов Талаховой В.Ф, Прытковой А.М, Алентьева Ф.Ф.  расположенных по адресу: Ростовская область, Белокалитвинский район, х. Богатов, ул. Солнечная, дом № 6 к.н.з.у. 61:04:0080202:131; ул. Береговая, дом № 1 к.н.з.у 61:04:0080203:103; ул. Береговая, дом № 9 к.н.з.у 61:04:0080203:218 (ориентировочная протяженность ЛЭП-0,640 км)</t>
  </si>
  <si>
    <t>Строительство ВЛ-10 кВ от опоры №6/4/3/59 по ВЛ-10 кВ №6 ПС 35/10 кВ "Боковская" с установкой КТП и строительством 2-х ВЛ-0,4 кВ, установка приборов учета электрической энергии (мощности) в точках поставки и установка шкафов (0,22 и 0,4 кВ) с коммутационными аппаратами, для технологического присоединения жилых домов Заявителей, расположенныж в  Ростовская область, Боковский р-н, ст. Боковская, пер. Абрикосовый, (ориентировочная протяженность ЛЭП- 0,92 км, ориентировочная мощность ТП- 0,4 МВА, количество приборов учета 0,22 кВ- 3 шт., 0,4 кВ- 16 шт.)</t>
  </si>
  <si>
    <t xml:space="preserve">Строительство КТПН 10/0,4 кВ, ВЛ 10 кВ, ВЛ 0,4 кВ от ВЛ 10 кВ №107 ПС 110 кВ АС1 для электроснабжения ВРУ 0,4 кВ жилых домов в ст-це Ольгинская Аксайского района Ростовской области (ориентировочная мощность трансформатора 0,250 МВА, ориентировочная протяжённость ЛЭП 1,340 км)
</t>
  </si>
  <si>
    <t>Строительство ТП 10/0,4 кВ, ВЛ 10 кВ, ВЛ 0,4 кВ от ВЛ 10 кВ №107 ПС 110 кВ АС1 для электроснабжения нежилого помещения Рогальского А. В. на участке с КН 61:02:0040101:1978 в п. Дивный Аксайского района Ростовской области (ориентировочная мощность трансформатора 0,250 МВА, ориентировочная протяжённость ЛЭП 0,403км)</t>
  </si>
  <si>
    <t>Строительство ВЛ 0,4 кВ от ВЛ 0,4 кВ №2 КТП №114 ВЛ 10 кВ №701    ПС 35 кВ АС7 для электроснабжения ВРУ 0,4 кВ жилого дома Семененя     И. В. на участке с КН 61:02:0080601:1634 в п. Красный Аксайского района Ростовской области (ориентировочная протяжённость ЛЭП 0,135 км)</t>
  </si>
  <si>
    <t>Строительство ВЛ 0,4 кВ от РУ 0,4 кВ КТП №748 ВЛ 10 кВ №111 ПС 110 кВ АС1 для электроснабжения склада ИП Чепурнова К. А. по ул. Заводская, 33 в х. Маяковского Аксайского района Ростовской области (ориентировочная протяжённость ЛЭП 0,210 км)</t>
  </si>
  <si>
    <t>Строительство ТП 10/0,4 кВ, ВЛ 10 кВ, ВЛ 0,4 кВ от ВЛ 10 кВ №1208 ПС 110 кВ АС12 для электроснабжения кафе Осяк Т. А. по ул. Молодежная, 68Б в п. Рассвет Аксайского района Ростовской области (ориентировочная мощность трансформатора 0,160 МВА, ориентировочная протяжённость ЛЭП 0,060 км)</t>
  </si>
  <si>
    <t>Строительство ТП 6/0,4 кВ, ВЛ 0,4 кВ, ВЛ 6 кВ от ВЛ 6 кВ №807 ПС 35 кВ АС8 для электроснабжения песчаного карьера ООО “РЕКОНСТРУКТОР” на участке с КН 61:02:0600009:1155 в КСП им. М. Горького Аксайского района Ростовской области (ориентировочная мощность трансформатора 0,250 МВА, ориентировочная протяжённость ЛЭП 1,568 км)</t>
  </si>
  <si>
    <t>Строительство, ВЛ 0,4кВ от опоры № 12 ВЛ 0,4кВ № 2 КТП № 156 ВЛ 10кВ №125 ПС 110кВ СМ1 для электроснабжения земельных участков заявителей Морозова Ю.В., Прокофьева Т.В.  по адресу: Ростовская обл., р-н. Семикаракорский,ст-ца. Новозолотовская, примерно в 280 м по направлению на юго-восток от строения по адресу: ст-ца Новозолотовская, ул. Молодежная, 2, кадастровый номер земельных участков: 61:35:0060101:3801, 61:35:0060101:3804. (ориентировочная протяжённость ЛЭП 0,22км)</t>
  </si>
  <si>
    <t xml:space="preserve">Строительство ВЛ 0,4 кВ от РУ 0,4 кВ проектируемой КТПН 10/0,4 кВ (по договору №61-1-17-00346543 от 27.11.2017 г.) для электроснабжения ВРУ 0,4 кВ жилых домов по ул. Изумрудная, 4, 27 в пос. Темерницкий Аксайского района Ростовской области (ориентировочная  протяжённость ЛЭП 0,361 км)
</t>
  </si>
  <si>
    <t xml:space="preserve">Строительство ВЛ 0,4 кВ от ВЛ 0,4 кВ №1 КТП №253 ВЛ 10 кВ №2 ПС 35 кВ Б. Салы для электроснабжения жилого дома Клименко В. Н. на участке с КН 61:02:0600005:7242 в п. Темерницкий Аксайского района Ростовской области (ориентировочная протяжённость ЛЭП 0,420 км)
</t>
  </si>
  <si>
    <t>Строительство КТПН 10/0,4 кВ, ВЛ 0,4 кВ, ВЛ 10 кВ от ВЛ 10 кВ №105 ПС 110 кВ АС1 для электроснабжения жилых домов в х. Нижнеподпольный Аксайского района Ростовской области (ориентировочная мощность трансформатора 0,630 МВА, ориентировочная протяжённость ЛЭП 2,460 км)</t>
  </si>
  <si>
    <t xml:space="preserve">Строительство ВЛ 0,4 кВ от ВЛ 0,4 кВ №3 КТП №253 ВЛ 10 кВ №2 ПС 35 кВ Б. Салы для электроснабжения жилого дома Переверзева В. И. на участке с КН 61:02:0600005:5357 в п. Темерницкий Аксайского района Ростовской области (ориентировочная протяжённость ЛЭП 0,295 км)
</t>
  </si>
  <si>
    <t xml:space="preserve">Строительство ВЛ 0,4 кВ от проектируемой ВЛ 0,4 кВ №4 (по договору №61-1-21-00568375 от 31.03.2021 г.) от РУ 0,4 кВ ТП 10 кВ №275 ВЛ 10 кВ №3 ПС 35 кВ Б. Салы для электроснабжения ВРУ 0,4 кВ жилого дома Осипова В. А. на участке с КН 61:02:0600005:10006 в п. Темерницкий Аксайского района Ростовской области </t>
  </si>
  <si>
    <t>Строительство ВЛ 0,4 кВ №4 от РУ 0,4 кВ ТП 10 кВ №275 ВЛ 10 кВ №3 ПС 35 кВ Б. Салы для электроснабжения ВРУ 0,4 кВ жилого дома Скнарина И. Н. на участке с КН 61:02:0600005:10049 в п. Темерницкий Аксайского района Ростовской области (ориентировочная протяжённость ЛЭП 0,65 км)</t>
  </si>
  <si>
    <t xml:space="preserve">Строительство ВЛ 0,4 кВ от проектируемой ВЛ 0,4 кВ №3 (по договору №61-1-21-00568371 от 31.03.2021 г.) от РУ 0,4 кВ ТП 10 кВ №275 ВЛ 10 кВ №3 ПС 35 кВ Б. Салы для электроснабжения ВРУ 0,4 кВ жилого дома Тарасова С. С. на участке с КН 61:02:0600005:9982 в п. Темерницкий Аксайского района Ростовской области </t>
  </si>
  <si>
    <t>Строительство ВЛ 0,4 кВ №3 от РУ 0,4 кВ ТП 10 кВ №275 ВЛ 10 кВ №3 ПС 35 кВ Б. Салы для электроснабжения ВРУ 0,4 кВ жилого дома Угрюмова Л. В. на участке с КН 61:02:0600005:9984 в п. Темерницкий Аксайского района Ростовской области (ориентировочная протяжённость ЛЭП 0,511 км)</t>
  </si>
  <si>
    <t>Строительство ВЛ 0,4 кВ от КТП 10/0,4 кВ № 46 ВЛ 10 кВ № 157 ПС 110 кВ В1 для электроснабжения магазина ЗАО «Красный Октябрь» на участке с КН 61:06:0010125:465 в п. Веселый, ул. Октябрьская, д. 124, Веселовского района, Ростовской области (ориентировочная протяжённость ЛЭП 0,27 км)</t>
  </si>
  <si>
    <t xml:space="preserve">Строительство двух КТПН 10/0,4 кВ, ВЛ 0,4 кВ, ВЛ 10 кВ от проектируемой ВЛ 10 кВ (по договору №61-1-18-00413825 от 03.12.2018 г.) от ВЛ 10 кВ №1203 ПС 110 кВ АС12 для электроснабжения ВРУ 0,4 кВ жилых домов Кочиева А. Ф. в совх. Каменобродский Родионово-Несветайского района Ростовской области </t>
  </si>
  <si>
    <t>Строительство ТП 6/0,4 кВ, ВЛ 6 кВ, ВЛ 0,4 кВ от проектируемой ВЛ 6 кВ (по договору №61-1-18-00410909) от ВЛ 6 кВ №305 ПС 35 кВ АС3 для электроснабжения нежилого помещения ИП Телегина С. Е. по ул. Атаманская, 24 в г. Аксае Аксайского района Ростовской области (ориентировочная мощность трансформатора 0,250 МВА, ориентировочная протяжённость ЛЭП 0,170 км)</t>
  </si>
  <si>
    <t>Строительство ВЛ 0,4 кВ от ВЛ 0,4 кВ КТП №516 ВЛ 6 кВ №340 ПС 110 кВ БТ3 для электроснабжения ВРУ 0,4 кВ жилого дома Ярушниковой Т. И. на участке с КН 61:02:0130201:3823 в пос. Красный Сад Азовского района Ростовской области (ориентировочная протяжённость ЛЭП 0,494 км)</t>
  </si>
  <si>
    <t xml:space="preserve">Техническое перевооружение проектируемой КТПН 6/0,4 кВ (по договорам №61-1-19-00472979, №61-1-19-00473047 от 01.10.2019 г.) ВЛ 6 кВ №3 РП6 КЛ 6 кВ №340 ПС 110 кВ БТ3 с заменой силового трансформатора и строительством ВЛ 0,4 кВ для электроснабжения жилых домов Матвиенко Д. С. в п. Красный Сад Азовского района Ростовской области </t>
  </si>
  <si>
    <t>Строительство ВЛ 0,4 кВ от проектируемой ВЛ 0,4 кВ (по договору №61-1-19-00426411 от 14.02.2019 г.) проектируемой КТПН 10/0,4 кВ ВЛ 10 кВ №706 ПС 35 кВ АС7 для электроснабжения ВРУ 0,4 кВ жилых домов по ул. Мелиховская, 81, ул. Вешенская, 46 в п. Красный Колос Аксайского района Ростовской области</t>
  </si>
  <si>
    <t>Строительство ВЛ 0,4 кВ от проектируемой ВЛ 0,4 кВ (по договору №61-1-19-00426411 от 14.02.2019 г.) проектируемой КТПН 10/0,4 кВ ВЛ 10 кВ №706 ПС 35 кВ АС7 для электроснабжения ВРУ 0,4 кВ жилого дома Фролова В. Н. по ул. Станичная, 43 в п. Красный Колос Аксайского района Ростовской области</t>
  </si>
  <si>
    <t>Строительство ВЛ 0,4 кВ от проектируемой ВЛ 0,4 кВ проектируемой КТПН 10/0,4 кВ (по договору №61-1-19-00461451 от 25.09.2019 г.) ВЛ 10 кВ №1203 ПС 110 кВ АС12 для электроснабжения ВРУ 0,4 кВ жилых домов в х. Каменный Брод Родионово-Несветайского района Ростовской области</t>
  </si>
  <si>
    <t xml:space="preserve">Техническое перевооружение КТП №413 ВЛ 10 кВ №1003 ПС 110 кВ АС10 с заменой силового трансформатора и строительством ВЛ 0,4 кВ для электроснабжения ВРУ 0,4 кВ жилого дома Пимкина И. Ф. по ул. Подтелкова, 11А в ст. Грушевская Аксайского района Ростовской области </t>
  </si>
  <si>
    <t>Строительство ВЛ 0,4 кВ от РУ 0,4 кВ проектируемых КТПН 10/0,4 кВ (по договорам №61-1-19-00461317, №61-1-19-00461535 от 25.09.2019 г.) ВЛ 10 кВ №1203 ПС 110 кВ АС12 для электроснабжения ВРУ 0,4 кВ жилых домов в Родионово-Несветайском районе Ростовской области</t>
  </si>
  <si>
    <t>Техническое перевооружение КТП 10/0,4 кВ № 48, ВЛ 10 кВ №158 ПС 110 кВ В1 с  заменой силового трансформатора и строительством ВЛ 0,4 кВ для электроснабжения магазина ИП Моржуковой Е.В. на участке с КН 61:06:0010125:406 в п. Веселый, ул. Ленинская, д. 83,  Веселовского района, Ростовской области (ориентировочная мощность трансформатора 0,250 МВА, ориентировочная протяжённость ЛЭП 0,04 км)</t>
  </si>
  <si>
    <t>Строительство ВЛ 10 кВ от ВЛ 10 кВ №802 ПС 35 кВ В-8 для электроснабжения насосной станции  АО «Шахаевское» на участке с КН 61:06:0600008:328 в Веселовском районе Ростовской области, Верхнесоленовское сельское поселение (ориентировочная протяжённость ЛЭП 0,17 км)</t>
  </si>
  <si>
    <t>Строительство ТП 6/0,4 кВ, ВЛ 0,4 кВ, ВЛ 6 кВ от проектируемой ВЛ 6 кВ (по договору №61-1-18-00411669 от 10.12.2018 г.) от ВЛ 6 кВ №807 ПС 35 кВ АС8 для электроснабжения нежилого здания ООО «Строительно-монтажная компания Интер» по ул. Калинина, 74Б в х. Большой Лог Аксайского района Ростовской области (ориентировочная мощность трансформатора 0,250 МВА, ориентировочная протяжённость ЛЭП 0,065 км)</t>
  </si>
  <si>
    <t xml:space="preserve">Техническое перевооружение проектируемой КТПН 6/0,4 кВ (по договору №61-1-17-00302075 от 16.03.2017 г.) с заменой силового трансформатора и строительством ВЛ 0,4 кВ для электроснабжения ВРУ 0,4 кВ жилых домов по ул. Космическая, Планетная в п. Российский Аксайского района Ростовской области </t>
  </si>
  <si>
    <t xml:space="preserve">Техническое перевооружение проектируемой КТПН 6/0,4 кВ (по договору №61-1-19-00468643 от 05.09.2019 г.) ВЛ 6 кВ №3 РП6 КЛ 6 кВ №340 ПС 110 кВ БТ3 с заменой силового трансформатора и строительством ВЛ 0,4 кВ для электроснабжения жилых домов в п. Красный Сад Азовского района Ростовской области </t>
  </si>
  <si>
    <t xml:space="preserve">Строительство ВЛ 0,4 кВ от РУ 0,4 кВ КТП №520 ВЛ 6 кВ №3 РП-6 КЛ 6 кВ №340 ПС 110 кВ БТ3 для электроснабжения ВРУ 0,4 кВ жилых домов Марченко А.Г. в п. Красный Сад Азовского района Ростовской области (ориентировочная протяжённость ЛЭП 2,113 км)
</t>
  </si>
  <si>
    <t xml:space="preserve">Строительство ВЛ 0,4 кВ от ВЛ 0,4 кВ №3 техперевооружаемой КТП №292 (по договору №61-1-19-00486219 от 03.12.2019 г.) ВЛ 6 кВ №804 ПС 35 кВ АС8 для электроснабжения ВРУ 0,4 кВ жилых домов по ул. Миндальная, ул. Ясная в п. Российский Аксайского района Ростовской области (ориентировочная протяжённость ЛЭП 0,303 км)
</t>
  </si>
  <si>
    <t xml:space="preserve">Строительство ВЛ 0,4 кВ от конечной проектируемой опоры ВЛ 10 кВ (по договору № 61-1-19-00461451 от 25.09.2019г.) ВЛ 10 кВ №1203 ПС 110/10 кВ АС 12 для электроснабжения ВРУ 0,4 кВ жилого дома Мугу П.Д. на участке с КН 61:33:0600015:959, Родионово-Несветайском районе Ростовской области </t>
  </si>
  <si>
    <t xml:space="preserve">Строительство ВЛ 0,4 кВ от проектируемой ВЛ 0,4 кВ проектируемой КТПН 10/0,4 кВ (по договору №61-1-19-00461385 от 25.09.2019 г.) ВЛ 10 кВ №1203 ПС 110 кВ АС12 для электроснабжения ВРУ 0,4 кВ жилого дома Смагиной М. В. в Родионово-Несветайском районе Ростовской области </t>
  </si>
  <si>
    <t>Строительство ВЛ 0,4 кВ от проектируемой ВЛ 0,4 кВ (по договору №61-1-19-00444581 от 03.06.2019 г.) КТП №72 ВЛ 6 кВ №804 ПС 35 кВ АС8 для электроснабжения ВРУ 0,4 кВ жилого дома Кузьменко С. Ю. по пер. Солнечный, 13 в п. Российский Аксайского района Ростовской области</t>
  </si>
  <si>
    <t xml:space="preserve">Строительство ТП 10/0,4 кВ, ВЛ 0,4 кВ, ВЛ 10 кВ от ВЛ 10 кВ №1103 ПС 110 кВ АС11 для электроснабжения ВРУ 0,4 кВ жилых домов в с/х КСП им. М. Горького Аксайского района Ростовской области (ориентировочная мощность трансформатора 0,063 МВА, ориентировочная протяжённость ЛЭП 0,847 км)»
</t>
  </si>
  <si>
    <t xml:space="preserve">Строительство КТПН 10/0,4 кВ, ВЛ 0,4 кВ, ВЛ 10 кВ от ВЛ 10 кВ №101 ПС 110 кВ АС1 для электроснабжения ВРУ 0,4 кВ жилых домов по ул. Лесная, ул. Степана Разина в ст-це Ольгинская Аксайского района Ростовской области (ориентировочная мощность трансформатора 0,400 МВА, ориентировочная протяжённость ЛЭП 0,634 км)
</t>
  </si>
  <si>
    <t xml:space="preserve">Строительство ВЛ 0,4 кВ от РУ 0,4 кВ проектируемой КТПН 10/0,4 кВ (по договору №61-1-20-00509791 от 14.04.2020 г.) ВЛ 10 кВ №101 ПС 110 кВ АС1 для электроснабжения ВРУ 0,4 кВ жилого дома Резникова Р. А. на участке с КН 61:02:0600015:7082 в ст-це Ольгинская Аксайского района Ростовской области </t>
  </si>
  <si>
    <t>Техническое перевооружение КТП №128 ВЛ 10 кВ №313 ПС 35/10 кВ КГ-3 с заменой силового трансформатора и строительство ВЛИ- 0,4 кВ от опоры №128-97 ВЛ 0,4 кВ №5 КТП №128 ВЛ 10 кВ №313 ПС 35/10 кВ КГ-3 для электроснабжения ВРУ 0,4 кВ жилого дома Шередекина Ю.Н. ст-ца Кировская, Кагальницкий район, Ростовская область (ориентировочная протяжённость ЛЭП- 0,25 км, ориентировочная мощность трансформатора 0,250 МВА)</t>
  </si>
  <si>
    <t>Техническое перевооружение КТП 10/0,4кВ №121 ВЛ-10кВ №1907 РП-19 ПС 110/35/10кВ «Самарская" с заменой силового трансформатора, строительство ВЛИ- 0,4кВ от оп. №121-29 по ВЛ-0,4кВ №2 перевооружаемой ТП 10/0,4кВ №121 ВЛ-10кВ №1904 РП-19 ПС 110/35/10кВ «Самарская" для электроснабжения магазина ИП Мироненко А.М., с. Новотроицкое Азовский район, Ростовская область (ориентировочная протяжённость ЛЭП 0,06км, ориентировочная мощность трансформатора 0,25МВА)</t>
  </si>
  <si>
    <t>Строительство ВЛ 0,4 кВ от проектируемой опоры ВЛ 0,4 кВ вновь установленной ТП 10/0,4 кВ (по договору №61-1-17-00354081 от 11.01.2018г.) по ВЛ 10 кВ №106Н ПС 110/6/10 кВ НС-1 для подключения жилого дома заявителя Вахабовой Э.А., Азовский район Ростовская область (ориентировочная протяженность ЛЭП - 0.100 км)</t>
  </si>
  <si>
    <t>Строительство ВЛ-0,4 кВ от РУ-0,4 кВ КТП 10/0,4 кВ №66 ВЛ-10кВ №3127 ПС 110/35/10 кВ А-31 для подключения магазина заявителя Требушнего К.В. с. Займо-Обрыв, Азовский район, Ростовская область (ориентировочная протяженность ЛЭП - 0.330 км)</t>
  </si>
  <si>
    <t>Строительство ВЛ-10 кВ от проектируемой опоры 10 кВ (по договору №61-1-18-00360099 от 13.04.2018 г.) по ВЛ 10 кВ №910-1106 ПС 35/10 кВ А-9, строительство ТП-10/0,4 кВ, строительство ВЛИ-0,4 кВ, для электроснабжения магазина заявителя ИП Кремешова Ю.Н. г.Азов, Ростовская область (ориентировочная протяженность ЛЭП– 1,01 км, ориентировочная трансформаторная мощность – 0,160 МВА)</t>
  </si>
  <si>
    <t xml:space="preserve">Строительство ВЛ-10 кВ от проектируемой опоры (по договору № 61-1-19-00428379 от 27.02.2019г.) ВЛ-10 кВ № 907-1106 ПС 35/10 кВ А-9, ТП-10/0,4 кВ, ВЛИ-0,4 кВ, для электроснабжения магазина ООО «Гермес» г.Азов Ростовская область (ориентировочная протяженность ЛЭП– 0,280 км, ориентировочная трансформаторная мощность – 0,250МВА) </t>
  </si>
  <si>
    <t>Техническое перевооружение КТП 6/0,4 кВ №352 ВЛ-6 кВ № 207Н ПС 110/6/10 кВ «НС-2» с заменой силового трансформатора, строительство ВЛИ- 0,4 кВ от опор №352-36, №352-6 от КТП 6/0,4 кВ №352 ВЛ-6 кВ № 207Н ПС 110/6/10 кВ «НС-2» для электроснабжения участков Уварова И.А., Ильминской Т.А., Чуприной Т.И., Овчинникова Е.Н., Рогачевой З.А., СНТ «Квант» Азовский района, Ростовская область (ориентировочная протяжённость ЛЭП- 0,395 км, ориентировочная мощность трансформатора 0,400 МВА)</t>
  </si>
  <si>
    <t>'Строительство ТП-10/0,4 кВ от оп. №7 ВЛ 10 кВ №915 ПС 35/10 А-9, строительство участка ВЛ-0,4 кВ для подключения системы орошения заявителя Оганисяна А.С., Азовский район Ростовская область (ориентировочная протяженность ЛЭП – 0,03 км, ориентировочная трансформаторная мощность – 0,16 МВА)</t>
  </si>
  <si>
    <t>Строительство ТП-10/0,4 кВ, от оп. №15 ВЛ 10 кВ №609 ПС 35/10 кВ «А-6», ВЛИ-0,4 кВ для электроснабжения врачебной амбулатории МБУЗ «ЦРБ» Азовского р-на с. Маргаритово, Азовский район, Ростовская область (ориентировочная протяженность ЛЭП– 0,03 км, ориентировочная трансформаторная мощность – 0,063 МВА)</t>
  </si>
  <si>
    <t xml:space="preserve">Строительство ЛЭП-10 кВ от оп. №1-60 ВЛ-10 кВ № 1802 ПС 35/10 А-18, ТП-10/0,4 кВ, ЛЭП-0,4 кВ, для электроснабжения стройплощадки заявителя ИП Хаишбашян М.А. х. Рогожкино Азовский район Ростовская область (ориентировочная протяженность ЛЭП– 0,330 км, ориентировочная трансформаторная мощность – 0,250 МВА) </t>
  </si>
  <si>
    <t>'Строительство участка ВЛИ-0,4кВ от оп. №188-60 ВЛ-0,4 кВ №3 КТП 10/0,4 кВ №188 ВЛ-10 кВ 3125 ПС 110/35/10 кВ А-31 и установка шкафа 0,4 кВ с коммутационным аппаратом для электроснабжения жилого дома заявителя Соколова А.В., с. Пешково, Ростовская область (ориентировочная протяженность ЛЭП – 0,250 км)</t>
  </si>
  <si>
    <t>Строительство участка ВЛИ-0,4кВ от оп. №48-25 ВЛ-0,4кВ №2 КТП-10/0,4 кВ №48 ВЛ-10 кВ №1815 ПС 35/10 «А-18» и установка коммерческого учета электрической энергии (мощности) на границе земельного участка для электроснабжения жилого дома заявителя Кравченко О.Е., Рыболовецкий колхоз им. Ленина, Азовский р-он Ростовская область (ориентировочная протяженность ЛЭП – 0,220 км)</t>
  </si>
  <si>
    <t>«Техническое перевооружение ВЛ 0,4 кВ №1 от РУ 0,4 кВ КТП 10/0,4 кВ №2 до опоры №2-64 ВЛ 0,4 кВ №1 КТП 10/0,4 кВ №2 ВЛ 10кВ №606 ПС 35/10 кВ А-6 для электроснабжения жилого дома заявителя Мартынив Е.А., с. Порт-Катон, Азовский р-он Ростовская область (ориентировочная протяженность ЛЭП – 0,550 км)»</t>
  </si>
  <si>
    <t>Строительство участка ВЛИ-0,4кВ от РУ-0,4 кВ КТП 10/0,4 кВ №141 ВЛ-10кВ №802 ПС 35/10 кВ «А-8» и системы учета электрической энергии (мощности) на границе земельного участка для электроснабжения жилого дома заявителя Степанян А.Т., с.Семибалки, Азовский р-он Ростовская область (ориентировочная протяженность ЛЭП – 0,700 км)</t>
  </si>
  <si>
    <t>Строительство ЛЭП - 0,4 кВ совместным подвесом с ВЛ-10 кВ №1507 в пролете опор №23-14 &amp;#247; 23-21 ВЛ-0,4 №2 от ЗТП 10/0,4 кВ №23 по ВЛ-10 №1507 ПС 110/10 кВ ЗР-15 и установка коммерческого учета электрической энергии (мощности) для электроснабжения жилого дома Заявителя ИП Турбина В.В., Зерноградский район Ростовская область (ориентировочная протяженность ЛЭП– 0,300 км)</t>
  </si>
  <si>
    <t>Техническое перевооружение КТП 10/0,4 кВ №355 по ВЛ-10 кВ № 910 ПС 35/10 кВ «А-9» с заменой силового трансформатора, строительство ВЛИ - 0,4 кВ от оп. №355-3 ВЛ-0,4кВ №1 КТП-10/0,4 кВ №№355 ВЛ-10кВ №910 ПС 35/10 «А-9» и установка коммерческого учета электрической энергии (мощности) для электроснабжения жилых домов Заявителей Пивоваровой Н.К., Субботовой О.А., ДНТ «Южное», Азовский район Ростовская область (ориентировочная протяженность ЛЭП– 0,05 км, ориентировочная трансформаторная мощность – 0,063 МВА)</t>
  </si>
  <si>
    <t>Строительство участка ВЛИ-0,4кВ от оп. №128-10 ВЛ-0,4кВ №1 КТП-10/0,4 кВ №128 ВЛ-10 кВ №1815 ПС 35/10 «А-18» для электроснабжения жилого дома заявителя Ивченко А.А., в 850 м от ориентира ТП «Городище» по направлению на юго-восток, Азовский район, Ростовская область (ориентировочная протяженность ЛЭП – 0,300 км)</t>
  </si>
  <si>
    <t>Строительство участка ВЛИ 0,4кВ от РУ 0,4 кВ ТП 10/0,4 кВ №186 по ВЛ 10 кВ №3113 от ПС 110/35/10 кВ А-31 и системы учета электрической энергии (мощности) на границе земельного участка для электроснабжения магазина заявителя ИП Шапошниковой О.А., с. Пешково, Азовский район, Ростовская область (ориентировочная протяженность ЛЭП – 0,06 км)</t>
  </si>
  <si>
    <t>Строительство участка ВЛИ-0,4кВ от проектируемой ВЛ-0,4 кВ проектируемой ТП 10/0,4 кВ (по договору ТП № 61-1-19-00469845 от 01.10.2019 г.) ВЛ-10кВ №2412 ПС 35/10 кВ «А-24» и системы учета электрической энергии (мощности) на границе земельного участка для электроснабжения лодочной станции заявителя ИП Починок М.И., п. Топольки Ростовская область (ориентировочная протяженность ЛЭП – 0,380 км)</t>
  </si>
  <si>
    <t>Техническое перевооружение ВЛИ-0,4 кВ №3 от РУ-0,4кВ КТП-10/0,4 кВ №39 ВЛ-10 кВ №1908 РП-19 ПС 110/35/10 кВ «Самарская» и установка коммерческого учета электрической энергии (мощности) на границе земельного участка для электроснабжения жилого дома заявителя Терещенко А.А., х. Бурхановка, Азовский р-он Ростовская область (ориентировочная протяженность ЛЭП – 0,420 км)</t>
  </si>
  <si>
    <t>Строительство участка ВЛИ-0,4кВ от РУ-0,4кВ КТП-10/0,4 кВ №18 ВЛ-10 кВ №1815 ПС 35/10 кВ «А-18» и системы учета электрической энергии (мощности) на границе земельного участка для электроснабжения жилого дома заявителя Чернова Б.П., х. Курган, Азовский р-он Ростовская область (ориентировочная протяженность ЛЭП – 0,175 км)</t>
  </si>
  <si>
    <t>Строительство ВЛ 6 кВ от опоры № 15 по ВЛ 6кВ №10701 ПС 110/35/6 кВ А-1, ТП 6/0,4 кВ, ВЛИ 0,4 кВ и установка системы учета электрической энергии (мощности) на границе земельных участков для электроснабжения 4-х жилых домов заявителя Кудлай В.Н., г. Азов, Ростовская область (ориентировочная протяженность ЛЭП– 0,470 км, ориентировочная трансформаторная мощность – 0,040 МВА)</t>
  </si>
  <si>
    <t>Строительство КТПН 10/0,4 кВ, ВЛ 10 кВ, ВЛ 0,4 кВ от ВЛ 10 кВ №103 ПС 110 кВ АС1 для электроснабжения ВРУ 0,4 кВ жилого дома Кораблинова И. А. по ул. Ноябрьская, 34 в х. Островского Аксайского района Ростовской области</t>
  </si>
  <si>
    <t>Строительство ТП 6/0,4 кВ, ВЛ 0,4 кВ, ВЛ 6 кВ от ВЛ 6 кВ №807 ПС 35 кВ АС8 для электроснабжения песчаного карьера ООО “РЕКОНСТРУКТОР” на участке с КН 61:02:0600009:1155 в КСП им. М. Горького Аксайского района Ростовской области</t>
  </si>
  <si>
    <t xml:space="preserve">Строительство  КВЛ 10 кВ  от опоры №1/57  ВЛ 10 кВ №904  ПС 35 кВ СМ9 для электроснабжения (АГНКС)  на  земельном участке  заявителя ООО «Газпром газомоторное топливо» по адресу: Ростовская обл., р-н. Семикаракорский, установлено относительно ориентира, расположенного в границах участка, к.н.: 61:35:0600011:618 </t>
  </si>
  <si>
    <t xml:space="preserve">Строительство ВЛ 10 кВ от ВЛ 10 кВ №103 ПС 110 кВ АС1 для электроснабжения амбара на участке с КН 61:02:0600021:1865 в Аксайском районе Ростовской области (ориентировочная протяжѐнность
ЛЭП 1,5 км)
</t>
  </si>
  <si>
    <t>Строительство ТП 10/0,4 кВ, ВЛ 10 кВ, ВЛ 0,4 кВ от опоры №21 ВЛ 10 кВ №261 ПС 110 кВ БГ2 для электроснабжения земельного участка, предназначенного для размещения домов индивидуальной жилой застройки, Чернушенко А.Ю. на участке с к.н.61:03:0600005:389 по адресу: Ростовская область, Багаевский район, ст-ца Манычская, ул. Советская, д. 191</t>
  </si>
  <si>
    <t>Строительство ВЛ 10 кВ, ВЛ 6 кВ от ВЛ 10 кВ №1103 ПС 110 кВ АС11, ВЛ 6 кВ №806 ПС 35 кВ АС8 для электроснабжения складов ИП Юханова А. Ю. на участке с КН 61:02:0600009:2240 в с/х КСП им. М. Горького Аксайского района Ростовской области (ориентировочная протяжённость ЛЭП 2,657 км)</t>
  </si>
  <si>
    <t xml:space="preserve">Строительство ТП 10/0,4 кВ, ВЛ 0,4 кВ, ВЛ 10 кВ от ВЛ 10 кВ №261 ПС 110 кВ БГ2 для электроснабжения жилых домов по адресу: Ростовская область, Багаевский район, ст. Манычская, ул. Советская, к. н. 61:03:0040150:41, к. н. 61:03:0040150:31, к. н. 61:03:0040150:0032, к. н. 61:03:0040150:30, к. н. 61:03:0040150:0076 </t>
  </si>
  <si>
    <t>Строительство ВЛ 10 кВ от ВЛ 10 кВ №307 ПС 35 кВ В-3 для электроснабжения цеха грануляции  ИП Главы КФХ Убийко А. А. на участке с КН 61:06:0060517:8 в Веселовском районе Ростовской области, х. Свобода, ул. Трудовая, 9(ориентировочная протяжённость ЛЭП 0,02 км)</t>
  </si>
  <si>
    <t>Строительство ЛЭП-10 кВ от опоры №144 по ВЛ-10кВ №3129 от ПС 110/35/10 кВ «А-31», ТП-10/0,4 кВ, ЛЭП-0,4 кВ, для электроснабжения складов заявителей ИП Дорошенко И.И., ИП Главы КФХ Дорошенко Р.И., ИП Дорошенко И.И., с. Пешково, Азовский район Ростовская область (ориентировочная протяженность ЛЭП– 0,245 км, ориентировочная трансформаторная мощность – 0,630 МВА)</t>
  </si>
  <si>
    <t xml:space="preserve">Строительство ЛЭП-10 кВ от оп. 45-113 ВЛ-10 кВ №305 ПС 35/10 кВ «КГ-3», ТП-10/0,4 кВ, ЛЭП-0,4 кВ, для электроснабжения освещение дороги заявителя Министрерство транспорта, Ростовкая область, Кагальницкий район, (ориентировочная протяженность ЛЭП– 0,04 км, ориентировочная трансформаторная мощность – 0,025 МВА)  </t>
  </si>
  <si>
    <t>Строительство ВЛ-10 кВ от опоры № 98 по ВЛ-10 кВ № 1 ПС 110/35/10 кВ «Каргинская» с установкой КТП и строительством ВЛ-0,4 кВ, для технологического присоединения строящегося ЗАВа заявителя, Глава КФХ «Агрос» Сухарева Т.М., расположенного в Ростовской области, Боковский р-н, х. Латышев,  (61:05:0600003:570) (ориентировочная   протяженность ЛЭП – 0,087 км, ориентировочная мощность ТП – 0,250 МВА)</t>
  </si>
  <si>
    <t>«Техническое перевооружение КТП №82 ВЛ 10 кВ №1208 ПС 110 кВ АС12 с заменой силового трансформатора и строительством ВЛ 0,4 кВ для электроснабжения ВРУ 0,4 кВ жилых домов по ул. Радужная в п. Щепкин Аксайского района Ростовской области (ориентировочная мощность трансформатора 0,250 МВА, ориентировочная протяжённость ЛЭП 0,324 км)»</t>
  </si>
  <si>
    <t>Строительство ВЛ 0,4 кВ от РУ 0,4 кВ КТП №204 ВЛ 10 кВ №3 ПС 35 кВ Б. Салы для электроснабжения нежилых зданий ИП Тамбиевой Н. А. по ул. Лесная, 9Б в пос. Темерницкий Аксайского района Ростовской области (ориентировочная протяжённость ЛЭП 0,267 км)</t>
  </si>
  <si>
    <t xml:space="preserve">Строительство ВЛ 0,4 кВ от РУ 0,4 кВ ТП 10/0,4 кВ №1-25 ВЛ 10 кВ №1 ПС 110/35/10 кВ Чалтырь, для технологического присоединения подсобного хозяйства заявителя: (ООО «Столярный дом») по адресу: Ростовская область, Мясниковский район, х.  Красный Крым, участок №5 к.н.61:25:0600401:8317, (ориентировочная протяженность ЛЭП 0,48 км)
</t>
  </si>
  <si>
    <t>Строительство ВЛ-10 кВ от опоры №56 по ВЛ-10 кВ №4 ПС 35/10 кВ «Волошинская», для электроснабжения ТП 10/0,4кВ заявителя, Федеральная служба безопасности РФ, расположенного в Ростовской области, Миллеровский р-н, Волошинское сельское поселение, (61:22:0600017:677) (ориентировочная   протяженность ЛЭП – 0,02км)</t>
  </si>
  <si>
    <t>Строительство ВЛ-10 кВ от опоры №2/197 по ВЛ-10 кВ №3 ПС 110/35/10 кВ "Колодезянская", для электроснабжения БС №61-02865 заявителя ПАО "Мобильные ТелеСистемы", расположенной в Ростовской области, Миллеровский район, сл. Колодези (61:22:0600001:704) (ориентировочная протяженность ЛЭП-0,026км,)</t>
  </si>
  <si>
    <t>Строительство   ВЛ 10 кВ  от опоры №102 по ВЛ 10 кВ №5 ПС 35/10кВ «Поповская», строительство ПКУ на границе балансовой принадлежности, для технологического присоединения объекта сельскохозяйственного назначения заявителя,  Гончарова А.Е., расположенного в Ростовской области, Кашарский р-н, Поповское сельское поселение, с. Каменка  (61:16:0600003:203), (ориентировочная   протяженность ЛЭП – 0,01 км)</t>
  </si>
  <si>
    <t>Строительство ВЛ-10 кВ от опоры № 30/39 по ВЛ-10 кВ № 2 ПС 110/35/10 кВ «Колодезянская» с установкой КТП и строительством ВЛ-0,4 кВ, установка приборов учета электрической энергии (мощности) в точках поставки и установка шкафов (0,22 и 0,4 кВ) с коммутационными аппаратами, для технологического присоединения нежилого помещения, жилых домов Заявителей, расположенных в Ростовской области, Миллеровский р-н, сл. Колодези, ул. Кравченко, (ориентировочная   протяженность ЛЭП – 1,082 км, ориентировочная мощность ТП – 0,16 МВА, количество приборов учёта 0,22 кВ – 5 шт., 0,4 кВ – 3 шт.)</t>
  </si>
  <si>
    <t>Строительство ВЛ-10 кВ от опоры № 65/49 по ВЛ-10 кВ № 8 ПС 35/10 кВ «Ореховская», для электроснабжения АЗС №44 заявителя, ООО «БН-Юг», расположенного в Ростовской области, Миллеровский р-н, юго-восточная сторона х. Локтев, (61:22:0000000:976) (ориентировочная протяженность ЛЭП – 1,05 км)</t>
  </si>
  <si>
    <t>Строительство ТП 10/0,4 кВ, ВЛ 0,4 кВ, ВЛ 10 кВ от ВЛ 10 кВ №406 ПС 35 кВ БГ4 для электроснабжения жилого дома Зудина А.П. по адресу: Р.О., р-н. Багаевский, п. Садовый, территория Канал Б-г-р-3, д. 1 (ориентировочная мощность трансформатора 0,025 МВА, ориентировочная протяжённость ЛЭП 0,1 км)</t>
  </si>
  <si>
    <t>Строительство КТП 10/0,4 кВ, ВЛ 0,4 кВ, ВЛ 10 кВ от ВЛ 10 кВ №307 ПС 35 кВ БГ3 для электроснабжения ВРУ 0,4 кВ нежилого здания ИП Амирханян В.Ш. по адресу: Ростовская обл., р-н. Багаевский, х. Верхнеянченков, пер. Мирный, д. 30, к.н.: 61:03:0030301:59. (ориентировочная мощность трансформатора 0,16 МВА, ориентировочная протяжённость ЛЭП 0,035 км)</t>
  </si>
  <si>
    <t>Строительство двух КЛ 6 кВ от ПС 110/35/10/6 кВ «Очисные сооружения» для технологического присоединения Заявителя (ФГУП «Авиакомплект») по адресу: Ростовская область, г. Таганрог, площадь Авиаторов, 1, к.н. 61:58:0002501:65 (ориентировочная протяженность ЛЭП 4,88 км)</t>
  </si>
  <si>
    <t xml:space="preserve">Строительство двух КВЛ 10 кВ от ВЛ 10 кВ №806 ПС 110 кВ БОС, ВЛ 10 кВ №403 ПС 110 кВ АС4 для электроснабжения РТП 10 кВ ГК “Российские автомобильные дороги” на участке с КН 61:02:0600017:3370 в Аксайском районе Ростовской области </t>
  </si>
  <si>
    <t>Строительство КЛ-10 кВ от оп. №9 ВЛ-10кВ №808К ПС 110/10 кВ «БОС», ТП-10/0,4 кВ, ВЛИ-0,4 кВ, для электроснабжения насоса для полива заявителя Горобец А.А. Ростовская область, г. Батайск (ориентировочная протяженность ЛЭП– 0,210 км, ориентировочная трансформаторная мощность– 0,025 МВА</t>
  </si>
  <si>
    <t xml:space="preserve">Строительство ТП 10/0,4 кВ, ЛЭП 0,4 кВ, ЛЭП 10 кВ от ВЛ 10 кВ №406 ПС 110 кВ АС4 для электроснабжения нежилых застроек и складских зданий/помещений ИП Гулуа Р. З. в пос. АО «Родина» Аксайского района Ростовской области </t>
  </si>
  <si>
    <t>3.1.2.2.2.1</t>
  </si>
  <si>
    <t xml:space="preserve">Строительство КЛ 6 кВ от КЛ 6 кВ №214 (построенной по договору №61-1-15-00195001) ПС 110 кВ БТ2 для электроснабжения склада расположенного по адресу: г. Батайск, пер. Лесозащитный, д.26 к.н. 61:46:001201:490 </t>
  </si>
  <si>
    <t>Строительство КЛ 6 кВ от КЛ 6 кВ №31-44 ПС 110 кВ Р31 для электроснабжения производственного и складских помещений ООО «БРИЗ», расположенной по адресу: г. Ростов-на-Дону, ул. 2-я Луговая, д. 18б, КН 61:44:0062505:166</t>
  </si>
  <si>
    <t>Строительство ВЛ-10кВ от опоры №8-223 ВЛ-10кВ №901 ПС 35/10кВ А-9, ТП-10/0,4кВ, ВЛИ-0,4кВ для подключения полевого стана ИП главы К(Ф)Х Поплавного А.В. с. Высочино Азовский р-он, Ростовская область (ориентировочная протяженность ЛЭП – 0,060км, ориентировочная трансформаторная мощность – 0,160МВА)</t>
  </si>
  <si>
    <t>'Строительство КЛ-10 кВ от оп. №9 ВЛ-10кВ №808К ПС 110/10 кВ «БОС», ТП-10/0,4 кВ, ВЛИ-0,4 кВ, для электроснабжения насоса для полива заявителя Горобец А.А. Ростовская область, г. Батайск (ориентировочная протяженность ЛЭП– 0,210 км, ориентировочная трансформаторная мощность– 0,025 МВА)</t>
  </si>
  <si>
    <t xml:space="preserve">Строительство КТПН 6/0,4 кВ, ВЛ 0,4 кВ, ВЛ 6 кВ от ВЛ 6 кВ №804 ПС 35 кВ АС8 для электроснабжения ВРУ 0,4 кВ жилых домов по ул. Овражная, 19, 23 в х. Большой Лог Аксайского района Ростовской области (ориентировочная мощность трансформатора 0,04 МВА, ориентировочная протяжённость ЛЭП 0,19 км)
</t>
  </si>
  <si>
    <t>Строительство ВЛ-10 кВ от оп. 10 кВ оп. №177 по ВЛ-10кВ №3113 ПС 110/35/10 кВ «А-31», ТП-10/0,4 кВ, ВЛИ-0,4 кВ и установка системы учета электрической энергии (мощности) на границе земельного участка для электроснабжения хозяйственного помещения заявителя ООО «Органик Фудс Инвестмент», с.Пешково, Азовский район Ростовская область (ориентировочная протяженность ЛЭП– 0,180 км, ориентировочная трансформаторная мощность – 0,025 МВА)</t>
  </si>
  <si>
    <t>Строительство ТП-10/0,4, ВЛ-10 кВ от существующей оп. №1 отпайки к КТП 599 по ВЛ 10 кВ Сельхозтехника ПС Ш-39, и ВЛИ-0,4 кВ от вновь установленной ТП-10/0,4 кВ для присоединения объекта придорожного сервиса ИП Серхель Д.М., Октябрьский район, п. Персиановский, ул. Школьная, 43 (ориентировочная протяженность ЛЭП 0,015 км, ориентировочная мощность трансформатора 25 кВА)</t>
  </si>
  <si>
    <t>Строительство ВЛ 0,4 кВ от ВЛ 0,4 кВ №1 КТП №425 ВЛ 10 кВ №1109 ПС 110 кВ АС11 с заменой силового трансформатора КТП №425 ВЛ 10 кВ №1109 ПС 110 кВ АС11 для электроснабжения ВРУ 0,4 кВ жилого дома Денисова И. В. на участке с КН 61:02:0030301:608 в х. Веселый Аксайского района Ростовской области</t>
  </si>
  <si>
    <t>Строительство ВЛ 10 кВ от опоры №1-00/19 по ВЛ 10 кВ Л-1 Мелькомбинат, строительство КТП 10/0,4 и ВЛ 0,4 кВ для электроснабжения объекта – нежилое здание, расположенного по адресу: РФ, Ростовская область, Сальский р-н, п. Рыбасово, в кадастровом квартале  61:34:0600012 с условным центром в п. Рыбасово, к.н. 61:34:0600012:1577, заявитель  Будько С.И.» (Ориентировочная протяженность ЛЭП - 0,02 км, ориентировочная мощность ТП – 0,063 МВА)</t>
  </si>
  <si>
    <t>Строительство ТП 10/0,4 кВ для технологического присоединения нежилого здания (станция технического обслуживания) Заявителя (ИП Климова Е.А.), по адресу: Ростовская область, Матвеево-Курганский район, п. Матвеев Курган, ул. Придорожная д. 8. к.н. 61:21:0010161:435. (мощность силового трансформатора 63 кВА)</t>
  </si>
  <si>
    <t>Строительство ТП 10/0,4 кВ от опоры №5-17/6 ВЛ-10 кВ № 107Н ПС 110/6/10 кВ «НС-1», строительство ВЛИ-0,4 кВ, для электроснабжения нежилого помещения заявителя ООО «РусЭл» п.Овощной, Азовский район Ростовская область (ориентировочная протяженность ЛЭП– 0,03 км, ориентировочная трансформаторная мощность – 0,063 МВА)</t>
  </si>
  <si>
    <t>Техническое перевооружение ТП 10/0,4 кВ №5-3 по ВЛ 10 кВ №5 ПС 35/10 кВ Б.Салы для технологического присоединения производственной базы Заявителя (Гаричева Л.С.) по адресу: Ростовская область, Мясниковский район, с. Б.Салы, ул. Абовяна, д.48 к.н.  №61:25:0040101:5275 (мощность силового трансформатора 160 кВА)</t>
  </si>
  <si>
    <t>Строительство ВЛ-10 кВ от оп. №123 ВЛ-10 кВ № 910-1106 ПС 35/10 кВ «А-9», ТП-10/0,4 кВ, ВЛИ-0,4 кВ, для электроснабжения склада заявителя Алоян А.В., ул. Победы, г. Азов, Азовский район Ростовская область (ориентировочная протяженность ЛЭП– 0,08 км, ориентировочная трансформаторная мощность – 0,250 МВА)</t>
  </si>
  <si>
    <t>Строительство ТП 6/0,4 кВ, ВЛ 6 кВ, ВЛ 0,4 кВ от проектируемой ВЛ 6 кВ (по договору № 61-1-18-00410909) от ВЛ 6 кВ № 305 ПС 35 кВ АС 3 для электроснабжения нежилого помещения ИП Телегина С. Е. по ул. Атаманская, 24 в г. Аксае Аксайского района Ростовской области</t>
  </si>
  <si>
    <t xml:space="preserve">Строительство ТП 6/0,4 кВ, ВЛ 0,4 кВ, ВЛ 6 кВ от проектируемой ВЛ 6 кВ (по договору № 61-1-18-00411669 от 10.12.2018 г.) от ВЛ 6 кВ № 807 ПС 35 кВ АС 8 для электроснабжения нежилого здания ООО "Строительно-монтажная компания Интер" по ул. Калинина, 74 Б в х. Большой Лог Аксайского района Ростовской области </t>
  </si>
  <si>
    <t>Техническое перевооружение КТП 10/0,4 кВ №244 ВЛ 10 кВ №8 ПС 35/10 кВ «Покровская» с заменой силового трансформатора. для технологического присоединения нежилого здания Заявителя (Бабенко А.В.) по адресу: Ростовская область, Неклиновский район, с. Покровское, ул. О. Кошевого, 1, к.н. 61:26:0050101:198 (мощность силового трансформатора 250 кВА)</t>
  </si>
  <si>
    <t xml:space="preserve">Строительство ВЛ-10кВ от опоры №77 ВЛ-10кВ №1019 ПС 110/35/10кВ Самарская, ТП-10/0,4кВ, ВЛИ-0,4кВ, для электроснабжения объектов 7 заявителей х. Победа, Азовский район, Ростовская область (ориентировочная протяженность ЛЭП-0,510км, ориентировочная трансформаторная мощность-0,160МВА)  </t>
  </si>
  <si>
    <t xml:space="preserve">Строительство участка ВЛИ-0,4кВ от проектируемой ВЛ-0,4 кВ (по договору №61-1-20-00519721 от 07.08.2020г.) КТП 10/0,4 кВ №48 по ВЛ-10кВ №1815 ПС 35/10 кВ «А-18» и установка системы учета электрической энергии (мощности) на границе земельных участков для электроснабжения жилых домов заявителей Зарецкого А.В., Давыдовой А.В., Рыболовецкий колхоз им. Ленина, Азовский р-он Ростовская область (ориентировочная протяженность ЛЭП – 0,055 км) </t>
  </si>
  <si>
    <t xml:space="preserve">'Строительство ЛЭП-10 кВ от оп. 10 кВ №3-50 по ВЛ-10кВ №211 ПС 35/10 кВ «А-2», ТП-10/0,4 кВ, ЛЭП-0,4 кВ и установка системы учета электрической энергии (мощности) на границе земельного участка для электроснабжения склада заявителя ИП Балинской А.А., х.Новоалександровка, Азовский район Ростовская область (ориентировочная протяженность ЛЭП– 0,06 км, ориентировочная трансформаторная мощность – 0,250 МВА) </t>
  </si>
  <si>
    <t>Техническое перевооружение КТП 10/0,4 кВ №194 по ВЛ-10 кВ № 313 ПС 35/10 кВ «КГ-3» для электроснабжения магазина заявителя ИП Шульженко А.В., Кагальницкий район Ростовская область (ориентировочная трансформаторная мощность – 0,160 МВА)</t>
  </si>
  <si>
    <t>Обеспечение коммерческим учетом электрической энергии (мощности) в точке поставки и установка шкафа 0,4 кВ, с заменой ТП-6/0,4 кВ по ВЛ-6 кВ №1 ПС 35/6 кВ Романовская (по договорам ТП № 61-1-19-00441801 от 13.05.2019г, № 61-1-19-00437609 от 15.05.2019 г), по присоединению спального домика Погосяна А.Н., расположенного по адресу: Ростовская область, г. Волгодонск, ул. Отдыха, к.н. 61:48:0020101:1586 (ориентировочная мощность трансформатора 250 кВА)</t>
  </si>
  <si>
    <t>'Техническое перевооружение КТП 6/0,4 кВ №352 ВЛ-6 кВ № 207Н ПС 110/6/10 кВ «НС-2» с заменой силового трансформатора, строительство ВЛИ- 0,4 кВ от опор №352-36, №352-6 от КТП 6/0,4 кВ №352 ВЛ-6 кВ № 207Н ПС 110/6/10 кВ «НС-2» для электроснабжения участков Уварова И.А., Ильминской Т.А., Чуприной Т.И., Овчинникова Е.Н., Рогачевой З.А., СНТ «Квант» Азовский района, Ростовская область (ориентировочная протяжённость ЛЭП- 0,395 км, ориентировочная мощность трансформатора 0,400 МВА)</t>
  </si>
  <si>
    <t>Строительство ЛЭП 10кВ от опоры №144 по ВЛ 10кВ №3129 от ПС 110/35/10кВ "А-31", ТП 10/0,4кВ, ЛЭП 0,4кВ, для электроснабжения складов заявителей ИП Дорошенко И.И., ИП Главы КФХ Дорошенко Р.И., ИП Дорошенко И.И, с. Пешково, Азовский район, Ростовская область (ориентировочная протяженность ЛЭП - 0,245км, ориентировочная трансформаторная мощность - 0,630МВА)</t>
  </si>
  <si>
    <t>Обеспечение коммерческим учетом электрической энергии (мощности) в точке поставки и установка шкафа 0,22 кВ по присоединению хозяйственной постройки Кравчука В.В., расположенной по адресу: Ростовская область, Волгодонской район, п. Виноградный, ул. Молодежная, д.23,  к.н. 61:08:0601301:231</t>
  </si>
  <si>
    <t>Обеспечение коммерческим учетом электрической энергии (мощности) в точке поставки по присоединению скважины для полива огорода Агаева И.И., расположенного по адресу: Ростовская область, Мартыновский район, х. Малоорловский, ул. Новая, д. 7а, к.н. 61:20:0060101:5269</t>
  </si>
  <si>
    <t>Обеспечение коммерческим учетом электрической энергии (мощности) в точке поставки по присоединению скважины для полива огорода Чабанной Н.В., расположенной по адресу: Ростовская область, Мартыновский район, п. Новоберезовка, ул. Питерская, д. 1, к.н. 61:20:0090101:6001</t>
  </si>
  <si>
    <t>Обеспечение коммерческим учетом электрической энергии (мощности) в точке поставки по присоединению скважины для полива огорода Оленченко А.А., расположенной по адресу: Ростовская область, Мартыновский район, п. Новоберезовка, ул. Центральная, д. 12а, к.н. 61:20:0090101:517</t>
  </si>
  <si>
    <t>Установка коммерческого учета электрической энергии (мощности) в точке поставки и установка шкафа 0,22 кВ по присоединению подъезда от автомобильной дороги "г. Ростов-на-Дону (от магистрали "Дон") - г. Семикаракорск - г. Волгодонск" - г. Константиновск - пос. Тацинский" к х. Авилов Министерства транспорта Ростовской области, расположенного по адресу: Ростовская область, Константиновский район,  к.н. объекта: 61:17:0000000:7466, кадастровый номер земельного участка: 61:17:0600006:1535</t>
  </si>
  <si>
    <t>Обеспечение коммерческим учетом электрической энергии (мощности) в точке поставки и установка шкафа 0,22 кВ по присоединению жилого дома Фейзуллаевой Л.А., расположенного по адресу: Ростовская область, Константиновский район, х. Упраздно-Кагальницкий, ул. Степана Разина, д. 10, к.н. 61:17:0030401:854</t>
  </si>
  <si>
    <t>Обеспечение коммерческим учетом электрической энергии (мощности)в точке поставки по присоединению жилого дома Абдуллаева А.М., расположенного по адресу: Ростовская область, Заветинский район, с. Тюльпаны, проезд Солнечный, д. 2, кв./оф. 1,2, к.н. 61:11:0600012:582 (прибор учета коммерческой электрической энергии-1шт)</t>
  </si>
  <si>
    <t>Обеспечение коммерческим учетом электрической энергии (мощности) в точке поставки и установку шкафа 0,22 кВ по присоединению жилого дома Магомедова М.А., расположенного по адресу: Ростовская область, Заветинский район, с. Тюльпаны, проезд Солнечный, д.32, кв. 1,2,3,4 к.н. 61:11:0600012:574</t>
  </si>
  <si>
    <t>Обеспечение коммерческим учетом электрической энергии (мощности) в точке поставки по присоединению жилого дома Алихановой Ж.Ю., расположенного по адресу: Ростовская область, Волгодонской район, х. Погожев, ул. Школьная, д. 10а, к.н. 61:08:0070401:176</t>
  </si>
  <si>
    <t>Обеспечение коммерческим учетом электрической энергии (мощности) в точке поставки и установка шкафа 0,22 кВ по присоединению жилого дома Эминова Т.И., расположенного по адресу: Ростовская облаасть, Волгодонской район, станица Романовская, пер. Ясина, д. 16, кадастровый номер земельного участка: 61:08:0070130:536</t>
  </si>
  <si>
    <t>Установка коммерческого учета электрической энергии (мощности) в точке поставки и установка шкафа 0,22 кВ по присоединению магазина ИП Дьяконовой Н.А., расположенного по адресу: Ростовская область, Константиновский район, станица Николаевская, ул. 8 Марта, д. 7 «а», кадастровый номер земельного участка 61:17:0050101:2328</t>
  </si>
  <si>
    <t>Обеспечение коммерческим учетом электрической энергии (мощности)  в точке поставки и установка шкафа 0,22 кВ по присоединению спального домика Парфеновой И.М., расположенного по адресу: Ростовская область, г. Волгодонск, ул. Отдыха, д. 1, кадастровый номер земельного участка: 61:48:0020101:1428</t>
  </si>
  <si>
    <t>Установка коммерческого учета электрической энергии (мощности) в точке поставки и установка шкафа 0,22 кВ по присоединению жилого дома Землянова В.Н., расположенного по адресу: Ростовская область, Константиновский район, станица Богоявленская, ул. Южная, д. 1, кадастровый номер земельного участка: 61:17:0030101:2274</t>
  </si>
  <si>
    <t>Обеспечение коммерческим учетом электрической энергии (мощности) в точке поставки и установка шкафа 0,22 кВ по присоединению общественной территории Администрации Гапкинского сельского поселения, расположенной по адресу: Ростовская область, Константиновский район, х. Гапкин, ул Центральная, д.55а. , кадастровый номер земельного участка 61:17:0040101:1933</t>
  </si>
  <si>
    <t>Установка коммерческого учета электрической энергии (мощности) в точке поставки и установка шкафа 0,22 кВ по присоединению жилого дома Кнышук В.И., расположенного по адресу: Ростовская область, Волгодонской район, х. Лагутники, ул. Ленина, д. 55а, кадастровый номер земельного участка 61:08:0070202:489</t>
  </si>
  <si>
    <t>Установка коммерческого учета электрической энергии (мощности) в точке поставки и установка шкафа 0,4 кВ по присоединению жилого дома Писковцовой А.В., расположенного по адресу: Ростовская область, Волгодонской район, станица Романовская, ул. 75 лет Победы, д. 69, кадастровый номер земельного участка 61:08:0600601:4625</t>
  </si>
  <si>
    <t>Обеспечение коммерческим учетом электрической энергии (мощности) 
в точке поставки и установка шкафа 0,22 кВ по присоединению жилого дома Северенчук Н.В., расположенного по адресу: Ростовская область, Волгодонской район,  станица Романовская, ул. Чибисова,  д. 111а, к.н. 61:08:0070131:947(прибор учета коммерческой электрической энергии-1шт)</t>
  </si>
  <si>
    <t>Установка коммерческого учета электрической энергии (мощности) в точке поставки и установка шкафа 0,22 кВ по присоединению магазина ИП Дурневой А.М., расположенного по адресу: Ростовская область, Волгодонской район, х. Потапов, ул. Комсомольская, д. 49з, кадастровый номер земельного участка: 61:08:0040106:635</t>
  </si>
  <si>
    <t>Обеспечение коммерческим учетом электрической энергии (мощности) в точке поставки и установка шкафа 0,22 кВ по присоединению жилого дома Крымского Р.В., расположенного по адресу: Ростовская область,  г. Волгодонск, ул. Отдыха, д. 39в20, кадастровый номер земельного участка: 61:48:0020101:1529</t>
  </si>
  <si>
    <t>Установка коммерческого учета электрической энергии (мощности) в точке поставки и установка шкафа 0,22 кВ по присоединению жилого помещения Кагирова В.Ш., расположенного по адресу: Ростовская область, Дубовский район, х. Присальский, ул. Строителей, д. 38, кв. 2, кадастровый номер земельного участка: 61:09:0070101:1789</t>
  </si>
  <si>
    <t>Установка коммерческого учета электрической энергии (мощности) в точке поставки и установка шкафа 0,22 кВ по присоединению жилого дома Клевцова К.П., расположенного по адресу: Ростовская область, Дубовский район, станица Баклановская, ул. Майская, д. 8а, кадастровый номер земельного участка: 61:09:00120:182</t>
  </si>
  <si>
    <t>Обеспечение коммерческим учетом электрической энергии (мощности) в точке поставки и установка шкафа 0,22 кВ по присоединению квартиры Долид Е.В., расположенной по адресу: Ростовская область, Мартыновский район, х. Долгий, ул. Школьная, д. 1, кв. 2, к.н. 61:20:0060301:3105</t>
  </si>
  <si>
    <t>Обеспечение коммерческим учетом электрической энергии (мощности) в точке поставки и установка шкафа 0,22 кВ по присоединению квартиры Полумиевой Л.В., расположенной по адресу: Ростовская область, Мартыновский район, х. Комаров, ул. Ленина, д. 36, кв./оф. 3, к.н. 61:20:0050101:5751</t>
  </si>
  <si>
    <t>Обеспечение коммерческим учетом электрической энергии (мощности) в точке поставки и установка шкафа 0,22 кВ по присоединению жилого дома Байрахтарова М.Н., расположенного по адресу: Ростовская область, Мартыновский район, х. Комаров, ул. Калинина, д. 4б, к.н. 61:20:0050101:3780</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</si>
  <si>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Ростовская область, Константиновский район, х. Крюков, ул. Школьная, д.11, к.н.з.у.: 61:17:0060701:625</t>
  </si>
  <si>
    <t>Установка коммерческого учета электрической энергии (мощности) в точке поставки и установка шкафа 0,22 кВ по присоединению жилого дома Костюк И.В., расположенного по адресу: Ростовская область, Волгодонской район, станица Романовская, ул. 75 лет Победы, д. 55, кадастровый номер земельного участка 61:08:0600601:4612</t>
  </si>
  <si>
    <t>Установка коммерческого учета электрической энергии (мощности) в точке поставки и установка шкафа 0,22 кВ по присоединению жилого дома Алтуновой Б.У., расположенного по адресу: Ростовская область, Волгодонской район, х. Лагутники, ул. Кооперативная, д. 5а, кадастровый номер земельного участка: 61:08:0070201:524</t>
  </si>
  <si>
    <t>Установка прибора коммерческого учета электрической энергии (мощности) в точке поставки для присоединения жилого дома Северенчук А.П., расположенного по адресу: Ростовская область, Волгодонской район, станица Романовская, ул. Чибисова, д.107а, к.н.з.у.: 61:08:0070131:915</t>
  </si>
  <si>
    <t>Обеспечение коммерческим учетом электрической энергии (мощности) в точке поставки по присоединению дома Прокоповой О.В., расположенного по адресу: Ростовская область, Волгодонской район, х.Мокросоленый, ул.Центральная, д.42А,к.н. 61:08:0010201:1464</t>
  </si>
  <si>
    <t>Установка прибора коммерческого учета электрической энергии (мощности) в точке поставки для присоединения жилого дома Войнова П.Н., расположенного по адресу: Ростовская область, Константиновский район, х. Почтовый, ул. Шоферская, д.3а, к.н.з.у.: 61:17:0060101:834</t>
  </si>
  <si>
    <t>Установка прибора коммерческого учета электрической энергии (мощности) в точке поставки для присоединения нежилого здания ИП главы К(Ф)Х Халдыхроева А.Т., расположенного по адресу: Ростовская область, Заветинский район, Шебалинское сельское поселение, х. Шебалин, земельный участок расположен в кадастровом квартале 61:11:0600001, кадастровый номер земельного участка: 61:11:0600001:1353</t>
  </si>
  <si>
    <t>Установка прибора коммерческого учета электрической энергии (мощности) в точке поставки для присоединения площадки для занятия спором и физкультурой Администрации Кичкинского сельского поселения, расположенного по адресу: Ростовская область, Заветинский район, с. Кичкино, ул. Кооперативная, д. 11а, к.н.з.у.: 61:11:0030101:1532</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</si>
  <si>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Васецкий, ул. Колхозная, д. 7, Валяйкин С.В.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</si>
  <si>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Дудкино, ул. Журбиной, д. 15, Донченко Н.А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</si>
  <si>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ст-ца. Владимировская, ул. Заречная, д.29, Пудрена Д.А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</si>
  <si>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п.Тополевый, ул. Горняцкая, д.4, п. Тополевый, ул. Мира, д.3, кв.5, (ПАО междугородной и международной электрической связи Ростелеком., Соловьев А.В) (2 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</si>
  <si>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Платово, пер. Мирный, д.7, х. Платово, ул. Советская, д.76 (Ткаченко Т.К., Лозовой А.А.) (2 шт)</t>
  </si>
  <si>
    <t>Обеспечение коммерческим учетом электрической энергии (мощности) в точке поставки по присоединению объектов заявителей. Ростовская область, г. Красный Сулин, ул. Прибрежная, б/н, Иванкова Л.Ю.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</si>
  <si>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Украинский, ул. Заречная, д.24, Управление земельно-имущественных отношений и муниципального заказа (1шт)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</si>
  <si>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ст. Нижнекундрюченская, ул. Братская, д. 17 (Еремин А.П.) (1 шт.)</t>
  </si>
  <si>
    <t>Обеспечение коммерческим учетом электрической энергии (мощности) в точке поставки по присоединению объектов заявителей. Российская Федерация, Ростовская обл., р-н Семикаракорский, ст. Кочетовская, ул. Садовая, д. 36, ул. Студенческая, д. 14, кв. 2, ул. Садовая, д. 35 (Васильченко В.Н., Вишневецкая О.В., Калюженко О.Ю.) (3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</si>
  <si>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ст. Верхнекундрюченская, ул. Центральная, д. 25в (Сейранян Ф.Я.) (1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</si>
  <si>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х. Листопадов, ул. Лесная, д. 1-а (Текучев Д.А.) (1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</si>
  <si>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х. Коныгин, ул. Ленина, д. 3 (Покидышева О.И.) (1 шт.)</t>
  </si>
  <si>
    <t xml:space="preserve"> Обеспечение коммерческим учетом электрической энергии (мощности) в точке поставки по присоединению объекта заявителя. Ростовская обл., р-н Усть-Донецкий, х. Черни, ул. Озерная, д. 8 (Куликова С.А.) (1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</si>
  <si>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х. Топилин, ул. Зеленая Дубрава, д. 18 (Безуглов С.В.) (1 шт.)</t>
  </si>
  <si>
    <t>Обеспечение коммерческим учетом электрической энергии (мощности) в точке поставки по присоединению объекта заявителя. Ростовская обл., р-н Усть-Донецкий, х. Пухляковский, ул. Студенческая, д. 6а (Курбанов Н.Г.) (1 шт.)</t>
  </si>
  <si>
    <t>Обеспечение коммерческим учетом электрической энергии (мощности) в точке поставки по присоединению объекта заявителя. Ростовская обл., р-н Усть-Донецкий, х. Крымский, пер. Рождественский, д. 14 (Местная религиозная организация православный Приход Храма иконы Пресвятой Богородицы Одигитрия х. Крымского) (1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</si>
  <si>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Октябрьский, ул. Подгорная, д. 7 (Авраменко А.В.) (1 шт.)</t>
  </si>
  <si>
    <t>Обеспечение коммерческим учетом электрической энергии (мощности) в точке поставки и установка шкафа 0,23 кВ по присоединению жилого  дома  расположеннного   по адресу: Ростовская область, Родионово-Несветайский район,х. Октябрьский, ул. Клубная, д. 15  Воронков Л.В. (1 шт)</t>
  </si>
  <si>
    <t>Обеспечение коммерческим учетом электрической энергии (мощности) в точке поставки и установка шкафа 0,23 кВ по присоединению жилого  дома  расположеннного   по адресу: Ростовская область, Родионово-Несветайский район,сл. Родионово-Несветайская, ул. Комарова, д. 33А  Буцулина И.Б. (1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</si>
  <si>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Авилов, ул. Центральная, д. 2 (ООО «ОРП-Ростов») (1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</si>
  <si>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Нижнесоленый, ул. Зеленая, д. 7 (Руденко Г.Л.) (1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</si>
  <si>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сл. Красюковская, ул. Новая д. 5, ул. Дружбы д.7 (Дегтянникова Н.А., Петрушенко Е.О.) (2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</si>
  <si>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Волошино, ул. Ленина, д. 22А (Тоноян В.Х.) (1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</si>
  <si>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Каменоломни, ул. Гвардейская д. 15, д. 20 (Осипян Ш.Г., Шакера А.А.) (2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</si>
  <si>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Костиков, ул. Сельская д. 13 (Димитров С.С.) (1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</si>
  <si>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ст-ца. Кривянская, ул. Чехова д. 59А, ул. Большая д. 154а, кадастровый номер земельного участка: 61:28:0040105:85, ул. Сухаревка д. 72 (Автандилян С.С., Страданченкова И.Н., Администрация Кривянского сельского поселения, Волков А.Б.) (4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</si>
  <si>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Калинин, пер. Первый д.12, ул. Донская, с/т "Дон" уч. №39 (Урюпина В.И., Сергеев М.К., Клименко И.А.) (3 шт.)</t>
  </si>
  <si>
    <t>Обеспечение коммерческим учетом электрической энергии (мощности) в точке поставки по присоединению объектов заявителей. Ростовская область, Родионово-Несветайский район, сл. Родионово-Несветайская, ул. Ленина, ул. Садовая д.80, ул. 30 лет Победы д.11, ул. Бабичева д.1Б (Адм. Родионово-Несветайского района, Антонян Р.Н., Голубева Р.А., Лихобабина Д.А., Лозовой М.Н.) (5 шт.)</t>
  </si>
  <si>
    <t>Обеспечение коммерческим учетом электрической энергии (мощности) в точке поставки и установка шкафа 0,23 (0,4) кВ по присоединению жилых домов  расположенных  по адресам: Ростовская область, Октябрьский р-н, п. Красногорняцкий, ул. Михайличенко, д. 17 Гудков Е.Е.; и Октябрьский р-н, п. Новокадамово, ул. Новая, д.27, кв. 2  Косов А.А; и Октябрьский р-н, сл. Красюковская, ул. Красюкова, д. 8а  Белоусов А.А.; и Октябрьский р-н, п. Красногорняцкий, ул. Петренко, д. 16 Скакунова Г.И.; и Октябрьский р-н, х. Калинин, пер. Тупиковый, д. 8а Нефедов В.Е.; и Октябрьский р-н, х. Красный Кут, ул. Социалистическая, д.40 (Реброва М.Ю.) (6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</si>
  <si>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Керчик-Савров, ул. Алейникова д. 9, ул. Советская д. 27 (Индивидуальный Предприниматель Глава крестьянского фермерского хозяйства Анешкин Р.В., Ажогин С.В.) (2 шт.)</t>
  </si>
  <si>
    <t xml:space="preserve">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х.Божковка, ул. Московская, д.13, х. Божковка, Божковское сельское поселение, ул. Социалистическая, д. 22, ул. Советская, д.15(Шестакова Н.Л., ООО Корунд., Морозова Н.И., ООО Водолей.) (4 шт)»
</t>
  </si>
  <si>
    <t>Обеспечение коммерческим учетом электрической энергии (мощности) в точке поставки по присоединению объектов заявителей. Российская Федерация, Ростовская обл., р-н Усть-Донецкий, ст. Раздорская, ул. Донская, д. 96А, ул. Красноармейская, д. 25-а, ул. Донская, д. 74 (Логвинова Е.А., Упорников Р.В., Чешко Т.Д.) (3 шт.)</t>
  </si>
  <si>
    <t>Обеспечение коммерческим учетом электрической энергии (мощности) в точке поставки по присоединению объектов заявителей. Ростовская обл., р-н Усть-Донецкий, х. Апаринский, ул. Космодемьянская, д. 1, ул. Вишневая, д. 9 (Егорова И.А., Шерстнев А.А.) (2 шт.)</t>
  </si>
  <si>
    <t>Обеспечение коммерческим учетом электрической энергии (мощности) в точке поставки по присоединению объектов заявителей. Ростовская обл., р-н Усть-Донецкий,х. Мостовой, ул. Степная,  д. 2, ул. Горького,  д. 4 (Мурзин М.М., Ситникова И.А.) (2 шт.)</t>
  </si>
  <si>
    <t>Установка прибора учета для присоединения жилого дома Сытникова К.В., расположенного по адресу: Ростовская область, Октябрьский район, сл. Красюковская, ул. Советская, д. 25-А, к.н.з.у.: 61:28:0070101:7953 (1шт.)</t>
  </si>
  <si>
    <t>Строительство ВЛ 0,4 кВ от существующей оп. №6 ВЛИ 0,4 кВ №1 от КТП №375 по ВЛ 6- кВ Пролетарка от ПС С-2 для присоединения нежилого здания. Ростовская область, Красносулинский район, х. Малая Гнилуша, ул. Центральная, д. 1а (Администрация Пролетарского СП) (ориентировочная протяженность ЛЭП-0,095 км)</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</si>
  <si>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Пролетарка, ул. Мира б/н, ул. Мира д.13 (ИП Волкова Т.Р., Варфаламеева А.М.) (2шт.)</t>
  </si>
  <si>
    <t>Установка прибора учета для присоединения объекта Малоэтажная жилая застройка (Индивидуальный жилой дом/Садовый/Дачный дом) Герман Л.В., расположенного по адресу: Ростовская область, Родионово-Несветайский район, х. Персиановка, ул. Колхозная,  д. 2А, КН ЗУ: 61:33:0060301:103 (1шт.)</t>
  </si>
  <si>
    <t>Установка прибора учета для присоединения объекта «Малоэтажная жилая застройка (Индивидуальный жилой дом/Садовый/Дачный дом)» Калита О.В. расположенного по адресу: Ростовская обл., р-н. Родионово-Несветайский, х. Каменный Брод, ул. Калининская, д. 39В/2, к.н.: 61:33:0030501:1908</t>
  </si>
  <si>
    <t>Установка прибора учета для присоединения объекта Малоэтажная жилая застройка (Индивидуальный жилой дом/Садовый/Дачный дом) Коробкина А.А., расположенного по адресу: Ростовская область, Родионово-Несветайский район, х. Юдино, ул. Новоселов,  д. 11А, КН ЗУ: 61:33:0070201:169 (1шт.)</t>
  </si>
  <si>
    <t>Установка прибора учета для присоединения объекта Малоэтажная жилая застройка (Индивидуальный жилой дом/Садовый/Дачный дом) Метелициной О.В., расположенного по адресу: Ростовская область, Родионово-Несветайский район, сл. Родионово-Несветайская, ул. Седова, д. 25, КН ЗУ: 61:33:0040137:213</t>
  </si>
  <si>
    <t>Установка прибора учета для присоединения объекта «Малоэтажная жилая застройка (Индивидуальный жилой дом/Садовый/Дачный дом)» Мищенко М.Н. расположенного по адресу: Ростовская обл., р-н. Родионово-Несветайский, сл. Родионово-Несветайская, ул. Панфиловцев, д. 63, к.н.: 61:33:0600010:3184</t>
  </si>
  <si>
    <t>Установка прибора учета для присоединения жилого дома Никишиной В.И., расположенного по адресу: Ростовская область, Родионово-Несветайский район, сл. Родионово-Несветайская, ул. 30 лет Победы, д. 51Б, КН ЗУ: 61:33:0040123:881</t>
  </si>
  <si>
    <t>Установка прибора учета для присоединения Малоэтажной жилой застройки (Индивидуальный жилой дом/Садовый/Дачный дом)  Ушанева А.И., расположенного по адресу: Ростовская область, Родионово-Несветайский район, х. Краснознаменка, ул. Центральная,  д. 26. КН ЗУ: 61:33:0020601:48 (1шт.)</t>
  </si>
  <si>
    <t>Установка прибора учета для присоединения объекта «Малоэтажная жилая застройка (Индивидуальный жилой дом/Садовый/Дачный дом)» Юсифовой Е.И., расположенного по адресу: Ростовская область, Родионово-Несветайский район, х. Октябрьский, СО Весна, КН ЗУ: 61:33:0500301:101</t>
  </si>
  <si>
    <t>Установка прибора учета для присоединения жилого дома Задорожной О.А., расположенного по адресу: Ростовская область, Родионово-Несветайский район, сл. Родионово-Несветайская, ул. Абрикосовая, д. 33А, КН ЗУ: 61:33:0040123:629</t>
  </si>
  <si>
    <t>Установка прибора учета для присоединения жилого дома Семчук А.Н., расположенного по адресу: Ростовская область, Родионово-Несветайский район, х. Нагорно-Тузловка, ул. Красноармейская,  д. 17, КН ЗУ: 61:33:0051201:1</t>
  </si>
  <si>
    <t>Установка прибора учета для присоединения жилого дома Честникова П.А., расположенного по адресу: Ростовская область, Родионово-Несветайский район, х. Персиановка, ул. Октября, д. 14, КН ЗУ: 61:33:0060301:105</t>
  </si>
  <si>
    <t>Установка прибора учета для присоединения жилого дома Лесовой Т.В., расположенного по адресу: Ростовская область, Родионово-Несветайский район, х. Маяки, ул. Суворова, д. 13, КН ЗУ: 61:33:0050901:22</t>
  </si>
  <si>
    <t>Установка прибора учета для присоединения гаража Кароян Л.Б., расположенного по адресу: Ростовская область, Родионово-Несветайский район, х. Веселый, ул. Гагарина,  д. 4/17, КН ЗУ: 61:33:0040701:1041 (1шт.)</t>
  </si>
  <si>
    <t>Установка прибора учета для присоединения жилого дома Распутняя М.В., расположенного по адресу: Ростовская область, Родионово-Несветайский район, с. Генеральское, ул. Звездова,  д. 8В, КН ЗУ: 61:33:0070601:2217 (1шт.)</t>
  </si>
  <si>
    <t>Установка прибора учета для присоединения сарая Романова В.Ф., расположенного по адресу: Ростовская область, Родионово-Несветайский район, х. Веселый, ул. Гагарина,  д. 4/7, КН ЗУ: 61:33:0040701:1106 (1шт.)</t>
  </si>
  <si>
    <t>Установка прибора учета для присоединения жилого дома Шевченко Н.В., расположенного по адресу: Ростовская область, Родионово-Несветайский район, х. Новотроицкий, ул. Центральная,  д. 12, КН ЗУ: 61:33:0021101:413 (1шт.)</t>
  </si>
  <si>
    <t>Установка прибора учета для присоединения помещения МБУК Родионово-Несветайского сельского поселения Веселовского СДК, расположенного по адресу: Ростовская область, Родионово-Несветайский район, х. Большой Должик, ул. Новая,  д. 1Б, КН ЗУ: 61:33:0040501:468 (1шт.)</t>
  </si>
  <si>
    <t>Установка прибора учета для присоединения жилого дома Запорожцева А.В., расположенного по адресу: Ростовская область, Красносулинский район, х. Пушкин, ул. Центральная, д. 1, КН ЗУ: 61:59:0050102:150</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</si>
  <si>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Коминтерн, ул. Щербтых, д.41, (Еловская Л.М.) (1шт.)</t>
  </si>
  <si>
    <t>Установка прибора учета для присоединения дачи Смолиной К.Р., расположенной по адресу: Ростовская область, Красносулинский район, х. Пушкин, с/т «Обогатитель», №21, КН ЗУ: 61:59:0050102:78 (1шт.)</t>
  </si>
  <si>
    <t>Установка прибора учета для присоединения дачи Железнякова И.В, расположенной по адресу: Ростовская область, Красносулинский район, х.Правда, ул.Набережная, д. 4, КН ЗУ: 61:18:0090401:23 (1шт.)</t>
  </si>
  <si>
    <t>Установка прибора учета  для присоединения  дачного домика Шевченко Р.П., расположенного по адресу: Ростовская область, Красносулинский район, х.Первомайский, ул. Балочная, д. 1, к.н.з.у.: 61:18:0050601:416 (1шт.)</t>
  </si>
  <si>
    <t>Установка прибора учета для присоединения жилого дома Шевцова А.А., расположенного по адресу: Ростовская область, Красносулинский район, 
х. Лихой, ул. Чичерина, д. 24 (1шт.)</t>
  </si>
  <si>
    <t>Установка приборов учета для присоединения жилого дома  Борохвостова Р.Ю., расположенного по адресу: Ростовская область, Красносулинский район, х. Черников, ул. Садовая, д. 84 (1шт.)</t>
  </si>
  <si>
    <t>Установка прибора учета для присоединения жилого дома Андроновой В.С., расположенного по адресу: Ростовская область, Красносулинский район, г. Красный Сулин, ул. Урожайная, д. 17, КН ЗУ: 61:18:0140104:46 (1шт.)</t>
  </si>
  <si>
    <t xml:space="preserve">Строительство ВЛИ-0,4 кВ от оп. №24 ВЛИ-0,4 кВ №1 МТП №802 ВЛ-10 кВ Красюковка ПС Ш-39 для электроснабжения двух садовых домов СТ «Электровозостроитель» (Кривцов С.Я., Мельникова Е.Н.) (ориентировочная протяженность ЛЭП – 0,04 км)
</t>
  </si>
  <si>
    <t>Обеспечение коммерческим учетом электрической энергии (мощности) в точке поставки по присоединению объектов заявителей. Российская Федерация, Ростовская обл., р-н Усть-Донецкий, ст. Мелиховская, ул. Коммунистическая, д. 26; ул. Интернациональная, д. 64; примерно в 44м по направлению на запад от ЗУ №39 по ул. Мерзлякова (Болгова Н.Б., Элиозашвили З.М., ИП Гукасян Д.В.)</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</si>
  <si>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Семикаракорский, ст. Кочетовская, пер. 15-й, д. 13 (Королева Л.А.)</t>
  </si>
  <si>
    <t>Установка прибора учета для присоединения ВРУ-0,23кВ жилого дома Негодаевой Н.Н., расположенного по адресу: 346561, Ростовская область, Усть-Донецкий район, х. Пухляковский, ул. Центральная,  д. 13, КН ЗУ: 61:39:0090101:152 (1шт.)</t>
  </si>
  <si>
    <t>Установка прибора учета для присоединения объекта ВРУ-0.23кВ нестационарного торгового объекта ИП Лукьяновой М.А., расположенного по адресу: Ростовская область, Усть-Донецкий район, ст. Мелиховская, примерно 2 м по направлению на юг от земельного участка с КН 61:39:0020105:835, кадастровый номер земельного участка: 61:39:0020105:00</t>
  </si>
  <si>
    <t>Установка прибора учета для присоединения ВРУ-0,23кВ уличного освещения Администрации Мелиховского сельского поселения, расположенного по адресу: Ростовская область, Усть-Донецкий район, х. Исаевский, пер. Веселый, ул. Центральная, ул. Речная, ул. Атаманская, пер. Солнечный, КН ЗУ: 61:39:0020201:694</t>
  </si>
  <si>
    <t>Установка прибора учета для присоединения ВРУ-0,23кВ жилого дома Чаплыгина Н.С., расположенного по адресу: 346553, Ростовская область,  Усть-Донецкий район, х. Апаринский, ул. Донецкая,  д. 196, КН ЗУ: 61:39:0050104:141 (1шт.)</t>
  </si>
  <si>
    <t>Установка прибора учета для присоединения ВРУ-0,23кВ жилого дома Темирбулатова А.А., расположенного по адресу: 346560, Ростовская область, Усть-Донецкий район, ст. Раздорская, ул. Калинина,  д. 36а, КН ЗУ: 61:39:0030103:1327 (1шт.)</t>
  </si>
  <si>
    <t>Установка прибора учета для присоединения объекта ВРУ-0.23кВ хозпостройки Татевосян А.А., расположенного по адресу: Ростовская область, Усть-Донецкий район, х. Апаринский, ул. Виноградная, д. 83а, кадастровый номер земельного участка: 61:39:0050101:1552</t>
  </si>
  <si>
    <t>Установка прибора учета для присоединения жилого дома Мягкова А.А., расположенного по адресу: Ростовская область, Усть-Донецкий район, ст. Раздорская, ул. Красноармейская,  д. 6а, КН ЗУ: 61:39:0030101:1198 (1шт.)</t>
  </si>
  <si>
    <t xml:space="preserve">Установка приборов учета для присоединения жилого дома Мокроусова В.Н., дачного дома Скопинцева С.Н., расположенных по адресу: Ростовская область, Усть-Донецкий район, ст. Раздорская, ул. Донская (2 шт.)
</t>
  </si>
  <si>
    <t>Установка прибора учета для присоединения объекта «Малоэтажная жилая застройка (Индивидуальный жилой дом/Садовый/Дачный дом)» Крылова А.Н., расположенного по адресу: Ростовская область, Родионово-Несветайский район, сл. Большекрепинская, ул. Октябрьская, д. 30</t>
  </si>
  <si>
    <t>Установка прибора учета для присоединения объекта «Нежилая застройка (хозяйственная застройка, нежилое здание)» Десятерик В.Д., расположенного по адресу: Ростовская область, Родионово-Несветайский район, х. Октябрьский, СНТ Электромонтажник, уч. 103, КН ЗУ: 61:33:0500201:572</t>
  </si>
  <si>
    <t>Установка прибора учета для присоединения объекта «Малоэтажная жилая застройка (Индивидуальный жилой дом/Садовый/Дачный дом)» Бейбутян Р.Г., расположенного по адресу: Ростовская область, Родионово-Несветайский район, сл. Родионово-Несветайская, ул. Абрикосовая, д. 5, КН ЗУ: 61:33:0040123:422</t>
  </si>
  <si>
    <t>Установка прибора учета  для присоединения жилого дома Готовец А.С., расположенного по адресу: Ростовская область, Родионово-Несветайского район, х. Октябрьский, ул. Заречная,  д. 24а, к.н.з.у.: 61:33:0030401:72 (1шт.)</t>
  </si>
  <si>
    <t>Установка прибора учета для присоединения квартиры Вороновой И.В., расположенной по адресу: Ростовская область, Родионово-Несветайского район, сл. Родионово-Несветайская, ул. Ленина,  д. 99, кв. 1, КН ЗУ: 61:33:0040128:30 (1шт.)</t>
  </si>
  <si>
    <t>Обеспечение коммерческим учетом электрической энергии (мощности) в точке поставки по присоединению объектов заявителей. Ростовская область, Родионово-Несветайский район, с.Генеральское ул. Ленина 31Б, ул. Советская 83Б (Бадалян А.Б., Бернасовский Ю.М.)</t>
  </si>
  <si>
    <t>Обеспечение коммерческим учетом электрической энергии (мощности) в точке поставки по присоединению объекта заявителя. Ростовская область р-н. Аксайский, х. Забуденовский, ул. Центральная, д. 19 (Темченко М.В.)</t>
  </si>
  <si>
    <t>Установка прибора учета для присоединения объекта Малоэтажная жилая застройка (Индивидуальный жилой дом/Садовый/Дачный дом) Панафидиной О.Б., расположенного по адресу: Ростовская область, Родионово-Несветайский район, СНТ Электромонтажник уч. 282а, КН ЗУ: 61:33:0500201:227</t>
  </si>
  <si>
    <t>Установка прибора учета для присоединения нежилого помещения МБУ «ЦСО ГПВиИ» Родионово-Несветайского района, расположенного по адресу: Ростовская область, Родионово-Несветайского район, х. Авилов, ул. Центральная,  д. 8, КН ЗУ: 61:33:0040401:680 (1шт.)</t>
  </si>
  <si>
    <t>Установка прибора учета для присоединения мастерской ИП Ткаченко В.Н., расположенной по адресу: Ростовская область,  Родионово-Несветайский район, ориентир по балке Карчина от сл. Родионово-Несветайская, участок находится примерно в 3000 м от ориентира по направлению на юго-запад, КН ЗУ: 61:33:0600010:2490 (1шт.)</t>
  </si>
  <si>
    <t>Установка прибора учета для присоединения объекта торговли (магазин, торговый центр, прочее) ИП Филюшиной Ю.Л., расположенного по адресу: Ростовская область, Родионово-Несветайский район, сл. Алексеево-Тузловка, ул. Садовая,  д. 21А, КН ЗУ: 61:33:0051001:1058 (1шт.)</t>
  </si>
  <si>
    <t>Установка прибора учета для присоединения жилого дома Лесникова В.В., расположенного по адресу: Ростовская область, Родионово-Несветайский район, х. Юдино, ул. Нагорная,  д. 14, КН ЗУ: 61:33:0070201:81 (1 шт.)</t>
  </si>
  <si>
    <t>Установка прибора учета для присоединения жилого дома Гондусова Р.Н., расположенного по адресу: Ростовская область, Красносулинский район, х. Большая Федоровка, пер. Степной, д.4, КН ЗУ: 61:18:0020201:4 (1шт.)</t>
  </si>
  <si>
    <t>Установка прибора учета для присоединения базовой станций/оборудования сотовой связи ПАО междугородной и международной электрической связи «Ростелеком», расположенной по адресу: Ростовская область, Красносулинский район, х. Малая Гнилуша (1шт.)</t>
  </si>
  <si>
    <t>Установка  прибора  учета  для  присоединения дачного домика Богданова А.И., расположенного по адресу: Ростовская область, Красносулинский район, п. Тополевый, ул. Школьная, д. 17,  КН ЗУ: 61:18:0010705:477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</si>
  <si>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Бобров, ул. Южная, д.5 (Администрация Киселевского сельского поселения) (1шт.)</t>
  </si>
  <si>
    <t>Установка прибора учета для присоединения жилого дома Дроздова А.И., расположенного по адресу: Ростовская область, Красносулинский район, с. Киселево, ул. Речная, д. 1 (1шт.)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</si>
  <si>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садового дома Алехина А.И., расположенного по адресу: Ростовская область, Октябрьский район, садоводческое товарищество «Электровозостроитель», уч. №3, к.н.з.у.: 61:28:0502501:360</t>
  </si>
  <si>
    <t>Установка прибора учета  для присоединения садового дома Выпряжкиной Т.Н., расположенного по адресу: Ростовская область, Октябрьский район, садоводческое товарищество «Электровозостроитель», уч. №134, к.н.з.у.: 61:28:0502501:595 (1шт.)</t>
  </si>
  <si>
    <t>Установка прибора учета для присоединения садового дома Гавринева С.В., расположенного по адресу: Ростовская область, Октябрьский район, садоводческое товарищество «Электровозостроитель», уч. 218, КН ЗУ: 61:28:0502501:414 (1шт.)</t>
  </si>
  <si>
    <t>Установка прибора учета  для присоединения садового дома Дорониной В.И., расположенного по адресу: Ростовская область, Октябрьский район, х. Яново-Грушевский, сад. Электровозостроитель, д.100, к.н.з.у.: 61:28:0502501:669 (1шт.)</t>
  </si>
  <si>
    <t xml:space="preserve">Установка приборов учета для присоединения садовых домов Заруба С.В., Мамайкина Е.П., Садиговой В.М., расположенных по адресу: Ростовская область, Октябрьский район, с/т «Электровозостроитель» (3 шт.)
</t>
  </si>
  <si>
    <t>Установка прибора учета для присоединения садового дома Ибрагимовой В.Б., расположенного по адресу: Ростовская область, Октябрьский район, садоводческое товарищество «Электровозостроитель», д. 211, КН ЗУ: 61:28:0502501:423 (1шт.)</t>
  </si>
  <si>
    <t>Установка прибора учета для присоединения жилого дома Каськовой Ю.П., расположенного по адресу: Ростовская область, Октябрьский район, с/т «Электровозостроитель», уч. №40, КН ЗУ: 61:28:0502501:336» (1шт.)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</si>
  <si>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Яново-Грушевский СТ «Электровозостроитель» уч.№123; уч. №133 (Кучер Т.В.; Нарожная Г.И.)</t>
  </si>
  <si>
    <t>Установка прибора учета для присоединения садового дома Макеева В.Б., расположенного по адресу: Ростовская область, Октябрьский район, СДТ «Электровозостроитель», д. 148а, КН ЗУ: 61:28:0502501:565 (1шт.)</t>
  </si>
  <si>
    <t>Установка прибора учета для присоединения малоэтажной жилой застройки Мануйленковой Т.А., расположенной по адресу: Ростовская область, Октябрьский район, садоводческое товарищество «Электровозостроитель», уч. 86, КН ЗУ: 61:28:0502501:236 (1шт.)</t>
  </si>
  <si>
    <t>Установка прибора учета для присоединения садового дома Михалевич Г.М., расположенного по адресу: Ростовская область, Октябрьский район, дп «Электровозостроитель», уч. 51, КН ЗУ: 61:28:0502501:311 (1шт.)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</si>
  <si>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садового дома Патюковой В.Н., расположенного по адресу: Ростовская область, Октябрьский район, садоводческое товарищество «Электровозостроитель», уч. №59, к.н.з.у.: 61:28:0502501:296</t>
  </si>
  <si>
    <t>Установка прибора учета для присоединения малоэтажной жилой застройки (индивидуального жилого дома/садового/дачного дома) Плевако Ю.Н., расположенного по адресу: Ростовская область, Октябрьский район, с/т «Электровозостроитель», д. 176, КН ЗУ: 61:28:0502501:503</t>
  </si>
  <si>
    <t>Установка прибора учета для присоединения садового дома Пузырного А.И., расположенного по адресу: Ростовская область, Октябрьский район, садоводческое товарищество «Электровозостроитель», уч. 28, КН ЗУ: 61:28:0502501:364
 (1шт.)</t>
  </si>
  <si>
    <t>Установка прибора учета для присоединения садового дома Яковлевой Г.Л, расположенного по адресу: Ростовская область, Октябрьский район, садоводческое товарищество «Электровозостроитель», уч. 214, КН ЗУ: 61:28:0502501:418 (1шт.)</t>
  </si>
  <si>
    <t xml:space="preserve">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ст. Кривянская, ул. Матвеевка д. 8; ул. Большая д.170 (Максимова Т.Н.; Сысоенко Н.П.) (2 шт.)
</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</si>
  <si>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Новосветловский, ул. Мелиховская д.41(Солодкая Н.С.) (1 шт.)</t>
  </si>
  <si>
    <t>Установка прибора учета для присоединения жилого дома Меркуловой С.В., расположенного по адресу: Ростовская область, Октябрьский район, х. Калинин, ул. Мигулинский, д.11, КН ЗУ: 61:28:030201:101 (1шт.)</t>
  </si>
  <si>
    <t>Установка прибора учета для присоединения жилого дома Казмина А.Р., расположенного по адресу: Ростовская область, Октябрьский район, сл. Красюковская, ул. Речная, д. 10, КН ЗУ: 61:28:0070101:1458 (1шт.)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</si>
  <si>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Заречный, ул. Заречная, д. 179 (Казмин Е.С.) (1 шт.)</t>
  </si>
  <si>
    <t>Установка прибора учета для присоединения жилого дома Даниловой В.М., расположенного по адресу: Ростовская область, Октябрьский район, сл. Красюковская, ул. Михайличенко, д. 45, к.н.з.у.: 61:28:0070101:1804 (1шт.)</t>
  </si>
  <si>
    <t>Установка прибора учета для присоединения жилого дома Мельник В.С., расположенного по адресу: Ростовская область, Октябрьский район, сл. Красюковская, ул. М.Горького, д. 19-а, КН ЗУ: 61:28:0070101:7523 (1шт.)</t>
  </si>
  <si>
    <t>Установка прибора учета для присоединения жилого дома Ластавченко А.А., расположенного по адресу: Ростовская область, Октябрьский район, рп. Каменоломни, ул. Гвардейская, д. 27, КН ЗУ: 61:28:0600020:224 (1шт.)</t>
  </si>
  <si>
    <t>Установка прибора учета для присоединения жилого дома Скляровой Н.Н., расположенного по адресу: Ростовская область, Октябрьский район, п. Красногорняцкий, ул. Парковая, д.7, КН ЗУ: 61:28:0600020:271 (1 шт)</t>
  </si>
  <si>
    <t>Установка прибора учета для присоединения малоэтажной жилой застройки Лукашевой Н.И., расположенной по адресу: Ростовская область, Октябрьский район, рп. Каменоломни, ул. Пролетарская, д.52, КН ЗУ: 61:28:0090501:654 (1шт.)</t>
  </si>
  <si>
    <t>Установка прибора учета для присоединения жилого дома Котловской А.Э., расположенного по адресу: Ростовская область, Октябрьский район, ст. Кривянская, ул. Пушкинская, д.82, КН ЗУ: 61:28:0040113:930 (1шт.)</t>
  </si>
  <si>
    <t>Установка прибора учета для присоединения жилого дома Романова Е.В., расположенного по адресу: Ростовская область, Октябрьский район, п. Новосветловский, ул. Мелиховская, КН ЗУ: 61:28:0090205:337 (1шт.)</t>
  </si>
  <si>
    <t>Установка прибора учета для присоединения индивидуального жилого дома Легкова В.В., расположенного по адресу: Ростовская область, Октябрьский район, п. Интернациональный, ул. Железнодорожная, д. 96, КН ЗУ: 61:28:0080701:2487 (1шт.)</t>
  </si>
  <si>
    <t>Установка прибора учета для присоединения жилого дома Вартанова А.В., расположенного по адресу: Ростовская область, Октябрьский район, п. Малая Сопка, ул. Заречная, д.10-в, КН ЗУ: 61:28:0090301:87 (1шт.)</t>
  </si>
  <si>
    <t>Установка прибора учета для присоединения жилого дома  Филипчук Д.С., расположенного по адресу: Ростовская область, Усть-Донецкий район, ст. Мелиховская, примерно 2,04 км на юго-восток от ст. Мелиховская, КН ЗУ: 61:39:0600016:1156 (1шт.)</t>
  </si>
  <si>
    <t>Обеспечение коммерческим учетом электрической энергии  в точке поставки, по присоединению ларька Индивидуального предпринимателя Лисовской С.И., расположенного по адресу: Ростовская область, Белокалитвинский район, х. Литвиновка, ул. Центральная, д. № 82 а, к.н. 61:04:0060105:225(прибор учета электроэнергии – 1шт).</t>
  </si>
  <si>
    <t>Обеспечение коммерческим учетом электрической энергии  в точке поставки, по присоединению строящегося жилого дома Высоцкой А.Е., расположенного по адресу: Ростовская область, Белокалитвинский район, х. Дороговский, пер. Ясный, д. № 1, к.н. 61:04:0502501:552(прибор учета электроэнергии – 1шт).</t>
  </si>
  <si>
    <t>Обеспечение коммерческим учетом электрической энергии  в точке поставки, по присоединению строящегося жилого дома Койшебаева А.С., расположенного по адресу: Ростовская область, Белокалитвинский район, х. Казминка, ул. Мельничная, д. № 1, к.н. 61:04:0110602:55(прибор учета электроэнергии – 1шт).</t>
  </si>
  <si>
    <t>Обеспечение коммерческим учетом электрической энергии  в точке поставки, по присоединению строящегося жилого дома Кручинина С.И., расположенного по адресу: Ростовская область, Белокалитвинский район, х. Рудаков, ул. Центральная, д. № 8, к.н. 61:04:0100201:116(прибор учета электроэнергии – 1шт).</t>
  </si>
  <si>
    <t>Установка прибора коммерческого учёта электрической энергии  для присоединения жилого дома Машкомаева О А., расположенного по адресу: Ростовская область, Милютинский р-н, ст. Селивановская , ул. Ворошилова д. 17, к.н. 61:23:0080101:106 (прибор учёта электроэнергии - 1шт).</t>
  </si>
  <si>
    <t>Обеспечение коммерческим учетом электрической энергии  в точке поставки, по присоединению строящегося жилого дома Коровиной Руфии Рушановны расположенного по адресу: Ростовская область, Обливский район, хутор Кзыл-Аул, улица 60лет СССР, дом 41, к.н. 61:27:0071201:554 (прибор учёта электроэнергии - 1шт).</t>
  </si>
  <si>
    <t>Установка прибора коммерческого учёта электрической энергии для присоединения жилого дома Рабадановой З.Ч., расположенного по адресу: Ростовская область, Обливский район, х. Леонов, ул. Молодежная, дом 4, к.н. 61:27:0010401:206 (прибор учёта электроэнергии – 1 шт).</t>
  </si>
  <si>
    <t>Обеспечение коммерческим учетом электрической энергии в точке поставки, по присоединению жилого дома Курчиева С.Г., расположенного по адресу: Ростовская область, Морозовский район, х. Сибирки, ул. Большая Садовая, д. 13, к.н. 61:24:0060601:225 (прибор учёта электроэнергии - 1шт)</t>
  </si>
  <si>
    <t xml:space="preserve">Обеспечение коммерческим учетом электрической энергии  в точке поставки, по присоединению энергопринимающих устройств «Сетевая видеокамера» Администрации Советского района, расположенного по адресу: Ростовская область, Советский район, ст. Советская, ул. 40 лет Октября д. 72, ул. Красноармейская д. 1,ул. Советская д. 29, ул. Красноармейская д. 41, кадастровые номера отсутствуют ( количество приборов учета электроэнергии – 4 шт).
</t>
  </si>
  <si>
    <t>Обеспечение коммерческим учетом электрической энергии в точке поставки, по присоединению уличного освещения двух участков дороги асфальтобетонной Муниципального образования «Жирновское сельское поселение», расположенных по адресу: Ростовская область, Тацинский район, х. Исаев, пер. Южный, к.н. отсутствует и ул. Черемушки, к.н. отсутствует (количество приборов учета электрической энергии - 2шт)</t>
  </si>
  <si>
    <t>Обеспечение коммерческим учетом электрической энергии в точке поставки, по присоединению уличного освещения дороги асфальтобетонной Муниципального образования «Жирновское сельское поселение», расположенного по адресу: Ростовская область, Тацинский район, х. Исаев, пер. Южный, к.н. отсутствует и  ул.Черёмушки, к.н. отсутствует (количество приборов учета электрической энергии-2шт).</t>
  </si>
  <si>
    <t>Обеспечение коммерческим учетом электрической энергии  в точке поставки, по присоединению уличного освещения дороги асфальтобетонной Муниципального образования «Верхнеобливское сельское поселение», расположенного по адресу: Ростовская область, Тацинский район, х. Новониколаевский, ул. Ленина, к.н. отсутствует (прибор учета электроэнергии – 1шт).</t>
  </si>
  <si>
    <t>Обеспечение коммерческим учетом электрической энергии в точке поставки, по присоединению жилого дома Филенко С.Н., расположенного по адресу: Ростовская область, Тарасовский район, х. Ерофеевка, ул. Школьная, д.18, к.н. 61:37:0050401:496 (прибор учёта электроэнергии - 1шт)</t>
  </si>
  <si>
    <t>Обеспечение коммерческим учетом электрической энергии в точке поставки, по присоединению уличного освещения дороги асфальтобетонной, автомобильной, Муниципального образования «Ефремово-Степановское сельское поселение», расположенного по адресу: Ростовская область, Тарасовский район, сл. Ефремово-Степановка, ул. Буденного, к.н. 61:37:0080101:654 (прибор учёта электроэнергии - 1шт)</t>
  </si>
  <si>
    <t>3</t>
  </si>
  <si>
    <t>Обеспечение коммерческим учетом электрической энергии  в точке поставки, по присоединению гаража Подболотовой Т.М., расположенного по адресу: Ростовская область, г. Морозовск, ул. Халтурина 179, №25, к.н. 61:24:0013011:127(прибор учёта электроэнергии - 1шт)</t>
  </si>
  <si>
    <t>Обеспечение коммерческим учетом электрической энергии  
в точке поставки, по присоединению жилого дома Матосян Н.Р., расположенного по адресу: Ростовская область, Тарасовский район,  х. Новоалексеевка, ул. Новоалексеевская, д. 4, к.н. отсутствует(прибор учета электроэнергии – 1шт).</t>
  </si>
  <si>
    <t>'Обеспечение коммерческим учетом электрической энергии  в точке поставки, по присоединению жилого дома Гуляевой Н.Г., расположенного по адресу: Ростовская область, Морозовский р-н, х. Морозов, ул. Кольцевая, д. 29 а, к.н. 61:24:0080102:514 (прибор учёта электроэнергии - 1шт).</t>
  </si>
  <si>
    <t>'Установка прибора коммерческого учёта электрической энергии, для присоединения жилого дома Ефимовой Г.А., расположенного по адресу:Ростовская область, Белокалитвинский р-н, х. Усть-Быстрый, ул. Нижняя, д. 61 а, к.н. 61:04:0070202:157 (прибор учёта электроэнергии - 1шт)</t>
  </si>
  <si>
    <t>'Установка прибора коммерческого учёта электрической энергии, для присоединения жилого дома Рубанова Ю.В., расположенного по адресу: Ростовская область, Белокалитвинский р-н, х. Богураев, ул. Нижняя, д. 52 А, к.н. 61:04:160108:212 (прибор учёта электроэнергии - 1шт)</t>
  </si>
  <si>
    <t>'Установка прибора коммерческого учёта электрической энергии, для присоединения магазина Тереховой А.П., расположенного по адресу: Ростовская область, Белокалитвинский р-н., с. Литвиновка,  ул. З. Космодемьянской, д. 3 а, к.н. 61:04:0060108:502 (прибор учёта электроэнергии - 1шт)</t>
  </si>
  <si>
    <t>'Установка прибора коммерческого учёта электрической энергии, для присоединения малоэтажной жилой застройки Боярской Веры Леонидовны., расположенного по адресу: Ростовская область, Белокалитвинский р-н, п. Сосны, ул. Заречая,  д. 1, к.н. 61:47:0010220:71 (прибор учёта электроэнергии - 1шт)</t>
  </si>
  <si>
    <t>Обеспечение коммерческим учетом электрической энергии  в точке поставки, по присоединению помещений торгового павильона Королёвой С.А., расположенных по адресу: Ростовская область, Милютинский р-н, ст. Маньково - Березовская, ул. им. Грекова, д. 44/2 этаж 1,  литер А, а1,а2, к.н. 61:24:0020501:313 (прибор учёта электроэнергии - 1шт).</t>
  </si>
  <si>
    <t>Обеспечение коммерческим учетом электрической энергии  в точке поставки, по присоединениюнаружного освещения Администрации Селивановского с/п, расположенного по адресу: Ростовская область, Милютинский район, х. Кутейников, ул. Ливадная , ул. Центральная, ул.. Гаражная, к.н.з.у. отсутствуют (прибор учета электроэнергии – 1шт)</t>
  </si>
  <si>
    <t>1</t>
  </si>
  <si>
    <t>Обеспечение коммерческим учетом электрической энергии  в точке поставки, по присоединению наружного уличного освещения Администрации Селивановского с/п, расположенного по адресу: Ростовская область, Милютинский район, х. Севостьянов, ул. Молодёжная, к.н.з.у. отсутствует (прибор учета электроэнергии – 1шт)</t>
  </si>
  <si>
    <t>Установка прибора коммерческого учёта электрической энергии, для присоединения жилого дома Кусова С.Д., расположенного по адресу: Ростовская область, Милютинский р-н,  х. Старокузнецов , ул. Центральная д. 169, к.н. 61:23:0030201:1862 (прибор учёта электроэнергии - 1шт)</t>
  </si>
  <si>
    <t>Установка прибора коммерческого учёта электрической энергии, для присоединения ВРУ- 0,22 кВ квартиры Петровой И.А., расположенной по адресу: Ростовская область, Милютинский район, х. Юдин, ул. им. Ломоносова, д. № 35, стр.1, кв.2 (прибор учётаэлектроэнергии - 1шт.).</t>
  </si>
  <si>
    <t>Установка прибора коммерческого учёта электрической энергии  для присоединения жилого дома Алексеева З.И., расположенного по адресу: Ростовская область, Морозовский р-н, х. Парамонов, ул. Школьная, д. 37, к.н. 61:24:0110105:43 (прибор учёта электроэнергии - 1шт)</t>
  </si>
  <si>
    <t>Установка прибора коммерческого учёта электрической энергии, для присоединения жилого дома Шаповаловой И.И., расположенного по адресу: Ростовская область, Морозовский р-н, х. Вознесенский, ул. Вознесенская, д. 32, к.н. 61:24:0030510:28 (прибор учёта электроэнергии - 1шт)</t>
  </si>
  <si>
    <t>Обеспечение коммерческим учетом электрической энергии в точке поставки, по присоединению жилого дома Мельников П.Г.,  расположенного по адресу: Ростовская область, Советский район, х. Русаков, ул. Главная, д. 9 к.н. 61:36:0010201:100(прибор учета электроэнергии – 1шт)</t>
  </si>
  <si>
    <t>Установка прибора коммерческого учёта электрической энергии для присоединения  кафе «Отдых» ИП Бовтко И.В., расположенного по адресу: Ростовская область, Тацинский район, п. Быстрогорский, пер. Торговый, д.7, к.н. 61:38:0040126:10(прибор учета электроэнергии – 1шт).</t>
  </si>
  <si>
    <t>Установка прибора коммерческого учёта электрической энергии для присоединения строящегося здания Ермоленко А.С., расположенного по адресу: Ростовская область, Тацинский район, х. Михайлов, пер. Полевой, д. 2, к.н. 61:38:0030121:170(прибор учета электроэнергии – 1шт).</t>
  </si>
  <si>
    <t>Обеспечение коммерческим учетом электрической энергии (мощности) в точке поставки и установка шкафа 0,22 кВ с коммутационным аппаратом, для присоединения жилого дома Бурлуцкой Р.Н., расположенного по адресу: Ростовская область, Чертковский район, с.Маньково- Калитвенское, ул. Садовая, д.12,  к.н. 61:42:0080132:24</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</si>
  <si>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Кобцева Д.И., расположенного по адресу: Ростовская область, Чертковский район, с. Алексеево-Лозовское, ул. А.Маркина, д. 21, к.н. 61:42:0010101:664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</si>
  <si>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Овсянникова В.М., расположенного по адресу: Ростовская область, Кашарский район, х. Ольховский, ул. Лесная, д.46, к.н. 61:16:0050301:133</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</si>
  <si>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Стеблина В.А., расположенного по адресу: Ростовская область, Кашарский район, с. Лысогорка, ул. Мельничная, д. 2, к.н.з.у. 61:16:0100101:152»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</si>
  <si>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Стукаленко Г..А., расположенного по адресу: Ростовская область, Кашарский район, п. Индустриальный, ул. Ждановская, д. 52, к.н.з.у. 61:16:0060101:828»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</si>
  <si>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квартиры заявителя Жарковой Л.И., расположенной по адресу: Ростовская область, Шолоховский район, х. Калининский, ул. Центральная, д. 9, кв. 2, к.н.з.у. 61:43:0050101:401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</si>
  <si>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Клесовой А.Н., расположенного по адресу: Ростовская область, Шолоховский район, х. Кружилинский, ул. Школьная, д. 77,  к.н.з.у. 61:43:0070101:625</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</si>
  <si>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Харик В.А., расположенного по адресу: Ростовская область, Чертковский район, с. Щедровка, ул. Пролетарская, д. 24,  к.н.з.у. 61:42:0180101:1358</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</si>
  <si>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летней кухни Заявителя, Абитханова Г.Л., расположенного по адресу: Ростовская область, Чертковский район, х. Дудниковский, ул. Речная, д. 67, к.н.з.у. 61:42:0080501:39» (1 шт)</t>
  </si>
  <si>
    <t>"Обеспечение коммерческим учетом электрической энергии(мощности) в точке поставки и установка шкафа 0,22 кВ с коммутационным аппаратом для электроснабжения жилого дома заявителя Гуковской Н.И.,расположенного по адресу:Ростовская область,Боковский  район,х.Коньков,ул.Комунная,д.32,к.н.з.у. 61:05:0000000:5570"</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</si>
  <si>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квартиры Лебедевой Л.В., расположенной по адресу: Ростовская область, Кашарский район, п. Дибровый, ул. Центральная, д. 4 кв. 1 (1 шт)</t>
  </si>
  <si>
    <t>Установка прибора коммерческого учета электрической энергии (мощности) на границе земельного участка, подключенного от опоры №б/н ВЛ-0,4 кВ №1 КТП 10/0,4кВ №277 (балансовая принадлежность Администрация Елизаветинского сельского поселения) ВЛ-10кВ №1815 ПС 35/10 кВ «А-18» для технологического присоединения энергопринимающих устройств жилого дома Заявителя Самсонова О.А., х. Обуховка, Азовский район Ростовская область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</si>
  <si>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квартиры Заявителя Тарасова М.Н., расположенной по адресу: Ростовская область, Чертковский район, х. Крутой, ул. Новая, д. 2, кв. 1, к.н.з.у. 61:42:0050201:196» (1 шт)</t>
  </si>
  <si>
    <t>Установка прибора коммерческого учета электрической энергии (мощности) на границе земельного участка, подключенного от опоры №40-27 ВЛ-0,4 №1 от КТП-40 по ВЛ-10 103 ПС 110 кВ Звонкая, для электроснабжения жилого дома заявителя Мурадяна М.С., Ростовская область, Кагальницкий р-н, п. Березовая Роща, ул. Степная д.15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</si>
  <si>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Заявителя Жиляевой Е.И., расположенного по адресу: Ростовская область, Чертковский район, с. Кутейниково, ул. Первомайская, д. 11, к.н.з.у. 61:42:0070101:142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</si>
  <si>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квартиры Заявителя Заика А.Н., расположенной по адресу: Ростовская область, Чертковский район, х. Лозовой, ул. Центральная, д. 21, кв.2, к.н.з.у. 61:42:0060501:346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</si>
  <si>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квартиры Заявителя Игнатовой Е.В., расположенной по адресу: Ростовская область, Чертковский район, с. Алексеево-Лозовское, ул. Песчаная, д. 20, кв. 2, к.н.з.у. 61:42:0010101:3732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</si>
  <si>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квартиры Заявителя Макаренко В.Н., расположенной по адресу: Ростовская область, Боковский район, х. Верхнечирский, ул. Мира, д. 130, кв. 2, к.н.з.у. 61:05:0020103:109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</si>
  <si>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Пегиной Н.Г., расположенного по адресу: Ростовская область, Верхнедонской район, х. Тубянский, ул. Тубянская, д. 77, корп. в,  к.н.з.у. 61:07:0080401:283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</si>
  <si>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Заявителя Сорокиной К.Ю., расположенного по адресу: Ростовская область, Миллеровский район, х. Банниково-Александровский, ул. Восточная, д. 16, к.н.з.у. 61:22:0010201:96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</si>
  <si>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квартиры Заявителя, МП "Энергосервис" Кашарского района., расположенной по адресу: Ростовская область, Кашарский район, п. Новопавловка, ул. Южная, д. 4Б, кв. 3, к.н.з.у. 61:16:0130301:96</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</si>
  <si>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МП "Энергосервис" Кашарского района., расположенной по адресу: Ростовская область, Кашарский район, п. Новопавловка, ул. Южная, д. 4В, кв. 2, к.н.з.у. 00:00:000000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</si>
  <si>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Калантаровой Е.В., расположенного по адресу: Ростовская область, Чертковский район, х. Новостепановский, ул. Степная, д. 3а, к.н.з.у. 61:42:0030201:45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</si>
  <si>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Булдачевского Н.В., расположенного по адресу: Ростовская область, Шолоховский район, х. Варваринский, ул. Большая, д. 17, к.н.з.у. 61:43:0080201:280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</si>
  <si>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Сухаревой Т.М., расположенной по адресу: Ростовская область, Боковский район, х. Латышев, ул. Окраина, д. 13, кв. 1, к.н.з.у. 61:05:0040601:0:90/1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</si>
  <si>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Черняк В.В., расположенного по адресу: Ростовская область, Шолоховский район, х. Зубковский, ул. Лесная, д. 1, к.н.з.у. 61:43:0030301:192 (1 шт.)</t>
  </si>
  <si>
    <t xml:space="preserve">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МП «Энергосервис» Кашарского района, расположенной по адресу: Ростовская область, Кашарский район, п. Новопавловка, ул. Южная, д. 4В, кв. 1, к.н.з.у. 00:00:000000 (1 шт.)
</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</si>
  <si>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Колесникова В.В., расположенного по адресу: Ростовская область, Верхнедонской район, ст. Шумилинская, ул. Заречная, д. 54, к.н.з.у. 61:07:0030101:906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</si>
  <si>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Жовнер А.И., расположенного по адресу: Ростовская область, Чертковский район, х. Филипповский, ул. Полевая, д. 8, к.н.з.у. 61:42:0080201:8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</si>
  <si>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Овчелупова Г.Н., расположенного по адресу: Ростовская область, Шолоховский район, х. Колундаевский, ул. Заречная, д. 2, к.н.з.у. 61:43:0060101:1065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</si>
  <si>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Толмачева В.Н., расположенного по адресу: Ростовская область, Миллеровский район, х. Терновой, ул. Школьная, д. 88, к.н.з.у. 61:22:0061001:807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</si>
  <si>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Сокирко О.А., расположенной по адресу: Ростовская область, Шолоховский район, х. Меркуловский, ул. Восточная, д. 34, кв. 1, к.н.з.у. 61:43:0080101:2559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</si>
  <si>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торгового павильона Заявителя ИП Балыкиной М.А., расположенного по адресу: Ростовская область, Чертковский район, х. Артамошкин, ул. Центральная, в 10 м севернее здания Администрации Донского сельского поселения, к.н.з.у. 61:42:0050101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</si>
  <si>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Корчинской И.В., расположенного по адресу: Ростовская область, Чертковский район, с. Маньково-Калитвенское, ул. Кирова, д. 49, к.н.з.у. 61:42:0080112:78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</si>
  <si>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Кузнецова В.А., расположенной по адресу: Ростовская область, Чертковский район, х. Нагибин, ул. Молодежная, д. 6, кв. 2, к.н.з.у. 61:42:0100201:1373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</si>
  <si>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уличного освещения Заявителя, Администрация МО Маньковское СП, расположенного по адресу: Ростовская область, Чертковский район, с. Маньково-Калитвенское, ул. Калинина, ул. Комсомольская</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</si>
  <si>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Ищенко К.П., расположенного по адресу: Ростовская область, Чертковский район, х. Касьяновка, ул. Сельская, д. 25, к.н.з.у. 61:42:0190301:6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</si>
  <si>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квартиры Заявителя Коренюгиной А.С., расположенной по адресу: Ростовская область, Боковский район, ст. Каргинская, ул. Советская, д. 51, кв. 2, к.н.з.у. 61:05:0040104:14</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</si>
  <si>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Вороновой Л.В, расположенной по адресу: Ростовская область, Верхнедонской район, х. Раскольный, ул. Раскольная, д. 27, кв. 1, к.н.з.у. 61:07:0010401:306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</si>
  <si>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Юрасова В.П., расположенной по адресу: Ростовская область, Чертковский район, с. Алексеево-Лозовское, ул. Спортивная, д. 10, кв. 1, к.н.з.у. 61:42:0010101:885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</si>
  <si>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земельного участка Заявителя Каппушева Б.Н, расположенного по адресу: Ростовская область, Верхнедонской район, ст. Казанская, ул. Трудовая, д. 9, к.н.з.у. 61:07:0050101:9714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</si>
  <si>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Жуковского А.И., расположенного по адресу: Ростовская область, Чертковский район, с. Осиково, пер. Зеленый, д. 9, к.н.з.у. 61:42:0190101:389</t>
  </si>
  <si>
    <t>Установка прибора учета электрической энергии (мощности) в точке поставки и установка шкафа 0,22 кВ с коммутационным аппаратом для электроснабжения гаража Заявителя ИП Шандарович А.Н., расположенного по адресу: Ростовская область, Чертковский район, х. Нагибин, ул. Лесная, 19, к.н.з.у. 61:42:0100201:94</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</si>
  <si>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Клименко Ю.Н., расположенного по адресу: Ростовская область, Кашарский район, сл. Верхнемакеевка, ул. Гагарина, д. 29, к.н.з.у. 61:16:0030102:163</t>
  </si>
  <si>
    <t>Установка прибора учета электрической энергии (мощности) в точке поставки и установка шкафа 0,22 кВ с коммутационным аппаратом для электроснабжения уличного освещения Заявителя, Администрация  Первомайского СП, расположенного по адресу: Ростовская область, Миллеровский район, х. Фоминка, ул. Лунная, к.н.з.у. 00:00:000000:00</t>
  </si>
  <si>
    <t>Установка прибора учета электрической энергии (мощности) в точке поставки и установка шкафа 0,22 кВ с коммутационным аппаратом для электроснабжения уличного освещения Заявителя, Администрация  Первомайского СП, расположенного по адресу: Ростовская область, Миллеровский район, х. Фоминка, ул. Шолохова, к.н.з.у. 00:00:000000:00</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</si>
  <si>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Недосековой О.В., расположенного по адресу: Ростовская область, Кашарский район, сл. Поповка, ул. Большая Садовая, д. 60  к.н.з.у. 61:16:0130101:450</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</si>
  <si>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Овчарова В.В., расположенного по адресу: Ростовская область, Чертковский район, с. Сохрановка, ул. Первомайская, д. 28, к.н.з.у. 61:42:0150101:85»</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</si>
  <si>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Павлова А.А., расположенного по адресу: Ростовская область, Кашарский район, х. Сергеевка, ул. Кирсановская, 18, к.н.з.у. 61:16:0150101:324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</si>
  <si>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Просвирина В.В., расположенного по адресу: Ростовская область, Чертковский район, х. Богуны, ул. Ивановская, д. 14, к.н.з.у. 61:42:0060101:24»</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</si>
  <si>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Воробьевой Л.В., расположенного по адресу: Ростовская область, Чертковский район, сл. Анно-Ребриковская, ул. Южная, д. 25, к.н.з.у. 61:42:0030101:241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</si>
  <si>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Гончарова М.В., расположенного по адресу: Ростовская область, Шолоховский район, х. Нижнекривской, ул. Родниковая, д. 35, к.н.з.у. 61:43:0050401:219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</si>
  <si>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Бирюкова Н.Б., расположенного по адресу: Ростовская область, Кашарский район, х. Вяжа, ул. Набережная, 18, к.н.з.у. 61:16:0050101:78</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</si>
  <si>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Абакумова А.П., расположенного по адресу: Ростовская область, Боковский район, х. Грачев, ул. Федотова, д. 39, к.н.з.у. 61:05:0000000:2498</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</si>
  <si>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Сулина И.С., расположенного по адресу: Ростовская область, Чертковский район, х. Полтава, ул. Комарова, д. 7, к.н.з.у. 61:42:0210201:466</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</si>
  <si>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Брехова А.В., расположенного по адресу: Ростовская область, Чертковский район, х. Сетраки, ул. Подтелкова, д. 17, к.н.з.у. 61:42:0140101:742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</si>
  <si>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Гончарова И.С., расположенного по адресу: Ростовская область, Шолоховский район, х. Антоновский, ул. Песочная, д. 11, к.н.з.у. 61:43:0090201:7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</si>
  <si>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Куценко И.А., расположенного по адресу: Ростовская область, Чертковский район, х. Могилянский, ул. Мира, д. 79, к.н.з.у. 61:42:0040201:49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</si>
  <si>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светофора Заявителя, Администрация Чертковского района, расположенного по адресу: Ростовская область, Чертковский район, х. Марьяны, ул. Степная, к.н.з.у. 61:42:02000101:922 (1 шт.)</t>
  </si>
  <si>
    <t>«Установка прибора учета электрической энергии (мощности) в точке поставки и установка шкафа 0,22 кВ с коммутационным аппаратом (1 шт.) для электроснабжения светофора Заявителя, Администрация Чертковского района, расположенного по адресу: Ростовская область, Чертковский район, с. Греково-Степановка, ул. Центральная».</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</si>
  <si>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Курилех В.И., расположенного по адресу: Ростовская область, Чертковский район, сл. Семено-Камышенская, ул. Газовая, д. 9, к.н.з.у. 61:42:0130101:103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</si>
  <si>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Лагутина А.А., расположенного по адресу: Ростовская область, Чертковский район, х. Артамошкин, ул. Степная, д. 2, к.н.з.у. 61:42:0050101:297</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</si>
  <si>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Власовой В.Г., расположенного по адресу: Ростовская область, Чертковский район, с. Тихая Журавка, ул. Калиновая, д. 19, к.н.з.у. 61:42:0100101:329</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</si>
  <si>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Крепак Г.Н., расположенного по адресу: Ростовская область, Чертковский район, с. Маньково-Калитвенское, пер. Луначарского, д. 1, к.н.з.у. 61:42:0080121:1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</si>
  <si>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Беспаловой Т.Н., расположенного по адресу: Ростовская область, Чертковский район, с. Сохрановка, ул. Первомайская, д. 56, к.н.з.у. 61:42:0150101:125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</si>
  <si>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Маковецкого И.И., расположенного по адресу: Ростовская область, Чертковский район, с. Маньково-Калитвенское, ул. Степная, д. 65а, к.н.з.у. 61:42:0080114:29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</si>
  <si>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Пахно А.П., расположенного по адресу: Ростовская область, Чертковский район, х. Дудниковский, ул. Речная, д. 75, к.н.з.у. 61:42:0080501:44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</si>
  <si>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Шабельской И.Н., расположенного по адресу: Ростовская область, Верхнедонской район, п. Октябрьский, ул. Октябрьская, д. 1, к.н.з.у. 61:07:0110101:43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</si>
  <si>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Костенко Н.А., расположенного по адресу: Ростовская область, Чертковский район, х. Терновский, к.н.з.у. 61:42:0150201:36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</si>
  <si>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Иващенко М.В., расположенного по адресу: Ростовская область, Чертковский район, с. Маньково-Калитвенское, пер. Мостовой, д. 4, к.н.з.у. 61:42:0080129:20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</si>
  <si>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Денежкина В.В., расположенного по адресу: Ростовская область, Миллеровский район, сл. Мальчевско-Полненская, пер. Луговой, д. 7, к.н.з.у. 61:22:0060801:163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</si>
  <si>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Бойковой Т.В., расположенного по адресу: Ростовская область, Боковский район, х. Попов, ул. Заречная, д. 9, к.н.з.у. 61:05:0000000:1331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</si>
  <si>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Бортникова С.И, расположенного по адресу: Ростовская область, Верхнедонской район, ст. Мигулинская, ул. Центральная, д. 37, к.н.з.у. 61:07:0090201:2487 (1 шт.)</t>
  </si>
  <si>
    <t>Установка прибора учета для присоединения жилого дома Мега М.В., расположенного по адресу: Ростовская обл., р-н. Аксайский, ст-ца. Ольгинская, пер. 10-й,  д. 1,  корп. Г, кадастровый номер земельного участка: 61:02:0090101:3892» (1шт),</t>
  </si>
  <si>
    <t>Установка прибора учета для присоединения жилого дома Тикутовой Н.М., расположенного по адресу: Ростовская обл., р-н. Аксайский, ст-ца. Ольгинская, пер. Ленинский,  д. 16,  корп. Б, кадастровый номер земельного участка:  61:02:0090103:3147» (1шт)</t>
  </si>
  <si>
    <t xml:space="preserve">Установка прибора учета для присоединения жилого дома Юрченковой Т.И., расположенного по адресу: Ростовская обл., р-н. Аксайский, х. Махин, ул. Атаманская,  д. 15,  корп. А, кадастровый номер земельного участка: 61:02:0090301:458 (1шт)
</t>
  </si>
  <si>
    <t xml:space="preserve">Установка прибора учета для присоединения жилого дома Ким С.К., расположенного по адресу: Ростовская область, Багаевский район, х. Красный, ул. Набережная, д. 25-б, к.н. 61:03:0060104:196
</t>
  </si>
  <si>
    <t>Установка прибора учета для присоединения жилого дома Сугай Я.С., расположенного по адресу: Ростовская область, Багаевский район, х. Усьман, ул. Братская, д. 36-а, к.н. 61:03:0060404:41</t>
  </si>
  <si>
    <t>Установка прибора учета для присоединения жилого дома Полугудцева Р.В., расположенного по адресу: Ростовская обл., р-н. Аксайский, х. Краснодворск, ул. Центральная, д. 42, корп. Б, кадастровый номер земельного участка: 61:02:0110201:300» (1шт)</t>
  </si>
  <si>
    <t>Установка прибора учета для присоединения жилого дома Радченко Л.П., расположенного по адресу: Ростовская обл., р-н. Аксайский, х. Большой Лог, кадастровый номер земельного участка: 61:02:0600011:1679» (1шт)</t>
  </si>
  <si>
    <t>Установка приборов учета для присоединения жилых домов Асташкина И.А., Умягиной М.В., Муженской В.Н., Мирошникова П.В., Носа А.Н., Коледова А.П., Савченко Д.А., расположенных по адресу: Ростовская обл., р-н. Азовский, п. Красный Сад, ул. Шолохова, д. 30, ул. Крылова, д. 24 А, д. 31, д. 36,  корп. А,  д. 37,  корп. А, ул. Чехова,  д. 25,  д. 25,  корп. А ,ул. Тургенева,  д. 13,  корп. А, (8шт)</t>
  </si>
  <si>
    <t>Установка приборов учета для присоединения жилых домов, расположенных по адресу: Ростовская обл., р-н. Азовский, п. Красный Сад, ул. Рубиновая, д. 42, кадастровый номер земельного участка: 61:01:0600007:2173, в границах землепользования СПК(артель) "Красный сад", кадастровый номер земельного участка:  61:01:0600007:2058, 61:01:0600007:1884, 61:01:0600007:2169» (4 шт)</t>
  </si>
  <si>
    <t>Установка прибора учета для присоединения жилого дома Сазонова Д.А., расположенного по адресу: Ростовская обл., р-н. Аксайский, п. Янтарный, ул. Каштановая, участок 5, квартал 54(1шт)</t>
  </si>
  <si>
    <t>Установка прибора учета для присоединения жилого дома Чумакова Г.Н., расположенного по адресу: Ростовская обл., р-н. Аксайский, п. Дорожный, ул. Широкая, д. 24, кадастровый номер земельного участка: 61:02:005010:2273»(1шт)</t>
  </si>
  <si>
    <t>Установка прибора учета для присоединения жилого дома Зюзгинова С.Б., расположенного по адресу: Ростовская область, Багаевский район, ст. Манычская, ул. Широкая, д. 3-а, к.н. 61:03:0040105:411 ( 1 шт)</t>
  </si>
  <si>
    <t>Установка прибора учета для присоединения жилого дома Рудь С.А., расположенного по адресу: Ростовская область, Багаевский район, ст. Манычская, ул. Малая Озерная, д. 9, к.н. 61:03:0040101:15 (1 шт)</t>
  </si>
  <si>
    <t>Установка прибора учета для присоединения ВРУ-0,23кВ жилого здания Бирюковой Н.А, расположенной по адресу: 346630 Российская Федерация, Ростовская обл., р-н. Семикаракорский, г. Семикаракорск, ул. Заводская, д. 73, кадастровый номер земельного участка: 61:35:0110202:16</t>
  </si>
  <si>
    <t>Установка приборов учета для присоединения жилых домов в Аксайском районе Ростовской области» (1 этап 96 шт.)</t>
  </si>
  <si>
    <t>Установка прибора учета для присоединения жилого дома Гвилава Б.К., расположенного по адресу: Ростовская область, Багаевский район, ст. Манычская, ул. Советская, д. 72, к.н. 61:03:0040150:2»(1шт)</t>
  </si>
  <si>
    <t>Установка прибора учета для присоединения жилого дома Недайводина В.В., расположенного по адресу: Ростовская область, Багаевский район, х. Красный, ул. Набережная, д. 41-а, к.н. 61:03:0060104:49»(1шт)</t>
  </si>
  <si>
    <t>Установка прибора учета для присоединения жилого дома Садаева Н.К., расположенного по адресу: Ростовская область, Багаевский район, х. Красный, ул. Мальчевская, д. 33-б, к.н. 61:03:0060103:473</t>
  </si>
  <si>
    <t>Установка прибора учета для присоединения магазина Рузметовой Д.Б., расположенного по адресу: Ростовская область, Багаевский район, х. Красный, ул. Центральная, д. 32-в, к.н. 61:03:0060103:562»(1шт)</t>
  </si>
  <si>
    <t>Установка прибора учета для присоединения жилого дома Казарян С. Л. расположенного по адресу: Ростовская область, Веселовский район, п. Веселый, ул. Советская, 101-а к.н. 61:06:0010110:481»(1шт),</t>
  </si>
  <si>
    <t>Установка прибора учета для присоединения объекта сельхоз. Производства ООО «СЕМЕНЫЧ»., расположенного по адресу: Ростовская обл., р-н. Семикаракорский, примерно в 50 м на северо-восток от х. Слободской, к.н.: 61:35:0600014:324 (1 шт)</t>
  </si>
  <si>
    <t>Установка прибора учета для присоединения жилого дома Шаюсупова А. М., расположенного по адресу: Ростовская обл., р-н. Семикаракорский, х. Большемечетный, ул. Советская, д. 10, к.н.: 61:35:0020101:1681»(1шт)</t>
  </si>
  <si>
    <t>Строительство ВЛ 0,4 кВ от ВЛ 0,4 кВ №1 КТП №434 ВЛ 10 кВ №1103 ПС 110 кВ АС11 для электроснабжения ВРУ 0,4 кВ жилого дома Дятловой Н. А. на участке с КН 61:02:0600009:2985 в ст-це Мишкинская Аксайского района Ростовской области (ориентировочная протяжённость ЛЭП 0,24 км)</t>
  </si>
  <si>
    <t>Установка приборов учета для присоединения жилых домов, расположенных по адресу: Ростовская обл., р-н. Аксайский, г. Аксай, х. Веселый, х. Большой Лог, х. Киров, р-н. Азовский, п. Красный Сад» (18 шт)</t>
  </si>
  <si>
    <t>Строительство ВЛ 0,4 кВ от ВЛ 0,4 кВ №2 КТП 10/0,4 кВ №23 ВЛ 10 кВ №261 ПС 110 кВ БГ2 для электроснабжения жилого дома Грицко Г.П. по адресу РО, Багаевский район, ст. Манычская, пер. Восточный, д. 1, к.н. 61:03:0040124:7</t>
  </si>
  <si>
    <t>Установка прибора учета для присоединения шкафа телекоммуникационного ПАО «Ростелеком», расположенного по адресу: Ростовская область, Багаевский район, п. Отрадный, южнее ул. Молодежная, д. 1-а, к.к. 61:03:0050103»(1шт)</t>
  </si>
  <si>
    <t>Установка прибора учета для присоединения  жилого дома Полторакина В. В. расположенного по адресу: Ростовская область, Веселовский район, п. Веселый, ул. Советская, 9-а к.н. 61:06:0010128:519»(1шт)</t>
  </si>
  <si>
    <t>Строительство ВЛ 0,4 кВ от ВЛ 0,4 кВ №1 ТП 10 кВ №450 ВЛ 10 кВ №1103 ПС 110 кВ АС11 для электроснабжения ВРУ 0,22 кВ жилого дома Батуева В. В. на участке с КН 61:02:0600009:1066 в ст-це Мишкинская Аксайского района Ростовской области (ориентировочная протяжённость ЛЭП 0,037 км)</t>
  </si>
  <si>
    <t>Установка системы учета для технологического присоединения «жилого дома», расположенного по адресу: Российская Федерация, Ростовская область, р-н Сальский, с. Екатериновка, ул. Кирова, д.9,  к.н.з.у. 61:34:0050101:3829, заявитель Сорокин Ю.Ю. (1 шт.)</t>
  </si>
  <si>
    <t>Установка системы учета для технологического присоединения «храм», расположенного по адресу: 347763, РФ, Ростовская область, Целинский район, п. Вороново, ул. Рубликова, д. 1 «А», к.н. з.у.: 61:40:0030101:3274, заявитель ООО «Кировский конный завод» (1 шт.)</t>
  </si>
  <si>
    <t xml:space="preserve"> Установка системы учета для технологического присоединения объекта «жилой дом», расположенного по адресу: 347523, РФ, Ростовская область, Орловский район, х. Островянский, ул. Школьная,9/2, к.н.з.у.: 61:29:0070101:160, заявитель   Ивкина С.В.  (1шт.)</t>
  </si>
  <si>
    <t>Установка системы учета для технологического присоединения «дачного дома», расположенного по адресу: Российская Федерация, Ростовская обл., р-н Сальский, х. Бровки, д.9, СНТ №2 «Бровки», ул. Цветочная, д. 9., к.н.з.у.:61:34:0500801:508, заявитель Белогурова Е. А.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</si>
  <si>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«Локомотивщик», ул. Абрикосовая, д. 13, к.н.з.у.:61:57:0010977:1366, заявитель Штылев А. В. (1 шт.)</t>
  </si>
  <si>
    <t>Установка системы учета для технологического присоединения объекта – «объект животноводства», расположенного по адресу: РФ, Ростовская область, Пролетарский район, по границе п. Опенки по направлению на юг, к.н 61:31:0600012:998, заявитель Ковалёва Е.В. (1 шт.)</t>
  </si>
  <si>
    <t>«Установка системы учета для технологического присоединения объекта – «дачный дом», расположенного по адресу: РФ, Ростовская область, Пролетарский район, п. Приманычский, к.н 61:31:0600008:1481, заявитель Колупаева Н.Л.» (1 шт.)</t>
  </si>
  <si>
    <t>Установка системы учета для технологического присоединения «жилого дома», расположенного по адресу: 347629 Российская Федерация, Ростовская обл., р-н Сальский, п. Приречный, ул. Степная, д. 14, кадастровый номер земельного участка: 61:34:0130101:315, заявитель Якушина О.В. (1 шт.)</t>
  </si>
  <si>
    <t>Установка системы учета для технологического присоединения «нежилого помещения», расположенного по адресу: 347568, РФ, Ростовская область, Песчанокопский район, с. Летник, ул. Ленина, 50/11 пом. №8,9,10 к.н.  61:30:0060101:5096, заявитель ИП Малютина Г.И. (1 шт.)</t>
  </si>
  <si>
    <t>Установка системы учета для технологического присоединения «объект торговли», расположенного по адресу: 347627, Российская Федерация, Ростовская обл., р-н. Сальский, п. Сеятель Северный, ул. Садовая, д. 52,  кв./оф. 2, кадастровый номер земельного участка: 61:34:0070101:2032, заявитель Кислица А.И. (1 шт.)</t>
  </si>
  <si>
    <t xml:space="preserve">Установка системы учета для технологического присоединения «магазина», расположенного по адресу: 347568, РФ, Ростовская область, Песчанокопский район, с. Летник, ул. Мичурина,129/1, к.н.з.у.: 61:30:0060101:5200, заявитель ИП Ковалева Г.А. (1 шт.) </t>
  </si>
  <si>
    <t>Установка системы учета для технологического присоединения «жилого помещения», расположенного по адресу: 347609, Российская Федерация, Ростовская обл., р-н. Сальский, п. Белозерный, пер. Молодёжный, д. 6, кв./оф. 1, кадастровый номер земельного участка: 61:34:0080101:1868, заявитель ООО «Белозёрное». (1 шт.)</t>
  </si>
  <si>
    <t>Установка системы учета для технологического присоединения «жилого дома», расположенного по адресу: 347569, РФ, Ростовская область, Песчанокопский район, с. Рассыпное, ул. Садовая, д. 24, к.н. з. у.: 61:30:0100101:424, заявитель Табунщик М.К. (1 шт.)</t>
  </si>
  <si>
    <t xml:space="preserve">Установка системы учета для технологического присоединения объекта «нежилое здание», расположенного по адресу: 347500, РФ, Ростовская область, Орловский район, п. Красноармейский, ул. Горького,21, к.н. з.у.: 61:29:0060123:119, заявитель Администрация Красноармейского сельского поселения (1 шт.) </t>
  </si>
  <si>
    <t>Установка системы учета для технологического присоединения «жилой дом, расположенного по адресу: 347760, РФ, Ростовская область, Целинский район, п. Новая Целина, ул. Дружбы, 26, к.н. з.у.: 61:40:0010146:62, заявитель Бабыкин Александр Константинович (1 шт.)"</t>
  </si>
  <si>
    <t xml:space="preserve"> «Установка системы учета для технологического присоединения объекта «бытовка», расположенного по адресу: 347526, РФ, Ростовская область, Орловский район, примерно в 3,5км по направлению на запад от ориентира х. Верхне-Водянный к.н. з.у.: 61:29:0600013:143, заявитель ИП Безмогорычный А.В. (1шт.)"</t>
  </si>
  <si>
    <t>Установка системы учета для технологического присоединения «жилой дом», расположенного по адресу: РФ, Ростовская область, Целинский район, х. Северный, ул. Новая, д. 1а/2, к.н. з.у.: 61:40:0031101:2438, заявитель Дилаверова Фатима Нусуровна (1 шт.)</t>
  </si>
  <si>
    <t>Установка системы учета для технологического присоединения «весовой», расположенной по адресу: РФ, Ростовская область, Песчанокопский район,  с. Развильное, ул. Северная, 1-а к.н. з. у.: 61:30:0090101:9780, заявитель ИП глава КФХ Галабурдо П.С.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</si>
  <si>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Токмацкий, пер. Шолохова, д. 15, к.н. з.у.: 61:29:0061001:119, заявитель Костырина А.А.» (1 шт.)</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</si>
  <si>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Луганский, пер. Майский, д. 11, к.н. з.у.: 61:29:0010501:981, заявитель Лукьянченко В.Г. (1 шт.)</t>
  </si>
  <si>
    <t>«Установка системы учета для технологического присоединения «жилого дома», расположенного по адресу: Российская Федерация, Ростовская обл.,  р-н Сальский, х. Бровки, СНТ №2 «Бровки», пер. Дачный, 17, кадастровый номер земельного участка: 61:34:0500801:378, заявитель Павленко С.А.»</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</si>
  <si>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«Приток», 
ул. Садовая, 19 участок 26, кадастровый номер земельного участка: 61:34:0500401:407, заявитель Пономарев А.С.»</t>
  </si>
  <si>
    <t>"Установка системы учета для технологического присоединения «жилого дома», расположенного по адресу: 347770, РФ, Ростовская область, Целинский район, с. Степное, ул. Школьная, 73 к.н. з. у.: 61:40:0090101:250, заявитель Сулейманов О.А." (1 шт.)</t>
  </si>
  <si>
    <t>"Установка системы учета для технологического присоединения «садового дома», расположенного по адресу: Российская Федерация, Ростовская обл.,   Сальский район, х. Бровки, ул. Береговая, д. 41, кадастровый номер земельного участка: 61:34:0500801:1263, заявитель Архипов С.А. (1 шт.)"</t>
  </si>
  <si>
    <t>"Установка системы учета для технологического присоединения «садовый домик», расположенного по адресу: Российская Федерация, Ростовская обл., р-н. Сальский, СНТ "Колос», линия 7, участок 5, кадастровый номер земельного участка: 61:34:0500501:499, заявитель Бородаенко А.В." (1 шт.)</t>
  </si>
  <si>
    <t>Строительство ВЛ 0,4 кВ от опоры №2-02/11 ВЛ 0,4 кВ Л-2 КТП 10/0,4 кВ  № 280 по ВЛ 10 кВ Л-7 Кундрюченская, для электроснабжения объекта – «жилой дом», расположенного по адресу: РФ, Ростовская область, Орловский район, х. Луганский, ул. 50 лет Октября, д. 1а, к.н. з.у.: 61:29:0010501:2373, заявитель Гайдукова О.А.» (Ориентировочная протяженность ЛЭП – 0,045 км)</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</si>
  <si>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«Железнодорожник», бригада 5, участок 19 кадастровый номер земельного участка: 61:57:0010977:1226, заявитель Голубнякова Е.А.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</si>
  <si>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"Железнодорожник", 1 бригада, участок 19, кадастровый номер земельного участка: 61:57:0010977:1310, заявитель Мартынов А.Ю." (1 шт.)</t>
  </si>
  <si>
    <t>"Установка системы учета для технологического присоединения «жилого дома», расположенного по адресу: 347636, Российская Федерация, Ростовская обл., р-н. Сальский, г. Сальск, СНТ «Железнодорожник», 11 бригада, д.21 кадастровый номер земельного участка: 61:57:0010977:1304, заявитель Новоселова Н. Е."  (1 шт.)</t>
  </si>
  <si>
    <t>"Установка системы учета для технологического присоединения «жилого дома», расположенного по адресу: 347636 Российская Федерация, Ростовская обл., р-н. Сальский, г. Сальск, СНТ «Железнодорожник», бригада 1, участок 34, кадастровый номер земельного участка: 61:57:0010977:1359, заявитель Орлова Т.И." (1 шт.)</t>
  </si>
  <si>
    <t>"Установка системы учета для технологического присоединения «отделение почтовой связи», расположенного по адресу: 347629 Российская Федерация, Ростовская обл., р-н. Сальский, п. Приречный, пл. Юбилейная, д. 2, кадастровый номер земельного участка: 61:34:0130101:510, заявитель АО «Почта России» (1 шт.)"</t>
  </si>
  <si>
    <t>"Установка системы учета для технологического присоединения «объекты дорожного хозяйства (светофорные объекты, объекты видеофиксации)», расположенного по адресу: Российская Федерация, Ростовская обл., р-н. Сальский, с. Новый Егорлык, 23 км 500 м автодороги " г. Сальск - с. Новый Егорлык - Яшалта", Сальский р-н (с. Новый Егорлык, ул. Советская, напротив ул. Советская, д.1А), кадастровый номер земельного участка: 61:34:0110101:1378, заявитель Государственное казенное учреждение Ростовской области «Центр безопасности дорожного движения». (1 шт.)"</t>
  </si>
  <si>
    <t xml:space="preserve">Установка коммерческого учета электрической энергии (мощности) на границе земельного участка, подключенного от опоры №57-10 ВЛ-0,4  № 1 КТП-10/0,4 кВ №57 ВЛ-10кВ № 801  ПС 110/35/10 кВ Роговская, для электроснабжения нежилого помещения № 5,7-18 заявителя ИП Мазуренко В.В. ,ул. им.Сергея Пешеходько, 39, п.Роговский, Егорлыкский район, Ростовская область </t>
  </si>
  <si>
    <t>Установка коммерческого учета электрической энергии (мощности) на границе земельного участка, подключенного от опоры №4-93 ВЛ-0,4 кВ №3 КТП-10/0,4 кВ №4 по ВЛ-10 кВ №305 ПС 35/10 кВ "КГ-3", для электроснабжения жилого дома заявителя Аристакесян К.Г. Кагальницкий р-н, ст. Кировская, ул.Садовая д.34 Ростовская область</t>
  </si>
  <si>
    <t>Установка коммерческого учета электрической энергии (мощности) на границе земельного участка, подключенного от опоры №135-70 ВЛ-0,4 кВ № 3 КТП-10/0,4 кВ №135 ВЛ-10 кВ №805 от ПС 110/10 кВ «БОС», для электроснабжения жилого дома заявителя Енина С.Э.  Ростовская область, Кагальницкий р-н., п. Мокрый Батай, ул. Мира дом 25</t>
  </si>
  <si>
    <t xml:space="preserve">Установка коммерческого учета электрической энергии (мощности) на границе земельного участка, подключенного от опоры №25-105 ВЛ- 0,4 кВ №1 КТП-10/0,4 кВ №25 по ВЛ-10 кВ №1006 ПС 110/10 кВ "Полячки", для электроснабжения жилого дома заявителя Койло А.И. Кагальницкий р-н, х. Родники, ул.Школьная д.24 кв. 3, Ростовская область  </t>
  </si>
  <si>
    <t>Установка коммерческого учета электрической энергии (мощности) на границе земельного участка, подключенного от опоры № 74-34 ВЛ-0,4 кВ №2 КТП-10/0,4 кВ №74 по ВЛ-10 кВ № 413 ПС 35/10 кВ «КГ-4», для электроснабжения социально реабилитационного центра заявителя МБУ "Центр социального обслуживания граждан пожилого возраста и инвалидов" Кагальницкого района п. Васильево-Шамшево, ул. Жукова д.2А, Ростовская область</t>
  </si>
  <si>
    <t xml:space="preserve">Установка коммерческого учета электрической энергии (мощности) на границе земельного участка, подключенного от опоры №117-32 ВЛ-0,4 кВ №1 КТП-10/0,4 кВ №177 ВЛ-10 кВ №904 ПС 110/35/10 кВ Балко-Грузская, для электроснабжения участка заявителя Милованова В.П., бытовое помещение (вагончик), х. Балко-Грузский, Егорлыкский район, Ростовская область  </t>
  </si>
  <si>
    <t>Установка коммерческого учета электрической энергии (мощности) на границе земельного участка, подключенного от опоры №117-50 ВЛ-0,4 кВ №1 КТП-10/0,4 кВ №177 ВЛ-10 кВ №904 ПС 110/35/10 кВ Балко-Грузская, для электроснабжения участка заявителя Миловановой А.В., бытовое помещение (вагончик), х. Балко-Грузский, Егорлыкский район, Ростовская область</t>
  </si>
  <si>
    <t xml:space="preserve">'Установка коммерческого учета электрической энергии (мощности) на границе земельного участка, подключенного от опоры №52-133 ВЛ-0,4 кВ № 4 КТП-10/0,4 кВ №52 ВЛ-10 кВ №319 от ПС 35/10 кВ «КГ-3», для электроснабжения жилого дома заявителя Бадаловой Ю.Я.  Ростовская область, Кагальницкий р-н., ст. Кировская, ул. Крупской д.30   </t>
  </si>
  <si>
    <t xml:space="preserve">Установка коммерческого учета электрической энергии (мощности) на границе земельного участка, для технологического присоединения энергопринимающих устройств заявителей: Элоян А.Г., Поляков А.Н. в Зерноградском районе Ростовской области </t>
  </si>
  <si>
    <t>Строительство системы учета для технологического присоединения энергопринимающих устройств Заявителей: Головченко Н.Ф., Кутровский А.Н. в Зерноградском, Кагальницком районе Ростовской области</t>
  </si>
  <si>
    <t xml:space="preserve">Строительство системы учета для технологического присоединения энергопринимающих устройств Заявителя Терещенко В.П., Кагальницкий р-н. Ростовская область </t>
  </si>
  <si>
    <t>Установка коммерческого учета электрической энергии (мощности)  для технологического присоединения энергопринимающих устройств Заявителей: Болдаревой Л.Е., Мироновой М.О., Кагальницкий р-н, Игнатенко М.Г. Зерноградский р-н, Ростовская область ( 3 шт.)</t>
  </si>
  <si>
    <t xml:space="preserve">Установка коммерческого учета электрической энергии (мощности)  для технологического присоединения энергопринимающих устройств Заявителей: Дороничева Е.М., Кагальницкий р-он, Латыпов М.М., Зерноградский р-он, Ростовская область (2 шт.) </t>
  </si>
  <si>
    <t>Установка прибора коммерческого учета электрической энергии (мощности) на границе земельного участка, подключенного от оп. №24-58 ВЛ-0,4 кВ №2 КТП-10/0,4 кВ №24 по ВЛ-10 кВ № 104 ПС 110/35/10 кВ «3вонкая» для электроснабжения ЛПХ заявителя Аветисова А.С. ст. Хомутовская, Кагальницкий р-он, Ростовская область ( 1 шт.)</t>
  </si>
  <si>
    <t xml:space="preserve">Установка коммерческого учета электрической энергии (мощности) для технологического присоединения энергопринимающих устройств Заявителей: Полеев А.А., Тепкина Н.Н., ИП Цаплев В.В., Зубова Т.Н, Сергушкин А.Ю., Кагальницкий р-он Ростовская область ( 5 шт.)  </t>
  </si>
  <si>
    <t>Установка коммерческого учета электрической энергии (мощности) на границе земельного участка, подключенного от оп. оп. № 9-46 ВЛ-0,4 кВ №4 КТП-10/0,4 кВ №9 по ВЛ-10 кВ №612 ПС 35/10 кВ «КГ-6», для электроснабжения ЛПХ по заявке Спыну С.И., Кагальницкий р-он. с. Новобатайск ул. Крым-Гереевская  д.18Б  , Ростовская область (1 шт.)</t>
  </si>
  <si>
    <t xml:space="preserve">Установка коммерческого учета электрической энергии (мощности) на границе земельного участка, подключенного от оп. оп. №68-69 ВЛ-0,4 кВ №3 КТП-10/0,4 кВ №68 по ВЛ-10 кВ №603 ПС 35/10 кВ «ЗР-6», для электроснабжения магазина по заявке Стрижакова С.Б., Кагальницкий р-он. п. Лободин ул. Дорожная д.4а, Ростовская область (1 шт.) </t>
  </si>
  <si>
    <t xml:space="preserve">'Строительство участка ВЛИ-0,4кВ от №184-28 ВЛ-0,4 кВ №3 КТП 10/0,4 кВ №184 ВЛ-10кВ №3113 ПС 110/35/10 кВ «А-31» и системы учета электрической энергии (мощности) на границе земельного участка для электроснабжения жилого дома заявителя Макеевой А.С., с. Пешково, Азовский р-он Ростовская область (ориентировочная протяженность ЛЭП – 0,07 км) </t>
  </si>
  <si>
    <t xml:space="preserve">Установка коммерческого учета электрической энергии (мощности) на границе земельного участка, подключенного от опоры №167-16 ВЛ-0,4 кВ №3 КТП-10/0,4 кВ №167 по ВЛ-10 кВ № 106Н ПС 110/6/10 кВ «НС-1», для электроснабжения жилого дома заявителя Алиева М.М., ДНТ «Кулешовка», Ростовская область </t>
  </si>
  <si>
    <t>Установка коммерческого учета электрической энергии (мощности) на границе земельного участка, подключенного от опоры №185-15 ВЛ-0,4 кВ №1 КТП 10/0,4кВ №185 ВЛ-10кВ №106Н ПС 110/6/10 кВ «НС-1», для электроснабжения жилого дома заявителя Иоанова И.С., с. Кулешовка, Ростовская область</t>
  </si>
  <si>
    <t xml:space="preserve">Установка коммерческого учета электрической энергии (мощности) на границе земельного участка, подключенного от опоры №101-57 ВЛ-0,4 кВ №1 КТП-10/0,4 кВ №101 ВЛ-10 кВ №2412 ПС 35/10 кВ "А-24", для электроснабжения жилого дома заявителя Бездольного С.Л., х. Полушкин, Азовский р-он Ростовская область  </t>
  </si>
  <si>
    <t>Установка коммерческого учета электрической энергии (мощности) на границе земельного участка, подключенного от опоры №162-48 ВЛ-0,4 кВ №1 КТП 10/0,4кВ №162 ВЛ-10кВ №1702 ПС 35/10 кВ «А-17», для электроснабжения участка заявителя Безродного В.М., с. Круглое, Азовский р-он Ростовская область</t>
  </si>
  <si>
    <t xml:space="preserve">Установка коммерческого учета электрической энергии (мощности) на границе земельного участка, подключенного от опоры №б/н ВЛ-0,4 кВ №1 КТП 10/0,4кВ №10 (бесхозное) ВЛ-10кВ №202Н ПС 110/6/10 кВ «НС-2», для электроснабжения жилого дома заявителя Дзыс И.А., с. Кулешовка, Азовский р-он Ростовская область </t>
  </si>
  <si>
    <t xml:space="preserve">Установка коммерческого учета электрической энергии (мощности) на границе земельного участка, подключенного от опоры №б/н ВЛ-0,4 кВ КТП-10/0,4 кВ №94 (балансовая принадлежность Администрациия Елизаветинского сельского поселения) по ВЛ-10 кВ №2907 РП-29 ПС 35/10 кВ "А-18", для электроснабжения жилого дома заявителя Крамарченковой И.Н., х.Казачий Ерик, Ростовская область  </t>
  </si>
  <si>
    <t xml:space="preserve">Установка коммерческого учета электрической энергии (мощности) на границе земельного участка, подключенного от опоры №б/н ВЛ-0,4 кВ №1 КТП-10/0,4 кВ №249 (балансовая принадлежность СТ "Энтузиаст") по ВЛ-10 кВ №2907 РП-29 ПС 35/10 кВ "А-18", для электроснабжения жилого дома заявителя Соловьевой Б.Т., х. Полушкин, Азовский р-он Ростовская область </t>
  </si>
  <si>
    <t>Строительство участка ВЛИ-0,4кВ от оп. №17-30 ВЛ-0,4кВ №1 КТП 10/0,4 кВ №17 ВЛ-10кВ №107Н ПС 110/6/10 кВ «НС-1» и системы учета электрической энергии (мощности) на границе земельного участка для электроснабжения жилого дома заявителя Стельмашова А.В., п. Овощной, Азовский р-он Ростовская область (ориентировочная протяженность ЛЭП – 0,04 км)</t>
  </si>
  <si>
    <t>Установка коммерческого учета электрической энергии (мощности) на границе земельного участка, подключенного от опоры №50-4 ВЛ-0,4 кВ №1 КТП 10/0,4кВ №50 ВЛ-10кВ №2907 РП-29 ПС 35/10 кВ «А-18», для электроснабжения жилого дома заявителя Ляхницкой Н.Н., ст-ца. Елизаветинская, Азовский р-он Ростовская область</t>
  </si>
  <si>
    <t xml:space="preserve">Установка коммерческого учета электрической энергии (мощности) на границе земельного участка, подключенного от опоры №98-23 ВЛ-0,4 кВ №1 КТП-10/0,4 кВ №98 ВЛ-10 кВ №1815 ПС 35/10 кВ "А-18", для электроснабжения жилого дома заявителя Мамотковой Е.А., х. Колузаево, Азовский р-он Ростовская область </t>
  </si>
  <si>
    <t xml:space="preserve">Установка коммерческого учета электрической энергии (мощности) на границе земельного участка, подключенного от оп. №99-1 ВЛ-0,4 кВ №1 КТП 10/0,4 кВ №99 по ВЛ-10 кВ №106 Н ПС 110/6/10 кВ "НС-1", для электроснабжения жилого дома заявителя Бабяна А.А., п. Овощной, Азовский р-он,  Ростовская область </t>
  </si>
  <si>
    <t xml:space="preserve">Установка коммерческого учета электрической энергии (мощности) на границе земельного участка, подключенного от опоры №185-62/21 ВЛ-0,4 кВ №2 (балансовая принадлежность ДНТ "Эдем")  КТП 10/0,4 кВ №185 ВЛ-10 кВ №106Н ПС 110/6/10 кВ "НС-1", для электроснабжения жилого дома заявителя Шепелевой И.В., ДНТ "Эдем", Азовский р-он,  Ростовская область </t>
  </si>
  <si>
    <t xml:space="preserve">Установка коммерческого учета электрической энергии (мощности) на границе земельного участка, подключенного от опоры №226-78 ВЛ-0,4 кВ №3 КТП 10/0,4 кВ №226 ВЛ-10 кВ №2608 ПС 110/10 кВ "А-26", для электроснабжения жилого дома заявителя Добролюбовой А.Ю., СТ "Ягодка-2", Азовский р-он,  Ростовская область </t>
  </si>
  <si>
    <t xml:space="preserve">Установка коммерческого учета электрической энергии (мощности) на границе земельного участка, подключенного от оп. №б/н ВЛ-0,4 кВ КТП 10/0,4 кВ №279 (балансовая принадлежность ИП Усачев В.И.(п. Беловодье) по ВЛ-10 кВ №1815 ПС 35/10 кВ "А-18", для электроснабжения жилого дома заявителя Макарова И.А., х. Обуховка, Азовский р-он,  Ростовская область </t>
  </si>
  <si>
    <t>Установка коммерческого учета электрической энергии (мощности) на границе земельного участка, подключенного от опоры №215-21 ВЛ-0,4 кВ №1 КТП 10/0,4 кВ №215 ВЛ-10 кВ №1101ПС 35/10 кВ "А-11", для электроснабжения жилого дома заявителя Ягольницкого С.И., с. Кагальник, Азовский р-он,  Ростовская область</t>
  </si>
  <si>
    <t xml:space="preserve">'Установка коммерческого учета электрической энергии (мощности) на границе земельного участка, подключенного от опоры №43-5 ВЛ-0,4 кВ №1 КТП 10/0,4кВ №43 ВЛ-10кВ №1802 ПС 35/10 кВ «А-18», для электроснабжения жилого дома заявителя Фоменко А.А., х. Рогожкино, Азовский р-он Ростовская область </t>
  </si>
  <si>
    <t xml:space="preserve">Установка прибора коммерческого учета электрической энергии (мощности) на границе земельного участка, подключенного от оп. № 413-37   ВЛ-0,4 № 1 КТП-413 ВЛ-10  607  ПС 35 кВ Е-6, для электроснабжения торговой точки заявителя ИП Манукян Р.А., х.Кавалерский, ул. Ленина, 35а, Егорлыкский р-он, Ростовская область (1шт)  </t>
  </si>
  <si>
    <t>Установка прибора коммерческого учета электрической энергии (мощности) на границе земельного участка, подключенного от оп. №78-11   ВЛ-0,4 № 1 КТП-78 ВЛ-10 507 ПС 35 кВ Е-5, для электроснабжения жилого дома заявителя Пристинской О.В., х.Дудукалов, ул.Дудукаловская, 7в, Егорлыкский р-он Ростовская область (1шт)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</si>
  <si>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Измайлова Н.И., Давыдова М.А., Кагальницкий р-он Ростовская область ( 2 шт.)</t>
  </si>
  <si>
    <t>Установка прибора коммерческого учета электрической энергии (мощности) на границе земельного участка, подключенного от опоры №85-64 ВЛ-0,4 кВ № 3 КТП-10/0,4 кВ №85 ВЛ-10 кВ №119 от ПС 220/110/35/10 кВ «Зерновая», для электроснабжения видеокамеры заявителя Администрация Зерноградского городского поселения, Ростовская область, Зерноградский р-н, п. Дубки, ул. Зерноградская вблизи д.21 ( 1 шт.)</t>
  </si>
  <si>
    <t>Установка прибора коммерческого учета электрической энергии (мощности) на границе земельного участка, подключенного от опоры №40-28 ВЛ-0,4 № 2 от КТП-40 по ВЛ-10 103 ПС 110 кВ Звонкая, для электроснабжения сельского дома культуры заявителя МБУК «Кировский СДК», Ростовская область, Кагальницкий р-н, п. Березовая Роща, ул. Степная д.9 (1 шт.)</t>
  </si>
  <si>
    <t>Установка коммерческого учета электрической энергии (мощности) на границе земельного участка, подключенного от опоры №42-25 ВЛ-0,4 кВ №1 КТП 10/0,4кВ №42 ВЛ-10кВ №1802 ПС 35/10 кВ «А-18», для электроснабжения жилого дома заявителя Быкадоровой Т.Н., х. Рогожкино, Ростовская область</t>
  </si>
  <si>
    <t>Установка коммерческого учета электрической энергии (мощности) на границе земельного участка, подключенного от опоры №42-25 ВЛ-0,4 кВ №1 КТП 10/0,4кВ №42 ВЛ-10кВ №1802 ПС 35/10 кВ «А-18», для электроснабжения жилого дома заявителя Репкина Н.В., х. Рогожкино, Ростовская область</t>
  </si>
  <si>
    <t xml:space="preserve">Установка коммерческого учета электрической энергии (мощности) на границе земельного участка, подключенного от опоры №351-6 ВЛ-0,4 кВ №3 КТП-6/0,4 кВ №351  по ВЛ-6 кВ №207Н ПС 110/6/10 кВ "НС-2", для электроснабжения участка заявителя Нестеровой Н.Т., СТ "Квант", Азовский р-он, Ростовская область </t>
  </si>
  <si>
    <t xml:space="preserve">Строительство участка ВЛИ-0,4кВ от проектируемой ВЛ-0,4 кВ (по договору № 61-1-20-00499303 от 04.03.2020 г.) КТП-6/0,4 кВ №350 по ВЛ-6 кВ № 207Н ПС 110/6/10 кВ «НС-2» и установка системы учета электрической энергии (мощности) на границе земельных участков для электроснабжения объектов заявителей Гамзюковой О.Д., Бухтояровой В.А., Гуриной Л.В., СТ «Квант», Азовский р-он Ростовская область (ориентировочная протяженность ЛЭП – 0,115 км)  </t>
  </si>
  <si>
    <t>'Строительство участка ВЛИ 0,4кВ от опоры №21-28 ВЛ 0,4 кВ №2 КТП 10/0,4 кВ №21 ВЛ 10 кВ №1702 ПС 35/10 кВ «А-17» и системы учета электрической энергии (мощности) на границе земельного участка для электроснабжения вагончика заявителя Ксандо Н.А., с.Стефанидинодар, Азовский район, Ростовская область (ориентировочная протяженность ЛЭП – 0,095 км)</t>
  </si>
  <si>
    <t xml:space="preserve">Установка коммерческого учета электрической энергии (мощности) на границе земельного участка, подключенного от оп. №39-37 ВЛ-0,4 кВ №1 КТП 10/0,4 кВ №39 ВЛ-10 кВ №802 ПС 35/10 кВ "А-8", для электроснабжения жилого дома заявителя Чикова С.С., х. Павло-Очаково, Азовский р-он,  Ростовская область </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</si>
  <si>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Шен А.Ф., Соколова В.А., Вихровой Л.В., Одинцовой В.Э., Азовский р-он Ростовская область (4 шт.)</t>
  </si>
  <si>
    <t xml:space="preserve">Установка прибора коммерческого учета электрической энергии (мощности) на границе земельного участка, подключенного от оп. №233-13 ВЛ-0,4 кВ №1 КТП 10/0,4кВ №233 ВЛ-10кВ №1815 ПС 35/10 кВ «А-18» для технологического присоединения энергопринимающих устройств жилого дома Заявителя Горбаневой А.И., СНТ «Надежда-4», участок 114, Азовский район Ростовская область (1 шт.)  </t>
  </si>
  <si>
    <t>Установка прибора коммерческого учета электрической энергии (мощности) на границе земельного участка, подключенного от оп. №75-52 ВЛ-0,4 кВ №2 КТП 10/0,4кВ №75 ВЛ-10кВ №606 ПС 35/10 кВ «А-6»  для технологического присоединения энергопринимающих устройств жилого дома Заявителя Исаковой Е. В., с. Порт-Катон, Азовский район Ростовская область (1 шт.)</t>
  </si>
  <si>
    <t xml:space="preserve">Установка приборов коммерческого учета электрической энергии (мощности) для технологического присоединения энергопринимающих устройств жилых домов заявителя Казарян Р.Л., с. Пешково, Азовский район Ростовская область (4 шт.)  </t>
  </si>
  <si>
    <t xml:space="preserve">Установка приборов коммерческого учета электрической энергии (мощности) для технологического присоединения энергопринимающих устройств жилого дома Заявителя Оганнисяна А.А., с. Пешково, Азовский район Ростовская область </t>
  </si>
  <si>
    <t xml:space="preserve">Установка прибора коммерческого учета электрической энергии (мощности) на границе земельного участка, подключенного от опоры №168-22 ВЛ-0,4 кВ №1 КТП 10/0,4кВ №168 ВЛ-10кВ №1708 ПС 35/10 кВ «А-17» для технологического присоединения энергопринимающих устройств жилого дома Гуринович Л.Н. с.Круглое, Азовский район Ростовская область (1 шт.)  </t>
  </si>
  <si>
    <t xml:space="preserve">Установка прибора коммерческого учета электрической энергии (мощности) на границе земельного участка, подключенного от опоры №62-15 ВЛ-0,4 кВ №1 КТП 10/0,4кВ №62 ВЛ-10кВ №302Н РП-19 ПС 110/35/6/10 кВ «НС-3» для технологического присоединения энергопринимающих устройств жилого дома Заявителя Ким Л.В. х. Еремеевка, Азовский район Ростовская область (1 шт.)  </t>
  </si>
  <si>
    <t xml:space="preserve">Установка прибора коммерческого учета электрической энергии (мощности) на границе земельного участка, подключенного от опоры №224-58 ВЛ 0,4 кВ №1 КТП 10/0,4кВ №224 ВЛ 10кВ №1106 ПС 35/10 кВ А-11 для технологического присоединения энергопринимающих устройств жилого дома Заявителя Тихомировой А.А. п. Зеленый, Азовский район Ростовская область (1 шт.)  </t>
  </si>
  <si>
    <t xml:space="preserve">Установка прибора коммерческого учета электрической энергии (мощности) на границе земельного участка, подключенного на оп. №79-41   ВЛ-0,4 № 2 КТП-71 ВЛ-10 507 ПС 35 кВ Е-5, для электроснабжения жилого дома заявителя  Гай М.А., х.Новая Деревня, 9а, Егорлыкский р-он Ростовская область» (1шт)  </t>
  </si>
  <si>
    <t xml:space="preserve">Установка прибора коммерческого учета электрической энергии (мощности) на границе земельного участка, подключенного на оп. №132-83   ВЛ-0,4 № 3 КТП-132 ВЛ-10 506 ПС 35 кВ Е-5, для электроснабжения нежилого здания (магазин) заявителя ИП Гай М.А., х.Объединенный, ул. Заречная, 21А, Егорлыкский р-он Ростовская область» (1шт) </t>
  </si>
  <si>
    <t xml:space="preserve">Установка приборов коммерческого учета электрической энергии (мощности) для технологического присоединения энергопринимающих устройств Заявителей: Щербина А.Н., Зерноградский р-он, Алояна Р.М., Хатояна З.М. Кагальницкий р-он, Ростовская область ( 3 шт.)  </t>
  </si>
  <si>
    <t>Установка прибора коммерческого учета электрической энергии (мощности) на границе земельного участка, подключенного от опоры №196-12 ВЛ-0,4 № 1 от МТП-196 по ВЛ-10 805 ПС 110 кВ БОС, для электроснабжения жилого дома заявителя Братянской Н.В., Ростовская область, Кагальницкий р-н, п. Мокрый Батай, ул. Мира д.70 (1 шт.</t>
  </si>
  <si>
    <t xml:space="preserve">Установка прибора коммерческого учета электрической энергии (мощности) на границе земельного участка, подключенного от опоры №196-11 ВЛ-0,4 № 1 от МТП-196 по ВЛ-10 805 ПС 110 кВ БОС, для электроснабжения жилого дома заявителя Милановой Л.А., Ростовская область, Кагальницкий р-н, п. Мокрый Батай, ул. Мира д.81 (1 шт.) </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</si>
  <si>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Муниципального предприятия жилищно-коммунального хозяйства Кагальницкого сельского поселения, Марадудина В.И., Буденного И.И., Вельченко Н.Н., Сафаряна Д.А., Зерноградский р-он, Кагальницкий р-он Ростовская область ( 7 шт.)</t>
  </si>
  <si>
    <t>Установка прибора коммерческого учета электрической энергии (мощности) на границе земельного участка, подключенного от опоры №191-18 ВЛ-0,4 №1 от КТП-191 по ВЛ-10 606 ПС 35 кВ КГ6, для электроснабжения ЛПХ заявителя Дмитриенко К.В., Ростовская область, Кагальницкий р-н, с. Новобатайск, пер. Восточный д.1 кв.3 (1 шт.)</t>
  </si>
  <si>
    <t>Установка прибора коммерческого учета электрической энергии (мощности) на границе земельного участка, подключенного от опоры №76-8 ВЛ-0,4 кВ №1 КТП 10/0,4кВ №76 ВЛ-10кВ №214 ПС 35/10 кВ «А-2» для технологического присоединения энергопринимающих устройств жилого дома Заявителя Пак А.А.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</si>
  <si>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№156-41 ВЛ-0,4 кВ №1 КТП 10/0,4кВ №156 ВЛ-10кВ №910 ПС 35/10 кВ «А-9» для технологического присоединения энергопринимающих устройств жилого дома Заявителя Тетерева А.П. х. Павловка,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</si>
  <si>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№228-39 ВЛ 0,4 кВ №3 КТП 10/0,4кВ №228 ВЛ 10кВ №106Н ПС 110/6/10 кВ НС-1 для технологического присоединения энергопринимающих устройств жилого дома Заявителя Авдеевой И.В.,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</si>
  <si>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№171-4 ВЛ-0,4 кВ №1 КТП 10/0,4кВ №171 ВЛ-10кВ №1101 ПС 35/10 кВ «А-11» для технологического присоединения энергопринимающих устройств жилого дома Заявителя Голото А.С.,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</si>
  <si>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№48-56 ВЛ 0,4 кВ №2 КТП 10/0,4кВ №48 ВЛ 10кВ №1107 ПС 35/10 кВ А-11 для технологического присоединения энергопринимающих устройств жилого дома Заявителя Досовой Т.В.,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</si>
  <si>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№70-3 ВЛ-0,4 кВ №1 КТП 10/0,4кВ №70 ВЛ-10кВ №2608 ПС 110/10 кВ «А-26» для технологического присоединения энергопринимающих устройств магазина Заявителя ИП Головань Д.Ю.,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</si>
  <si>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№236-7 ВЛ 0,4 кВ №1 КТП 10/0,4кВ №236 ВЛ 10кВ №2608 ПС 110/10 кВ А-26 для технологического присоединения энергопринимающих устройств жилого дома Заявителя Николаенко Е.А.,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</si>
  <si>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№99-10 ВЛ 0,4 кВ №1 КТП 10/0,4кВ №99 ВЛ 10кВ №106Н ПС 110/6/10 кВ НС-1 для технологического присоединения энергопринимающих устройств жилого дома Заявителя Нос А.Н., п.Овощной,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</si>
  <si>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№99-5 ВЛ-0,4 кВ №1 КТП 10/0,4кВ №99 ВЛ-10кВ №106Н ПС 110/6/10 кВ «НС-1» для технологического присоединения энергопринимающих устройств жилого дома Заявителя Сухининой А.А., п. Овощной,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</si>
  <si>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Курашова Р.А., Гаджикурбанова И.П. Зерноградский район, Обертышева С.С. Кагальницкий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</si>
  <si>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№54-56 ВЛ-0,4 кВ № 2 КТП-10/0,4 кВ №54 ВЛ-10 кВ №318 от ПС 35/10 кВ «КГ-3», для электроснабжения жилого дома заявителя Оганьян С.Г., Ростовская область, Кагальницкий р-н, ст. Кировская, ул. Буденновская д.77А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</si>
  <si>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Соловьева В.Н.,  Зерноградский район, Полупановой Л.Ю. ; Соловьева В.Н.  Кагальницкий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</si>
  <si>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Кривошеева Н.В., Левченко П.В. ; Кагальницкий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</si>
  <si>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№109-91 ВЛ-0,4 №3 от КТП-109 по ВЛ-10 805 ПС 110 кВ БОС, для электроснабжения ЛПХ заявителя Бутенко И.И., Ростовская область, Кагальницкий р-н, п. Мокрый Батай, ул. Солнечная д.40 (1 шт.)</t>
  </si>
  <si>
    <t>Установка прибора коммерческого учета электрической энергии (мощности) на границе земельного участка, подключенного от опоры №97-23 ВЛ-0,4кВ №1 КТП-97 ВЛ-10 805 ПС 110 кВ БОС для технологического присоединения энергопринимающих устройств квартиры Заявителя Тан С.С., Ростовская область, Кагальницкий р-н, п. Мокрый Батай, ул. Садовая д.11 (1 шт.)</t>
  </si>
  <si>
    <t>Установка прибора коммерческого учета электрической энергии (мощности) на границе земельного участка, подключенного от опоры №97-6 ВЛ-0,4 №1 от КТП-97 по ВЛ-10 114 ПС 220 кВ Зерновая, для электроснабжения ЛПХ заявителя Ермарченко С.Н., Ростовская область, Зерноградский р-н, п. Кленовый, ул. Подбельского д.33Д (1 шт.)</t>
  </si>
  <si>
    <t>Установка прибора коммерческого учета электрической энергии (мощности) на границе земельного участка, подключенного от опоры №126-45 ВЛ-0,4 №1 КТП-126 ВЛ-10 313 ПС 35 кВ КГ3 для технологического присоединения энергопринимающих устройств садового дома Заявителя Атрощенко В.Н., Ростовская область, Аксайский р-н, СНТ Садко уч.2830 (1 шт.)</t>
  </si>
  <si>
    <t>Установка прибора коммерческого учета электрической энергии (мощности) на границе земельного участка, подключенного от опоры №69-12 ВЛ-0,4 № 1 КТП-69 ВЛ-10 716 от ПС 110 Юбилейная, для электроснабжения жилого дома заявителя Поповой С.И., Ростовская область, Кагальницкий р-н, п. Воронцовка, ул. Галичева д.6 кв.2 (1 шт.)</t>
  </si>
  <si>
    <t>Установка прибора коммерческого учета электрической энергии (мощности) на границе земельного участка, подключенного от опоры №55-23 ВЛ-0,4 №1 КТП-55 ВЛ-10 318 ПС 35 кВ КГ3 для технологического присоединения энергопринимающих устройств жилого дома Заявителя Кочарян А.Ж., Ростовская область, Кагальницкий р-н, ст. Кировская, ул. Колхозная д.16А (1 шт.)</t>
  </si>
  <si>
    <t>Установка коммерческого учета электрической энергии (мощности) на границе земельного участка, подключенного от опоры №б/н ВЛ- 0,4 кВ КТП-10/0,4 кВ №279 (балансовая принадлежность КТП №279, ВЛ-0,4 кВ ИП Усачев В.И. (п.Беловодье) по ВЛ-10 кВ №1815 ПС 35/10 кВ "А-18", для электроснабжения жилого дома заявителя Волченсковой С.Г., х.Обуховка, Ростовская область</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</si>
  <si>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Шарковой Н.Л., Ломакиной Р.М., Плотниковой О.И., Карасевой Г.Р., Луговской А.Г., Азовский р-он Ростовская область (5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</si>
  <si>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Матвиенко С.П., Татаринцева И.Е., Тен Л.А., ИП Чермантеевой С.П., Щербаковой В.И., Азовский р-он Ростовская область (5 шт.)</t>
  </si>
  <si>
    <t>Установка приборов коммерческого учета электрической энергии (мощности) на границе земельного участка,подключенного от опоры №111-82 ВЛ-0,4 кВ №3 КТП 10/0,4кВ №111 ВЛ-10кВ №3113 ПС 110/35/10 кВ «А-31» для технологического присоединения энергопринимающих устройств жилого дома Заявителя Малой А.В.,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</si>
  <si>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№111-71 ВЛ-0,4 кВ №3 КТП 10/0,4кВ №111 ВЛ-10кВ №3113 ПС 110/35/10 кВ А-31 для технологического присоединения энергопринимающих устройств жилого дома Дворниченко Т.Н. с.Пешково,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</si>
  <si>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№154-23 ВЛ-0,4 кВ №1 КТП 10/0,4кВ №154 ВЛ-10кВ №1901 РП-19 ПС 110/35/10 кВ «Самарская» для технологического присоединения энергопринимающих устройств жилого дома Заявителя Половинкина И.А. п. Каяльский,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</si>
  <si>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№156-19 ВЛ 0,4 кВ №2 КТП 10/0,4кВ №156 ВЛ 10кВ №910 ПС 35/10 кВ А-9 для технологического присоединения энергопринимающих устройств жилого дома Смалюк Ю.Ю. х.Павловка,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</si>
  <si>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№305-16 ВЛ-0,4 кВ №1 КТП 10/0,4кВ №305 ВЛ-10кВ №2608 ПС 110/10 кВ «А-26» для технологического присоединения энергопринимающих устройств жилого дома Заявителя Витчикова О.В.,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</si>
  <si>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№185-62/22 ВЛ-0,4кВ №4 (балансовая принадлежность ДНТ «Эдем») КТП 10/0,4 кВ №185 ВЛ-10кВ №106Н ПС 110/6/10 кВ «НС-1» для технологического присоединения энергопринимающих устройств жилого дома Заявителя Ступникова А.В., ДНТ «Эдем»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</si>
  <si>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№181-17 ВЛ-0,4 кВ №1 КТП-10/0,4 кВ №181 по ВЛ-10 кВ № 3113 ПС 110/35/10 кВ «А-31»  для технологического присоединения энергопринимающих устройств жилого дома Заявителя Четверикова А.Н.,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</si>
  <si>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№173-120 ВЛ 0,4 кВ №2 КТП 10/0,4кВ №173 ВЛ 10кВ №902 ПС 35/10 кВ А-9 для технологического присоединения энергопринимающих устройств жилого дома Заявителя Кислица А.А., х. Павловка,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</si>
  <si>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№185-62/21 ВЛ-0,4кВ №4 КТП 10/0,4 кВ №185 ВЛ 10кВ №106Н ПС 110/6/10 кВ НС-1 для технологического присоединения энергопринимающих устройств жилого дома Заявителя Харитонова И.И., ДНТ «Эдем»,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</si>
  <si>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№221-3 ВЛ 0,4 кВ №1 КТП 10/0,4кВ №221 ВЛ 10кВ №901 ПС 35/10 кВ А-9 для технологического присоединения энергопринимающих устройств жилого дома Заявителя Темникова В.Г. с. Высочино,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</si>
  <si>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№99-12 ВЛ 0,4 кВ №1 КТП 10/0,4кВ №99 ВЛ 10кВ №106Н ПС 110/6/10 кВ НС-1 для технологического присоединения энергопринимающих устройств жилого дома Заявителя Мартиросян Л.С.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</si>
  <si>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№151-17 ВЛ 0,4 кВ №1 КТП 10/0,4кВ №151 ВЛ 10кВ №1101 ПС 35/10 кВ А-11 для технологического присоединения энергопринимающих устройств жилого дома Заявителя Жамкочян Е.Е.,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</si>
  <si>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№157-65 ВЛ 0,4 кВ №3 КТП 10/0,4кВ №157 ВЛ 10кВ №1101 ПС 35/10 кВ А-11 для технологического присоединения энергопринимающих устройств жилого дома Заявителя Жамкочян С.Р.,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</si>
  <si>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№381-58 ВЛ 0,4 кВ №1 КТП 10/0,4кВ №381 ВЛ 10кВ №106Н ПС 110/6/10 кВ НС-1 для технологического присоединения энергопринимающих устройств жилого дома Заявителя Погосян Е.А.,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</si>
  <si>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№81-41 ВЛ 0,4 кВ №1 КТП 10/0,4кВ №81 ВЛ 10кВ №803 ПС 35/10 кВ А-8 для технологического присоединения энергопринимающих устройств жилого дома Заявителя Дениченко Т.Л., с. Семибалки,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</si>
  <si>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№86-6 ВЛ 0,4 кВ №1 КТП 10/0,4кВ №86 ВЛ 10кВ №1107 ПС 35/10 кВ А-11 для технологического присоединения энергопринимающих устройств жилого дома Заявителя Демяненко К.В., х. Узяк,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</si>
  <si>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Диденко Р.Г., Бажановой Л.М., Азовский район Ростовская область (2 шт.)</t>
  </si>
  <si>
    <t>Установка приборов коммерческого учета электрической энергии (мощности) на границе земельного участка, подключенного от опоры №240-49 ВЛ-0,4 кВ №2 КТП 10/0,4кВ №240 ВЛ-10кВ №106Н ПС 110/6/10 кВ «НС-1» для технологического присоединения энергопринимающих устройств жилого дома Заявителя Клименко Е.А.,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</si>
  <si>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№40-27 ВЛ-0,4 №1 от КТП-40 по ВЛ-10 103 ПС 110 кВ Звонкая, для электроснабжения жилого дома заявителя Мурадяна М.С., Ростовская область, Кагальницкий р-н, п. Березовая Роща, ул. Степная д.15 (1 шт.)</t>
  </si>
  <si>
    <t>Установка прибора коммерческого учета электрической энергии (мощности) на границе земельного участка, подключенного от опоры No129-99 ВЛ-0,4 No3 от КТП-129 по ВЛ-10 313 ПС 35 кВ КГ3, для электроснабжения жилого дома заявителя РедькинаА.Ю., Ростовская область, Аксайский р-н, Истоминское сельское поселение, в юго-восточном направлении 2500м от центра х. Истомино, СНТ «Садко», участок No3652 (1 шт.)</t>
  </si>
  <si>
    <t>Установка прибора коммерческого учета электрической энергии (мощности) на границе земельного участка, подключенного от опоры №122-18 ВЛ-0,4 №2 от КТП-122 по ВЛ-10 313 ПС 35 кВ КГ3, для электроснабжения садового дома заявителя Щепкин В.А., Ростовская область, Аксайский р-н, х. Истомино, СНТ «Железнодорожник» уч.2667 (1 шт.)</t>
  </si>
  <si>
    <t>Установка прибора коммерческого учета электрической энергии (мощности) на границе земельного участка, подключенного от опоры №124-48 ВЛ-0,4 №1 от КТП-124 по ВЛ-10 313 ПС 35 кВ КГ3, для электроснабжения садового дома заявителя Азаровой С.Г., Ростовская область, Аксайский р-н, х. Истомино, СНТ «Железнодорожник» уч.3183 (1 шт.)</t>
  </si>
  <si>
    <t>Установка прибора коммерческого учета электрической энергии (мощности) на границе земельного участка, подключенного от опоры №194-60 ВЛ-0,4 №2 от КТП-194 по ВЛ-10 612 ПС 35 кВ КГ6, для электроснабжения личного подсобного хозяйсва заявителя Трапезниковой Н.П., Ростовская область, Кагальницкий р-н, с. Новобатайск ул. Зудова д.18 (1 шт.)</t>
  </si>
  <si>
    <t>Установка прибора коммерческого учета электрической энергии (мощности) на границе земельного участка, подключенного от опоры №28-281 ВЛ-0,4 №1 от ЗТП-28 по ВЛ-10 313 ПС 35 кВ КГ3, для электроснабжения личного подсобного хозяйства заявителя Аристакесян С.А., Ростовская область, Кагальницкий р-н. ст-ца Кировская ул. Олимпийская д. 26а (1 шт.)</t>
  </si>
  <si>
    <t>Установка прибора коммерческого учета электрической энергии (мощности) на границе земельного участка, подключенного от опоры №28-282 ВЛ-0,4 №1 от ЗТП-28 по ВЛ-10 313 ПС 35 кВ КГ3, для электроснабжения личного подсобного хозяйства заявителя  Мкртчян С.С., Ростовская область, Кагальницкий р-н. ст-ца Кировская ул. Олимпийская д. 27а (1 шт.)</t>
  </si>
  <si>
    <t>Установка прибора коммерческого учета электрической энергии (мощности) на границе земельного участка, подключенного от опоры №28-282 ВЛ-0,4 №1 от ЗТП-28 по ВЛ-10 313 ПС 35 кВ КГ3, для электроснабжения личного подсобного хозяйства заявителя Мкртчян С.С., Ростовская область, Кагальницкий р-н. ст-ца Кировская ул. Олимпийская д. 27б (1 шт.)</t>
  </si>
  <si>
    <t>Установка прибора коммерческого учета электрической энергии (мощности) на границе земельного участка, подключенного от опоры №64-48 ВЛ-0,4 №1 от КТП-64 по ВЛ-10 1102 ПС 35 кВ ЗР-11, для электроснабжения личного подсобного хозяйства заявителя Назаренко И.Н., Ростовская область, Зерноградский р-н, с. ноябрьское, пер. Торговый д.7/6 (1 шт.)</t>
  </si>
  <si>
    <t>Установка прибора коммерческого учета электрической энергии (мощности) на границе земельного участка, подключенного от опоры №27-35 ВЛ 0,4 кВ №2 КТП 10/0,4кВ №27 ВЛ 10кВ №1815 ПС 35/10 кВ А-18 для технологического присоединения энергопринимающих устройств жилого дома Заявителя Цыбан М.А.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</si>
  <si>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№112-17 ВЛ 0,4 кВ №1 КТП 10/0,4кВ №112 ВЛ 10кВ №3113 ПС 110/35/10 кВ А-31 для технологического присоединения энергопринимающих устройств жилого дома Заявителя Ткаченко С.В.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</si>
  <si>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 №226-130 ВЛ 0,4 кВ №2 КТП 10/0,4кВ №226 ВЛ 10кВ №2608 ПС 110/10 кВ «А-26» для технологического присоединения энергопринимающих устройств садового дома Заявителя Агакеримова В.А. СТ «Ягодка-2»,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</si>
  <si>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№62-6 ВЛ-0,4 кВ №1 КТП 10/0,4кВ №62 ВЛ-10кВ №302Н ПС 110/35/6/10 кВ «НС-3» для технологического присоединения энергопринимающих устройств жилого дома Заявителя Кийко Н.А., с. Еремеевка,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</si>
  <si>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№101-76 ВЛ 0,4 кВ №2 КТП 10/0,4кВ №101 ВЛ 10кВ №2412 ПС 35/10 кВ А-24 для технологического присоединения энергопринимающих устройств жилого дома Заявителя Нечепуренко Н.М., х. Полушкин,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</si>
  <si>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№381-48 ВЛ-0,4 кВ №1 КТП 10/0,4кВ №381 ВЛ 10кВ №106Н ПС 110/6/10 кВ НС-1 для технологического присоединения энергопринимающих устройств жилого дома Заявителя Сухомлинова В.И.,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</si>
  <si>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оп. №223-48 ВЛ 0,4 кВ №3 КТП 10/0,4кВ №223 ВЛ-10кВ №901 ПС 35/10 кВ А-9 для технологического присоединения энергопринимающих устройств жилого дома Заявителя Розаренова В.М., с. Высочино, Азовский район Ростовская область (1 шт.)</t>
  </si>
  <si>
    <t xml:space="preserve">Установка коммерческого учета электрической энергии (мощности) на границе земельного участка, подключенного от оп. №б/н ВЛ-0,4 кВ (балансовая принадлежность Квартального Комитета №39) КТП 6/0,4 кВ №11 по ВЛ-6 кВ №10701 ПС 110/35/6 кВ "А-1", для электроснабжения жилого дома заявителя Шукирова И.А., г. Азов, Азовский р-он,  Ростовская область </t>
  </si>
  <si>
    <t>Строительство участка ВЛИ 0,4кВ от опоры № 257-94 ВЛ 0,4 кВ №2 КТП 6/0,4 кВ №257 КВЛ 6 кВ №10701 ПС 110/35/6 кВ «А-1» и системы учета электрической энергии (мощности) на границе земельного участка для электроснабжения жилого дома заявителя Сибиль Г.Н., г. Азов Ростовская область (ориентировочная протяженность ЛЭП – 0,100 км)</t>
  </si>
  <si>
    <t>Установка прибора коммерческого учета электрической энергии (мощности) на границе земельного участка, подключенного от опоры №257-91 ВЛ-0,4 кВ №2 КТП 6/0,4кВ №257 ВЛ-6кВ №10701 ПС 110/35/6 кВ «А-1» для технологического присоединения энергопринимающих устройств жилого дома Заявителя Певник А.В., г. Азов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</si>
  <si>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№25-23 ВЛ-0,4 №1 от КТП-25 по ВЛ-10 1009 ПС 35 кВ ЗР-10, для электроснабжения жилого дома заявителя Крецова А.А., Ростовская область, Зерноградский р-н, г. Зерноград, ул. Российская д.34 (1 шт.)</t>
  </si>
  <si>
    <t>Обеспечение коммерческим учетом электрической энергии (мощности) в точке поставки и установка шкафа 0,4 кВ по присоединению жилого дома Вострецовой В.В., расположенного по адресу: Ростовская область, Волгодонской район, станица Романовская, ул. Язева, д.40,  к.н. 61:08:0600601:4531</t>
  </si>
  <si>
    <t>Обеспечение коммерческим учетом электрической энергии (мощности) в точке поставки и установка шкафа 0,4 кВ по присоединению жилого дома Лысенко С.В., расположенного по адресу: Ростовская область, Волгодонской район, станица Романовская, пер. Октябрьский, д.56, к.н. 61:08:0070118:127</t>
  </si>
  <si>
    <t>Обеспечение коммерческим учетом электрической энергии (мощности) в точке поставки и установка шкафа 0,4 кВ по присоединению жилого дома Шевченко О.Ю., расположенного по адресу: Ростовская область, Волгодонской район, станица Романовская, ул. Базарная, д.34А, к.н. 61:08:0070125:382</t>
  </si>
  <si>
    <t>Обеспечение коммерческим учетом электрической энергии (мощности) в точке поставки и установка шкафа 0,4 кВ по присоединению жилого дома Урмаева А.П., расположенного по адресу: Ростовская область, Цимлянский район, п. Саркел, пер. Боевой Славы, д.5, к.н. 61:41:0011104:462</t>
  </si>
  <si>
    <t>Обеспечение коммерческим учетом электрической энергии (мощности) в точке поставки и установка шкафа 0,4 кВ по присоединению жилого дома Кружилиной М.А., расположенного по адресу: Ростовская область, Цимлянский район, п. Дубравный, ул. Красноярская, д.16,  к.н. 61:41:0030401:217</t>
  </si>
  <si>
    <t>Обеспечение коммерческим учетом электрической энергии (мощности) в точке поставки по присоединению жилого дома Рыбалкина А.А., расположенного по адресу: Ростовская область, Цимлянский район, станица Красноярская, пер. Береговой, д. 20, к.н. 61:41:0020127:899</t>
  </si>
  <si>
    <t>Обеспечение коммерческим учетом электрической энергии (мощности) в точке поставки и установка шкафа 0,4 кВ по присоединению жилого дома Копейкина С.В., расположенного по адресу: Ростовская область, Цимлянский район, станица Камышевская, ул. Бакреневская, д.17а, к.н. 61:41:0040109:16</t>
  </si>
  <si>
    <t>Обеспечение коммерческим учетом электрической энергии (мощности) в точке поставки и установка шкафа 0,4 кВ по присоединению жилого дома Киселевой Д.Б., расположенного по адресу: Ростовская область, Цимлянский район, п. Дубравный, ул. Красноярская,  д. 6, кв./оф. 2, к.н. 61:41:0030401:129</t>
  </si>
  <si>
    <t>Обеспечение коммерческим учетом электрической энергии (мощности) в точке поставки и установка шкафа 0,4 кВ по присоединению базовой станции сотовой связи БС61-02761 ПАО "МТС", расположенной по адресу: Ростовская область, Цимлянский район, х. Крутой, ул. Советская, д.2, к.н. 61:41:0020310:26</t>
  </si>
  <si>
    <t>Обеспечение коммерческим учетом электрической энергии (мощности) в точке поставки и установка шкафа 0,22 кВ по присоединению жилого дома Шульдика Д.А., расположенного по адресу: Ростовская область, Цимлянский район, станица Лозновская, ул. Лесная, д.7, к.н. 61:41:0040205:11</t>
  </si>
  <si>
    <t xml:space="preserve">Обеспечение коммерческим учетом электрической энергии (мощности) в точке поставки и установка шкафа 0,4 кВ по присоединению склада ИП главы К(Ф)Х Магомедова М.А., расположенного по адресу: Ростовская область, Цимлянскимй район, х. Ремизов,  400 м восточнее х.Ремизов к.н. 61:41:0000000:19112
</t>
  </si>
  <si>
    <t>Обеспечение коммерческим учетом электрической энергии (мощности) в точке поставки и установка шкафа 0,4 кВ по присоединению жилого дома Бацараева Х.Х., расположенного по адресу: Ростовская область, Дубовский район,  станица Подгоренская, ул. Школьная,  д. 8, к.н. 61:09:030301:0000:0885</t>
  </si>
  <si>
    <t xml:space="preserve">Обеспечение коммерческим учетом электрической энергии (мощности) в точке поставки и установка шкафа 0,4 кВ по присоединению квартиры Савченко И.С., расположенной по адресу: Ростовская область, Ремонтненский район, с. Кормовое, ул. Красная, кв./оф. 2,к.н. 61:32:0060101:237
</t>
  </si>
  <si>
    <t>Обеспечение коммерческим учетом электрической энергии (мощности) в точке поставки по присоединению жилого дома Сатуева М.Х., расположенного по адресу: Ростовская область, Ремонтненский район, п. Привольный, ул. Прудовая, д. 29, к.н. 61:32:0100101:15 (прибор учета коммерческой электрической энергии-1шт)</t>
  </si>
  <si>
    <t xml:space="preserve">Обеспечение коммерческим учетом электрической энергии (мощности)в точке поставки по присоединению полевого стана Главы К(Ф)Х Полоусова С.В., расположенного по адресу: Ростовская область, Ремонтненский район, с. Богородское, с/п Калининское, северо-восточнее с. Богородское, к.н. 61:32:0600009:4705
</t>
  </si>
  <si>
    <t xml:space="preserve">Обеспечение коммерческим учетом электрической энергии (мощности) в точке поставки по присоединению парка Администрации Приволенского сельского поселения Ремонтненского района Ростовской области, расположенного по адресу: Ростовская область, Ремонтненский район, п. Привольный, на расстоянии 70 м на запад от здания Администрации Приволенского сельского поселения, к.н. 61:32:0100101:1835 </t>
  </si>
  <si>
    <t>Обеспечение коммерческим учетом электрической энергии (мощности) в точке поставки и установка шкафа 0,4 кВ по присоединению жилого дома Богданова Ф.В., расположенного по адресу: Ростовская область, Ремонтненский район, с. Первомайское, ул. Богданова, д.151, к.н. 61:32:0080102:1953</t>
  </si>
  <si>
    <t>Обеспечение коммерческим учетом электрической энергии (мощности) в точке поставки и установка шкафа 0,4 кВ по присоединению жилого дома Наконечной О.В., расположенного по адресу: Ростовская область, Мартыновский район, х. Кривой Лиман, ул. Набережная, д.8, к.н. 61:20:0080401:2128</t>
  </si>
  <si>
    <t>Обеспечение коммерческим учетом электрической энергии (мощности) в точке поставки и установка шкафа 0,4 кВ по присоединению жилого дома Стецко Е.В., расположенного по адресу: Ростовская область, Константиновский район, станица Николаевская, ул. Ермакова, д. 83, кадастровый номер земельного участка: 61:17:0050101:1631</t>
  </si>
  <si>
    <t>Обеспечение коммерческим учетом электрической энергии (мощности) в точке поставки и установка шкафа 0,4 кВ по присоединению жилого дома Грудцина Д.В., расположенного по адресу: Ростовская область, Константиновский район, х. Старозолотовский, ул. Донских казаков, д. 16-г, кадастровый номер земельного участка: 61:17:0000000:7576</t>
  </si>
  <si>
    <t>Обеспечение коммерческим учетом электрической энергии (мощности) в точке поставки и установка шкафа 0,4 кВ по присоединению квартиры Пасько П.Г., расположенной по адресу: Ростовская область, Заветинский район, х. Савдя, ул. Школьная, д.4, кв.2, к.н. 61:11:0060101:1495</t>
  </si>
  <si>
    <t>Обеспечение коммерческим учетом электрической энергии (мощности) в точке поставки и установка шкафа 0,4 кВ по присоединению квартиры Ульяновой Т.В., расположенной по адресу: Ростовская область, Заветинский район, с. Тюльпаны, пер. Центральный, д. 3, кв. 2, кадастровый номер земельного участка: 61:11:040101:961</t>
  </si>
  <si>
    <t>Обеспечение коммерческим учетом электрической энергии (мощности) в точке поставки и установки шкафа 0,4 кВ по присоединению подсобного помещения для ведения личного подсобного хозяйства Горбачева Н.И., расположенного по адресу: Ростовская область, Заветинский район, х. Золотое Руно, ул. Заречная, д.5, к.н. 61:11:0040301:60</t>
  </si>
  <si>
    <t xml:space="preserve">Обеспечение коммерческим учетом электрической энергии (мощности) в точке поставки по присоединению жилого дома Аникеенко Н.Н., расположенного по адресу: Ростовская область, Волгодонской район, х. Холодный, ул. Набережная, д.29,  к.н. 61:08:0030303:58
</t>
  </si>
  <si>
    <t>Обеспечение коммерческим учетом электрической энергии (мощности) в точке поставки и установка шкафа 0,4 кВ по присоединению квартиры Попова В.С., расположенной по адресу: Ростовская область, Волгодонской район, х. Семенкин, ул. Школьная, д.8, кв./оф. 2, к.н. 61:08:0070503:73</t>
  </si>
  <si>
    <t>Обеспечение коммерческим учетом электрической энергии (мощности) в точке поставки и установка шкафа 0,4 кВ по присоединению жилого дома Шигалева А.В., расположенного по адресу: Ростовская область, Дубовский район, станица Подгоренская,пер. Солнечный, д. 20, кадастровый номер земельного участка: 61:09:0301:0049:332 (прибор учета коммерческой электрической энергии-1шт)</t>
  </si>
  <si>
    <t>Установка коммерческого учета электрической энергии (мощности) в точке поставки и установка шкафа 0,4 кВ по присоединению магазина №67 ИП Рудяшко В.А., расположенного по адресу: Ростовская область, Константиновский район, х. Гапкин, ул. Центральная, д.55, кадастровый номер земельного участка 61:17:0040101:444</t>
  </si>
  <si>
    <t>Обеспечение коммерческим учетом электрической энергии (мощности) в точке поставки и установка шкафа 0,4 кВ по присоединению БССС №78024 ПАО «Вымпел-Коммуникации», расположенной по адресу: Ростовская область, г. Волгодонск, ул. Лодочная, д.25, к.н. 61:48:0010401:13</t>
  </si>
  <si>
    <t>Обеспечение коммерческим учетом электрической энергии (мощности) в точке поставки и установка шкафа 0,4 кВ по присоединению жилого дома Топорова Е.В., расположенного по адресу: Ростовская область, Дубовский район, станица Подгоренская, ул. Школьная, д. 14, кадастровый номер земельного участка: 61:09:0030301:519</t>
  </si>
  <si>
    <t>Установка коммерческого учета электрической энергии (мощности) в точке поставки и установка шкафа 0,4 кВ по присоединению здания магазина ИП Василевич Е.В., расположенного по адресу: Ростовская область, Константиновский район, х. Ведерников, ул. Южная, д. 5, кадастровый номер земельного участка 61:17:0010501:232</t>
  </si>
  <si>
    <t>Установка коммерческого учета электрической энергии (мощности) в точке поставки и установка шкафа 0,4 кВ по присоединению гаража ООО «Стычное», расположенного по адресу: Ростовская область, Константиновский район, п. Стычновский, ул. Центральная, д. 2а, кадастровый номер земельного участка 61:17:0070101:434</t>
  </si>
  <si>
    <t>Обеспечение коммерческим учетом электрической энергии (мощности) в точке поставки и установка шкафа 0,4 кВ по присоединению жилого дома Царукян А.В., расположенного по адресу: Ростовская область, г. Волгодонск, ул. Отдыха, д.39в46, к.н. 61:48:0020101:1520</t>
  </si>
  <si>
    <t>Обеспечение коммерческим учетом электрической энергии (мощности) в точке поставки и установка шкафа 0,4 кВ по присоединению жилого дома Переверзевой Н.Ф., расположенного по адресу: Ростовская область, Цимлянский район, х. Лозной, ул. Советская, д. 54, кадастровый номер земельного участка: 61:41:0030109:196</t>
  </si>
  <si>
    <t>Установка прибора коммерческого учета электрической энергии (мощности) в точке поставки для присоединения части здания (магазин) ИП Опариной Н.В., расположенной по адресу: Ростовская область, Цимлянский район, станица Красноярская, ул. Победы, д.112б, кадастровый номер земельного участка: 61:41:0020108:50</t>
  </si>
  <si>
    <t>Установка коммерческого учета электрической энергии (мощности) в точке поставки и установка шкафа 0,4 кВ по присоединению жилого дома Ковтун А.С., расположенного по адресу: Ростовская область, Цимлянский район, станица Красноярская, ул. Набережная, д. 137в, кадастровый номер земельного участка 61:41:0020114:126</t>
  </si>
  <si>
    <t>Установка прибора коммерческого учета электрической энергии (мощности) в точке поставки для присоединения жилого дома Изаренковой М.И., расположенного по адресу: Ростовская область, Константиновский район, х. Ведерников, ул. Донская, д.21, кадастровый номер земельного участка: 61:17:0010502:27</t>
  </si>
  <si>
    <t>Установка коммерческого учета электрической энергии (мощности) в точке поставки и установка шкафа 0,4 кВ по присоединению жилого дома Арутюновой В.К., расположенного по адресу: Ростовская область, Волгодонской район, х. Погожев, ул. Гладкова, д. 22, кадастровый номер земельного участка 61:08:0600601:4708</t>
  </si>
  <si>
    <t>Установка коммерческого учета электрической энергии (мощности) в точке поставки и установка шкафа 0,4 кВ по присоединению жилого дома блокированной застройки Тамилиной Л.А., расположенного по адресу: Ростовская область, Волгодонской район, х. Погожев, ул. Гладкова, д. 24, кадастровый номер земельного участка 61:08:0600601:4709 (1 шт)</t>
  </si>
  <si>
    <t>Обеспечение коммерческим учетом электрической энергии (мощности) в точке поставки и установка шкафа 0,4 кВ по присоединению спального домика Поздняковой В.И., расположенного по адресу: Ростовская область, г. Волгодонск, ул. Отдыха, д.67, к.н. 61:48:0020101:1236</t>
  </si>
  <si>
    <t>Обеспечение коммерческим учетом электрической энергии (мощности) в точке поставки и установка шкафа 0,4 кВ по присоединению жилого дома  Кравец Н.Л., расположенного по адресу: Ростовская область, Волгодонской район, х. Лагутники, ул. Степная, 49, кадастровый номер земельного участка: 61:08:0070209:87</t>
  </si>
  <si>
    <t>Установка коммерческого учета электрической энергии (мощности) в точке поставки и установка шкафа 0,4 кВ по присоединению жилого дома Абдулвахабова У., расположенного по адресу: Ростовская область, Дубовский район, х. Ивановка, ул. Дорожная, д. 1, кадастровый номер земельного участка 61:09:0080201:41</t>
  </si>
  <si>
    <t>Установка прибора коммерческого учета электрической энергии (мощности) в точке поставки для присоединения склада №1 ИП главы К(Ф)Х Недорубова А.А., расположенного по адресу: Ростовская область, Константиновский район, 0,2 км севернее станицы Мариинская, к.н.з.у.: 61:17:0600016:2266</t>
  </si>
  <si>
    <t>Установка прибора коммерческого учета электрической энергии (мощности) в точке поставки для присоединения сооружения связи ООО «ДонСвязьКонструкция», расположенного по адресу: Ростовская область, Волгодонской район, станица Романовская, ул. Жемчужная, на пересечении ул. Жемчужной и пер. Союзного, вблизи жилого дома с к.н. 61:08:0070114:629, с кадастровым кварталом 61:08:0600601, к.н.з.у. 61:08:0070114:629</t>
  </si>
  <si>
    <t>Установка прибора коммерческого учета электрической энергии (мощности) в точке поставки для присоединения жилого дома Жукова В.И., расположенного по адресу: Ростовская область, Волгодонской район, станица Романовская, ул. 75 лет Победы, д. 39, к.н.з.у.: 61:08:0600601:4596</t>
  </si>
  <si>
    <t>Установка прибора коммерческого учета электрической энергии (мощности) в точке поставки для присоединения нежилого здания ИП Убейкина Д.Г., расположенного по адресу: Ростовская область, г. Волгодонск, ул. Отдыха, д.47, кадастровый номер земельного участка: 61:48:0020101:327</t>
  </si>
  <si>
    <t>Установка коммерческого учета электрической энергии (мощности) в точке поставки и установка шкафа 0,4 кВ по присоединению жилого дома Мельника В.С., расположенного по адресу: Ростовская область, Мартыновский район, х. Московский, ул. Московская, д. 11, кадастровый номер земельного участка 61:20:0070601:431</t>
  </si>
  <si>
    <t>Установка коммерческого учета электрической энергии (мощности)  в точке поставки и установка шкафа 0,4 кВ по присоединению нежилого здания Ложниченко В.С., расположенного по адресу: Ростовская область, Ремонтненский район, п. Денисовский, жт. Денисова, д. 11, строение 2, кадастровый номер земельного участка 61:32:0600008:9246</t>
  </si>
  <si>
    <t>Установка прибора коммерческого учета электрической энергии (мощности) в точке поставки для присоединения квартиры Юхно Н.Г., расположенной по адресу: Ростовская область, Ремонтненский район, п. Денисовский, ул. 40 лет Победы, д. 3, кв. 2, к.н.з.у.: 61:32:0030101:1593</t>
  </si>
  <si>
    <t>Установка прибора коммерческого учета электрической энергии (мощности) в точке поставки для присоединения индивидуального жилого дома Фисенко В.Д., расположенного по адресу: Ростовская область, Волгодонской район, станица Романовская, ул. 75 лет Победы, д. 45, к.н.з.у.: 61:08:0600601:4602</t>
  </si>
  <si>
    <t>Установка прибора коммерческого учета электрической энергии (мощности) в точке поставки для присоединения малоэтажной жилой застройки Ким М.А., расположенной по адресу: Ростовская область, Волгодонской район, станица Романовская, ул. 75 лет Победы, д.59, кадастровый номер земельного участка: 61:08:0600601:4616</t>
  </si>
  <si>
    <t>Установка прибора коммерческого учета электрической энергии (мощности) в точке поставки для присоединения жилого дома Каймачникова Д.Г., расположенного по адресу: Ростовская область, Волгодонской район, станица Романовская, ул. 75 лет Победы, д. 65, к.н.з.у.: 61:08:0600601:4621</t>
  </si>
  <si>
    <t>Установка прибора коммерческого учета электрической энергии (мощности) в точке поставки для присоединения здания администрации ИП Коваленко О.С., расположенного по адресу: Ростовская область, Волгодонской район, примерно в 1,5 км на северо-восток от станицы Романовская, к.н.з.у: 61:08:0070104:281</t>
  </si>
  <si>
    <t>Установка коммерческого учета электрической энергии (мощности) в точке поставки и установка шкафа 0,4 кВ по присоединению жилого дома Косаревой Н.С., расположенного по адресу: Ростовская область, Волгодонской район, станица Романовская, ул. Язева, д. 25, кадастровый номер земельного участка 61:08:0600601:3833 (1шт)</t>
  </si>
  <si>
    <t xml:space="preserve">Установка приборов коммерческого учета электрической энергии (мощности) в точке поставки для присоединения жилого дома Усенко М.В. и индивидуального жилого дома Шейкиной Л.П., расположенных по адресу: Ростовская область, Волгодонской район, станица Романовская, ул. 75 лет Победы, д.57, к.н.з.у.: 61:08:0600601:5144 и д.61, к.н.з.у.: 61:08:0600601:4618 </t>
  </si>
  <si>
    <t>Установка прибора коммерческого учета электрической энергии (мощности) в точке поставки для присоединения индивидуального жилого дома Удодовой Г.С., расположенного по адресу: Ростовская область, Волгодонской район, станица Романовская, ул. 75 лет Победы, д. 71, к.н.з.у.: 61:08:0600601:4627</t>
  </si>
  <si>
    <t>Установка прибора коммерческого учета электрической энергии (мощности) в точке поставки для присоединения магазина ИП Акмалиева А.Е., расположенного по адресу: Ростовская область, Волгодонской район, станица Романовская, ул. Тюхова, д. 80б, к.н.з.у.: 61:08:0000000:3578</t>
  </si>
  <si>
    <t>Установка коммерческого учета электрической энергии (мощности) в точке поставки и установка шкафа 0,4 кВ по присоединению жилого дома Шейкина С.В., расположенного по адресу: Ростовская область, Волгодонской район, станица Романовская, ул. Соловьевых, д. 75а, кадастровый номер земельного участка 61:08:0070121:292</t>
  </si>
  <si>
    <t>Установка прибора коммерческого учета электрической энергии (мощности) в точке поставки для присоединения индивидуального жилого дома Кучиной М.А., расположенного по адресу: местоположение установлено относительно ориентира, расположенного в границах участка. Почтовый адрес ориентира: Ростовская область, Волгодонской район, станица Романовская, пер. Союзный. 2, кадастровый номер земельного участка: 61:08:0070120:688</t>
  </si>
  <si>
    <t>Установка прибора коммерческого учета электрической энергии (мощности) в точке поставки для присоединения жилого дома Прокопенко И.А., расположенного по адресу: Ростовская область, Волгодонской район, х. Потапов, ул. Комсомольская, д.62,  к.н.з.у: 61:08:0040104:74</t>
  </si>
  <si>
    <t>Установка прибора коммерческого учета электрической энергии (мощности) в точке поставки для присоединения складского здания ИП Московой И.С., расположенного по адресу: Ростовская область, Волгодонской район, х. Потапов, ул. Комсомольская, д. 63Г, к.н.з.у.: 61:08:0040103:93</t>
  </si>
  <si>
    <t>Установка прибора коммерческого учета электрической энергии (мощности) в точке поставки для присоединения жилого дома Рябышева П.А., расположенного по адресу: Ростовская область, Дубовский район, х. Овчинников, ул. Весенняя, д. 21, к.н.з.у.: 61:09:0030201:62:21</t>
  </si>
  <si>
    <t>Установка прибора коммерческого учета электрической энергии (мощности) в точке поставки для присоединения жилого дома Крюковой В.Н., расположенного по адресу: Ростовская область, Дубовский район, х. Овчинников, ул. Центральная, д. 5, к.н.з.у.: 61:09:0030201:635</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</si>
  <si>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(Индивидуальный жилой дом/Садовый/Дачный дом) Стеценко С.В., расположенной по адресу: Ростовская область, Дубовский район, х. Овчинников, ул. Береговая, д.22, кадастровый номер земельного участка: 61:09:0030201:35</t>
  </si>
  <si>
    <t>Обеспечение коммерческим учетом электрической энергии (мощности) в точке поставки и установка шкафа 0,4 кВ по присоединению магазина Сардалиева Э.Н., расположенного по адресу: Ростовская область, Мартыновский район, слобода Большая Орловка, ул. Революционная, д.65-а, к.н. 61:20:0020101:13067</t>
  </si>
  <si>
    <t>Установка прибора коммерческого учета электрической энергии (мощности) в точке поставки для присоединения квартиры Крюкова С.А., расположенной по адресу: Ростовская область, Константиновский район, х. Нижнекалинов, ул. Степная, д.6, кв.2, к.н.з.у: 61:17:0060801:314</t>
  </si>
  <si>
    <t>Установка коммерческого учета электрической энергии (мощности) в точке поставки и установка шкафа 0,4 кВ по присоединению жилого дома Абраменко Г.А., расположенного по адресу: Ростовская область, Константиновский район, станица Николаевская, ул. Коммунистическая, д. 8, кадастровый номер земельного участка 61:17:0050101:6434</t>
  </si>
  <si>
    <t>Установка прибора коммерческого учета электрической энергии (мощности) в точке поставки для присоединения жилого дома Болдырева Д.П., расположенного по адресу: Ростовская область, Константиновский район, х. Суворов, ул. Центральная, д. 36, к.н.з.у.: 61:17:0040601:444</t>
  </si>
  <si>
    <t>Установка коммерческого учета электрической энергии (мощности) в точке поставки и установка шкафа 0,4 кВ по присоединению жилого дома Поповой Г.И., расположенного по адресу: Ростовская область, Ремонтненский район, с. Кормовое, ул. Мира, д. 38, кадастровый номер земельного участка 61:32:0060101:267 (1 шт)</t>
  </si>
  <si>
    <t>Установка прибора коммерческого учета электрической энергии (мощности) в точке поставки для присоединения жилого дома Титова П.А., расположенного по адресу: Ростовская область, Цимлянский район, станица Камышевская, ул. Большая Садовая, д. 59, к.н.з.у.: 61:41:0040110:32</t>
  </si>
  <si>
    <t>Установка прибора коммерческого учета электрической энергии (мощности) в точке поставки для присоединения модульного отделения почтовой связи АО «Почта России», расположенного по адресу: Ростовская область, Заветинский район, х. Шебалин, ул. Гагарина, д. 20а, к.н.з.у.: 61:11:0090101:1423</t>
  </si>
  <si>
    <t>Установка прибора коммерческого учета электрической энергии (мощности) в точке поставки для присоединения жилого дома Тарасенко Л.В., расположенного по адресу: Ростовская область, Заветинский район, с. Кичкино, ул. Октябрьская, д. 43, к.н.з.у.: 61:11:0030101:7</t>
  </si>
  <si>
    <t>Обеспечение коммерческим учетом электрической энергии (мощности) в точке поставки и установка шкафа 0,4 кВ по присоединению квартиры Мироненко Е.А., расположенной по адресу: Ростовская область, Заветинский район, с. Кичкино, ул. Школьная, д. 6, кв.2, кадастровый номер земельного участка 61:11:0030101:584</t>
  </si>
  <si>
    <t>Обеспечение коммерческим учетом электрической энергии (мощности) в точке поставки и установка шкафа 0,4 кВ по присоединению жилого дома Поддубной С.В., расположенного по адресу: Ростовская область, Заветинский район, с. Кичкино, ул. Солнечная, д. 10, кадастровый номер земельного участка 61:11:0030101:519</t>
  </si>
  <si>
    <t>Установка прибора коммерческого учета электрической энергии (мощности) в точке поставки для присоединения жилого дома Салеевой Л.М., расположенного по адресу: Ростовская область, Заветинский район, х. Шебалин, ул. Набережная, д.13, кадастровый номер объекта: 61:11:090101:0498:2300/А:0/7320</t>
  </si>
  <si>
    <t xml:space="preserve"> 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Большая Федоровка, въезд в х. Большая Федоровка, х. Большая Федоровка, ул. Заречная (Администрация Владимирского сельского поселения). (2шт)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</si>
  <si>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Петровский, ул. Центральная, д.33, Козменко В.И.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</si>
  <si>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Садки, пер. Крутой, д.5, Галатова В.П. (1шт)</t>
  </si>
  <si>
    <t xml:space="preserve"> 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р.п. Усть-Донецкий, ул. Дачная, д. 53 (Димитренков О.М.) (1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</si>
  <si>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х. Чумаковский, ул. Колхозная, д. 7 (Токарев Н.И.) (1 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</si>
  <si>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х. Бронницкий, ул. Советская, д. 36 (Счанян О.Л.) (1 шт.)</t>
  </si>
  <si>
    <t xml:space="preserve"> Обеспечение коммерческим учетом электрической энергии (мощности) в точке поставки по присоединению объекта заявителя. Ростовская область р-н. Аксайский, х. Горизонт (Каверин Д.Л.) (1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</si>
  <si>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Красногорняцкий, ул. Михайличенко д.15, ул. Петренко д 17 (Кузнецова О.А., Андриянцев Р.В.) (2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</si>
  <si>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Марьевка, ул. Вишневая, д. 20 (Матвиенко Т.В.) (1 шт.)</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</si>
  <si>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Шевченко, ул. Подгорная, д. 22 (Шерешев И.В.) (1 шт.)</t>
  </si>
  <si>
    <t>Обеспечение коммерческим учетом электрической энергии (мощности) в точке поставки по присоединению объекта заявителя. Ростовская область, Родионово-Несветайский район, х. Болдыревка, ул. Дубовая, д. 11 (Дроменко И.П.) (1 шт.)</t>
  </si>
  <si>
    <t>Обеспечение коммерческим   учетом электрической энергии (мощности) в точке поставки и установка шкафа 0,4 кВ для электроснабжения «ВРУ-0,4 кВ для наружного освещения автомобильной дороги», от опоры №19 ВЛ 0,4кВ № 1 от КТП 303 ВЛ 10кВ "Мир" ПС Н-9, расположенной по адресу Родионово-Несветайский район, х. Новотроицкий, ул. Центральная  Ростовской области</t>
  </si>
  <si>
    <t>Обеспечение коммерческим   учетом электрической энергии (мощности) в точке поставки и установка шкафа 0,4 кВ для электроснабжения «ВРУ-0,4 кВ для наружного освещения автомобильной дороги», от опоры №1 ВЛ 0,4кВ № 1 от КТП 10/0,4 № 34 ВЛ 10кВ "Мир" ПС Н-9, расположенной по адресу Родионово-Несветайский район, х. Новотроицкий, ул. Центральная  Ростовской области</t>
  </si>
  <si>
    <t>Обеспечение коммерческим учетом электрической энергии (мощности) в точке поставки по присоединению объекта заявителя. Ростовская область, Родионово-Несветайский район, сл. Родионово-Несветайская, ул. Сосновая,5, (ИП Комендатова Н.С.)</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</si>
  <si>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ст. Кривянская, ул. Орджоникидзе д.20 (Лиманцева С.И) (1 шт.)</t>
  </si>
  <si>
    <t>Установка прибора учета для присоединения базовой станции сотовой связи АО «ПБК», расположенной по адресу: Ростовская область Родионово-Несветайский район, х. Каменный Брод, ул. Первомайская,  участок в 60 м от дома № 4, в пределах кадастрового квартала 61:33:0030501, расположенный в территориальной зоне Р1 (1шт.)</t>
  </si>
  <si>
    <t>Установка прибора учета для присоединения ЛЭП 0,4 кВ жилого дома Бакушкиной Л.Г., расположенного по адресу: Ростовская область,  Родионово-Несветайский район,  х. Волошино, ул. Заречная,  д. 20, КН ЗУ: 61:33:0070101:1437 (1шт.)</t>
  </si>
  <si>
    <t>Установка прибора учета для присоединения жилого дома Бабушкина И.А., расположенного по адресу: Ростовская область, Родионово-Несветайский район,  х. Каменный Брод, ул. Смирнова,  д. 8б, КН ЗУ: 61:33:0030501:156 (1шт.)</t>
  </si>
  <si>
    <t>Установка прибора учета для присоединения объекта Малоэтажная жилая застройка (Индивидуальный жилой дом/Садовый/Дачный дом) Бунь А.П., расположенного по адресу: Ростовская область, Родионово-Несветайский район,  х. Октябрьский, СНТ "Электромонтажник", участок № 214А, КН ЗУ: 61:33:0500201:288 (1шт.)</t>
  </si>
  <si>
    <t>Установка прибора учета для присоединения Малоэтажной жилой застройки (Индивидуальный жилой дом/Садовый/Дачный дом) Данько М.В., расположенной по адресу: Ростовская область, Родионово-Несветайский район, с. Генеральское, ул. Советская,  д. 28, КН ЗУ: 61:33:0070601:36 (1шт.)</t>
  </si>
  <si>
    <t>Установка прибора учета для присоединения жилого дома Шумейко С.Н., расположенного по адресу: Ростовская область, Родионово-Несветайский район, х. Греково-Балка, ул. Центральная,  д. 24, КН ЗУ: 61:33:0021001:47 (1шт.)</t>
  </si>
  <si>
    <t>Установка прибора учета для присоединения Малоэтажной жилой застройки (Индивидуальный жилой дом/Садовый/Дачный дом) Петровой В.П., расположенной по адресу: Ростовская область, Родионово-Несветайский район, сл. Барило-Крепинская, ул. Гончарова,  д. 7, КН ЗУ: 61:33:0050101:270 (1шт.)</t>
  </si>
  <si>
    <t>Установка прибора учета для присоединения СТОА ИП Понимаш В.Н., расположенной по адресу: Ростовская область, Родионово-Несветайский район, сл. Родионово-Несветайская, ул. Гвардейцев-Танкистов,  д. 2М, КН ЗУ: 61:33:0040133:99 (1шт.)</t>
  </si>
  <si>
    <t>Установка прибора учета для присоединения жилого дома Долженко С.В., расположенного по адресу: Ростовская область, Родионово-Несветайский район, сл. Родионово-Несветайская, ул. 30 лет Победы,  д. 15, КН ЗУ: 61:33:0040123:79 (1шт.)</t>
  </si>
  <si>
    <t>Установка прибора учета для присоединения «Малоэтажной жилой застройки (Индивидуальный жилой дом/Садовый/Дачный дом)» Петровой И.В., расположенной по адресу: Ростовская область, Родионово-Несветайский район, х. Каменный Брод, ул. Каменка,  д. 43, КН ЗУ: 61:33:0030501:632 (1шт.)</t>
  </si>
  <si>
    <t>Установка прибора учета для присоединения ВРУ-0,4кВ  здания администрации Садковского сельского поселения, расположенного по адресу: Ростовская область, Красносулинский район, х.Садки, ул. Советская, д.17, к.н.з.у.: 61:18:0090104:295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</si>
  <si>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х. Большое Зверево, ул. Колхозная, д.15,Баранова А.С. (1шт)</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</si>
  <si>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п. Черевково, ул. Октябрьская д.26, кв./оф.1 (Стогнеев Г.А.) (1шт.)</t>
  </si>
  <si>
    <t>Установка прибора учета для присоединения зернохранилища ИП Поливанова В.П., расположенного по адресу: Ростовская область, Красносулинский район, с.Ребриковка, ул. Веселая, д. 5, КН ЗУ: 61:18:0050701:112» (1шт.)</t>
  </si>
  <si>
    <t>Установка прибора учета для присоединения базовой станции/ оборудование сотовой связи Красносулинского района ООО «Герц», расположенной по адресу: Ростовская область, Красносулинский район, п. Пригородный, ул. Ленина (1шт.)</t>
  </si>
  <si>
    <t>Установка прибора  учета  для  присоединения Базовой станции/ оборудование сотовой связи ООО «Герц», расположенной по адресу: Ростовская область,  Красносулинский район, х. Пушкин, Пролетарское сельское поселение, 7,5 км на юго-запад от ул. Центральная (1шт.)</t>
  </si>
  <si>
    <t>Установка прибора учета для присоединения «Малоэтажная жилая застройка (Индивидуальный жилой дом/Садовый/Дачный дом)» Кравченко А.Н. расположенной по адресу: р-н. Родионово-Несветайский с. Генеральское, ул. Ленина,  д. 28а, к.н.з.у. 61:33:0070601:1750</t>
  </si>
  <si>
    <t>Установка прибора учета для присоединения жилого дома Миронова И.В., расположенного по адресу: Ростовская область, Родионово-Несветайский район, сл. Родионово-Несветайская, ул. Панфиловцев,  д. 39,  д. 1, КН ЗУ: 61:33:0040137:5 (1шт.)</t>
  </si>
  <si>
    <t>Установка прибора учета для присоединения «Малоэтажная жилая застройка (Индивидуальный жилой дом/Садовый/Дачный дом)» Михно Г.В.. расположенной по адресу: р-н. Родионово-Несветайский, сл. Большекрепинская, ул. Заречная, д. 42а, к.н.з.у. 61:33:0060101:3032</t>
  </si>
  <si>
    <t>Установка прибора учета для присоединения жилого дома Шакарян А.В., расположенного по адресу: Ростовская область, Родионово-Несветайский район,  сл. Родионово-Несветайская, ул. Айвовая,  д. 17, КН ЗУ: 61:33:0040123:251 (1шт.)</t>
  </si>
  <si>
    <t>Строительство ВЛИ-0,4 кВ от оп.32 по 64 по ВЛ 0,4кВ № 2 от ТП № 48 ВЛ-10 кВ Новоегорьевка ПС Н-9, для электроснабжения земельного участка ИП Лигус В.Н. по адресу: Родионово-Несветайский район, х. Греково-Балка, к.н.з.у. 61:33:0600006:146, (ориентировочная протяженность ЛЭП – 0,290 км)</t>
  </si>
  <si>
    <t xml:space="preserve">Обеспечение коммерческим учетом электрической энергии (мощности) в точке поставки и установка шкафа с коммутационным аппаратом для электроснабжения ВРУ-0,4 кВ ремонтного цеха ИП Ванян С.А., Ростовская область, Красносулинский район, на землях ПСХ «Аютинское», к.н.з.у.: 61:18:0600022:158 </t>
  </si>
  <si>
    <t>Обеспечение коммерческим учетом электрической энергии (мощности) в точке поставки по присоединению объектов заявителей. Ростовская область, Красносулинский район, с. Прохоровка, ул. Центральная, д.94 (Конкин Артур Петрович) (1шт.)</t>
  </si>
  <si>
    <t>Установка  прибора  учета  для  присоединения детского сада на 60 мест Муниципального казенного учреждения Красносулинского района «Отдел капитального строительства», расположенного по адресу: Ростовская область, Красносулинский район, ст. Владимировская, ул. Школьная, б/н, КН ЗУ: 61:18:0020103:171 (1шт.)</t>
  </si>
  <si>
    <t>Обеспечение коммерческим учетом электрической энергии (мощности) в точке поставки по присоединению объекта Заявителя ВРУ-0,4 кВ для электроснабжения хозяйственной постройки Ващенко Е.В., расположенного по адресу: Ростовская область, Семикаракорский район, ст. Кочетовская, ул. Набережная,  д. 51, к.н.з.у.: 61:35:0080101:4074 (1шт)</t>
  </si>
  <si>
    <t>Обеспечение коммерческим учетом электрической энергии (мощности) в точке поставки по присоединению объекта заявителя. Ростовская обл., р-н Усть-Донецкий, х. Пухляковский, ул. Западная, д. 13-В (Малейко Г.В.)</t>
  </si>
  <si>
    <t>Установка прибора учета для присоединения жилого дома Бойко С.В., расположенного по адресу: Ростовская область, Усть-Донецкий район, х. Пухляковский, ул. Садовая,  д. 5, КН ЗУ: 61:39:0090101:368» (1шт.)</t>
  </si>
  <si>
    <t>Установка прибора учета для присоединения жилого дома Коробова С.Е., расположенного по адресу: Ростовская область, Усть-Донецкий район, ст. Нижнекундрюченская, ул. Нечаевская,  д. 2, КН ЗУ: 61:39:0060101:117 (1шт.)</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</si>
  <si>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ст. Нижнекундрюченская, ул. Пролетарская, д.25 (ИП Автонов П.В.)</t>
  </si>
  <si>
    <t>Установка прибора учета для присоединения жилого дома  Шабановой Е.А., расположенного по адресу: Ростовская область, Усть-Донецкий район, х. Апаринский, ул. Университетская,  д. 8, кадастровый номер земельного участка: 61:39:0050102:48 (1шт.)</t>
  </si>
  <si>
    <t>Установка прибора учета для присоединения объекта ВРУ-0.4кВ жилого дома Попова М.В., расположенного по адресу: Ростовская область, Усть-Донецкий район, х. Апаринский, ул. Первомайская, д. 18, кадастровый номер земельного участка: 61:39:050102:0022 (1 шт)</t>
  </si>
  <si>
    <t>Установка прибора учета для присоединения  жилого дома  Залепиловой О.М., расположенного по адресу: Ростовская область, Усть-Донецкий район, р.п. Усть-Донецкий, ул. Шолохова,  д. 52, КН ЗУ: 61:39:0010104:44 (1шт.)</t>
  </si>
  <si>
    <t>Установка прибора учета для присоединения жилого дома  Токаревой С.М., расположенного по адресу: Ростовская область, Усть-Донецкий район, р.п. Усть-Донецкий, ул. Виноградная,  д. 39, кадастровый номер земельного участка: 61:39:0010104:219 (1шт.)</t>
  </si>
  <si>
    <t>Установка прибора учета для присоединения жилого дома  Бузулуцкой Л.И., расположенного по адресу: Ростовская область, Октябрьский район, п. Равнинный, ул. Майская,  д. 23, кадастровый номер земельного участка: 61:28:0020601:87 (1шт.)</t>
  </si>
  <si>
    <t>Установка прибора учета для присоединения объекта ВРУ-0.4кВ жилого дома Каменева М.В., расположенного по адресу: Ростовская область, Усть-Донецкий район, ст. Нижнекундрюченская, ул. Почтовая,  д. 41, кадастровый номер земельного участка: 61:39:0060102:143 (1 шт)</t>
  </si>
  <si>
    <t>Обеспечение коммерческим учетом электрической энергии (мощности) в точке поставки для электроснабжения ВРУ-0.4кВ объекта благоустройства прибрежной зоны вдоль реки Северский Донец Администрации Апаринского с/п, расположенного по адресу: Ростовская область, Усть-Донецкий район, х. Апаринский, примерно в 150 м по направлению на юго-восток от земельного участка № 58 по ул. Донецкая, кадастровый номер земельного участка 61:39:0600009:348</t>
  </si>
  <si>
    <t>Установка прибора учета для присоединения дошкольной образовательной организации (учреждения) МКУ «Служба заказчика» Усть-Донецкого района, расположенного по адресу: Ростовская область, Усть-Донецкий район, х. Апаринский, ул. Виноградная,  д. 22, КН ЗУ 61:39:0050101:1461 (1шт.)</t>
  </si>
  <si>
    <t>Строительство ВЛИ-0,4 кВ от оп.3 ВЛ 0,4 кВ № 1 от МТП 10/0,4кВ № М-2 по ВЛ-10кВ «Маяки» ПС Н-15, для электроснабжения жилого дома Семенова А.А.по адресу: р-н. Родионово-Несветайский, х. Атамано-Власовка, ул. Чапаева, д. 3, (ориентировочная протяженность ЛЭП – 0,040 км)</t>
  </si>
  <si>
    <t>Обеспечение коммерческим учетом электрической энергии (мощности) в точке поставки по присоединению объекта заявителя. Ростовская область, Родионово-Несветайский район, сл. Родионово-Несветайская, ул. Айвовая, д. 32  (Сухин Ю.С.)</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</si>
  <si>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Новотроицкий, ул. Степная, д. 6 (Лимарев А.А.)</t>
  </si>
  <si>
    <t>Установка прибора учета  для присоединения базовой станции/оборудования сотовой связи ПАО междугородной и международной электрической связи «Ростелеком», расположенной по адресу: Ростовская область, Красносулинский район, с. Павловка (1шт.)</t>
  </si>
  <si>
    <t>Установка прибора учета для присоединения базовой станции/оборудования сотовой связи ПАО междугородной и международной электрической связи «Ростелеком», расположенной по адресу: Ростовская область, Красносулинский район, х. Васецкий (1шт.)</t>
  </si>
  <si>
    <t>Установка прибора учета для присоединения склада ИП Данилова Н.В., расположенного по адресу: Ростовская область, Красносулинский район, с. Киселево, ул. Лермонтова, д. 6, КН ЗУ: 61:18:0050104:105 (1шт.)</t>
  </si>
  <si>
    <t>Установка прибора учета для присоединения жилого дома Абанина Д.Н, расположенного по адресу: Ростовская область, Красносулинский район, п. Пригородный, ул. 47-й Гвардейской Стрелковой Дивизии, д. 66, КН ЗУ: 61:18:0110104:26 (1шт.)</t>
  </si>
  <si>
    <t>Установка прибора учета для присоединения жилого дома Димитрова Н.И., расположенного по адресу: Ростовская область, Красносулинский район, х. Молаканский, пер. Школьный, д. 3 (1шт.)</t>
  </si>
  <si>
    <t>Обеспечение коммерческим учетом электрической энергии«Обеспечение коммерческим учетом электрической энергии  в точке поставки, по присоединению жилого дома Кривовой А.Н., расположенного по адресу: Ростовская область, Белокалитвинский район,  х. Гусынка, ул. Хуторская, д. № 8, к.н. (1шт)</t>
  </si>
  <si>
    <t>Обеспечение коммерческим учетом электрической энергии в точке поставки, по присоединению телятника № 2 индивидуального предпринимателя Вдовенко Л.Н., расположенного по адресу: Ростовская область, Белокалитвинский район, х. Ильинка, 200 метров восточнее х. Ильинка, к.н. 61:04:0600002:393(1шт)</t>
  </si>
  <si>
    <t>Обеспечение коммерческим учетом электрической энергии в точке поставки, по присоединению жилого дома Бобик Р.В., расположенного по адресу: Ростовская область, Милютинский район, ст.Селивановская, ул.Череватенко, д.6, к.н. 61:23:080101:148 (прибор учёта электроэнергии - 1шт)</t>
  </si>
  <si>
    <t>Обеспечение коммерческим учетом электрической энергии  в точке поставки, по присоединению жилого дома Романова В.Г., расположенного по адресу: Ростовская область, Милютинский район, х. Сулинский, пер. Тенистый, д.5, к.н. 61:23:010101:12 (прибор учёта электроэнергии - 1шт)</t>
  </si>
  <si>
    <t>Обеспечение коммерческим учетом электрической энергии  в точке поставки, по присоединению жилого дома Кузнецова Сергея Генадьевича расположенного по адресу: Ростовская область, Обливский район, хутор Кзыл-Аул, улица Муссы Джалиля, дом 3, к.н. 61:27:0071201:98 (прибор учёта электроэнергии - 1шт).</t>
  </si>
  <si>
    <t>Обеспечение коммерческим учетом электрической энергии в точке поставки, по присоединению жилого дома Пивневой О.И., расположенного по адресу: Ростовская область, Обливский район, х. Караичев, ул. Новая, д. 11, к.н. 61:27:0040104:66(прибор учета электроэнергии – 1шт).</t>
  </si>
  <si>
    <t>Обеспечение коммерческим учетом электрической энергии в точке поставки, по присоединению жилого дома Давыдова А.А., расположенного по адресу: Ростовская область, Белокалитвинский район, п. Сосны, ул. Севастопольская д, 8 кв.2, к.н. 61:04:0150405:221(1шт)</t>
  </si>
  <si>
    <t>Обеспечение коммерческим учетом электрической энергии в точке поставки, по присоединению жилого дома ООО «АСБ-Калитва»., расположенного по адресу: Ростовская область, Белокалитвинский район, х. Ильинка, ул. Первомайская, д. 9, к.н. 61:04:0140103:47 (прибор учёта электроэнергии - 1шт)</t>
  </si>
  <si>
    <t>Установка прибора коммерческого учёта электрической энергии для присоединения жилого дома Мушаковой М.В., расположенного по адресу: Ростовская область, Белокалитвинский район, х. Ильинка, ул. Советская, д. № 12, к.н. 61:04:0140107:95 (прибор учета электроэнергии – 1шт)</t>
  </si>
  <si>
    <t>Установка прибора коммерческого учёта электрической энергии для присоединения строящегося жилого дома Морозова Д.Д., расположенного по адресу: Ростовская область, Белокалитвинский район, п. Сосны, ул. Энергетиков, д. № 15 а, к.н. 61:04:0150407:277(прибор учета электроэнергии – 1шт).</t>
  </si>
  <si>
    <t>Установка прибора коммерческого учёта электрической энергии для присоединения строящегося жилого дома Петросяна А.Р., расположенного по адресу: Ростовская область, Белокалитвинский район, х. Апанасовка, ул. Луговая д, 2 к.н. 61:04:0130103:130(прибор учета электроэнергии – 1шт).</t>
  </si>
  <si>
    <t>Установка прибора коммерческого учёта электрической энергии,  для присоединения Фельдшерского-акушерского пункта «Центральная Районная больница»., расположенного по адресу: Ростовская область, Белокалитвинский район, х. Насонтов, ул. Центральная, д. № 64, к.н. з.у. 61:04:070301:0040 (прибор учета электроэнергии – 1шт)</t>
  </si>
  <si>
    <t>Обеспечение коммерческим учетом электрической энергии  в точке поставки, по присоединению жилого дома Панкратова Михаила Валерьевича, расположенного по адресу: Ростовская область, Обливский район,  хутор Солонецкий,  улица Подгорная, дом 4, к.н. 61:27:0060101:177 (прибор учёта электроэнергии - 1шт).</t>
  </si>
  <si>
    <t>Обеспечение коммерческим учетом электрической энергии в точке поставки, по присоединению «здание пожарного депо» Администрации муниципального образования «Обливское сельское поселение» Обливского района Ростовской области, расположенного по адресу: Ростовская область, Обливский район, хутор Ковыленский,    улица Центральная, дом 16а, к.н. 61:27:0071101:224» (прибор учёта электроэнергии - 1шт).</t>
  </si>
  <si>
    <t>Установка прибора коммерческого учёта электрической энергии для присоединения административного здания, Администрации муниципального образования «Калач –Куртлакского сельского поселения», расположенного по адресу: Ростовская область, Советский район, сл. Калач-Куртлак, ул. Молодежная, д.9, к.н. 61:36:0040101:346 (прибор учета электроэнергии – 1шт).</t>
  </si>
  <si>
    <t>Обеспечение коммерческим учетом электрической энергии в точке поставки, по присоединению жилого дома Степикина А.П., расположенного по адресу: Ростовская область, Тацинский район, х. Верхнеобливский, ул. Советская, 13 (1 шт)</t>
  </si>
  <si>
    <t>'Установка прибора коммерческого учёта электрической энергии для присоединения жилого дома Зинаковой С.О., расположенного по адресу: Ростовская область, Белокалитвинский район, х. Поцелуев, ул. Газодобытчиков д,4 к.н. 61:04:0050104:36 (прибор учёта электроэнергии - 1шт).</t>
  </si>
  <si>
    <t>Установка прибора коммерческого учёта электрической энергии, для присоединения зернохранилища № 2 ИП Главы КФХ Курилина В.Н., расположенного по адресу: Ростовская область, Милютинский район, х. Николаевка, ул. Северная д. 11, к.н.з.у. 61:23:0600011:692 (прибор учёта электроэнергии      30 кВт - 1шт.)</t>
  </si>
  <si>
    <t>Установка прибора коммерческого учёта электрической энергии для присоединения жилого дома Желещиковой М.И., расположенного по адресу: Ростовская область, Морозовский район, х. Вознесенский, ул. Заречная, д.21, к.н. 61:24:0030504:17 (прибор учёта электроэнергии - 1шт.)</t>
  </si>
  <si>
    <t>Установка прибора коммерческого учёта электрической энергии для присоединения жилого дома Кулюк В.В., расположенного по адресу: Ростовская область, Морозовский район, х. Золотой, ул. Золотая, д. 10, к.н. 61:24:0080201:30 (прибор учёта электроэнергии - 1шт.)</t>
  </si>
  <si>
    <t>Установка прибора коммерческого учёта электрической энергии для присоединения гаража Ткачевой Н.А., расположенного по адресу: Ростовская область, Тарасовский район,  
х. Ерофеевка, ул. Школьная, д. 8, к.н. 61:37:0050401:603 (прибор учёта электроэнергии - 1шт).</t>
  </si>
  <si>
    <t>Установка прибора коммерческого учёта электрической энергии, для присоединения кафе ООО «Топ фудс лтд», расположенного по адресу: Ростовская область, Тарасовский р-н, Дячкинское сельское поселение, 2,3 км на северо-восток от сл. Дячкино, к.н. 61:37:0600012:1899 (прибор учёта электроэнергии - 1шт)</t>
  </si>
  <si>
    <t>65</t>
  </si>
  <si>
    <t>Установка прибора коммерческого учёта электрической энергии, для присоединения объекта сельскохозяйственного производства Скорикова В.Ф., расположенного по адресу: Ростовская область, Каменский район, Красновское сельское поселение, к.н.з.у. 61:15:0601001:1804 (прибор учёта электроэнергии - 1шт.)</t>
  </si>
  <si>
    <t>Обеспечение коммерческим учетом электрической энергии в точке поставки, по присоединению здания модульный ФАП МБУЗ «ЦРБ» расположенного по адресу: Ростовская область, Морозовский район, х. Трофименков, ул. Садовая, д.19 в, к.н. 61:24:0020501:624 (1шт)</t>
  </si>
  <si>
    <t>Обеспечение коммерческим учетом электрической энергии в точке поставки, по присоединению жилого дома Кисловой А.В., расположенного по адресу: Ростовская область, Тарасовский район, х. Липовка, ул. Пролетарская, д. 63, к.н. 61:37:0020301:83 (прибор учёта электроэнергии - 1шт)</t>
  </si>
  <si>
    <t>Обеспечение коммерческим учетом электрической энергии в точке поставки, по присоединению жилого дома Пивоварова В.А., расположенного по адресу: Ростовская область, Тарасовский район, сл. Колушкино, ул. Степная, д. 1, к.н. 61:37:090101:0220 (прибор учёта электроэнергии - 1шт)</t>
  </si>
  <si>
    <t>Установка прибора коммерческого учёта электрической энергии для присоединения жилого дома Шипиловой А.А., расположенного по адресу: Ростовская область, Милютинский район,                              х. Сулинский, ул. Заречная, д. № 4, к.н. 61:23:0010101:225 (прибор учёта электроэнергии - 1шт)</t>
  </si>
  <si>
    <t>Обеспечение коммерческим учетом электрической энергии  в точке поставки, по присоединению автогаража Середенко А.В., расположенного по адресу: Ростовская область, Милютинский район, х.Николовка, ул.Торговая, д.28, к.н. 61:23:0600011:735(прибор учёта электроэнергии - 1шт)</t>
  </si>
  <si>
    <t>Обеспечение коммерческим учетом электрической энергии  в точке поставки, по присоединению жилого дома Аникина С.Н., расположенного по адресу: Ростовская область, Милютинский район, ст. Селивановская, ул. Кооперативная, д. № 27, к.н. 61:023:0080101:1056 (прибор учета электроэнергии – 1шт)</t>
  </si>
  <si>
    <t>Установка прибора коммерческого учёта электрической энергии для присоединения здания детского сада № 7 Муниципального бюджетного дошкольного образовательного учреждения х. Новодмитриевский, расположенного по адресу: Ростовская область, Милютинский район, х.Новодмитриевский, ул. Новодмитриевка, д. № 10, к.н. 61:23:0050401:207(прибор учета электроэнергии – 1шт).</t>
  </si>
  <si>
    <t xml:space="preserve">Установка прибора коммерческого учёта электрической энергии, для присоединения крытого тока Диденко Н.И., 
расположенного по адресу: Ростовская область, Милютинский район сл. Маньково-Берёзовская, в 930 метрах на запад от сл. Маньково-Берёзовская КН ЗУ 61:23:0600006:773 (прибор учета электроэнергии – 1шт)
</t>
  </si>
  <si>
    <t>Установка прибора коммерческого учёта электрической энергии, для присоединения жилого дома Соколова А.И., расположенного по адресу: Ростовская обл., Милютинский р-н, х. Николовка, ул. Заречная, д.16, к.н. з.у. 61:23:0040301:70, (прибор учёта электроэнергии - 1шт)</t>
  </si>
  <si>
    <t>Установка прибора коммерческого учёта электрической энергии, для присоединения ВРУ- 0,22 кВ квартиры Давыдовой В.С., расположенной по адресу: Ростовская область, Милютинский район, х. Юдин, пер. Космонавтов, д. № 8, стр.1, кв.2, к.н. 61:23:0030101:2113 (прибор учёта электроэнергии - 1шт.).</t>
  </si>
  <si>
    <t>Обеспечение коммерческим учетом электрической энергии  в точке поставки, по присоединению сельского клуба МБУК «Покровский СК», расположенного по адресу: Ростовская область, Морозовский р-н, х. Покровский, ул. Покровская, д. 52, к.н. 61:21:0080501:52 (прибор учёта электроэнергии - 1шт).</t>
  </si>
  <si>
    <t>Обеспечение коммерческим учетом электрической энергии  в точке поставки, по присоединению жилого дома Гаврильчик А.Н., расположенного по адресу: Ростовская область, Морозовский р-н, х. Чекалов, ул. Молодежная, д. 1, к.н. 61:24:0070505:25 (прибор учёта электроэнергии - 1шт).</t>
  </si>
  <si>
    <t>Обеспечение коммерческим учетом электрической энергии  в точке поставки, по присоединению жилого дома Коренькова А.П., расположенного по адресу: Ростовская область, Морозовский р-н,  ст-ца. Вольно-Донская, ул. Молодежная, д. 15, к.н. 61:24:0060104:75 (прибор учёта электроэнергии - 1шт).</t>
  </si>
  <si>
    <t>Обеспечение коммерческим учетом электрической энергии  в точке поставки, по присоединению жилого дома Ганжа А.А.,  расположенного по адресу: Ростовская область, Советский район,слобода Чистяково, ул. Советская, д.12 к.н.з.у. 61:36:0020101:285 (прибор учета электроэнергии – 1шт)</t>
  </si>
  <si>
    <t>Установка прибора коммерческого учёта электрической энергии, для присоединения строящегося нежилого здания ИП Беркутова М.А., расположенного по адресу: Ростовская область, Советский район,  сл. Петрово, ул. Центральная, д.27 «а» к.н. 61:36:0040301:906 (прибор учета электроэнергии – 1шт)</t>
  </si>
  <si>
    <t>Установка прибора коммерческого учёта электрической энергии для присоединения ВРУ-0,4 кВ жилого дома  Кисленко В.Н., расположенного по адресу: Ростовская область, Тацинский район, х. Верхнеобливский, ул. Советская, 17 (прибор учёта электроэнергии - 1шт).</t>
  </si>
  <si>
    <t>Установка прибора коммерческого учёта электрической энергии, для присоединения ВРУ-0,4 кВ строящегося здания ИП Демидовой Н.Н., расположенного по адресу: Ростовская область, Тацинский район, х. Верхнеобливский, примерно в 50 м на восток от ул. Школьная, 48, к.н. 61:38:0600003:1007 (прибор учёта электроэнергии - 1шт.)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</si>
  <si>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Скляровой И.С., расположенного по адресу: Ростовская область, Миллеровский район, х. Терновой, ул. Школьная, д. 98, к.н.з.у. 61:22:0061001:170 (1 шт)</t>
  </si>
  <si>
    <t>Обеспечение коммерческим учетом электрической энергии (мощности) в точке поставки и установка шкафа 0,4 кВ с коммутационным аппаратом, для присоединения ВРУ-0,4 кВ уличного освещения, расположенного по адресу: Ростовская область, Боковский район, ст-ца Каргинская, ул. Чирская, д. 31 Б, к.н. 61:05:0040101:257</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</si>
  <si>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Афанасьевой Н.В., расположенного по адресу: Ростовская область, Шолоховский район, х. Дударевский, ул. Мостовая, д. 5, к.н. 61:43:041901:0046</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</si>
  <si>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Горбуновой Т.В., расположенного по адресу: Ростовская область, Кашарский район, п. Дибровый, кв-л. Школьный, д.21, к.н. 61:16:0130301:347</t>
  </si>
  <si>
    <t>Обеспечение коммерческим учетом электрической энергии (мощности) в точке поставки и установка шкафа 0,4 кВ с коммутационным аппаратом, для присоединения ЩРУ-0,4 кВ для сельскохозяйственного производства Дорониной Н.А., расположенного по адресу: Ростовская область, Верхнедонской  район, х. Громчанский, к.н. 61:07:0600026:320</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</si>
  <si>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Ермаковой О.С., расположенного по адресу: Ростовская область, Шолоховский район, х. Дубровский, пер. Степной, д. 10, к.н. 61:43:0030101:530</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</si>
  <si>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квартиры Казакова В.И., расположенного по адресу: Ростовская область, Кашарский район, с. Первомайское, ул. Торговая, д.5, кв./оф. 2, к.н. 61:16:0110102:194</t>
  </si>
  <si>
    <t>Обеспечение коммерческим учетом электрической энергии (мощности) в точке поставки и установка шкафа 0,4 кВ с коммутационным аппаратом, для присоединения жилого дома Кораблева В.Ю., расположенного по адресу: Ростовская область, Миллеровский район, х. Еритовка, ул. Октябрьская, д.13, к.н. 61:22:0080301:26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</si>
  <si>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Парамонова А.М., расположенного по адресу: Ростовская область, Шолоховский район, х. Антиповский, ул. Асфальтная, д. 36, к.н. 61:43:0030201:368</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</si>
  <si>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Магазина 111,заявителя ИП Щусь А.П., расположенного по адресу: Ростовская область, Чертковский район, х. Сидоровский, д. 5,  к.н. 61:42:0070201:73</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</si>
  <si>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Луганской Т.Н., расположенного по адресу: Ростовская область, Кашарский район, с. Первомайское, ул. Калинина, д.5, к.н. 61:16:0110102:690</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</si>
  <si>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Попова М.А., расположенного по адресу: Ростовская область, Кашарский район, с. Россошь, ул. Центральная, д.60, к.н. 61:16:0140101:723</t>
  </si>
  <si>
    <t>Обеспечение коммерческим учетом электрической энергии (мощности) в точке поставки и установка шкафа 0,4 кВ с коммутационным аппаратом, для энергоснабжения домовладения Симонова П.А., расположенного по адресу: Ростовская область, Верхнедонской район, х. Озерский, ул. Верхняя, д. 14, к.н. 61:07:0080301:484 (1 шт.)</t>
  </si>
  <si>
    <t>Обеспечение коммерческим учетом электрической энергии (мощности) в точке поставки и установка шкафа 0,4 кВ с коммутационным аппаратом, для энергоснабжения жилого помещения Теймурова Л.А., расположенного по адресу: Ростовская область, Верхнедонской район, ст. Мешковская, ул. Молодежная, д. 8, кв. 2, к.н. 61:07:0110501:229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</si>
  <si>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Ягольник А.Ю., расположенного по адресу: Ростовская область, Кашарский район, с. Первомайское, ул. Торговая, д.7, к.н. 61:16:0110102:192</t>
  </si>
  <si>
    <t xml:space="preserve">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квартиры, заявителя Осадченко А.Т., расположенного по адресу: Ростовская область, Миллеровский район, х.Каменка, ул. Школьная, д. 21,кв/оф 2 </t>
  </si>
  <si>
    <t>Обеспечение коммерческим учетом электрической энергии (мощности) в точке поставки и установка шкафа 0,4 кВ с коммутационным аппаратом, для энергоснабжения объекта придорожного сервиса заявителя Савельева Д.Д., расположенного по адресу: Ростовская область, Верхнедонской район,х. Ароматный, ул. Лисовенко, д. 1, к.н. 61:07:0050201:284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</si>
  <si>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квартиры заявителя Соловьевой Т.А., расположенного по адресу: Ростовская область, Шолоховский район, х. Калининский, ул. Центральная, д. 26, кв. 1 к.н.з.у. 61:43:050101:0776</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</si>
  <si>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Чукарина А.П., расположенной по адресу: Ростовская область, Шолоховский район, х. Затонский, ул. Центральная, д. 48, к.н.з.у. 61:43:0080401:88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</si>
  <si>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Вяликовай Л.А., расположенной по адресу: Ростовская область, Шолоховский район, х. Варваринский, ул. Горская, д. 51, к.н.з.у. 61:43:0080201:136 (1 шт)</t>
  </si>
  <si>
    <t>"Обеспечение коммерческим учетом электрической энергии(мощности) в точке поставки и установка шкафа 0,4 кВ с коммутационным аппаратом для электроснабжения жилого дома заявителя Гладковой Л.Н.,расположенного по адресу:Ростовская область,Кашарский район,х.Третий Интернационал,ул.Заветная,д.25,к.н.з.у. 61:16:0070401:161"</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</si>
  <si>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заявителя,Лаврова Н.Н.., расположенной по адресу: РО, Чертковский район, х. Маньковский, ул. Маньковская, д.9б, к.н.з.у. 61:42:0070301:178"</t>
  </si>
  <si>
    <t>"Обеспечение коммерческим учетом электрической энергии(мощности) в точке поставки и установка шкафа 0,4 кВ с коммутационным аппаратом для электроснабжения жилого дома заявителя Монастырсков А.А.., расположенного по адресу: Ростовская область, Верхнедонской район, х.Гормиловский, ул.Гормиловская, д.50, к.н.з.у. 61:07:0080501:42"</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</si>
  <si>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Скорикова А.П., расположенной по адресу: Ростовская область, Верхнедонской район, х. Михайловский, ул. Степная, д. 42, к.н.з.у. 61:07:0100201:10» (1 шт)</t>
  </si>
  <si>
    <t>"Обеспечение коммерческим учетом электрической энергии(мощности) в точке поставки и установка шкафа 0,4 кВ с коммутационным аппаратом для электроснабжения жилого дома заявителя Топольскова С.Ф.,расположенного по адресу:Ростовская область,Верхнедонской  район,х.Солонцовский,ул.Солонцовская,д.12, к.н.з.у. 61:07:0060401:12"</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</si>
  <si>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Агафонова Ю.М., расположенного по адресу: Ростовская область, Верхнедонской район, х. Назаровский, ул. Назаровская, д. 12, к.н.з.у. 61:07:0110401:80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</si>
  <si>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Агафоновой Е.С., расположенного по адресу: Ростовская область, Верхнедонской  район, х. Поповка, ул. Атаманская, д. 93, к.н.з.у. 61:07:0040401:562"</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</si>
  <si>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Воробьева Л.В., расположенного по адресу: Ростовская область, Шолоховский район, х. Громковский, ул. Почтовая, д. 496 а, к.н. 61:43:0010501:1176"</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</si>
  <si>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квартиры заявителя, Дудукаловой В.Н., расположенного по адресу: Ростовская область, Верхнедонской  район, х. Верхняковский, ул. Садовая, д.2, к. 1, к.н.з.у. 61:07:0100501:147"</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</si>
  <si>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Титова В.А., расположенного по адресу: Ростовская область, Верхнедонской район, х. Верхняковский, ул. Дорожная, д. 5, к.н.з.у. 61:07:0100501:378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</si>
  <si>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склада заявителя, СПК "Крестьянин"., расположенного по адресу: Ростовская область, Верхнедонской  район, ст. Шумилинская, ул. Чехова,  д. 6/2,  к.н.з.у. 61:07:0030101:1503</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</si>
  <si>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здания конторы Заявителя, СПК (колхоз) "Мир"., расположенного по адресу: Ростовская область, Чертковский  район, с. Сохрановка, ул. Школьная,  д. 2 б,  к.н.з.у. 61:42:0150101:612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</si>
  <si>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Киселева Ю.В., расположенного по адресу: Ростовская область, Миллеровский  район, сл. Волошино, ул. Первомайская, д. 52, к.н.з.у. 61:22:0020101:484</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</si>
  <si>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Капелюшного В.Е., расположенного по адресу: Ростовская область, Кашарский район, х. Семеновка, ул. Заречная, д. 20, к.н.з.у. 61:16:0130701:145</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</si>
  <si>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квартиры Заявителя, Лиманского И.Н., расположенной по адресу: Ростовская область, Кашарский район, п. Индустриальный, ул. Зеленая, д. 2, кв. 1, к.н.з.у. 61:16:0060101:470 (1 шт.)</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</si>
  <si>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Поповой Н.П., расположенного по адресу: Ростовская область, Шолоховский район, х. Дударевский, ул. Свдовая, д. 3, к.н.з.у. 61:43:0040101:482</t>
  </si>
  <si>
    <t>Строительство ВЛ-0,4кВ от опоры №52/3 по ВЛ-0,4кВ №2 КТП-10/0,4 кВ №284 по ВЛ-10кВ №5 ПС 35/10кВ "Ореховская",  установка прибора коммерческого учета электрической энергии (мощности) в точке поставки и установка шкафа 0,4кВ с коммутационным аппаратом (1 шт.) для технологического присоединения личного подсобного хозяйства заявителя Шишкова Ю.А.,расположенного по адресу: Ростовская область, Миллеровский р-н ,х. Ореховка,(к.н.з.у. 61:22:0600027:2077) (ориентировочная протяженность ЛЭП-0,055 км,)</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</si>
  <si>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Семиляковой О.И., расположенного по адресу: Ростовская область,Кашарский  район, х. Новодонецкий, ул. Ольховая, д.50, к.н.з.у. 61:16:0010201:134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</si>
  <si>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Рыбаковой С.А., расположенного по адресу: Ростовская область, Шолоховский район, х. Колундаевский, пер. Новый, д.4, к.н.з.у. 61:43:0060101:497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</si>
  <si>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Харченко Ю.А., расположенного по адресу: Ростовская область, Кашарский район, с. Россошь, ул. Центральная, д. 53, к.н.з.у. 61:16:0140101:52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</si>
  <si>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Подкуйко А.В., расположенного по адресу: Ростовская область, Миллеровский  район, х. Новоандреевка, ул. Донецкая, д. 12, кв. 1, к.н.з.у. 61:22:0010801:29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</si>
  <si>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Сакменновой В.Ф., расположенного по адресу: Ростовская область, Верхнедонской  район, х. Базковский, ул. Базковская, д.15, к.н.з.у. 61:07:0060201:11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</si>
  <si>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Абаевой Х.Х., расположенного по адресу: Ростовская область, Шолоховский  район, х. Плешаковский, ул. Лесная, д. 37, к.н.з.у. 61:43:0050501:60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</si>
  <si>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Кибасова В.А., расположенного по адресу: Ростовская область, Миллеровский  район, х. Треневка, ул. Российская, д. 30, к.н.з.у. 61:22:0061101:141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</si>
  <si>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Пугачевой О.Н., расположенного по адресу: Ростовская область, Миллеровский  район, х. Треневка, ул. Восточная, д. 17, к.н.з.у. 61:22:0061101:75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</si>
  <si>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Шуруповой Е.С., расположенного по адресу: Ростовская область, Верхнедонской район,   ст. Казанская, ул. Дальняя, д.17, к.н.з.у. 61:07:0050101:3323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</si>
  <si>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Решетниковой Е.А., расположенного по адресу: Ростовская область, Верхнедонской  район, х. Поповка, ул. Атаманская, д.79, к.н.з.у. 61:07:0040401:572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</si>
  <si>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Дрынкина С.А., расположенного по адресу: Ростовская область, Верхнедонской  район, ст. Мешковская, ул.Молодежная, д.41, к.н.з.у. 61:06:49:05:00:00:509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</si>
  <si>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Бондарева В.Н., расположенного по адресу: Ростовская область, Шолоховский район,   х. Колундаевский, ул. Гвардейская, д.26, к.н.з.у. 61:43:0060101:463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</si>
  <si>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Нестерович Д.Ю., расположенного по адресу: Ростовская область, г. Миллерово, сад. Маслодел, проезд 4, участок 16,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</si>
  <si>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нежилого здания  заявителя, ИП Лиховидова И.И., расположенного по адресу: Ростовская область, Шолоховский  район, х. Меркуловский, ул. Центральная, д. 51, к.н.з.у. 61:43:0080101:512 (1 шт.)</t>
  </si>
  <si>
    <t>Строительство ВЛ-10 кВ от опоры №3/51/209 по ВЛ-10 кВ №18  ПС 110/35/10 кВ "ГОК" с установкой ТП и строительством ВЛ-0,4 кВ установка коммерческого учета электрической энергии (мощности) в точке поставки и установка шкафа 0,4 кВ с коммутационным аппаратом (1шт.), для технологического присоединения мастерской по ремонту сельскохозяйственной техники заявителя, ООО "Агросервис", расположенной в  Ростовская область, г. Миллерово, (61:54:0100001:17) (ориентировочная протяженность ЛЭП-0,48 км, ориентировочная мощность ТП- 0,16 МВА)</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</si>
  <si>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Мазанова С.П., расположенного по адресу: Ростовская область, Шолоховский  район, х. Громковский, ул. Почтовая, д. 141а, к.н.з.у. 61:43:0010501:1216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</si>
  <si>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Насоновой О.С., расположенного по адресу: Ростовская область, Верхнедонской  район, х. Макаровский, ул.Макаровская, д.25, к.н.з.у. 61:07:0100101:52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</si>
  <si>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Голубева Е.А., расположенного по адресу: Ростовская область, Шолоховский  район, х. Калининский, ул. Донская, д. 5, к.н.з.у. 61:43:0050101:612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</si>
  <si>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Мирошниченко С.А., расположенного по адресу: Ростовская область, Миллеровский  район, сл. Титовка, ул. Пушкина, д. 18, 61:22:0150101:141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</si>
  <si>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Тюрина А.А., расположенного по адресу: Ростовская область, Миллеровский  район, сл. Дегтево, ул. Садовая, д. 40,  61:22:0030101:45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</si>
  <si>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Тесля А.Н., расположенного по адресу: Ростовская область,Кашарский  район, с. Россошь, ул. Центральная, д.114, к.н.з.у. 61:16:0140101:642</t>
  </si>
  <si>
    <t>Установка прибора учета электрической энергии (мощности) в точке поставки и установка шкафа 0,4 кВ с коммутационным аппаратом для электроснабжения склада заявителя, ИП Шоста А.Н., расположенного по адресу: Ростовская область, Миллеровский район, Криворожское сельское поселение, к.н.з.у. 61:22:0600024:548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</si>
  <si>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Саламахина А.В., расположенного по адресу: Ростовская область, Миллеровский  район, Дегтевское сельское поселение, к.н.з.у. 61:22:0030101:2331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</si>
  <si>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Зимовнова П.В., расположенного по адресу: Ростовская область, Шолоховский район, х. Антиповский, ул. Заречная, д. 50, к.н.з.у. 61:43:0030201:323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</si>
  <si>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ШНО-2 х. Мрыховский, линии наружного освещения подъезда от автодороги "Магистраль Дон" - ст. Мешковская - ст. Казанская к х. Мещеряковский на участке км 11+400-км 12+000 заявителя, Министерство транспорта Ростовской области, расположенного по адресу: Ростовская область, Верхнедонской район, х. Мрыховский, ул. Мрыховская. к.н.з.у. 61:07:0000000:339, (1 шт.)</t>
  </si>
  <si>
    <t>Строительство ВЛ-0,4кВ от опоры №5 по ВЛ-0,4кВ №2 КТП-10/0,4 кВ №722 по ВЛ-10кВ №5 ПС 110/10кВ "Маяк",  установка прибора коммерческого учета электрической энергии (мощности) в точке поставки и установка шкафа 0,4кВ с коммутационным аппаратом (1 шт.) для технологического присоединения базовой станции заявителя, ООО "Т2 Мобайл",расположенной по адресу: Ростовская область, Миллеровский р-н , сл. Никольская, ул. Российская, д. 12, кв. 2  к.н.з.у. 61:22:0100101:53 (ориентировочная протяженность ЛЭП-0,16 км,)</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</si>
  <si>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Гуртовой З.И., расположенного по адресу: Ростовская область,Кашарский  район, с. Первомайское, ул. Калинина, д.20, к.н.з.у. 61:16:0110102:717 91 шт.)</t>
  </si>
  <si>
    <t>Строительство ВЛ-0,4 кВ от опоры №2/27 по ВЛ-0,4 кВ №2 КТП-10/0,4 кВ №28 по ВЛ-10 кВ №4 ПС 35/10 кВ "Боковская" , установка прибора коммерческого учета  электрической энергии (мощности) в точке поставки и установки шкафа 0,4кВ с коммутационным аппаратом, (1 шт) для технологического присоединения жилого дома заявителя, Гладковой Н.В., расположенного по адресу: Ростовская область, Боковский р-н , х. Дуленков, ул. Огородная, д 23-Г., (к.н.з.у. 61:05:0010603:198), (ориентировочная протяженность ЛЭП-0,066 км)</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</si>
  <si>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Беловой Е.Ю., расположенного по адресу: Ростовская область, Шолоховский  район, х. Меркуловский, пер. Донской, д. 16, к.н.з.у. 61:43:0080101:543</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</si>
  <si>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сотовой связи заявителя, ООО «ТехноСтройГрупп», расположенной по адресу: Ростовская область, Шолоховский район, х. Калининский, к.н.з.у. 61:43:0050101</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</si>
  <si>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Крючковой Н.А., расположенной по адресу: Ростовская область, Миллеровский район, г. Миллерово, ул. Хозяйственная, д. 8, кв, 2 к.н.з.у. 61:54:0050001:156</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</si>
  <si>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Хмеловского А.А., расположенного по адресу: Ростовская область, Миллеровский район, х. Банниково-Александровский, ул. Степная, д. 6, корп. а, к.н.з.у. 61:22:0010201:672»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</si>
  <si>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Губарева А.С., расположенного по адресу: Ростовская область, Шолоховский район, х. Калиновский, пер. Южный, д. 6, к.н.з.у. 61:43:0080501:342"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</si>
  <si>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Литовченко Н.Т., расположенного по адресу: Ростовская область, Миллеровский район, х. Кумшацкий, ул. Майская, д. 69, корп. а, к.н.з.у. 61:22:0010601:107</t>
  </si>
  <si>
    <t>Установка прибора учета электрической энергии (мощности) в точке поставки и установка шкафа 0,4 кВ с коммутационным аппаратом для электроснабжения земельного участка заявителя Горбачева П.А., расположенного по адресу: Ростовская область, Верхнедонской район, х. Заикинский, 0,1 км. на север, к.н.к. 61:07:0600010:208</t>
  </si>
  <si>
    <t>Установка прибора учета электрической энергии (мощности) в точке поставки и установка шкафа 0,4 кВ с коммутационным аппаратом для электроснабжения земельного участка заявителя Захаренко В.В., расположенного по адресу: Ростовская область, Верхнедонской район, ст. Казанская, ул. Трудовая, д. 7, к.н.з.у. 61:07:0050101:3307,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</si>
  <si>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уличного освещения заявителя Администрация Михайлово-Александровского СП, расположенного по адресу: Ростовская область, Чертковский район,с.Михайлово-Александровка,ул..Большевистская д.36,к.н.з.у. 61:42:0090101:896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</si>
  <si>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Муратовой Е.А., расположенного по адресу: Ростовская область, Миллеровский  район,х.Банниково-Александровский,ул.Студенческая д.8, к.н.з.у. 61:22:0010201:113</t>
  </si>
  <si>
    <t>Установка прибора учета для присоединения жилого дома Антонова С.М., расположенного по адресу: Ростовская обл., р-н. Аксайский, х. Махин, ул. Дружбы,  д. 20/6, кадастровый номер земельного участка: 61:02:0600015:5732»(1шт)</t>
  </si>
  <si>
    <t>Установка прибора учета для присоединения жилого дома Арутюняна Р.Р., расположенного по адресу: Ростовская обл., р-н. Аксайский, х. Ленина, ул. Победы, д. 13, кадастровый номер земельного участка: 61:02:0060101:391»(1шт)</t>
  </si>
  <si>
    <t>Установка прибора учета для присоединения жилого дома Кузьменко В.Г., расположенного по адресу: Ростовская обл., р-н. Аксайский, х. Алитуб, ул. Заречная,  д. 1, кадастровый номер земельного участка: 61:02:0020101:728»(1шт)</t>
  </si>
  <si>
    <t>Установка прибора учета для присоединения жилого дома Лямкиной Н.Б., расположенного по адресу: Ростовская обл., р-н. Аксайский, х. Верхнеподпольный, ул. Советская,  д. 110,  корп. А, кадастровый номер земельного участка: 61:02:0020201:634»(1шт)</t>
  </si>
  <si>
    <t>Установка прибора учета для присоединения жилого дома Ситниковой М.А., расположенного по адресу: Ростовская обл., р-н. Аксайский, ст-ца. Ольгинская, ул. Кузнецкая,  д. 57,  корп. А, кадастровый номер земельного участка: 61:02:0090102:3439»(1шт)</t>
  </si>
  <si>
    <t>Установка прибора учета для присоединения жилого дома Багдасарян С.Г., расположенного по адресу: Ростовская обл., р-н. Аксайский, п. Темерницкий, ул. Ореховая,  д. 2,  корп. В, кадастровый номер земельного участка: 61:02:0600005:5935»(1шт)</t>
  </si>
  <si>
    <t>Установка прибора учета для присоединения жилого дома Бесединой Р.Н., расположенного по адресу: Ростовская обл., р-н. Аксайский, п. Янтарный, пер. Незабудковый,  д. 5, кадастровый номер земельного участка: 61:02:0010102:3 (1шт)</t>
  </si>
  <si>
    <t>Установка прибора учета для присоединения жилого дома Васильева С.П., расположенного по адресу: Ростовская обл., р-н. Аксайский, ст-ца. Старочеркасская, ул. Революционная, д. 12, кадастровый номер земельного участка: 61:02:0110101:114»(1шт),</t>
  </si>
  <si>
    <t>Установка прибора учета для присоединения жилого дома Головиной Е.В., расположенного по адресу: Ростовская обл., р-н. Аксайский, г. Аксай, ул. Ильинская,  д. 58, кадастровый номер земельного участка: 61:02:0600010:4143 (1 шт)</t>
  </si>
  <si>
    <t>Установка прибора учета для присоединения жилого дома Лагоды М.А., расположенного по адресу: Ростовская обл., р-н. Аксайский, ст-ца. Мишкинская, ул. Платова, д. 12, кадастровый номер земельного участка: 61:02:0070201:667» (1шт)</t>
  </si>
  <si>
    <t>Установка прибора учета для присоединения жилого дома Ледник Е.В., расположенного по адресу: Ростовская обл., р-н. Аксайский, п. Щепкин, ул. Первомайская, д. 136, кадастровый номер земельного участка: 61:02:0080505:21» (1шт)</t>
  </si>
  <si>
    <t>Установка прибора учета для присоединения жилого дома Лубенец А.С., расположенного по адресу: Ростовская обл., р-н. Аксайский, п. Октябрьский, ул. Советская,  д. 38а, кадастровый номер земельного участка: 61:02:0080106:309»(1шт)</t>
  </si>
  <si>
    <t>Установка прибора учета для присоединения жилого дома Назарян Н.Р., расположенного по адресу: Ростовская обл., р-н. Аксайский, ст-ца. Старочеркасская, ул. Мира,  д. 7-г/1, кадастровый номер земельного участка: 61:02:0600013:2438»(1шт)</t>
  </si>
  <si>
    <t>Установка прибора учета для присоединения жилого дома Плахотниковой Галины Ивановны расположенного по адресу: Ростовская обл., р-н. Аксайский, п. Октябрьский, ул. Советская,  д. 28, кадастровый номер земельного участка: 61:02:0080103:571(1шт)</t>
  </si>
  <si>
    <t>Установка прибора учета для присоединения жилого дома Ревидович М.Н., расположенного по адресу: Ростовская обл., р-н. Аксайский, п. Октябрьский, ул. Лесная, д. 23, кадастровый номер земельного участка: 61:02:0600004:21549(1шт)</t>
  </si>
  <si>
    <t>Установка прибора учета для присоединения жилого дома Румянцевой Н.И., расположенного по адресу: Ростовская обл., р-н. Аксайский, п. Щепкин, ул. Еременко, в районе уч. 33, кадастровый номер земельного участка: 61:02:0600006:6220(1шт)</t>
  </si>
  <si>
    <t>Установка прибора учета для присоединения жилого дома Степанова П.В., расположенного по адресу: Ростовская обл., р-н. Аксайский, п. Красный, ул. Толстого, д. 12, кадастровый номер земельного участка: 61:02:00080601:1449»(1шт)</t>
  </si>
  <si>
    <t>Установка прибора учета для присоединения жилого дома Чернеева В.А., расположенного по адресу: Ростовская обл., Аксайский р-н., ст-ца. Старочеркасская, ул. Ильинская,  д. 17, кадастровый номер земельного участка:  61:02:0600013:1915» (1шт),</t>
  </si>
  <si>
    <t>Установка прибора учета для присоединения жилого дома Шепетина В.С., расположенного по адресу: Ростовская обл., р-н. Аксайский, г. Аксай, ул. Иевлева/Солнечная, д. 56/10 кадастровый номер земельного участка: 61:02:0120145:123(1шт)</t>
  </si>
  <si>
    <t>Установка прибора учета для присоединения  жилого дома Жукова М.Г., расположенного по адресу: Ростовская область, Багаевский район, х. Красный, ул. Полевая, д. 28, к.н. 61:03:060111:0019</t>
  </si>
  <si>
    <t>Установка прибора учета для присоединения  жилого дома Нам П.А., расположенного по адресу: Ростовская область, Багаевский район, х. Усьман, ул. Братская, д. 4, к.н. 61:03:060405:0021</t>
  </si>
  <si>
    <t>Установка прибора учета для присоединения жилого дома Аванесяна А.Ю., расположенного по адресу: Ростовская обл., р-н. Аксайский, ст-ца. Старочеркасская, ул. Минаева, д. 29, кадастровый номер земельного участка: 61:02:0110102:3645»(1шт)</t>
  </si>
  <si>
    <t>Установка прибора учета для присоединения жилого дома Безрук Е.А., расположенного по адресу: Ростовская обл., г. Новочеркасск, СТ №6, д. 67, кадастровый номер земельного участка: 61:55:0011016:51»(1шт)</t>
  </si>
  <si>
    <t>Установка прибора учета для присоединения жилого дома Бросалина С.А., расположенного по адресу: Ростовская обл., р-н. Аксайский, п. Водопадный, ул. Вишневая, д. 5, кадастровый номер земельного участка: 61:02:0010802:73.»(1шт)</t>
  </si>
  <si>
    <t>Установка прибора учета для присоединения жилого дома Гончаровой М. Д., расположенного по адресу: Российская Федерация, Ростовская обл., р-н. Аксайский, х. Махин, пер. Радужный, д. 13, кадастровый номер земельного участка: 61:02:0600015:5347»(1шт)</t>
  </si>
  <si>
    <t>Установка прибора учета для присоединения жилого дома Горбачева В.Ю., расположенного по адресу: Ростовская обл., р-н. Аксайский, ст-ца. Ольгинская, ул. Верхне-Луговая,  д. 108,  корп. Б, кадастровый номер земельного участка: 61:02:0090103:2447»(1шт)</t>
  </si>
  <si>
    <t>Установка прибора учета для присоединения жилого дома Ивановского П.С., расположенного по адресу: Ростовская обл., р-н. Аксайский, х. Камышеваха, пер. Хризолитовый, д. 4, кадастровый номер земельного участка: 61:02:0010401:747»(1шт)</t>
  </si>
  <si>
    <t>Установка прибора учета для присоединения жилого дома Ковнеристовой Л.Н., расположенного по адресу: Ростовская обл., Родионово-Несветайский район, южнее х. Каменный Брод, уч. 5, кадастровый номер земельного участка: 61:33:0600015:1475»(1шт)</t>
  </si>
  <si>
    <t>Установка прибора учета для присоединения жилого дома Колтакова Е.В., расположенного по адресу: Ростовская обл., р-н. Аксайский, п. Щепкин, ул. Южная, д. 5, корп. Д, кадастровый номер земельного участка: 61:02:0080504:542» (1шт)</t>
  </si>
  <si>
    <t>Установка прибора учета для присоединения жилого дома Мелентьевой Э.М., расположенного по адресу: Ростовская обл., р-н. Аксайский, ст-ца. Грушевская, ул. Советская,  д. 75, кадастровый номер земельного участка: 61:02:0030111:97»(1шт)</t>
  </si>
  <si>
    <t>Установка прибора учета для присоединения жилого дома Носова А.В., расположенного по адресу: Ростовская обл., р-н. Аксайский, п. Темерницкий, ул. Самшитовая,  д. 17, кадастровый номер земельного участка: 61:02:0600005:7311(1шт)</t>
  </si>
  <si>
    <t>Установка прибора учета для присоединения жилого дома Ованесова А.С., расположенного по адресу: Ростовская обл., р-н. Аксайский, п. Темерницкий, ул. Березовая, д. 23, кадастровый номер земельного участка: 61:02:0600005:10146»(1 шт)</t>
  </si>
  <si>
    <t>Установка прибора учета для присоединения жилого дома Орлянского Ю.В., расположенного по адресу: Ростовская обл., р-н. Аксайский, х. Ленина, ул. Платова, д. 24, кадастровый номер земельного участка: 61:02:060101:0606»(1шт)</t>
  </si>
  <si>
    <t>Установка прибора учета для присоединения жилого дома Палий О.И., расположенного по адресу: Ростовская обл., р-н. Аксайский, п. Щепкин, ул. Западная, д. 2, корп. А, кадастровый номер земельного участка: 61:02:0080501:732»(1шт)</t>
  </si>
  <si>
    <t>Установка прибора учета для присоединения жилого дома Рудюк В.В., расположенного по адресу: Ростовская обл., р-н. Аксайский, ст-ца. Ольгинская, пер. 1-й,  д. 12, кадастровый номер земельного участка: 61:02:0090102:2979»(1шт)</t>
  </si>
  <si>
    <t>Установка прибора учета для присоединения жилого дома Топорова Н.М., расположенного по адресу: Ростовская обл., р-н. Аксайский, х. Большой Лог, пер. Мирный,  д. 2/1, кадастровый номер земельного участка: 61:02:0010201:6120»(1шт)</t>
  </si>
  <si>
    <t>Установка прибора учета для присоединения жилого дома Хмеленко Е. В., расположенного по адресу: Ростовская обл., совх. Каменобродский, район Родионово-Несветайский, кадастровый номер земельного участка: 61:33:0600015:554»(1шт)</t>
  </si>
  <si>
    <t>Установка прибора учета для присоединения жилого дома Частухина Д.К., расположенного по адресу: Ростовская обл., р-н. Аксайский, п. Щепкин, ул. Западная, д. 2, кадастровый номер земельного участка: 61:02:0081101:2340»(1шт)</t>
  </si>
  <si>
    <t xml:space="preserve">Установка прибора учета для присоединения жилого дома Чиркун С.А., расположенного по адресу: Ростовская обл., р-н. Аксайский, х. Пчеловодный, ул. Подтелкова,  д. 52, кадастровый номер земельного участка: 61:02:0010501:865»(1шт)
</t>
  </si>
  <si>
    <t xml:space="preserve">Установка приборов учета для присоединения жилых домов Абраменко А.А. Дробицкой В.В., расположенных по адресу: Ростовская обл., р-н. Аксайский, п. Российский, кадастровый номер земельного участка: 61:02:0600010:12257; Ростовская обл., р-н. Аксайский, п. Российский, северо-западное направление 2,0 км от центра х. Большой Лог, поле № 33, (2 шт) </t>
  </si>
  <si>
    <t>Установка приборов учета для присоединения жилых домов Акининой В.О, Емельянченко О.Н, расположенных по адресу: Ростовская обл., р-н. Аксайский, х. Большой Лог, кадастровые номера земельных участков: 61:02:0600011:1749, 61:02:0600011:1706» (2шт)</t>
  </si>
  <si>
    <t>Установка прибора учета для присоединения жилых домов Гниленко Т.Н., Намазова Е.А., Семенишиной А.Н., расположенных по адресу: Ростовская обл., р-н. Аксайский, п. Янтарный, КН ЗУ 61:02:0010125:49 ул. Рябиновая, д. 123, ул. Персиковая, 11/123,: (3шт),</t>
  </si>
  <si>
    <t>Установка приборов учета для присоединения жилых домов Говорухиной Л.В., Морланг Т.А., расположенных по адресу: Ростовская обл., р-н. Аксайский, г. Аксай, ул. Юрия Жульева, д. 18, , ул. Виктора Дацко, д. 63,(2шт)</t>
  </si>
  <si>
    <t>Установка приборов учета для присоединения жилых домов Гужвина Е.А Першиной О.В. Березиной Е.В. Руденко Т.Б. Соколова Е.А. Срапионян Т.С, расположенных по адресу: Ростовская обл., р-н. Аксайский, г. Аксай, пер. Генеральский, д. 15, пер. Генеральский, д. 14, пер. Генеральский, д. 17, пер. Генеральский, д. 11, ул. Ефремова, д. 15, ул. Ефремова, д. 20, (6шт)</t>
  </si>
  <si>
    <t>Установка прибора учета для присоединения жилых домов, Шарифовой А.Ш,. Шахвардиян Л.С , расположенных по адресу: Ростовская обл., р-н. Аксайский, п. Янтарный, ул. Кедровая, д. 7, кадастровый номер земельного участка: 61:02:0600010:3717, с/х. АО "Аксайское", поле № 42-Б, кадастровый номер земельного участка: 61:02:0600010:3655, (2шт)</t>
  </si>
  <si>
    <t>Установка прибора учета для присоединения жилого дома Мальцева Д.А., расположенного по адресу: Ростовская обл., р-н. Аксайский, п. Российский, ул. Теннистая,  д. 46/3, кадастровый номер земельного участка: 61:02:0600010:10274»(1 шт)</t>
  </si>
  <si>
    <t>Установка приборов учета для присоединения жилых домов Матвиенко Д.С. Савченко Н.В., расположенных по адресу: Ростовская обл., р-н. Азовский, п. Красный Сад, ул. Пушкина, д. 67  корп. А, д. 67, д. 67,  корп. Б, ул. Павловой,  д. 16,  корп. А, (4шт), мощность 60 кВт</t>
  </si>
  <si>
    <t>Установка прибора учета для присоединения жилых домов, расположенных по адресу: Ростовская обл., р-н. Аксайский, х. Нижнетемерницкий, 2-я Озерная, д.2а, кадастровый номер земельного участка: 61:02:0600005:10204, ул. 2-я Озерная, кадастровый номер земельного участка:  61:02:0600005:10184, ул. 2-я Озерная, к.н. 61:02:0600005:10194»(3шт)</t>
  </si>
  <si>
    <t>Установка прибора учета для присоединения жилых домов Подгорновой М. Н., Костюковой Е. Н., расположенных по адресу: Ростовская обл., р-н. Аксайский, ст-ца. Старочеркасская, пер. Степной, д. 7, корп. А, пер. Степной,  д.7, кадастровые номера земельных участков: 61:02:0110102:3560, 61:02:0110102:3562» (2шт)</t>
  </si>
  <si>
    <t>Установка прибора учета для присоединения нежилых зданий, расположенных по адресу: Ростовская обл., р-н. Аксайский, х. Камышеваха, ул. Светлая,  д. 2,  корп. В, кадастровый номер земельного участка: 61:02:0600010:15994, ул. Авантюриновая, д.4,  кадастровый номер земельного участка: 61:02:0600010:10293»(2шт)</t>
  </si>
  <si>
    <t>Установка прибора учета для присоединения жилых домов Сошниковой Е.В., Карпун О.А., расположенных по адресу: Ростовская обл., р-н. Азовский, п. Красный Сад, ул. Крылова, д. 36, корп. Б; д. 36, корп. В, кадастровые номера земельных участков: 61:01:0130201:4570; 61:01:0130201:4742» (2шт)</t>
  </si>
  <si>
    <t>Установка прибора учета для присоединения жилых домов, расположенных по адресу: Ростовская обл., р-н. Аксайский, п. Российский, ул. Средняя,  д. 18, кадастровый номер земельного участка: 61:02:010301:0146, ул. Нижняя,  д. 1-а, кадастровый номер земельного участка: 61:02:0010301:1150, ул. Заповедная, д. 30, кадастровый номер земельного участка: 61:02:0010301:1315 (3 шт)</t>
  </si>
  <si>
    <t>Установка приборов учета для присоединения жилых домов, расположенных по адресу: Ростовская обл., р-н. Аксайский, ст-ца. Мишкинская, пер. Степной, д. 7, кадастровый номер земельного участка:  61:02:0600009:1074, ул. Привольная,  д. 9а/6, кадастровый номер земельного участка:  61:02:0600009:2859, с/х. КСП им. М. Горького, кадастровый номер земельного участка:  61:02:0600009:1260»(3 шт)</t>
  </si>
  <si>
    <t>Установка приборов учета для присоединения жилых домов Чернова А.А, Шейко Е.А., расположенных по адресу: Ростовская обл., р-н. Аксайский, х. Большой Лог, ул. Майская, д. 15/14, и ЗУ с КН 61:02:0600011:869(2шт)</t>
  </si>
  <si>
    <t>Установка приборов учета для присоединения жилых домов, расположенных по адресу: Ростовская обл., р-н. Аксайский, п. Щепкин, ул. Крестьянская,  д. 16, кадастровый номер земельного участка: 61:02:0080505:1010, 61:02:0080505:1011»(2шт)</t>
  </si>
  <si>
    <t>Установка прибора учета для присоединения  вагончика Александрова Ю. А., расположенного по адресу: РО, Веселовский район, х. Верхний Хомутец, ул. Курская, 1-г, к.н. 61:06:0010207:147</t>
  </si>
  <si>
    <t xml:space="preserve">Установка прибора учета для присоединения  нежилого помещения Колотовкина В. Ф., расположенного по адресу: РО, Веселовский район, п. Веселый, пер. Комсомольский, 54-а, пом. № 1, к.н. 61:06:0010126:792
</t>
  </si>
  <si>
    <t>Установка прибора учета для присоединения  магазин ИП Моржуковой Е. В., расположенный по адресу: Ростовская область, Веселовский район, п. Веселый, ул. Ленинская, 84-а, к.н. 61:06:0010126:181</t>
  </si>
  <si>
    <t>Установка прибора учета для присоединения  жилого дома Нестеренко А. А., расположенного по адресу: Ростовская область, Веселовский район, п. Веселый, ул. Заречная, 26, к.н. 61:06:0010138:813</t>
  </si>
  <si>
    <t>Установка прибора учета для присоединения  жилого дома Шебалковой А. В, расположенного по адресу: Ростовская область, Веселовский район, п. Веселый, ул. Демьяна Бедного, 70, к.н. 61:06:0010121:43(1шт)</t>
  </si>
  <si>
    <t>Установка прибора учета для присоединения  жилого дома Якунина А. Е., расположенной по адресу: РО, Веселовский район, х. Позднеевка, ул. Мира, 2, к.н. 61:06:0060102:18</t>
  </si>
  <si>
    <t>Установка прибора учета для присоединения  (ВРУ-0,4 кВ парка)., расположенной по адресу: Ростовская область, Аксайский район, ст. Ольгинская, ул. Ленина, д.152, КН 61:02:0090102:2929</t>
  </si>
  <si>
    <t>Установка прибора учета для присоединения  ВРУ 0,4 кВ жилого дома Краснова В. И., расположенного по адресу: Ростовская обл., Аксайский р-н, п. Красный Колос, ул. Куренная, 2А, участок с КН 61:02:0600007:3092</t>
  </si>
  <si>
    <t>Установка прибора учета для присоединения  жилого дома Лигай О.Т., расположенного по адресу: Ростовская область, Багаевский район, х. Елкин, пер. Новый, д. 3, к.н. 61:03:0030104:13 (1 шт)</t>
  </si>
  <si>
    <t>Установка прибора учета для присоединения  жилого дома Неведровой Т.С., расположенного по адресу: Ростовская область, Багаевский район, х. Арпачин, ул. Советская, д. 26-а, к.н. 61:03:0040204:37</t>
  </si>
  <si>
    <t>Строительство ВЛ 0,4 кВ от ВЛ 0,4 кВ №1 КТП №3 ВЛ 10 кВ №158 ПС 110 кВ В1 для электроснабжения гаража Беляева В. А. по адресу РО, Веселовский район, п. Веселый, ул. Октябрьская, 2-ж, к.н. 61:06:0010135:243 (ориентировочная протяжённость ЛЭП 0,2 км)</t>
  </si>
  <si>
    <t>Установка прибора учета для присоединения ВРУ Базовой станции сотовой связи БС-1338 заявителя ООО «Т2 Мобайл»., расположенной по адресу: Ростовская обл., р-н. Семикаракорский, ст-ца. Новозолотовская, ул. Октябрьская, д. 5, кадастровый номер земельного участка: 61:35:0060101:486</t>
  </si>
  <si>
    <t>Установка прибора учета для присоединения ВРУ 0,4 кВ жилого дома Ушакова В.И., расположенного по адресу: Ростовская обл., р-н. Семикаракорский, х. Шаминка, ул. Ромашенко,  д. 58,  кв./оф. 2, кадастровый номер земельного участка: 61:35:0100301:1438 ( 1 шт)</t>
  </si>
  <si>
    <t>Установка приборов учета  для присоединения жилых домов в Аксайском районе Ростовской области (2этап 10 шт)</t>
  </si>
  <si>
    <t xml:space="preserve">Строительство ВЛ 0,4 кВ от проектируемой ВЛ 0,4 кВ (по договору №61-1-19-00444581 от 03.06.2019 г.) КТП №72 ВЛ 6 кВ №804 ПС 35 кВ АС8 для электроснабжения жилого дома Травенко Н. И. по ул. Еловая, 16 в п. Российский Аксайского района Ростовской области  </t>
  </si>
  <si>
    <t xml:space="preserve">Установка коммерческого учета электрической энергии (мощности) 
в точке поставки по присоединению МБОУ «Федуловская средняя общеобразовательная школа», расположенной по адресу: Ростовская область, Багаевский район, х. Федулов, ул. Школьная, д. 16, к.н. 61:03:010204:0003 (1 шт)
</t>
  </si>
  <si>
    <t>Установка прибора учета для присоединения  жилого дома Чернышова О.Г., расположенного по адресу: Ростовская область, Багаевский район, х. Арпачин, ул. Береговая, д. 26, к.н. 61:03:0040215:17(1шт)</t>
  </si>
  <si>
    <t>Установка прибора учета для присоединения  жилого дома Криворотова Р. П, расположенного по адресу: Ростовская область, Веселовский район, п. Веселый, ул. Советская, 122-а, к.н. 61:06:0010107:45(1шт)</t>
  </si>
  <si>
    <t xml:space="preserve">Установка прибора учета для присоединения  шкафа телекоммуникационного ПАО «Ростелеком»  по адресу РО, Веселовский район, х. Казачий, вблизи ул. Школьная, 18
</t>
  </si>
  <si>
    <t>Установка прибора учета для присоединения  жилого дома Самары Н. С., расположенного по адресу: РО, Веселовский район, п. Веселый, ул. Первомайская, 4-а, пом. № 1, к.н. 61:06:0010133:412</t>
  </si>
  <si>
    <t>Установка прибора учета для присоединения ВРУ 0,4 кВ жилого дома Непошивайленко М. Н., расположенного по адресу: Ростовская обл., р-н Аксайский, п. Темерницкий, ул. Тисовая, 60, участок с КН 61:02:0600005:10015 (1 шт.)</t>
  </si>
  <si>
    <t>Установка прибора учета для присоединения  жилого дома Галка Р.Ю., расположенного по адресу: Ростовская область, Багаевский район, х. Арпачин, ул. Советская, д. 13, к.н. 61:03:0040211:27 (1 шт)</t>
  </si>
  <si>
    <t>Установка прибора учета для присоединения  жилого дома Малик Ю.В., расположенного по адресу: Ростовская область, Багаевский район, х. Арпачин, ул. Советская, д. 78-з, к.н. 61:03:0040207:504(1шт)</t>
  </si>
  <si>
    <t>Установка прибора учета для присоединения  жилого дома Смоляковой И.А., расположенного по адресу: Ростовская область, Багаевский район, х. Карповка, ул. Зеленая, д. 9-а, к.н. 61:03:0020203:404 (1шт)</t>
  </si>
  <si>
    <t>Установка прибора учета для присоединения  магазина ИП Форопонова Н.Н., расположенного по адресу: Ростовская область, Багаевский район, х. Арпачин, ул. Советская, д. 48, к.н. 61:03:0040207:213(1шт)</t>
  </si>
  <si>
    <t>Установка прибора учета для присоединения  жилого дома Испирян А. З, расположенного по адресу: Ростовская область, Веселовский район, п. Веселый, ул. Ленинская, 48 а, к.н. 61:06:0010129:489 (1шт)</t>
  </si>
  <si>
    <t>Установка прибора учета для присоединения жилого дома Анохиной Е. Г. расположенного по адресу: Ростовская область, Веселовский район, п. Веселый, ул. Садовая, 11 к.н. 61:06:060010138:115 (1 шт)</t>
  </si>
  <si>
    <t>Установка прибора учета для присоединения магазина непродовольственных товаров и мест для хранения автотранспортных средств ИП Варданян М. О. расположенных по адресу: Ростовская область, Веселовский район, п. Веселый, ул. Ленинская, 181-а к.н. 61:06:0010114:858</t>
  </si>
  <si>
    <t xml:space="preserve">Строительство ВЛ 0,4 кВ от ВЛ 0,4 кВ №1 КТП №414 ВЛ 10 кВ №1003 ПС 110 кВ АС10 для электроснабжения ВРУ 0,4 кВ жилых домов Бандурина М. А., Бандуриной Т. М. по ул. Подтелкова в х. Камышеваха Аксайского района Ростовской области (ориентировочная протяжённость ЛЭП 0,31 км)
</t>
  </si>
  <si>
    <t xml:space="preserve">Строительство ВЛ 0,4 кВ техперевооружаемого (проектируемого по договору № 61-1-19-00488413 от 05.12.2019г.) КТП 10/0,4 кВ проектируемой ВЛ 10 от опоры № 1/122 ВЛ 10 кВ  № 1208 ПС 110/10 кВ АС 12 для электроснабжения ВРУ 0,4 кВ жилого дома Елистратовой Т.В. на участке с КН 61:02:0080503:36 в п. Щепкин, ул. Строителей, 85, Аксайского района Ростовской области, ВРУ 0,4 кВ жилого дома Павленко Ю.В. на участке с КН 61:02:0080503:1244 в п. Щепкин, ул. Строителей, Аксайского района Ростовской области, ВРУ 0,4 кВ жилого дома Волошина Д.Д. на участке с КН 61:02:0080503:943 в п. Щепкин, ул. Строителей, 77Б, Аксайского района Ростовской области </t>
  </si>
  <si>
    <t xml:space="preserve">Строительство ВЛ 0,4 кВ от проектируемой ВЛ 0,4 кВ проектируемой КТПН 10/0,4 кВ (по договору №61-1-20-00517323 от 25.06.2020 г.) ВЛ 10 кВ №1208 ПС 110 кВ АС12 для электроснабжения ВРУ 0,4 кВ жилого дома Казак Л. Д. в п. Щепкин Аксайского района Ростовской области </t>
  </si>
  <si>
    <t xml:space="preserve">Строительство ВЛ 0,4 кВ от существующей опоры № 11 ВЛ 0,4 кВ №2 КТП 10/0,4 кВ № 89 ВЛ 10 кВ №706 ПС 110/10 кВ АС 7 для электроснабжения ВРУ 0,4 кВ жилого дома Корнейчука А.В. на участке с КН 61:02:0600007:2759, в ул. Мелиховская, 75, п. Красный Колос, Аксайский район Ростовской области </t>
  </si>
  <si>
    <t>Строительство ВЛ 0,4 кВ от ВЛ 0,4 кВ №1 КТП №164 ВЛ 10 кВ №1208 ПС 110 кВ АС12 для электроснабжения ВРУ 0,4 кВ жилого дома Логиновой М. В. на участке с КН 61:02:0080103:581 в п. Октябрьский Аксайского района Ростовской области (ориентировочная протяжённость ЛЭП 0,025 км)</t>
  </si>
  <si>
    <t>Строительство ВЛ 0,4 кВ от ВЛ 0,4 кВ №2 КТП №89 ВЛ 10 кВ №706 ПС 110 кВ АС7 для электроснабжения ВРУ 0,4 кВ жилого дома Морикова С. И. по ул. Станичная, 27А в п. Красный Колос Аксайского района Ростовской области (ориентировочная протяжённость ЛЭП 0,045 км)</t>
  </si>
  <si>
    <t>Строительство ВЛ 0,4 кВ от ВЛ 0,4 кВ №2 КТП №175 ВЛ 10 кВ №1208 ПС 110 кВ АС12 для электроснабжения ВРУ 0,4 кВ жилого дома Мурадян Л. Т. на участке с КН 61:02:0000000:6208 в п. Щепкин Аксайского района Ростовской области (ориентировочная протяжённость ЛЭП 0,1 км</t>
  </si>
  <si>
    <t xml:space="preserve">Строительство ВЛ 0,4 кВ от ВЛ 0,4 кВ №1 КТП №260 ВЛ 10 кВ №3 ПС 35 кВ Б. Салы для электроснабжения ВРУ 0,4 кВ жилых домов по ул. 2-я Озерная в п. Нижнетемерницкий Аксайского района Ростовской области (ориентировочная протяжённость ЛЭП 0,145 км)
</t>
  </si>
  <si>
    <t>Строительство ВЛ 0,4 кВ от ВЛ 0,4 кВ №1 КТП №62 ВЛ 6 кВ №804 ПС 35 кВ АС8 для электроснабжения ВРУ 0,4 кВ жилого дома Папанага А. С. на участке с КН 61:02:0600010:12246 в п. Российский Аксайского района Ростовской области (ориентировочная протяжённость ЛЭП 0,055 км)</t>
  </si>
  <si>
    <t>«Строительство ВЛ 0,4 кВ от ВЛ 0,4 кВ №1 техперевооружаемой КТП №80 (по договорам №61-1-19-00798325, №61-1-19-00492221, №61-1-20-00508891) ВЛ 10 кВ №3 ПС 35 кВ Б. Салы для электроснабжения ВРУ 0,4 кВ жилого дома Потапенко И. А. на участке с КН 61:02:0600005:5202 в п. Темерницкий Аксайского района Ростовской области (ориентировочная протяжённость ЛЭП 0,115 км)»</t>
  </si>
  <si>
    <t>Строительство ВЛ 0,4 кВ от ВЛ 0,4 кВ №3 ТП 6 кВ №72 ВЛ 6 кВ №804 ПС 35 кВ АС8 для электроснабжения ВРУ 0,4 кВ жилого дома Денисовой О. В. на участке с КН 61:02:0600010:3494 в п. Российский Аксайского района Ростовской области (ориентировочная протяжённость ЛЭП 0,025 км)</t>
  </si>
  <si>
    <t>Строительство ВЛ 0,4 кВ от ВЛ 0,4 кВ №1 КТП №261 ВЛ 10 кВ №1547 ПС 110 кВ АС15 для электроснабжения ВРУ 0,4 кВ жилого дома Кузьмич А. А. по ул. Грушевая, 19 в п. Водопадный Аксайского района Ростовской области (ориентировочная протяжённость ЛЭП 0,03 км)</t>
  </si>
  <si>
    <t>Строительство ВЛ 0,4 кВ от ВЛ 0,4 кВ №1 КТП №434 ВЛ 10 кВ №1103 ПС 110 кВ АС11 для электроснабжения ВРУ 0,4 кВ жилого дома Чащиной А. И. на участке с КН 61:02:0600009:978 в ст-це Мишкинская Аксайского района Ростовской области (ориентировочная протяжённость ЛЭП 0,030 км)</t>
  </si>
  <si>
    <t>Строительство ВЛ 0,4 кВ от ВЛ 0,4 кВ №1 КТП №726 ВЛ 10 кВ №105 ПС 110 кВ АС1 для электроснабжения ВРУ 0,4 кВ жилого дома Дворчанской О. В. на участке с КН 61:02:0090201:1140 в х. Нижнеподпольный Аксайского района Ростовской области (ориентировочная протяжённость ЛЭП 0,075 км)</t>
  </si>
  <si>
    <t>Строительство ВЛ 0,4 кВ от ВЛ 0,4 кВ №3 КТП №740 ВЛ 10 кВ №101 ПС 110 кВ АС1 для электроснабжения ВРУ 0,4 кВ жилого дома Трифоновой С. В. на участке с КН 61:02:0600015:5726 в х. Махин Аксайского района Ростовской области (ориентировочная протяжённость ЛЭП 0,045 км)»</t>
  </si>
  <si>
    <t xml:space="preserve">Строительство ВЛ 0,4 кВ от проектируемой ВЛ 0,4 кВ (по договору №61-1-20-00508999 от 16.04.2020 г.) от ВЛ 0,4 кВ №2 КТП №626 ВЛ 10 кВ №111 ПС 110 кВ АС1 для электроснабжения ВРУ 0,4 кВ жилого дома Хачатрян В. В. в п. Дорожный Аксайского района Ростовской области </t>
  </si>
  <si>
    <t>Установка приборов учета для присоединения жилых домов, расположенных по адресу: Ростовская обл., р-н. Аксайский, х. Камышеваха, п. Российский, ст-ца. Старочеркасская, п. Красный Колос, х. Большой Лог, п. Реконструктор, ст-ца. Мишкинская, р-н. Азовский, п. Красный Сад (32шт)</t>
  </si>
  <si>
    <t xml:space="preserve">Строительство ВЛ 0,4 кВ от проектируемой ВЛ 0,4 кВ (по договору №61-1-20-00508999 от 16.04.2020 г.) от ВЛ 0,4 кВ №2 ТП 10 кВ №626 ВЛ 10 кВ №111 ПС 110 кВ АС1 для электроснабжения ВРУ 0,4 кВ жилого дома Хачатрян В. В. по пер. Садовый в п. Дорожный Аксайского района Ростовской области </t>
  </si>
  <si>
    <t>Строительство ВЛ 0,4 кВ от ВЛ 0,4 кВ №2 КТП 10/0,4 кВ №11 ВЛ 10 кВ №259 ПС 110 кВ БГ2 для электроснабжения жилого дома Федорова А.Г. по адресу РО, Багаевский район, ст. Манычская, ул. Горбачева, д. 51, к.н. 61:03:040119:0001. (ориентировочная протяжённость ЛЭП 0,09 км)</t>
  </si>
  <si>
    <t>Строительство ВЛ 0,4 кВ от ВЛ 0,4 кВ №2 КТП 10/0,4 кВ №506 ВЛ 10 кВ №402 ПС 35 кВ БГ4 для электроснабжения жилого дома Новикова С.А. по адресу РО, Багаевский район, х. Тузлуков, ул. Береговая, д. 8-в, к.н. 61:03:0600011:980. (ориентировочная протяжённость ЛЭП 0,03 км)</t>
  </si>
  <si>
    <t>Строительство ВЛ 0,4 кВ от ВЛ 0,4 кВ №1 КТП 10/0,4 кВ №136 ВЛ 10 кВ №108 ПС 110 кВ БГ1 для электроснабжения жилого дома Перевертайло А.В. по адресу РО, Багаевский район, х. Елкин, ул. Подпольная, д. 65, к.н. 61:03:030139:0027. (ориентировочная протяжённость ЛЭП 0,14 км)</t>
  </si>
  <si>
    <t>Строительство ВЛ 0,4 кВ от ВЛ 0,4 кВ №1 КТП 10/0,4 кВ №150 ВЛ 10 кВ №307 ПС 35 кВ БГ3 для электроснабжения жилого дома Эминова И.А. по адресу РО, Багаевский район, х. Елкин, ул. Тимирязева, д. 1-а, к.н. 61:03:0030138:21. (ориентировочная протяжённость ЛЭП 0,025 км)</t>
  </si>
  <si>
    <t>Строительство ВЛ 0,4 кВ от ВЛ 0,4 кВ №2 КТП 10/0,4 кВ №9 ВЛ 10 кВ №259 ПС 110 кВ БГ2 для электроснабжения жилого дома Аксентий Р. по адресу РО, Багаевский район, ст. Манычская, ул. Горбачева, д. 42, к.н. 61:03:0040125:14. (ориентировочная протяжённость ЛЭП 0,185 км)</t>
  </si>
  <si>
    <t>Установка прибора учета для присоединения склада, здания весовой Ахметова А.У., расположенного по адресу: Ростовская область, Багаевский район, х. Красный, 20 м от а/д Красный-Садовый 1(шт.)</t>
  </si>
  <si>
    <t>Установка прибора учета для присоединения  жилого дома Горевой Т.Н., расположенного по адресу: Ростовская область, Багаевский район, ст. Манычская, ул. Поповкина, д. 17А (1 шт.)</t>
  </si>
  <si>
    <t>Установка прибора учета для присоединения  квартиры Горох Ф.В., расположенного по адресу: Ростовская область, Багаевский район, х. Ажинов, ул. Зеленая, д. 13, кв. 1, к.н. 61:03:0020103:33(1шт)</t>
  </si>
  <si>
    <t>Установка прибора учета для присоединения  жилого дома Ермоченко В.Н., расположенного по адресу: Ростовская область, Багаевский район, х. Ажинов, пер. Молодежный, д. 3 А, к.н. 61:03:0020107:452(1шт)</t>
  </si>
  <si>
    <t>Установка прибора учета для присоединения  жилого дома Ивко А.И., расположенного по адресу: Ростовская область, Багаевский район, х. Тузлуков, ул. Береговая, д. 1/1А, к.н. 61:03:0050201:430(1шт)</t>
  </si>
  <si>
    <t>Установка прибора учета для присоединения жилого дома Калашникова С.В.., расположенного по адресу: Ростовская область, Багаевский район, х. Арпачин, ул. Советская, д. 64 Б (1 шт.)</t>
  </si>
  <si>
    <t>Установка прибора учета для присоединения  жилого дома Кирьяковой М.Э., расположенного по адресу: Ростовская область, Багаевский район, ст. Манычская, пер. Малый Садовый, д. 5, к.н. 61:03:0040123:5 (1шт)</t>
  </si>
  <si>
    <t>Установка прибора учета для присоединения  жилого дома Кочконян А.К., расположенного по адресу: Ростовская область, Багаевский район, х. Красный, ул. Садовая, д. 17, к.н. 61:03:0060102:32 (1шт)</t>
  </si>
  <si>
    <t>Установка прибора учета для присоединения  жилого дома Маилевой Р.А., расположенного по адресу: Ростовская область, Багаевский район, х. Верхнеянченков, пер. Полевой, д. 16, к.н. 61:03:0030301:171(1шт)</t>
  </si>
  <si>
    <t>Установка прибора учета для присоединения  жилого дома Матвеева А.Н., расположенного по адресу: Ростовская область, Багаевский район, х. Елкин, пер. Рязанова, д. 8, к.н. 61:03:0030114:10 9 (1 шт)</t>
  </si>
  <si>
    <t>Установка прибора учета для присоединения  жилого дома Папинян К.Р., расположенного по адресу: Ростовская область, Багаевский район, х. Ажинов, ул. Советская, д. 15, к.н. 61:03:0020101:6 (1шт)</t>
  </si>
  <si>
    <t>Установка прибора учета для присоединения  жилого дома Русакова Д.Ю., расположенного по адресу: Ростовская область, Багаевский район, х. Арпачин, ул. Фрунзе, д. 21, к.н. 61:03:0040207:212 (1шт)</t>
  </si>
  <si>
    <t>Установка прибора учета для присоединения  жилого дома Терновой К.С., расположенного по адресу: Ростовская область, Багаевский район, х. Слава Труда, ул. Славянская, д. 11, к.н. 61:02:0020301:43 (1шт)</t>
  </si>
  <si>
    <t>Установка прибора учета для присоединения  жилого дома Бесалашвили И. Д. расположенного по адресу: Ростовская область, Веселовский район, п. Веселый, ул. Советская, 27-б к.н. 61:06:0010128:514»(1шт)</t>
  </si>
  <si>
    <t>Установка прибора учета для присоединения БС №61-0429, расположенной по адресу: Ростовская область, Веселовский район, п. Веселый, ул. Коллективная, 34-а, к.н. 61:06:0010134:599 ( 1 шт)</t>
  </si>
  <si>
    <t>Установка прибора учета для присоединения ВРУ 0,4 кВ жилого дома Малеевой Т.Ю., расположенного по адресу: Ростовская обл., р-н. Семикаракорский, ст-ца. Новозолотовская, ул. Донская, д. 20, к.н.:  61:35:0060101:245(1шт)</t>
  </si>
  <si>
    <t>Установка прибора учета для присоединения ВРУ 0,4 кВ жилого дома Приходкин В.В., расположенного по адресу: Ростовская обл., р-н. Семикаракорский, ст-ца. Новозолотовская, ул. Ленина, д. 61, к.н.: 61:35:0060101:2653527</t>
  </si>
  <si>
    <t xml:space="preserve">Строительство ВЛ 0,4 кВ от проектируемой ВЛ 0,4 кВ проектируемой КТПН 10/0,4 кВ (по договору №61-1-20-00524817 от 18.08.2020 г.) ВЛ 10 кВ №657 ПС 110 кВ АС6 для электроснабжения ВРУ 0,4 кВ жилого дома Горшкова А. А. в ст-це Старочеркасская Аксайского района Ростовской области </t>
  </si>
  <si>
    <t>Строительство ВЛ 0,4 кВ от ВЛ 0,4 кВ №3 КТП №5 ВЛ 10 кВ №657 ПС 110 кВ АС6 для электроснабжения ВРУ 0,4 кВ жилого дома Мосенцевой М. Е. на участке с КН 61:02:0110102:3378 в ст-це Старочеркасская Аксайского района Ростовской области (ориентировочная протяжённость ЛЭП 0,046 км)»</t>
  </si>
  <si>
    <t xml:space="preserve">Строительство ВЛ 0,4 кВ от ВЛ 0,4 кВ №1 КТП №1 ВЛ 10 кВ №657 ПС 110 кВ АС6 для электроснабжения ВРУ 0,4 кВ жилых домов по ул. Серафимовская, ул. Георгиевская в ст-це Старочеркасская Аксайского района Ростовской области (ориентировочная протяжённость ЛЭП 0,165 км)
</t>
  </si>
  <si>
    <t>Строительство ВЛ 0,4 кВ от ВЛ 0,4 кВ №1 КТП №1 ВЛ 10 кВ №657 ПС 110 кВ АС6 для электроснабжения ВРУ 0,4 кВ жилого дома Фролкиной О. В. на участке с КН 61:02:0600013:2100 в ст-це Старочеркасская Аксайского района Ростовской области (ориентировочная протяжённость ЛЭП 0,085 км)</t>
  </si>
  <si>
    <t>«Строительство ВЛ 0,4 кВ от ВЛ 0,4 кВ №2 КТП №32 ВЛ 10 кВ №657 ПС 110 кВ АС6 для электроснабжения ВРУ 0,4 кВ жилого дома Тамилина К. Ф. на участке с КН 61:02:0110102:2438 в ст-це Старочеркасская Аксайского района Ростовской области (ориентировочная протяжённость ЛЭП 0,116 км)»</t>
  </si>
  <si>
    <t>Строительство ВЛ 0,4 кВ от ВЛ 0,4 кВ проектируемой КТПН 10/0,4 кВ (по договору №61-1-19-00433103 от 18.03.2019 г.) ВЛ 10 кВ №1103 ПС 110 кВ АС11 для электроснабжения ВРУ 0,4 кВ жилого дома Арутюновой В. К. по ул. Вишневая, 11 в х. Александровка Аксайского района Ростовской области</t>
  </si>
  <si>
    <t>Строительство ВЛ 0,4 кВ от ВЛ 0,4 кВ №1 КТП №450 ВЛ 10 кВ №1103 ПС 110 кВ АС11 для электроснабжения ВРУ 0,4 кВ жилого дома Сагарь С. С. на участке с КН 61:02:0600009:1076 в  с/х КСП им. М. Горького Аксайского района Ростовской области (ориентировочная протяжённость ЛЭП 0,070 км)</t>
  </si>
  <si>
    <t>Строительство ВЛ 0,4 кВ от ВЛ 0,4 кВ №2 ТП 10/0,4 кВ №34 ВЛ 10 кВ №657 ПС 110 кВ АС6 для электроснабжения ВРУ 0,4 кВ жилого дома Московченко К. П. на участке с КН 61:02:0110102:2327 в ст-це Старочеркасская Аксайского района Ростовской области (ориентировочная протяжённость ЛЭП 0,05 км)</t>
  </si>
  <si>
    <t xml:space="preserve">Строительство ВЛ 0,4 кВ от ВЛ 0,4 кВ №1 КТП №446 ВЛ 10 кВ №1109 ПС 110 кВ АС11 с заменой силового трансформатора КТП №446 ВЛ 10 кВ №1109 ПС 110 кВ АС11 для электроснабжения ВРУ 0,4 кВ жилого дома Харитоновой Е. Н. на участке с КН 61:02:0030301:97 в х. Веселый Аксайского района Ростовской области </t>
  </si>
  <si>
    <t>Строительство ВЛ 0,4 кВ от ВЛ 0,4 кВ №2 КТП 10/0,4 кВ №575 ВЛ 10 кВ №704 ПС 35 кВ БГ7 для электроснабжения жилого дома Полегуевой М.Ф. по адресу РО, Багаевский район, х. Красный, ул. Кужниковская 3-я, д. 2/1, к.н. 61:03:0060109:71. (ориентировочная протяжённость ЛЭП 0,08 км)</t>
  </si>
  <si>
    <t>Строительство ВЛ 0,4 кВ от РУ 0,4 кВ КТП10 кВ №431 ВЛ 10 кВ №1001 ПС 110 кВ В10 для электроснабжения электронасосной станции  ИП Главы КФХ Карпенко В. В. по адресу РО, Веселовский район, Верхнесоленовское сельское поселение, к.н. 61:06:0600009:241(ориентировочная протяжённость ЛЭП 0,14 км)</t>
  </si>
  <si>
    <t>Строительство ВЛ 0,4 кВ по ВЛ 0,4 кВ №3 КТП10 кВ №34 ВЛ 10 кВ №151 ПС 110 кВ В1 для электроснабжения жилого дома Полякова С. В. по адресу РО, Веселовский район, п. Веселый, пер. Кленовый, 76, к.н. 61:06:0600012:1144 (ориентировочная протяжённость ЛЭП 0,13 км</t>
  </si>
  <si>
    <t>Установка прибора учета для присоединения магазина  Ильдимиркина А. В. расположенного по адресу: Ростовская область, Веселовский район, п. Чаканиха, ул. Молодежная, 27 А к.н. 61:06:0020812:119»(1шт)</t>
  </si>
  <si>
    <t>Установка прибора учета для присоединения  жилого дома Ильиной Е. В, расположенного по адресу: Ростовская область, Веселовский район, п. Веселый, ул. Максима Горького, 30-а, к.н. 61:06:0010110:476(1шт)</t>
  </si>
  <si>
    <t>Установка прибора учета для присоединения  жилого дома Лемешевского М. Г., расположенного по адресу: Ростовская область, Веселовский район, х. Нижнесоленый, ул. Казима Мустафаева, 49, к.н. 61:06:0020308:13(1шт)</t>
  </si>
  <si>
    <t>Установка прибора учета для присоединения  жилого дома Невидимова К. В, расположенного по адресу: Ростовская область, Веселовский район, п. Веселый, ул. Мелиораторов, 4-а к.н. 61:06:0010139:419»(1шт)</t>
  </si>
  <si>
    <t>Установка прибора учета для присоединения магазина «Промтовары» ИП Василенко Е. А. расположенного по адресу: Ростовская область, Веселовский район, п. Средний Маныч, ул. Ленина, 6 к.н. 61:06:0050103:124»(1шт)</t>
  </si>
  <si>
    <t>Установка прибора учета для присоединения  жилого дома Скороходовой О. Н, расположенного по адресу: Ростовская область, Веселовский район, п. Веселый, ул. Луговая, 12, к.н. 61:06:0010138:773» (1шт)</t>
  </si>
  <si>
    <t>Установка прибора учета для присоединения жилого дома Сопливенко А. В. расположенного по адресу: Р.О., Веселовский район, х. Нижнесоленый, ул. Саманная, д. 29 (1 шт)</t>
  </si>
  <si>
    <t>Установка прибора учета для присоединения здания магазина ИП Улиханян А. Ш. расположенного по адресу: Р.О., Веселовский район, х. Верхнесоленый, ул. Центральная, д. 71,( 1 шт)</t>
  </si>
  <si>
    <t>Установка прибора учета для присоединения жилого дома Шебалкова В. В. расположенного по адресу: Ростовская область, Веселовский район, х. Новоселовка, ул. Коллективная, д.37-а, к. н. 61:06:0040301:74»(1шт)</t>
  </si>
  <si>
    <t xml:space="preserve">Установка прибора учета для присоединения  квартиры Шульги Л. Л., расположенной по адресу: РО, Веселовский район, х. Позднеевка, пер. Цветочный, 11, кв.  1, к.н. 61:06:0060105:76
</t>
  </si>
  <si>
    <t xml:space="preserve">Строительство ВЛ 0,4 кВ от проектируемой ВЛ-0,4 кВ нового КТП (по договорам ТП № 61-1-19-00427405 от 27.02.2019 г. Павлов И.В, № 61-1-19-00427443 от 27.02.2019 г. Гавшева Л.М., № 61-1-19-00427459 от 27.02.2019г. Симакина Е.В., № 61-1-19-00427423 от 18.02.2019 г. Попова Г.Н.)  с установкой на границе земельного участка заявителя прибора учета для электроснабжения БС-1373 заявителя ООО «Т2 Мобайл» по адресу: РО, Семикаракорский р-н, х. Чебачий, ул. Горького, д. 59а, кадастровый номер земельного участка: 61:35:0060201:2675 </t>
  </si>
  <si>
    <t>Установка системы учета для технологического присоединения «жилого дома», расположенного по адресу: 347609 Российская Федерация, Ростовская обл.,  р-н Сальский, п. Белозёрный,               ул. Речная, д. 24, к.н.з.у.: 61:34:0080101:421, заявитель              Зиновьев Э. В. (1 шт.)</t>
  </si>
  <si>
    <t>Строительство ВЛ 0,4 кВ от опоры №3-00/4 ВЛ 0,4 кВ Л-3 от                         КТП 10/0,4 кВ №495 по ВЛ 10 кВ Л-3 Красный Партизан, для электроснабжения объекта – «жилой дом», расположенного по адресу: Российская Федерация, Ростовская обл., р-н Сальский, п. Белозёрный,                        ул. Орджоникидзе, д.19, кв.1, кадастровый номер земельного участка: 61:34:080101:0320, заявитель Зеленко А.И.». (Ориентировочная протяженность ЛЭП-0,025 км)</t>
  </si>
  <si>
    <t>Строительство ВЛ 0,4 кВ от опоры №1-00/13-2 ВЛ 0,4 кВ Л-1 от КТП 10/0,4 кВ №404 по ВЛ 10 кВ Л-1 Фрунзе 1, для электроснабжения объекта – «жилой дом», расположенного по адресу: 347602 Российская Федерация, Ростовская обл., р-н Сальский, п. Степной Курган, ул. Октябрьская, д. 4, кв./оф. 1, кадастровый номер земельного участка: 61:34:0100101:414, заявитель Головлев С.Н.» (Ориентировочная протяженность ЛЭП-0,015 км)</t>
  </si>
  <si>
    <t>Строительство участка ВЛ 0,4 кВ от опоры №3-00/16 ВЛ 0,4 кВ Л-3 КТП 10/0,4 кВ №153 по ВЛ 10 кВ Л-3 Уютная для электроснабжения объекта  «жилой дом», расположенного по адресу: РФ, Ростовская область, Пролетарский район, х. Уютный, ул. Ленина. 118, кв. 2, заявитель Кравцов А.И.» (Ориентировочная протяженность ЛЭП – 0,025км)</t>
  </si>
  <si>
    <t xml:space="preserve"> «Установка системы учета для технологического присоединения «Здания детского сада», расположенного по адресу: 347603 Российская Федерация, Ростовская обл., р-н Сальский, п. Конезавод имени Будённого, ул. Ленина, д.15, корп. ж, кадастровый номер земельного участка: 61:34:0040101:4260, заявитель Управление образования Сальского района» (1 шт.)</t>
  </si>
  <si>
    <t>Установка системы учета для технологического присоединения «жилого дома», расположенного по адресу: 347760, РФ, Ростовская область, Целинский район, п. Новая Целина, ул. Макаренко, д. 33, к.н.з.у.:61:40:0010147:54, заявитель Стороженко Оксана Николаевна (1 шт.)</t>
  </si>
  <si>
    <t xml:space="preserve"> «Строительство ВЛ 0,4кВ от опоры №1-01/8 ВЛ 0,4кВ Л-1 КТП-10/0,4кВ №163 по ВЛ 10кВ Л-4 Уютная для электроснабжения объекта – «жилой дом», расположенного по адресу: РФ, Ростовская область, Пролетарский район, х. Уютный, ул. Первомайская, д. 42а, к.н. 61:31:0100201:63, заявитель Величко Е.В.» (1 шт.)</t>
  </si>
  <si>
    <t>Установка системы учета для технологического присоединения «парка»», расположенного по адресу: 347560, РФ, Ростовская область, Песчанокопский район, с. Развильное, пер. Пионерский,13-а, к.н.з. у.: 61:30:0090101:9223, заявитель Администрация Развильненского сельского поселения (1 шт.)</t>
  </si>
  <si>
    <t xml:space="preserve">«Строительство ВЛ 0,4 кВ от опоры №2-00/7 ВЛ 0,4 кВ Л-2 КТП-10/0,4 кВ №31 по ВЛ 10 кВ Л-8 Пролетарская для электроснабжения объекта - "фельдшерско - акушерский пункт", расположенного по адресу: РФ, Ростовская область,  Пролетарский район, х. Привольный, ул. Мира, д.32/2, к.н. 61:31:0050201:699, заявитель МБУЗ "ЦРБ" Пролетарского района  (ориентировочная протяжённость ЛЭП - 0,025 км)» </t>
  </si>
  <si>
    <t>«Установка системы учета для технологического присоединения электроснабжения объекта – «сети уличного освещения (ул. Мира, х. Малая Бургуста)», расположенного по адресу: РФ, Ростовская область, Пролетарский район, х. Малая Бургуста, ул. Мира, заявитель Администрация Ковринского сельского поселения (1 шт.)»</t>
  </si>
  <si>
    <t>Установка системы учета для технологического присоединения объекта – «жилой дом», расположенного по адресу: РФ, Ростовская область, Пролетарский район, ДНТ Ручеек №3", ул. Вишневая, д. 17, к.н. 61:31:0500101:142, заявитель Доношенко С.А. (1 шт.)"</t>
  </si>
  <si>
    <t>Строительство участка ВЛ 0,4 кВ от опоры №1-01/18 ВЛ 0,4 кВ Л-1 КТП 10/0,4 кВ №5 по ВЛ 10 кВ Л-3 Пролетарская для электроснабжения  объекта - «жилой дом», расположенного по адресу: РФ, Ростовская область, Пролетарский район, г. Пролетарск, ул. Плугина, д. 2, заявитель Снеткова О.В.(Ориентировочная протяженность ЛЭП – 0,025км)</t>
  </si>
  <si>
    <t>«Установка системы учета для технологического присоединения «Базовой станции сотовой связи», расположенного по адресу: 347608, Российская Федерация, Ростовская обл., р-н. Сальский, с. Бараники, ул. Пришкольная, возле кадастрового номера земельного участка: 61:34:0020101:1837, заявитель АО «Первая Башенная Компания» (1 шт.)</t>
  </si>
  <si>
    <t>Установка системы учета для технологического присоединения «мастерских», расположенного по адресу: РФ, Ростовская область, Сальский район, п. Супрун, в кадастровом квартале 61:34:0600003, с условным центром в п. Супрун отделение №2, поле 14г, с к.н. 61:34:0600003:1136, заявитель ИП глава К(Ф)Х Алиев А.А.  (1 шт.)</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</si>
  <si>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Шоссейная, 16 к.н. з. у.: 61:30:0090101:163, заявитель Галызина Е.С. (1 шт.)</t>
  </si>
  <si>
    <t>Установка системы учета для технологического присоединения «жилого дома», расположенного по адресу: 347563, РФ, Ростовская область, Песчанокопский район, с. Поливянка, пер. Кирпичный,4, к.н. з. у.: 61:30:0080101:200, заявитель Горобец В.И. (1 шт.)</t>
  </si>
  <si>
    <t>Установка системы учета для технологического присоединения «базовой станции сотовой связи БС 2679», расположенного по адресу: Российская Федерация, Ростовская обл., р-н Сальский, с. Шаблиевка, ул. Димитрова, кадастровый номер земельного участка: 61:34:0050201:2504, заявитель ООО «Т2 Мобайл»» (1 шт.)</t>
  </si>
  <si>
    <t>Установка системы учета для технологического присоединения «сооружение (объекты дорожного хозяйства)», расположенного по адресу: 347570, РФ, Ростовская область, Песчанокопский район, автомобильная дорога г. Ростов-на-Дону (от магистрали Дон") - г. Ставрополь (до границы Ставропольского края),к.н.з. у.: 61:30:0000000:2508, заявитель Министерство транспорта РО (1 шт.)"</t>
  </si>
  <si>
    <t>Установка системы учета для технологического присоединения «жилого дома», расположенного по адресу: Российская Федерация, Ростовская обл., р-н Сальский, с. Кручёная Балка, ул. Тихая, д. 26, кадастровый номер земельного участка: 61:34:0090101:1143, заявитель Мовчан Д.И. (1 шт.)</t>
  </si>
  <si>
    <t>Строительство ВЛ 0,4 кВ от опоры №2-00/6 ВЛ 0,4 кВ Л-2 КТП-10/0,4 кВ №250 по ВЛ 10 кВ Л-4 КРС для электроснабжения объекта - жилой дом", расположенного по адресу: РФ, Ростовская область, Пролетарский район, п. Опенки, ул. молодежная, д.10, кв.1, к.н. 61:31:0080101:680, заявитель Ларионова Н.А. (ориентировочная протяженность ЛЭП-0,025 км)"</t>
  </si>
  <si>
    <t>«Установка системы учета для технологического присоединения объекта – «дачный дом», расположенного по адресу:
 РФ, Ростовская область, Пролетарский район, ДНТ «Ручеек №3», ул. Садовая, д. 48, кв. 1, к.н. 61:31:0500101:225, заявитель Рацев Г.В.» (1 шт.)</t>
  </si>
  <si>
    <t>Установка системы учета для технологического присоединения «жилой дом», расположенного по адресу: 347767, РФ, Ростовская область, Целинский район, ст-ца Сладкая Балка, ул. Егорлыкская, д. 72, к.н.з.у.:61:40:0040201:5, заявитель Башанаев М.С.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</si>
  <si>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пер. Мостовой, д. 9, кв. 2 к.н. з.у.: 61:29:0060133:66, заявитель Воронкова М.В.»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</si>
  <si>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Кирова, д. 106, к.н. з.у.: 61:29:0060104:14, заявитель Добрицын Н.А. (1шт.)</t>
  </si>
  <si>
    <t>Установка системы учета для технологического присоединения «жилого дома», расположенного по адресу: 347627 Российская Федерация, Ростовская обл., р-н Сальский, п. Сеятель Северный, ул. Садовая, д. 76, кадастровый номер земельного участка: 61:34:0070101:2026,  заявитель Лесная Е.А. (1 шт.)</t>
  </si>
  <si>
    <t>«Установка системы учета для технологического присоединения «жилого дома», расположенного по адресу: 347627 Российская Федерация, Ростовская обл., р-н Сальский, 
п. Сеятель Южный, линия 1-я, д. 26, кадастровый номер земельного участка: 61:34:0070201:165, заявитель Дочинец В.И.»</t>
  </si>
  <si>
    <t>«Установка системы учета для технологического присоединения «жилого дома», расположенного по адресу: 347769, РФ, Ростовская область, Целинский район, с. Лопанка, ул. Калинина, д. 12, к.н.з.у.:61:40:0040101:2660, заявитель Закуркин Андрей Викторович» (1 шт.)</t>
  </si>
  <si>
    <t>Установка системы учета для технологического присоединения «квартира», расположенного по адресу: 347760, РФ, Ростовская область, Целинский район, п. Тихий, ул. Светлая, д. 10, кв. 2, к.н. з.у.: 61:40:0010601:39, заявитель Зарудняя Анастасия Михайловна (1 шт.)</t>
  </si>
  <si>
    <t>"Установка системы учета для технологического присоединения «жилого дома», расположенного по адресу: 347776, РФ, Ростовская область, Целинский район, х. Васильевка, ул. Солнечная, д. 97, к.н.з.у.:61:40:0100201:128, заявитель Зубков Геннадий Николаевич" (1 шт.)</t>
  </si>
  <si>
    <t>"Установка системы учета для технологического присоединения объекта «комнаты 1,2,3,5», расположенного по адресу: 347521, РФ, Ростовская область, Орловский район, х. Быстрянский, ул. Мира, д. 12/1, к.н. з.у.: 61:29:0010201:2977, заявитель Карпенко Ю.А." (1 шт.)</t>
  </si>
  <si>
    <t>"Установка системы учета для технологического присоединения «жилого дома», расположенного по адресу: 347500, РФ, Ростовская область, Орловский район, п. Красноармейский, пер. Южный, д. 31, к.н. з.у.: 61:29:0060135:72, заявитель Красилина Л.В." (1 шт.)</t>
  </si>
  <si>
    <t>«Установка системы учета для технологического присоединения «дома», расположенного по адресу: Российская Федерация, Ростовская обл., р-н Сальский, х. Бровки, ул. Степная, 32, кадастровый номер земельного участка: 61:34:0500801:778, заявитель Пикалев О.А.»</t>
  </si>
  <si>
    <t>«Установка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Клены, пересечение ул. Пруцакова и ул. Солнечная, рядом с земельным участком с кад. номером 61:34:0010401:329, заявитель ПАО «Ростелеком»</t>
  </si>
  <si>
    <t>«Установка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Тальники, рядом с земельным участком с кад. номером 61:34:0100501:98, заявитель ПАО «Ростелеком»</t>
  </si>
  <si>
    <t>"Установка системы учета для технологического присоединения «квартира», расположенного по адресу: 347773, РФ, Ростовская область, Целинский район, с. Плодородное, ул. Молодежная, д. 37, кв. 1, к.н.з.у.:61:40:0070101:360, заявитель Сбоева Светлана Сергеевна" (1 шт.)</t>
  </si>
  <si>
    <t>«Установка системы учета для технологического присоединения «дома», расположенного по адресу: Российская Федерация, Ростовская обл., р-н Сальский, х. Бровки, СНТ №2 «Бровки», ул. Камышовая, 93, кадастровый номер земельного участка: 61:34:0500801:192, заявитель Сикорская И.А.»</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</si>
  <si>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Широкий, ул. Степная, д. 26, к.н. з.у.: 61:29:0061101:179, заявитель Челиков Н.Н.»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</si>
  <si>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Восточная, д. 182, к.н. з.у.: 61:29:0060103:41, заявитель Шептиев А.А. (1 шт.)</t>
  </si>
  <si>
    <t>«Установка системы учета для технологического присоединения «жилой дом», расположенного по адресу: 347760, РФ, Ростовская область, Целинский район, п. Новая Целина, ул. Дружбы, д.24, к.н.з.у.:61:40:0010146:64, заявитель Шульга В.А.» (1 шт.)</t>
  </si>
  <si>
    <t>"Установка системы учета для технологического присоединения «жилой дом», расположенного по адресу: РФ, Ростовская область, Целинский район, п. Новая Целина, ул. Первомайская, д. 30, к.н. з.у.: 61:40:0010150:79, заявитель Щербина Михаил Андреевич (1 шт.)"</t>
  </si>
  <si>
    <t>"Установка системы учета для технологического присоединения «магазина », расположенного по адресу: 347566, РФ, Ростовская область, Песчанокопский район, п. Дальнее Поле, ул. Молодежная, 5/2, к.н.з. у.: 61:30:0040101:21, заявитель ИП Кожуро А.И. (1 шт.)"</t>
  </si>
  <si>
    <t>"Установка системы учета для технологического присоединения «дом агронома», расположенного по адресу: 347570, РФ, Ростовская область, Песчанокопский район, вблизи с. Песчанокопского, граф. учет №26 к.н.з. у.: 61:30:0600004:4428, заявитель ИП глав КФХ Кононов В.А. (1 шт.)"</t>
  </si>
  <si>
    <t>"Установка системы учета для технологического присоединения «здание», расположенного по адресу: 347570, РФ, Ростовская область, Песчанокопский район, вблизи с. Песчанокопского, к.н.з. у.: 61:30:0600004:6132, заявитель ИП глава КФХ Федоров В.И. (1 шт.)"</t>
  </si>
  <si>
    <t>Установка системы учета для технологического присоединения «складское здание (помещение)», расположенного по адресу: Российская Федерация, Ростовская обл., г. Сальск, справа от автодороги 338 км+850 м «Песчанокопское-Котельниково», кадастровый номер земельного участка: 61:57:0010101:38, заявитель ООО «Белозерное» (1 шт.)</t>
  </si>
  <si>
    <t>"Установка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Красная, 60, к.н.з. у.: 61:30:0050101:1391, заявитель Солодов В.В. (1 шт.)"</t>
  </si>
  <si>
    <t>"Установка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пер. Речной, 4-а, к.н.з. у.: 61:30:0050101:5392, заявитель Хворостов Г.В. (1 шт.)"</t>
  </si>
  <si>
    <t>"Установка системы учета для технологического присоединения объекта – «зернохранилище», расположенного по адресу: РФ, Ростовская область, Пролетарский район, примерно в 8 км по направлению на восток от ориентира п.п. 1260 (Красный кут), к.н. 61:31:0600007:396, заявитель Абросимов А.А. (1 шт.)"</t>
  </si>
  <si>
    <t>"Установка системы учета для технологического присоединения объекта – «базовая станция/оборудование сотовой связи», расположенного по адресу: РФ, Ростовская область, Пролетарский район, п. Опенки, ул. Молодежная, участок в 20 м от дома №1, заявитель АО «ПБК» (1 шт.)"</t>
  </si>
  <si>
    <t>"Установка системы учета для технологического присоединения объекта – «жилой дом», расположенного по адресу: 347552 Российская Федерация, Ростовская обл., р-н. Пролетарский, х. Сухой, ул. Строительная, д. 16, кв.2, к.н 61:31:0090101:608, заявитель Магомедрасулова И.В.» (1 шт.)"</t>
  </si>
  <si>
    <t>"Установка системы учета для технологического присоединения объекта – «дачный дом», расположенного по адресу: РФ, Ростовская область, Пролетарский район, садовое товарищество «Заречное», к.н. 61:31:0500401:50, заявитель Минор А.А." (1 шт.)</t>
  </si>
  <si>
    <t>«Установка системы учета для технологического присоединения электроснабжения объекта – «домик рыбака», расположенного по адресу: РФ, Ростовская область, Пролетарский район, рядом с земельным участком с кадастровым номером 61:31:0600011:887, расположенным по адресу: Ростовская область, Пролетарский район, 5,55 км юго-западнее х. Уютный, кв. 1, к.н. 61:31:0600011:902, заявитель Радченко С.С.» (1 шт.)</t>
  </si>
  <si>
    <t>"Установка системы учета для технологического присоединения объекта – «жилой дом», расположенного по адресу: РФ, Местоположение установлено относительно ориентира, расположенного в границах участка. Почтовый адрес ориентира: Ростовская область, р-н. Пролетарский, х. Уютный, ул. Первомайская, д.20, к.н 61:31:0100201:10, заявитель Редько С.А." (1 шт.)</t>
  </si>
  <si>
    <t>"Установка системы учета для технологического присоединения объекта – «жилой дом», расположенного по адресу: РФ, Ростовская область, Пролетарский район, ст-ца. Буденновская, ул. Южная, д. 38, к.н. 61:31:0020101:896, заявитель Сылкин А.Н." (1 шт.)</t>
  </si>
  <si>
    <t>«Установка системы учета для технологического присоединения объекта – «жилой дом», расположенного по адресу: РФ, Ростовская обл., р-н. Пролетарский, п. Приманычский, ул. Приманычская, д. 7, к.н 61:31:0010301:105, заявитель Тельнов С.Е.» (1 шт.)</t>
  </si>
  <si>
    <t>"Установка системы учета для технологического присоединения объекта – «жилой дом», расположенного по адресу: РФ, Ростовская область, Пролетарский район, х. Татнинов, ул. Лесная, д. 1, к.н. 61:31:0070301:50, заявитель Челомбасова В.В." (1 шт.)</t>
  </si>
  <si>
    <t>"Установка системы учета для технологического присоединения «манеж», расположенного по адресу: 347771, РФ, Ростовская область, Целинский район, п. Юловский, Юловское сельское поселение, северная окраина, к.н. з.у.: 61:40:0600009:1405, заявитель ООО «Агрофирма «Целина» (1 шт.)"</t>
  </si>
  <si>
    <t>«Установка системы учета для технологического присоединения «домовладения», расположенного по адресу: 347614 Российская Федерация, Ростовская обл., р-н. Сальский, с. Березовка, ул. Юбилейная, д. 11, кадастровый номер земельного участка: 61:34:0030101:828, заявитель    Александровский Н.Н.» (1 шт.)</t>
  </si>
  <si>
    <t>"Установка системы учета для технологического присоединения «жилого дома», расположенного по адресу: 347603 Российская Федерация, Ростовская обл., р-н. Сальский, п. Конезавод имени Буденного, ул. Восточная, д. 25, кадастровый номер земельного участка: 61:34:0040101:515, заявитель Бездудный Д. В.»  (1 шт.)"</t>
  </si>
  <si>
    <t xml:space="preserve">«Установка системы учета для технологического присоединения объекта «квартира», расположенного по адресу: 347527, РФ, Ростовская область, Орловский район, п. Волочаевский, ул. Степная,27, кв. 1, к.н. з.у.: 61:29:00201011:72, заявитель Борилко Н.И.  (1 шт.)» </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</si>
  <si>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Токмацкий, ул. Солнечная, д. 3, к.н. з.у.: 61:29:0061001:9, заявитель Быкадорова Л.В. (1шт.)"</t>
  </si>
  <si>
    <t>«Установка системы учета для технологического присоединения «жилого дома», расположенного по адресу: Российская Федерация, Ростовская обл., р-н. Сальский, п. Конезавод имени Буденного ул. 40 лет Победы, 8а, кадастровый номер земельного участка: 61:34:0040101:4233, заявитель    Гладкий Э.Н.» (1 шт.)</t>
  </si>
  <si>
    <t>"Установка системы учета для технологического присоединения объекта «квартира», расположенного по адресу: 347523, РФ, Ростовская область, Орловский район, х. Веселый, ул. Советская, д. 21, кв. 1 к.н. з.у.: 61:29:0070401:79, заявитель Гричук С.А.» (1 шт.)"</t>
  </si>
  <si>
    <t>«Установка системы учета для технологического присоединения «жилого дома», расположенного по адресу: 347767, РФ, Ростовская область, Целинский район, ст. Сладкая Балка, ул. Прогресс, д. 37, к.н.з.у.:61:40:0040501:203, заявитель Дерлыш Анатолий Александрович» (1 шт.)</t>
  </si>
  <si>
    <t>"Установка системы учета для технологического присоединения «жилого дома», расположенного по адресу: 347609, Российская Федерация, Ростовская обл., р-н. Сальский, п. Белозерный, ул. Степная, д. 1, кадастровый номер земельного участка: 61:34:0080101:359, заявитель Добрынина Н. П. (1 шт.)"</t>
  </si>
  <si>
    <t>«Установка системы учета для технологического присоединения «жилого дома», расположенного по адресу: 347767, РФ, Ростовская область, Целинский район, ст. Сладкая Балка, ул. Центральная, д. 46, к.н.з.у.:61:40:0040501:16, заявитель Дубровин Дмитрий Вадимович» (1 шт.)</t>
  </si>
  <si>
    <t>"Установка системы учета для технологического присоединения «Храм», расположенного по адресу: 347618 Российская Федерация, Ростовская обл., р-н Сальский, с. Кручёная Балка, ул. Челнокова, д. 67,  кадастровый номер земельного участка: 61:34:0090101:4202, заявитель Местная религиозная организация православный Приход Храма Архистратига Михаила село Кручёная Балка Сальского района Ростовской области Религиозной организации «Волгодонская Епархия Русской Православной Церкви (Московский Патриархат)» (1 шт.)"</t>
  </si>
  <si>
    <t>«Установка системы учета для технологического присоединения объекта «жилой дом», расположенного по адресу: 347526, РФ, Ростовская область, Орловский район, х. Нижнеантоновский, ул. Антоновская, д. 40, к.н. з.у.: 61:29:0050401:339, заявитель Зайченко Е.Н. (1 шт.)»</t>
  </si>
  <si>
    <t>"Установка системы учета для технологического присоединения «жилого дома», расположенного по адресу: 347612 Российская Федерация, Ростовская обл., р-н Сальский, с. Сандата, ул. Мира, д. 5, к.н.з.у.:61:34:0170101:495, заявитель Кезина О.Н. (1 шт.)"</t>
  </si>
  <si>
    <t>"Установка системы учета для технологического присоединения «жилого дома», расположенного по адресу: 347760, РФ, Ростовская область, Сальский район,            п. Конезавод имени Буденного, ул. Садовая, 15, к.н.з.у.: 61:34:0040101:4288, заявитель Конкин Сергей Сергеевич (1 шт.)"</t>
  </si>
  <si>
    <t>"Установка системы учета для технологического присоединения объекта «гараж», расположенного по адресу: 347523, РФ, Ростовская область, Орловский район, х. Островянский, ул. Советская, д. 1В, к.н. з.у.: 61:29:0070101:2461, заявитель ИП Кузин С.А. глава К(Ф)Х (1шт.)"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</si>
  <si>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пер. Красноармейский,48, к.н. з.у.: 61:29:0060122:20, заявитель Лукашов Е.В.» (1 шт.)"</t>
  </si>
  <si>
    <t>"Установка системы учета для технологического присоединения «жилого дома», расположенного по адресу: 347613 Российская Федерация, Ростовская обл., р-н Сальский, х. Сладкий, ул. Новомирская, д. 10, кадастровый номер земельного участка: 61:34:0060301:1, заявитель Лукьяненко С.Н.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</si>
  <si>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ул. Школьная, 10, кв.2, к.н. з.у.: 61:29:0050101:343, заявитель Лупиногина Т.М.» (1 шт.)»</t>
  </si>
  <si>
    <t>"Установка системы учета для технологического присоединения «нежилого объекта», расположенного по адресу: Российская Федерация, Ростовская обл., р-н Сальский, п. Степной Курган, кадастровый номер земельного участка: 61:34:0600001:2593, заявитель Миргородский С.Н. (1 шт.)"</t>
  </si>
  <si>
    <t xml:space="preserve"> «Установка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Школьная, д. 75 к.н. з.у.: 61:29:0050101:280, заявитель Орлов С.П.» (1 шт.) </t>
  </si>
  <si>
    <t>"Установка системы учета для технологического присоединения «жилого дома», расположенного по адресу: 347612 Российская Федерация, Ростовская обл., р-н Сальский, с. Сандата, ул. Ленина, д. 109, кадастровый номер земельного участка: 61:34:0170101:1679, заявитель Остапенко И.И.» (1 шт.)"</t>
  </si>
  <si>
    <t>"Установка системы учета для технологического присоединения «жилого дома», расположенного по адресу: 347615, Российская Федерация, Ростовская обл., р-н. Сальский, с. Новый Егорлык, ул. Ленина, 10а, кадастровый номер земельного участка: 61:34:0110101:6626, заявитель Пономарь В.Н.» (1 шт.)"</t>
  </si>
  <si>
    <t>"Установка системы учета для технологического присоединения «жилой дом», расположенного по адресу: 347773, РФ, Ростовская область, Целинский район, х. Благодарный, ул. Луговая, д. 44, к.н.з.у.:61:40:0070201:47, заявитель Рамазанов Ахмед Мичошоевич"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</si>
  <si>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пер. Пролетарский,18, к.н. з.у.: 61:29:0060127:43, заявитель Савина О.А.»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</si>
  <si>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Школьная, 13, к.н. з.у.: 61:29:0050101:324, заявитель Скляров Р.И.»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</si>
  <si>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Широкий, ул. Южная, д. 10, к.н. з.у.: 61:29:0061101:10, заявитель Соловьянова В.И. (1шт.)"</t>
  </si>
  <si>
    <t>"Установка системы учета для технологического присоединения объекта «магазин», расположенного по адресу: 347500, РФ, Ростовская область, Орловский район, п. Красноармейский, пер. Красноармейский, д.1, к.н. з.у.: 61:29:0060123:114, заявитель ИП Сычев Н.Н. (1шт.)"</t>
  </si>
  <si>
    <t>«Установка системы учета для технологического присоединения «жилого дома с мансардой», расположенного по адресу: 347618 Российская Федерация, Ростовская обл., р-н. Сальский, с. Крученая Балка, ул. Комсомольская, д. 22, кадастровый номер земельного участка: 61:34:0090101:810, заявитель Тарасенко И.Е.»  (1 шт.)</t>
  </si>
  <si>
    <t>«Установка системы учета для технологического присоединения «жилого дома», расположенного по адресу: 347617 Российская Федерация, Ростовская обл., р-н. Сальский, х. Новоселый 1-й, ул. Речная, д. 1, кадастровый номер земельного участка: 61:34:0120401:201, заявитель Хохлачев К.А.»  (1 шт.)</t>
  </si>
  <si>
    <t>«Установка системы учета для технологического присоединения объекта «квартира», расположенного по адресу: 347524, РФ, Ростовская область, Орловский район, х. Пролетарский, пер. Спортивный, д. 3, кв. 3 к.н. з.у.: 61:29:110201:2706, заявитель Чумакова Л.В.»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</si>
  <si>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ул. Школьная, д. 83, кв. 2, к.н. з.у.: 61:29:0050101:272, заявитель Шевченко Н.А.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</si>
  <si>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ул. А.Муравина, д. 28, кв. 1 к.н. з.у.: 61:29:0050101:391, заявитель Шевченко С.А.» (1 шт.)</t>
  </si>
  <si>
    <t>"Установка системы учета для технологического присоединения «дачного дома», расположенного по адресу: 347563, РФ, Ростовская область, Песчанокопский район, с. Поливянка, ул. Набережная, 1-а к.н.з. у.: 61:30:0080101:2782, заявитель Алексеева А.И. (1 шт.)"</t>
  </si>
  <si>
    <t>"Установка системы учета для технологического присоединения «административное здание», расположенное по адресу: 347568, РФ, Ростовская область, Песчанокопский район, с. Летник, ул. Ленина, 148-б, к.н.з. у.: 61:30:0030101:1089, заявитель ИП Алфутова Н.И." (1 шт.)"</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</si>
  <si>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Буденного, 102-а к.н. з. у.: 61:30:0090101:2451, заявитель Ващенко С.В.» (1 шт.)"</t>
  </si>
  <si>
    <t>«Установка системы учета для технологического присоединения «жилого дома», расположенного по адресу: 347570, РФ, Ростовская область, Песчанокопский район, х. Терновой, ул. Ленина, д. 46-а, к.н. з. у.: 61:30:0010501:506, заявитель Гудков А.П.» (1 шт.)</t>
  </si>
  <si>
    <t xml:space="preserve">«Установка системы учета для технологического присоединения «кухни», расположенной по адресу: 347562, РФ, Ростовская область, Песчанокопский район, с. Богородицкое, ул. Калинина, д. 82 к.н. з. у.: 61:30:0020101:855, заявитель Гусев А.Ю.» (1 шт.) </t>
  </si>
  <si>
    <t>"Строительство ВЛ 0,4 кВ от опоры №1-00/3 ВЛ 0,4 кВ Л-1 КТП 10/0,4 кВ № 46 по ВЛ 10 кВ Л-2 Жуковская, установка системы учета для технологического присоединения – «дачный дом», расположенного по адресу: РФ, Ростовская область, Песчанокопский район, с. Жуковское, ул.1 Мая, участок №26-а, к.н. з.у.: 61:30:0030101:1059, заявитель Жилин В.Н. (Ориентировочная протяженность ЛЭП – 0,020 км)"</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</si>
  <si>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Социалистическая, 1 к.н.з. у.: 61:30:0030101:303, заявитель Жуков П.В. (1 шт.)"</t>
  </si>
  <si>
    <t>"Установка системы учета для технологического присоединения «жилого дома», расположенного по адресу: 347561, РФ, Ростовская область, Песчанокопский район, с. Развильное, ул. Первомайская, д. 78 к.н. з. у.: 61:30:0090101:9550, заявитель Кондабаров А.И." (1 шт)</t>
  </si>
  <si>
    <t>"Установка системы учета для технологического присоединения «здание амбулатории», расположенной по адресу: 347562, РФ, Ростовская область, Песчанокопский район, с. Богородицкое, ул. Кирова, д. 96 к.н. з. у.: 61:30:0020101:3736, заявитель МБУЗ «ЦРБ» Песчанокопского района (1 шт.)"</t>
  </si>
  <si>
    <t>"Установка системы учета для технологического присоединения «незавершенный строительством объект», расположенный по адресу: 347560, РФ, Ростовская область, Песчанокопский район, с. Развильное, ул. Фабричная, д. 15 к.н. з. у.: 61:30:0090101:918, заявитель Мельников Е.О." (1 шт)</t>
  </si>
  <si>
    <t>"Установка системы учета для технологического присоединения «административное здание», расположенное по адресу: 347560, РФ, Ростовская область, Песчанокопский район, с. Развильное, ул. Строителей, д. 111, к.н. з. у.: 61:30:0090101:9786, заявитель СПССОК «Развилкино» (1 шт.)"</t>
  </si>
  <si>
    <t>"Установка системы учета для технологического присоединения «жилого дома», расположенного по адресу: 347568, РФ, Ростовская область, Песчанокопский район, с. Летник, ул. Московская, 61 к.н.з. у.: 61:30:060101:0066, заявитель Сухинина М.Ю. (1 шт.)"</t>
  </si>
  <si>
    <t xml:space="preserve">«Установка системы учета для технологического присоединения «жилого доиа», расположенного по адресу: 347561, РФ, Ростовская область, Песчанокопский район, с. Развильное, ул. Жолоба, д. 59-а к.н. з. у.: 61:30:0090101:10145, заявитель Ткаля Р.М.» (1 шт) </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</si>
  <si>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Комсомольская, 58 к.н. з. у.: 61:30:0090101:8914, заявитель Тхагова С.А.» (1 шт)"</t>
  </si>
  <si>
    <t>"Установка системы учета для технологического присоединения «жилого дома», расположенного по адресу: 347569, РФ, Ростовская область, Песчанокопский район, с. Рассыпное, ул. Котовского, д. 41 к.н. з. у.: 61:30:0100101:539, заявитель Шаров В.В.» (1 шт.)"</t>
  </si>
  <si>
    <t>«Строительство участка ВЛ 0,4 кВ от опоры №3-00/1-5 ВЛ 0,4кВ Л-3 КТП 10/0,4 кВ №815 по ВЛ 10 кВ Л-2 Будённовская для электроснабжения объекта «магазин «автозапчасти», расположенного по адресу: РФ, Ростовская область, Пролетарский район, ст-ца Будённовская, ул. Ленина, д. 22/4, заявитель Бурим М.В.» (Ориентировочная протяженность ЛЭП – 0,025км)</t>
  </si>
  <si>
    <t>Установка системы учета для технологического присоединения объекта – «гараж с подвалом», расположенного по адресу: РФ, Ростовская область, Пролетарский район, г. Пролетарск, ул. Матвеева, д. 11/45, к.н 61:31:0110262:30, заявитель Андрианова Н.А. (1 шт.)</t>
  </si>
  <si>
    <t>Строительство ВЛ 0,4 кВ от РУ 0,4 кВ ТП 10/0,4 кВ №5-3 по ВЛ 10 кВ №5 ПС 35/10 кВ Б.Салы, техническое перевооружение ТП 10/0,4 кВ №5-3 по ВЛ 10 кВ №5 ПС 35/10 кВ Б.Салы для технологического присоединения производственной базы Заявителя (Гаричева Л.С.) по адресу: Ростовская область, Мясниковский район, с. Б.Салы, ул. Абовяна, д.48 к.н.  №61:25:0040101:5275 (ориентировочная протяженность ЛЭП 0,09 км; мощность силового трансформатора 160 кВА)</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</si>
  <si>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-(61-1-21-00592973)</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</si>
  <si>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-(61-1-21-00591061)</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</si>
  <si>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-(61-1-21-00591623)</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</si>
  <si>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-(61-1-21-00591625)</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</si>
  <si>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-(61-1-21-00593031)</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</si>
  <si>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-(61-1-21-00593021)</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</si>
  <si>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-(61-1-21-00593341)</t>
  </si>
  <si>
    <t xml:space="preserve">Установка коммерческого учета электрической энергии (мощности) на границе земельного участка, подключенного от опоры №172-22   ВЛ-0,4  № 1 КТП-172 ВЛ-10  904  ПС 110 кВ Балко-Грузская, для электроснабжения жилого дома заявителя Мищенко В.А., х.Балко-Грузский, Егорлыкский район, Ростовская область   </t>
  </si>
  <si>
    <t xml:space="preserve">Установка коммерческого учета электрической энергии (мощности) на границе земельного участка, подключенного от опоры №250-8а ВЛ-0,4  № 1 КТП-250 ВЛ-10  507  ПС 35 кВ Е-5, для электроснабжения участка заявителя МБУК Егорлыкского района "Межпоселенческая центральная библиотека", х.Новая Деревня, Егорлыкский район, Ростовская область  </t>
  </si>
  <si>
    <t xml:space="preserve">Установка коммерческого учета электрической энергии (мощности) на границе земельного участка, подключенного от опоры №1-48 ВЛ-0,4 кВ №1 КТП-10/0,4 кВ №1 по ВЛ-10 кВ №612 ПС 35/10 кВ "КГ-3", для электроснабжения жилого дома заявителя Бедросова Ц.А., Кагальницкий р-н, с. Новобатайск ул. Горожанова д.2А, Ростовская область </t>
  </si>
  <si>
    <t xml:space="preserve">Установка коммерческого учета электрической энергии (мощности) на границе земельного участка, подключенного от опоры №17-12 ВЛ-0,4 кВ №1 КТП-10/0,4 кВ №1  ВЛ-10 кВ №501 ПС 35/10 кВ "ЗР-5", для электроснабжения квартиры заявителя Деречей Л.Ф., х. Гуляй-Борисовка, Зерноградский р-он, Ростовская область   </t>
  </si>
  <si>
    <t>Установка коммерческого учета электрической энергии (мощности) на границе земельного участка, подключенного от опоры № 8-48 ВЛ-0,4 кВ №1 КТП-10/0,4 кВ №8 по ВЛ-10 кВ № 305 ПС 35/10 кВ «КГ-3», для электроснабжения жилого дома заявителя Долговой Т.В. Кагальницкий р-н. п. Глубокий Яр, ул. Лесная д.10 Ростовская область»</t>
  </si>
  <si>
    <t>Установка коммерческого учета электрической энергии (мощности) на границе земельного участка, подключенного от опоры №323-3 ВЛ-0,4 кВ №2 КТП-10/0,4 кВ №323 ВЛ-10 кВ №1108 ПС 35/10 кВ Е-11, для электроснабжения участка заявителя ИП Банько С.А., нежилое помещение (склад), х.Изобильный, Егорлыкский район, Ростовская область</t>
  </si>
  <si>
    <t xml:space="preserve">Установка коммерческого учета электрической энергии (мощности) на границе земельного участка, подключенного от опоры №50-23 ВЛ-0,4 кВ № 2 КТП-10/0,4 кВ №50 ВЛ-10 кВ №707 от ПС 35/10 кВ «ЗР-7», для электроснабжения жилого дома заявителя Иванова П.Г.  Ростовская область, Зерноградский р-н, х. Путь Правды, ул. Ленина д.67  </t>
  </si>
  <si>
    <t xml:space="preserve">Установка коммерческого учета электрической энергии (мощности) на границе земельного участка, подключенного от опоры №85-44 ВЛ-0,4 кВ № 2 КТП-10/0,4 кВ №85 ВЛ-10 кВ №415 от ПС 35/10 кВ «КГ-4», для электроснабжения жилого дома заявителя Яковлева М.А.  Ростовская область, Кагальницкий р-н., х. Кагальничек  </t>
  </si>
  <si>
    <t xml:space="preserve">Установка коммерческого учета электрической энергии (мощности) на границе земельного участка, подключенного от опоры №89-37 ВЛ-0,4 кВ № 1 КТП-10/0,4 кВ №89 ВЛ-10 кВ №319 от ПС 35/10 кВ «КГ-3», для электроснабжения жилого дома заявителя Заверюхина А.Е.,  Ростовская область, Кагальницкий р-н., ст. Кировская, ул. Майская д.2А </t>
  </si>
  <si>
    <t xml:space="preserve">Установка коммерческого учета электрической энергии (мощности) на границе земельного участка, подключенного от опоры №33-41 ВЛ-0,4 кВ № 2 КТП-10/0,4 кВ №33 ВЛ-10 кВ №313 от ПС 35/10 кВ «КГ-3», для электроснабжения жилого дома заявителя Баранцева Е.Р.  Ростовская область, Кагальницкий р-н., ст. Кировская, ул. Суворова д.27А  </t>
  </si>
  <si>
    <t>Установка коммерческого учета электрической энергии (мощности) на границе земельных участков, подключенных от оп. оп. № 95-43 ВЛ-0,4 кВ №3 КТП-95 по ВЛ-10 кВ №1106 ПС 35 кВ Е-11, для электроснабжения жилого дома по заявке Гузь Н.Ю.,  № 181-6 ВЛ-0,4 кВ №1 КТП-181 по ВЛ-10 кВ №904 ПС 110 кВ Балко-Грузская, для электроснабжения наружного освещения (светодиодные светильники) и фоторадарного комплекса измерения скорости транспортных средств «Кордон-М» 2 по заявке Министерства Транспорта, Егорлыкский р-он. Ростовская область (2 шт.)</t>
  </si>
  <si>
    <t xml:space="preserve">Установка прибора коммерческого учета электрической энергии (мощности) на границе земельного участка, подключенного от оп. №24-32 ВЛ-0,4 № 1 КТП-24 ВЛ-10 807 ПС 110 кВ Роговская, для электроснабжения жилого дома заявителя Настакалова П.М., ст. Новороговская, Егорлыкский р-он Ростовская область (1 шт)  </t>
  </si>
  <si>
    <t>Установка прибора коммерческого учета электрической энергии (мощности) на границе земельного участка, подключенного от оп. №92-33   ВЛ-0,4  № 1 КТП-92 ВЛ-10  502  ПС 35 кВ Е-5, для электроснабжения жилого дома заявителя Шинкарева А.В., х.Калмыков, Егорлыкский р-он Ростовская область» (1шт)</t>
  </si>
  <si>
    <t xml:space="preserve">Установка прибора коммерческого учета электрической энергии (мощности) на границе земельного участка, подключенного от оп. №132-62   ВЛ-0,4  № 1 КТП-132 ВЛ-10  506  ПС 35 кВ Е-5, для электроснабжения жилого дома заявителя Дарбинян А.В., х.Объединенный, Егорлыкский р-он Ростовская область» (1шт) </t>
  </si>
  <si>
    <t xml:space="preserve">Установка прибора коммерческого учета электрической энергии (мощности) на границе земельного участка, подключенного от оп. №418-5 ВЛ-0,4  № 1 КТП-418 ВЛ-10 кВ № 612  ПС 35 кВ Е-6, для электроснабжения жилого дома заявителя Тоноян А.З., х.Шаумяновский, Егорлыкский р-он Ростовская область» (1шт)  </t>
  </si>
  <si>
    <t>Установка прибора коммерческого учета электрической энергии (мощности) на границе земельного участка, подключенного от оп. №418-49 ВЛ-0,4  № 2 КТП-418 ВЛ-10 кВ № 612  ПС 35 кВ Е-6, для электроснабжения нежилого здания (склада) заявителя ИП Карапетян Г.Р., х.Шаумяновский, Егорлыкский р-он Ростовская область (1шт).</t>
  </si>
  <si>
    <t xml:space="preserve">Строительство участка ВЛИ-0,4кВ от оп. №36-42 ВЛ-0,4кВ №2 КТП-10/0,4 кВ №36 ВЛ-10 кВ №313 ПС 35/10 кВ «КГ-3» и системы учета электрической энергии (мощности) на границе земельного участка для электроснабжения жилого дома заявителя Мышакиной Л.А., Ростовская область, Кагальницкий р-н, ст. Кировская, ул. Кирова д.73Б (ориентировочная протяженность ЛЭП – 0,03 км)  </t>
  </si>
  <si>
    <t>Установка коммерческого учета электрической энергии (мощности) для технологического присоединения энергопринимающих устройств Заявителей: Ключников И.Н., Соколенко Л.Т., Комитет по управлению имуществом, Кагальницкого района, Силкин А.В., Зерноградский р-н, Ростовская область ( 4 шт.)</t>
  </si>
  <si>
    <t xml:space="preserve">Строительство системы учета для технологического присоединения энергопринимающих устройств Заявителей: Головченко Н.Ф., Кутровский А.Н. в Зерноградском, Кагальницком районе Ростовской области </t>
  </si>
  <si>
    <t>Установка коммерческого учета электрической энергии (мощности) на границе земельного участка, подключенного от оп. №48-34 ВЛ-0,4 кВ №3 КТП-10/0,4 кВ №48 по ВЛ-10 кВ № 318 ПС 35/10 кВ «КГ-3», для электроснабжения ЛПХ заявителя Мизюковой Т.В., х.Николаевский, Кагальницкий р-он, Ростовская область (1шт)</t>
  </si>
  <si>
    <t xml:space="preserve">Установка коммерческого учета электрической энергии (мощности)  для технологического присоединения энергопринимающих устройств Заявителей: Никифоровой В.В., Павленко В.П., Трофимова А.В. Зерноградский р-он, Кагальницкий р-он Ростовская область (3 шт.) </t>
  </si>
  <si>
    <t>Установка коммерческого учета электрической энергии  (мощности) для технологического присоединения энергопринимающих устройств Заявителей: Живцов А.В. Кагальницкий р-н, Минаев А.В., Животкевич А.А. Зерноградский р-н, Ростовская область ( 3 шт.)</t>
  </si>
  <si>
    <t>Строительство участка ВЛИ-0,4кВ от оп. №134-4 ВЛ-0,4кВ №1 КТП-10/0,4 кВ №134 ВЛ-10 кВ №101 ПС 220/110/35/10 кВ «Зерновая» и системы учета электрической энергии (мощности) на границе земельного участка для электроснабжения жилого дома заявителя Ващаева Н.Н., г. Зерноград, Ростовская область, Зерноградский р-он, г. Зерноград, ул. Аксайская д.12 (ориентировочная протяженность ЛЭП – 0,04 км)</t>
  </si>
  <si>
    <t>Строительство участка ВЛИ-0,4кВ от оп. №134-36 ВЛ-0,4кВ №2 КТП-10/0,4 кВ №134 ВЛ-10 кВ №101 ПС 220/110/35/10 кВ «Зерновая» и системы учета электрической энергии (мощности) на границе земельного участка для электроснабжения жилого дома заявителя Маркова А.В., Ростовская область, Зерноградский р-н, г. Зерноград, пер. Ярославский д.34 (ориентировочная протяженность ЛЭП – 0,08 км)</t>
  </si>
  <si>
    <t xml:space="preserve">Строительство участка ВЛИ-0,4кВ от оп. №202-21 ВЛ-0,4кВ №1 КТП-10/0,4 кВ №202 ВЛ-10 кВ №319 ПС 35/10 кВ «КГ-3» и системы учета электрической энергии (мощности) на границе земельного участка для электроснабжения ЛПХ заявителя Христюченко И.В., Ростовская область, Кагальницкий р-н, п. Мокрый Батай, ул. Садовая д.93 (ориентировочная протяженность ЛЭП – 0,025 км) </t>
  </si>
  <si>
    <t xml:space="preserve">Строительство участка ВЛИ-0,4кВ от оп. №4-73 ВЛ-0,4кВ №2 КТП-10/0,4 кВ №4 ВЛ-10 кВ №305 ПС 35/10 кВ «КГ-3» и системы учета электрической энергии (мощности) на границе земельного участка для электроснабжения ЛПХ заявителя Шеметовой О.Ю., Ростовская область, Кагальницкий р-н, ст. Кировская ул. Садовая д. 34  (ориентировочная протяженность ЛЭП – 0,03км) </t>
  </si>
  <si>
    <t xml:space="preserve">Установка коммерческого учета электрической энергии (мощности) для технологического присоединения энергопринимающих устройств Заявителей: Харло М. С. Кагальницкий р-н,  Зерноградское районное потребительское общество Зерноградский р-н, Ростовская область ( 2 шт.)  </t>
  </si>
  <si>
    <t xml:space="preserve">Строительство участка ВЛИ-0,4кВ от оп. №101-26 ВЛ 0,4 кВ №2 КТП 10/0,4 кВ №101 ВЛ-10кВ №2412 ПС 35/10 кВ «А-24» и системы учета электрической энергии (мощности) на границе земельного участка для электроснабжения жилого дома заявителя Срединской Е.А., х. Полушкин, Азовский р-он Ростовская область (ориентировочная протяженность ЛЭП – 0,03 км) </t>
  </si>
  <si>
    <t xml:space="preserve">Строительство участка ВЛИ-0,4кВ от РУ-0,4 кВ КТП 10/0,4 кВ №162 ВЛ-10кВ №1101 ПС 35/10 кВ «А-11» и установка системы учета электрической энергии (мощности) на границе земельного участка для электроснабжения жилого дома заявителя Журовой Л.П., с. Кагальник, Азовский р-он Ростовская область (ориентировочная протяженность ЛЭП – 0,100 км) </t>
  </si>
  <si>
    <t xml:space="preserve">Строительство участка ВЛИ-0,4кВ от проектируемой ВЛ-0,4 кВ (по договору №61-1-19-00474079 от 23.10.2019г.) КТП 10/0,4 кВ №233 ВЛ-10 кВ №1815 ПС «А-18» и установка системы учета электрической энергии (мощности) на границе земельного участка для электроснабжения жилого дома заявителя Мардаревой О.Н., Рыболовецкий колхоз им. Ленина, Азовский р-он Ростовская область (ориентировочная протяженность ЛЭП – 0,140 км) </t>
  </si>
  <si>
    <t>Строительство участка ВЛИ-0,4кВ от № 25-161 ВЛ-0,4 кВ №3 КТП 10/0,4 кВ №25 ВЛ-10кВ №1815 ПС 35/10 кВ «А-18» и системы учета электрической энергии (мощности) на границе земельного участка для электроснабжения жилого дома заявителя Тихомирова Г.А., х.Колузаево, Азовский р-он Ростовская область (ориентировочная протяженность ЛЭП – 0,200 км)</t>
  </si>
  <si>
    <t>Строительство участка ВЛИ-0,4кВ от оп. № 25-10 ВЛ-0,4 кВ №3 КТП 10/0,4 кВ №25 ВЛ-10кВ №1815 ПС 35/10 кВ «А-18» и системы учета электрической энергии (мощности) на границе земельного участка для электроснабжения жилого дома заявителя Тюрина С.В., х. Колузаево Ростовская область (ориентировочная протяженность ЛЭП – 0,08 км)</t>
  </si>
  <si>
    <t>'Строительство участка ВЛИ-0,4кВ от РУ-0,4 кВ КТП 10/0,4 кВ №99 ВЛ-10кВ №106Н ПС 110/6/10 кВ «НС-1» и системы учета электрической энергии (мощности) на границе земельного участка для электроснабжения жилого дома заявителя Шрамко А.С., п. Овощной, Азовский р-он Ростовская область (ориентировочная протяженность ЛЭП – 0,300 км)</t>
  </si>
  <si>
    <t xml:space="preserve">Установка прибора коммерческого учета электрической энергии (мощности) на границе земельного участка, подключенного от оп. №227-8 ВЛ-0,4 № 1 КТП-227 ВЛ-10 605 ПС 35 кВ Е-6, для электроснабжения нежилого здания заявителя ИП Савченко Н.Г, 45 м. на юг от южной окраины х.Кавалерский, Егорлыкский р-он Ростовская область»(1шт) </t>
  </si>
  <si>
    <t xml:space="preserve">Установка прибора коммерческого учета электрической энергии (мощности) на границе земельного участка, подключенного от оп. №211-25 ВЛ-0,4 № 2 КТП-211 ВЛ-10 612 ПС 35 кВ Е-6, для электроснабжения нежилого здания заявителя ИП Сафарян А.П., ул.Баграмяна, 16а, х. Шаумяновский, Егорлыкский р-он Ростовская область»(1шт) </t>
  </si>
  <si>
    <t xml:space="preserve">Строительство участка ВЛИ-0,4кВ от оп. №91-84 ВЛ-0,4кВ №1 КТП 10/0,4 кВ №91 ВЛ-10 кВ №415 ПС 35/10 кВ «КГ-4» и системы учета электрической энергии (мощности) на границе земельного участка для электроснабжения личного подсобного хозяйства заявителя Самсонова А.В., Ростовская область, Кагальницкий район, п. Лугань, ул. Луганская д.20 (ориентировочная протяженность ЛЭП – 0,03км) </t>
  </si>
  <si>
    <t>Строительство участка ВЛИ-0,4кВ от оп. №83-36 по ВЛ-0,4 кВ №1 КТП 10/0,4 кВ №83 ВЛ-10 кВ №801 ПС 35/10 кВ «ЗР-8» для электроснабжения ангара заявителя ООО «Эдельвейс», х. Клюев, Зерноградский район, Ростовская область (ориентировочная протяженность ЛЭП – 0,26 км)</t>
  </si>
  <si>
    <t>Установка коммерческого учета электрической энергии (мощности) на границе земельного участка, подключенного от опоры №184-65 ВЛ-0,4 кВ №4 КТП-10/0,4 кВ №184 по ВЛ-10 кВ №3113 ПС 110/35/10 кВ "А-31", для электроснабжения жилого дома заявителя Зарецкой Н.Г., с. Пешково, Азовский р-он Ростовская область</t>
  </si>
  <si>
    <t xml:space="preserve">Установка коммерческого учета электрической энергии (мощности) на границе земельного участка, подключенного от опоры №168-57 ВЛ-0,4 кВ №1 КТП-10/0,4 кВ №168 ВЛ-10 кВ №1708 ПС 35/10 кВ "А-17", для электроснабжения жилого дома заявителя ИП Аветисян В.С., с. Круглое, Азовский р-он Ростовская область </t>
  </si>
  <si>
    <t>Установка коммерческого учета электрической энергии (мощности) на границе земельного участка, подключенного от опоры №45-29/5 ВЛ-0,4 кВ №1 ЗТП-10/0,4 кВ №45 по ВЛ-10 кВ № 211 ПС 35/10 кВ «А-2», для электроснабжения жилого дома заявителя Килигиной О.С., х. Новоалександровка,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</si>
  <si>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№113-13 ВЛ-0,4 кВ №1 КТП-10/0,4 кВ №113 по ВЛ-10 кВ №3113 ПС 110/35/10 кВ "А-31", для электроснабжения жилого дома заявителя Кузьмина Б.И., с.Пешково, Ростовская область</t>
  </si>
  <si>
    <t>Установка коммерческого учета электрической энергии (мощности) на границе земельного участка, подключенного от опоры №93-7 ВЛ-0,4 кВ №2 КТП-10/0,4 кВ №93 по ВЛ-10 кВ № 202Н ПС 110/6/10 кВ «НС-2», для электроснабжения жилого дома заявителя Недоводова А.В., с. Кулешовка, Азовский р-он Ростовская область</t>
  </si>
  <si>
    <t>Строительство участка ВЛИ-0,4кВ от оп. 311-3/4 ВЛ-0,4 кВ №2 КТП 10/0,4 кВ №311 ВЛ-10кВ №106Н ПС 110/6/10 кВ «НС-1» и системы учета электрической энергии (мощности) на границе земельного участка для электроснабжения жилого дома заявителя Щербиной С.Н., СХА "Кулешовское" поле III, Азовский район Ростовская область (ориентировочная протяженность ЛЭП – 0,120 км)</t>
  </si>
  <si>
    <t>Установка коммерческого учета электрической энергии (мощности) на границе земельного участка, подключенного от опоры №240-149 ВЛ-0,4 кВ №3 КТП-10/0,4 кВ №240 ВЛ-10 кВ №106Н ПС 110/6/10 кВ "НС-1", для электроснабжения жилого дома заявителя Кузнецовой А.Ю., п. Овощной, Азовский р-он Ростовская область</t>
  </si>
  <si>
    <t xml:space="preserve">Установка коммерческого учета электрической энергии (мощности) на границе земельного участка, подключенного от опоры №9-1 ВЛ-0,4 кВ №1 КТП-10/0,4 кВ №9 (на балансе ООО "Рыбколхоз им. Ленина") ВЛ-10 кВ №1815 ПС 35/10 кВ "А-18", для электроснабжения жилого дома заявителя Кочубинской О.А., х. Городище, Азовский р-он Ростовская область </t>
  </si>
  <si>
    <t>Установка коммерческого учета электрической энергии (мощности) на границе земельного участка, подключенного от опоры №157-57 ВЛ-0,4 кВ №2 КТП-10/0,4 кВ №157 по ВЛ-10 кВ №1101 ПС 35/10 кВ "А-11", для электроснабжения жилого дома заявителя Морозова Д.А., с. Кагальник, Азовский р-он Ростовская область</t>
  </si>
  <si>
    <t xml:space="preserve">Установка коммерческого учета электрической энергии (мощности) на границе земельного участка, подключенного от опоры №66-39 ВЛ-0,4 кВ №2 КТП 10/0,4 кВ №66 ВЛ-10 кВ №307 Н ПС 110/35/6/10 кВ "НС-3", для электроснабжения жилого дома заявителя Бельчич А.Д., х. Зеленый Мыс, Азовский р-он,  Ростовская область </t>
  </si>
  <si>
    <t xml:space="preserve">Установка коммерческого учета электрической энергии (мощности) на границе земельного участка, подключенного от оп. №86-7 ВЛ-0,4 кВ №1 КТП-10/0,4 кВ №86 по ВЛ-10 кВ № 1107 ПС 35/10 кВ «А-11», для электроснабжения жилого дома заявителя Шульгиной Е.В., х. Павловка, Азовский р-он Ростовская область  </t>
  </si>
  <si>
    <t xml:space="preserve">'Строительство участка ВЛИ- 0,4 кВ от оп. №48-25 ВЛ-0,4 кВ №2 КТП-10/0,4 кВ №48 ВЛ-10 кВ №1815 ПС 35/10 "А-18" и установка коммерческого учета электрической энергии (мощности) на границе земельного участка для электроснабжения жилого дома заявителя Кравченко О.Е., Рыболовецкий колхоз им. Ленина, Азовский р-он, Ростовская область (ориентировочная протяженность ЛЭП-0,220км) </t>
  </si>
  <si>
    <t xml:space="preserve">Установка приборов коммерческого учета электрической энергии (мощности) для технологического присоединения энергопринимающих устройств Заявителей: Щипко С.С., х.Объединенный, Машкина С.В., п.Роговский, Егорлыкский р-он Ростовская область (2 шт.) </t>
  </si>
  <si>
    <t xml:space="preserve">Строительство участка ВЛИ-0,4 кВ от проектируемой ТП 10/0,4 кВ (по договору ТП № 61-1-20-00475639 от 14.04.20г.) по ВЛ-10 кВ №313 ПС 35/10 кВ «КГ-3»  и системы учета электрической энергии (мощности) на границе земельного участка для электроснабжения офисного здание заявителя  Гурова Ю.А. Ростовская область, Кагальницкий район, ст. Кировская  (ориентировочная протяженность ЛЭП– 0,17 км) </t>
  </si>
  <si>
    <t xml:space="preserve">Строительство участка ВЛИ-0,4кВ от оп. №182-34 ВЛ-0,4кВ №3 КТП-10/0,4 кВ №182 ВЛ-10 кВ №805 ПС 110/10 кВ «БОС» и системы учета электрической энергии (мощности) на границе земельного участка для электроснабжения жилого дома заявителя Кузьменко С.В., Ростовская область, Кагальницкий р-н, п. Мокрый Батай, пер. Осенний д.2 (ориентировочная протяженность ЛЭП – 0,05 км) </t>
  </si>
  <si>
    <t>Установка коммерческого учета электрической энергии (мощности) на границе земельного участка, подключенного от РУ-0,4 кВ КТП 10/0,4 кВ №39 по ВЛ 10 кВ №121 ПС 220/110/35/10 кВ «Зерновая», для электроснабжения производственной базы по заявке Зерноградского районного потребительского общества, г. Зерноград, ул. Гагарина, Ростовская область (1шт)</t>
  </si>
  <si>
    <t xml:space="preserve">Установка прибора коммерческого учета электрической энергии (мощности) на границе земельного участка, подключенного от опоры №121-37 ВЛ-0,4 кВ № 1 КТП-10/0,4 кВ №121 ВЛ-10 кВ №122 от ПС 220/110/35/10 кВ «Зерновая», для электроснабжения личного подсобного хозяйства заявителя Колесник В.А., Ростовская область, Зерноградский р-н, х. Ракитный, ул. Заречная д.7Б ( 1 шт.) </t>
  </si>
  <si>
    <t>Установка прибора коммерческого учета электрической энергии (мощности) на границе земельного участка, подключенного от опоры №10-24 ВЛ-0,4 кВ № 2 КТП-10/0,4 кВ №10 ВЛ-10 кВ №501 от ПС 35/10 кВ «ЗР-5», для электроснабжения магазина заявителя Вьюкова О.В., Ростовская область, Зерноградский р-н, х. Гуляй-Борисовка, ул. Ленина д.17А (1 шт.)</t>
  </si>
  <si>
    <t xml:space="preserve">Установка приборов коммерческого учета электрической энергии (мощности) для технологического присоединения энергопринимающих устройств Заявителей: Беликовой Н.А., Генрих В.Р., Зерноградский р-он, Фещенко Е.Н., Кагальницкий р-он Ростовская область ( 3 шт.)  </t>
  </si>
  <si>
    <t>Установка прибора коммерческого учета электрической энергии (мощности) на границе земельного участка, подключенного от опоры №22-77 ВЛ-0,4 кВ № 2 КТП-10/0,4 кВ №22 ВЛ-10 кВ №1507 от ПС 110/10 кВ «ЗР-15», для электроснабжения жилого дома заявителя Ломакина А.В., Ростовская область, Зерноградский р-н, г. Зерноград, ул. Липовая д.12 ( 1 шт.)</t>
  </si>
  <si>
    <t xml:space="preserve">Установка прибора коммерческого учета электрической энергии (мощности) на границе земельного участка, подключенного от опоры №95-9 ВЛ-0,4 № 2 от КТП-95 по ВЛ-10 1501 ПС 110 кВ ЗР-15, для электроснабжения ЛПХ заявителя Федотовой В.В., Ростовская область, Зерноградский р-н, п. Экспериментальный, ул. Гагарина д.25 (1 шт.) </t>
  </si>
  <si>
    <t xml:space="preserve">Установка прибора коммерческого учета электрической энергии (мощности) на границе земельного участка, подключенного от опоры №41-43 ВЛ-0,4 № 1 от КТП-41 по ВЛ-10 103 ПС 110 кВ Звонкая, для электроснабжения личного подсобного хозяйства заявителя  Палиева И.В., Ростовская область, Кагальницкий р-н., п. Березовая Роща, ул. Цветочная,  д. 26Б " (1 шт.)  </t>
  </si>
  <si>
    <t xml:space="preserve">Строительство участка ВЛИ-0,4кВ от оп. №75-57 ВЛ-0,4кВ №3 КТП-10/0,4 кВ №75 ВЛ-10 кВ №1501 ПС 35/10 кВ «ЗР-15» и системы учета электрической энергии (мощности) на границе земельного участка для электроснабжения фельдшерско-акушерского пункта заявителя Муниципальное бюджетное учреждение здравоохранения "Центральная районная больница", Ростовская обл., р-н. Зерноградский п. Экспериментальный ул. Гастелло д.2а (ориентировочная протяженность ЛЭП – 0,3 км) </t>
  </si>
  <si>
    <t xml:space="preserve">Установка коммерческого учета электрической энергии (мощности) на границе земельного участка, подключенного от опоры №350-57/4 ВЛ- 0,4 кВ №2 КТП 6/0,4 кВ №350 по ВЛ-6 кВ №207Н ПС 110/6/10 кВ "НС-2", для электроснабжения участка заявителя Лущай Д.О., СНТ "Квант", Ростовская область  </t>
  </si>
  <si>
    <t>Установка коммерческого учета электрической энергии (мощности) на границе земельного участка, подключенного от опоры №57-27 ВЛ-0,4 кВ №1 КТП-10/0,4 кВ №57 по ВЛ-10 кВ № 1019 ПС 110/35/10 кВ «Самарская», для электроснабжения жилого дома заявителя Федоровой Д.А., х. Победа,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</si>
  <si>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№25-44 ВЛ-0,4 кВ №2 КТП-10/0,4 кВ №25 по ВЛ-10 кВ № 1815 ПС 35/10 кВ «А-18», для электроснабжения жилого дома заявителя Святкину И.П., х. Колузаево, Азовский р-он Ростовская область</t>
  </si>
  <si>
    <t xml:space="preserve">Строительство участка ВЛИ-0,4кВ от проектируемой ВЛ-0,4 кВ (по договору № 61-1-20-00499303 от 04.03.2020 г.) КТП-6/0,4 кВ №350 по ВЛ-6 кВ № 207Н ПС 110/6/10 кВ «НС-2» и установка системы учета электрической энергии (мощности) на границе земельных участков для электроснабжения объектов заявителей Гамзюковой О.Д., Бухтояровой В.А., Гуриной Л.В., СТ «Квант», Азовский р-он Ростовская область (ориентировочная протяженность ЛЭП – 0,115 км)     </t>
  </si>
  <si>
    <t xml:space="preserve">Строительство участка ВЛИ-0,4кВ от проектируемой ВЛ-0,4 кВ (по договору ТП № 61-1-20-00519109 от 11.08.2020 г.) КТП 10/0,4 кВ №334 ВЛ-10 202Н ПС 110/6/10 кВ «НС-2» и установка системы учета электрической энергии (мощности) на границе земельных участков для электроснабжения жилых домов заявителей Додвинова С.А., Трусовой Е.А., ЗАО «Обильное» Азовский р-он Ростовская область (ориентировочная протяженность ЛЭП – 0,04 км)   </t>
  </si>
  <si>
    <t xml:space="preserve">'Строительство участка ВЛИ 0,4кВ от опоры №18-1 ВЛ 0,4кВ №1 КТП 10/0,4 кВ №18 ВЛ 10 кВ №3113 ПС 110/35/10 А-31 и системы учета электрической энергии (мощности) на границе земельного участка для электроснабжения жилого дома заявителя Урамовой М.В., с. Пешково, Азовский район Ростовская область (ориентировочная протяженность ЛЭП – 0,04 км)  </t>
  </si>
  <si>
    <t xml:space="preserve">Установка прибора коммерческого учета электрической энергии (мощности) на границе земельного участка, подключенного от опоры №157-60 ВЛ-0,4 кВ №3 КТП 10/0,4кВ №157 ВЛ-10кВ №301Н ПС 110/35/6/10 кВ «НС-3» для технологического присоединения энергопринимающих устройств жилого дома Заявителя Шмидт С.Н., х. Песчаный Азовский район, Ростовская область (1 шт.) </t>
  </si>
  <si>
    <t>'Установка прибора коммерческого учета электрической энергии (мощности) на границе земельного участка, подключенного от опоры №153-16 ВЛ 0,4 кВ №1 КТП 10/0,4кВ №153 ВЛ 10кВ №915 ПС 35/10 кВ «А-9» для технологического присоединения энергопринимающих устройств жилого дома Заявителя Гасымова В.А., с. Платоно-Петровка Азовский район, Ростовская область (1 шт.)</t>
  </si>
  <si>
    <t xml:space="preserve">Установка прибора коммерческого учета электрической энергии (мощности) на границе земельного участка, подключенного от оп. №52-53   ВЛ-0,4 № 1 КТП-52 ВЛ-10  203  ПС 110 кВ Егорлыкская, для электроснабжения жилого дома заявителя Кубаревой Р.К., х.Рассвет, ул.Солнечная, 13б, Егорлыкский р-он Ростовская область» (1шт)  </t>
  </si>
  <si>
    <t xml:space="preserve">Установка прибора коммерческого учета электрической энергии (мощности) на границе земельного участка, подключенного от оп. №205-20   ВЛ-0,4 № 1 КТП-205 ВЛ-10  612  ПС 35 кВ Е-6, для электроснабжения жилого дома заявителя Киракосова Ю.Э., х.Шаумяновский, ул. Южная, 140а, Егорлыкский р-он Ростовская область» (1шт)  </t>
  </si>
  <si>
    <t xml:space="preserve">Установка прибора коммерческого учета электрической энергии (мощности) на границе земельного участка, подключенного от оп. №205-3   ВЛ-0,4 № 1 КТП-205 ВЛ-10 612  ПС 35 кВ Е-6, для электроснабжения жилого дома заявителя Татевосян Л.Н., х.Шаумяновский, ул. Южная, 172а, Егорлыкский р-он, Ростовская область (1шт)  </t>
  </si>
  <si>
    <t xml:space="preserve">Установка приборов коммерческого учета электрической энергии (мощности) для технологического присоединения энергопринимающих устройств Заявителей: Кольвах Ю.С., Любимовой А.И. Кагальницкий р-он Ростовская область ( 2 шт.)  </t>
  </si>
  <si>
    <t xml:space="preserve">Установка прибора коммерческого учета электрической энергии (мощности) на границе земельного участка, подключенного от опоры РУ-0,4 кВ № 1 ЗТП-10/0,4 кВ №20 (на балансе ИП Папаяни А.А.) ВЛ-10 кВ №711 от ПС 110/35/10 кВ «Юбилейная», для электроснабжения базовой станции сотовой связи №66108 «РсО Новобатайск –ТЦ» заявителя ПАО «Вымпел-коммуникации», Ростовская область, Кагальницкий р-н, с. Новобатайск, южная окраина ( 1 шт.)   </t>
  </si>
  <si>
    <t xml:space="preserve">Установка приборов коммерческого учета электрической энергии (мощности) для технологического присоединения энергопринимающих устройств Заявителей: Щербина А.Н., Зерноградский р-он, Алояна Р.М., Хатояна З.М. Кагальницкий р-он, Ростовская область ( 3 шт.) </t>
  </si>
  <si>
    <t xml:space="preserve">Установка приборов коммерческого учета электрической энергии (мощности) для технологического присоединения энергопринимающих устройств Заявителей: Топорковой Н.В., Стукалова М.Н., Зерноградский район Ростовская область (2 шт.) </t>
  </si>
  <si>
    <t xml:space="preserve">Строительство участка ВЛИ-0,4кВ от оп. №57-128 ВЛ-0,4кВ №2 КТП-10/0,4 кВ №128 ВЛ-10 кВ №313 ПС 35/10 кВ «КГ-3» и системы учета электрической энергии (мощности) на границе земельного участка для электроснабжения магазина заявителя Кареник Н.А., Ростовская область, Кагальницкий р-н, ст Кировская, ул. Кирова д.94 (ориентировочная протяженность ЛЭП – 0,05 км)  </t>
  </si>
  <si>
    <t xml:space="preserve">Строительство участка ВЛИ 0,4кВ от опоры № 182-36 ВЛ 0,4 кВ №3 КТП 10/0,4 кВ №182 ВЛ 10кВ №805 ПС 110/10 кВ «БОС» и системы учета электрической энергии (мощности) на границе земельного участка для электроснабжения жилого дома заявителя Борисюк Д.П., п. Мокрый Батай, Кагальницкий район, Ростовская область (ориентировочная протяженность ЛЭП – 0,065 км)   </t>
  </si>
  <si>
    <t>Установка прибора коммерческого учета электрической энергии (мощности) на границе земельного участка, подключенного от опоры №128-59 ВЛ-0,4 № 2 от КТП-128 по ВЛ-10 313 ПС 35 кВ КГ3, для электроснабжения торгового павильона заявителя Слоян С.С., Ростовская область, Кагальницкий р-н, ст. Кировская ул. Кирова д.90 (1 шт.)</t>
  </si>
  <si>
    <t xml:space="preserve">Установка прибора коммерческого учета электрической энергии (мощности) на границе земельного участка, подключенного от опоры №196-36 ВЛ-0,4 № 1 от МТП-196 по ВЛ-10 805 ПС 110 кВ БОС, для электроснабжения склада заявителя  Дмитриевой Т.Н., Ростовская область, Кагальницкий р-н. п. Мокрый Батай, участок находится примерно в 460м по направлению на юго-запад от ориентира СПК "Вишневый" (1 шт.)  </t>
  </si>
  <si>
    <t xml:space="preserve">Установка прибора коммерческого учета электрической энергии (мощности) на границе земельного участка, подключенного от опоры №31-45 ВЛ-0,4 № 3 от КТП-31 по ВЛ-10 1402 ПС 110 кВ ЗР14, для электроснабжения магазина заявителя Бондаренко А.Г., Ростовская область, Зерноградский р-н, с. Светлоречное, ул. Специалистов д.15 кв.1 (1 шт.) </t>
  </si>
  <si>
    <t xml:space="preserve">Установка прибора коммерческого учета электрической энергии (мощности) на границе земельного участка, подключенного от опоры №100-67 ВЛ-0,4 № 2 от КТП-100 по ВЛ-10 1210 ПС 110 кВ Манычская, для электроснабжения склада заявителя главы крестьянского (фермерского) хозяйства Юнкиной И.В., Ростовская область, Зерноградский р-н, п. Сорговый в 1,028км на запад от юго-западной его окраины (1 шт.)  </t>
  </si>
  <si>
    <t>Установка прибора коммерческого учета электрической энергии (мощности) на границе земельного участка, подключенного от опоры №29-1 ВЛ-0,4 № 1 от КТП-29 по ВЛ-10 1402 ПС 110 кВ ЗР14, для электроснабжения ЛПХ заявителя Перетятько В.И., Ростовская область, Зерноградский р-н, с. Светлоречное, ул. Садовая д.20 кв.3 (1 шт.)</t>
  </si>
  <si>
    <t>Строительство ЛЭП-10 кВ от оп. №8 ВЛ-10 кВ №318 ПС 35/10 кВ "КГ-3", ТП-10/0,4 кВ, ЛЭП-0,4 кВ, для электроснабжения частной клиники заявителя ИП Зайцева П.П., ст. Кировская Кагальницкий район, Ростовская область (ориентировочная протяженностьЛЭП-0,36 км, ориентировочная трансформаторная мощность-0,250 МВА)</t>
  </si>
  <si>
    <t>Строительство участка ВЛИ-0,4кВ от проектируемой ВЛ-0,4 кВ (по договору №61-1-20-00519721 от 07.08.2020г.) КТП 10/0,4 кВ №48 по ВЛ-10кВ №1815 ПС 35/10 кВ «А-18» и установка системы учета электрической энергии (мощности) на границе земельных участков для электроснабжения жилых домов заявителей Зарецкого А.В., Давыдовой А.В., Рыболовецкий колхоз им. Ленина, Азовский р-он Ростовская область (ориентировочная протяженность ЛЭП – 0,055 км)».</t>
  </si>
  <si>
    <t xml:space="preserve">Установка прибора коммерческого учета электрической энергии (мощности) на границе земельного участка, подключенного от опоры №21-1 ВЛ-0,4 кВ №1 КТП 10/0,4кВ №21 ВЛ-10кВ №1411 РП-14 ПС 110/35/10 кВ «А-32» для технологического присоединения энергопринимающих устройств ангара Заявителя ООО "Бизон Юг", х. Полтава 1-я Азовский район, Ростовская область (1 шт.)  </t>
  </si>
  <si>
    <t xml:space="preserve">Установка прибора коммерческого учета электрической энергии (мощности) на границе земельного участка, подключенного от опоры б/н ВЛ-0,4 кВ КТП 10/0,4кВ №230 (балансовая принадлежность ВЛ-0,4кВ, ТП 10/0,4 кВ №230 Амаева М.А.) ВЛ-10кВ №105Н ПС 110/6/10 кВ «НС-1» для технологического присоединения энергопринимающих устройств жилого дома Заявителя Амаева М.А., х. Усть-Койсуг Азовский район, Ростовская область (1 шт.) </t>
  </si>
  <si>
    <t xml:space="preserve">Установка прибора коммерческого учета электрической энергии (мощности) на границе земельного участка, подключенного от опоры №115-82 ВЛ-0,4 кВ №4 КТП 10/0,4кВ №115 ВЛ-10кВ №3125 ПС 110/35/10 кВ «А-31» для технологического присоединения энергопринимающих устройств жилого дома Заявителя Дворниченко С.О., с. Пешково Азовский район, Ростовская область (1 шт.) </t>
  </si>
  <si>
    <t xml:space="preserve">Установка прибора коммерческого учета электрической энергии (мощности) на границе земельного участка, подключенного от опоры №240-138 ВЛ-0,4 кВ №3 КТП 10/0,4кВ №240 ВЛ-10кВ №106Н ПС 110/6/10 кВ «НС-1» для технологического присоединения энергопринимающих устройств жилого дома Заявителя Карпаевой Н.И., п. Овощной Азовский район, Ростовская область (1 шт.)  </t>
  </si>
  <si>
    <t xml:space="preserve">Установка прибора коммерческого учета электрической энергии (мощности) на границе земельного участка, подключенного от опоры №184-32 ВЛ 0,4 кВ №3 КТП 10/0,4кВ №184 ВЛ 10кВ №3113 ПС 110/35/10 кВ А-31 для технологического присоединения энергопринимающих устройств жилого дома Заявителя Кузьменко В.Ю., с. Пешково Азовский район, Ростовская область (1 шт.)  </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</si>
  <si>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Кузьменко В.Н. Кагальницкий район, Собянин С.Н. Аксайский район Ростовская область (2 шт.)</t>
  </si>
  <si>
    <t>Установка приборов коммерческого учета электрической энергии (мощности) на границе земельного участка, подключенного от опоры №16-6 ВЛ-0,4кВ №1 КТП-10/0,4 кВ №16 ВЛ-10кВ №605 ПС 35/10 кВ «КГ-6» для технологического присоединения энергопринимающих устройств ЛПХ Заявителя Титовского А.В., Ростовская область, Зерноградский, с. Новобатайск, ул. Советская, д. 53а (1 шт.)</t>
  </si>
  <si>
    <t>Установка прибора коммерческого учета электрической энергии (мощности) на границе земельного участка, подключенного от опоры №19-10 ВЛ-0,4 кВ № 1 КТП-10/0,4 кВ №19 ВЛ-10 кВ №612 от ПС 35/10 кВ «КГ-6», для электроснабжения жилого дома заявителя Шульги Т.Е., Ростовская область, Кагальницкий р-н, с. Новобатайск, ул. Илларионова д.5А ( 1 шт.)</t>
  </si>
  <si>
    <t>Установка прибора коммерческого учета электрической энергии (мощности) на границе земельного участка, подключенного от опоры №18-15 ВЛ-0,4 №1 от КТП-18 по ВЛ-10 605 ПС 35 кВ КГ6, для электроснабжения объекта торговли заявителя Кравцовой А.А., Ростовская область, Кагальницкий р-н, с. Новобатайск, ул. Ленина д.44 (1 шт.)</t>
  </si>
  <si>
    <t>Установка прибора коммерческого учета электрической энергии (мощности) на границе земельного участка, подключенного от опоры №2-15 ВЛ-0,4 №1 от КТП-2 по ВЛ-10 605 ПС 35 кВ КГ6, для электроснабжения ЛПХ заявителя Коноваловой С.Н., Ростовская область, Кагальницкий р-н, с. Новобатайск, ул. Азовская д.1А (1 шт.)</t>
  </si>
  <si>
    <t>Установка прибора коммерческого учета электрической энергии (мощности) на границе земельного участка, подключенного от опоры №19-58 ВЛ-0,4 № 1 от КТП-19 по ВЛ-10 211 ПС 35 кВ КГ2, для электроснабжения жилого дома заявителя Левченко С.С., Ростовская область, Кагальницкий р-н, х. Кагальничек (Кагальницкое с/п), ул. Трудовая д.27А (1 шт.)</t>
  </si>
  <si>
    <t>'Строительство участка ВЛИ 0,4кВ от опоры №136-61 ВЛ 0,4 кВ №3 КТП 10/0,4 кВ №136 ВЛ 10кВ №3113 ПС 110/35/10 кВ А-31 и системы учета электрической энергии (мощности) на границе земельного участка для электроснабжения жилого дома заявителя Герасименко Д.А., с. Пешково, Азовский район, Ростовская область (ориентировочная протяженность ЛЭП – 0,100 км)</t>
  </si>
  <si>
    <t>'Установка прибора коммерческого учета электрической энергии (мощности) на границе земельного участка, подключенного от опоры №67-36 ВЛ 0,4 кВ №2 КТП 10/0,4кВ №67 ВЛ 10кВ №606 ПС 35/10 кВ А-6 для технологического присоединения энергопринимающих устройств жилого дома Заявителя Толмачева В.В., с. Порт-Катон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</si>
  <si>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№167-24 ВЛ-0,4 кВ №1 КТП-10/0,4 кВ №167 по ВЛ-10 кВ № 106Н ПС 110/6/10 кВ «НС-1» для технологического присоединения энергопринимающих устройств нежилого строения Заявителя ИП Мушегян К.Х.,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</si>
  <si>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№184-32 ВЛ-0,4 кВ №3 КТП 10/0,4кВ №184 ВЛ-10кВ №3113 ПС 110/35/10 кВ «А-31» для технологического присоединения энергопринимающих устройств жилого дома Заявителя Кузьменко В.Ю.,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</si>
  <si>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№3-106 ВЛ-0,4 кВ №3 КТП 10/0,4кВ №3 ВЛ-10кВ №2903 РП-29 ПС 35/10 кВ «А-18» для технологического присоединения энергопринимающих устройств жилого дома Заявителя Чадов А.А.,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</si>
  <si>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на оп. №132-102   ВЛ-0,4 № 3 КТП-132 ВЛ-10 506 ПС 35 кВ Е-5, для электроснабжения заготовительного пункта заявителя ИП Слюсаренко В.В., х.Объединенный, ул. Зеленая, 29а, Егорлыкский р-он Ростовская область» (1шт)</t>
  </si>
  <si>
    <t>Установка прибора коммерческого учета электрической энергии (мощности) на границе земельного участка, подключенного на оп. №418-11   ВЛ-0,4 № 1 КТП-418 ВЛ-10 612 ПС 35 кВ Е-6, для электроснабжения жилой кухни заявителя Авакян А.А., х.Шаумяновский, ул. Тоноян, 47, Егорлыкский р-он Ростовская область (1шт)</t>
  </si>
  <si>
    <t>Установка прибора коммерческого учета электрической энергии (мощности) на границе земельного участка, подключенного от оп. №350-1 ВЛ-0,4 № 1 КТП-350 ВЛ-10 707 ПС 35 кВ Е-7, для электроснабжения жилого дома заявителя Гаджирагимовой С.Х., х.Прощальный, ул. Железнодорожная, 50, Егорлыкский р-он Ростовская область»(1шт)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</si>
  <si>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Лаврик В.Г., Давиденко З.А., Газарова В.В., Кагальницкий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</si>
  <si>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Нестерова В.И., Тереховой А.Ю., Кагальницкий район, Столяровой Л.В. Зерноградский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</si>
  <si>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№109-91 ВЛ 0,4 №3 КТП-109 ВЛ-10 805 ПС 110 кВ БОС для технологического присоединения энергопринимающих устройств ЛПХ Заявителя Стрелкова Д.Ю., Ростовская область, Кагальницкий р-н, п. Мокрый Батай, ул. Солнечная д.33 (1 шт.)</t>
  </si>
  <si>
    <t>Установка прибора коммерческого учета электрической энергии (мощности) на границе земельного участка, подключенного от опоры №1-10 ВЛ-0,4 №1 от КТП-1 по ВЛ-10 612 ПС 35 кВ КГ6, для электроснабжения объекта ЛПХ заявителя Щербаковой Е.П., Ростовская обл., р-н. Кагальницкий, с. Новобатайск, пер. Западный,  д. 12 (1 шт.)</t>
  </si>
  <si>
    <t>Установка прибора коммерческого учета электрической энергии (мощности) на границе земельного участка, подключенного от опоры №18-8 ВЛ 0,4 №1 КТП-18 ВЛ-10 605 ПС 35 кВ КГ6 для технологического присоединения энергопринимающих устройств ЛПХ Заявителя Быкова А.Н., Ростовская область, Кагальницкий р-н, с. Новобатайск, ул. Ленина д.60 (1 шт.)</t>
  </si>
  <si>
    <t>Установка прибора коммерческого учета электрической энергии (мощности) на границе земельного участка, подключенного от опоры №83-114 ВЛ-0,4 №1 от КТП-83 по ВЛ-10 801 ПС 35 кВ ЗР8, для электроснабжения склада заявителя ООО «КХ Исаева», Ростовская область, Зерноградский р-н, в 0,063 км на восток х. Клюев (1 шт.)</t>
  </si>
  <si>
    <t>Установка прибора коммерческого учета электрической энергии (мощности) на границе земельного участка, подключенного от опоры №89-50 ВЛ 0,4 №2 КТП-89 ВЛ-10 1207 ПС 110 кВ Манычская для технологического присоединения энергопринимающих устройств ЛПХ Заявителя Багмат В.А., Ростовская область, Зерноградский р-н, п. Сорговый, ул. Заполосная д.7А (1 шт.)</t>
  </si>
  <si>
    <t>Установка прибора коммерческого учета электрической энергии (мощности) на границе земельного участка, подключенного от опоры №109-43 ВЛ-0,4 № 2 от КТП-109 по ВЛ-10 805 ПС 110 БОС, для электроснабжения жилого дома заявителя Подкользиной В.Е., Ростовская область, Кагальницкий р-н, п. Мокрый Батай, ул. Строителей д.12 (1 шт.)</t>
  </si>
  <si>
    <t>Установка прибора коммерческого учета электрической энергии (мощности) на границе земельного участка, подключенного от опоры №182-24 ВЛ-0,4 № 2 от КТП-182 по ВЛ-10 805 ПС 110 кВ БОС, для электроснабжения жилого дома заявителя Кобезева К.Ю., Ростовская область, Кагальницкий р-н, п. Мокрый Батай, ул. Первостроителей д.1 (1 шт.)</t>
  </si>
  <si>
    <t>Установка прибора коммерческого учета электрической энергии (мощности) на границе земельного участка, подключенного от опоры №18-6 ВЛ 0,4 №1 КТП-18 ВЛ-10 605 ПС 35 кВ КГ6 для технологического присоединения энергопринимающих устройств магазина Заявителя ИП Щерба И.А., Ростовская область, Кагальницкий р-н, с. Новобатайск, ул. Ленина д.64А (1 шт.)</t>
  </si>
  <si>
    <t>Установка прибора коммерческого учета электрической энергии (мощности) на границе земельного участка, подключенного от опоры №204-19 ВЛ 0,4 №1 КТП-204 ВЛ-10 605 ПС 35 кВ КГ6 для технологического присоединения энергопринимающих устройств ЛПХ Заявителя Руденко Т.И., Ростовская область, Кагальницкий р-н, с. Новобатайск, ул. Пушкинская д.55А (1 шт.)</t>
  </si>
  <si>
    <t>Установка прибора коммерческого учета электрической энергии (мощности) на границе земельного участка, подключенного от опоры №25-1 ВЛ 0,4 №1 МТП-25 ВЛ-10 806 ПС 35 кВ ЗР8 для технологического присоединения энергопринимающих устройств ЛПХ Заявителя Краснощекова Ю.В., Ростовская область, Зерноградский р-н, х. Донской, ул. Первостроителей д.1 (1 шт.)</t>
  </si>
  <si>
    <t>Установка прибора коммерческого учета электрической энергии (мощности) на границе земельного участка, подключенного от опоры №4-119 ВЛ 0,4 №4 КТП-4 ВЛ-10 305 ПС 35 кВ КГ3 для технологического присоединения энергопринимающих устройств жилого дома Заявителя Зайцева П.П., Ростовская область, Кагальницкий р-н, ст. Кировская, ул. Садовая д.28 (1 шт.)</t>
  </si>
  <si>
    <t>Установка прибора коммерческого учета электрической энергии (мощности) на границе земельного участка, подключенного от опоры №4-47 ВЛ 0,4 №2 КТП-4 ВЛ-10 305 ПС 35 кВ КГ3 для технологического присоединения энергопринимающих устройств жилого дома Заявителя Фомина А.С., Ростовская область, Кагальницкий р-н, ст. Кировская, ул. Садовая д.16 (1 шт.)</t>
  </si>
  <si>
    <t>Установка коммерческого учета электрической энергии (мощности) на границе земельного участка, подключенного от опоры №42-30 ВЛ- 0,4 кВ №1 КТП-10/0,4 кВ №42 по ВЛ-10 кВ №2608 ПС 110/6/10 кВ "А-26", для электроснабжения жилого дома заявителя Картавцевой Н.А., с.Кулешовка, Ростовская область</t>
  </si>
  <si>
    <t>Установка коммерческого учета электрической энергии (мощности) на границе земельного участка, подключенного от опоры №115-132 ВЛ-0,4 кВ №4 КТП-10/0,4 кВ №115 по ВЛ-10 кВ №3125 ПС 110/35/10 кВ "А-31", для электроснабжения жилого дома заявителя Борисова А.А., с. Пешково,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</si>
  <si>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№27-53 ВЛ-0,4 кВ №1 КТП-10/0,4 кВ №27 по ВЛ-10 кВ №1815 ПС 35/10 кВ «А-18», для электроснабжения жилого дома заявителя Хлудневой Е.А., х. Городище,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</si>
  <si>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№311-1/3 ВЛ-0,4 кВ №3 КТП-10/0,4 кВ №311 ВЛ-10 кВ №106Н ПС 110/6/10 кВ "НС-1", для электроснабжения жилого дома заявителя Шаповалова В.В.,СХА "Кулешовское" поле III о, Азовский р-он Ростовская область</t>
  </si>
  <si>
    <t>Установка прибора коммерческого учета электрической энергии (мощности) на границе земельного участка, подключенного от опоры №103-14 ВЛ 0,4 кВ №3 КТП 10/0,4 кВ №103 ВЛ 10кВ 2608 ПС 110/10 кВ А-26 для технологического присоединения энергопринимающих устройств жилого дома Заявителя Арутюнян М.Г., с. Кулешовка Азовский район, Ростовская область (1 шт.)</t>
  </si>
  <si>
    <t>Установка коммерческого учета электрической энергии (мощности) на границе земельного участка, подключенного от опоры оп. №185-62/18 ВЛ-0,4 кВ №2 (на балансе ДНТ «Эдем») КТП 10/0,4 кВ №185 ВЛ-10кВ №106Н ПС 110/6/10 кВ «НС-1», для электроснабжения жилого дома заявителя Игнатовой А.А., ДНТ «Эдем», Азовский р-он Ростовская область</t>
  </si>
  <si>
    <t>Строительство системы учета электрической энергии (мощности) на границе земельного участка, подключенного от оп. №201-59 ВЛ-0,4 кВ №2 КТП-10/0,4 кВ №201 по ВЛ-10 кВ № 1019 ПС 110/35/10 кВ «Самарская», для электроснабжения автомойки заявителя ИП Ивановой Е.Ю., х. Победа, Азовский р-он Ростовская область</t>
  </si>
  <si>
    <t>Установка коммерческого учета электрической энергии (мощности) на границе земельного участка, подключенного от оп. №8-32 ВЛ-0,4 кВ №1 КТП-10/0,4 кВ №8 по ВЛ-10 кВ № 1014 ПС 110/35/10 кВ «Самарская», для электроснабжения магазина заявителя ООО «Нуар», с. Самарское, Азовский р-он Ростовская область (1шт)</t>
  </si>
  <si>
    <t>Установка прибора коммерческого учета электрической энергии (мощности) на границе земельного участка, подключенного от опоры №221-56 ВЛ-0,4 кВ №2 КТП 10/0,4кВ №221 ВЛ-10кВ №901 ПС 35/10 кВ «А-9» для технологического присоединения энергопринимающих устройств жилого дома Заявителя Литовченко С.Н., с. Высочино,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</si>
  <si>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Малейко В.А., Золотаревой А.А., Мелкозеров Д.А. Азовский район Ростовская область (3 шт.)</t>
  </si>
  <si>
    <t>Установка приборов коммерческого учета электрической энергии (мощности) на границе земельного участка, подключенного от опоры №9-1 ВЛ-0,4 кВ №1 КТП 10/0,4кВ №9 ВЛ-10кВ №801 ПС 35/10 кВ «А-8» для технологического присоединения энергопринимающих устройств домика для отдыха Заявителя Бойко С.Е., восточная сторона мыса Павло-Очаковской косы, Азовский район Ростовская область (1 шт.)</t>
  </si>
  <si>
    <t>Установка коммерческого учета электрической энергии (мощности) на границе земельного участка, подключенного от РУ 0,4 кВ ТП 10/0,4 кВ №66 по ВЛ 10 кВ №3127 ПС 110/35/10 кВ А-31, для электроснабжения магазина заявителя ИП Инатаевой Л.Н., с. Займо-Обрыв, Азовский район Ростовская область (1шт)</t>
  </si>
  <si>
    <t>Установка прибора коммерческого учета электрической энергии (мощности) на границе земельного участка, подключенного от опоры №18-34 ВЛ 0,4 кВ №2 КТП 10/0,4кВ №18 ВЛ 10кВ №3113 ПС 110/35/10 кВ А-31 для технологического присоединения энергопринимающих устройств жилого дома Нарыжного А.С.,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</si>
  <si>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№51-82 ВЛ 0,4 кВ №2 КТП 10/0,4кВ №51 ВЛ 10кВ №211 ПС 35/10 кВ А-2 для технологического присоединения энергопринимающих устройств жилого дома Улитиной М.С., х. Новоалександровка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</si>
  <si>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Пицкова И.И., Петреченко Н.Г., Азовский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</si>
  <si>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№17-33/1 ВЛ-0,4 кВ №1 КТП 10/0,4кВ №17 ВЛ-10кВ №107Н ПС 110/6/10 кВ НС-1 для технологического присоединения энергопринимающих устройств жилого дома Заявителя Дуюнова М.А.,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</si>
  <si>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№240-163 ВЛ-0,4кВ №3 КТП 10/0,4 кВ №240 ВЛ-10кВ №106Н ПС 110/6/10 кВ НС-1 для технологического присоединения энергопринимающих устройств жилого дома Заявителя Гребеневой О.А.,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</si>
  <si>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№358-15 ВЛ 0,4 кВ №2 КТП 10/0,4кВ №358 ВЛ 10кВ №202Н ПС 110/6/10 кВ НС-2 для технологического присоединения энергопринимающих устройств жилого дома Заявителя Дементьевой А.В., ЗАО «Обильное» поля 86-88, 1 км. от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</si>
  <si>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№358-3 ВЛ 0,4 кВ №1 КТП 10/0,4кВ №358 ВЛ 10кВ №202Н ПС 110/6/10 кВ НС-2 для технологического присоединения энергопринимающих устройств жилого дома Заявителя Хамицевич А.А., ЗАО Обильное, поля 86-88, 1 км от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</si>
  <si>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№88-4/3 ВЛ 0,4 кВ №1 КТП 10/0,4кВ №88 ВЛ 10кВ №3127 ПС 110/35/10 кВ А-31 для технологического присоединения энергопринимающих устройств жилого дома Заявителя Сиденко С.А.,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</si>
  <si>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№101-14 ВЛ 0,4 кВ №1 КТП 10/0,4кВ №101 ВЛ 10кВ №1904 РП-19 ПС 110/35/10 кВ Самарская для технологического присоединения энергопринимающих устройств жилого дома Заявителя Орлова Д.П., с. 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</si>
  <si>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№111-56 ВЛ 0,4 кВ №3 КТП 10/0,4кВ №111 ВЛ 10кВ №3113 ПС 110/35/10 кВ А-31 для технологического присоединения энергопринимающих устройств жилого дома Заявителя Кужель Ю.М.,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</si>
  <si>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№144-47 ВЛ 0,4 кВ №2 КТП 10/0,4кВ №144 ВЛ 10кВ №1107 ПС 35/10 кВ А-11 для технологического присоединения энергопринимающих устройств жилого дома Заявителя Сухомлиновой Е.А.,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</si>
  <si>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№166-57 ВЛ 0,4 кВ №1 КТП 10/0,4кВ №166 ВЛ 10кВ №1606 ПС 35/10 кВ А-16 для технологического присоединения энергопринимающих устройств жилого дома Заявителя Арутюнян Л.Н., п. Новомирский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</si>
  <si>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№17-30 ВЛ 0,4 кВ №1 КТП 10/0,4кВ №17 ВЛ 10кВ №107Н ПС 110/6/10 кВ НС-1 для технологического присоединения энергопринимающих устройств жилого дома Заявителя Кошель Н.С.,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</si>
  <si>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№240-137 ВЛ 0,4 кВ №3 КТП 10/0,4кВ №240 ВЛ 10кВ №106Н ПС 110/6/10 кВ НС-1 для технологического присоединения энергопринимающих устройств жилого дома Заявителя Задорожней Л.П.,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</si>
  <si>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№24-5 ВЛ-0,4 кВ №1 ЗТП 10/0,4кВ №24 КЛ-10кВ №1205 ПС 110/10 кВ А-12 для технологического присоединения энергопринимающих устройств базовой станции сотовой связи Заявителя ПАО «МТС»,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</si>
  <si>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№24-54 ВЛ 0,4 кВ №1 КТП 10/0,4кВ №24 ВЛ 10кВ №1815 ПС 35/10 кВ А-18 для технологического присоединения энергопринимающих устройств гаража Заявителя Фоменко Е.А., х. Колузаево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</si>
  <si>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№27-100 ВЛ-0,4 кВ №3 КТП-10/0,4 кВ №27 по ВЛ-10 кВ №1701 ПС 35/10 кВ «А-17» для технологического присоединения энергопринимающих устройств жилого дома Заявителя Талпа С.Б.,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</si>
  <si>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№346-1 ВЛ 0,4 кВ №1 КТП 10/0,4кВ №346 ВЛ 10кВ №105Н ПС 110/6/10 кВ НС-1 для технологического присоединения энергопринимающих устройств жилого дома Заявителя Аведова С.С., х. Шмат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</si>
  <si>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проектируемой ТП 10/0,4 кВ (по договору ТП №61-1-20-00538899 от 16.11.2020г.) ВЛ-10кВ №3127 ПС 110/35/10 кВ «А-31» для технологического присоединения энергопринимающих устройств жилого дома Заявителя Донченко С.А., с. Займо-Обрыв, Азовский р-он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</si>
  <si>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 №201-20 ВЛ-0,4 кВ №2 КТП-10/0,4 кВ №201 по ВЛ-10 кВ №1019 ПС 110/35/10 кВ «Самарская» для технологического присоединения энергопринимающих устройств жилого дома Заявителя Хакиева Н.Р., Азовский район Ростовская область (1шт.)</t>
  </si>
  <si>
    <t>Установка прибора коммерческого учета электрической энергии (мощности) на границе земельного участка, подключенного на оп. №211-53   ВЛ-0,4 № 2 КТП-211 ВЛ-10 612 ПС 35 кВ Е-6, для электроснабжения жилого дома заявителя Григорян А.А., х.Шаумяновский, ул. Молодежная, 10, Егорлыкский р-он Ростовская область» (1шт)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</si>
  <si>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Исламова Е.В., Гайдарова Д.В., Козорезовой И.А., Кагальницкий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</si>
  <si>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Куцеваловой А.А., Паруна А.М., Борисова Н.Ю., Зерноградский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</si>
  <si>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Лютовой Е.Н., Пустоветова А.И, Зерноградский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</si>
  <si>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№54-99 ВЛ-0,4 №3 от КТП-54 по ВЛ-10 318 ПС 35 кВ КГ3, для электроснабжения артезианской скважины заявителя МУП ЖКХ Кагальницкого сельского поселения, Ростовская область, Кагальницкий р-н, ст. Кировская, ул. Буденновская д. 44А (1 шт.)</t>
  </si>
  <si>
    <t>Установка прибора коммерческого учета электрической энергии (мощности) на границе земельного участка, подключенного от опоры №16-59 ВЛ-0,4 №2 от КТП-16 по ВЛ-10 605 ПС 35 кВ КГ6, для электроснабжения личного подсобного хозяйства заявителя Новосельцевой А.А., Ростовская область, Кагальницкий р-н, с. Новобатайск, пер. Ткачевский д.15 (1 шт.)</t>
  </si>
  <si>
    <t>Установка прибора коммерческого учета электрической энергии (мощности) на границе земельного участка, подключенного от опоры №117-39 ВЛ-0,4 №1 от КТП-117 по ВЛ-10 805 ПС 110 кВ БОС, для электроснабжения жилого дома заявителя Оттева А.С., Ростовская область, Кагальницкий р-н, п. Мокрый Батай, ул. Солнечная д.13А (1 шт.)</t>
  </si>
  <si>
    <t>Установка прибора коммерческого учета электрической энергии (мощности) на границе земельного участка, подключенного от опоры №109-92 ВЛ-0,4 №3 от КТП-109 по ВЛ-10 805 ПС 110 кВ БОС, для электроснабжения ЛПХ заявителя Чернышева А.В., Ростовская область, Кагальницкий р-н, п. Мокрый Батай, ул. Солнечная д.37    (1 шт.)</t>
  </si>
  <si>
    <t>Установка прибора коммерческого учета электрической энергии (мощности) на границе земельного участка, подключенного от опоры №13-40 ВЛ-0,4 №3 от КТП-13 по ВЛ-10 612 ПС 35 кВ КГ6, для электроснабжения ЛПХ заявителя Юрьевой Г.А., Ростовская область, Кагальницкий р-н, с. Новобатайск, ул. Фабричная д.11А (1 шт.)</t>
  </si>
  <si>
    <t>Установка прибора коммерческого учета электрической энергии (мощности) на границе земельного участка, подключенного от опоры №101-23 ВЛ-0,4 №2 от КТП-101 по ВЛ-10 1319 ПС 35 кВ ЗР13, для электроснабжения артскважины заявителя Богатского Ю.А., Ростовская область, Зерноградский р-н, х. Заполосный, левый склон б.Хомутец (1 шт.)</t>
  </si>
  <si>
    <t>Установка прибора коммерческого учета электрической энергии (мощности) на границе земельного участка, подключенного от опоры №109-23 ВЛ-0,4 №1 от КТП-109 по ВЛ-10 805 ПС 110 кВ БОС, для электроснабжения ЛПХ заявителя Кочерга Н.В., Ростовская область, Кагальницкий р-н, п. Мокрый Батай ул. Садовая д.29 кв. 2 (1 шт.)</t>
  </si>
  <si>
    <t>Установка прибора коммерческого учета электрической энергии (мощности) на границе земельного участка, подключенного от опоры №77-30 ВЛ 0,4 №1 КТП-77 ВЛ-10 313 ПС 35 кВ КГ3 для технологического присоединения энергопринимающих устройств жилого дома Заявителя Кучмаревой Л.А., Ростовская область, Кагальницкий р-н, ст. Кировская, ул. Менделеева д.48 (1 шт.)</t>
  </si>
  <si>
    <t>Установка прибора коммерческого учета электрической энергии (мощности) на границе земельного участка, подключенного от опоры №9-9 ВЛ-0,4 №1 от КТП-9 по ВЛ-10 612 ПС 35 кВ КГ6, для электроснабжения жилого дома заявителя Жаткин В.Е., Ростовская область, Кагальницкий р-н, с. Новобатайск ул. Садовая д. 7 (1 шт.)</t>
  </si>
  <si>
    <t>Установка коммерческого учета электрической энергии (мощности) на границе земельного участка, подключенного от опоры №102-2 ВЛ 0,4 кВ №1 КТП 10/0,4кВ №102 ВЛ 10кВ №2907 РП-29 ПС 35/10 кВ А-18, для электроснабжения жилого дома заявителя Чекодановой Н.В., х. Обуховка, Азовский район Ростовская область</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</si>
  <si>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Бурого А.Н., Басаранович И.И., Трухманова А.А.,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</si>
  <si>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№30-8 ВЛ-0,4 кВ №1 КТП 10/0,4кВ №30 ВЛ-10кВ №2907 РП-29 ПС 35/10 кВ «А-18» для технологического присоединения энергопринимающих устройств жилого дома Заявителя Картичева С.В., ст-ца. Елизаветинская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</si>
  <si>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№9-1 ВЛ-0,4 кВ №1 КТП 10/0,4кВ №9 ВЛ-10кВ №801 ПС 35/10 кВ «А-8» для технологического присоединения энергопринимающих устройств домика отдыха Заявителя Каплиной А.В., восточная сторона мыса Павло-Очаковской косы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</si>
  <si>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№334-8 ВЛ 0,4 кВ №1 КТП 10/0,4кВ №334 ВЛ 10кВ №202Н ПС 110/6/10 кВ НС-2 для технологического присоединения энергопринимающих устройств жилого дома Заявителя Короп О.М.,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</si>
  <si>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№55-57 ВЛ-0,4 кВ №3 КТП 10/0,4кВ №55 ВЛ-10кВ №1019 ПС 110/35/10 кВ «Самарская» для технологического присоединения энергопринимающих устройств жилого дома Заявителя Мельниковой Н.В.,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</si>
  <si>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№82-13 ВЛ-0,4 кВ №1 КТП 10/0,4кВ №82 ВЛ-10кВ №1802 ПС 35/10 кВ «А-18» для технологического присоединения энергопринимающих устройств жилого дома Заявителя Остапенко А.А.,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</si>
  <si>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№103-6 ВЛ 0,4 кВ №1 КТП 10/0,4кВ №103 ВЛ 10кВ №1913 ПС 110/35/10 кВ Самарская для технологического присоединения энергопринимающих устройств жилого дома Заявителя Голубовой Л.А., х. Ельбузд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</si>
  <si>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№148-10 ВЛ 0,4 кВ №1 КТП 10/0,4кВ №148 ВЛ 10кВ №1019 ПС 110/35/10 кВ Самарская для технологического присоединения энергопринимающих устройств жилого дома Заявителя Лаптева В.В.,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</si>
  <si>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№157-9 ВЛ 0,4 кВ №1 КТП 10/0,4кВ №157 ВЛ 10кВ №301Н ПС 110/6/10 кВ НС-3 для технологического присоединения энергопринимающих устройств жилого дома Заявителя Белоусовой С.Т., х. Песчаный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</si>
  <si>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№184-2 ВЛ 0,4 кВ №1 КТП 10/0,4кВ №184 ВЛ 10кВ №3113 ПС 110/35/10кВ А-3 1для технологического присоединения энергопринимающих устройств жилого дома Заявителя Лазаревой А.М.,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</si>
  <si>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№185-23 ВЛ 0,4 кВ №2 КТП 10/0,4кВ №185 ВЛ 10кВ №3125 ПС 110/35/10 кВ А-31 для технологического присоединения энергопринимающих устройств жилого дома Заявителя Мырковой О.В.,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</si>
  <si>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№316-17 ВЛ 0,4 кВ №1 КТП 10/0,4кВ №3169 ВЛ 10кВ №211 ПС 35/10 кВ А-2 для технологического присоединения энергопринимающих устройств жилого дома Заявителя Громыко Н.В.,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</si>
  <si>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№329-28 ВЛ 0,4 кВ №2 КТП 10/0,4кВ №329 ВЛ 10кВ №106Н ПС 110/6/10 кВ НС-1 для технологического присоединения энергопринимающих устройств жилого дома Заявителя Громыко Н.В., Кулешовское сельское поселение, ДНТ "Виктория"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</si>
  <si>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№350-30/2 ВЛ 0,4 кВ №4 КТП 10/0,4кВ №350 ВЛ 10кВ №207Н ПС 110/6/10 кВ НС-2 для технологического присоединения энергопринимающих устройств дачного дома Заявителя Герасимова И.М., СТ «Квант» Азовский район, Ростовская область (1 шт.)</t>
  </si>
  <si>
    <t>Строительство участка ВЛИ-0,4 кВ от проектируемой ВЛ-0,4 кВ (по договору ТП №61-1-18-00409567 от 12.12.2018г.) КТП 10/0,4 кВ №48 по ВЛ-10кВ №1815 ПС 35/10 кВ "А-18" для электроснабжения жилого дома заявителя Заряева П.В., Рыболовецкий колхоз им. Ленина, Азовский район, Ростовская область (ориентировочная протяженность ЛЭП - 0,120 км)</t>
  </si>
  <si>
    <t xml:space="preserve">Установка коммерческого учета электрической энергии (мощности) на границе земельного участка, подключенного от опоры №134-37 ВЛ-0,4 кВ №2 КТП-10/0,4 кВ №134 по ВЛ-10 кВ №101 ПС 220/110/35/10 кВ "Зерновая", для электроснабжения жилого дома заявителя Маркова А.В., Ростовская область, г. Зерноград пер. Ярославский, дом 33  </t>
  </si>
  <si>
    <t xml:space="preserve">Строительство участка ВЛИ-0,4кВ от оп. №253-124 по ВЛ 0,4 кВ №4 КТП 6/0,4 кВ №253 ВЛ-6 кВ №10701 ПС 110/35/6 кВ «А-1» и системы учета электрической энергии (мощности) на границе земельного участка для электроснабжения жилых домов заявителя Авакяна Р.Р., г. Азов Ростовская область (ориентировочная протяженность ЛЭП – 0,04 км)  </t>
  </si>
  <si>
    <t xml:space="preserve">Установка коммерческого учета электрической энергии (мощности) на границе земельного участка, подключенного от опоры оп. №б/н ВЛ-0,4кВ (балансовая принадлежность Квартального комитета №39) КТП-6/0,4 кВ №101 по ВЛ-6кВ №10701 ПС 110/35/6 кВ «А-1», для электроснабжения жилого дома заявителя Бувайловой Н.А., г. Азов, Ростовская область  </t>
  </si>
  <si>
    <t xml:space="preserve">'Установка прибора коммерческого учета электрической энергии (мощности) на границе земельного участка, подключенного от опоры №44-39 ВЛ-0,4 кВ № 1 МТП-10/0,4 кВ №44 ВЛ-10 кВ №1002 от ПС 110/10 кВ «ЗР-10», для электроснабжения жилого дома заявителя Галян С.О., Ростовская область, Зерноградский р-н, г. Зерноград, ул. 50-летия Победы д.50 ( 1 шт.) </t>
  </si>
  <si>
    <t xml:space="preserve">Строительство участка ВЛИ 0,4кВ от проектируемой ВЛ 0,4 кВ (по договору ТП № 61-1-20-00515125 от 15.06.2020 г.) КТП 6/0,4 кВ №257 ВЛ 6 кВ №10701 ПС 110/35/6 кВ «А-1» и системы учета электрической энергии (мощности) на границе земельного участка для электроснабжения жилого дома заявителя Таутиевой А.Н., г.Азов Ростовская область (ориентировочная протяженность ЛЭП – 0,085 км) </t>
  </si>
  <si>
    <t>'Строительство участка ВЛИ 0,4кВ от опоры №257-94 ВЛ 0,4 кВ №2 КТП 6/0,4 кВ №257 ВЛ 6 кВ №10701 ПС 110/35/6 кВ А-1 и системы учета электрической энергии (мощности) на границе земельных участков для электроснабжения жилых домов заявителей Головневой О.В., Холкина А.Я., г. Азов, Ростовская область (ориентировочная протяженность ЛЭП – 0,135 км)</t>
  </si>
  <si>
    <t>Установка прибора коммерческого учета электрической энергии (мощности) на границе земельного участка, подключенного от опоры №46-8 ВЛ-0,4кВ №1 КТП 10/0,4 кВ №46 ВЛ-10кВ №1106 ПС 35/10 кВ А-11 для технологического присоединения энергопринимающих устройств жилого дома Заявителя Таибовой О.А., городской округ "Город Азов", г. Азов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</si>
  <si>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№253-20 ВЛ 0,4 кВ №2 КТП 6/0,4кВ №253 ВЛ 6кВ №10706 ПС 110/35/6 кВ А-1 для технологического присоединения энергопринимающих устройств жилого дома Заявителя Семисиновой С.Н., г. Азов, Ростовская область (1 шт.)</t>
  </si>
  <si>
    <t>Установка прибора учета  для присоединения складов минеральных удобрений АО «А1 АГРОХИМ», расположенных по адресу: Ростовская область, Усть-Донецкий район, р.п. Усть-Донецкий, ул. Вокзальная, д. 1, к.н.з.у.: 61:39:0010110:37 (1шт.)</t>
  </si>
  <si>
    <t>Установка прибора учета для присоединения детского оздоровительного лагеря ИП Цыбрий А.В., расположенного по адресу: Ростовская область,  Усть-Донецкий район, х. Пухляковский, ул. Центральная, д. 164, КН ЗУ 61:39:0600012:13 (1шт.)</t>
  </si>
  <si>
    <t>Строительство ВЛ 0,4 кВ от проектируемой ВЛ 0,4 кВ проектируемой КТПН 10/0,4 кВ (по договору №61-1-19-00465385 от 01.10.2019 г.) ВЛ 10 кВ №403 ПС 110 кВ АС4 для электроснабжения ВРУ 0,4 кВ жилого дома Васильева В. А. на участке с КН 61:02:0600021:1871 в х. Истомино Аксайского района Ростовской области</t>
  </si>
  <si>
    <t>Строительство ТП 10/0,4 кВ, ЛЭП 0,4 кВ, ЛЭП 10 кВ от ВЛ 10 кВ №406 ПС 110 кВ АС4 для электроснабжения нежилых застроек и складских зданий/помещений ИП Гулуа Р. З. в пос. АО «Родина» Аксайского района Ростовской области (ориентировочная мощность трансформатора 1,0 МВА, ориентировочная протяженность ЛЭП 1,8 км)</t>
  </si>
  <si>
    <t>Строительство ВЛ 0,4 кВ от РУ 0,4 кВ КТП №239 ВЛ 10 кВ №3 ПС 35 кВ Б. Салы для электроснабжения индивидуальных жилых домов блокированной застройки ООО “Строительная компания Экодом” на участке с КН 61:02:0600005:9378 в Аксайском районе Ростовской области</t>
  </si>
  <si>
    <t>Установка прибора учета для присоединения магазина ИП Раджабова А. М. расположенного по адресу: Р.О., Веселовский район, х. Красное Знамя, ул. Центральная, д. 23-а» (1шт.)</t>
  </si>
  <si>
    <t xml:space="preserve"> Строительство ТП-10/0,4, ВЛ-10 кВ от существующей оп. №3 отпайки к КТП 1 по ВЛ 10 кВ Красюковка ПС Ш-39, и ВЛИ-0,4 кВ от вновь установленной ТП-10/0,4 кВ для присоединения дошкольной образовательной организации на 120 мест в сл. Красюковская, Октябрьского района, Ростовской области (ориентировочная протяженность ЛЭП 0,34 км, ориентировочная мощность трансформатора 160 кВА)</t>
  </si>
  <si>
    <t>Установка пункта коммерческого учета для присоединения складского помещения ООО «Армопласт», расположенного по адресу: Ростовская обл., р-н. Аксайский, тер. СХПК колхоз «Заря», поле №51, участок с КН 61:02:0600006:6421 (1 шт.)</t>
  </si>
  <si>
    <t>Установка прибора учета для присоединения склада со встроенными помещениями общественного назначения ООО “Белла-Дон”, расположенного по адресу: Ростовская обл., Аксайский р-н, х. Камышеваха, ул. Металлургическая, 12, участок с КН 61:02:0600010:4925</t>
  </si>
  <si>
    <t>Обеспечение коммерческим учетом электрической энергии (мощности) в точке поставки по присоединению нежилого здания Ишханян М. К., расположенного по адресу: Ростовская обл., Аксайский р-н, ст-ца Ольгинская, участок с КН 61:02:0600014:1948</t>
  </si>
  <si>
    <t>Установка пункта коммерческого учета для присоединения объекта торговли ИП Спасибова С. И., расположенного по адресу: Ростовская обл., р-н. Аксайский, ст-ца Мишкинская, ул. Просвещения, 2А, участок с КН 61:02:0070202:651 (1 шт.)</t>
  </si>
  <si>
    <t>Установка приборов учета для присоединения производственной базы ООО “Технопласт”, расположенной по адресу: Ростовская обл., р-н. Аксайский, х. Большой Лог, ул. Ленина, 66, кадастровый номер земельного участка: 61:02:010201:0121» (4шт)</t>
  </si>
  <si>
    <t xml:space="preserve">Установка прибора учета для присоединения нежилого здания ИП Умарова А.А., расположенного по адресу: Ростовская обл., р-н. Аксайский, Щепкинское сельское поселение, п. Красный, ул. Промышленная, 3, кадастровый номер земельного участка: 61:02:0600006:5638» </t>
  </si>
  <si>
    <t>Установка пункта коммерческого учета для присоединения ТП-10/0,4 кВ (здание мукомольного цеха) ЗАО «Красный Октябрь», расположенного по адресу: Ростовская обл., р-н. Веселовский, п. Веселый, ул. Донская, д. 33, кадастровый номер земельного участка: 61:06:0010136:16 (1 шт.)</t>
  </si>
  <si>
    <t>Установка пункта коммерческого учета для присоединения ТП-10/0,4 кВ (насосная станция) ЗАО «Красный Октябрь», расположенного по адресу: РО, р-н. Веселовский, Веселовское сельское поселение, кадастровый номер земельного участка: 61:06:0600012:718 (1 шт.)</t>
  </si>
  <si>
    <t xml:space="preserve">Установка пункта коммерческого учета для присоединения КТП-10/0,4 кВ объекта КФХ, заявителя ИП Глава КФХ Вакуленко И. Н. расположенного по адресу Ростовская обл., р-н. Семикаракорский, примерно в 1 км от ориентира по направлению на север. ориентир п. Крымский, к.н.: 61:35:0600009:236 </t>
  </si>
  <si>
    <t>Строительство ВЛ 10 кВ от ВЛ 10 кВ №307 ПС 35 кВ В-3 для электроснабжения цеха грануляции  ИП Главы КФХ Убийко А. А. на участке с КН 61:06:0060517:8 в Веселовском районе Ростовской области, х. Свобода, ул. Трудовая, 10</t>
  </si>
  <si>
    <t>Установка прибора учета для присоединения ТП 10/0,4 кВ АО «Бакланниковское», расположенного по адресу: Ростовская обл., р-н. Семикаракорский, к.н.: 61:35:0600013:379» (1шт)</t>
  </si>
  <si>
    <t xml:space="preserve">"Строительство ПКУ на границе балансовой принадлежности от опоры 2-00/2-3 по ВЛ 10 кВ Л-2 Целинский ССК для электроснабжения объекта – «Материальный склад (АБК, галерея, трансформаторная РУ-10, гараж, столовая, здание хлораторной, градирня)», расположенного по адресу: РФ, Ростовская область, Целинский район, п. Целина, ул. 2-я линия, д. 237, к.н. 61:40:0010101:79, заявитель ИП Уколова Инна Валерьевна" (1 шт.) </t>
  </si>
  <si>
    <t>Строительство КТПН 10/0,4 кВ, ВЛ 10 кВ, ВЛ 0,4 кВ от ВЛ 10 кВ №1103 ПС 110 кВ АС11 для электроснабжения ВРУ 0,4 кВ жилых домов в ст-це Мишкинская Аксайского района Ростовской области (ориентировочная мощность трансформатора 0,630 МВА, ориентировочная протяжённость ЛЭП 2,115 км)</t>
  </si>
  <si>
    <t>«Строительство КЛ 6 кВ от КЛ 6 кВ №31-44 ПС 110 кВ Р31 для электроснабжения производственного и складских помещений ООО «БРИЗ», расположенной по адресу: г. Ростов-на-Дону, ул. 2-я Луговая, д. 18б, КН 61:44:0062505:166 (ориентировочная протяжённость ЛЭП 0,12 км)» (объект DB)».</t>
  </si>
  <si>
    <t>Строительство 2КЛ 6кВ от проектируемых линейных ячеек 6кВ на I, II секции шин ПС 110кВ Р24 для электроснабжения многоэтажного жилого комплекса с помещениями общественного назначения (ООО "Галактика"), расположенного по адресу: г. Ростов-на-Дону, ул. Оганова, кад. №61:44:0080503:1 (2 этап ориентировочная протяженность ЛЭП 0,3 км)</t>
  </si>
  <si>
    <t>Строительство ВЛ 0,4 кВ от ВЛ 0,4 кВ №1 КТП 10/0,4 кВ №13м ВЛ 10 кВ №3 ПС 35/10 кВ «ГСКБ» для технологического присоединения личного подсобного хозяйства заявителя Кучеровский С.В.: Ростовская область, Неклиновский район, с. Александрова Коса, ул. Транспортная, 31-а</t>
  </si>
  <si>
    <t>3.6.2.1.1.1.</t>
  </si>
  <si>
    <t>№ п/п СТС</t>
  </si>
  <si>
    <t>Строительство ВЛ на железобетонных опорах изолированным сталеалюминиевым проводом сечением до 50 квадратных мм включительно одноцепные</t>
  </si>
  <si>
    <t>Строительство ВЛ на железобетонных опорах  изолированным сталеалюминиевым проводом сечением от 50 до 100 квадратных мм включительно одноцепные</t>
  </si>
  <si>
    <t>Строительство ВЛ на железобетонных опорах  изолированным сталеалюминиевым проводом сечением от 100 до 200 квадратных мм включительно одноцепные</t>
  </si>
  <si>
    <t>Строительство ВЛ на железобетонных опорах  изолированным алюминиевым проводом сечением до 50 квадратных мм включительно одноцепные</t>
  </si>
  <si>
    <t>Строительство ВЛ на железобетонных опорах  изолированным алюминиевым проводом сечением от 50 до 100 квадратных мм включительно одноцепные</t>
  </si>
  <si>
    <t>Строительство ВЛ на железобетонных опорах  изолированным алюминиевым проводом сечением от 100 до 200 квадратных мм включительно одноцепные</t>
  </si>
  <si>
    <t>Строительство ВЛ на железобетонных опорах неизолированным сталеалюминевый проводом сечением до 50 квадратных мм включительно одноцепные</t>
  </si>
  <si>
    <t>Строительство ВЛ на железобетонных опорах неизолированным сталеалюминевый проводом сечением от 50 до 100 квадратных мм включительно одноцепные</t>
  </si>
  <si>
    <t>Строительство ВЛ на железобетонных опорах неизолированным сталеалюминевый проводом сечением от 100 до 200 квадратных мм включительно одноцепные</t>
  </si>
  <si>
    <t>Строительство ВЛ на железобетонных опорах неизолированным алюминиевым проводом сечением до 50 квадратных мм включительно одноцепные</t>
  </si>
  <si>
    <t>Строительство КЛ в траншеях одножильные с резиновой и пластмассовой изоляцией сечением провода до 50 квадратных мм включительно с одним кабелем в траншее</t>
  </si>
  <si>
    <t>Строительство КЛ в траншеях одножильные с резиновой и пластмассовой изоляцией сечением провода от 50 до 100 квадратных мм включительно с одним кабелем в траншее</t>
  </si>
  <si>
    <t>Строительство КЛ в траншеях одножильные с резиновой и пластмассовой изоляцией сечением провода от 100 до 200 квадратных мм включительно с одним кабелем в траншее</t>
  </si>
  <si>
    <t>Строительство КЛ в траншеях одножильные с резиновой и пластмассовой изоляцией сечением провода от 250 до 300 квадратных мм включительно с двумя кабелями в траншее</t>
  </si>
  <si>
    <t>Строительство КЛ в траншеях многожильные с резиновой и пластмассовой изоляцией сечением провода от 200 до 250 квадратных мм включительно с двумя кабелями в траншее</t>
  </si>
  <si>
    <t>Многожильный кабель</t>
  </si>
  <si>
    <t>Строительство КЛ в траншеях многожильные с резиновой и пластмассовой изоляцией сечением провода до 50 квадратных мм включительно с одним кабелем в траншее</t>
  </si>
  <si>
    <t>Строительство КЛ в траншеях многожильные с резиновой и пластмассовой изоляцией сечением провода от 50 до 100 квадратных мм включительно с одним кабелем в траншее</t>
  </si>
  <si>
    <t>Строительство КЛ в траншеях многожильные с бумажной изоляцией сечением провода от 50 до 100 квадратных мм включительно с одним кабелем в траншее</t>
  </si>
  <si>
    <t>Строительство КЛ в траншеях многожильные с бумажной изоляцией сечением провода от 100 до 200 квадратных мм включительно с одним кабелем в траншее</t>
  </si>
  <si>
    <t>Горизонтальное наклонное бурение</t>
  </si>
  <si>
    <t>Кабельные линии, прокладываемые методом горизонтального наклонного бурения, многожильные с резиновой или пластмассовой изоляцией сечением провода до 50 квадратных мм включительно с одной трубой в скважине</t>
  </si>
  <si>
    <t>Реклоузеры номинальным током  от 500 до 1 000 А включительно</t>
  </si>
  <si>
    <t>Однотрансформаторные подстанции (за исключением РТП) мощностью до 25 кВА включительно столбового/мачтового типа</t>
  </si>
  <si>
    <t>Однотрансформаторные подстанции (за исключением РТП) мощностью до 25 кВА включительно шкафного или киоскового типа</t>
  </si>
  <si>
    <t>Однотрансформаторные подстанции (за исключением РТП) мощностью от 25 до 100 кВА включительно столбового/мачтового типа</t>
  </si>
  <si>
    <t>Однотрансформаторные подстанции (за исключением РТП) мощностью от 25 до 100 кВА включительно шкафного или киоскового типа</t>
  </si>
  <si>
    <t>Однотрансформаторные подстанции (за исключением РТП) мощностью от 100 до 250 кВА включительно столбового/мачтового типа</t>
  </si>
  <si>
    <t>Однотрансформаторные подстанции (за исключением РТП) мощностью от 100 до 250 кВА включительно шкафного или киоскового типа</t>
  </si>
  <si>
    <t>Однотрансформаторные подстанции (за исключением РТП) мощностью от 100 до 250 кВА включительно блочного типа</t>
  </si>
  <si>
    <t>Однотрансформаторные подстанции (за исключением РТП) мощностью от 250 до 400 кВА включительно столбового/мачтового типа</t>
  </si>
  <si>
    <t>Однотрансформаторные подстанции (за исключением РТП) мощностью от 250 до 400 кВА включительно шкафного или киоскового типа</t>
  </si>
  <si>
    <t>Средства коммерческого учета электрической энергии (мощности) однофазные прямого включения</t>
  </si>
  <si>
    <t>Средства коммерческого учета электрической энергии (мощности) трехфазные прямого включения</t>
  </si>
  <si>
    <t>Средства коммерческого учета электрической энергии (мощности) трехфазные полукосвенного включения</t>
  </si>
  <si>
    <t>Средства коммерческого учета электрической энергии (мощности) трехфазные косвенного включения</t>
  </si>
  <si>
    <t>от 30 июня 2022 г. № 490/22</t>
  </si>
  <si>
    <t>Строительство ВЛ 0,4кВ от ВЛ 0,4кВ №2 ТП 10/0,4кВ №4-29 по ВЛ 10кВ №4 ПС 110/35/10кВ Чалтырь, для технологического присоединения жилого дома Заявителя (Аветикян А.М.) по адресу: Ростовская область, Мясниковский район, с. Крым, ул. 2-й Тупик, д. 5а к.н. 61:25:0201024:539 (ориентировочная протяженность ЛЭП 0,22км)</t>
  </si>
  <si>
    <t>Строительство ВЛ 0,4 кВ от РУ 0,4 кВ новой ТП 10/0,4 кВ, строительство ТП 10/0,4 кВ, строительство ВЛ 10 кВ от ВЛ 10 кВ №1 ПС 110/35/10 кВ Чалтырь, отпайки на ТП 10/0,4 кВ №1-54, запитанной от ВЛ 10 кВ №29-35 ПС Р-29, для технологического присоединения магазина, заявителя (Попов А.В.) по адресу: Ростовская область, Мясниковский р-н, х. Ленинаван, ул. Садовая д. 37 корп. А, к.н. № 61:25:0030202:3762 (ориентировочная протяженность ЛЭП - 0,006 км, ориентировочная мощность ТП – 25 кВА)</t>
  </si>
  <si>
    <t>Строительство ВЛ 0,4 кВ от ВЛ 0,4 кВ №3 КТП №562 ВЛ 10 кВ №4 ПС Покровская для технологического присоединения нежилого здания Заявителя (Кузьмина Л.А.) по адресу: Ростовская область, Неклиновский район, с. Покровское, СПК колхоз «Миусский, поле №110, к.н. 61:26:0600006:1385 (ориентировочная протяженность ЛЭП 0,18 км)</t>
  </si>
  <si>
    <t>Строительство ВЛ 0,4 кВ от ВЛ 0,4 кВ №2 КТП 10/0,4 кВ №266м ВЛ 10 кВ №2 ПС 110/35/10 кВ «Дарагановская» для технологического присоединения жилого дома Заявителя (Шевцов А.Н.) по адресу: Ростовская область, Неклиновский район, х. Дарагановка, ул. Северная, 46, к.н. 61:26:0180701:0386 (ориентировочная протяженность ЛЭП 0,11 км)</t>
  </si>
  <si>
    <t>Строительство ВЛ 0,4 кВ от РУ 0,4 кВ КТП №132 ВЛ 10 кВ №2 ПС 35/10 кВ «Троицкая» для технологического присоединения летней кухни Заявителя (Зеленковская Н.Л.) по адресу: Ростовская область, Неклиновский район, с. Троицкое, ул. Межевая, 34, к.н. 61:26:0010101:1533 (ориентировочная протяженность ЛЭП 0,39 км)</t>
  </si>
  <si>
    <t>Строительство ВЛ 0,4 кВ от РУ 0,4 кВ новой ТП 10/0,4 кВ; строительство ТП 10/0,4 кВ; строительство ВЛ 10 кВ от ВЛ 10 кВ №3 ПС 110/35/10 кВ «Синявская» до новой ТП 10/0,4 кВ для технологического присоединения садового участка заявителя Супрунова Ю.В. по адресу: Ростовская область, Неклиновский р-н, с. Приморка, СНТ «Металлург-5,6», уч. 1108, к.н. № 61:26:00505901:5 (ориентировочная протяженность ЛЭП – 0,28 км; ориентировочная мощность ТП – 25 кВА)</t>
  </si>
  <si>
    <t>Строительство ВЛ 0,4 кВ от РУ 0,4 кВ новой ТП 10/0,4 кВ, строительство ТП 10/0,4 кВ, строительство ВЛ 10 кВ от ВЛ 10 кВ №3 ПС 110/35/10 кВ Чалтырь, для технологического присоединения жилого дома заявителя Абеленцева И.Н. по адресу: Ростовская область, Мясниковский р-н, с. Чалтырь, ул. 15-я Линия 18а  к.н. № 61:25:0101243:581  (ориентировочная протяженность ЛЭП - 0,01 км, ориентировочная мощность ТП – 25 кВА)</t>
  </si>
  <si>
    <t>Строительство ВЛ 0,4 кВ от ВЛ 0,4кВ №7 ТП 6/0,4 кВ №32 по КЛ 6кВ №106 ПС Т-1, для технологического присоединения нежилого помещения магазин, заявителя (ООО «Катюша») по адресу: Ростовская область, Таганрог, пер. 2-й Кожевенный, 6  к.н. 61:58:03206:0002. (ориентировочная протяженность ЛЭП 0,14 км.)</t>
  </si>
  <si>
    <t>Строительство ВЛ 0,4 кВ от опоры по ВЛ 0,4 кВ №5 ТП 10/0,4 кВ №5-35 по ВЛ 10 кВ №3 ПС 110/35/10 кВ Чалтырь для технологического присоединения жилого дома Заявителя (Мартиросян Н.А.) по адресу: Ростовская область, Мясниковский район, с. Чалтырь, ул. Синявская, д. 44/а, 44/б, к.н.  №61:25:0101605:191, 61:25:0101605:190, (ориентировочная протяженность ЛЭП 0,05 км)</t>
  </si>
  <si>
    <t>Строительство ВЛ 0,4 кВ от опоры по ВЛ 0,4 кВ проектируемой по договору №61-1-20-00503929 от 17.03.2020 г ТП 10/0,4 кВ №7-12 по ВЛ 10 кВ №7 ПС 110/35/10 кВ Синявская, для технологического присоединения жилого дома Заявителя (Волокитина Е.В.) по адресу: Ростовская область, Мясниковский район, х. Хапры, ул. Луговая, д. 14, корп. А к.н. №61:25:0070201:544, (ориентировочная протяженность ЛЭП 0,02 км)</t>
  </si>
  <si>
    <t>Строительство ВЛ 0,4 кВ от ВЛ 0,4 кВ №2 КТП №41 ВЛ 10 кВ №3 ПС 110/10 кВ «Некрасовская» для технологического присоединения ВРУ 0,4 кВ Жилого дома Заявителя (Беляев В.Н.) по адресу: Ростовская область, Неклиновский район, с. Большая Неклиновка, ул. Школьная, 58, к.н. 61:26:0130101:120 (ориентировочная протяженность ЛЭП 0,075 км)</t>
  </si>
  <si>
    <t>Строительство ВЛ 0,4 кВ от опоры ВЛ 0,4 кВ №2 от КТП 10/0,4 кВ №108 по ВЛ 10 кВ №2 ПС 110/35/10 кВ Новиковская для технологического присоединения антенно-мачтового сооружения заявителя (Администрация Куйбышевского района) по адресу: 346950 Российская Федерация, Ростовская обл., р-н. Куйбышевский, примерно 75 метров на юг от с. Новиковка, пер. Юбилейный, д. 20, кадастровый номер земельного участка: 61:19:0050401:795 (ориентировочная протяжённость ЛЭП 0,21 км)</t>
  </si>
  <si>
    <t>Строительство ВЛ 0,4 кВ от РУ 0,4 кВ ТП 10/0,4 кВ, строительство ТП 10/0,4 кВ, строительство ВЛ 10 кВ от ВЛ 10 кВ №3 ПС 110/35/10 кВ Рябиновская для технологического присоединения жилого дома Заявителя: (ИП Сухоруков А.Н.), по адресу: Неклиновский район, х. Николаево-Отрадное, ул. Ленина, д.32, к.н. 61:26:0030301:130 (ориентировочная протяженность ЛЭП 0,03 км; мощность силового трансформатора – 160 кВА)</t>
  </si>
  <si>
    <t>Строительство ВЛ 0,4 кВ от РУ 0,4 кВ ТП 10/0,4 кВ, строительство ТП 10/0,4 кВ, строительство ВЛ 10 кВ от ВЛ 10 кВ №6 ПС 110/35/10 кВ Чалтырь для технологического присоединения нежилого помещения Заявителя: (ИП Барнагян В.С.), по адресу: Мясниковский район, с. Чалтырь, тер. Промзона 2, к.н. 61:25:0101330:59 (ориентировочная протяженность ЛЭП 0,02 км; мощность силового трансформатора – 25 кВА)</t>
  </si>
  <si>
    <t>Строительство ВЛ 0,4 кВ от РУ 0,4 кВ ТП 10/0,4 кВ №1-170 по ВЛ 10 кВ №1 ПС 110/35/10 кВ Чалтырь, для технологического присоединения жилого дома Заявителя (Аракелян Ю.Г.) по адресу: Ростовская область, Мясниковский район, х. Ленинаван, ул. Ленина, д. 88, корп. А, к.н. 61:25:0030202:4441, (ориентировочная протяженность ЛЭП 0,09 км)</t>
  </si>
  <si>
    <t>Строительство ВЛ 0,4 кВ от опоры по ВЛ 0,4 кВ №1 ТП 10/0,4 кВ №4-19 по ВЛ 10 кВ №1 ПС 110/35/10 кВ Чалтырь для технологического присоединения жилого дома Заявителя (Запечнова С.А.) по адресу: Ростовская область, Мясниковский район, х. Красный Крым, ул. Еловая, д.44 к.н. №61:25:0600401:13929 (ориентировочная протяженность ЛЭП 0,06 км)</t>
  </si>
  <si>
    <t>Строительство ВЛ 0,4 кВ от ВЛ 0,4 кВ №2 КТП 10/0,4 кВ №488м ВЛ 10 кВ №1 ПС 35/10/6 кВ «Гаевка» для технологического присоединения Заявителя (Ануфриева М.С.) по адресу: Ростовская область, Неклиновский р-н, с. Никольское, ул. Центральная, 60-б, к.н. 61:26:0180901:643 (ориентировочная протяженность ЛЭП 0,14 км)</t>
  </si>
  <si>
    <t>Строительство ВЛ 0,4 кВ от РУ 0,4 кВ ТП 10/0,4 кВ, строительство ТП 10/0,4 кВ, строительство ВЛ 10 кВ от ВЛ 10 кВ №6 ПС 110/10 кВ «Самбек» для технологического присоединения жилого дома Заявителя: (ИП Богохвалова Н.В.), по адресу: Ростовская область, г. Таганрог, ул. Михайловская, 78-г, к.н. 61:58:0007029:167 (ориентировочная протяженность ЛЭП 0,023 км; мощность силового трансформатора – 160 кВА)</t>
  </si>
  <si>
    <t>Строительство ВЛ 0,4 кВ от ВЛ 0,4 кВ №4 КТП 10/0,4 кВ №147 ВЛ 10 кВ №4 ПС 110/10 кВ «Самбек» для технологического присоединения Заявителя (ИП Ярош Э.С.) по адресу: Ростовская область, Неклиновский р-н, с. Самбек, ул. Центральная, 11-в, к.н. 61:26:0020101:5155 (ориентировочная протяженность ЛЭП 0,08 км)</t>
  </si>
  <si>
    <t>Строительство ВЛ 0,4 кВ от КТП 10/0,4 кВ №779 ВЛ 10 кВ №3 ПС 35/10 кВ «ГСКБ» для технологического присоединения жилого дома Заявителя (Тараненко А.А.) по адресу: Ростовская область, Неклиновский р-н, п. Дмитриадовка, ул. 3-я Степная, 10-б, к.н. 61:26:0180401:1636 (ориентировочная протяженность ЛЭП 0,047 км)</t>
  </si>
  <si>
    <t>Строительство ЛЭП 0,4 кВ от РУ 0,4 кВ ТП 10/0,4 кВ, строительство ТП 10/0,4 кВ, строительство ЛЭП 10 кВ от ВЛ 10 кВ №7 ПС 110/35/10 кВ Латоновская для технологического присоединения здания птичника Заявителя (ИП Болдырев В.Н.), по адресу: Матвеево-Курганский район, 751м на юго-восток от х. Лесной, к.н. 61:21:0600018:861 (ориентировочная протяженность ЛЭП 0,505 км; мощность силового трансформатора – 40 кВА)</t>
  </si>
  <si>
    <t>Строительство ВЛ 0,4 кВ от РУ 0,4 кВ ТП 10/0,4 кВ, строительство ТП 10/0,4 кВ, строительство ВЛ 10 кВ от ВЛ 10 кВ №4 ПС 35/10 кВ «ГСКБ» для технологического присоединения жилого дома Заявителя: (Венченко А.Г.), по адресу: Ростовская область, Неклиновский район, с. Петрушино, в границах хозяйства ОАО «Заря», к.н. 61:58:0600024:5290 (ориентировочная протяженность ЛЭП 0,01 км; мощность силового трансформатора – 25 кВА)</t>
  </si>
  <si>
    <t>Строительство ВЛ 0,4 кВ от РУ 0,4 кВ ТП 10/0,4 кВ, строительство ТП 10/0,4 кВ, строительство ВЛ 10 кВ от отпайки на ТП 10/0,4 кВ №1-37А по ВЛ 10 кВ №1 ПС 110/35/10 кВ Чалтырь для технологического присоединения Заявителя: (ИП Юшков Д.Г.) по адресу: х. Ленинакан, ул. Дзержинского, д. 2-д/е, к.н. 61:25:0030301:1269 (ориентировочная протяженность ЛЭП 0,02 км; мощность силового трансформатора – 160 кВА)</t>
  </si>
  <si>
    <t>Строительство ВЛ 0,4 кВ от опоры по ВЛ 0,4 кВ №1 ТП 10/0,4 кВ7-16 по ВЛ 10 кВ №7 ПС 110/35/10 кВ Синявская, для технологического присоединения жилого дома Заявителя (Дворяк О.В.) по адресу: Ростовская область, Мясниковский район, х. Недвиговка, ул. Октябрьская, д. 50/д, к.н. №61:25:0070101:4657 (ориентировочная протяженность ЛЭП 0,03 км)</t>
  </si>
  <si>
    <t>Строительство ВЛ 0,4 кВ от опоры по ВЛ 0,4 кВ №1 ТП 10/0,4 кВ №1-106 по ВЛ 10 кВ №1 ПС 110/35/10 кВ Чалтырь, для технологического присоединения жилых домов Заявителей (Однороб С.В., Шевченко Л.А.) по адресу: Ростовская область, Мясниковский район, х. Ленинаван, ул. Софийская, д. 3, 7, 7/а, к.н. №61:25:0600401:5539, 61:25:0600401:15382, 61:25:0600401:15383 (ориентировочная протяженность ЛЭП 0,06 км)</t>
  </si>
  <si>
    <t>Строительство ВЛ 0,23 кВ от ВЛ 0,4 кВ №1 КТП 10/0,4 кВ №643 ВЛ 10 кВ №1/3 ПС 110/35/10 кВ «Троицкая-1» для технологического присоединения жилого дома Заявителя (Пироженко Н.В.) по адресу: Ростовская область, Неклиновский р-н, х. Гаевка, ул. Кольцова, 53, к.н. 61:26:0110201:318 (ориентировочная протяженность ЛЭП 0,05 км)</t>
  </si>
  <si>
    <t>Строительство ВЛ 0,4 кВ от РУ 0,4 кВ ТП 10/0,4 кВ №20-3 по ВЛ 10 кВ № 20-04 от ПС 220/110/10 кВ Р-20 для технологического присоединения нежилого помещения Заявителя: (ИП Самсонова К.И.) по адресу: Ростовская обл. Мясниковский р-н, х. Калинин, ул. Рябиновая, д. 2, к.н. 61:25:0601001:3417 (ориентировочная протяженность ЛЭП - 0,35 км)</t>
  </si>
  <si>
    <t>Строительство ВЛ 0,4 кВ от РУ 0,4 кВ ТП 10/0,4 кВ, строительство ТП 10/0,4 кВ, строительство ВЛ 10 кВ от ВЛ 10 кВ №1 ПС 110/35/10 кВ Чалтырь запитанной от ВЛ 10 кВ №29-35 ПС 110/10 кВ Р-29, для технологического присоединения нежилого здания Заявителя: (ИП Шабанян М.С.), по адресу: Мясниковский район, Краснокрымское сельское поселение северо-восточная окраина хутора Ленинаван, уч. 7/а, к.н. 61:25:0600401:13706 (ориентировочная протяженность ЛЭП 0,085 км; мощность силового трансформатора – 100 кВА)</t>
  </si>
  <si>
    <t>Строительство ВЛ 0,4 кВ от ВЛ 0,4 кВ №1 ЗТП 10/0,4 кВ №15 ВЛ 10 кВ №2 ПС 35/10 кВ «Троицкая» для технологического присоединения жилого дома Заявителя (Толкачев В.В.) по адресу: Ростовская область, Неклиновский район, с. Троицкое, ул. Лермонтова, 2-В, к.н. 61:26:0010101:4677 (ориентировочная протяженность ЛЭП 0,09 км)</t>
  </si>
  <si>
    <t>Строительство ВЛ 0,4 кВ от ВЛ 0,4 кВ, проектируемой по договору № 61-1-20-00540611 от 02.11.2020 г. с ИП Аракелян К.К., для технологического присоединения объекта сельскохозяйственного производства Заявителя (ИП Сарксян Р.А.) по адресу: Ростовская область, Неклиновский район, с. Троицкое, 1,6 км южнее с. Троицкое, к.н. 61:26:0600014:189 (ориентировочная протяженность ЛЭП 0,27 км)</t>
  </si>
  <si>
    <t>Строительство ВЛ 0,4 кВ от ВЛ 0,4 кВ №1 КТП 10/0,4 кВ №274м ВЛ 10 кВ №4 ПС 35/10 кВ «ГСКБ» для технологического присоединения жилого дома Заявителя (Слепухина В.А.) по адресу: Ростовская область, Неклиновский район, с. Новобессергеневка, ул. Энгельса, 13А, к.н. 61:26:0180101:7870 (ориентировочная протяженность ЛЭП 0,065 км)</t>
  </si>
  <si>
    <t>Строительство ВЛ 0,4 кВ от новой ТП 10/0,4 кВ, строительство ТП 10/0,4 кВ, строительство ВЛ 10 кВ от ВЛ 10 кВ №5 ПС 35/10 кВ «Куйбышево-1», для технологического присоединения объектов Заявителей (Воронина Н.Г., ИП Измайлова А.И., МУП «Водоканал» Куйбышевского района) расположенных: Ростовская обл., Куйбышевский район, х.Свободный к.н. 61:19:0600004:534, 61:19:0600004:446, 61:19:0600004:254 (ориентировочная протяженность ЛЭП 0,29 км; мощность силового трансформатора 63 кВА)</t>
  </si>
  <si>
    <t>Строительство ВЛ 0,4 кВ от КТП №55 по ВЛ 10 кВ №7 ПС Куйбышево-1 для технологического присоединения энергопринимающих устройств Заявителя (Юдин Е.И.) в Куйбышевском районе Ростовской области (ориентировочная протяжённость ЛЭП 0,26 км)</t>
  </si>
  <si>
    <t>Строительство ВЛ 0,4 кВ от опоры по ВЛ 0,4 кВ №2 ТП 10/0,4 кВ №7-13 по ВЛ 10 кВ №7 ПС 110/35/10 кВ Синявская для технологического присоединения жилого дома Заявителя (Половинкин Г.И.) по адресу: Ростовская область, Мясниковский район, х. Хапры, пер. Ромашка, д. 8, к.н. №61:25:0070201:2360 (ориентировочная протяженность ЛЭП 0,23 км)</t>
  </si>
  <si>
    <t>Строительство ВЛ 0,4 кВ от ВЛ 0,4 кВ по договору № 61-1-21-00578565 от 05.06.2021 г., для технологического присоединения жилого дома Заявителя (Парамонова О.А.) по адресу: Ростовская область, Неклиновский район, х. Дарагановка, ул. Северная, д.62 к.н. 61:26:0180701:385 (ориентировочная протяженность ЛЭП 0,04 км)</t>
  </si>
  <si>
    <t>Строительство ВЛ 0,4 кВ от РУ 0,4 кВ ТП 10/0,4 кВ № 4-28 по ВЛ 10 кВ № 4 ПС 110/35/10 кВ Чалтырь, для технологического присоединения ангара Заявителя: (ИП Бабиян М. О.) по адресу: Ростовская область Мясниковский район, с. Крым, ул. 2-ая линия, д. 24, к.н. 61:25:0600101:135  (ориентировочная протяжённость ЛЭП 0,24 км)</t>
  </si>
  <si>
    <t>Строительство ВЛИ 0,4 кВ от РУ 0,4 кВ ТП 10/0,4 кВ № 13-11 по ВЛ 10 кВ № 13 ПС 110/35/10 кВ Чалтырь для технологического присоединения склада строительных материалов Заявителя (ИП Бабиян С. С.) по адресу: Ростовская область, Мясниковский район, с. Крым, ул. Большесальская, д. 28/5  (ориентировочная протяжённость ЛЭП 0,22 км)</t>
  </si>
  <si>
    <t>Строительство ВЛ 0,4 кВ от опоры по ВЛ 0,4 кВ №1 ТП 10/0,4 кВ №6-26 по ВЛ 10 кВ №6 ПС 110/35/10 кВ Чалтырь, для технологического присоединения жилого дома Заявителя (Хлгатян Л.А.) по адресу: Ростовская область, Мясниковский район, с. Чалтырь, ул. Кристостуряна, д. 15/г, к.н. №61:25:0101421:136 (ориентировочная протяженность ЛЭП 0,21 км)</t>
  </si>
  <si>
    <t>Строительство ВЛ 0,4 кВ от РУ 0,4 кВ ТП 10/0,4 кВ проектируемой по договору № 61-1-18-00413589, для технологического присоединения нежилого помещения заявителя: (Гирагосян К.Г.) по адресу: Ростовская область, Мясниковский район, с.  Крым, ул. Восточная д. 7-м. к.н. 61:25:0600201:557 (ориентировочная протяженность ЛЭП 0,19 км)</t>
  </si>
  <si>
    <t>Строительство ВЛ 0,4 кВ от ВЛ 0,4 кВ №1 КТП №232 ВЛ 10 кВ №5/3 ПС 110/35/10 кВ Троицкая-1 для технологического присоединения нежилого здания Заявителя (ИП Кириченко Е.Н.) по адресу: Ростовская область, Неклиновский район, с. Троицкое, СПК колхоз «Россия», 140 метров севернее с. Николаевка, к.н. 61:26:0600014:1775 (ориентировочная протяженность ЛЭП 0,22 км)</t>
  </si>
  <si>
    <t>Строительство ВЛ 0,4 кВ от ВЛ 0,4 кВ №2 КТП 10/0,4 кВ №229 ВЛ 10 кВ №5 ПС 110/10 кВ «Лиманная» для технологического присоединения жилого дома Заявителя (Махиня В.С.) по адресу: Ростовская область, Неклиновский район, п. Дарьевка, пер. Дружбы, 8, к.н. 61:26:0090901:458 (ориентировочная протяженность ЛЭП 0,35 км)</t>
  </si>
  <si>
    <t>Строительство ВЛ 0,4 кВ от ВЛ 0,4 кВ №5 ТП 6/0,4 кВ №12 по КЛ-6 кВ №1702 от ПС-110/6 кВ Т-17 для технологического присоединения здания Краеведческого музея Заявителя (ГБУК РО «Таганрогский государственный литературный и историко-архитектурный музей-заповедник») по адресу: Ростовская область, г. Таганрог, ул. Фрунзе, д.41/пер. А. Глушко, д.13, к.н. 61:58:0001110:143 (ориентировочная протяженность ЛЭП 0,26 км)</t>
  </si>
  <si>
    <t>Строительство ВЛ 0,4 кВ от ВЛ 0,4 кВ №1 КТП 10/0,4 кВ №118м ВЛ 10 кВ №2 ПС 110/35/10 кВ «Ефремовская» для технологического присоединения жилого дома Заявителя (Казарян А.С.) по адресу: Ростовская область, Неклиновский район, х. Атамановка, ул. Свободы, 32, к.н. 61:26:0170201:100 (ориентировочная протяженность ЛЭП 0,57 км)</t>
  </si>
  <si>
    <t>Строительство ВЛ 0,4 кВ от ВЛ 0,4 кВ №1 КТП 10/0,4 кВ №70м ВЛ 10 кВ №3 ПС 110/35/10 кВ «Рябиновская» для технологического присоединения хозяйственных строений Заявителя (ГКУС РФ «ПС РО») по адресу: Ростовская область, Неклиновский район, с. Натальевка, ул. Чехова, 2-ж, к.н. 61:26:0000000:6539 (ориентировочная протяженность ЛЭП 0,53 км)</t>
  </si>
  <si>
    <t>Строительство ВЛ 0,4 кВ от ВЛ 0,4 кВ №1 КТП 10/0,4 кВ №580 ВЛ 10 кВ №5 ПС 110/35/10 кВ «Самбек» для технологического присоединения жилого дома Заявителя (Пузанов А.Ю.) по адресу: Ростовская область, Неклиновский район, с. Бессергеновка, ул. К.Зуева, 15, к.н. 61:26:0040201:2936 (ориентировочная протяженность ЛЭП 0,31 км)</t>
  </si>
  <si>
    <t>Строительство ВЛ 0,4 кВ от новой ТП 10/0,4 кВ, строительство ТП 10/0,4 кВ, строительство ВЛ 10 кВ от ВЛ 10 кВ №1 ПС 35/10 кВ «Таганрогская», для технологического присоединения жилых домов Заявителей (Литвишко С.А., Тихонов Ю.В., Гуркевич С.В.) по адресу: Ростовская область, Неклиновский район, с. Весело-Вознесенка, ул. Пограничная, 34, 38, 38-б, к.н. 61:26:0100101:4721, 61:26:0100101:5080, 61:26:0100101:5082 (ориентировочная протяженность ЛЭП 0,49 км; мощность силового трансформатора 160 кВА)</t>
  </si>
  <si>
    <t>Строительство ВЛ 0,4 кВ от новой ТП 10/0,4 кВ, строительство ТП 10/0,4 кВ, строительство ВЛ 10 кВ от ВЛ 10 кВ №5/3 ПС 110/35/10 кВ «Троицкая-1», для технологического присоединения ЛЭП 0,4 кВ Заявителя (СНТ «Восход НИИ связи») по адресу: Ростовская область, г. Таганрог, шоссе Николаевское, 7-2 (ориентировочная протяженность ЛЭП 0,02 км; мощность силового трансформатора 160 кВА)</t>
  </si>
  <si>
    <t>Строительство ВЛ 0,4 кВ от РУ 0,4 кВ ТП 10/0,4 кВ, строительство ТП 10/0,4 кВ, строительство ВЛ 10 кВ от ВЛ 10 кВ №5 ПС 110/35/10 кВ Чалтырь для технологического присоединения ледового катка Заявителя: (СПК-колхоз имени С.Г. Шаумяна), по адресу: Мясниковский район, с. Чалтырь, ул. Синявская, уч. 29, к.н. 61:25:0101523:42 (ориентировочная протяженность ЛЭП 0,03 км; мощность силового трансформатора – 160 кВА)</t>
  </si>
  <si>
    <t>Строительство ВЛ 0,4 кВ от новой ТП 10/0,4 кВ, строительство ТП 10/0,4 кВ, строительство ВЛ 10 кВ от отпайки на ТП-10/0,4кв №329(А) по ВЛ 10 кВ №3 ПС 35/10 кВ Колесниковская, для технологического присоединения ЛЭП 0,4 кВ Заявителя (ЗАО «Матвеев-Курганагрохимсервис») по адресу: Ростовская область, Матвеево-Курганский район, п. Матвеев Курган, ул. Лунная, д. 6, к.н. 61:21:0010152:43 (ориентировочная протяженность ЛЭП 0,285 км; мощность силового трансформатора 40 кВА)</t>
  </si>
  <si>
    <t>Строительство ВЛ 0,4 кВ от РУ 0,4 кВ ТП 10/0,4 кВ проектируемой по договору № 61-1-18-00408779, для технологического присоединения жилого дома заявителя: (Кузнецов А.В.) по адресу: Ростовская область, Мясниковский район, х. Ленинаван ул. Садовая, д. 11/11 к.н. 61:25:0600401:11284 (ориентировочная протяженность ЛЭП 0,18 км)</t>
  </si>
  <si>
    <t xml:space="preserve">Строительство автономного источника питания для обеспечения II категории надежности электроснабжения заявителя ФГУП «РТРС» «Ростовский ОРТПЦ» по адресу: Р.О. Матвеево-Курганский р-н, п. Матвеев Курган, ул. Комсомольская, в 3 км. северо-восточнее п. Матвеев Курган. к.н: 61:21:0600001:132. (ориентировочная мощность автономного источника питания – не менее 45 кВт) </t>
  </si>
  <si>
    <t xml:space="preserve">Строительство автономного источника питания для обеспечения II категории надежности электроснабжения заявителя ФГУП «РТРС» филиал «Ростовский ОРТПЦ» по адресу: Ростовская область, Неклиновский р-н, с. Ефремовка, в 5 км на северо-запад от с. Ефремовка, к.н: 61:26:0600002:361. (ориентировочная мощность автономного источника питания – не менее 22 кВт) </t>
  </si>
  <si>
    <t>Строительство ВЛ 0,4 кВ от новой ТП 10/0,4 кВ, строительство ТП 10/0,4 кВ, строительство ВЛ 10 кВ от ВЛ 10 кВ №20-04 ПС 220/110/10 кВ «Р-20», для технологического присоединения хоз. построек Заявителей (Наноян К.А., Тер-Багдасарян Х.О., Тер-Багдасарян Ш.А.) по адресу: Ростовская область, Мясниковский район, земли колхоза имени Мясникяна, к.н. 61:25:0601001:3349, 61:25:0000000:6154, 61:25:0000000:6155 (ориентировочная протяженность ЛЭП 0,18 км; мощность силового трансформатора 0,063 МВА)</t>
  </si>
  <si>
    <t>Строительство BЛ 0,4 кВ от новой ТП 10/0,4 кВ, строительство ТП 10/0,4 кВ, строительство ВЛ 10 кВ от ВЛ 10 кВ №2 ПС 110/35/10 кВ «Дарагановская», для технологического присоединения жилого дома Заявителя (Мантаржиев O.K.) по адресу: Ростовская область, Неклиновский район, СГЖ колхоз «Приазовье», к.н. 61:26:0600024:863 (ориентировочная протяженность ЛЭП 2,05 км; мощность силового трансформатора 25 кВА)</t>
  </si>
  <si>
    <t>Строительство ВЛ 0,4 кВ от РУ 0,4 кВ новой ТП 10/0,4 кВ, строительство новой ТП 10/0,4 кВ, строительство ВЛ 10 кВ от ВЛ 10 кВ  №5 ПС 110/35/10 кВ Чалтырь, для технологического присоединения станции технического обслуживания автомобилей заявителя  Сарабашьян С.А.. по адресу: Ростовская область, Мясниковский р-н, с. Чалтырь, ул. Красноармейская 2д  к.н. № 61:25:0101217:1  (ориентировочная протяженность ЛЭП - 0,075 км, ориентировочная мощность ТП – 25 кВА)</t>
  </si>
  <si>
    <t>Строительство ВЛ 0,4 кВ от РУ 0,4 кВ ТП 10/0,4 кВ, строительство ТП 10/0,4 кВ, строительство ВЛ 10 кВ от ВЛ 10 кВ №7 ПС35/10 кВ Б.Салы, для технологического присоединения жилого дома Заявителя: (Смоян Г.С.), по адресу: Мясниковский район, с. Большие Салы, ул. Ленинская 2-я, д12 (ориентировочная протяженность ЛЭП 0,08 км; мощность силового трансформатора – 25 кВА)</t>
  </si>
  <si>
    <t>Строительство ВЛ 0,4 кВ от РУ 0,4 кВ ТП 10/0,4 кВ, строительство ТП 10/0,4 кВ, строительство ВЛ 10 кВ от ВЛ 10 кВ №1 ПС110/35/10 кВ Чалтырь, для технологического присоединения складского помещения Заявителя: ( ИП Беляков В.В.), по адресу: Мясниковский район, 1-й км а/д Ростов-на-Дону – Новошахтинск, участок № 1/6 , (ориентировочная протяженность ЛЭП 0,03 км; мощность силового трансформатора –100 кВА)</t>
  </si>
  <si>
    <t>Строительство ВЛ 0,4 кВ от РУ 0,4 кВ КТП 10/0,4 кВ №846 ВЛ 10 кВ №1/3 ПС 110/35/10 кВ «Троицкая-1» для технологического присоединения нежилого помещения Заявителя (ИП Петрусь А.П.) по адресу: Ростовская область, Неклиновский район, с. Николаевка, к.н. 61:26:0600014:2266 (ориентировочная протяженность ЛЭП 0,275 км)</t>
  </si>
  <si>
    <t>Строительство ВЛ 0,4 кВ от новой ТП 10/0,4 кВ, строительство ТП 10/0,4 кВ, строительство ВЛ 10 кВ от ВЛ 10 кВ №5/3 ПС 110/35/10 кВ «Троицкая-1», для технологического присоединения нежилой застройки Заявителя (ИП Моор Д.В.) по адресу: Ростовская область, г. Таганрог, Николаевское шоссе, 30-а, к.н. 61:58:0005268:16 (ориентировочная протяженность ЛЭП 0,02 км; мощность силового трансформатора 160 кВА)</t>
  </si>
  <si>
    <t>Строительство ВЛ 0,4 кВ от РУ 0,4 кВ ТП 10/0,4 кВ, строительство ТП 10/0,4 кВ, строительство ВЛ 10 кВ от ВЛ 10 кВ №4 ПС 35/10 кВ Б.Салы, для технологического присоединения магазина Заявителя: (ИП Хатламаджиян М.А.), по адресу: Мясниковский район, с. Большие Салы, ул. Красноармейская, д. 19, к.н 61:25:0040101:350 (ориентировочная протяженность ЛЭП 0,02 км; мощность силового трансформатора – 160 кВА)</t>
  </si>
  <si>
    <t>Строительство ВЛ 0,4 кВ от новой ТП 10/0,4 кВ, строительство ТП 10/0,4 кВ, строительство ВЛ 10 кВ от ВЛ 10 кВ №4 ПС 35/10 кВ «ГСКБ», для технологического присоединения нежилого здания Заявителя (ИП Петрусь А.П.) по адресу: Ростовская область, Неклиновский район, с. Петрушино, х-во ОАО «Заря», к.н. 61:26:0600024:4753 (ориентировочная протяженность ЛЭП 0,025 км; мощность силового трансформатора 63 кВА)</t>
  </si>
  <si>
    <t>Строительство ВЛ 0,4 кВ от РУ 0,4 кВ ТП 10/0,4 кВ, строительство ТП 10/0,4 кВ, строительство ВЛ 10 кВ от опоры отпайки на ТП 10/0,4 кВ №1-26А по ВЛ 10 кВ №6 ПС 35/10 кВ Б. Салы, для технологического присоединения склада Заявителя: (ООО «БЕТОНСНАБ»), по адресу: Мясниковский район, с. Большие Салы, южная окраина, уч. 3/1, к.н 61:25:0600501:2189 (ориентировочная протяженность ЛЭП 0,09 км; мощность силового трансформатора – 0,16 МВА)</t>
  </si>
  <si>
    <t xml:space="preserve">Строительство ВЛ 0,4 кВ от новой ТП 10/0,4 кВ, строительство ТП 10/0,4 кВ, строительство ВЛ 10 кВ от ВЛ 10 кВ №1/3 ПС 110/35/10 кВ «Троицкая-1», для технологического присоединения нежилого здания Заявителя (ИП Мизерный И.А.) по адресу: Ростовская область, Неклиновский район, с. Троицкое, х-во СПК к-з «Россия», Поле №2, к.н. 61:26:0600014:1468 (ориентировочная протяженность ЛЭП 0,15 км; мощность силового трансформатора 0,16 МВА) </t>
  </si>
  <si>
    <t>Строительство ВЛ 0,4 кВ от новой ТП 10/0,4 кВ, строительство ТП 10/0,4 кВ, строительство ВЛ 10 кВ от отпайки на ТП 10/0,4 кВ №1-95 по ВЛ 10 кВ №1 ПС 110/35/10 кВ Чалтырь, для технологического присоединения производственного здания Заявителя (ИП Кюрджиев Д.Д.)  по адресу: Ростовская область, Мясниковский район, х. Ленинакан, пер. Содружества, д. 6/2, к.н. 61:25:0600401:16718 (ориентировочная протяженность ЛЭП 0,02 км; мощность силового трансформатора 0,1 МВА)</t>
  </si>
  <si>
    <t>Строительство  ВЛ-0,4 кВ от РУ 0,4 кВ КТП 10/0,4 кВ №851 ВЛ 10 кВ №5/3 ПС 110/35/10 кВ "Троицкая-1" для технологического присоединения жилого дома Заявителя (Гаджиев Р.А.) по адресу: Ростовская область, Неклиновский район, с. Николаевка, ул. Пушкина, д. 110, к.н. 61:26:0600014:4228  (ориентировочная протяженность ЛЭП 0,21 км)</t>
  </si>
  <si>
    <t>Строительство ВЛ 0,4 кВ от опоры проектируемой ВЛ 0,4 кВ по договору №61-1-21-00569179 от 06.04.2021г. от ВЛ 0,4 кВ №3 КТП 10/0,4 кВ №215АМ ВЛ 10 кВ №2 ПС 110/35/10 кВ «Дарагановская» для технологического присоединения жилого дома Заявителя (Смирнов А.А.) по адресу: Ростовская область, Неклиновский район, х. Дарагановка, ул. Прохладная,  д.21, к.н. 61:26:0180701:475 (ориентировочная протяженность ЛЭП 0,250 км)</t>
  </si>
  <si>
    <t>«Строительство ВЛ 0,4 кВ от BЛ 0,4 кВ №1 МТП 10/0,4 кВ №264м ВЛ 10 кВ №3 ПС 110/35/10 кВ «Рябиновская» для технологического присоединения жилого дома Заявителя (Матиев П.О.) по адресу: Ростовская область, Неклиновский район, с. Николаево-Отрадное, ул. Ленина, Д.2-Г, к.н. 61:26:0030301:116 (ориентировочная протяженность ЛЭП 0,210 км)»</t>
  </si>
  <si>
    <t>Строительство BЛ 0,4 кВ от BЛ 0,4 кВ №5 ЗТП 10/0,4 кВ №82 ВЛ 10 кВ №4 ПС 110/10 кВ «Лиманная» для технологического присоединения жилого дома Заявителя (Меняйленко С.В.) по адресу: Ростовская область, Неклиновский район, п. Сухосарматка, ул. Лесная, д. 35-Б, к.н. 61:26:0600013:1560 (ориентировочная протяженность ЛЭП 0,240 км)</t>
  </si>
  <si>
    <t>Строительство ВЛ 0,4 кВ от ВЛ 0,4 кВ №1 КТП 10/0,4 кВ №3/17 ВЛ 10 кВ №3 ПС 110/35/10 кВ «Синявская» для технологического присоединения объекта туристической отрасли Заявителя (Симонян Т.В.) по адресу: Ростовская область, Неклиновский район, х. Мержаново, пер. Дачный, д. 1-В, к.н. 61:26:0600016:1017 (ориентировочная протяженность ЛЭП 0,210 км)</t>
  </si>
  <si>
    <t>Строительство ВЛ 0,4 кВ от ВЛ 0,4 кВ № 1 КТП 10/0,4 кВ № 662 ВЛ 10 кВ № 1/3 ПС 110/358/10 кВ "Троицкая-1" для технологического присоединения жилого дома Заявителя (Котельникова Н. П.) по адресу: Ростовская область, Неклиновский район, с. Николаевка, ул. Юности, 4, к.н. № 61:26:0110101:443   (ориентировочная протяжённость ЛЭП 0,34 км)</t>
  </si>
  <si>
    <t>Строительство ВЛ 0,4 кВ от новой ТП 10/0,4 кВ, строительство ТП 10/0,4 кВ, строительство ВЛ 10 кВ от ВЛ 10 кВ №8 ПС 35/10 кВ «Куйбышево-1», для технологического присоединения объекта Заявителя Муниципальное бюджетное образовательное учреждение дополнительного образования Детско-юношеская спортивная школа, расположенного: Ростовская обл., Куйбышевский район, с. Куйбышево, ул. Пролетарская 7а к.н. 61:19:0010160:157, (ориентировочная протяженность ЛЭП 1,75 км; мощность силового трансформатора 0,16 МВА)</t>
  </si>
  <si>
    <t>Строительство ВЛ 0,4 кВ от новой ТП 10/0,4 кВ, строительство ТП 10/0,4 кВ, строительство ВЛ 10 кВ от ВЛ 10 кВ №1 ПС 110/35/10 кВ Чалтырь для технологического присоединения жилых домов заявителей (Таран Н.И., Явруян С.А.) по адресу: Ростовская область, Мясниковский район, х. Ленинаван ул. Мясникяна, д.№32/2, №32/5, ул. Кавказская, д.№41 (ориентировочная протяженность ЛЭП 0,52 км; мощность силового трансформатора 63 кВА)</t>
  </si>
  <si>
    <t>Строительство  ВЛ-0,4 кВ от ВЛ-0,4 кВ №2 КТП 10/0,4 кВ №522 ВЛ-10 кВ №1/3 ПС 110/35/10 кВ "Троицкая-1" для технологического присоединения жилого дома Заявителя (Кашинсков Н.А.) по адресу: Ростовская область, Неклиновский район, с. Николаевка, ДНТ "Коммунальник", д. 86, к.н. 61:26:0513701:406  (ориентировочная протяженность ЛЭП 0,410 км)</t>
  </si>
  <si>
    <t>Строительство ВЛ 0,4 кВ от ВЛ 0,4 кВ №2 МТП 10/0,4 кВ №21м ВЛ 10 кВ №4 ПС 35/10 кВ «Русский Колодец», для технологического присоединения подсобного хозяйства заявителя Полянский А.И. по адресу: Ростовская область, Неклиновский р-н, х. Веселый, ул. Пионерская, 9 А, к.н. № 61:26:0070101:2312 (ориентировочная протяженность ЛЭП - 0,05 км)</t>
  </si>
  <si>
    <t>Строительство ВЛ 0,4 кВ от ВЛ 0,4 кВ №3 КТП 10/0,4 кВ №580 ВЛ 10 кВ №5 ПС 110/10 кВ «Самбек» для технологического присоединения частного жилого дома заявителя Ульянова В.С. по адресу: Ростовская область, Неклиновский район, с. Бессергеновка, ул. Цветочная, 86, к.н. 61:26:0600015:872 (ориентировочная протяженность ЛЭП 0,15 км)</t>
  </si>
  <si>
    <t>Строительство ВЛ 0,4 кВ от ВЛ 0,4 кВ №4 от ТП 6/0,4 кВ №26 по КЛ 6 кВ №11 ПС 110/6 Т-5 для технологического присоединения жилого дома заявителя Мирабян А.В. по адресу: Ростовская область, г. Таганрог, ул. Октябрьская, д. 107 к.н. 61:58:0002191:99 (ориентировочная протяженность ЛЭП 0,285 км)</t>
  </si>
  <si>
    <t>Строительство ВЛ 0,4 кВ от ВЛ 0,4 кВ №1 ТП 10/0,4 кВ №1-23 по ВЛ 10 кВ №1 ПС 110/35/10 кВ «Чалтырь» для технологического присоединения жилого дома заявителя Испирян Е.М. по адресу: Ростовская область, Мясниковский район, х. Красный Крым ул. Шаумяна, 43/а  к.н. 61:25:0030101:1613   (ориентировочная протяженность ЛЭП 0,1 км)</t>
  </si>
  <si>
    <t>Строительство ВЛ 0,4 кВ от ВЛ 0,4 кВ №1 КТП 10/0,4 кВ №179 ВЛ 10 кВ №8 ПС 35/10 кВ «Покровская» для электроснабжения нежилого здания заявителя (Пасечник Ю.И.) по адресу: Ростовская обл., Неклиновский район, с. Покровское, ул. Олега Кошевого, 7-В, к.н. 61:26:0050139:104 (ориентировочная протяженность ЛЭП 0,065 км)</t>
  </si>
  <si>
    <t>Строительство ВЛ 0,4 кВ от опоры по ВЛ 0,4 кВ №3 ТП 10/0,4 кВ №3-2 по ВЛ 10 кВ №3 ПС 110/35/10 кВ Чалтырь, для технологического присоединения жилого дома Заявителя (Анненко Л.В.) по адресу: Ростовская область, Мясниковский район, с. Чалтырь, ул. Западная, д.87, корп. А, к.н. №61:25:0101602:643, (ориентировочная протяженность ЛЭП 0,05 км)</t>
  </si>
  <si>
    <t>Строительство ВЛ 0,4 кВ от РУ 0,4 кВ ТП 10/0,4 кВ №1-195 по ВЛ 10 кВ №1 ПС 110/35/10 кВ Чалтырь, для технологического присоединения склада Заявителя (ООО «Юг-строй») по адресу: Ростовская область, Мясниковский район, х. Ленинакан, пер. Содружества, д. 6, к.н. №61:25:0600401:14694, (ориентировочная протяженность ЛЭП 0,07 км)</t>
  </si>
  <si>
    <t>Строительство ВЛ 0,4 кВ от опоры по ВЛ 0,4 кВ №1 КТП 10/0,4 кВ №29 по ВЛ 10 кВ №4 ПС 35/10 кВ Б-Кирсановская, для технологического присоединения БССС № 2737 Заявителя (ООО «Т2 Мобайл») по адресу: Ростовская область, М-Курганский район, с. Кульбаково, 100 м на север от пер. Школьный, д.31 к.н. № 61:21:0110401:1084, (ориентировочная протяженность ВЛ 0,1 км)</t>
  </si>
  <si>
    <t>Строительство ВЛ 0,4 кВ от ВЛ 0,4 кВ №1 КТП 10/0,4 кВ №3/3 ВЛ 10 кВ №3 ПС 110/35/10 кВ «Синявская» для технологического присоединения жилого дома Заявителя (Улыбышева Е.Г.) по адресу: Ростовская область, Неклиновский район, х. Морской Чулек, ул. Красногвардейская, 17-а, к.н. 61:26:0060201:2044 (ориентировочная протяженность ЛЭП 0,05 км)</t>
  </si>
  <si>
    <t>Строительство ВЛ 0,4 кВ от ВЛ 0,4 кВ №5 КТП 10/0,4 кВ №286 ВЛ 10 кВ №2 ПС 35/10 кВ «Троицкая» для технологического присоединения жилого дома Заявителя (Цыганенко Е.В.) по адресу: Ростовская область, Неклиновский район, с. Троицкое, ул. Мельничная, 53, к.н. 61:26:0600014:638 (ориентировочная протяженность ЛЭП 0,07 км)</t>
  </si>
  <si>
    <t>Строительство ВЛ 0,4 кВ от ВЛ 0,4 кВ №2 ТП 10/0,4 кВ №7-1 по ВЛ 10 кВ №7 ПС 35/10 кВ Петровская, для технологического присоединения Заявителей: (ИП Литвинцов Н.А., Литвинцов А.А.) по адресу: Ростовская обл. Мясниковский р-н, сл. Петровка, ул. Октябрьская (ориентировочная протяженность ЛЭП -0,12 км)</t>
  </si>
  <si>
    <t>Строительство ВЛ 0,4 кВ от ВЛ 0,4 кВ №2 ЗТП 10/0,4 кВ №14 ВЛ 10 кВ №2 ПС 35/10 кВ «Троицкая» для технологического присоединения магазина Заявителя (ИП Демиденко О.В.) по адресу: Ростовская область, Неклиновский район, с. Троицкое, ул. Ленина, 120-Ж, к.н. 61:26:0010101:6133 (ориентировочная протяженность ЛЭП 0,055 км)</t>
  </si>
  <si>
    <t>Строительство ВЛ 0,4 кВ от опоры по ВЛ 0,4 кВ №2 ТП 10/0,4 кВ №7-13 по ВЛ 10 кВ №7 ПС 110/35/10 кВ Синявская для технологического присоединения жилого дома Заявителя (Шакула В.В.) по адресу: Ростовская область, Мясниковский район, х. Хапры, ул. Гагарина, д. 18, к.н. №61:25:0070201:152 (ориентировочная протяженность ЛЭП 0,04 км)</t>
  </si>
  <si>
    <t>Строительство ВЛ 0,4 кВ от опоры по ВЛ 0,4 кВ №1 ТП 10/0,4 кВ №1-126А по ВЛ 10 кВ №1 ПС 110/35/10 кВ Чалтырь, запитанной от ВЛ 10 кВ №29-35 ПС Р-29 для технологического присоединения жилого дома Заявителя (Гулиев Р.В.) по адресу: Ростовская область, Мясниковский район, х. Ленинаван, ул. Майская, д. 11, к.н. №61:25:0030202:4396 (ориентировочная протяженность ЛЭП 0,06 км)</t>
  </si>
  <si>
    <t>Строительство ВЛ 0,4 кВ от опоры по ВЛ 0,4 кВ №1 ТП 10/0,4 кВ №2-27 по ВЛ 10 кВ №2 ПС 110/35/10 кВ Чалтырь для технологического присоединения жилого дома Заявителя (Батыгян К.Л.) по адресу: Ростовская область, Мясниковский район, с. Крым, ул. Григора Бабияна, д. 48, к.н. №61:25:0600201:822 (ориентировочная протяженность ЛЭП 0,025 км)</t>
  </si>
  <si>
    <t>Строительство ВЛ 0,4 кВ от ВЛИ 0,4 кВ №1 ТП 10/0,4 кВ №6-6 по ВЛ 10 кВ №6 ПС 35/10 кВ Б.Салы, для технологического присоединения склада Заявителя: (ИП Арзуманян А.А.) по адресу: Ростовская обл. Мясниковский р-н, с. Большие Салы, ул. Крымская, д 17 к.н. 61:25:0040101:5710 (ориентировочная протяженность ЛЭП -0,08 км)</t>
  </si>
  <si>
    <t>Строительство ВЛ 0,4 кВ от опоры отпайки на ТП 10/0,4 кВ №4-40 по ВЛ 10 кВ №4 ПС 110/35/10 кВ Чалтырь, совместный подвес с ВЛИ 0,4 кВ №1 ТП 10/0,4 кВ №4-40 по ВЛ 10 кВ №4 ПС 110/35/10 кВ Чалтырь для технологического присоединения складского помещения Заявителя (ИП Бугаян Т.А.) по адресу: Ростовская область, Мясниковский район, с. Крым, ул. 2-я линия, д. 35, к.н. №61:25:0600101:150 (ориентировочная протяженность ЛЭП 0,09 км)</t>
  </si>
  <si>
    <t>Строительство ВЛИ 0,4 кВ от опоры по ВЛИ 0,4 кВ №1 ТП 10/0,4 кВ №1-106 по ВЛ 10 кВ №1 ПС 110/35/10 кВ Чалтырь для технологического присоединения жилого дома Заявителя (Журкина И.В.) по адресу: Ростовская область, Мясниковский район, х. Ленинаван, ул. Московская, д. 2, корп. Б, к.н. №61:25:0600401:17176 (ориентировочная протяженность ЛЭП 0,03 км)</t>
  </si>
  <si>
    <t>Строительство ВЛ 0,4 кВ от опоры по ВЛИ 0,4 кВ №3 ТП 10/0,4 кВ №1-54 по ВЛ 10 кВ №1 ПС 110/35/10 кВ Чалтырь, запитанной от ВЛ 10 кВ №29-35 ПС Р-29 для технологического присоединения жилых домов Заявителя (Сагамонова О.И.) по адресу: Ростовская область, Мясниковский район, х. Ленинаван, ул. Садовая, д. 1/5, 1/7, 1/10, к.н. №61:25:0030202:4238, 61:25:0030202:4245, 61:25:0030202:4243 (ориентировочная протяженность ЛЭП 0,05 км)</t>
  </si>
  <si>
    <t>Строительство ВЛ 0,4 кВ от ВЛ 0,4 кВ №2 ЗТП 10/0,4 кВ №295 ВЛ 10 кВ №4 ПС 35/10 кВ «Покровская» для технологического присоединения хозяйственных строений Заявителя (Горбанева К.Д.) по адресу: Ростовская область, Неклиновский район, с. Покровское, ул. Свердлова, 250-А, к.н. 61:26:0050128:469 (ориентировочная протяженность ЛЭП 0,15 км)</t>
  </si>
  <si>
    <t>Строительство ВЛ 0,4 кВ от опоры по ВЛ 0,4 кВ №2 КТП 10/0,4 кВ №31 по ВЛ 10 кВ №2 ПС 35/10 кВ М-Курганская для технологического присоединения ВРУ-0,38 кВ для питания гаража Заявителя (Шищенко А.Г.) по адресу: Ростовская область, М-Курганский район, п. Матвеев Курган, ул. Шолохова, д. 34, к.н.ЗУ: 61:21:0010140:754, (ориентировочная протяженность ВЛ 0,1 км.)</t>
  </si>
  <si>
    <t>Строительство ВЛ 0,4 кВ от РУ 0,4 кВ ТП 10/0,4 кВ №1-148 по ВЛ 10 кВ №1 ПС 110/35/10 кВ Чалтырь для технологического присоединения жилого дома Заявителя (Побудилин М.А.) по адресу: Ростовская область, Мясниковский район, х. Ленинаван, к.н. №61:25:0600401:14031, (ориентировочная протяженность ЛЭП 0,035 км)</t>
  </si>
  <si>
    <t>Строительство ВЛ 0,4 кВ от опоры по ВЛИ 0,4 кВ №2 ТП 10/0,4 кВ №7-2 по ВЛ 10 кВ №7 ПС 35/10 кВ Б. Салы для технологического присоединения жилого дома Заявителя (Оганнисян А.Г.) по адресу: Ростовская область, Мясниковский район, с. Большие Салы, ул. Танкистов, д. 33, корп. Б, к.н. №61:25:0040101:5785, (ориентировочная протяженность ЛЭП 0,06 км)</t>
  </si>
  <si>
    <t>Строительство ВЛ 0,4 кВ от РУ 0,4 кВ проектируемой ТП 10/0,4 кВ по договору № 61-1-21-00562813 от 24.03.2021 г., для технологического присоединения нежилой застройки Заявителя (Масалитина Е.А.) по адресу: Ростовская область, г. Таганрог, Николаевское шоссе, 30-Б, к.н. 61:58:0005268:212 (ориентировочная протяженность ЛЭП 0,05 км)</t>
  </si>
  <si>
    <t>Строительство ВЛ 0,4 кВ от опоры по ВЛ 0,4 кВ проектируемой по договору №61-1-20-00542383 от ВЛИ 0,4 кВ №1 ТП 10/0,4 кВ №7-44 по ВЛ 10 кВ №7 ПС 110/35/10 кВ Синявская для технологического присоединения жилого дома Заявителя (Юрченко Е.В.) по адресу: Ростовская область, Мясниковский район, х. Недвиговка, ул. Молодежная, д. 32, корп. В, к.н. №61:25:0070101:4535, (ориентировочная протяженность ЛЭП 0,02 км)</t>
  </si>
  <si>
    <t>Строительство ВЛ 0,4 кВ от ВЛ 0,4 кВ №1 ЗТП №67м ВЛ 10 кВ №3 ПС 110/35/10 кВ «Рябиновская» для технологического присоединения жилого дома Заявителя (Рысухин М.А.) по адресу: Ростовская область, Неклиновский район, х. Ломакин, ул. Комарова, 2-и, к.н. 61:26:0030201:90 (ориентировочная протяженность ЛЭП 0,08 км)</t>
  </si>
  <si>
    <t>Строительство ВЛ 0,4 кВ от опоры по ВЛ 0,4 кВ №1 ТП 10/0,4 кВ №3-102 по ВЛ 10 кВ №3 ПС 110/35/10 кВ Чалтырь для технологического присоединения нежилого здания Заявителя (ООО «ЮгАгроЗИП») по адресу: Ростовская область, Мясниковский район, с. Чалтырь, ул. Ростовская, д. 71, корп. В, к.н. №61:25:0101242:279 (ориентировочная протяженность ЛЭП 0,11 км)</t>
  </si>
  <si>
    <t>Строительство ВЛ 0,4 кВ от опоры по ВЛИ 0,4 кВ №1 ТП 10/0,4 кВ №7-44 по ВЛ 10 кВ №7 ПС 110/35/10 кВ Синявская для технологического присоединения жилого дома Заявителя (Макаренко В.А.) по адресу: Ростовская область, Мясниковский район, х. Недвиговка, ул. Молодежная, д. 29, корп. Б к.н.№61:25:0070101:4519 (ориентировочная протяженность ЛЭП 0,04 км)</t>
  </si>
  <si>
    <t>Строительство ВЛ 0,4 кВ от ВЛ 0,4 кВ №1 КТП №34м ВЛ 10 кВ №1 ПС 35/10/6 кВ «Гаевка» для технологического присоединения жилого дома Заявителя (Ланг И.Н.) по адресу: Ростовская область, Неклиновский район, х. Седых, ул. Центральная, 30-а, к.н. 61:26:0181101:646 (ориентировочная протяженность ЛЭП 0,07 км)</t>
  </si>
  <si>
    <t>Строительство ВЛ 0,4 кВ от ВЛ 0,4 кВ №2 КТП 10/0,4 кВ №44м ВЛ 10 кВ №5 ПС 35/10 кВ «Русский Колодец» для технологического присоединения жилого дома Заявителя (Решетникова Н.В.) по адресу: Ростовская область, Неклиновский район, с. Беглица, ул. Садовая, д. 2-ж, к.н. 61:26:0160401:3377 (ориентировочная протяженность ЛЭП 0,06 км)</t>
  </si>
  <si>
    <t>Строительство ВЛИ 0,4 кВ от опоры проектируемой по договору №61-1-21-00569145, запитанной от опоры по ВЛИ 0,4 кВ №1 ТП 10/0,4 кВ №2-27 по ВЛ 10 кВ №2 ПС 110/35/10 кВ Чалтырь для технологического присоединения жилого дома Заявителя (Дедушова С.А.) по адресу: Ростовская область, Мясниковский район, с. Крым, ул. Григора Бабияна, д. 46/а (ориентировочная протяженность ЛЭП 0,045 км)</t>
  </si>
  <si>
    <t>Строительство ВЛ 0,4 кВ от опоры ВЛ 0,4 кВ №3 от КТП 10/0,4кВ №130 по ВЛ 10 кВ №7 ПС 110/35/10 кВ Алексеевская, для технологического присоединения жилого дома Заявителя (Бутенко Л.П.) по адресу: Ростовская область, Матвеево-Курганский район, примерно 81 м в северо-восточном направлении с. Новоандриановка, ул. Степная 2-г, к.н. 61:21:0090401:1154 (ориентировочная протяженность ЛЭП 0,12 км)</t>
  </si>
  <si>
    <t>Строительство ВЛ 0,4 кВ от опоры по ВЛ 0,4 кВ №1 ТП №1-197 по ВЛ 10 кВ №1 ПС 110/35/10 кВ Чалтырь, для технологического присоединения нежилого помещения Заявителя (Мовсисян Р.Х.) по адресу: Ростовская область, Мясниковский район, 3-й км автодороги Ростов-на-Дону – Новошахтинск, уч. 1/2, к.н. 61:25:0600401:9527 (ориентировочная протяженность ЛЭП 0,07 км)</t>
  </si>
  <si>
    <t>Строительство ВЛ 0,4 кВ от оп. №13 ВЛ 0,4 кВ №1 КТП 10/0,4 кВ №31А ВЛ 10 кВ №4 ПС 35/10 кВ «Покровская» для технологического присоединения жилого дома Заявителя (Головченко А.А.) по адресу: Ростовская область, Неклиновский район, с. Покровское, пер. Мирный, д. 22-а, к.н. 61:26:0050134:744 (ориентировочная протяженность ЛЭП 0,1 км)</t>
  </si>
  <si>
    <t>Строительство ВЛ 0,4 кВ от  ВЛ 0,4кВ №5 ТП-268 по КЛ 6 кВ №309 ПС 35/6 кВ Т-3 для технологического присоединения нежилого здания Заявителя (ИП Безбородько С.Ю.) по адресу: Ростовская область, г. Таганрог, ул. Ленина, д. 217-а (ориентировочная протяженность ЛЭП 0,092 км)</t>
  </si>
  <si>
    <t xml:space="preserve">Строительство ВЛ 0,4 кВ от опоры, проектируемой ВЛ 0,4 кВ по договору №61-1-21-00613201 от ВЛ 0,4 кВ №1 КТП 10/0,4 кВ №34м ВЛ 10 кВ №1 ПС 35/10/6 кВ «Гаевка» для технологического присоединения жилого дома Заявителя (Гасинец Л.В.) по адресу: Ростовская область, Неклиновский район, х. Седых, ул. Центральная, д.30-Б, к.н. 61:26:0181101:647 (ориентировочная протяженность ЛЭП 0,040 км)
</t>
  </si>
  <si>
    <t>«Строительство ВЛ 0,4 кВ от РУ 0,4 кВ новой ТП 10/0,4 кВ, строительство ТП 10/0,4 кВ, строительство ВЛ 10 кВ от ВЛ 10 кВ №7 ПС 110/35/10 кВ Синявская для технологического присоединения производственного помещения заявителя (Синельников А.В.) по адресу: Ростовская область, Мясниковский р-н, х. Недвиговка, ул. Молодежная 42-а к.н. №61:25:0070101:4544 (ориентировочная протяженность ЛЭП - 0,015 км, ориентировочная мощность ТП – 100 кВА)»</t>
  </si>
  <si>
    <t>Строительство ВЛ 0,4 кВ от ТП 6/0,4 кВ № РТИ-1 КЛ 6 кВ № 71 ПС 110/6 кВ Т-17 для технологического присоединения нежилого помещения Заявителя (ИП Антипов А. А.) по адресу: Ростовская область, г. Таганрог, ул. Энгельса, 4 корпус А к.н. 61:58:0001044:25  (ориентировочная протяжённость: 0,19 км)</t>
  </si>
  <si>
    <t>Строительство ВЛ 0,4 кВ от ВЛ 0,4 кВ № 5 ТП 6/0,4 кВ № 64 КВЛ 6 кВ № 74 ПС 35/6 кВ Т-8 для технологического присоединения жилого дома Заявителя (Ситнер С. А.) по адресу: Ростовская область, г. Таганрог, пр. 4-й Линейный, 178 к.н. 61:58:0004182:23  (ориентировочная протяженность ЛЭП 0,14 км)</t>
  </si>
  <si>
    <t>Строительство ВЛ 0,4 кВ от ВЛ 0,4 кВ № 5 ТП 6/0,4 кВ № 45 КВЛ 6 кВ № 5 ПС 110/6 кВ Т-5 для технологического присоединения модульной котельной Заявителя (МУП "Городское хозяйство") по адресу: Ростовская область, г. Таганрог, ул. Александровская, 109 (ориентировочная протяженность ЛЭП 0,22 км)</t>
  </si>
  <si>
    <t>«Строительство BJ1 0,4 кВ от опоры по BJ1 0,4 кВ №1 ТП 10/0,4 кВ №7-15 по ВЛ 10 кВ №7 ПС 110/35/10 кВ Синявская, для технологического присоединения жилых домов Заявителей (Зибаров Ю.А., Иваненко Н.И., Колесников И.А.) по адресу: Ростовская область, Мясниковский район, х. Недвиговка, ул. Железнодорожная, д. 63, 62, 63/а, к.н. 61:25:0070101:1046, 61:25:0070101:1045, 61:25:0070101:1047 (ориентировочная протяженность ЛЭП 0,22 км)»</t>
  </si>
  <si>
    <t>Строительство ВЛ 0,4 кВ от опоры по ВЛ 0,4 кВ №1 ТП 10/0,4 кВ №7-7 по ВЛ 10 кВ №7 ПС 110/35/10 кВ Синявская для технологического присоединения жилого дома Заявителя (Павлюк Н.И.) по адресу: Ростовская область, Мясниковский район, х. Недвиговка, ул. Молодежная, д. 20/а, к.н. №61:25:0070101:1083 (ориентировочная протяженность ЛЭП 0,18 км)</t>
  </si>
  <si>
    <t>Строительство ВЛ 0,4 кВ от ВЛ 0,4 кВ проектируемой по договору 
№ 61-1-19-00443791 от 07.06.2019 от РУ 0,4 кВ ТП 10/0,4 кВ №1-207 по ВЛ 10 кВ №1 ПС 110/35/10 кВ Чалтырь, для технологического присоединения нежилого помещения Заявителя: (Маноле И.И.) по адресу: Ростовская обл. Мясниковский р-н, х. Ленинаван, ул. Садовая, д 11/4 к.н. 61:25:0600401:9578 (ориентировочная протяженность ЛЭП -0,15 км)</t>
  </si>
  <si>
    <t>Строительство ВЛ 0,4 кВ от РУ 0,4 кВ ТП 10/0,4 кВ, строительство ТП 10/0,4 кВ, строительство ВЛ 10 кВ от опоры по ВЛ 10 кВ №12 ПС 110/35/10 кВ Чалтырь, для технологического присоединения магазина Заявителя: (ИП Экизян С.З.), по адресу: Мясниковский район, с. Чалтырь, ул. Туманяна, уч. 1, к.н 61:25:0101512:134 (ориентировочная протяженность ЛЭП 0,12 км; мощность силового трансформатора – 0,16 МВА)</t>
  </si>
  <si>
    <t>Строительство ВЛ 0,4 кВ от РУ 0,4 кВ ТП 10/0,4 кВ, строительство ТП 10/0,4 кВ, строительство ВЛ 10 кВ от ВЛ 10 кВ №13 ПС 110/35/10 кВ Чалтырь, для технологического присоединения склада Заявителя: (Хантимерян Д.А.), по адресу: Мясниковский район, с. Крым, ул. Промышленная, д. 36, к.н 61:25:0600201:1129 (ориентировочная протяженность ЛЭП 0,03 км; мощность силового трансформатора – 0,16 МВА)</t>
  </si>
  <si>
    <t>Строительство ВЛ 0,4 кВ от ВЛ 0,4 кВ №2 КТП 10/0,4 кВ №522 ВЛ 10 кВ №1/3 ПС 110/35/10 кВ «Троицкая-1» для технологического присоединения жилого дома Заявителя (Нечаев П.В.) по адресу: Ростовская область, Неклиновский район, с. Николаевка, СНТ «Коммунальник», д. 26, к.н. 61:26:513701:88 (ориентировочная протяженность ЛЭП 0,510 км)</t>
  </si>
  <si>
    <t>Строительство ВЛ 0,4 кВ от РУ 0,4 кВ КТП 10/0,4 кВ №522 ВЛ 10 кВ №1/3 ПС 110/35/10 кВ «Троицкая-1» для технологического присоединения жилого дома Заявителя (Прус Г.Ф.) по адресу: Ростовская область, Неклиновский район, с. Николаевка, ДНТ «Коммунальник», д. 207, к.н. 61:26:0513701:108 (ориентировочная протяженность ЛЭП 0,410 км)</t>
  </si>
  <si>
    <t>Строительство ВЛ 0,4 кВ от новой ТП 10/0,4 кВ, строительство ТП 10/0,4 кВ, строительство ВЛ 10 кВ от ВЛ 10 кВ №7 ПС 35/10 кВ «Куйбышево-1», для технологического присоединения распределительного щита Заявителя (Федеральное государственное казенное учреждение "Пограничное управление Федеральной службы безопасности РФ по Ростовской области") по адресу: Ростовская область, р-он Куйбышевский, х. Новоивановка, х. Репяховатый. (ориентировочная протяжённость ЛЭП 1,16 км; мощность силового трансформатора 25 кВА)</t>
  </si>
  <si>
    <t xml:space="preserve">Строительство участка ВЛ-10 кВ от опоры №42 ВЛ-10 кВ №28 ПС 110/35/10 кВ КГУ, с установкой ТП-10/0,4 кВ и строительство ВЛИ-0,4 кВ от РУ-0,4 кВ вновь установленной ТП-10/0,4 кВ  для присоединения полевого стана ООО «Винодельня Ведерниковъ», расположенного по адресу: Ростовская область, Константиновский район, х. Ведерников, примерно в 2,8 км по направлению на северо-запад от ориентира х. Ведерников, к.н. 61:17:0600017:392 (ориентировочная протяженность ЛЭП 1,455 км, ориентировочная мощность трансформатора 63 кВА) </t>
  </si>
  <si>
    <t>Строительство участка ВЛИ-0,4 кВ от опоры №4/2 ВЛ-0,4 кВ №1 КТП 7191 ВЛ 10 кВ №24 ПС 110 кВ КГУ и установка прибора коммерческого учета электрической энергии (мощности) в точке поставки для присоединения жилого дома Семибратова Я.Н., расположенного по адресу: Ростовская область, Константиновский район, х. Ведерников,  пер. 2-й Переулок, д. 13Б, к.н.з.у. 61:17:0010602:574 (ориентировочная протяженность ЛЭП 0,027 км)</t>
  </si>
  <si>
    <t>Строительство участка ВЛЗ-10 кВ от вновь установленной опоры в пролете опор № 93-94 ВЛ-10кВ № 11 ПС 35/10кВ Николаевская, с установкой ТП-10/0,4 кВ, строительство ВЛИ-0,4 кВ от РУ-0,4 кВ вновь установленной ТП-10/0,4 кВ,  с установкой шкафов 0,4 кВ, и обеспечение коммерческим учетом электрической энергии (мощности) в точках поставки по присоединению жилых домов Заикина С.Н., Кунакова С.В. и Чеснокова П.М. расположенных по адресам: Ростовская область,  Константиновский район, станица Николаевская, ул. Центральная, д. 89, д. 83, д. 104, в границах кадастрового квартала: 61:17:0050101 (количество приборов учета – 3 шт., ориентировочная протяженность ЛЭП 0,241 км, ориентировочная мощность трансформатора 63 кВА)</t>
  </si>
  <si>
    <t>Строительство участка ВЛИ-0,4 кВ от вновь установленной опоры вновь построенной ВЛИ-0,4 кВ от вновь установленной ТП-10/0,4 кВ по ВЛ-10 кВ №11 ПС 35/10 кВ Николаевская (по договорам от 30.11.2020 №61-1-20-00547795, от 30.11.2020 № 61-1-20-00547801, от 30.11.2020 №61-1-20-00547471) для присоединения жилого дома Иванова С.С., расположенного по адресу: Ростовская область, Константиновский район, станица Николаевская, ул. Центральная, д.93, к.н.з.у. 61:17:0050101:2287 (ориентировочная протяженность ЛЭП 0,054 км)</t>
  </si>
  <si>
    <t>Строительство ВЛИ-0,4 кВ от РУ-0,4 кВ КТП-4222/25 кВА ВЛ-10кВ №6 ПС 35/10 кВ Киевская, с установкой прибора коммерческого учета электрической энергии (мощности) в точке поставки и шкафа 0,4 кВ для присоединения жилого дома Курбанова М.М., расположенного по адресу: Ростовская область, Ремонтненский район, с. Киевка, кадастровый номер земельного участка 61:32:0600003:833 (ориентировочная протяженность ЛЭП 0,06 км)</t>
  </si>
  <si>
    <t>Строительство участка ВЛЗ-6 кВ от опоры №12 ВЛ-6 кВ №15 ПС 35 кВ Романовская, с установкой ТП-6/0,4 кВ, строительство ВЛИ-0,4 кВ от РУ-0,4 кВ вновь установленной ТП-6/0,4 кВ и установка приборов коммерческого учета электрической энергии (мощности) в точках поставки для присоединения жилых домов Яндина В.С., Шепиченко П.В., Шепиченко С.С., Полунина В.Е., расположенных по адресам: Ростовская область, Волгодонской район, станица Романовская, ул. Шолохова, д.1, к.н.з.у. 61:08:0600601:4982, д.13, к.н.з.у. 61:08:0600601:4986, д.40, к.н.з.у. 61:08:0600601:5016, д.41, к.н.з.у. 61:08:0600601:5017 (ориентировочная протяженность ЛЭП 0,725 км, ориентировочная мощность трансформатора 63 кВА, количество приборов коммерческого учета – 4 шт)</t>
  </si>
  <si>
    <t>Строительство участка ВЛИ-0,4 кВ от опоры №19 ВЛ-0,4 кВ №3 КТП-8533/400 кВА ВЛ-6 кВ №5 ПС 35/6 кВ НС-13, с установкой шкафа 0,22 кВ, и  установка коммерческого  учета электрической энергии (мощности) в точке поставки по присоединению фоторадарного комплекса «Кордон-М» Министерства транспорта Ростовской области, расположенного по адресу: Ростовская область, Волгодонской район, Местоположение: от а/д Обход г. Волгодонск (на северо-запад от п. Красноярская = в 1 км) до границы Мартыновского района, кадастровый номер земельного участка 61:08:0600801:331:35 (ориентировочная протяженность ЛЭП 0,07 км)</t>
  </si>
  <si>
    <t xml:space="preserve">Строительство участка ВЛИ-0,4 кВ от вновь установленной опоры вновь построенной ВЛИ-0,4 кВ от опоры №6 ВЛ-0,4 кВ №1 КТП-8355/100 кВА по ВЛ-6 кВ №1 ПС 35/6 кВ Потаповская (по договору №61-1-19-00489609 от 19.12.2019г) для присоединения жилого дома Валуева В.В., расположенного по адресу: Ростовская область, Волгодонской район, х. Потапов, ул. Речная, д. 6, к.н. 61:08:040108:0015 (ориентировочная протяженность ЛЭП 0,14 км)
</t>
  </si>
  <si>
    <t>Строительство участка ВЛИ-0,4 кВ от вновь установленной опоры вновь построенной ВЛИ-0,4 кВ от вновь установленной ТП-6/0,4 кВ по ВЛ-6 кВ №14 ПС 35/6 Романовская (по договору ТП №61-1-20-00511687 от 19.05.2020г.) для присоединения жилого дома Гладышевой И.Ю., расположенного по адресу: Ростовская область, Волгодонской район, станица Романовская, ул. 75 лет Победы, д. 79,  к.н.:  61:08:0600601:4635 (ориентировочная  протяженность ЛЭП 0,235 км)</t>
  </si>
  <si>
    <t>Строительство участка ВЛИ-0,4 кВ от опоры №17 ВЛ 0,4 кВ №1 КТП 7004 ВЛ 10 кВ №15 ПС 110 кВ Константиновская и установка прибора коммерческого учета электрической энергии (мощности) в точке поставки для присоединения фельдшерского здравпункта МБУЗ «Центральная районная больница Константиновского района Ростовской области», расположенного по адресу: РО, Константиновский район, х. Костино-Горский, ул. Казачья, д. 12А, к.н.з.у. 61:17:0020201:598 (ориентировочная протяженность ЛЭП 0,021 км)</t>
  </si>
  <si>
    <t>Строительство участка ВЛИ-0,4 кВ от опоры №2/1 ВЛИ-0,4 кВ №3 КТП-3138/160 кВА по ВЛ-10 кВ №7 ПС 35/10 кВ Андреевская, с установкой шкафа 0,4 кВ, и  обеспечение коммерческим учетом электрической энергии (мощности) в точке поставки по присоединению жилого дома Актемирова Д.Д., расположенного по адресу: Ростовская область, Дубовский район, станица Андреевская, ул. Степная, д. 8, кадастровый номер земельного участка 61:09:0080101:591 (ориентировочная протяженность ЛЭП 0,025 км)</t>
  </si>
  <si>
    <t>Строительство участка ВЛИ-0,4 кВ от опоры №25 ВЛ-0,4 кВ №1 КТП-3086 ВЛ-10 кВ №3 ПС 110 кВ Дубовская и установка прибора коммерческого учета электрической энергии (мощности) в точке поставки для присоединения жилого помещения Дубягина Е.В., расположенного по адресу: Ростовская область, Дубовский район, х. Моисеев, пер. Набережный, д. 1б, кадастровый номер земельного участка 61:09:0010401:185 (ориентировочная протяженность ЛЭП 0,065 км)</t>
  </si>
  <si>
    <t>Строительство участка ВЛИ-0,4 кВ от опоры №8 ВЛ 0,4 кВ №2 КТП-7205 ВЛ 10 кВ №6 ПС 35/10 кВ Почтовская и установка прибора коммерческого учета электрической энергии (мощности) в точке поставки для присоединения здания телятника №1 ИП Степанова П.В. главы К(Ф)Х, расположенного по адресу: РО, Константиновский район, к.н.з.у.: 61:17:0600001:423 (ориентировочная протяженность ЛЭП 0,513 км)</t>
  </si>
  <si>
    <t>Строительство участка ВЛ-10 кВ от опоры №2/63 ВЛ-10 кВ №5 ПС 35/10 кВ Железнодорожная, с установкой ТП-10/0,4 кВ и строительство ВЛИ-0,4 кВ от РУ-0,4 кВ вновь установленной ТП-10/0,4 кВ  для присоединения нежилого помещения К(Ф)Х Парушева А.Г., расположенного по адресу: Ростовская область, Дубовский район, х. Романов, Романовское с/п, контур №308, к.н. 61:09:0600005:1184 (ориентировочная протяженность ЛЭП 0,86 км, ориентировочная мощность трансформатора 25 кВА)</t>
  </si>
  <si>
    <t>Строительство ВЛИ-0,4 кВ от РУ-0,4 кВ КТП 3388 ВЛ-10 кВ №6 ПС 110 кВ Малая Лучка и установка прибора коммерческого учета электрической энергии (мощности) в точке поставки для присоединения объекта крестьянского (фермерского) хозяйства ИП главы КФХ Краморова А.С., расположенного по адресу: Ростовская область, Дубовский район, станица Малая Лучка, Малолученское сельское поселение, в границах кадастрового квартала: 61:09:0600001, к.н.з.у. 61:09:0600001:218 (ориентировочная протяженность ЛЭП 0,45 км)</t>
  </si>
  <si>
    <t>Строительство участка ВЛ-10 кВ от опоры №2/9 ВЛ-10 кВ №2 ПС 110 кВ Богородская,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базовой станции/оборудования сотовой связи ООО «Вымпел-Коммуникации», расположенной по адресу: Ростовская область, Ремонтненский район, Калининское сельское поселение, на северо-восток от села Богородское, к.н.з.у.: 61:32:0600009:4067 (ориентировочная протяженность ЛЭП 0,026 км, ориентировочная мощность трансформатора 0,025 МВА)</t>
  </si>
  <si>
    <t>Строительство участка ВЛ-10 кВ от опоры №4 ВЛ-10 кВ №7 ПС 110 кВ Денисовская, с установкой ТП-10/0,23 кВ, строительство ВЛИ-0,22 кВ от РУ-0,23 кВ вновь установленной ТП-10/0,23 кВ и установка прибора коммерческого учета электрической энергии (мощности) в точке поставки для присоединения стеллы «Денисовский» Администрации Денисовского сельского поселения Ремонтненского района, расположенной по адресу: Ростовская область, Ремонтненский район, Денисовское сельское поселение, примерно 0,5 км по направлению на север от п. Денисовский, к.н.з.у. 61:32:0600008:9617 (ориентировочная протяженность ЛЭП 0,021 км, ориентировочная мощность трансформатора 0,00125 МВА)</t>
  </si>
  <si>
    <t>Строительство участка ВЛИ-0,4 кВ от опоры №12 ВЛ-0,4 кВ №4 КТП-1687 ВЛ-10 кВ №5 ПС 35 кВ Лозновская и установка прибора коммерческого учета электрической энергии (мощности) в точке поставки для присоединения жилого дома Кандаурова Г.И., расположенного по адресу: Ростовская область, Цимлянский район, п. Дубравный, ул. Лесхозная,  д. 62, кадастровый номер земельного участка 61:41:0030403:46 (ориентировочная протяженность ЛЭП 0,32 км)</t>
  </si>
  <si>
    <t>Строительство участка ВЛИ-0,4 кВ от опоры №4 ВЛ-0,4 кВ №2 КТП-1349/100 кВА ВЛ-10кВ №5 ПС 110/10 кВ Искра, с установкой шкафа 0,4 кВ, и  обеспечение коммерческим учетом электрической энергии (мощности) в точке поставки по присоединению жилого дома Козловского И.А., расположенного по адресу: Ростовская область, Цимлянский район, станица Кумшацкая, ул. Набережная,  д. 53, кадастровый номер земельного участка 61:41:0050501:35 (ориентировочная протяженность ЛЭП 0,38 км)</t>
  </si>
  <si>
    <t>Строительство ВЛИ-0,4 кВ от РУ-0,4 кВ КТП-1387/250 кВА по ВЛ-10 кВ №3 ПС 35/10 кВ Лозновская, с установкой шкафа 0,4 кВ, и  обеспечение коммерческим учетом электрической энергии (мощности) в точке поставки по присоединению жилого дома Грищенко Е.С., расположенного по адресу: Ростовская область, Цимлянский район, х. Лозной, ул. Аббясева, д. 38, кадастровый номер земельного участка 61:41:0030114:28 (ориентировочная протяженность ЛЭП 0,68 км)</t>
  </si>
  <si>
    <t>Строительство участка ВЛ-10 кВ от опоры №2/10 ВЛ 10 кВ №4 ПС 110 кВ Вербовая,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зерносклада №1 ООО «АГРО-СИСТЕМА», расположенного по адресу: Ростовская область, Дубовский район, х. Вербовый Лог, ул. Центральная, 25а, к.н.о.: 61:09:0130101:1555 (ориентировочная протяженность ЛЭП 0,05 км, ориентировочная мощность трансформатора 0,04 МВА)</t>
  </si>
  <si>
    <t xml:space="preserve">Строительство ВЛИ-0,4кВ от РУ-0,4кВ КТП-3074/63кВА ВЛ-10кВ №19 ПС 110/35/10кВ Дубовская, с установкой шкафа 0,4кВ, и обеспечение коммерческим учетом электрической энергии (мощности) в точке поставки по присоединению жилого помещения КФХ Багамаева И.О., расположенного по адресу: Ростовская область, Дубовский район, х. Новогашунский, установлено относительно ориентира в границах КК 60 00 09 Веселовского сельского поселения, 7,5км на восток от х. Новогашунский, расположенного в границах участка, кадастровый номер земельного участка: 61:09:060009:92 (ориентировочная протяженность ЛЭП 0,42км) </t>
  </si>
  <si>
    <t>Строительство участка ВЛ-10 кВ от опоры №9/4 ВЛ-10 кВ №9 ПС 35 кВ Железнодорожная,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помещения ИП Гребенкина К.Ю., расположенного по адресу: Ростовская область, Дубовский район, с. Дубовское, ул. Первомайская, д. 1а, к.н.з.у. 61:09:0110847:70 (ориентировочная протяженность ЛЭП 0,02 км, ориентировочная мощность трансформатора 25 кВА)</t>
  </si>
  <si>
    <t>Строительство участка ВЛИ-0,4 кВ от опоры №1 ВЛ 0,4 кВ №1 КТП 3419 ВЛ 10 кВ №24 ПС 110 кВ Жуковская и установка прибора коммерческого учета электрической энергии (мощности) в точке поставки для присоединения объекта сельскохозяйственного производства ООО «Дары Дона», расположенного по адресу: Ростовская область, Дубовский район, Жуковское сельское поселение, в границах кадастрового квартала 61:09:0600002, к.н.з.у. 61:09:0600002:1670 (ориентировочная протяженность ЛЭП 0,12 км)</t>
  </si>
  <si>
    <t>Строительство участка ВЛ-10 кВ от опоры №114 ВЛ-10 кВ №3 ПС 110 кВ Дубовская,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помещения ИП Костенко А.И., расположенного по адресу: Ростовская область, Дубовский район, х. Романов, Романовское сельское поселение в границах кадастрового квартала 61:09:0600005, к.н.з.у. 61:09:0600005:1634 (ориентировочная протяженность ЛЭП 0,05 км, ориентировочная мощность трансформатора 25 кВА)</t>
  </si>
  <si>
    <t>Строительство участка ВЛ-10 кВ от опоры №120 ВЛ 10 кВ №5 ПС 35 кВ Железнодорожная,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здания ИП главы К(Ф)Х Османова Р.О., расположенного по адресу: Ростовская область, Дубовский район, с. Дубовское, ул. Первомайская, д.2, к.н.з.у.: 61:09:0110838:3 (ориентировочная протяженность ЛЭП 0,025 км, ориентировочная мощность трансформатора 0,04 МВА)</t>
  </si>
  <si>
    <t>Строительство участка ВЛ-10 кВ от опоры №116 ВЛ 10 кВ №20 ПС 110 кВ ВдПТФ,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объекта крестьянского (фермерского) хозяйства ИП Лавреновой О.А., расположенного по адресу: Ростовская область, Дубовский район, к.н.з.у.: 61:09:0600004:1729 (ориентировочная протяженность ЛЭП 0,025 км, ориентировочная мощность трансформатора 0,16 МВА)</t>
  </si>
  <si>
    <t>Строительство участка ВЛ-10 кВ от опоры №7/12 ВЛ-10 кВ №7 ПС 110/10 кВ Вербовая, с установкой ТП-10/0,4 кВ, и строительство ВЛИ-0,4 кВ от РУ-0,4 кВ вновь установленной ТП-10/0,4 кВ, с установкой прибора коммерческого учета электрической энергии (мощности) в точке поставки и шкафа 0,4 кВ, для присоединения кошары ИП главы К(Ф)Х Рамазанова М.И., расположенной по адресу: Ростовская область, Дубовский район, х. Вербовый Лог, в 4,0 км на юго-запад от х. Вербовый Лог, контур №303, к.н.з.у. 61:09:0600003:599 (ориентировочная протяженность ЛЭП 0,06 км, ориентировочная мощность трансформатора 25 кВА)</t>
  </si>
  <si>
    <t>Строительство участка ВЛИ-0,4 кВ от опоры №1/7 ВЛИ-0,4 кВ №2 КТП 8530 ВЛ 6 кВ №14 ПС 35 кВ Романовская и установка прибора коммерческого учета электрической энергии (мощности) в точке поставки для присоединения жилого дома Шумилова А.В., расположенного по адресу: Ростовская область, Волгодонской район, станица Романовская, ул. Забазновой, д. 8, к.н.з.у. 61:08:0070112:449 (ориентировочная протяженность ЛЭП 0,035 км)</t>
  </si>
  <si>
    <t>Строительство участка ВЛИ-0,4 кВ от опоры №11 ВЛ 0,4 кВ №1 КТП 8163 ВЛ 10 кВ №9 ПС 35 кВ Донская и установка прибора коммерческого учета электрической энергии (мощности) в точке поставки для присоединения малоэтажной жилой застройки Хан А.К., расположенной по адресу: Ростовская область, Волгодонской район, п. Мичуринский, ул. Молодежная, д. 4а, к.н.з.у. 61:08:0601101:462 (ориентировочная протяженность ЛЭП 0,025 км)</t>
  </si>
  <si>
    <t>Строительство участка ВЛИ-0,4 кВ от вновь установленной опоры вновь построенной ВЛИ-0,4 кВ от опоры №1/4 ВЛ-0,4 кВ №3 КТП-8576/250 кВА ВЛ-6 кВ №6 ПС 35/6 кВ Потаповская (по договору №61-1-19-00479111 от 07.11.2019г и №61-1-19-00479873 от 07.11.2019г.) для присоединения жилого дома Ткаченко В.И., расположенного по адресу: Ростовская область, Волгодонской район, х. Степной, ул. Весенняя, д.1, к.н. 61:08:040702:0178 (ориентировочная протяженность ЛЭП 0,035 км)</t>
  </si>
  <si>
    <t>Строительство участка ВЛИ-0,4 кВ от опоры №1/5 ВЛ-0,4 кВ №3 КТП-8452/250 кВА ВЛ-6 кВ №1 ПС 35/6 кВ Романовская, с установкой шкафа 0,4 кВ, и  обеспечение коммерческим учетом электрической энергии (мощности) в точке поставки по присоединению блокированного жилого дома Тамилина К.Ф., расположенного по адресу: Ростовская область, Волгодонской район, х. Погожев, ул. Гладкова, д. 37, кадастровый номер земельного участка 61:08:0600601:4707 (ориентировочная протяженность ЛЭП 0,13 км)</t>
  </si>
  <si>
    <t>Строительство участка ВЛИ-0,4 кВ от опоры №6 ВЛ-0,4 кВ №1 КТП-8355/100 кВА ВЛ-6 кВ №1 ПС 35/6 кВ Потаповская для присоединения жилого дома Приступы Ю.В., расположенного по адресу: Ростовская область, Волгодонской район, х. Потапов, ул. Речная, д.16, к.н. 61:08:0040108:148 (ориентировочная протяженность ЛЭП 0,19 км)</t>
  </si>
  <si>
    <t>Строительство участка ВЛИ-0,4 кВ от вновь установленной опоры вновь построенного участка ВЛИ-0,4 кВ от опоры №2 ВЛ-0,4 кВ №1 КТП-8576/250 кВА ВЛ-6 кВ №6 ПС 35/6 КВ Потаповская (по договору ТП №61-1-19-00487433 от 10.12.2019г), с установкой шкафа 0,4 кВ, и обеспечение коммерческим учетом электрической энергии (мощности) в точке поставки по присоеддинению жилого дома Меркуловой Т.В., расположенного по адресу: Ростовская область, Волгодонской район, х. Степной, ул. Комсомольская, д.1, кадастровый номер земельного участка 61:08:0040702:524 (ориентировочная протяженность ЛЭП 0,09 км)</t>
  </si>
  <si>
    <t>Строительство участка ВЛИ-0,4 кВ от опоры №1/28 ВЛИ-0,4 кВ №2 КТП-8461 ВЛ 6 кВ №11 ПС 35 Шлюзовая и установка прибора коммерческого учета электрической энергии (мощности) в точке поставки для присоединения блока 2 Малкина С.А., расположенного по адресу: Ростовская область, Волгодонской район, х. Парамонов, ул. Березовая, д. 11, к.н.з.у. 61:08:0600601:5197 (ориентировочная протяженность ЛЭП 0,03 км)</t>
  </si>
  <si>
    <t>Строительство участка ВЛ-10 кВ от опоры №3/10 ВЛ-10 кВ №3 ПС 110/35/10 кВ Большовская,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объекта крестьянского (фермерского) хозяйства ИП главы К(Ф)Х Кушнира В.А., расположенного по адресу: Ростовская область, Волгодонской район, 247 м юго-западнее ж.д. №21 ул. Степная, х. Морозов, к.н.з.у.: 61:08:0020202:491 (ориентировочная протяженность ЛЭП 0,07 км, ориентировочная мощность трансформатора 0,04 МВА)</t>
  </si>
  <si>
    <t xml:space="preserve">Строительство участка ВЛИ-0,4 кВ от опоры №1/14 ВЛ 0,4 кВ №1 КТП-8560/100 кВА ВЛ-6 кВ №1 ПС 35/10 кВ НС-12, с установкой шкафа 0,4 кВ, и  обеспечение коммерческим учетом электрической энергии (мощности) в точке поставки по присоединению жилого дома Куликовой С.А., расположенного по адресу: Ростовская область, Волгодонской район, Станица Романовская, снт. Юбилейное, кадастровый номер земельного участка: 61:08:0601901:1304 (ориентировочная протяженность ЛЭП 0,06 км)
</t>
  </si>
  <si>
    <t>Строительство участка ВЛИ-0,4 кВ от опоры №1/13 ВЛ-0,4 кВ №2 КТП-8585/63 кВА ВЛ-6 кВ №7 ПС 35/6 кВ Романовская, с установкой шкафа 0,22 кВ, и обеспечение коммерческим учетом электрической энергии (мощности) в точке поставки по присоединению жилого дома Красиловой М.П., расположенного по адресу: Ростовская область, Волгодонской район, станица Романовская, ул. Тюхова, д. 127, к.н. 61:08:0070133:69 (ориентировочная протяженность ЛЭП 0,08 км)</t>
  </si>
  <si>
    <t>Строительство участка ВЛИ-0,4 кВ от опоры №1 ВЛ 0,4 кВ №3 КТП 8105 ВЛ 10 кВ №4 ПС 35 кВ Виноградная и установка прибора коммерческого учета электрической энергии (мощности) в точке поставки для присоединения склада ИП Кравчука В.В., расположенного по адресу: Ростовская область, Волгодонской район, п. Виноградный, 100 м. севернее дома №12 ул. Юбилейная, к.н.з.у. 61:08:0000000:3817 (ориентировочная протяженность ЛЭП 0,12 км)</t>
  </si>
  <si>
    <t>Строительство участка ВЛИ-0,4 кВ от опоры №2 ВЛ-0,4 кВ №1КТП-8576/250 кВА ВЛ-6 кВ №6 ПС 35/6 кВ Потаповская для присоединения жилого дома Винникова А.Я., расположенного по адресу: Ростовская область, Волгодонской район, х. Степной, ул. Комсомольская, д.2, к.н. 61:08:0040702:597 (ориентировочная протяженность ЛЭП 0,55 км)</t>
  </si>
  <si>
    <t xml:space="preserve">Строительство участка ВЛИ-0,4 кВ от опоры №10 ВЛ-0,4 кВ №2КТП-8478/160 кВА ВЛ-6 кВ №14 ПС 35/6 кВ Романовская для присоединения жилого дома Васильченко Д.С., расположенного по адресу: Ростовская область, Волгодонской район, станица Романовская, ул. Депутатская, д. 36, к.н. 61:08:0070101:507 (ориентировочная протяженность ЛЭП 0,07 км)
</t>
  </si>
  <si>
    <t>Строительство участка ВЛ-6 кВ от опоры №101 ВЛ-6 кВ №5 ПС 35 кВ НС-8,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охотничье-рыболовной базы (к.н. 61:48:0060101:115) ИП Бондаренко Д.Д., расположенной по адресу: Ростовская область, Волгодонской район, примерно в 500 м по направлению на северо-восток от ориентира п. Сибирьковый, ул. Надежды, №1, к.н.з.у.: 61:48:0060101:59 (ориентировочная протяженность ЛЭП 0,13 км, ориентировочная мощность трансформатора 0,063 МВА)</t>
  </si>
  <si>
    <t>Строительство участка ВЛИ-0,4 кВ от вновь установленной опоры вновь построенного участка ВЛИ-0,4 кВ от опоры №1 ВЛИ-0,4 кВ №1 КТП-8608 ВЛ-6 кВ №14 ПС 35 кВ Романовская (по договору ТП №61-1-20-00515733 от 30.06.2020г.) и установка прибора коммерческого учета электрической энергии (мощности) в точке поставки для присоединения индивидуального жилого дома Балабановой Е.А., расположенного по адресу: Ростовская область, Волгодонской район, станица Романовская, ул. 75 лет Победы, д. 83, к.н.з.у.: 61:08:0600601:4639 (ориентировочная протяженность ЛЭП 0,022 км)</t>
  </si>
  <si>
    <t>Строительство ВЛИ-0,4 кВ от РУ-0,4 кВ вновь устанавливаемой ТП-6/0,4 кВ, установка ТП 6/0,4 кВ от опоры №23/4 ВЛ-6 кВ №1 ПС 35/6 кВ Романовская и установка прибора коммерческого учета электрической энергии (мощности) в точке поставки для присоединения базы отдыха ИП Пономарева И.А., расположенной по адресу: Ростовская область, г. Волгодонск, ул. Отдыха, д. 49, к.н.з.у: 61:48:0020101:93 (ориентировочная протяженность ЛЭП 0,09 км, ориентировочная мощность трансформатора 0,1 МВА)</t>
  </si>
  <si>
    <t>Строительство участка ВЛИ-0,4 кВ от опоры №25 ВЛ 0,4 кВ №2 КТП 7401 ВЛ 10 кВ №11 ПС 35 кВ Николаевская и установка прибора коммерческого учета электрической энергии (мощности) в точке поставки для присоединения жилого дома Погорелова А.Г., расположенного по адресу: Ростовская область, Константиновский район, станица Николаевская, ул. Победы, д. 62, к.н.з.у. 61:17:0050101:2163 (ориентировочная протяженность ЛЭП 0,02 км)</t>
  </si>
  <si>
    <t>Строительство участка ВЛИ-0,4 кВ от опоры №1/3 ВЛ-0,4 кВ №1 КТП 7132 ВЛ-10 кВ №21 ПС 110 кВ КГУ и установка прибора коммерческого учета электрической энергии (мощности) в точке поставки для присоединения квартиры Черкасова А.Г, расположенной по адресу: Ростовская область, Константиновский район, х. Камышный, ул. Новая, д.11, кв.2, к.н.з.у. 61:17:0030201:42 (ориентировочная протяженность ЛЭП 0,035 км)</t>
  </si>
  <si>
    <t>Строительство участка ВЛИ-0,4 кВ от опоры №7 ВЛИ 0,4 кВ №2 КТП 7027 ВЛ 10 кВ №24 ПС 110 кВ КГУ и установка прибора коммерческого учета электрической энергии (мощности) в точке поставки для присоединения жилого дома Авраамова Д.С., расположенного по адресу: Ростовская область, Константиновский район, х. Ведерников, ул. Казачья, д. 2-б, к.н.з.у. 61:17:0010603:193 (ориентировочная протяженность ЛЭП 0,038 км)</t>
  </si>
  <si>
    <t>Строительство участка ВЛИ-0,4 кВ от опоры №2 ВЛ 0,4 кВ №1 КТП 7055 ВЛ 10 кВ №1 ПС 35 кВ Почтовская и установка прибора коммерческого учета электрической энергии (мощности) в точке поставки для присоединения ангара ООО «Вега»., расположенного по адресу: Ростовская область, Константиновский район, х. Кременской, ориентир ТОО «Знамя», к.н.з.у. 61:17:0600002:2286 (ориентировочная протяженность ЛЭП 0,1 км)</t>
  </si>
  <si>
    <t>Строительство участка ВЛИ-0,4 кВ от опоры №8 ВЛ-0,4 кВ №2 КТП 7402 ВЛ 10 кВ №11 ПС 35 кВ Николаевская и установка прибора коммерческого учета электрической энергии (мощности) в точке поставки для присоединения индивидуального жилого дома Вифлянцева Е.Н., расположенного по адресу: Ростовская область, Константиновский район, станица Николаевская, ул. Крупской, д. 56, к.н.з.у. 61:17:0050101:2019 (ориентировочная протяженность ЛЭП 0,017 км)</t>
  </si>
  <si>
    <t>Строительство участка ВЛИ-0,4 кВ от вновь установленной опоры вновь построенной ВЛИ-0,4 кВ от вновь установленной ТП-10/0,4 кВ по ВЛ-10 кВ №11 ПС 35/10 кВ Николаевская (по договору ТП №61-1-20-00508293 от 10.04.2020г), с установкой шкафа 0,4 кВ, и  обеспечение коммерческим учетом электрической энергии (мощности) в точке поставки по присоединению жилого дома Журавлевой О.М., расположенного по адресу: Ростовская область, Константиновский район, станица Николаевская,  ул. Карла Маркса, д. 78,  кадастровый номер земельного участка 61:17:0050101:1695 (ориентировочная протяженность ЛЭП 0,095 км)</t>
  </si>
  <si>
    <t>Строительство участка ВЛИ-0,4 кВ от опоры №1/19 ВЛ-0,4 кВ №2 КТП-7392/400 кВА ВЛ-10 кВ №4 ПС 35/10 кВ Николаевская, с установкой шкафа 0,4 кВ, и  обеспечение коммерческим учетом электрической энергии (мощности) в точке поставки по присоединению жилого дома Клименко Е.А., расположенного по адресу: Ростовская область, Константиновский район, станица Николаевская, ул. Фридриха Энгельса, д. 8,  кадастровый номер земельного участка 61:17:0050101:203 (ориентировочная протяженность ЛЭП 0,08 км)</t>
  </si>
  <si>
    <t>Строительство ВЛИ-0,4 кВ от РУ-0,4 кВ КТП 7169 ВЛ 10 кВ №5 ПС 35 кВ Савельевская и установка прибора коммерческого учета электрической энергии (мощности) в точке поставки для присоединения здания склада ИП главы К(Ф)Х Кондакова Ю.В., расположенного по адресу: Ростовская область, Константиновский район, х. Гапкин, к.н.з.у. 61:17:0600008:2198 (ориентировочная протяженность ЛЭП 0,031 км)</t>
  </si>
  <si>
    <t>Строительство участка ВЛИ-0,4 кВ от опоры №13 ВЛ-0,4 кВ №1 КТП-7424 ВЛ-10 кВ №11 ПС 35 кВ Николаевская и установка прибора коммерческого учета электрической энергии (мощности) в точке поставки для присоединения жилого дома Кротова Н.А., расположенного по адресу: Ростовская область, Константиновский район, станица Николаевская, ул. Победы, д. 88, кадастровый номер земельного участка 61:17:050101:2187 (ориентировочная протяженность ЛЭП 0,03 км)</t>
  </si>
  <si>
    <t>Строительство участка ВЛИ-0,4 кВ от опоры №1/2 ВЛИ-0,4 кВ №1 КТП-7215/100 кВА ВЛ-10кВ №24 ПС 110/35/10 кВ КГУ, с установкой шкафа 0,4 кВ, и  обеспечение коммерческим учетом электрической энергии (мощности) в точке поставки по присоединению домика временного пребывания ИП Фалько А.А., расположенного по адресу: Ростовская область, Константиновский район, г. Константиновск, ул. Правобережная, д. 23Г, кадастровый номер земельного участка 61:17:0600017:581 (ориентировочная протяженность ЛЭП 0,065 км)</t>
  </si>
  <si>
    <t>Строительство участка ВЛИ-0,4 кВ от опоры №1 ВЛ-0,4 кВ №3 КТП-3480 ВЛ-10 кВ №7 ПС 35 кВ Семичная и установка приборов коммерческого учета электрической энергии (мощности) в точках поставки для присоединения жилого помещения Никитенко Е.С. и квартиры Виноградова А.Ю, расположенных по адресу: РО, Дубовский район, х. Семичный, к.н.з.у. 61:09:0020101:503 и к.н.з.у. 61:09:0020101:1940 (ориентировочная протяженность ЛЭП 0,425 км, количество приборов учета  - 2 шт.)</t>
  </si>
  <si>
    <t>Строительство участка ВЛИ-0,4 кВ от опоры №14 ВЛ 0,4 кВ №2 КТП-4242 ВЛ 10 кВ №17 ПС 35 кВ Киевская и установка прибора коммерческого учета электрической энергии (мощности) в точке поставки для присоединения жилого дома Лобачевой М.В., расположенного по адресу: Ростовская область, Ремонтненский район, с. Киевка, ул. Ленинская, д. 57, к.н.з.у. 61:32:005101:1396 (ориентировочная протяженность ЛЭП 0,03 км)</t>
  </si>
  <si>
    <t>Строительство участка ВЛИ-0,4 кВ от опоры №10 ВЛ-0,4 кВ №1 КТП-4192 ВЛ-10 кВ №6 ПС 35 кВ Подгоренская и установка прибора коммерческого учета электрической энергии (мощности) в точке поставки для присоединения квартиры Елисеенко Ю.В., расположенной по адресу: Ростовская область, Ремонтненский район, х. Цветной, ул. Центральная, д.19, кв./оф. 1, кадастровый номер объекта: 61:32:0090301:0:1/1 (ориентировочная протяженность ЛЭП 0,44 км)</t>
  </si>
  <si>
    <t>Строительство ВЛИ-0,4 кВ от РУ-0,4 кВ вновь устанавливаемой ТП-10/0,4 кВ, установка ТП 10/0,4 кВ от опоры №145 ВЛ-10 кВ №7 ПС 35 кВ Валуевская и установка прибора коммерческого учета электрической энергии (мощности) в точке поставки для присоединения зернового склада ИП главы К(Ф)Х Клевина Д.В., расположенного по адресу: Ростовская область, Ремонтненский район, примерно в 4-5 км по направлению на восток от с. Валуевка, кадастровый номер объекта: 61:32:0000000:2504 (ориентировочная протяженность ЛЭП 0,06 км, ориентировочная мощность трансформатора 0,025 МВА)</t>
  </si>
  <si>
    <t>Строительство ВЛИ-0,4 кВ от РУ-0,4 кВ КТП 4012 ВЛ 10 кВ №6 ПС 110 кВ Ремонтненская и установка прибора коммерческого учета электрической энергии (мощности) в точке поставки для присоединения навеса ИП Ильенко М.М., расположенного по адресу: Ростовская область, Ремонтненский район, Ремонтненское сельское поселение, пастбище – в 5 км на восток от с. Ремонтного, 61 отарные участки по балке «Песчаная», к.н.з.у. 61:32:0600006:2843 (ориентировочная протяженность ЛЭП 0,17 км)</t>
  </si>
  <si>
    <t>Строительство ВЛИ-0,4 кВ от РУ-0,4 кВ КТП 4408 ВЛ-10 кВ №8 ПС 35 кВ Кормовая и установка прибора коммерческого учета электрической энергии (мощности) в точке поставки для присоединения полевого стана ИП Литовкиной Л.Ф., расположенного по адресу: Ростовская область, Ремонтненский район, Кормовское сельское поселение, V поле второго полевого севооборота в 6,3 км на северо-восток от с. Кормовое и I поле первого севооборота в 8,3 км на северо-восток от с. Кормовое, к.н.з.у. 61:32:0600012:3390 (ориентировочная протяженность ЛЭП 0,46 км)</t>
  </si>
  <si>
    <t>Строительство участка ВЛИ-0,22 кВ от опоры №1/6 ВЛ-0,4 кВ №2 КТП 5166 ВЛ-10 кВ №5 ПС 35 кВ Фоминская и установка прибора коммерческого учета электрической энергии (мощности) в точке поставки для присоединения жилого дома Милостинской О.М., расположенного по адресу: Ростовская область, Заветинский район, х. Алексеев, ул. Центральная, д. 4-б, к.н.з.у. 61:11:0080201: 26 (ориентировочная протяженность ЛЭП 0,058 км</t>
  </si>
  <si>
    <t xml:space="preserve">Строительство участка ВЛ-10 кВ от опоры №5/30 ВЛ-10 кВ №13ПС 110/35/10 кВ Заветинская,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точках поставки по присоединению кашары ИП главы К(Ф)Х Мадаевой Т.С., расположенной по адресу: Ростовская область, Заветинский район, с. Заветное, проезд Северный, д.4, к.н. 61:11:0010101:8869 (ориентировочная протяженность ЛЭП 0,019 км, ориентировочная мощность трансформатора 25 кВА)
</t>
  </si>
  <si>
    <t>Строительство участка ВЛ-10 кВ от опоры №2/1 ВЛ-10 кВ №6 ПС 35/10 кВ Кичкинская,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точке поставки по присоединению нежилого здания ИП главы К(Ф)Х Магомедовой Н.О., расположенного по адресу: Ростовская область, Заветинский район, Кичкинское сельское поселение, кадастровый номер земельного участка 61:11:0600010:449 (ориентировочная протяженность ЛЭП 0,025 км, ориентировочная мощность трансформатора 25 кВА)</t>
  </si>
  <si>
    <t xml:space="preserve">Строительство участка ВЛИ-0,4 кВ от опоры №3 ВЛ 0,4 кВ №1КТП-5023/25 кВА ВЛ-10 кВ №13 ПС 110/35/10 кВ Заветинская, с установкой шкафа 0,4 кВ, и обеспечение коммерческим учетом электрической энергии (мощности) в точке поставки по присоединению кошары Курбанова Т.Г., расположенной по адресу: Ростовская область, Заветинский район, с. Заветное, проезд. Северный, д. 6, кадастровый номер земельного участка: 61:11:0010101:7343 (ориентировочная протяженность ЛЭП 0,05 км)
</t>
  </si>
  <si>
    <t>Строительство участка ВЛИ-0,4 кВ от опоры №2 ВЛ-0,4 кВ №1 КТП-5184/160 кВА по ВЛ-10 кВ №9 ПС 35/10 кВ Руно для присоединения нежилого здания ИП главы К(Ф)Х Ибрагимова Н.М., расположенного по адресу: Ростовская область, Заветинский район, с. Тюльпаны, ул. Магистральная, д. 24,  к.н.: 61:11:0600012:555 (ориентировочная  протяженность ЛЭП 0,051 км)</t>
  </si>
  <si>
    <t>Строительство участка ВЛ-10 кВ от опоры №2/224 ВЛ-10 кВ №2 ПС 35 кВ Киселевская,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здания ИП главы К(Ф)Х Гусейнова А.Н., расположенного по адресу: Ростовская область, Заветинский район, с. Киселевка, к.н.з.у.: 61:11:0600002:1656 (ориентировочная протяженность ЛЭП 0,02 км, ориентировочная мощность трансформатора 0,025 МВА)</t>
  </si>
  <si>
    <t>Строительство ВЛИ-0,4 кВ от РУ-0,4 кВ КТП 5478 ВЛ 10 кВ №13 ПС 110 кВ Заветинская и установка прибора коммерческого учета электрической энергии (мощности) в точке поставки для присоединения квартиры Бондаренко Д.В., расположенной по адресу: Ростовская область, Заветинский район, с. Заветное, проезд Восточный, д. 1, кв. 1, к.н.з.у. 61:11:0600005:885 (ориентировочная протяженность ЛЭП 0,058 км)</t>
  </si>
  <si>
    <t>Строительство участка ВЛИ-0,4 кВ от опоры №24 ВЛ 0,4 кВ №1 КТП-1654 ВЛ 10 кВ №2 ПС 35 кВ ЖБИ и установка прибора коммерческого учета электрической энергии (мощности) в точке поставки для присоединения жилого дома Вислянского И.И., расположенного по адресу: Ростовская область, Цимлянский район, станица Красноярская, ул. Заречная, д. 68, к.н.з.у. 61:41:0020127:103 (ориентировочная протяженность ЛЭП 0,2 км)</t>
  </si>
  <si>
    <t>Строительство участка ВЛИ-0,4 кВ от опоры №44 ВЛ 0,4 кВ №2 КТП-1395 ВЛ 10 кВ №4 ПС 35 кВ ЖБИ и установка прибора коммерческого учета электрической энергии (мощности) в точке поставки для присоединения жилого дома Дричиц О.Н., расположенного по адресу: Ростовская область, Цимлянский район, станица Красноярская, ул. Матросова, д. 2г, к.н.з.у. 61:41:0020106:217 (ориентировочная протяженность ЛЭП 0,04 км)</t>
  </si>
  <si>
    <t xml:space="preserve">Строительство ВЛИ-0,4 кВ от РУ-0,4 кВ вновь установленной ТП-10/0,4 кВ по ВЛ-10 кВ №5 ПС 35/10 кВ Лозновская (по договору №61-1-19-00502997 от 19.03.2020г) для присоединения жилого дома Юрина В.П., асположенного по адресу: Ростовская область, Цимлянский район, п. Сосенки, ул. Новая, д.46, к.н. 61:41:0030302:48 (ориентировочная протяженность ЛЭП 0,11 км)»
</t>
  </si>
  <si>
    <t>Строительство участка ВЛИ-0,4 кВ от опоры №9 ВЛ-0,4 кВ №1 КТП 1381 ВЛ 10 кВ №5 ПС 35 кВ Лозновская и установка прибора коммерческого учета электрической энергии (мощности) в точке поставки для присоединения жилого дома Элькиной С.А., расположенного по адресу: Ростовская область, Цимлянский район, п. Дубравный, пер. Дружбы, д.24, к.н.з.у. 61:41:0030405:51 (ориентировочная протяженность ЛЭП 0,27 км)</t>
  </si>
  <si>
    <t>Строительство участка ВЛИ-0,4 кВ от опоры №39 ВЛ 0,4 кВ №2 КТП 1687 ВЛ 10 кВ №5 ПС 35 кВ Лозновская и установка прибора коммерческого учета электрической энергии (мощности) в точке поставки для присоединения жилого дома Сагаря И.В., расположенного по адресу: Ростовская область, Цимлянский район, п. Дубравный, ул. Лесхозная, д. 2-а, к.н.з.у. 61:41:0030403:430 (ориентировочная протяженность ЛЭП 0,02 км)</t>
  </si>
  <si>
    <t>Строительство участка ВЛИ-0,4 кВ от опоры №1/14 ВЛ-0,4 кВ №1 КТП-8560/100 кВА ВЛ-6 кВ №1 ПС 35/6 кВ НС-12, с установкой шкафа 0,4 кВ, и  обеспечение коммерческим учетом электрической энергии (мощности) в точке поставки по присоединению дачного домика Денисенко Л.Н., расположенной по адресу: Ростовская область, Волгодонской район, сдт. Юбилейное, кадастровый номер земельного участка 61:08:0601901:467 (ориентировочная протяженность ЛЭП 0,035 км)</t>
  </si>
  <si>
    <t xml:space="preserve">Строительство участка ВЛЗ-6 кВ от опоры №11/14 ВЛ-6 кВ №14 ПС 35/6 кВ Романовская, с установкой ТП-6/0,4 кВ и строительство ВЛИ-0,4 кВ от РУ-0,4 кВ вновь установленной ТП-6/0,4 кВ  для присоединения жилого дома Овчаровой Л.Н., расположенного по адресу: Ростовская область, Волгодонской район, станица Романовская, ул. 75 лет Победы, д.7, к.н. 61:08:0600601:4564 (ориентировочная протяженность ЛЭП 0,29 км, ориентировочная мощность трансформатора 160 кВА)
</t>
  </si>
  <si>
    <t>Строительство ВЛИ-0,4 кВ от новой ТП-10/0,4 кВ и строительство ТП 10/0,4 кВ от опоры №9/7 ВЛЗ-6 кВ №5 ПС 35/6 кВ НС-13 для присоединения зверофермы Винокуровой О.Л., расположенной по адресу: Ростовская область, Волгодонской район, х. Сухая Балка, к.н. 61:08:0600801:811 (ориентировочная протяженность ЛЭП 0,01 км, ориентировочная мощность трансформатора 25 кВА)</t>
  </si>
  <si>
    <t>Строительство участка ВЛИ-0,4 кВ от опоры №1/6 ВЛИ-0,4 кВ №2 КТП 8343 ВЛ 6 кВ №14 ПС 35 кВ Романовская и установка прибора коммерческого учета электрической энергии (мощности) в точке поставки для присоединения индивидуального жилого дома Васильевой М.Е., расположенного по адресу: Ростовская область, Волгодонской район, станица Романовская, ул. Язева, д. 53, к.н.з.у. 61:08:0600601:4502 (ориентировочная протяженность ЛЭП 0,03 км)</t>
  </si>
  <si>
    <t>Строительство участка ВЛ-10 кВ от опоры №83 ВЛ-10 кВ №15 ПС 220/110/10 кВ Зимовники, с установкой ТП-10/0,4 кВ и строительство ВЛИ-0,4 кВ от РУ-0,4 кВ вновь установленной ТП-10/0,4 кВ  для присоединения полигона отходов производства и потребления МУП ЖКХ Зимовниковского района, расположенного по адресу: Ростовская область, Зимовниковский район, п. Зимовники, 0,5 км на запад, к.н. 61:13:0600008:1619 (ориентировочная протяженность ЛЭП 3,815 км, ориентировочная мощность трансформатора 25 кВА)</t>
  </si>
  <si>
    <t>Строительство участка ВЛИ-0,4 кВ от опоры №1 ВЛ 0,4 кВ №4 КТП-6124 ВЛ 10 кВ №6 ПС 110 кВ Мартыновская и установка прибора коммерческого учета электрической энергии (мощности) в точке поставки для присоединения зерносклада КХ Тарим, расположенного по адресу: Ростовская область, Мартыновский район, х. Кривой Лиман, участок примерно в 223 по направлению на юго-запад, к.н.з.у. 61:20:0600020:2209 (ориентировочная протяженность ЛЭП 0,075 км)</t>
  </si>
  <si>
    <t>Строительство участка ВЛИ-0,4 кВ от опоры №22  ВЛ-0,4 кВ №2 КТП-6193/160 кВА ВЛ-10 кВ №6 ПС 110/35/10 кВ Мартыновская, с установкой шкафа 0,4 кВ, и  обеспечение коммерческим учетом электрической энергии (мощности) в точке поставки по присоединению теплицы Мамедова Н.А., расположенной по адресу: Ростовская область, Мартыновский район, х. Арбузов, в 40 метрах на юг от ул. Школьная, д. 78, кадастровый номер земельного участка. 61:20:0080201:2116 (ориентировочная протяженность ЛЭП 0,035 км)</t>
  </si>
  <si>
    <t>Строительство участка ВЛИ-0,4 кВ от опоры №16 ВЛ-0,4 кВ №1 КТП 6092 ВЛ 10 кВ №12 ПС 110 кВ Мартыновская и установка прибора коммерческого учета электрической энергии (мощности) в точке поставки для присоединения скважины для полива огорода Мавлюдовой З.С., расположенной по адресу: Ростовская область, Мартыновский район, х. Новониколаевский, ул. Центральная, д. 8в, к.н.з.у. 61:20:0080501:529 (ориентировочная протяженность ЛЭП 0,085 км)</t>
  </si>
  <si>
    <t>Строительство участка ВЛИ-0,4 кВ от опоры №1 ВЛ-0,4 кВ №2 КТП-6101/100 кВА ВЛ-10 кВ №6 ПС 110/35/10 кВ Мартыновская, с установкой шкафа 0,4 кВ, и  обеспечение коммерческим учетом электрической энергии (мощности) в точке поставки по присоединению скважины для полива огорода Луманова Е.И., расположенной по адресу: Ростовская область, Мартыновский район, х. Арбузов, ул. Краснопартизанская, д. 62, кадастровый номер земельного участка 61:20:0600019:1213 (ориентировочная протяженность ЛЭП 0,212 км)</t>
  </si>
  <si>
    <t>Строительство участка ВЛИ-0,4 кВ от опоры №4 ВЛ 0,4 кВ №1 КТП 6550 ВЛ 10 кВ №6 ПС 110 кВ Несмеяновская и установка прибора коммерческого учета электрической энергии (мощности) в точке поставки для присоединения гаража Леошика А.В, расположенного по адресу: Ростовская область, Мартыновский район, х. Малоорловский, ул. Почтовая, д. 2А, к.н.з.у. 61:20:0060101:5291 (ориентировочная протяженность ЛЭП 0,017 км)</t>
  </si>
  <si>
    <t>Строительство участка ВЛИ-0,4 кВ от опоры №27 ВЛ-0,4 кВ №3 КТП-6078 ВЛ-6 кВ №1 ПС 110 кВ Северный Портал и установка прибора коммерческого учета электрической энергии (мощности) в точке поставки для присоединения малоэтажной жилой застройки (Дачного дома) Киреева К.С., расположенной по адресу: Ростовская область, Мартыновский район, Рубашкинское сельское поселение, х. Пробуждение, ул. Мира, д. 2-г, кадастровый номер земельного участка 61:20:0080701:1028 (ориентировочная протяженность ЛЭП 0,062 км)</t>
  </si>
  <si>
    <t>Строительство участка ВЛИ-0,4 кВ от опоры №1/6 ВЛ-0,4 кВ №1 КТП 6500 ВЛ-6 кВ №305 ПС 110 кВ СМ-3 и установка прибора коммерческого учета электрической энергии (мощности) в точке поставки для присоединения квартиры Громова И.О., расположенной по адресу: Ростовская область, Мартыновский район, п. Речной, ул. Набережная, д. 10, кв./оф. 2, к.н.з.у. 61:35:050701:20 (ориентировочная протяженность ЛЭП 0,025 км)</t>
  </si>
  <si>
    <t>Строительство участка ВЛИ-0,4 кВ от опоры №2/14 ВЛ 0,4 кВ №1 КТП 6579 ВЛ-10 кВ №4 ПС 110 кВ Комаровская и установка прибора коммерческого учета электрической энергии (мощности) в точке поставки для присоединения скважины для полива огорода Юрданидзе Л.Н., расположенной по адресу: Ростовская область, Мартыновский район, х. Сальский Кагальник, ул. Профсоюзная, д.32, к.н.з.у. 61:20:0060501:3795 (ориентировочная протяженность ЛЭП 0,02 км)</t>
  </si>
  <si>
    <t>Строительство участка ВЛИ-0,4 кВ от опоры №2/8 ВЛ-0,4 кВ №1 КТП 6483 ВЛ 10 кВ №1 ПС 35 кВ Рассвет и установка прибора коммерческого учета электрической энергии (мощности) в точке поставки для присоединения навеса для стоянки транспорта Тубашева Ю.С., расположенного по адресу: Ростовская область, Мартыновский район, п. Абрикосовый, ул. Восточная, д. 12А, к.н.з.у. 61:20:0020201:1361 (ориентировочная протяженность ЛЭП 0,017 км)</t>
  </si>
  <si>
    <t xml:space="preserve">Строительство участка ВЛИ-0,4 кВ от опоры №4 ВЛ-0,4 кВ №2 КТП-6584/100 кВА ВЛ-10 кВ №12 ПС 110/35/10 кВ Комаровская, с установкой шкафа 0,4 кВ, и  обеспечение коммерческим учетом электрической энергии (мощности) в точке поставки по присоединению парка Администрации Большеорловского сельского поселения, расположенного по адресу: Ростовская область, Мартыновский район, слобода Большая Орловка, пер. Школьный, д. 21-а, кадастровый номер земельного участка. 61:20:0020101:12022 (ориентировочная протяженность ЛЭП 0,022 км)
</t>
  </si>
  <si>
    <t>Строительство участка ВЛИ-0,4 кВ от опоры №1/3 ВЛ-0,4 кВ №2 КТП 6507 ВЛ 10 кВ №5 ПС 110 кВ Комаровская и установка прибора коммерческого учета электрической энергии (мощности) в точке поставки для присоединения жилого дома Огаркова С.А., расположенного по адресу: Ростовская область, Мартыновский район, х. Комаров, ул. Никифорова, д. 7, к.н.з.у. 61:20:0050101:3983 (ориентировочная протяженность ЛЭП 0,017 км)</t>
  </si>
  <si>
    <t>Строительство участка ВЛИ-0,4 кВ от опоры №4/7 ВЛ 0,4 кВ №1 КТП-6522 ВЛ 10 кВ №2 ПС 35 кВ Рассвет и установка прибора коммерческого учета электрической энергии (мощности) в точке поставки для присоединения жилого дома Козинец Н.М., расположенного по адресу: Ростовская область, Мартыновский район, п. Зеленолугский, ул. Советская, д. 18, к.н.з.у. 61:20:0020401:467 (ориентировочная протяженность ЛЭП 0,03 км)</t>
  </si>
  <si>
    <t>Строительство участка ВЛИ-0,4 кВ от вновь установленной опоры вновь построенной ВЛИ-0,4 кВ от РУ-0,4 кВ вновь установленной ТП-10/0,4 кВ по ВЛ-10 кВ №5 ПС 35 кВ Лозновская (по договору №61-1-20-00502997 от 19.03.2020г) и установка прибора коммерческого учета электрической энергии (мощности) в точке поставки для присоединения жилого дома Чупалаева С.Р., расположенного по адресу: Ростовская область, Цимлянский район,  п. Сосенки, ул. Новая, д. 7, к.н.з.у. 61:41:030304:06 (ориентировочная протяженность ЛЭП 0,02 км)</t>
  </si>
  <si>
    <t>Строительство участка ВЛИ-0,4 кВ от опоры №1 ВЛ 0,4 кВ №2 КТП-1364 ВЛ 10 кВ №4 ПС 35 кВ ЖБИ и установка прибора коммерческого учета электрической энергии (мощности) в точке поставки для присоединения жилого дома Чемезовой Е.Н., расположенного по адресу: Ростовская область, Цимлянский район, станица Красноярская, пер. Цимлянский, д. 29а, к.н.з.у. 61:41:0020105:41 (ориентировочная протяженность ЛЭП 0,03 км)</t>
  </si>
  <si>
    <t>Строительство участка ВЛИ-0,4 кВ от опоры №6 ВЛ-0,4 кВ №1 КТП-1367 ВЛ-10 кВ №2 ПС 35 кВ ЖБИ и установка прибора коммерческого учета электрической энергии (мощности) в точке поставки для присоединения жилого дома Филиппова В.В., расположенного по адресу: Ростовская область, Цимлянский район, станица Красноярская, ул. Заречная, д. 86, к.н.з.у. 61:41:0020126:34 (ориентировочная протяженность ЛЭП 0,03 км)</t>
  </si>
  <si>
    <t>Строительство участка ВЛИ-0,4 кВ от опоры № 8 ВЛ-0,4 кВ №2 КТП-1600/100 кВА ВЛ-10 кВ №4 ПС 35/10 кВ Новоцимлянская, с установкой шкафа 0,4 кВ, и обеспечение коммерческим учетом электрической энергии (мощности) в точке поставки по присоединению жилого дома Фадеева С.Р., расположенного по адресу: Ростовская область, Цимлянский район, х. Богатырев, ул. Весенняя, д. 48, кадастровый номер земельного участка: 61:41:0070204:20  (ориентировочная протяженность ЛЭП 0,04 км)</t>
  </si>
  <si>
    <t>Строительство участка ВЛИ-0,4 кВ от опоры №2 ВЛ 0,4 кВ №3 КТП-1555 ВЛ 10 кВ №5 ПС 110 кВ Цимлянская и установка прибора коммерческого учета электрической энергии (мощности) в точке поставки для присоединения жилого дома Першонкина А.И., расположенного по адресу: Ростовская область, Цимлянский район, п. Саркел, ул. Комсомольская, д. 2а, к.н.з.у. 61:41:0011103:85 (ориентировочная протяженность ЛЭП 0,06 км)</t>
  </si>
  <si>
    <t>Строительство участка ВЛИ-0,4 кВ от опоры №11 ВЛ-0,4 кВ №1 КТП-1559 ВЛ-10 кВ №5 РП 10 кВ Маркинская ПС 110 кВ Черкассы и установка прибора коммерческого учета электрической энергии (мощности) в точке поставки для присоединения жилого дома Загорской Н.В., расположенного по адресу: Ростовская область, Морозовский район, х. Великанов, ул. Великанова, д. 4, кадастровый номер земельного участка 61:24:0110301:54 (ориентировочная протяженность ЛЭП 0,1 км)</t>
  </si>
  <si>
    <t>Строительство участка ВЛЗ-10 кВ от опоры №344 ВЛ-10 кВ №24 ПС 110 кВ Цимлянская,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здания (коровника) ИП Зейналова Б.С.о., расположенного по адресу: Ростовская область, Цимлянский район, 640 метров на северо-запад от жилого дома №1 по улице Степная в станице Хорошевская, к.н.з.у. 61:41:0600009:1393 (ориентировочная протяженность ЛЭП 0,19 км, ориентировочная мощность трансформатора 25 кВА, количество приборов коммерческого учета – 1 шт)</t>
  </si>
  <si>
    <t>Строительство ВЛИ-0,4 кВ от РУ-0,4 кВ вновь установленной ТП-10/0,4 кВ по ВЛ-10 кВ №5  ПС 35/10 кВ Лозновская (по договору  от 19.03.2020 №61-1-20-00502997) и установка прибора коммерческого учета электрической энергии (мощности) в точке поставки для присоединения квартиры Москвича В.Н., расположенной по адресу: Ростовская область, Цимлянский район, п. Сосенки, ул. Юбилейная, д.8, кв.1, к.н.з.у. 61:41:0030302:26 (ориентировочная протяженность ЛЭП 0,3 км)</t>
  </si>
  <si>
    <t>Строительство участка ВЛИ-0,4 кВ от опоры №4 ВЛ-0,4 кВ №3 КТП-1157 ВЛ-10 кВ №24 ПС 110 кВ Цимлянская и установка прибора коммерческого учета электрической энергии (мощности) в точке поставки для присоединения жилого дома Дементьева С.А., расположенного по адресу: Ростовская область, Цимлянский район, станица Хорошевская, ул. Морская,  д. 2-а, кадастровый номер земельного участка 61:41:0020204:228 (ориентировочная протяженность ЛЭП 0,125 км)</t>
  </si>
  <si>
    <t>Строительство участка ВЛИ-0,4 кВ от опоры №24 ВЛ 0,4 кВ №2 КТП 1555 ВЛ-10 кВ №5 ПС 110 кВ Цимлянская и установка прибора коммерческого учета электрической энергии (мощности) в точке поставки для присоединения жилого дома Перепелицы В.С., расположенного по адресу: Ростовская область, Цимлянский район, п. Саркел, ул. Нагорная, д. 1-б, к.н.з.у. 61:41:0011102:865 (ориентировочная протяженность ЛЭП 0,11 км)</t>
  </si>
  <si>
    <t>Строительство участка ВЛИ-0,4 кВ от вновь установленной опоры вновь построенной ВЛИ-0,4 кВ (по договору №61-1-20-00507769 от 20.04.2020г) от РУ-0,4 кВ вновь установленной ТП-10/0,4 кВ по ВЛ-10 кВ №5 ПС 35/10 кВ Лозновская (по договору №61-1-19-00502997 от 19.03.2020г) и установка прибора коммерческого учета электрической энергии (мощности) в точке поставки для присоединения свинарника ИП Камбур-Оглы И.Б., расположенного по адресу: Ростовская область, Цимлянский район, п. Сосенки, 30 м западнее дома №32 по ул. Центральной, к.н.з.у. 61:41:0600011:962 (ориентировочная протяженность ЛЭП 0,17 км)</t>
  </si>
  <si>
    <t>Строительство ВЛИ-0,4 кВ от РУ-0,4 кВ  КТП-1139 ВЛ-10 кВ №5 ПС 35 кВ Антоновская и установка прибора коммерческого учета электрической энергии (мощности) в точке поставки для присоединения жилого дома Небогатикова В.Н., расположенного по адресу: Ростовская область, Цимлянский район, станица Калининская,  ул. Вербная, д. 23б, к.н.з.у. 61:41:0060109:357 (ориентировочная протяженность ЛЭП 0,4 км)</t>
  </si>
  <si>
    <t>Строительство участка ВЛИ-0,4 кВ от опоры №17 ВЛ-0,4 кВ №1 КТП-1356/100 кВА ВЛ-10 кВ №2 ПС 35/10 кВ ЖБИ, с установкой шкафа 0,4 кВ, и  обеспечение коммерческим учетом электрической энергии (мощности) в точке поставки по присоединению жилого дома Капраловой С.Ф., расположенного по адресу: Ростовская область, Цимлянский район, станица Красноярская, пер. Рабочий, д. 15, кадастровый номер земельного участка 61:41:0020126:126 (ориентировочная протяженность ЛЭП 0,07 км)</t>
  </si>
  <si>
    <t>Строительство участка ВЛИ-0,4 кВ от вновь установленной опоры вновь построенной ВЛИ-0,4 кВ от РУ-0,4 кВ вновь установленной ТП-10/0,4 кВ по ВЛ-10 кВ №5 ПС 35 кВ Лозновская (по договору №61-1-20-00502997 от 19.03.2020г) и установка прибора коммерческого учета электрической энергии (мощности) в точке поставки для присоединения жилого дома Мартынова В.Т., расположенного по адресу: Ростовская область, Цимлянский район,  п. Сосенки, ул. Новая, д. 5, к.н.з.у. 61:41:030301:005 (ориентировочная протяженность ЛЭП 0,025 км)</t>
  </si>
  <si>
    <t>Строительство участка ВЛИ-0,4 кВ от вновь установленной опоры вновь построенной ВЛИ-0,4 кВ от РУ-0,4 кВ вновь установленной ТП-10/0,4 кВ по ВЛ-10 кВ №5 ПС 35 кВ Лозновская (по договору ТП №61-1-20-00502997 от 19.03.2020г.) и установка прибора коммерческого учета электрической энергии (мощности) в точке поставки для присоединения жилого дома Межерицкого А.В., расположенного по адресу: Ростовская область, Цимлянский район, п. Сосенки, ул. Новая, д. 3, к.н.з.у.: 61:41:030302:41 (ориентировочная протяженность ЛЭП 0,02 км)</t>
  </si>
  <si>
    <t>Строительство участка ВЛИ-0,4 кВ от вновь установленной опоры вновь построенной ВЛИ-0,4 кВ от РУ-0,4 кВ КТП 8608 ВЛ 6 кВ №14 ПС 35 кВ Романовская (по договору ТП №61-1-21-00600573 от 13.09.2021г.) и установка прибора коммерческого учета электрической энергии (мощности) в точке поставки для присоединения индивидуального жилого дома Супрунюк С.А., расположенного по адресу: Ростовская область, Волгодонской район, станица Романовская, ул. 75 лет Победы, д. 66, к.н.з.у. 61:08:0600601:4622 (ориентировочная протяженность ЛЭП 0,24 км)</t>
  </si>
  <si>
    <t>Строительство ВЛЗ-6 кВ от опоры №149 ВЛ-6 кВ №1 ПС 35/6 кВ Романовская,с установкой ТП-6/0,4 кВ и строительство ВЛИ-0,4 кВ от РУ-0,4 кВ вновь установленной ТП-6/0,4 кВ  для присоединения здания общественного питания ИП Свитенко Д.В., расположенного по адресу: Ростовская область, г. Волгодонск, ул. Отдыха, д. 51б, к.н. 61:48:0020101:1451 (ориентировочная протяженность ЛЭП 0,013 км, ориентировочная мощность трансформатора 160 кВА)</t>
  </si>
  <si>
    <t>Строительство участка ВЛ-10 кВ от опоры №74 ВЛ-10 кВ №1 ПС 35/10/6 кВ Донская,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точке поставки по присоединению жилого дома Айдимировой А.М., расположенного по адресу: Ростовская область, Волгодонской район, п. Краснодонский, 152 км автодороги Ольгинская-Волгодонск к.н. 61:08:0600101:670 (ориентировочная протяженность  ЛЭП 0,015 км, ориентировочная мощность трансформатора 25 кВА)</t>
  </si>
  <si>
    <t>Строительство участка ВЛИ-0,4 кВ от опоры №8 ВЛ 0,4 кВ №1 КТП 8176 ВЛ 10 кВ №1 ПС 35 кВ Донская и установка прибора коммерческого учета электрической энергии (мощности) в точке поставки для присоединения жилого дома Молчанова А.Н., расположенного по адресу: Ростовская область, Волгодонской район, п. Краснодонский, ул. Южная, д. 9Б, к.н.з.у. 61:08:0600901:293 (ориентировочная протяженность ЛЭП 0,03 км)</t>
  </si>
  <si>
    <t>Строительство участка ВЛИ-0,4 кВ от опоры №8 ВЛ 0,4 кВ №1 КТП 7202 ВЛ 10 кВ №6 ПС 35 кВ Крюковская и установка прибора коммерческого учета электрической энергии (мощности) в точке поставки для присоединения жилого дома Гляненко Н.Ю., расположенного по адресу: Ростовская область, Константиновский район, х. Трофимов, ул. Садовая, д. 2, к.н.з.у. 61:17:0061001:79 (ориентировочная протяженность ЛЭП 0,065 км)</t>
  </si>
  <si>
    <t>Строительство участка ВЛИ-0,4 кВ от опоры №15 ВЛ 0,4 кВ №2 КТП 7068 ВЛ 10 кВ №3 ПС 35 кВ Нижне-Журавская и установка прибора коммерческого учета электрической энергии (мощности) в точке поставки для присоединения жилого дома Сударкина Р.С., расположенного по адресу: Ростовская область, Константиновский район, х. Нижнежуравский, ул. Тихая, д. 1, к.н.з.у. 61:17:0020401:440 (ориентировочная протяженность ЛЭП 0,213 км)</t>
  </si>
  <si>
    <t>Строительство участка ВЛИ-0,4 кВ от опоры №19 ВЛ 0,4 кВ №2 КТП 7246 ВЛ 10 кВ №21 ПС 110 кВ КГУ и установка прибора коммерческого учета электрической энергии (мощности) в точке поставки для присоединения жилого дома Кочетовой А.И, расположенного по адресу: Ростовская область, Константиновский район, х. Камышный, ул. Дальняя, д. 12, к.н.з.у.: 61:17:0030201:324 (ориентировочная протяженность ЛЭП 0,042 км)</t>
  </si>
  <si>
    <t>Строительство участка ВЛИ-0,4 кВ от опоры №2/4 ВЛ 0,4 кВ №1 КТП 7378 ВЛ 10 кВ №11 ПС 35 кВ Мариинская и установка прибора коммерческого учета электрической энергии (мощности) в точке поставки для присоединения жилого дома Сухаревской И.А., расположенного по адресу: Ростовская область, Константиновский район, х. Горский, ул. Центральная, д. 8, к.н.з.у. 61:17:0050201:25 (ориентировочная протяженность ЛЭП 0,02 км)</t>
  </si>
  <si>
    <t>Строительство участка ВЛИ-0,4 кВ от вновь установленной опоры вновь построенной ВЛИ-0,4 кВ от вновь установленной ТП-10/0,4 кВ по ВЛ-10 кВ №4 ПС 35 кВ Николаевская (по договорам ТП №61-1-21-00558799 от 15.02.2021г, №61-1-21-00560041 от 15.02.2021г) и установка прибора коммерческого учета электрической энергии (мощности) в точке поставки для присоединения жилого дома Пятиковой А.Н., расположенного по адресу: Ростовская область, Константиновский район, станица Николаевская, ул. Ермакова, д. 5, к.н.з.у. 61:17:0050101:1594 (ориентировочная протяженность ЛЭП 0,1 км)</t>
  </si>
  <si>
    <t>Строительство участка ВЛИ-0,4 кВ от опоры №1 ВЛ 0,4 кВ №1 КТП 7067 ВЛ 10 кВ №6 ПС 35 кВ Крюковская и 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Константиновский район, х. Трофимов, примерно 145 м по направлению на юго-запад от границы участка с кадастровым номером 61:17:0061001:68 по адресу: ул. Степная, 26, в кадастровом квартале 61:17:0061001, к.н.з.у. 61:17:0061001 (ориентировочная протяженность ЛЭП 0,105 км)</t>
  </si>
  <si>
    <t>Строительство участка ВЛИ-0,4 кВ от опоры №13 ВЛИ 0,4 кВ №1 ЗТП 7218 ВЛ 10 кВ №26 ПС 110 кВ КГУ и установка прибора коммерческого учета электрической энергии (мощности) в точке поставки для присоединения административно-бытового корпуса – нежилого помещения ИП Тычко В.Ю., расположенного по адресу: Ростовская область, Константиновский район, х. Ведерников, 0,35 км восточнее х. Ведерников, к.н.з.у. 61:17:0600017:598 (ориентировочная протяженность ЛЭП 0,14 км)</t>
  </si>
  <si>
    <t>Строительство участка ВЛЗ-10 кВ от опоры №69 ВЛ-10 кВ №15 ПС 110 кВ Константиновская,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сторожки ИП Тарелкина В.В., расположенной по адресу: Ростовская область, Константиновский район, Константиновское городское поселение, 3,0 км юго-западнее г. Константиновск, к.н.з.у. 61:17:0500101:265 (ориентировочная протяженность ЛЭП 0,048 км, ориентировочная мощность трансформатора 25 кВА)</t>
  </si>
  <si>
    <t>Строительство участка ВЛИ-0,4 кВ от опоры №3/2 ВЛ 0,4 кВ №2 КТП 7402 ВЛ 10 кВ №11 ПС 35 кВ Николаевская и установка прибора коммерческого учета электрической энергии (мощности) в точке поставки для присоединения жилого дома Байдалина А.Н., расположенного по адресу: Ростовская область, Константиновский район, станица Николаевская, ул. Победы, д. 29, к.н.з.у. 61:17:0050101:2131 (ориентировочная протяженность ЛЭП 0,02 км)</t>
  </si>
  <si>
    <t>Строительство ВЛИ-0,4 кВ от РУ-0,4 кВ КТП-7254/160 кВА ВЛ-10кВ №24 ПС 110/35/10 кВ КГУ, с установкой шкафа 0,4 кВ, и  обеспечение коммерческим учетом электрической энергии (мощности) в точке поставки по присоединению спортивной площадки ИП Сергеева О.В., расположенной по адресу: Ростовская область, Константиновский район, г. Константиновск, ул. Правобережная, д. 17-а, кадастровый номер земельного участка 61:17:0600017:555 (ориентировочная протяженность ЛЭП 0,03 км)</t>
  </si>
  <si>
    <t>Строительство участка ВЛИ-0,4 кВ от опоры №1/15 ВЛ-0,4 кВ №1 КТП-6100/63 кВА ВЛ-10 кВ №6 ПС 110/35/10 кВ Мартыновская, с установкой шкафа 0,4 кВ, и  обеспечение коммерческим учетом электрической энергии (мощности) в точке поставки по присоединению жилого дома Махмудова М.А., расположенного по адресу: Ростовская область, Мартыновский район, х. Арбузов, ул. Краснопартизанская, д. 36а,  кадастровый номер земельного участка 61:20:0600019:1152 (ориентировочная протяженность ЛЭП 0,09 км)</t>
  </si>
  <si>
    <t>Строительство участка ВЛИ-0,4 кВ от опоры №2 ВЛ-0,4 кВ №2 КТП-6071/100 кВА ВЛ-10 кВ №12 ПС 110/35/10 кВ Мартыновская, с установкой шкафа 0,4 кВ, и  обеспечение коммерческим учетом электрической энергии (мощности) в точке поставки и установка шкафа 0,4 кВ по присоединению жилого дома Лобзенко М.Г., расположенного по адресу: Ростовская область, Мартыновский район, п. Поречье,  ул. Поречинская, д. 7-а, к.н. 61:20:0081001:835 (ориентировочная протяженность ЛЭП 0,017 км)</t>
  </si>
  <si>
    <t>Строительство участка ВЛ-10 кВ от опоры №2/48 ВЛ-10 кВ №6 ПС 110/35/10 кВ Мартыновская, с установкой ТП-10/0,4 кВ, строительство ВЛИ-0,4 кВ от РУ-0,4 кВ вновь установленной ТП-10/0,4 кВ и обеспечение коммерческим учетом электрической энергии (мощности) в точке поставки по присоединению сторожевого дома ИП Ермакова Н.Ю., расположенного по адресу: Ростовская область, Мартыновский район, х. Кривой Лиман, Рубашкинское сельское поселение, к.н. 61:20:0600020:2268 (ориентировочная протяженность ЛЭП 0,365 км, ориентировочная мощность трансформатора 25 кВА)</t>
  </si>
  <si>
    <t>Строительство участка ВЛИ-0,4 кВ от опоры №14 ВЛ 0,4 кВ №1 КТП 6433 ВЛ 10 кВ №7 ПС 110 кВ Комаровская и установка прибора коммерческого учета электрической энергии (мощности) в точке поставки для присоединения жилого дома Эминова Б.П., расположенного по адресу: Ростовская область, Мартыновский район, п. Крутобережный, ул. Советская, д. 11а, к.н.з.у. 61:20:0020501:2888 (ориентировочная протяженность ЛЭП 0,017 км)</t>
  </si>
  <si>
    <t>Строительство участка ВЛИ-0,4 кВ от опоры №1 ВЛ-0,4 кВ №1 КТП-3118 ВЛ 10 кВ №2 ПС 35 кВ Эркетиновская и установка прибора коммерческого учета электрической энергии (мощности) в точке поставки для присоединения жилого дома Габибуллаева М.И., расположенного по адресу: Ростовская область, Дубовский район, х. Кут-Кудинов, ул. Раздольная, д. 36, к.н.з.у. 61:09:0080301:208 (ориентировочная протяженность ЛЭП 0,23 км)</t>
  </si>
  <si>
    <t>Строительство участка ВЛИ-0,4 кВ от опоры №5 ВЛ 0,4 кВ №2 КТП 3013 ВЛ 10 кВ №7 ПС 35 кВ Семичная и установка прибора коммерческого учета электрической энергии (мощности) в точке поставки для присоединения квартиры Шабуровой Н.Н, расположенной по адресу: Ростовская область, Дубовский район, х. Семичный, ул. Октября, д. 1, кв. 2, к.н.з.у.: 61:09:0020101:1821 (ориентировочная протяженность ЛЭП 0,16 км)</t>
  </si>
  <si>
    <t>Строительство участка ВЛИ-0,4 кВ от опоры №1 ВЛ-0,4 кВ №1 КТП-3234 ВЛ-10 кВ №10 ПС 35 кВ Комиссаровская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базовой станции/оборудования сотовой связи ПАО «Ростелеком», расположенной по адресу: Ростовская область, Дубовский район, х. Советский, ул. Степная, примерно 23 м по направлению на север от границы участка, расположенного по адресу: ул. Степная, д. 16, к.н.з.у.: 61:09:0120401:001 (ориентировочная протяженность ЛЭП 0,23 км)</t>
  </si>
  <si>
    <t>Строительство участка ВЛИ-0,4 кВ от опоры №6 ВЛ-0,4 кВ №1 КТП-3086 ВЛ 10 кВ №3 ПС 110 кВ Дубовская и установка прибора коммерческого учета электрической энергии (мощности) в точке поставки для присоединения нежилой застройки (хозяйственной постройки, нежилого здания) Акопяна А.Л., расположенной по адресу: Ростовская область, Дубовский район, х. Моисеев, ул. Речная, д. 15, к.н.з.у. 61:09:0010401:39 (ориентировочная протяженность ЛЭП 0,02 км)</t>
  </si>
  <si>
    <t>Строительство участка ВЛ-10 кВ от опоры №4/15 ВЛ-10 кВ №6 ПС 35 кВ Валуевская,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заправочной ИП Исраилова Л.О., расположенной по адресу: Ростовская область, Ремонтненский район, с. Валуевка, ул. Восточная, д.30, к.н.з.у.: 61:32:0600002:4229 (ориентировочная протяженность ЛЭП 0,026 км, ориентировочная мощность трансформатора 0,025 МВА)</t>
  </si>
  <si>
    <t>Строительство участка ВЛИ-0,4 кВ от опоры №37 ВЛ 0,4 кВ №1 КТП 4333 ВЛ 10 кВ №4 ПС 35 кВ Первомайская и установка прибора коммерческого учета электрической энергии (мощности) в точке поставки для присоединения жилого дома Зинченко Е.И., расположенного по адресу: Ростовская область, Ремонтненский район, с. Первомайское, ул. Богданова, д. 3В, к.н.о.: 61/:32:38:007:2005:325, к.н.з.у. 61:32:0080102:6 (ориентировочная протяженность ЛЭП 0,054 км)</t>
  </si>
  <si>
    <t>Строительство участка ВЛИ-0,4 кВ от опоры №8 ВЛ 0,4 кВ №2 КТП 4344 ВЛ 10 кВ №3 ПС 35 кВ Подгорненская и установка прибора коммерческого учета электрической энергии (мощности) в точке поставки для присоединения навеса ИП Луговенко А.Н., расположенного по адресу: Ростовская область, Ремонтненский район, Подгорненское сельское поселение, расположен по направлению на восток от с. Подгорное, к.н.з.у. 61:32:0600004:9777 (ориентировочная протяженность ЛЭП 0,08 км)</t>
  </si>
  <si>
    <t>Строительство ВЛИ-0,4 кВ от РУ-0,4 кВ вновь устанавливаемой ТП-10/0,4 кВ, установка ТП-10/0,4 кВ от опоры №1/5 ВЛ 10 кВ №2 ПС 110 кВ Приволенская и установка шкафа коммерческого учета электрической энергии (мощности) в точке поставки для присоединения зерноочистительного комплекса ИП главы К(Ф)Х Нетребина В.Ю., расположенного по адресу: Ростовская область, Ремонтненский район, территория земель Приволенского сельского поселения, 1,5 км севернее п. Привольный, на 44 отарном участке, к.н.з.у.: 61:32:0600001:4291 (ориентировочная протяженность ЛЭП 0,006 км, ориентировочная мощность трансформатора 0,1 МВА)</t>
  </si>
  <si>
    <t>Строительство участка ВЛ-10 кВ от опоры №130 ВЛ-10 кВ №8 ПС 35/10 кВ Потапенковская,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точках поставки по присоединению нежилого здания Осичкиной А.М., расположенного по адресу: Ростовская область, Заветинский район, х.Фомин, участок находится примерно в 1,3 км, по направлению на восток от ориентира у.Торговое, расположенного за пределами участка, адрес ориентира р-н Заветинский, х.Фомин, к.н. 61:11:0600009:349 (ориентировочная протяженность ЛЭП 0,03 км, ориентировочная мощность трансформатора 25 кВА)</t>
  </si>
  <si>
    <t>Строительство участка ВЛИ-0,4 кВ от опоры №17 ВЛ-0,4 кВ №1 КТП-1356 ВЛ-10кВ №2 ПС 35кВ ЖБИ и установка прибора коммерческого учета электрической энергии (мощности) в точке поставки для присоединения жилого дома Фрик Г.Н., расположенного по адресу: Ростовская область, Цимлянский район, станица Красноярская, пер. Рабочий, д. 4, кадастровый номер земельного участка 61:41:0020126:138 (ориентировочная протяженность ЛЭП 0,06 км)</t>
  </si>
  <si>
    <t>Строительство участка ВЛИ-0,4 кВ от опоры №4 ВЛ 0,4 кВ №1 КТП-1400 ВЛ 10 кВ №17 ПС 110 кВ Цимлянская и установка прибора коммерческого учета электрической энергии (мощности) в точке поставки для присоединения здания зернохранилища ООО «Зеленое хозяйство», расположенного по адресу: Ростовская область, Цимлянский район, г. Цимлянск, пер. Союзный, д. 1б, к.н.з.у. 61:41:0010507:6 (ориентировочная протяженность ЛЭП 0,12 км)</t>
  </si>
  <si>
    <t>Строительство участка ВЛИ-0,4 кВ от опоры №6 ВЛ 0,4 кВ №2 КТП-1409 ВЛ 10 кВ №17 ПС 110 кВ Цимлянская и установка прибора коммерческого учета электрической энергии (мощности) в точке поставки для присоединения жилого дома Глобы Е.Н., расположенного по адресу: Ростовская область, Цимлянский район, станица Красноярская, ул. Степная, д. 42, к.н.з.у. 61:41:0020122:367 (ориентировочная протяженность ЛЭП 0,22 км)</t>
  </si>
  <si>
    <t>Строительство участка ВЛИ-0,4 кВ от опоры №5/3 ВЛ 0,4 кВ №1 КТП-1443 ВЛ 10 кВ №5 ПС 110 кВ Цимлянская до опоры №6/2 ВЛ 10 кВ №5 ПС 110 кВ Цимлянская с реконструкцией участка ВЛ-0,4 кВ от опоры №1/7 до опоры №5/3 ВЛ 0,4 кВ №1 КТП-1443 ВЛ 10 кВ №5 ПС 110 кВ Цимлянская и 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Кузнецова М.А., расположенной по адресу: Ростовская область, Цимлянский район, п. Саркел, пер. Западный, д. 27б, к.н.з.у. 61:41:0011105:161(ориентировочная протяженность ЛЭП 0,12 км)</t>
  </si>
  <si>
    <t xml:space="preserve"> Строительство ВЛИ-0,4 кВ от конечной опоры ВЛИ-0,4 кВ, строящейся по договору ТП от 23.10.2020 №61-1-20-00540187 (Андреева И.В) от оп. №25 ВЛИ-0,4 кВ №2 МТП №802 ВЛ-10 кВ Красюковка ПС Ш-39 для электроснабжения двух садовых домов СТ «Электровозостроитель» (Кривцова Я.А., Московченко О.Л.) (ориентировочная протяженность ЛЭП – 0,05 км)</t>
  </si>
  <si>
    <t>Строительство ВЛИ-0,4 кВ от оп. №25 ВЛИ-0,4 кВ №2 МТП №802 ВЛ-10 кВ Красюковка ПС Ш-39 для электроснабжения садового дома Андреевой И.В. Ростовская обл., Октябрьский р-н, садоводческое товарищество «Электровозостроитель», уч. №42. (ориентировочная протяженность ЛЭП – 0,08 км)</t>
  </si>
  <si>
    <t>Строительство ВЛИ-0,4 кВ от конечной опоры ВЛИ-0,4 кВ, строящейся по договору ТП от 02.11.2020 №61-1-20-00542985 (Екименко П.И.) от оп. №26 ВЛИ-0,4 кВ №1 МТП №802 ВЛ-10 кВ Красюковка ПС Ш-39 для электроснабжения садового дома Камышовой Л.М. СТ «Электровозостроитель» (ориентировочная протяженность ЛЭП – 0,13 км)</t>
  </si>
  <si>
    <t>Строительство ВЛИ-0,4 кВ от конечной опоры ВЛИ-0,4 кВ, строящейся по договору ТП от 13.10.2020 №61-1-20-00538033 (Аветисян И.А.) от оп. №26 ВЛИ-0,4 кВ №1 МТП №802 ВЛ-10 кВ Красюковка ПС Ш-39 для электроснабжения четырех садовых домов СТ «Электровозостроитель» (ориентировочная протяженность ЛЭП – 0,13 км)</t>
  </si>
  <si>
    <t>Строительство участка ВЛ-6 кВ от существующей оп. №34 по ВЛ-6 кВ «Правда» от ПС 35/6 Г-6, с установкой ТП-6/0,4 кВ, и строительство ВЛИ-0,4 кВ от вновь установленной ТП-6/0,4 кВ для присоединения ВРУ-0,4 кВ производственного здания/помещения, Ростовская обл., г. Зверево, ул. Макаренко 3т. (ИП Ильин В.В) (ориентировочная протяженность ЛЭП 0,515 км, ориентировочная мощность трансформатора 250 кВА)</t>
  </si>
  <si>
    <t>Строительство ВЛ 0,4 кВ от существующей оп. №8 ВЛ 0,4 кВ №2 от КТП №197 по ВЛ 6- кВ Смирнов от ПС Г-15 для присоединения домика фермера. Ростовская область, Красносулинский район, х. Коминтерн, СПК «Красный партизан» (ООО Авангард) (ориентировочная протяженность ЛЭП-0,805 км)</t>
  </si>
  <si>
    <t>Строительство ВЛИ-0,4 кВ от КТП 6/0,4 кВ №285 по ВЛ 6 кВ «Орошение» от ПС 110/35/6 кВ Н-8 для присоединения домика отдыха Ростовская область, Красносулинский район, г. Красный Сулин (Москаленко Ю.А.) (ориентировочная протяженность ЛЭП -0,490км)</t>
  </si>
  <si>
    <t>Строительство ВЛИ-0,4 кВ от строящейся ТП-10/0,4 кВ по строящейся ВЛ-10 кВ от существующей оп. № 6 отпайки к КТП № 41 ВЛ-10кВ «Кирова» ПС Ш-18 для присоединения площадки водозаборных сооружений в х. Тереховский Усть-Донецкого района (МКУ «Служба заказчика») (ориентировочная протяженность ЛЭП 0,540 км, ориентировочная мощность трансформатора 40 кВА)</t>
  </si>
  <si>
    <t xml:space="preserve"> Строительство ВЛИ-0,4 кВ от оп. №7 ВЛИ-0,4 кВ №1 КТП №670 ВЛ-10 кВ Совхоз ПС Ш-16 для электроснабжения жилого дома Демина П.Ю. по адресу: Октябрьский р-н, п. Красногорняцкий, ул. Короткая, д.6 (ориентировочная протяженность ЛЭП – 0,08 км)</t>
  </si>
  <si>
    <t>Строительство ВЛИ-0,4 кВ от оп. №26 ВЛИ-0,4 кВ №1 МТП №802 ВЛ-10 кВ Красюковка ПС Ш-39 для электроснабжения садового дома Аветисян И.А. Ростовская обл., Октябрьский р-н, садоводческое товарищество «Электровозостроитель», уч. №124. (ориентировочная протяженность ЛЭП – 0,03 км)</t>
  </si>
  <si>
    <t>Строительство ВЛИ-0,4 кВ от ВЛ 0,4 кВ № 1 КТП 238 ВЛ 10 кВ Апаринка ПС Ш14 с коммерческим учетом электрической энергии (мощности) в точке поставки для электроснабжения хозяйственных построек Васильченко Д.В., в х. Апаринском, Усть-Донецкого р-на, (ориентировочная протяженность ЛЭП 0,1 км)</t>
  </si>
  <si>
    <t>Строительство ВЛИ-0,4 кВ от оп.5 по ВЛ 0,4кВ № 2 от МТП № 05 ВЛ-10 кВ Кутейниково ПС Н-9, для электроснабжения «Малоэтажная жилая застройка (Индивидуальный жилой дом/Садовый/Дачный дом)» Токаренко Д.Ю., Матвеева С.В., Липявкиной О.А. по адресу: р-н. Родионово-Несветайский, сл. Родионово-Несветайская, ул. Персиковая, д. 4; д.8; д.12. (ориентировочная протяженность ЛЭП – 0,235 км)</t>
  </si>
  <si>
    <t>Строительство ВЛИ 0,4 кВ от ВЛИ 0,4 кВ №1 КТП 364 ВЛ 10 кВ Жилмассив ПС Ш34 для электроснабжения объекта туристической отрасли Витковского П.В. по адресу: Усть-Донецкий район, ст. Мелиховская, КН ЗУ 61:39:600016:529 (ориентировочная протяженность ЛЭП – 0,360 км)</t>
  </si>
  <si>
    <t>Строительство ВЛИ-0,4 кВ от вновь построенной ТП 10/0,4 кВ подключенной к вновь построенной ВЛ-10кВ от ВЛ-10кВ Комплекс ПС 110/35/10 Ш-34 для присоединения вагончика ИП Лукьянова М.А. в ст. Мелиховская Усть-Донецкого района (ориентировочная протяженность ЛЭП 0,250 км, ориентировочная мощность трансформатора 25 кВА)</t>
  </si>
  <si>
    <t>Строительство ВЛИ-0,4 кВ от оп. №1 ВЛ-0,4 кВ №1 КТП №474 ВЛ-6 кВ Кривянка ПС Ш-40 для электроснабжения жилого дома Азарянскова В.В. по адресу: Октябрьский р-н, ст. Кривянская, ул. Декабристов, д.91 (ориентировочная протяженность ЛЭП – 0,08 км)</t>
  </si>
  <si>
    <t>Строительство ВЛИ-0,4 кВ от конечной опоры ВЛИ-0,4 кВ, строящейся по договору ТП №61-1-21-00555897 от 25.01.2021г с Азарянсковым В.В. от оп. №1 ВЛ-0,4 кВ №1 КТП №474 ВЛ-6 кВ Кривянка ПС Ш-40, для электроснабжения жилого дома Поповой А.А. по адресу: Октябрьский р-н, ст. Кривянская, ул. Декабристов, д.81 (ориентировочная протяженность ЛЭП – 0,24 км)</t>
  </si>
  <si>
    <t>Строительство ВЛИ-0,4 кВ от конечной опоры ВЛИ-0,4 кВ, строящейся по договору ТП от 13.10.2020 №61-1-20-00538031 от оп. №9 ВЛИ-0,4 кВ №1 МТП №802 ВЛ-10 кВ Красюковка ПС Ш-39 для электроснабжения садового дома Колесниковой Е.С. по адресу: Октябрьский р-н, садоводческое товарищество «Электровозостроитель», уч.153 (ориентировочная протяженность ЛЭП – 0,2 км)</t>
  </si>
  <si>
    <t>Строительство ВЛИ-0,4 кВ от конечной опоры ВЛИ-0,4 кВ, строящейся по договору ТП от 13.10.2020 №61-1-20-00538031 (Вербицкая Е.Н.) от оп. №9 ВЛИ-0,4 кВ №1 МТП №802 ВЛ-10 кВ Красюковка ПС Ш-39 для электроснабжения садового дома СТ «Электровозостроитель» (Самара Ю.А.) (ориентировочная протяженность ЛЭП – 0,25 км)</t>
  </si>
  <si>
    <t>Строительство ВЛИ-0,4 кВ от оп. №11 ВЛИ-0,4 кВ №1 МТП №802 ВЛ-10 кВ Красюковка ПС Ш-39 для электроснабжения трех садовых домов СТ «Электровозостроитель» (Морозова Т.В., Мартыненко С.В., Деревянченко Н.Б.) (ориентировочная протяженность ЛЭП – 0,09 км)</t>
  </si>
  <si>
    <t>Строительство ВЛИ-0,4 кВ от конечной опоры ВЛИ-0,4 кВ, строящейся по договору ТП от 10.11.2020 №61-1-20-00544433 (Морозова Т.И.) от оп. №11 ВЛИ-0,4 кВ №1 МТП №802 ВЛ-10 кВ Красюковка ПС Ш-39 для электроснабжения садового дома Акользиной О.Н. СТ «Электровозостроитель» (ориентировочная протяженность ЛЭП – 0,25 км)</t>
  </si>
  <si>
    <t>Строительство ВЛИ-0,4 кВ от оп. №58 ВЛИ-0,4 кВ №1 КТП №201 по ВЛ-6 кВ Кривянка ПС 110 кВ Ш-43 для присоединения базовой станции сотовой связи АО «Первая Башенная Компания» по адресу: Ростовская область, Октябрьский район, ст. Кривянская, ул. Кирпичная, участок в 70 м от дома №152 (ориентировочная протяженность ЛЭП-0,215 км)</t>
  </si>
  <si>
    <t>Строительство ВЛИ-0,4 кВ оп.24 по ВЛ 0,4кВ № 1 от КТП № 502 ВЛ-10 кВ Кутейниково ПС Н-9 для электроснабжения объекта «Малоэтажная жилая застройка (Индивидуальный жилой дом/Садовый/Дачный дом)» по адресу: Ростовская обл., р-н. Родионово-Несветайский, сл. Родионово-Несветайская, ул. Покрышкина, д. 11.(ориентировочная протяженность ЛЭП – 0,450 км)</t>
  </si>
  <si>
    <t>Строительство ВЛИ-0,4 кВ от ВЛ 0,4 кВ № 1 КТП 66 ВЛ 10 кВ Крымский ПС Ш14 с коммерческим учетом электрической энергии (мощности) в точке поставки для электроснабжения фермы ИП Бочтового Н.И., в х.Крымском, Усть-Донецкого р-на, (ориентировочная протяженность ЛЭП 0,2 км)</t>
  </si>
  <si>
    <t xml:space="preserve"> Строительство ВЛИ 0,4 кВ от ВЛ 0,4 кВ №2 КТП 320 ВЛ 10 кВ Пухляковка ПС Ш34 для электроснабжения ВРУ-0.4кВ дачного дома Архангельского А.С. по адресу: Усть-Донецкий район, х. Пухляковский, ул. Механизаторов 35, КН ЗУ 61:39:0090103:124 (ориентировочная протяженность ЛЭП – 0,210 км)</t>
  </si>
  <si>
    <t>Строительство ВЛИ-0,4 кВ от ВЛ 0,4 кВ № 2 КТП 14 ВЛ 10 кВ Кундрючий ПС Ш32 с коммерческим учетом электрической энергии (мощности) в точке поставки для электроснабжения нежилого здания ИП Климович В.В., в ст. Нижнекундрюченская, Усть-Донецкого р-на, (ориентировочная протяженность ЛЭП 0,065 км)</t>
  </si>
  <si>
    <t>Строительство ВЛИ-0,4 кВ от ВЛ 0,4 кВ № 2 КТП 168 ВЛ 10 кВ Чумаки ПС Ш32 с коммерческим учетом электрической энергии (мощности) в точке поставки для электроснабжения жилого дома Гинак А.П., в х.Чумаковском, Усть-Донецкого р-на, (ориентировочная протяженность ЛЭП 0,07 км)</t>
  </si>
  <si>
    <t>Строительство ВЛИ-0,4 кВ от оп.5 ВЛ 0,4 кВ № 1 от ТП 10/0,4кВ № 91 по ВЛ-10кВ «Заря» ПС Н-9, для электроснабжения жилого дома Голубев В.Г. по адресу: Родионово-Несветайский р-н сл. Родионово-Несветайская, ул. Садовая, д. 81 (ориентировочная протяженность ЛЭП – 0,030 км)</t>
  </si>
  <si>
    <t>Строительство ВЛИ-0,4 кВ от оп.8 по ВЛ 0,4кВ № 3 от МТП № 05 ВЛ-10 кВ Кутейниково ПС Н-9, для электроснабжения «Малоэтажная жилая застройка (Индивидуальный жилой дом/Садовый/Дачный дом)» Кустарниковой Д.И. по адресу: р-н. Родионово-Несветайский, сл. Родионово-Несветайская, ул. Абрикосовая,  д. 34А, к.н.з.у. 61:33:0040123:616,,  (ориентировочная протяженность ЛЭП – 0,025 км)</t>
  </si>
  <si>
    <t>Строительство ВЛИ-0,4 кВ от оп.3 ВЛ 0,4 кВ №1 от КТП 10/0,4кВ № 512 по ВЛ-10кВ «Каменный Брод» ПС АС-12 для электроснабжения садового дома Потапченко К.А. Родионово-Несветайский р-н СНТ "Комбайностроитель", уч.№ 3-324 (ориентировочная протяженность ЛЭП – 0,045 км)</t>
  </si>
  <si>
    <t>Строительство ВЛИ-0,4 кВ от конечно опоры строящейся по договору ТП № 61-1-20-00531041 от 04.09.2020 с Серенко Н.А от РУ 0,4кВ КТП 10/0,4кВ № 508 по ВЛ-10кВ «КРС» ПС Н-9 для электроснабжения жилого дома Шамсиева Б.Д. Родионово-Несветайский р-н сл. Родионово-Несветайская, ул. Сосновая, д. 7А (ориентировочная протяженность ЛЭП – 0,035 км)</t>
  </si>
  <si>
    <t>Строительство ВЛИ-0,4 кВ от оп.1 по ВЛ-0,4кВ № 1 от КТП 10/0,4кВ № 524 по ВЛ-10кВ «Память Кирова» ПС Н-9 для электроснабжения «свинарник-откормочник» ИП Саргсян С.А. по адресу: Ориентир от дороги Родионово-Несветайская-Дарьевка. участок находится примерно в 120 м от ориентира по на правлению на северо-запад (ориентировочная протяженность ЛЭП – 0,210км)</t>
  </si>
  <si>
    <t>Строительство ВЛИ-0,4 кВ оп.6 по ВЛ 0,4кВ № 1 от КТП № 512 ВЛ-10 кВ Каменный Брод ПС АС-12 для электроснабжения «Малоэтажная жилая застройка (Индивидуальный жилой дом/Садовый/Дачный дом)» по адресу: Российская Федерация, Ростовская обл., р-н. Родионово-Несветайский, х. Каменный Брод, СНТ "Комбайностроитель" участок 3-751. (ориентировочная протяженность ЛЭП – 0,335 км)</t>
  </si>
  <si>
    <t>Строительство ВЛИ-0,4 кВ от оп. №1 ВЛ-0,4 кВ №2 МТП №217 ВЛ-6 кВ Прогресс ПС Ш-41 для электроснабжения жилого дома Семеновой Е.П. по адресу: Октябрьский р-н, ст. Заплавская, ул. Ленина, д.65 (ориентировочная протяженность ЛЭП – 0,24 км)</t>
  </si>
  <si>
    <t>Строительство ТП-10/0,4, ВЛ-10 кВ от существующей оп. №150 ВЛ 10 кВ Федоровка ПС С-5, и ВЛИ-0,4 кВ от вновь установленной ТП-10/0,4 кВ для присоединения строительной площадки, Ростовская обл, Красносулинского района, СПК «Федоровский», в 830 м на юго-запад от х. Большая Федоровка (ориентировочная протяженность ЛЭП 0,095 км, ориентировочная мощность трансформатора 25 кВА)</t>
  </si>
  <si>
    <t>Строительство ВЛИ-0,4 кВ от оп.59 по ВЛ-0,4кВ № 1 от КТП 10/0,4кВ № 230 по ВЛ-10кВ «Кутейниково» ПС Н-9, для электроснабжения жилого дома Райз Е.В.по адресу: Ростовская обл, р-н. Родионово-Несветайский, сл. Родионово-Несветайская, ул. Папанина, д. 26, (ориентировочная протяженность ЛЭП – 0,040 км)</t>
  </si>
  <si>
    <t>Строительство ВЛИ-0,4 кВ от оп.21 по ВЛ-0,4кВ № 3 от КТП 10/0,4кВ № 71 по ВЛ-10кВ «Каменный Брод» ПС АС-12, для электроснабжения жилого дома Тимашевой К.В.по адресу: р-н. Родионово-Несветайский, х. Каменный Брод, ул. Курсантов РАУ, д. 55А, (ориентировочная протяженность ЛЭП – 0,050 км)</t>
  </si>
  <si>
    <t>Строительство ВЛИ-0,4 кВ от оп.6 по ВЛ-0,4кВ № 1 от КТП 10/0,4кВ № 135 по ВЛ-10кВ «Заря» ПС Н-9, для электроснабжения ангара главы К(Ф)Х Шалатова И.А.по адресу: Родионово-Несветайский р-н примерно в 250м по направлению на северо-восток от участка по адресу: х.Большой Должик, ул. Октября.12 (ориентировочная протяженность ЛЭП – 0,070 км)</t>
  </si>
  <si>
    <t>Строительство ВЛИ-0,4 кВ от оп. №46 ВЛИ-0,4 кВ №3 КТП №206 ВЛ-6 кВ Кривянка  ПС Ш-43 для электроснабжения жилого дома Емельянова Г.А.  по адресу: Октябрьский р-н, ст. Кривянская, ул. Советская, д.183 (ориентировочная протяженность ЛЭП – 0,06 км)</t>
  </si>
  <si>
    <t>Строительство ВЛИ-0,4 кВ от оп. №16/9 ВЛ-0,4 кВ №3 МТП №220 ВЛ-6 кВ Рыбхоз ПС Ш-41 для электроснабжения жилого дома Козлова М.И.  по адресу: Октябрьский р-н, ст. Бессергеневская, ул. Школьная, д.1-Д (ориентировочная протяженность ЛЭП – 0,15 км)</t>
  </si>
  <si>
    <t>Строительство ВЛИ-0,4 кВ от оп.№1 ВЛ-0,4кВ №1 от ЗТП 6/0,4 кВ №59 по ВЛ-6кВ Совхоз-7 ПС 35 кВ Ш-15 для электроснабжения гаража ИП Воробьева А.В. (ориентировочная протяженность ЛЭП – 0,1 км)</t>
  </si>
  <si>
    <t>Строительство ВЛИ-0,4 кВ от оп. №17 ВЛИ-0,4 кВ №2 МТП №802 ВЛ-10 кВ Красюковка ПС Ш-39 для электроснабжения малоэтажной жилой застройки Гурова С.Н. по адресу: Октябрьский р-н, садоводческое товарищество «Электровозостроитель», уч.11 (ориентировочная протяженность ЛЭП – 0,12 км)</t>
  </si>
  <si>
    <t>Строительство ВЛИ-0,4 кВ от оп. №22 ВЛ-0,4 кВ №1 КТП №279 по ВЛ-6 Кривянка ПС 35 кВ Ш-40 для присоединения жилого дома Субботиной А.С. по адресу: Ростовская область, Октябрьский район, ст-ца. Кривянская, ул. Гагарина, д.100-А (ориентировочная протяженность ЛЭП 0,07 км)</t>
  </si>
  <si>
    <t>Строительство ВЛИ-0,4 кВ от оп. №5 ВЛИ-0,4 кВ №1 КТП №95 по ВЛ-10 Маркин-2 ПС 35 кВ Ш-27 для присоединения малоэтажной жилой застройки Стебловского И.Н. по адресу: Ростовская область, Октябрьский район, х. Маркин, пер. Луговой, д.2 (ориентировочная протяженность ЛЭП 0,12 км)</t>
  </si>
  <si>
    <t>Строительство ВЛИ 0,4 кВ от ВЛИ 0,4 кВ МТП 228 ВЛ 10 кВ Каныгин ПС 110 кВ Ш37 для электроснабжения ВРУ-0.4кВ дачного дома Ругаева В.Е. по адресу: Усть-Донецкий район, х. Коныгин, КН ЗУ 61:39:0600011:296 (ориентировочная протяженность ЛЭП – 0,085 км)</t>
  </si>
  <si>
    <t>Строительство ВЛИ-0,4 кВ от РУ 0,4кВ МТП 10/0,4кВ № 216 по ВЛ-10кВ «Каменный Брод» ПС АС-12 для электроснабжения «Малоэтажная жилая застройка (Индивидуальный жилой дом/Садовый/Дачный дом)» Рудаков В.В. по адресу: Родионово-Несветайский р-н, СНТ "Комбайностроитель" участок 4-413 (ориентировочная протяженность ЛЭП – 0,445км)</t>
  </si>
  <si>
    <t>Строительство ТП-10/0,4, ВЛ-10 кВ от существующей оп. 10 отпайки на КТП №30 по ВЛ 10 кВ «Память Кирова» ПС 110/35/10 кВ Н-9, и ВЛИ-0,4 кВ от вновь установленной ТП-10/0,4 кВ для присоединения площадки по переработке вторичного сырья по адресу: РО, р-н Родионово-Несветайский молзавод сл. Род-Несветайская, ООО «Полигон» (ориентировочная протяженность ЛЭП 0,895 км, ориентировочная мощность трансформатора 25 кВА)</t>
  </si>
  <si>
    <t>Строительство ВЛИ-0,4 кВ от оп. №14 ВЛИ-0,4 кВ №2 КТП №670 по ВЛ-10 кВ Совхоз ПС 110 кВ Ш-16 для присоединения малоэтажной жилой застройки Ситниковой А.С. по адресу: Ростовская область, Октябрьский район, п. Красногорняцкий, ул.Парковая, д.1 (ориентировочная протяженность ЛЭП 0,06 км)</t>
  </si>
  <si>
    <t xml:space="preserve"> Строительство участка ВЛИ-0,4 кВ от  РУ-0,4 кВ КТП – 10/0,4 кВ  № 188 по ВЛ – 10 кВ «Завод-1» ПС С-5, с установкой на границе земельного участка заявителя прибора учета для объектов дорожного хозяйства Министерства транспорта, Российская Федерация, Ростовская область, Красносулинский район, ст-ца Владимировская, автомобильная дорога г. Шахты-ст. Владимирская (до магистрали «Дон»), К.Н З.М: 61:00:0000000:870.(ориентировочная протяженность ЛЭП – 0,03 км.)</t>
  </si>
  <si>
    <t>Строительство ВЛИ-0,4 кВ от оп.5 по ВЛ-0,4 кВ № 2 от КТП 6/0,4 кВ № 62 по ВЛ-6 кВ «Кадамовка» ПС С-6, с установкой прибора учета на границе земельного участка заявителя для жилого дома Сулименко И.А., Ростовская обл., Красносулинский район, х. Садки, пер. Первомайский, 11. (ориентировочная протяженность ЛЭП – 0,04 км.)</t>
  </si>
  <si>
    <t>Строительство ВЛ 0,4 кВ от крайней опоры строящейся ВЛ 0,4 кВ, по договору ТП №61-1-20-00520753 от 17.07.2020 ИП Петросян Н.Э подключенного от КТП №239 по ВЛ 6- кВ Орошение от ПС Н-8 для присоединения домика отдыха, Ростовская область, Красносулинский район, г. Красный Сулин, в районе Н-ГРЭС (Лозовой Н.В.) (ориентировочная протяженность ЛЭП-0,07 км)</t>
  </si>
  <si>
    <t>Строительство ВЛИ-0,4 кВ от ВЛ-0,4кВ №2 КТП № 262 ВЛ-10кВ «Мелиховка» ПС Ш-34 с коммерческим учетом электрической энергии (мощности) в точке поставки для электроснабжения жилого дома Лучкина А.Ю.: пер. 8-й, д. 2-Б, ст. Мелиховская, Усть-Донецкого р-на, (ориентировочная протяженность ЛЭП 0,1 км)</t>
  </si>
  <si>
    <t>Строительство ВЛИ-0,4 кВ от ВЛ-0,4кВ №5 КТП № 265 ВЛ-10кВ «Мелиховка» ПС Ш-34 с коммерческим учетом электрической энергии (мощности) в точке поставки для электроснабжения жилого дома Тесленко Н.Н.: ул. Набережная, д. 39, ст. Мелиховская, Усть-Донецкого р-на, (ориентировочная протяженность ЛЭП 0,06 км)</t>
  </si>
  <si>
    <t>Строительство ВЛИ-0,4 кВ от ВЛИ-0,4кВ строящейся сетевой организацией по Договору ТП №61-1-20-00525035 от 13.08.2020 с Мирущенко Н.П.  от  оп.34 по ВЛ 0,4кВ № 2  КТП №214 ВЛ-10 кВ Ростовский ПС Н-9, для электроснабжения «Малоэтажная жилая застройка (Индивидуальный жилой дом/Садовый/Дачный дом)» Гомелаури Е.А. по адресу: р-н. Родионово-Несветайский, х. Веселый, ул. Новая,  д.21(ориентировочная протяженность ЛЭП – 0,04 км)</t>
  </si>
  <si>
    <t>Строительство ВЛИ-0,4 кВ от оп.25 по ВЛ-0,4кВ № 1 от КТП 10/0,4кВ № 218 по ВЛ-10кВ «Ростовский» ПС Н-9, для электроснабжения «Малоэтажная жилая застройка (Индивидуальный жилой дом/Садовый/Дачный дом)» Друпова В.И. по адресу: р-н. Родионово-Несветайский, х. Веселый, ул. Дачная, д. 1Б, (ориентировочная протяженность ЛЭП – 0,045 км)</t>
  </si>
  <si>
    <t xml:space="preserve"> Строительство ВЛИ-0,4 кВ от оп.3 по ВЛ 0,4кВ № 1 от КТП № 512 ВЛ-10 кВ «Каменный Брод» ПС АС-12 для электроснабжения «Малоэтажная жилая застройка (Индивидуальный жилой дом/Садовый/Дачный дом)» Милен А.С., Золоторева А.Л. по адресу: Ростовская обл., р-н. Родионово-Несветайский, р-н. Родионово-Несветайский, СНТ "Комбайностроитель", участок 3-353,3-352 (ориентировочная протяженность ЛЭП – 0,07 км)</t>
  </si>
  <si>
    <t>Строительство участка ВЛ 6 кВ от существующей оп. №171 по ВЛ 6 кВ Платово ПС Г2, с установкой ТП-6/0,4 кВ, и строительство ВЛИ-0,4 кВ от вновь установленной ТП-6/0,4 кВ для присоединения ВРУ-0,4 кВ базовая станция/оборудование сотовой связи, Ростовская обл, Красносулинский район, х. Платово (ПАО МТС) (ориентировочная протяженность ЛЭП 0,515 км, ориентировочная мощность трансформатора 25 кВА)</t>
  </si>
  <si>
    <t>Строительство участка ВЛ-6 кВ от существующей оп. №22 отпайки к КТП № 476 по ВЛ-6 кВ «Ударник» ПС 110 кВ С2 (на балансе ООО «Глобус»), с установкой ТП-6/0,4 кВ, и строительство ВЛИ-0,4 кВ от вновь установленной ТП-10/0,4 кВ для присоединения АБЗ ООО «Рось» (ориентировочная протяженность ЛЭП 0,065 км, ориентировочная мощность трансформатора 250 кВА)</t>
  </si>
  <si>
    <t>Строительство ВЛИ 0,4 кВ от ВЛ 0,4 кВ №2 КТП 321 ВЛ 10 кВ Пухляковка ПС Ш34 для электроснабжения жилого дома Тищенко О.Р. по адресу: Усть-Донецкий р-н, х. Пухляковский (ориентировочная протяженность ЛЭП – 0,13 км)</t>
  </si>
  <si>
    <t>Строительство ВЛИ-0,4 кВ от оп. №11 ВЛ-0,4 кВ №1 КТП №430 ВЛ-6 кВ Рыбхоз ПС Ш-41 для электроснабжения жилого дома Губченко О.Н., Ростовская обл., Октябрьский р-н, садоводческое товарищество «Дон», уч. №299. (ориентировочная протяженность ЛЭП – 0,05 км)</t>
  </si>
  <si>
    <t>Строительство ВЛИ-0,4 кВ от оп. №6 ВЛ-0,4 кВ №1 КТП №10 ВЛ-6 кВ Прогресс ПС Ш-41 для электроснабжения жилого дома Альбаковой А.Г. Ростовская обл., Октябрьский р-н, ст. Заплавская, пер. Прямой, д.1-А. (ориентировочная протяженность ЛЭП – 0,06 км)</t>
  </si>
  <si>
    <t>Строительство ВЛИ-0,4 кВ от оп. №16 ВЛИ-0,4 кВ №3 КТП №670 по ВЛ-10 кВ Совхоз ПС 110 кВ Ш-16 для присоединения малоэтажной жилой застройки Князяна Р.Г. по адресу: Ростовская область, Октябрьский район, п. Красногорняцкий, ул. Королевой, д. 5 (ориентировочная протяженность ЛЭП 0,06 км)</t>
  </si>
  <si>
    <t>Строительство ВЛИ-0,4 кВ от оп. №55 ВЛИ-0,4 кВ №4 КТП №54 ВЛ-6 кВ Рыбхоз ПС Ш-41 для электроснабжения жилого дома Неведровой Т.С. по адресу: Октябрьский р-н, х. Калинин, ул. Донская, д.55Б (ориентировочная протяженность ЛЭП – 0,075 км)</t>
  </si>
  <si>
    <t>Строительство ВЛИ 0,4 кВ от ВЛ 0,4 кВ КТП 58 ВЛ 10 кВ Апаринка ПС 110 кВ Ш14 для электроснабжения ВРУ жилого дома Коваленко Г.М. по адресу: Усть-Донецкий район, раб. пос. Усть-Донецкий, ул. Виноградная 59 КН ЗУ 61:39:0010104:202 (ориентировочная протяженность ЛЭП – 0,018 км)</t>
  </si>
  <si>
    <t>Строительство ВЛИ-0,4кВ от строящейся ТП-10/0,4кВ по строящейся ВЛ-10кВ от существующей оп. №4 отпайки к ТП-48 ВЛ-10кВ «Апаринка» Ш-14 (по договорам ТП №61-1-19-00430699 от 06.03.2019г, №61-1-19-00430661 от 06.03.2019г, №61-1-19-00430679 от 06.03.2019г) для присоединения дачных домов Высоцкой А.И., Шипулиной Л.Х. (ориентировочная протяженность ЛЭП 0,23км)</t>
  </si>
  <si>
    <t>Строительство ВЛИ-0,4 кВ от оп. №26 ВЛ-0,4 кВ №4 КТП №204 по ВЛ-6 кВ Кривянка ПС 110 кВ Ш-43 для присоединения жилых домов Морозова Р.М., Шаповалова А.И, Морозовой Т.Н. по адресу: Ростовская область, Октябрьский район, ст. Кривянская (ориентировочная протяженность ЛЭП 0,26 км</t>
  </si>
  <si>
    <t>Строительство ЛЭП-0,4 кВ от РУ 0,4 кВ КТП № 152 по ВЛ 6 кВ «Пролетарка» ПС С2, с установкой прибора учета на границе земельного участка заявителя для нежилой застройки (хозяйственная постройка, нежилое здание), Ткачев Эдуард Анатольевич, Ростовская обл., Красносулинский район, с. Прохоровка, с/п Пролетарское, К.Н З.М: 61:18:0000000:7103. (ориентировочная протяженность ЛЭП – 0,410 км.)</t>
  </si>
  <si>
    <t>Строительство ЛЭП-0,4 кВ от оп. № 6 ВЛ 0,4 кВ № 3 от ЗТП 6/0,4 кВ № 177 по ВЛ 6 кВ «Пролетарка» ПС 110/6 С2, с установкой прибора учета на границе земельного участка заявителя для жилого дома, Фастишевская А.В., Российская Федерация, Ростовская обл., Красносулинский х. Пролетарка, пер. Трудовой, д. 2-б., К.Н З.М: 61:18:0080102:163.(ориентировочная протяженность ЛЭП – 0,210 км.)</t>
  </si>
  <si>
    <t>Строительство ТП-10/0,4, ЛЭП-10 кВ от оп. № 10 отпайки на ТП 56 ВЛ 10 кВ Новоегоровка от ПС Н-9, и ВЛИ-0,4 кВ от вновь установленной ТП-10/0,4 кВ для присоединения плотины рыбохозяйственного пруда ИП Дорошенко А.Б. по адресу: р-н. Родионово-Несветайский, примерно 1.5 км от хут.Новоегоровка по направлению на юго-восток, кадастровый номер сооружения: 61:33:0000000:5258 (ориентировочная протяженность ЛЭП 2,210 км, ориентировочная мощность трансформатора 25 кВА)</t>
  </si>
  <si>
    <t>Строительство ВЛИ-0,4 кВ от оп.20 по ВЛ-0,4кВ №1 от КТП 10/0,4 кВ № 423 по ВЛ-10кВ Комсомолец ПС Ш-35 для электроснабжения жилого дома Смирнова Е.Н., Ростовская обл., Октябрьский р-н, п. Новозарянский, ул. Степная, д. 11 (ориентировочная протяженность ЛЭП – 0,07 км)</t>
  </si>
  <si>
    <t>Строительство участка ВЛ-10 кВ от существующей №158 по ВЛ-10кВ «Новоегорьевка» ПС 110 кВ Н9, с установкой ТП-10/0,4 кВ, и строительство ВЛИ-0,4 кВ от вновь установленной ТП-10/0,4 кВ для присоединения «объект сельскохозяйственного производства» ИП Лигус В.Н. (ориентировочная протяженность ЛЭП 0,125 км, ориентировочная мощность трансформатора 63кВА)</t>
  </si>
  <si>
    <t>Строительство ВЛИ-0,4 кВ от РУ-0,4 кВ КТП №398 по ВЛ-10 кВ Центр ПС 110 кВ Ш-36 для присоединения объекта КФХ ИП Буримова А.С. по адресу: Ростовская область, Октябрьский район, вблизи х. Керчик-Савров (ориентировочная протяженность ЛЭП 0,45 км)</t>
  </si>
  <si>
    <t>Строительство участка ВЛЗ-10 кВ от ВЛ10 кВ Западной ПС 35/10 Ш26, с установкой ТП 10/0,4 кВ, и строительство ВЛИ 0,4 кВ от вновь установленной ТП 10/0,4 кВ, для присоединения ВРУ-0,4кВ объекта сельскохозяйственного производства по адресу: Ростовская обл., Усть-Донецкий район, ст. Усть-Быстрянская КН ЗУ: 61:39:0600002:289 (ориентировочная протяженность ЛЭП 0,335 км, ориентировочная мощность трансформатора 0,025 МВА)</t>
  </si>
  <si>
    <t>Строительство участка ВЛЗ10 кВ от ВЛ10 кВ Керчик ПС 35/10 Ш18, с установкой ТП 10/0,4 кВ, и строительство ВЛИ 0,4 кВ от вновь установленной ТП 10/0,4 кВ для присоединения ВРУ-0,4 кВ вагончика ИП Шабановой Л.С. в ст. Евсеевской Усть-Донецкого района (ориентировочная протяженность ЛЭП 3,1 км, ориентировочная мощность трансформатора 0,025 МВА)</t>
  </si>
  <si>
    <t>Строительство ВЛИ-0,4 кВ от оп.45 по ВЛ-0,4кВ № 1 от КТП 10/0,4кВ № 230 по ВЛ-10кВ «Кутейниково» ПС Н-9 для электроснабжения «Малоэтажная жилая застройка (Индивидуальный жилой дом/Садовый/Дачный дом)» по адресу: Российская Федерация, Ростовская обл., р-н. Родионово-Несветайский, р-н. Родионово-Несветайский, сл. Родионово-Несветайская, ул. Челюскина, д. 11 (ориентировочная протяженность ЛЭП – 0,040 км)</t>
  </si>
  <si>
    <t>Строительство ВЛИ-0,4 кВ от оп.4 ВЛ 0,4кВ № 3 КТП 10/0,4кВ № 8 по ВЛ-10кВ «Кутейниково» ПС Н-9, для электроснабжения БС 2687 ООО "Т2 Мобайл" по адресу: сл. Кутейниково, ул. Булановой, д. 30 (ориентировочная протяженность ЛЭП – 0,055 км)</t>
  </si>
  <si>
    <t>Строительство ВЛИ-0,4 кВ от оп.12 по ВЛ 0,4кВ № 1 от КТП № 118 ВЛ-10 кВ Краснознаменка ПС Н-21 для электроснабжения «Малоэтажная жилая застройка (Индивидуальный жилой дом/Садовый/Дачный дом)» Шиколенко Г.П. по адресу: Ростовская обл., р-н. Родионово-Несветайский, р-н. Родионово-Несветайский, х. Болдыревка, ул. Гагаринская,  д. 24 (ориентировочная протяженность ЛЭП – 0,085 км)</t>
  </si>
  <si>
    <t>Строительство ВЛИ-0,4 кВ от оп.4 ВЛ 0,4кВ № 1 КТП 10/0,4кВ № 71А по ВЛ-10кВ «Каменный Брод» ПС АС-12, для электроснабжения здания Багян М.В. по адресу: Родионово-Несветайский р-н х. Каменный Брод, ул. Каменка, д. 6А (ориентировочная протяженность ЛЭП – 0,030 км)</t>
  </si>
  <si>
    <t>Строительство ВЛИ-0,4 кВ оп оп.7 ВЛ 0,4 кВ № 1 от ТП 10/0,4кВ  № 55 по ВЛ-10кВ «Заря» ПС Н-9 для электроснабжения жилого дома Горошко Н.П. Родионово-Несветайский р-н сл. Родионово-Несветайская, ул. Калинина,  д. 15А (ориентировочная протяженность ЛЭП – 0,05 км)</t>
  </si>
  <si>
    <t>Строительство ВЛИ-0,4 кВ от оп.31 по ВЛ-0,4кВ № 2 от КТП 10/0,4кВ № 178 по ВЛ-10кВ «Заря» ПС Н-9 для электроснабжения «Малоэтажная жилая застройка (Индивидуальный жилой дом/Садовый/Дачный дом)» Савченко С.И. по адресу: р-н. Родионово-Несветайский, сл. Родионово-Несветайская, ул. Абрикосовая, д. 7А (ориентировочная протяженность ЛЭП – 0,03км)</t>
  </si>
  <si>
    <t>Строительство участка ВЛ-10 кВ от существующей оп. №243 по ВЛ-10 кВ «Федоровка» от ПС 110/10 С-5, с установкой ТП-10/0,4 кВ, и строительство ВЛИ-0,4 кВ от вновь установленной ТП-10/0,4 кВ для присоединения ВРУ-0,4 кВ карьера, Ростовская обл, Красносулинский район, на землях СПК «Федоровский», в 3,25 км на восток от х. Большая Федоровка. (ООО Южный Нерудный Базис) (ориентировочная протяженность ЛЭП 2,165 км, ориентировочная мощность трансформатора 0,025 МВА)</t>
  </si>
  <si>
    <t>Строительство ВЛИ 0,4 кВ от ВЛИ 0,4 кВ МТП 21 ВЛ 10 кВ Комплекс ПС 110 кВ Ш14 для электроснабжения ВРУ-0.4кВ жилого дома Стеценко А.А. по адресу: Усть-Донецкий район, х. Броницкий, ул. Степная, д. 17 КН ЗУ 61:39:0050201:93 (ориентировочная протяженность ЛЭП – 0,190 км)</t>
  </si>
  <si>
    <t>Строительство ВЛИ-0,4 кВ от РУ-0,4 кВ МТП №803 ВЛ-10 кВ Красюковка ПС Ш-39 для электроснабжения пяти садовых домов с/т «Электровозостроитель» Ростовская обл., Октябрьский р-н. (ориентировочная протяженность ЛЭП – 0,66 км)</t>
  </si>
  <si>
    <t xml:space="preserve">Строительство ВЛИ-0,4 кВ оп.12 по ВЛ-0,4кВ № 2 от КТП 10/0,4кВ № 26 по ВЛ-10кВ «Генеральское» ПС Н-19 для электроснабжения объекта К(Ф)Х по адресу: Установлено относительно ориентира, расположенного в границах участка. Ориентир с.Генеральское. Участок находится примерно в 1750 м от ориентира по направлению на юго-запад. Почтовый адрес ориентира: Ростовская область, Родионово-Несветайский район, кадастровый номер земельного участка: 61:33:060012:28. (ориентировочная протяженность ЛЭП – 0,350 </t>
  </si>
  <si>
    <t>Строительство ВЛИ- 0,4 кВ от оп. 10 по BЛ 0,4 кВ № 1 от КТП 10/0,4 кВ, № 71 по BЛ-10 кВ Каменный Брод ПС АС -12 для электроснабжения малоэтажная жилая застройка (Индивидуальный жилой дом/Садовый/Дачный дом) Галстян А.Р., по адресу: Ростовская область, Р- Несветайский район, х. Каменный Брод, ул. Калининская, д. 16а, к.н.61:33:0030501:669 (ориентировочная протяженность ЛЭП 0,088 км)</t>
  </si>
  <si>
    <t>Строительство ВЛИ-0,4 кВ от оп.2 по ВЛ-0,4кВ № 1 от КТП 10/0,4кВ №121 по ВЛ-10кВ Генеральское ПС Н19 для электроснабжения «Малоэтажная жилая застройка (Индивидуальный жилой дом/Садовый/Дачный дом)» Ищенко А.Е.: р-н. Родионово-Несветайский, с. Генеральское, ул. Набережная, д. 6А (ориентировочная протяженность ЛЭП – 0,085 км)</t>
  </si>
  <si>
    <t>Строительство ВЛИ-0,4 кВ от опоры ВЛИ-0,4 кВ, построенной сетевой организацией по договору ТП №61-1-20-00551983 от 17.12.2020 (Соболева Н.С.) от РУ-0,4 кВ МТП №803 ВЛ-10 Красюковка ПС 35 кВ Ш-39 для присоединения двух садовых домов Чувакова И.А., Кубанкиной Е.И. по адресу: Ростовская область, Октябрьский район, садоводческое товарищество «Электровозостроитель» уч. 89, уч.89Б (ориентировочная протяженность ЛЭП 0,27 км)</t>
  </si>
  <si>
    <t>Строительство участка ВЛЗ10 кВ от ВЛ10 кВ Первомайка ПС 35/10 Ш31, с установкой ТП 10/0,4 кВ, и строительство ВЛИ 0,4 кВ от вновь установленной ТП 10/0,4 кВ (Усть-Донецкий РЭС) для присоединения ВРУ-0,4кВ объекта сельскохозяйственного производства по адресу: Ростовская область, р-н Октябрьский, Краснолучская администрация КН 61:28:0600018:9 (ориентировочная протяженность ЛЭП 0,085 км, ориентировочная мощность трансформатора 0,025 МВА)</t>
  </si>
  <si>
    <t>Строительство ВЛИ-0,4 кВ от РУ 0,4кВ КТП 10/0,4кВ № В-19 по ВЛ-10кВ Прохоровка ПС Н22 для электроснабжения «нежилая застройка (хозяйственная застройка, нежилое здание)» ИП Мирошниченко В.И. по адресу: р-н. Родионово-Несветайский, примерно в 124м по направлению на юг от х. Новопрохоровка (ориентировочная протяженность ЛЭП – 0,085 км)</t>
  </si>
  <si>
    <t>Строительство ВЛИ-0,4 кВ от ВЛИ-0,4кВ строящейся сетевой организацией по Договору ТП №61-1-21-00580543 от 02.06.21с Виниченко Г.А. от оп.6 по ВЛ 0,4кВ № 1 КТП №512 ВЛ-10 кВ Каменный Брод ПС АС-12, для электроснабжения «Малоэтажная жилая застройка (Индивидуальный жилой дом/Садовый/Дачный дом)» Афанасьевой А.Д. по адресу: Ростовская обл., р-н. Родионово-Несветайский, р-н. Родионово-Несветайский, СНТ "Комбайностроитель" участок 3-752 (ориентировочная протяженность ЛЭП – 0,035 км)</t>
  </si>
  <si>
    <t>Строительство ВЛИ-0,4 кВ от конечной опоры ВЛИ-0,4кВ, строящейся по договору №61-1-21-00598211 от 30.08.2021 с Афанасьевой А.Д для электроснабжения «Малоэтажная жилая застройка (Индивидуальный жилой дом/Садовый/Дачный дом)» Васильевой Н.П. по адресу: р-н. Родионово-Несветайский, СНТ "Комбайностроитель" участок 3-753, к.н.з.у.: 61:33:0500101:2398 (ориентировочная протяженность ЛЭП – 0,035 км)</t>
  </si>
  <si>
    <t>Строительство ВЛИ-0,4 кВ от ВЛИ-0,4кВ строящейся по Договору ТП 61-1-20-00519917 от 27.07.2020 с Васильевым Ш.И. от оп.39 ВЛ 0,4кВ № 1от КТП 10/0,4кВ № 124 по ВЛ-10кВ «Юдино» ПС Н-19 для электроснабжения жилого дома Шаталова Д.В. Родионово-Несветайский р-н х. Волошино, ул. Северная, д. 7(ориентировочная протяженность ЛЭП – 0,1 км)</t>
  </si>
  <si>
    <t>Строительство ВЛИ-0,4 кВ от оп.1 ВЛ-0,4 кВ № 2 от КТП 10/0,4 кВ № 362 по ВЛ-10 кВ «Мичурино» ПС 35/10 кВ С-11, с установкой прибора учета на границе земельного участка заявителя для базовой станции ПАО «Ростелеком», Российская Федерация, Ростовская обл., Красносулинский район, с. Ребряковка, 95 м на северо-восток от дома № 17, ул. Веселая.(ориентировочная протяженность ЛЭП – 0,055 км.)</t>
  </si>
  <si>
    <t>Строительство ВЛИ-0,4 кВ от оп. №46 ВЛИ-0,4 кВ №3 КТП №206 ВЛ-6 кВ Кривянка ПС Ш-43 для электроснабжения жилого дома Касаткина А.А. по адресу: Октябрьский р-н, ст. Кривянская, ул. Советская, д.177 (ориентировочная протяженность ЛЭП – 0,13 км)</t>
  </si>
  <si>
    <t>Строительство ВЛИ-0,4 кВ от оп. №7/7 ВЛ-0,4 кВ №1 КТП №534 ВЛ-10 кВ Зверпромхоз ПС Ш-42 для электроснабжения жилого дома Кухарчук Д.О. по адресу: Ростовская область, Октябрьский р-н, сл. Красюковская, ул. М.Горького, д.53-А (ориентировочная протяженность ЛЭП – 0,03 км)</t>
  </si>
  <si>
    <t>Строительство ВЛИ-0,4 кВ от оп. №29 ВЛИ-0,4 кВ №3 КТП №670 ВЛ-10 кВ Совхоз ПС Ш-16 для электроснабжения жилого дома Коваленко В.Ю. по адресу: Октябрьский р-н, п. Красногорняцкий, ул. Кудаченко, д.24 (ориентировочная протяженность ЛЭП – 0,03 км)</t>
  </si>
  <si>
    <t>Строительство ВЛИ 0,4 кВ от ВЛИ 0,4кВ КТП 228 ВЛ 10кВ Каныгин ПС 110/10 Ш37 для электроснабжения ВРУ-0.4кВ Объекта сельскохозяйственного производства Манаева Э.Ю. по адресу: Ростовская область, Усть-Донецкий район, х. Коныгин, примерно 1м на запад от земельного участка с КН 61:39:0600011:26, КН ЗУ 61:39:0600011:358 (ориентировочная протяженность ЛЭП – 0,075 км)</t>
  </si>
  <si>
    <t>Строительство ВЛИ-0,4 кВ от оп.18 ВЛ 0,4 кВ №1 от КТП 10/0,4кВ 77 по ВЛ-10кВ Юдино ПС 35 кВ Н19 для электроснабжения «Малоэтажная жилая застройка (Индивидуальный жилой дом/Садовый/Дачный дом)» Романовой Е.В. по адресу: р-н. Родионово-Несветайский, х. Ивановка, ул. Магистральная, д. 15, к.н.з.у.: 61:33:070301:53. (ориентировочная протяженность ЛЭП – 0,380 км)</t>
  </si>
  <si>
    <t>Строительство ВЛИ 0,4 кВ от ВЛ 0,4 кВ №2 КТП 57 ВЛ 10 кВ МТФ ПС 110/10 кВ Ш47 для электроснабжения вагончика охраны Хромых С.М. ст. Кочетовская, КН ЗУ: 61:35:0600003:500 (ориентировочная протяженность ЛЭП – 0,61 км)</t>
  </si>
  <si>
    <t>Строительство ВЛИ-0,4 кВ от конечной опоры ВЛИ-0,4кВ, строящейся по договору №61-1-20-00533939 от 21.09.2020 с Потапченко К.А. для электроснабжения «Малоэтажная жилая застройка (Индивидуальный жилой дом/Садовый/Дачный дом)» Берестовой О.В. по адресу: р-н. Родионово-Несветайский, СНТ "Комбайностроитель" участок 3-382. (ориентировочная протяженность ЛЭП – 0,07 км)</t>
  </si>
  <si>
    <t>Строительство ВЛИ 0,4 кВ от РУ 0,4кВ КТП 63 ВЛ 10кВ МТФ ПС 110/10 Ш47 (Усть-Донецкий РЭС) для электроснабжения ВРУ-0.4кВ объекта сельскохозяйственного производства ООО Агрофирма «Кочетовская» по адресу: Ростовская обл., Семикаракорский район, ст. Кочетовская, КН ЗУ: 61:35:0600003:713 (ориентировочная протяженность ЛЭП – 0,270 км)</t>
  </si>
  <si>
    <t>Строительство ВЛИ 0,4 кВ от ВЛ 0,4 кВ №2 КТП 48 ВЛ 10 кВ Апаринка ПС Ш14 для электроснабжения сторожки ИП Орехов А.Б. по адресу: Усть-Донецкий р-н, х. Апаринский (ориентировочная протяженность ЛЭП – 0,15 км)</t>
  </si>
  <si>
    <t>Строительство ВЛИ-0,4 кВ от оп.69 по ВЛ-0,4кВ № 1 от КТП 10/0,4кВ № 230 по ВЛ-10кВ «Кутейниково» ПС Н-9, для электроснабжения «Малоэтажная жилая застройка (Индивидуальный жилой дом/Садовый/Дачный дом)» Дзюбенко В.В., Ростовская обл, р-н. Родионово-Несветайский, сл. Родионово-Несветайская, пер. Амурский, д. 30, (ориентировочная протяженность ЛЭП – 0,030 км)</t>
  </si>
  <si>
    <t>Строительство ВЛИ-0,4 кВ от оп.19 по ВЛ-0,4кВ № 1 от КТП 10/0,4кВ № 15 по ВЛ-10кВ «Юдино» ПС Н-19 для электроснабжения «Малоэтажная жилая застройка (Индивидуальный жилой дом/Садовый/Дачный дом)» Заломновой Н.Н. по адресу: Ростовская обл., р-н. Родионово-Несветайский, р-н. Родионово-Несветайский, х. Юдино, ул. Лермонтова, д. 5а (ориентировочная протяженность ЛЭП – 0,040 км)</t>
  </si>
  <si>
    <t>Строительство ВЛИ-0,4 кВ от оп.59 по ВЛ 0,4кВ № 1 КТП 10/0,4кВ 124 по ВЛ 10кВ Юдино ПС Н19 для электроснабжения «Малоэтажная жилая застройка (Индивидуальный жилой дом/Садовый/Дачный дом)» Литовченко Ю.В. по адресу: р-н. Родионово-Несветайский, х. Волошино, ул. Северная,д. 12 (ориентировочная протяженность ЛЭП – 0,03км)</t>
  </si>
  <si>
    <t>Строительство ВЛИ-0,4 кВ от оп.11 по ВЛ-0,4кВ № 3 от КТП 10/0,4кВ № 71-А по ВЛ-10кВ «Каменный Брод» ПС АС-12, для электроснабжения «Малоэтажная жилая застройка (Индивидуальный жилой дом/Садовый/Дачный дом)» Романчук И.А. р-н. Родионово-Несветайский, кадастровый номер земельного участка: 61:33:0030501:1849, (ориентировочная протяженность ЛЭП – 0,045 км)</t>
  </si>
  <si>
    <t>Строительство ВЛИ-0,4 кВ от оп. №4 ВЛИ-0,4 кВ №1 КТП №585 ВЛ-10 кВ Маркин-1 ПС Ш-27 для электроснабжения малоэтажной жилой застройки Арутюнян Е.В. по адресу: Октябрьский р-н, х. Маркин, ул. Степная, д.31-б (ориентировочная протяженность ЛЭП – 0,045 км)</t>
  </si>
  <si>
    <t xml:space="preserve"> Строительство ВЛИ-0,4 кВ от оп. №5 ВЛ-0,4 кВ №1 КТП №180 по ВЛ-10 Красюковка ПС 35 кВ Ш-39 для присоединения малоэтажной жилой застройки Ятчук Т.В. по адресу: Ростовская область, Октябрьский район, сл. Красюковская, ул. Агролесная, д.47 (ориентировочная протяженность ЛЭП 0,045 км)</t>
  </si>
  <si>
    <t>Строительство ВЛИ-0,4 кВ от оп. №2 ВЛИ-0,4 кВ №1 КТП №817 по ВЛ-6 кВ Прогресс ПС 35 кВ Ш-41 для присоединения складского здания ИП Благодарева В.В. по адресу: Ростовская область, Октябрьский район, ст. Заплавская, ул. Клубная, д.1-б (ориентировочная протяженность ЛЭП 0,17 км)</t>
  </si>
  <si>
    <t>Строительство ВЛИ-0,4 кВ от оп. 25 по ВЛ 0,4кВ № 2 от МТП 10/0,4кВ 05 по ВЛ 10кВ Кутейниково ПС 110 кВ Н9 для электроснабжения «Малоэтажная жилая застройка (Индивидуальный жилой дом/Садовый/Дачный дом)» Важаевой Н.В. по адресу: р-н. Родионово-Несветайский, сл. Родионово-Несветайская, ул. Персиковая, д. 1, (ориентировочная протяженность ЛЭП – 0,03км)</t>
  </si>
  <si>
    <t>Строительство ВЛИ-0,4 кВ от оп. 22 по ВЛ 0,4кВ № 2 от МТП 10/0,4кВ 05 по ВЛ 10кВ Кутейниково ПС 110 кВ Н9 для электроснабжения «Малоэтажная жилая застройка (Индивидуальный жилой дом/Садовый/Дачный дом)» Токаренко К.О. по адресу: р-н. Родионово-Несветайский, сл. Родионово-Несветайская, ул. Персиковая, д. 2. (ориентировочная протяженность ЛЭП – 0,03км)</t>
  </si>
  <si>
    <t>Строительство ВЛИ-0,4 кВ от оп. 17 по ВЛ -0,4кВ № 2 от КТП 10/0,4кВ 124 по ВЛ 10кВ Юдино ПС 35 кВ Н19 для электроснабжения «Малоэтажная жилая застройка (Индивидуальный жилой дом/Садовый/Дачный дом)» Абаева Б.Б. по адресу: р-н. Родионово-Несветайский, х. Волошино. Участок находится примерно в 30 м, по направлению на северо-запад от ориентира, кадастровый номер земельного участка: 61:33:0600013:591 (ориентировочная протяженность ЛЭП – 0,075км)</t>
  </si>
  <si>
    <t>Строительство ВЛИ 0,4 кВ от РУ 0,4кВ КТП 242 ВЛ 10кВ Черни ПС 35/10 Ш32 для электроснабжения ВРУ 0.4кВ малоэтажной жилой застройки Халачян М.О. по адресу: Ростовская обл., Усть-Донецкий район, ст. Верхнекундрюченская, ул. Центральная, д. 2Б, КН ЗУ 61:39:0070101:878 (ориентировочная протяженность ЛЭП – 0,3 км)</t>
  </si>
  <si>
    <t>Строительство ТП-6/0,4, ЛЭП-6 кВ от оп. №12 отпайки к КТП №275 по ВЛ 6 кВ Кривянка ПС Ш-40, и ВЛИ-0,4 кВ от вновь установленной ТП-6/0,4 кВ для присоединения объекта крестьянского (фермерского) хозяйства ИП Александрова Б.Б. по адресу: Октябрьский район, ст. Кривянская, на поле №11(ориентировочная протяженность ЛЭП 1,010 км, ориентировочная мощность трансформатора 25 кВА)</t>
  </si>
  <si>
    <t>Строительство ВЛ-0,4 кВ от опоры №11 ВЛ-0,4 кВ №1 КТП-10/0,4 кВ №621 по ВЛ-10 кВ №1 ПС 110/27,5/10 кВ «Старая Станица», установка прибора коммерческого учета электрической энергии (мощности) в точке поставки и установка шкафа 0,22 кВ с коммутационным аппаратом, (1 шт.) для электроснабжения светофорного комплекса Заявителя Министерство транспорта Ростовской области, расположенного по адресу: Ростовская область, г. Миллерово, автомобильная дорога Миллерово-Луганск, к.н.з.у. 61:22:0000000:100 (1 шт.)" (ориентировочная протяженность ЛЭП – 0,051 км).</t>
  </si>
  <si>
    <t>Строительство КТП-10/0,4 кВ с трансформатором расчетной мощности (с учетом договоров об осуществлении технологического присоединения № 61-1-21-00569491 от 16.04.2021 г., № 61-1-21-00569665 от 16.04.2021г., № 61-1-21-00587533 от 19.07.2021г. и строительство ВЛ-0,4 кВ, от вновь построенной ТП, установка прибора учета электрической энергии (мощности) в точке поставки и установка шкафа (0,4 кВ) с коммутационным аппаратом (1 шт.), для технологического присоединения объекта торговли (магазина) Заявителя, Заика В.Н., расположенного в Ростовской области, Чертковский р-н, х. Нагибин, ул. Молодежная 49, (к.н.з.у. 61:42:0100201:1140), (ориентировочная   протяженность ЛЭП – 0,24 км, ориентировочная мощность ТП – 0,25 МВА)</t>
  </si>
  <si>
    <t>Строительство ВЛ-0,4 кВ от опоры №7/19 ВЛ 0,4 кВ  №3, КТП-10/0,4 кВ №26 по ВЛ-10 кВ №1 ПС 35/10 кВ «Базковская», установка приборов коммерческого учета электрической энергии (мощности) в точке поставки и установка шкафов 0,4 кВ с коммутационным аппаратом, (3 шт.) для технологического присоединения квартир заявителей, Тергалинской С.В., Богуновой Т.В., Котлярова Т.В., расположенных по адресу: Ростовская область, Шолоховский р-н, ст. Базковская, ул. Калинина, (ориентировочная протяженность ЛЭП – 0,11 км)</t>
  </si>
  <si>
    <t>Строительство ВЛ-0,4 кВ от опоры №14/5 по ВЛ-0,4 кВ №2 КТП-10/0,4 кВ №47 по ВЛ-10 кВ №5 ПС 35/10 кВ «Кружилинская»,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Поповниной Н.Р., расположенного по адресу: Ростовская область, Шолоховский р-н, х. Кружилинский, пер. Радужный, д. 1, (к.н.з.у. 61:43:0070101:1042) (ориентировочная протяженность ЛЭП – 0,04 км)</t>
  </si>
  <si>
    <t>Строительство ВЛ-0,4кВ от опоры №10 по ВЛ-0,4кВ №1 КТП-10/0,4 кВ №337 по ВЛ-10кВ №3 ПС 110/35/10кВ "Колодезянская",  установка прибора коммерческого учета электрической энергии (мощности) в точке поставки и установка шкафа 0,4кВ с коммутационным аппаратом (1 шт.) для технологического присоединения личного подсобного хозяйства заявителя, Хрипунова А.В., расположенного по адресу: Ростовская область, Миллеровский р-н , сл. Колодези, Колодезянское сельское поселение  (к.н.з.у. 61:22:0600001:730) (ориентировочная протяженность ЛЭП-0,037 км,)</t>
  </si>
  <si>
    <t>Строительство ВЛ-0,4 кВ от КТП-10/0,4 кВ №209 по ВЛ-10 кВ №1 ПС 35/10 кВ "В. Чирская",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строящегося склада  заявителя, ООО Юбилейное, расположенной  Ростовская область, Боковский р-н, х. Большенаполовский, ул. Школьная, д. 64  (к.н.з.у.61:05:0600001:177) (ориентировочная протяженность ЛЭП-0,096 км)</t>
  </si>
  <si>
    <t>«Строительство ВЛ-0,4 кВ от опоры № 4/14 по ВЛ-0,4 кВ № 1 КТП-10/0,4 кВ № 92 по ВЛ-10 кВ № 3 ПС 35/10 кВ "Боковская,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Головина И.Л., расположенного Ростовская область, Боковский р-н, х. Земцов, ул. Колхозная, д. 112 (к.н.з.у.61:05:0070504:396)  (ориентировочная протяженность ЛЭП-0,06 км)»</t>
  </si>
  <si>
    <t>«Строительство ВЛ-0,4 кВ от опоры №19 по ВЛ-0,4 кВ №1 КТП-10/0,4 кВ №144 по ВЛ-10 кВ №3 ПС 110/10 кВ "Новоселовская" , установка прибора коммерческого учета  электрической энергии (мощности) в точке поставки и установки шкафа 0,4кВ с коммутационным аппаратом, (1 шт.)  для технологического присоединения жилого дома заявителя, Сохненко В.А., расположенного по адресу: Ростовская область, Кашарский р-н , х. Второй Киевский, ул. Озерная, д 8., (к.н.з.у.00:00:000000), (ориентировочная протяженность ЛЭП-0,065 км)»</t>
  </si>
  <si>
    <t>«Строительство ВЛ-0,4 кВ от КТП-10/0,4 кВ №44 по ВЛ-10 кВ №6 ПС 110/35/10 кВ «Кашарская»,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нежилого здания заявителя, Дорохова А.А., расположенного по адресу: Ростовская область, Кашарский р-н, с. Верхнекалиновка, 500 м. на север от домовладения по ул. Центральная 136, (к.н.з.у. 61:16:0600010:377) (ориентировочная протяженность ЛЭП – 0,1 км)»</t>
  </si>
  <si>
    <t>«Строительство ВЛ-0,4 кВ от опоры №5 ВЛ 0,4 кВ  №2, КТП-10/0,4 кВ №173 по ВЛ-10 кВ №2 ПС 110/ 35/10 кВ «НС-3»,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Евгеньевой И.В., расположенного по адресу: Ростовская область, Шолоховский р-н, х. Затонский, пер. Стрелка, д. 13, (к.н.з.у. 61:43:0080401:137) (ориентировочная протяженность ЛЭП – 0,1 км)»</t>
  </si>
  <si>
    <t>Строительство ВЛ-0,4 кВ от опоры №19 ВЛ-0,4 кВ №3 КТП-10/0,4 кВ №506 по ВЛ-10 кВ №3 ПС 35/10 кВ «Пономаревская», установка прибора коммерческого учета электрической энергии (мощности) в точке поставки и установка шкафа 0,22 кВ с коммутационным аппаратом, (1 шт.) для технологического присоединения нежилого здания заявителя, Местная религиозная организация православный Приход Никольского храма сл. Кашары Ростовской области Шахтинской Епархии Русской Православной Церкви (Московский Патриархат), расположенного по адресу: Ростовская область, Кашарский р-н, х. Пономарев, ул. Широкая, д. 13, (к.н.з.у. 00:00:000000) (ориентировочная протяженность ЛЭП – 0,05 км)</t>
  </si>
  <si>
    <t>Строительство ВЛ-0,4 кВ от опоры №10, ВЛ 0,4 кВ №1, КТП-10/0,4 кВ №137 по ВЛ-10 кВ №3 ПС 110/35/10 кВ «Ал. Лозовская»,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ВРУ-0,4 кВ для строительства складов ангарного типа и двух автомобильных весов Заявителя, ООО «Луч», расположенного по адресу: Ростовская область, Чертковский р-н, с. Кутейниково, (к.н.з.у. 61:42:0600014:669) (ориентировочная протяженность ЛЭП – 0,07 км)</t>
  </si>
  <si>
    <t>«Строительство ВЛ-0,22 кВ от РУ-0,22 кВ, вновь построенной ТП 10/0,22 кВ, строительство ВЛ-10 кВ от опоры № 89/66  по ВЛ-10 кВ №6 ПС 110/35/10 кВ «Кашарская», установка прибора учета электрической энергии (мощности) в точке поставки и установка шкафа 0,22 кВ с коммутационным аппаратом (1 шт.), для технологического присоединения объектов дорожного хозяйства (светофорные объекты, объекты видеофиксации) Заявителя, Министерство транспорта Ростовской области, расположенных в Ростовской области, Кашарский р-н, сл. Кашары, км 42+350 м автомобильной дороги г. Миллерово-ст. Вешенская (61:16:600000:0018) (ориентировочная протяженность ЛЭП – 0,045 км, ориентировочная мощность ТП – 0,01 МВА)»</t>
  </si>
  <si>
    <t>«Строительство ВЛ-0,4 кВ от опоры №15 ВЛ-0,4 кВ №2 КТП-10/0,4 кВ №15 по ВЛ-10 кВ №4 ПС 110/35/10 кВ «Кашарская», установка прибора коммерческого учета электрической энергии (мощности) в точке поставки и установки шкафа 0,4 кВ с коммутационным аппаратом, (1 шт.) для технологического присоединения ЩРУ -0,4 кВ на земельном участке для сельскохозяйственных угодий заявителя, Скоробогатько Н.И., расположенного по адресу: Ростовская область, Кашарский р-н, сл. Кашары, 100 м. на юг от улицы Маршала Жукова, (к.н.з.у. 61:16:0600006:822 (ориентировочная протяженность ЛЭП – 0,17 км)»</t>
  </si>
  <si>
    <t>Строительство ВЛ-0,4 кВ от опоры №6 по ВЛ-0,4кВ №1 КТП-10/0,4 кВ №398 по ВЛ-10 кВ №4 ПС 35/10 кВ "Колундаевская",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Курбатовой О.Ю., расположенного по адресу: Ростовская область, Шолоховский р-н, х. Ушаковский, ул. Центральная, д. 52, (к.н.з.у. 61:43:0060701:66) (ориентировочная протяженность ЛЭП-0,225 км)</t>
  </si>
  <si>
    <t>Строительство ВЛ-0,4 кВ от опоры №14 ВЛ 0,4кВ №1, КТП-10/0,4 кВ №249 по ВЛ-10 кВ №6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Шепеловой Н.Н., расположенного по адресу: Ростовская область, Шолоховский р-н, х. Черновский, пер. Центральный, д. 2, (к.н.з.у. 61:43:0060801:215) (ориентировочная протяженность ЛЭП-0,19 км)</t>
  </si>
  <si>
    <t>Строительство ВЛ-0,4 кВ от опоры №7 ВЛ 0,4 кВ  №1, КТП-10/0,4 кВ №148 по ВЛ-10 кВ №3 ПС 110/ 35/10 кВ «НС-3»,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Кривцовой Л.И., расположенного по адресу: Ростовская область, Шолоховский р-н, х. Альшанский, ул. Кооперативная, д. 3а, (к.н.з.у. 61:43:0010201:318) (ориентировочная протяженность ЛЭП – 0,03 км)</t>
  </si>
  <si>
    <t>Строительство ВЛ-0,4 кВ от опоры №3, ВЛ 0,4 кВ №3, КТП-10/0,4 кВ №236 по ВЛ-10 кВ №6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строящегося жилого дома заявителя, Барладян А.О., расположенного по адресу: Ростовская область, Шолоховский р-н, х. Гороховский, ул. Южная, д. 7Б, (к.н.з.у. 61:43:0060401:1396) (ориентировочная протяженность ЛЭП – 0,03 км)</t>
  </si>
  <si>
    <t>Строительство ВЛ-0,4 кВ от опоры №6 ВЛ 0,4 кВ №1 КТП-10/0,4 кВ №532 по ВЛ-10 кВ №18 ПС 110/35/10 кВ «ГОК»,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опоры двойного назначения заявителя, ООО «ДонСвязьКонструкция», расположенной по адресу: Ростовская область, Миллеровский р-н, с. Новоспасовка, в границах кадастрового квартала 61:22:0600028 (ориентировочная протяженность ЛЭП – 0,04 км)</t>
  </si>
  <si>
    <t>Строительство ВЛ-0,4 кВ от КТП-10/0,4 кВ №531 по ВЛ-10 кВ №7 ПС 110/10 кВ «Миллеровская»,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придорожного сервиса заявителя, ИП Лихачева А.С, расположенного по адресу: Ростовская область, г. Миллерово, в границах кадастрового квартала 61:54:0133401, к.н.з.у. 61:54:0133401:166, (ориентировочная протяженность ЛЭП – 0,15 км)</t>
  </si>
  <si>
    <t>Строительство ВЛ-0,4 кВ от опоры №4 ВЛ 0,4 кВ  №1, КТП-10/0,4 кВ №57 по ВЛ-10 кВ №1 ПС 110/ 35/10 кВ «Ал. Лозовская»,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базовой станции заявителя, ПАО «Мобильные ТелеСистемы», расположенной по адресу: Ростовская область, Чертковский р-н, х. Зубрилинский, в границах кадастрового квартала 61:42:0060201) (ориентировочная протяженность ЛЭП – 0,23 км)</t>
  </si>
  <si>
    <t>Строительство ВЛ-10 кВ от опоры №55/159 по ВЛ-10 кВ №2 ПС 110/35/10 кВ "Калининская" с установкой КТП и строительством ВЛ-0,4 кВ,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Сепетый Т.А., расположенного в  Ростовской области, Шолоховский р-н, х. Матвеевский, ул. Зеленая, д. 13  (61:33:0050301:10) (ориентировочная протяженность ЛЭП-0,23 км, ориентировочная мощность ТП- 0,04 МВА)</t>
  </si>
  <si>
    <t>Строительство ВЛ-0,4 кВ от опоры №10 по ВЛ-0,4кВ №1 КТП-10/0,4 кВ №46 по ВЛ-10 кВ №6 ПС 35/10 кВ "Боковская"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Магомедшариповой А.А., расположенного  Ростовская область, Боковский р-н, х. Ильин, ул. Ильинская, д. 5, (к.н.з.у. 61:05:0010701:6) (ориентировочная протяженность ЛЭП-0,095 км)</t>
  </si>
  <si>
    <t>Строительство ВЛ-0,4 кВ от КТП-10/0,4 кВ №23 по ВЛ-10 кВ №1 ПС 35/10 кВ «Лазаревская»,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базовой станции/оборудование сотовой связи заявителя, АО «Первая башенная компания», расположенной по адресу: Ростовская область, Чертковский р-н, с. Новоселовка, ул. Школьная, участок в 200 метрах от дома №1, (ориентировочная протяженность ЛЭП – 0,27 км)</t>
  </si>
  <si>
    <t>Строительство ВЛ-0,4 кВ от опоры №5 по ВЛ-0,4кВ №2 КТП-10/0,4 кВ №369 по ВЛ-10 кВ №2 ПС 35/10 кВ "Колундаевская"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Алферова М.А., расположенного  Ростовская область, Шолоховский р-н, х. Поповский, ул. Центральная, д. 15, (к.н.з.у. 61:43:0090701:210) (ориентировочная протяженность ЛЭП-0,05 км)</t>
  </si>
  <si>
    <t>Строительство ВЛ-0,4 кВ от РУ 0,4кВ  КТП-10/0,4 кВ №237 по ВЛ-10 кВ №6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Исайкиной О.Н., расположенного по адресу: Ростовская область, Шолоховский р-н, х. Гороховский, ул. Асфальтная, д. 93, (к.н.з.у. 61:43:00604701:391) (ориентировочная протяженность ЛЭП-0,21 км)</t>
  </si>
  <si>
    <t>Строительство ВЛ-0,4 кВ от опоры №20 ВЛ 0,4 кВ №3, КТП-10/0,4 кВ №229 по ВЛ-10 кВ №2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Ващаева В.И., расположенного по адресу: Ростовская область, Шолоховский р-н, х. Дубровский, пер. Грибной, д. 21, (к.н.з.у. 61:43:0030101:554) (ориентировочная протяженность ЛЭП-0,03 км)</t>
  </si>
  <si>
    <t>«Строительство ВЛ-0,4 кВ от опоры №21 ВЛ 0,4 кВ  №3, КТП-10/0,4 кВ №208 по ВЛ-10 кВ №1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Долженко В.И., расположенного по адресу: Ростовская область, Шолоховский р-н, х. Дубровский, ул. Сосновая, д. 19, (к.н.з.у. 61:43:030101:0130) (ориентировочная протяженность ЛЭП – 0,03 км)»</t>
  </si>
  <si>
    <t>Строительство ВЛ-0,4 кВ от РУ-0,4 кВ КТП-10/0,4 кВ №155 по ВЛ-10 кВ №2 ПС 110/35/10 кВ «НС-3», установка приборов коммерческого учета электрической энергии (мощности) в точке поставки и установка шкафов 0,4 кВ с коммутационным аппаратом, (2 шт.) для технологического присоединения жилых домов заявителей, Демидова Ю.В., Горюнова В.В., расположенных по адресу: Ростовская область, Шолоховский р-н, х. Меркуловский, пер. Донской, д. 14, д. 18 к.н.з.у. 61:43:0080101:838, 61:43:0080101:837 (ориентировочная протяженность ЛЭП – 0,13 км)</t>
  </si>
  <si>
    <t>Строительство ВЛ-0,4 кВ от опоры №38 ВЛ 0,4 кВ  №1, КТП-10/0,4 кВ №276 по ВЛ-10 кВ №1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Комарова А.М., расположенного по адресу: Ростовская область, Шолоховский р-н, х. Щебуняевский, ул. Песчаная, д. 27, (к.н.з.у. 61:43:0080601:33) (ориентировочная протяженность ЛЭП – 0,06 км)</t>
  </si>
  <si>
    <t>Строительство ВЛ-0,4 кВ от опоры №7/5 ВЛ 0,4 кВ  №3, КТП-10/0,4 кВ №287 по ВЛ-10 кВ №3 ПС 35/10 кВ «Дударевская»,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навеса для хранения сена заявителя, ИП Шаповалова В.В., расположенного по адресу: Ростовская область, Шолоховский р-н, х. Дударевский, ул. Южная, д. 13а, (к.н.з.у. 61:43:0040101:1059) (ориентировочная протяженность ЛЭП – 0,03 км)</t>
  </si>
  <si>
    <t>Строительство ВЛ-0,4 кВ от опоры №10 по ВЛ-0,4 кВ №2 КТП-10/0,4 кВ №288 по ВЛ-10 кВ №2 ПС 110/10 кВ «Макеевская», установка приборов коммерческого учета электрической энергии (мощности) в точке поставки и установка шкафов 0,4 кВ с коммутационными аппаратами, (2 шт.) для технологического присоединения жилых домов заявителей, Шкильнюк В.И.и Савченко Е.Ф. расположенных по адресу: Ростовская область, Кашарский р-н, х. Речка, ул. Тихомировская, д. 21, Тихомировская, д. 20, (к.н.з.у. 61:16:0030501:99), (61:16:0030501:212)  (ориентировочная протяженность ЛЭП – 0,42 км)</t>
  </si>
  <si>
    <t>Строительство ВЛ-0,4 кВ от опры №11 по ВЛ 0,4 кВ №1, КТП-10/0,4 кВ №662 по ВЛ-10 кВ №1 ПС  35/10 кВ «Криворожская»,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ангара заявителя, ИП глава К(Ф)Х Павлов В.Н., расположенного по адресу: Ростовская область, Миллеровский р-н, Криворожское с.п., (к.н.з.у. 61:22:0600024:727) (ориентировочная протяженность ЛЭП – 0,235 км)</t>
  </si>
  <si>
    <t>«Строительство ВЛ 0,4 кВ от РУ 0,4 кВ, вновь построенной ТП 10/0,4 кВ, строительство ВЛ 10 кВ от опоры № 21/48  по ВЛ 10 кВ №3 ПС 35/10 кВ «Базковская», установка прибора учета электрической энергии (мощности) в точке поставки и установка шкафа 0,4 кВ с коммутационным аппаратом (1 шт.), для технологического присоединения модульной Автогазозаправочной станции Заявителя, Зюзина А.В., расположенной в Ростовской области, Шолоховский р-н, х. Белогорский, ул. Автострадная, д. 3  (61:43:010302:217) (ориентировочная   протяженность ЛЭП – 0,13 км, ориентировочная мощность ТП – 0,025 МВА)»</t>
  </si>
  <si>
    <t>Строительство ВЛ-0,4кВ от опоры №4 по ВЛ-0,4кВ №3 КТП-10/0,4кВ №119 по ВЛ-10кВ №6 ПС 35/10кВ "Боковская",установка прибора коммерческого учета электрической энергии (мощности) в точке поставки и установка шкафа 0,4кВ с коммутационным аппаратом (1шт.) для технологического присоединения жилого дома заявителя Соколовой М.А.,расположенного по адресу:Ростовская область,Боковский р-н,ст.Боковская,пер.Коньковский,д.4Б(к,н,з,у. 61:05:0010104:1251),(ориентировочная протяженность ЛЭП-0,076 км.)</t>
  </si>
  <si>
    <t>Строительство ВЛ-0,4кВ от опоры №2/12 по ВЛ-0,4кВ №1 КТП-10/0,4кВ №236 по ВЛ-10кВ №6 ПС 110/ 35/10кВ "Вешенская 1",установка прибора коммерческого учета электрической энергии (мощности) в точке поставки и установка шкафа 0,4кВ с коммутационным аппаратом (1шт.) для технологического присоединения жилого дома заявителя Гончаровой Л.Н.,расположенного по адресу:Ростовская область,Шолоховский р-н,х.Гороховский,ул.Асфальтная д.99 а(к,н,з,у. 61:43:0060401:949),(ориентировочная протяженность ЛЭП-0,14 км.)</t>
  </si>
  <si>
    <t>Строительство ВЛ-0,4кВ от поры №2/18 ВЛ-0,4кВ №1 КТП-10/0,4кВ №71 по ВЛ-10кВ №2 ПС 110/35/10 кВ "Каргинская",установка прибора коммерческого учета электрической энергии (мощности) в точке поставки и установка шкафа 0,4кВ с коммутационным аппаратом(1шт.) для технологического присоединения жилого дома заявителя,Бибик Н.В.,расположенного по адресу :Ростовская область,Боковский р-н,ст-ца Каргинская,ул.Слободская,д.45-Б(к.н.з.у.61:05:0000000:5499) (ориентировочная протяженность ЛЭП-0,08 км.)</t>
  </si>
  <si>
    <t>Строительство ВЛ-0,4 кВ от опоры №16/13 ВЛ 0,4 кВ  №1, КТП-10/0,4 кВ №220 по ВЛ-10 кВ №2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Святовой А.П., расположенного по адресу: Ростовская область, Шолоховский р-н, х. Зубковский, ул. Заречная, д. 14, (к.н.з.у. 61:43:0030301:88) (ориентировочная протяженность ЛЭП – 0,045 км)</t>
  </si>
  <si>
    <t>Строительство ВЛ-0,4 кВ от опоры №5, ВЛ 0,4 кВ №1, КТП-10/0,4 кВ №242 по ВЛ-10 кВ №6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Спицина М.М., расположенного по адресу: Ростовская область, Шолоховский р-н, х. Гороховский, ул. Северная, д. 4, (к.н.з.у. 61:43:0060401:293) (ориентировочная протяженность ЛЭП – 0,04 км)</t>
  </si>
  <si>
    <t>Строительство ВЛ-0,4 кВ от опры №7 по ВЛ 0,4 кВ №2, КТП-10/0,4 кВ №363 по ВЛ-10 кВ №3 ПС  35/10 кВ «Киевская»,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строящегося жилого дома заявителя, Мешковой Н.Е., расположенного по адресу: Ростовская область, Кашарский р-н, х. Черниговка, ул. Песчаная, д. 3, (к.н.з.у. 61:43:0140401:40) (ориентировочная протяженность ЛЭП – 0,45 км)</t>
  </si>
  <si>
    <t>Строительство ВЛ-0,4 кВ от опры №7 по ВЛ 0,4 кВ №2, КТП-10/0,4 кВ №350 по ВЛ-10 кВ №2 ПС  35/10 кВ «Киевская»,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наружного освещения заявителя, Министерство транспорта Ростовской области, расположенного по адресу: Ростовская область, Кашарский р-н, х. Драчевка, участок автодороги 2+000, 22+730, (к.н.з.у. 61:16:0600020:425) (ориентировочная протяженность ЛЭП – 0,04 км)</t>
  </si>
  <si>
    <t>Строительство ВЛ-0,4 кВ от опры №14 по ВЛ 0,4 кВ №2, КТП-10/0,4 кВ №354 по ВЛ-10 кВ №2 ПС  35/10 кВ «Киевская»,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наружного освещения заявителя, Министерство транспорта Ростовской области, расположенного по адресу: Ростовская область, Кашарский р-н, х. Драчевка, участок автодороги 0+000, 0+600, (к.н.з.у. 61:16:0600020:328) (ориентировочная протяженность ЛЭП – 0,03 км)</t>
  </si>
  <si>
    <t>Строительство ВЛ-0,4 кВ от опоры №4/4/2 по ВЛ-0,4 кВ №2 КТП-10/0,4 кВ №174 по ВЛ-10 кВ №2 ПС 110/35/10 кВ «НС-3», установка прибора коммерческого учета электрической энергии (мощности) в точке поставки и установка шкафа 0,4 кВ с коммутационным аппаратом, (1 шт.) для электроснабжения ВРУ 0,4 кВ базовой станции сотовой связи х. Затонский, 70 м по направлению на юго-запад от границы участка по адресу ул. Центральная, 58, заявитель, ПАО «Ростелеком», расположенной по адресу: Ростовская область, Шолоховский р-н, х. Затонский, (ориентировочная протяженность ЛЭП – 0,09 км), к.н.з.у. 61:43:0080401</t>
  </si>
  <si>
    <t>Строительство ВЛ-0,4 кВ от опоры №4/3 по ВЛ-0,4 кВ №1 КТП-10/0,4 кВ №367 по ВЛ-10 кВ №2 ПС 35/10 кВ «Колундаевская»,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электроснабжения ВРУ 0,4 кВ базовой станции сотовой связи х. Поповский, примерно 30 м по направлению на восток от границы участка по адресу: ул. Центральная, 7а, заявитель, ПАО «Ростелеком», расположенной по адресу: Ростовская область, Шолоховский р-н, х. Поповский, (ориентировочная протяженность ЛЭП – 0,035 км), к.н.з.у. 61:43:0090701</t>
  </si>
  <si>
    <t>«Строительство ВЛ-10 кВ от опоры № 205 по ВЛ-10 кВ № 5 ПС 110/35/10 кВ «Каргинская»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электроснабжения склада Заявителя, ИП Сутулов В.С. расположенного в Ростовской области, Боковский р-н, х. Попов, ул. Колхозная, д. 3, (61:05:0600004:153) (ориентировочная   протяженность ЛЭП – 0,045 км, ориентировочная мощность ТП – 0,16 МВА)»</t>
  </si>
  <si>
    <t>Строительство ВЛ-10 кВ от опоры №136 по ВЛ-10 кВ №2  ПС 110/10 кВ "Новоселовская" с установкой КТП и строительством ВЛ-0,4 кВ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Эльбиева Б.И., расположенного в  Ростовская область, Кашарский  р-н, х. Рожок, ул. Набережная, д. 6  (61:16:0170501:27) (ориентировочная протяженность ЛЭП-0,28 км, ориентировочная мощность ТП- 0,04 МВА)</t>
  </si>
  <si>
    <t>Строительство ВЛ-0,4 кВ от опоры №8 по ВЛ-0,4 кВ №2 КТП-10/0,4 кВ №64 по ВЛ-10 кВ №4 ПС 110/35/10 кВ «Каргинская»,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водозабора заявителя, Администрация Боковского района., расположенного по адресу: Ростовская область, Боковский р-н, х. Лиховидовский, ул. Школьная, д. 27, (к.н.з.у. 61:05:0030301:634) (ориентировочная протяженность ЛЭП – 0,035 км)</t>
  </si>
  <si>
    <t>Строительство ВЛ-0,4 кВ от РУ 0,4 кВ, КТП-10/0,4 кВ №249 по ВЛ-10 кВ №6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строящегося жилого дома заявителя, Гришина А.И., расположенного по адресу: Ростовская область, Шолоховский р-н, х. Черновский, ул. Песочная, д. 9А, (к.н.з.у. 61:43:0060801:226) (ориентировочная протяженность ЛЭП – 0,48 км)</t>
  </si>
  <si>
    <t>Строительство ВЛ-0,4 кВ от опры №15 по ВЛ 0,4 кВ №1, КТП-10/0,4 кВ №102 по ВЛ-10 кВ №6 ПС  35/10 кВ «Боковская»,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автомобильной мойки заявителя, Шарата К.В., расположенного по адресу: Ростовская область, Боковский р-н, ст. Боковская, ул. Совхозная, д. 13К, (к.н.з.у. 61:05:0010104:1356) (ориентировочная протяженность ЛЭП – 0,055 км)</t>
  </si>
  <si>
    <t>Строительство ВЛ-0,4 кВ от опоры №4, ВЛ 0,4 кВ №2, КТП-10/0,4 кВ №110 по ВЛ-10 кВ №2 ПС  35/10 кВ «Сетраковская»,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весовой и зернохранилища заявителя, ИП Глава К(Ф)Х Коваленко А.В., расположенных по адресу: Ростовская область, Чертковский р-н, х. Сетраки, ул. Подгорная, д. 24, (к.н.з.у. 61:42:0600019:882) (ориентировочная протяженность ЛЭП – 0,12 км)</t>
  </si>
  <si>
    <t>Строительство ВЛ-0,4 кВ от КТП-10/0,4 кВ №110 по ВЛ-10 кВ №3 ПС  110/35/10 кВ «Каргинская»,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наружного освещения заявителя, Министерство транспорта Ростовской области, расположенного по адресу: Ростовская область, Боковский р-н, п. Яблоновский, (к.н.з.у. 61:05:0000000:5279) (ориентировочная протяженность ЛЭП – 0,03 км)</t>
  </si>
  <si>
    <t>«Строительство ВЛ-0,4 кВ от опоры №8/7, ВЛ 0,4 кВ №3, КТП-10/0,4 кВ №30 по ВЛ-10 кВ №4 ПС  35/10 кВ «Боковская», установка прибора коммерческого учета электрической энергии (мощности) в точке поставки и установка шкафа 0,22 кВ с коммутационным аппаратом, (1 шт.) для технологического присоединения  жилого дома заявителя, Клыковой Ю.А., расположенного по адресу: Ростовская область, Боковский р-н, х. Дуленков, ул. Левадная, д. 14, (к.н.з.у. 61:05:0010605:205) (ориентировочная протяженность ЛЭП – 0,035 км)».</t>
  </si>
  <si>
    <t>Строительство ВЛ-0,4 кВ от опоры №1/19, ВЛ 0,4 кВ №2, КТП-10/0,4 кВ №239 по ВЛ-10 кВ №2 ПС 110/35/10 кВ «Ал. Лозовская»,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административного здания заявителя, АО «Почта России», расположенных по адресу: Ростовская область, Чертковский р-н, с. Алексеево-Лозовское, ул. Лисичкина, д. 22/9, (к.н.з.у. 61:42:0010101:3295) (ориентировочная протяженность ЛЭП – 0,032 км)</t>
  </si>
  <si>
    <t>Строительство ВЛ-10 кВ от опоры №153/160 по ВЛ-10 кВ №3 ПС 110/35/10 кВ "Казанская" с установкой КТП и строительством ВЛ- 0,4 кВ, установка коммерческого учета электрической энергии (мощности) в точке поставки и установка шкафа 0,4 кВ с коммутационным аппаратом, для электроснабжения пункта охраны заявителя, ИП Глава КФХ Шурупов А.Н., расположенного в Ростовской области, Верхнедонской р-н, х. Морозовский, в 8,0 км. на север от х. Солонцовского  (61:07:0600011:296) (ориентировочная протяженность ЛЭП- 0,23 км, ориентировочная мощность ТП- 0,025 МВА)</t>
  </si>
  <si>
    <t>Строительство ВЛ-0,4 кВ от опоры №13 по ВЛ 0,4 кВ №2, КТП-10/0,4 кВ №72 по ВЛ-10 кВ №5 ПС  35/10 кВ «Титовская»,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сооружения связи заявителя, ФГКУ Пограничное управление ФСБ РФ по Ростовской области, расположенного по адресу: Ростовская область, Миллеровский р-н, сл. Титовка, Титовское с.п., (к.н.з.у. 61:22:0600010:432) (ориентировочная протяженность ЛЭП – 0,106 км)</t>
  </si>
  <si>
    <t>Строительство ВЛ-0,4 кВ от опоры №16 по ВЛ- 0,4 кВ №2, КТП-10/0,4 кВ №196 по ВЛ-10 кВ №4 ПС  110/35/10 кВ «Каргинская»,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Калинина В.М., расположенного по адресу: Ростовская область, Боковский р-н, х. Лиховидовский, ул. Заречная, д. 23, (к.н.з.у. 61:05:0030301:304) (ориентировочная протяженность ЛЭП – 0,36 км)</t>
  </si>
  <si>
    <t>Строительство ВЛ-0,4 кВ от опоры №5, ВЛ 0,4 кВ №1, КТП-10/0,4 кВ №228 по ВЛ-10 кВ №1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Хусаинова Р.Г., расположенного по адресу: Ростовская область, Шолоховский р-н, х. Пигаревский, ул. Красноселовская, д. 1Г, (к.н.з.у. 61:43:0020602:405) (ориентировочная протяженность ЛЭП – 0,045 км)</t>
  </si>
  <si>
    <t>Строительство ВЛ-10 кВ от опоры № 13/45 по ВЛ-10 кВ № 1 ПС 110/35/10 кВ «Вешенская 1» с установкой КТП и строительством ВЛ-0,4 кВ, установку коммерческого учета (2 шт.) электрической энергии (мощности) в точке поставки и установка шкафов 0,4 кВ с коммутационным аппаратом, для технологического присоединения зданий для бытовых нужд заявителей, Хохлачева Г.Я., и Скориковой Р.С расположенных в Ростовской области, Шолоховский р-н, х. Пигаревский,  (61:43:0500101:224, 61:43:0500101:258) (ориентировочная   протяженность ЛЭП – 1,51 км, ориентировочная мощность ТП – 0,04 МВА)</t>
  </si>
  <si>
    <t>Строительство ВЛ-0,4 кВ от РУ 0,4 кВ, КТП-10/0,4 кВ №397 по ВЛ-10 кВ №4 ПС 35/10 кВ «Колундаевская»,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Фандеева В.В., расположенного по адресу: Ростовская область, Шолоховский р-н, х. Ушаковский, ул. Центральная, д. 89, (к.н.з.у. 61:43:0060701:45) (ориентировочная протяженность ЛЭП – 0,75 км)</t>
  </si>
  <si>
    <t>Строительство ВЛ-0,4 кВ от опоры №2/8 по ВЛ-0,4 кВ №1 КТП-10/0,4 кВ №5 по ВЛ-10 кВ №1 ПС 35/10 кВ «Кружилинская»,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Омарова А.М., расположенного по адресу: Ростовская область, Шолоховский р-н, х. Сингиновский, ул. Западная, д. 54, (к.н.з.у. 61:43:0070401:49) (ориентировочная протяженность ЛЭП – 0,25 км)</t>
  </si>
  <si>
    <t>Строительство ВЛ-0,4 кВ от опоры №8/14 ВЛ 0,4 кВ  №1, КТП-10/0,4 кВ №224 по ВЛ-10 кВ №1 ПС 110/ 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склада заявителя, ИП Главы КФХ Ефимова В.М., расположенного по адресу: Ростовская область, Шолоховский р-н, х. Антиповский, ул. Асфальтная, д. 46, (к.н.з.у. 61:43:0600006:781) (ориентировочная протяженность ЛЭП – 0,56 км)</t>
  </si>
  <si>
    <t>Строительство ВЛ-0,4 кВ от опоры №17/14, ВЛ 0,4 кВ №3, КТП-10/0,4 кВ №210 по ВЛ-10 кВ №1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Сенякиной А.М., расположенного по адресу: Ростовская область, Шолоховский р-н, х. Антиповский, ул. Школьная, д. 67, (к.н.з.у. 61:43:0030201:220) (ориентировочная протяженность ЛЭП – 0,17 км)</t>
  </si>
  <si>
    <t>Строительство ВЛ-0,4 кВ от опоры №5, ВЛ 0,4 кВ №1, КТП-10/0,4 кВ №303 по ВЛ-10 кВ №3 ПС  35/10 кВ «Ольховская»,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Кубанова И.В., расположенного по адресу: Ростовская область, Кашарский р-н, х. Ольховый, ул. Лесная, д. 37, (к.н.з.у. 61:16:0050301:357) (ориентировочная протяженность ЛЭП – 0,04 км)</t>
  </si>
  <si>
    <t>Строительство ВЛ-10 кВ от опоры № 130 по ВЛ-10 кВ № 5 ПС 110/35/10 кВ «ГОК»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электроснабжения индивидуальной жилой застройки Заявителя, Трофименко В.В. расположенной в Ростовской области, Миллеровский р-н, х. Красная Заря, ул. Прудная, д. 5, (61:22:0010501:22) (ориентировочная   протяженность ЛЭП – 0,012 км, ориентировочная мощность ТП – 0,025 МВА)</t>
  </si>
  <si>
    <t>Строительство ВЛ-10 кВ от опоры № 15/48 по ВЛ-10 кВ № 3 ПС 35/10 кВ «Базковская» с установкой КТП и строительством ВЛ-0,4 кВ, установку коммерческого учета (1 шт.) электрической энергии (мощности) в точке поставки и установка шкафов 0,4 кВ с коммутационным аппаратом, для технологического присоединения склада сельскохозяйственной продукции, Заявителя,  ИП Глава К(Ф)Х Пащинскова Т.П., расположенных в Ростовской области, Шолоховский р-н, х. Белогорский, ул. Молодежная, д. 1д, (61:43:0010301:2153) (ориентировочная   протяженность ЛЭП – 0,18 км, ориентировочная мощность ТП – 0,1 МВА)</t>
  </si>
  <si>
    <t>Строительство ВЛ-0,4 кВ от опоры№ 8, ВЛ 0,4 кВ №2, КТП-10/0,4 кВ №564 по ВЛ-10 кВ №18 ПС  110/35/10 кВ «ГОК»,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личного подсобного хозяйства Заявителя, Шевцова К.Ю., расположенного по адресу: Ростовская область, Миллеровский р-н, г. Миллерово, бывшее подсобное хозяйство общепита, (к.н.з.у. 61:22:0120501:65), (ориентировочная протяженность ЛЭП – 0,058 км)</t>
  </si>
  <si>
    <t>Строительство ВЛ-0,4 кВ от опоры №9, ВЛ 0,4 кВ №1, КТП-10/0,4 кВ №569 по ВЛ-10 кВ №18 ПС  110/35/10 кВ «ГОК», для технологического присоединения личного подсобного хозяйства заявителя, Литвинова Е.Е., расположенного по адресу: Ростовская область, Миллеровский р-н, х. Редкодуб, (к.н.з.у. 61:22:0011101:164) и технологического присоединения квартиры заявителя, Машталировой С.А., расположенной по адресу: Ростовская область, Миллеровский р-н, х. Редкодуб, ул. Созвучная, д. 7, кв. 2 (к.н.з.у. 61:22:01011101:32),  установка приборов коммерческого учета электрической энергии (мощности) в точке поставки и установка шкафов 0,4 кВ с коммутационными аппаратами, (2 шт.), (ориентировочная протяженность ЛЭП – 0,207 км)</t>
  </si>
  <si>
    <t>Строительство ВЛ-0,4 кВ от опоры №15, ВЛ 0,4 кВ №1, КТП-10/0,4 кВ №621 по ВЛ-10 кВ №1 ПС  110/27,5/10 кВ «Старая Станица», установка приборов коммерческого учета электрической энергии (мощности) в точке поставки и установка шкафов 0,4 кВ с коммутационными аппаратами, (3 шт.) для технологического присоединения жилых домов заявителей, Тачкова А.В., Санакоевой М.А. и Мирошниченко Н.М., расположенных по адресу: Ростовская область, Миллеровский р-н, х. Банниково-Александровский, ул. Восточная, д. 12, Восточная, д. 31, Восточная, д.15(к.н.з.у. 61:22:0010201:70), (61:22:0010201:91), (00:00:000000), (ориентировочная протяженность ЛЭП – 0,22 км)</t>
  </si>
  <si>
    <t>Строительство ВЛ-0,4 кВ от РУ-0,4 кВ КТП-10/0,4 кВ №284 по ВЛ-10 кВ №3 ПС 35/10 кВ «Дударевская», установка прибора коммерческого учета (1 шт.) электрической энергии (мощности) в точке поставки и установка шкафа 0,4 кВ с коммутационными аппаратами, для технологического присоединения объекта медицинского учреждения заявителя, Муниципальное бюджетное учреждение здравоохранения «Центральная районная больница», расположенного по адресу: Ростовская область, Шолоховский р-н, х. Дударевский, ул. Аптечная, д. 6А, (к.н.з.у. 61:43:0040101:733), (ориентировочная протяженность ЛЭП – 0,145 км)</t>
  </si>
  <si>
    <t>Строительство ВЛ 0,4 кВ от ВЛ 0,4 кВ проектируемой КТПН 10/0,4 кВ (по договору №61-1-19-00437155 от 30.04.2019 г.) ВЛ 10 кВ №1106 ПС 110 кВ АС11 для электроснабжения ВРУ 0,4 кВ жилого дома Шевченко Е. Н. на участке с КН 61:55:0011023:78 в г. Новочеркасске Ростовской области</t>
  </si>
  <si>
    <t xml:space="preserve">Строительство ВЛ 0,4 кВ от РУ 0,4 кВ проектируемой КТПН 10/0,4 кВ (по договору №61-1-18-00420165 от 28.12.2018 г.) ВЛ 10 кВ №1205 ПС 110 кВ АС12 для электроснабжения ВРУ 0,4 кВ жилого дома Ли А. В. на участке с КН 61:02:0600006:5497 в п. Красный Аксайского района Ростовской области </t>
  </si>
  <si>
    <t xml:space="preserve">Строительство ВЛ 0,4 кВ от проектируемой ВЛ 0,4 кВ техперевооружаемой КТПН 6/0,4 кВ (по договору №61-1-20-00502801 от 03.03.2020 г.) ВЛ 6 кВ №3 РП6 КЛ 6 кВ №340 ПС 110 кВ БТ3 для электроснабжения ВРУ 0,4 кВ жилого дома Власовой И. Н. на участке с КН 61:01:0130201:1692 в п. Красный Сад Азовского района Ростовской области </t>
  </si>
  <si>
    <t>Строительство ВЛ 0,4 кВ от проектируемой КТПН 6/0,4 кВ (по договору №61-1-19-00473047 от 01.10.2019 г.) ВЛ 6 кВ №3 РП 6 кВ №6 КЛ 6 кВ №340 ПС 110 кВ БТ3 для электроснабжения ВРУ 0,23 кВ жилого дома Василенко С. Н. по ул. Тургенева, 13 в п. Красный Сад Азовского района Ростовской области</t>
  </si>
  <si>
    <t xml:space="preserve">Строительство ВЛ 0,4 кВ от проектиремой ВЛ 0,4 кВ (по договору №61-1-20-00544009 от 10.11.2020 г.) проектируемой КТПН 10/0,4 кВ ВЛ 10 кВ №1208 ПС 110 кВ АС12 для электроснабжения ВРУ 0,4 кВ жилых домов Казак Л.Д. на участках с КН 61:02:0600006:6725:6725, 61:02:0600006:6739 в п. Щепкин Аксайского района  Ростовской области </t>
  </si>
  <si>
    <t xml:space="preserve">Строительство ТП 6/0,4 кВ, ВЛ 0,4 кВ, ВЛ 10 кВ от ВЛ 6 кВ №807 ПС 35 кВ АС8 для электроснабжения объекта сельскохозяйственного объекта ООО НПФ «ФИТЭКО» на участке с КН 61:02:0600011:1808 в п. Мускатный </t>
  </si>
  <si>
    <t xml:space="preserve">Строительство ТП 10/0,4 кВ, ВЛ 0,4 кВ, ВЛ 10 кВ от ВЛ 10 кВ №403 ПС 110 кВ АС4 для электроснабжения объекта торговли ИП Сагоян А. С. на участке с КН 61:02:0060101:3644 в х. Ленина Аксайского района Ростовской области </t>
  </si>
  <si>
    <t>Строительство ВЛ 0,4 кВ от РУ 0,4 кВ КТП 10 кВ №131 по ВЛ 10 кВ №407 ПС 35 кВ В4 для электроснабжения павильонов Зинькова А. Е. и  Пенечко В. А находящихся в РО, Веселовского района, х. Малая Западенка. Территория ЗАО им. Черняховского</t>
  </si>
  <si>
    <t xml:space="preserve">Строительство ВЛ 0,4 кВ по ВЛ 0,4 кВ № 1 от КТП 10/0,4 кВ №115, ВЛ 10 кВ №411 ПС 35 кВ В4 для электроснабжения магазина Шульги А. Л. на участке с КН 61:06:0600011:1035 в Веселовском районе Ростовской области, х. Позднеевка, ул. Шоссейная, 5 </t>
  </si>
  <si>
    <t xml:space="preserve">Строительство ТП 10/0,4 кВ, ВЛ 0,4 кВ, ВЛ 10 кВ от ВЛ 10 кВ №160 ПС 110 кВ В-1 для электроснабжения контейнерной автоматической заправочной станции самообслуживания ИП Карпенко С. В.  в РО, Веселовском районе, п. Веселый, пер. Колхозный, 82 </t>
  </si>
  <si>
    <t xml:space="preserve">Строительство ТП 10/0,4 кВ, ВЛ 0,4 кВ, ВЛ 10 кВ от ВЛ 10 кВ №208 ПС 110 кВ СМ2 для электроснабжения объекта сельхоз. производства заявителя Нуриева Аббоса Камоловича по адресу, Ростовская обл., р-н. Семикаракорский, месторасположение установлено относительно ориентира, расположенного в границах участка. Ориентир контур поля № 16 массива земель реорганизованного сельскохозяйственного предприятия ЗАО «Зелёная горка» </t>
  </si>
  <si>
    <t xml:space="preserve">Строительство ВЛ0,4 кВ от опоры №10 ВЛ0,4 кВ №2 КТП № 175 ВЛ10 кВ № 125 ПС 110 кВ СМ1 для электроснабжения жилых домов заявителей Абаимовой И.Л., по адресу: РО, г. Семикаракорск, ул. Солнечная, д.35 и Карабедьян О.А. по адресу: РО, г. Семикаракорск, ул. Солнечная, д.33 </t>
  </si>
  <si>
    <t xml:space="preserve">Техническое перевооружение ТП 10 кВ №447 ВЛ 10 кВ №1103 ПС 110 кВ АС11 и строительство ВЛ 0,4 кВ от РУ 0,4 кВ ТП 10 кВ №447 ВЛ 10 кВ №1103 ПС 110 кВ АС11 для электроснабжения ВРУ 0,4 кВ жилых домов по адресу: Ростовской обл., р-н Аксайский, с/х КСП им. М. Горького, участок с КН 61:02:0600009:1045, 61:02:0600009:1046 </t>
  </si>
  <si>
    <t xml:space="preserve">Строительство ТП 10/0,4 кВ, ВЛ 0,4 кВ, ВЛ 10 кВ от ВЛ 10 кВ №653 ПС 110 кВ АС6 для электроснабжения ВРУ 0,4 кВ объекта сельхозначения Шкорина А. И. на участке с КН 61:02:0600013:2709 в ст-це Старочеркасская Аксайского района Ростовской области </t>
  </si>
  <si>
    <t xml:space="preserve">Строительство КТП 10/0,4 кВ, ВЛ 0,4 кВ, ВЛ 10 кВ от ВЛ 10 кВ №1006 ПС 110 кВ АС10 для электроснабжения складского комплекса ООО «ЮНИКОСМЕТИК» на участке с КН 61:02:0600002:3052 в ст-це Грушевская Аксайского района Ростовской области </t>
  </si>
  <si>
    <t xml:space="preserve">Строительство ВЛ 0,4 кВ от проектируемой ВЛ 0,4 кВ (по договору №61-1-21-00569891 от 13.04.2021 г.) ТП 10 кВ №448 ВЛ 10 кВ №1109 ПС 110 кВ АС11 для электроснабжения жилого дома Смирновой А. В. на участке с КН 61:55:0011022:782 в г. Новочеркасске Ростовской области </t>
  </si>
  <si>
    <t xml:space="preserve">Строительство ВЛ 0,4 кВ от ВЛ 0,4 кВ №3 ТП 10 кВ №60 ВЛ 10 кВ от КЛ 10 кВ №3ф5 РП 10 кВ №3 КЛ 10 кВ №1532 и №1546 ПС 110 кВ АС15 для электроснабжения ВРУ 0,4 кВ жилого дома Афанасьева А. В. на участке с КН 61:02:0600010:12381 в г. Аксае Аксайского района Ростовской области </t>
  </si>
  <si>
    <t xml:space="preserve">Строительство КТПН 10/0,4 кВ, ВЛ 0,4 кВ, ВЛ 10 кВ от ВЛ 10 кВ №111 ПС 110 кВ АС1 для электроснабжения ВРУ 0,4 кВ хозяйственного помещения АНО “Приют для безнадзорных животных “Добросфера” на участке с КН 61:02:0600017:4010 в нп. АО Луговое Аксайского района Ростовской области </t>
  </si>
  <si>
    <t xml:space="preserve">Строительство ВЛ 0,4 кВ от ВЛ 0,4 кВ №2 ТП 10 кВ №650 ВЛ 10 кВ №101 ПС 110 кВ АС1 для электроснабжения ВРУ 0,4 кВ жилого дома Коршунова В. Б. на участке с КН 61:02:0090103:3058 в ст-це Ольгинская Аксайского района РО </t>
  </si>
  <si>
    <t xml:space="preserve">Строительство КТП 10/0,4 кВ, ВЛ 0,4 кВ, ВЛ 10 кВ от ВЛ 10 кВ №1208 ПС 110 кВ АС12 для электроснабжения складского здания/помещения ООО «ПЛАСТ АВЕНЮ» на участке с КН 61:02:0080503:610 в п. Щепкин Аксайского района Ростовской области </t>
  </si>
  <si>
    <t xml:space="preserve">Строительство ВЛ 0,4 кВ от ВЛ 0,4 кВ №3 ТП 6 кВ №184 ВЛ 6 кВ №807 ПС 35 кВ АС8 для электроснабжения ВРУ 0,4 кВ жилого дома Максаевой Л. Ф. по ул. Фадеева, 147А в х. Большой Лог Аксайского района Ростовской области </t>
  </si>
  <si>
    <t xml:space="preserve">Строительство ВЛ 0,4 кВ по ВЛ 0,4 кВ № 1 от КТП 10 кВ №97, ВЛ 10 кВ №158 ПС 110 кВ В1 для электроснабжения жилого дома Гороховой Н.Ю. на участке с КН 61:06:0010138:828 в Веселовском районе Ростовской области, п. Веселый, ул. Пензенская, 3-б </t>
  </si>
  <si>
    <t xml:space="preserve">Строительство ТП 10/0,4 кВ, ВЛ 0,4 кВ, ВЛ 10 кВ от для электроснабжения ВРУ-0,4 кВ жилых домов заявителей Деревянко М.В. по адресу: РО., Семикаракорский р-н, х. Сусат, ул. Речная, 80 А к.н.: 61:35:0090101:3346, Рудник В.В. по адресу: РО., Семикаракорский р-н, х. Сусат, ул. Речная, 78 А к.н.: 61:35:0090101:736 </t>
  </si>
  <si>
    <t xml:space="preserve">Строительство ТП 10/0,4 кВ, ВЛ 0,4 кВ, ВЛ 10 кВ от для электроснабжения ВРУ-0,4 кВ объекта сельхоз производства заявителя Вакуленко Н.И.. по адресу: РО, р-н. Семикаракорский, п. Крымский, контуры полей № 35,38,41,50,51,53,55,67,68,66,74 массива земель, реорганизованного с/х предприятия ТОО "Крымское", к.н.: 61:35:0600009:152 </t>
  </si>
  <si>
    <t xml:space="preserve">Строительство ВЛ-0,4 кВ от ВЛ-0,4 кВ № 3, КТП № 952 ВЛ-10 кВ № 903 ПС СМ-9 для электроснабжения жилого дома заявителя Лысенко Т.В. адресу: РО, Семикаракорский район, х. Слободской, ул. Сальская, 53 к.н.:61:35:0090401:358 </t>
  </si>
  <si>
    <t xml:space="preserve">Строительство ВЛ 0,4 кВ от проектируемой ВЛ 0,4 кВ (по договору №61-1-21-00602295 от 23.09.2021 г.) КТП 10/0,4 кВ ВЛ 10 кВ №1208 ПС 110 кВ АС12 для электроснабжения ВРУ 0,4 кВ жилых домов Полулях С. А. в п. Щепкин Аксайского района Ростовской области </t>
  </si>
  <si>
    <t xml:space="preserve">Строительство КТПН 10/0,4 кВ, ВЛ 0,4 кВ, КЛ 10 кВ от КЛ 10 кВ №3Ф3 РП3 КЛ 10 кВ №1532 ПС 110 кВ АС15 для электроснабжения ВРУ 0,4 кВ автостоянки Курто П. А. на участке с КН 61:02:0600010:14920 в г. Аксае Аксайского района Ростовской области </t>
  </si>
  <si>
    <t xml:space="preserve">Строительство ВЛ 0,4 кВ от ВЛ 0,4 кВ №3 КТП 10/0,4 кВ №117 ВЛ 10 кВ №307 ПС 35 кВ БГ3 для электроснабжения жилого дома Абдуллаева И.Ф. по адресу РО, Багаевский район, х. Елкин, ул. Стадионная, 3, уч. 25. </t>
  </si>
  <si>
    <t>Строительство ВЛ 0,4 кВ от проектируемой ВЛ 0,4 кВ ( по договру №61-1-20-00537033 от 13.10.2020 г.) от ВЛ 0,4 кВ №1 КТП №434 ВЛ 10 кВ №1103 ПС 110 кВ АС 11 для электроснабжения ВРУ 0,4 кВ жылых домов в ст-це Мишкинская Аксайского района Ростовской области</t>
  </si>
  <si>
    <t xml:space="preserve">Строительство КТПН 10/0,4 кВ, ВЛ 0,4 кВ, КЛ 10 кВ от ВЛ 10 кВ №103 ПС 110 кВ АС1 для электроснабжения ВРУ 0,4 кВ нежилого помещения Литвишковой С. Н. на участке с КН 61:02:000000:0369 в п. Дорожный Аксайского района Ростовской области </t>
  </si>
  <si>
    <t>Строительство ТП 10/0,4 кВ, ВЛ 0,4 кВ, ВЛ 10 кВ от ВЛ 10 кВ №106 ПС 110 кВ БГ1 для электроснабжения дачных домов Комаровской Е.Н., Берченко А.А., Кучеренко В.Н. по адресу: Ростовская обл., р-н. Багаевский, ст. Багаевская, ул. Береговая, д.184-а, д. 182, д. 170</t>
  </si>
  <si>
    <t xml:space="preserve">Строительство КТПН 10/0,4 кВ, ВЛ 10 кВ, ВЛ 0,4 кВ от ВЛ 10 кВ №111 ПС 110 кВ АС1 для электроснабжения ВРУ 0,4 кВ нежилых помещений в нп. АО Луговое в Аксайском районе Ростовской области </t>
  </si>
  <si>
    <t xml:space="preserve">Строительство ТП 10/0,4 кВ, ВЛ 10 кВ, ВЛ 0,4 кВ от ВЛ 10 кВ №810 ПС 35 кВ СМ8 для электроснабжения нежилого здания (свинарник) заявителя Кривоспицкой Татьяны Павловны по адресу: Ростовская обл., Семикаракорский район, в 1,5 км по направлению на северо-восток от х. Павлов к.н.:61:35:0600021:428 </t>
  </si>
  <si>
    <t xml:space="preserve">Строительство ВЛ 0,4 кВ от проектируемой КТПН 10/0,4 кВ (по договору №61-1-19-00424111 от 27.02.2019 г.) ВЛ 10 кВ №3 ПС 35 кВ Б. Салы с заменой силового трансформатора проектируемой КТПН 10/0,4 кВ (по договору №61-1-19-00424111 от 27.02.2019 г.) ВЛ 10 кВ №3 ПС 35 кВ Б. Салы для электроснабжения ВРУ 0,4 кВ жилых домов в п. Темерницкий Аксайского района Ростовской области </t>
  </si>
  <si>
    <t xml:space="preserve">Строительство ТП 10/0,4 кВ, ВЛ 0,4 кВ, ВЛ 10 кВ от ВЛ 10 кВ №1103 ПС 110 кВ АС11 для электроснабжения ВРУ 0,4 кВ жилого дома Костандян А. А. на участке с КН 61:02:0600009:2371 в ст-це Мишкинская Аксайского района Ростовской области </t>
  </si>
  <si>
    <t xml:space="preserve">Строительство ТП 10/0,4 кВ, ВЛ 0,4 кВ, ВЛ 10 кВ от ВЛ 10 кВ №111 ПС 110 кВ АС1 для электроснабжения ВРУ 0,4 кВ жилого дома Асланова М. В. в п. Дорожный Аксайского района Ростовской области </t>
  </si>
  <si>
    <t xml:space="preserve">Строительство ВЛ 0,4 кВ от ВЛ 0,4 кВ №2 ТП 6 кВ №180 ВЛ 6 кВ №804 ПС 35 кВ АС8 для электроснабжения базовой станции ООО «Герц» в п. Российский Аксайского района Ростовской области </t>
  </si>
  <si>
    <t xml:space="preserve">Строительство ВЛ 0,4 кВ от ВЛ 0,4 кВ №2 ТП 10 кВ №89 ВЛ 10 кВ №706 ПС 35 кВ АС7 для электроснабжения ВРУ 0,4 кВ жилого дома Строганова А. В. на участке с КН 61:02:0600007:2879 в п. Красный Колос Аксайского района Ростовской области </t>
  </si>
  <si>
    <t xml:space="preserve">Строительство ВЛ 0,4 кВ от ВЛ 0,4 кВ №2 КТП №89 ВЛ 10 кВ №706 ПС 110 кВ АС7 для электроснабжения ВРУ 0,4 кВ жилого дома Маркова С. И. на участке с КН 61:02:600007:0026 в п. Красный Колос Аксайского района Ростовской области </t>
  </si>
  <si>
    <t xml:space="preserve">Строительство ВЛ 0,4 кВ от опоры № 1 ВЛ 0,4 кВ №2 КТП 6 /0,4 кВ № 125 ВЛ 6 кВ № 806 ПС 35/6 кВ АС-8 для электроснабжения ВРУ 0,4 кВ 29 садовых домика ТСН СНТ «Аксай» в п. Опытный, с/т «Аксай» Аксайского района, Ростовской области </t>
  </si>
  <si>
    <t xml:space="preserve">Строительство ВЛ 0,4 кВ от ВЛ 0,4 кВ №3 КТП №226 ВЛ 10 кВ №3 ПС 35 кВ Б. Салы с заменой силового трансформатора КТП №226 ВЛ 10 кВ №3 ПС 35 кВ Б. Салы для электроснабжения ВРУ 0,4 кВ жилого дома Гаркушина А. Н. на участке с КН 61:02:0080401:222 в х. Нижнетемерницкий Аксайского района Ростовской области </t>
  </si>
  <si>
    <t xml:space="preserve">Строительство ВЛ 0,4 кВ от ВЛ 0,4 кВ №2 ТП 10 кВ №645 ВЛ 10 кВ №102 ПС 110 кВ АС1 для электроснабжения жилого дома Шаталовой О. С. на участке с КН 61:02:0090101:3945 в ст-це Ольгинская Аксайского района Ростовской области </t>
  </si>
  <si>
    <t xml:space="preserve">Строительство ВЛ 0,4 кВ от проектируемой ВЛ 0,4 кВ (по договору №61-1-20-00530589 от 10.09.2020 г.) от ВЛ 0,4 кВ №1 техперевооружаемой ТП 10 кВ №425 ВЛ 10 кВ №1109 ПС 110 кВ АС11 для электроснабжения ВРУ 0,4 кВ жилого дома Денисова С. В. на участке с КН 61:02:0030301:228 в х. Веселый Аксайского района Ростовской области </t>
  </si>
  <si>
    <t xml:space="preserve">Строительство ВЛ 0,4 кВ от ВЛ 0,4 кВ №2 КТП №175 ВЛ 10 кВ №1208 ПС 110 кВ АС12 для электроснабжения ВРУ 0,4 кВ жилого дома Мурадян Л. Т. на участке с КН 61:02:0000000:6208 в п. Щепкин Аксайского района Ростовской области </t>
  </si>
  <si>
    <t>Строительство ВЛ 0,4 кВ от проектируемой ВЛ 0,4 кВ (по договору №61-1-20-00517585 от 23.07.2020 г.) от ВЛ 0,4 кВ №2 ТП 10 кВ №89 ВЛ 10 кВ №706 ПС 35 кВ АС7 для электроснабжения ВРУ 0,4 кВ жилого дома Шевченко Д. В. в п. Красный Колос Аксайского района Ростовской области</t>
  </si>
  <si>
    <t xml:space="preserve">Строительство ВЛ 0,4 кВ от ВЛ 0,4 кВ №2 ТП 10 кВ №448 ВЛ 10 кВ №1106 ПС 110 кВ АС11 для электроснабжения ВРУ 0,4 кВ жилого дома Чумаченко А. А. на участке с КН 61:55:0011023:252 в г. Новочеркасске Ростовской области </t>
  </si>
  <si>
    <t xml:space="preserve">Строительство ВЛ 0,4 кВ по ВЛ 0,4 кВ №2 ТП 10/0,4 кВ №181 ВЛ 10 кВ №307 ПС 35 кВ БГ3 для электроснабжения теплицы Маилевой Р.А. в Багаевском ра-не Елкинского сельского поселения К.Н. 61:03:0600002:660 </t>
  </si>
  <si>
    <t>Строительство ВЛ 0,4 кВ от опоры №17 ВЛ-0,4 кВ №2 КТП 10/0,4 кВ №950 ВЛ 10 кВ №903 ПС 35 кВ СМ9 для электроснабжения ВРУ-0,4 кВ Базовой станции сотовой связи (БССС) заявителя АО "Первая Башенная Компания" по адресу: РО., р-н. Семикаракорский, х. Слободской, ул. Ященко, 80 м от дома №22 з, кадастровый номер земельного участка: 61:35:0090401</t>
  </si>
  <si>
    <t xml:space="preserve">Строительство ВЛ-0,4 кВ от опоры № 23 ВЛ 0,4 кВ № 2, КТП № 429 ВЛ 10 кВ № 402 ПС СМ 4, с установкой прибора учета электрической энергии на границе балансовой принадлежности для электроснабжения жилого дома заявителя Макарян А.А. адресу: РО, Семикаракорский район, х. Сусат, ул. Речная, 32/1 к.н.:61:35:0090101:32 </t>
  </si>
  <si>
    <t xml:space="preserve">Строительство ТП 10/0,4 кВ, ВЛ 0,4 кВ, ВЛ 10 кВ от опоры №21 ВЛ 10 кВ №702 ПС 35 кВ СМ7 для электроснабжения ВРУ-0,4 кВ объекта КФХ заявителя ИП Глава КФХ Симаков Г.С. по адресу: РО., Семикаракорский р-н, х. Кузнецовка, примерно в 1,7 км на северо-запад от хутора к.н.: 61:35:0600016:291 </t>
  </si>
  <si>
    <t>Строительство ВЛ 0,4 кВ  по ВЛ 0,4 кВ № 1,  ЗТП 10/0.4 кВ № 54, ВЛ 10 кВ №309 ПС 35  кВ  В3 для электроснабжения станции технического обслуживания, кафе -20 мест и АГЗС  ООО «Донрегионгаз» на участке с КН 61:06:0010114:117 в примерно в 275 метров по направлению на юго-запад от ориентира п. Веселый,  Веселовского района, Ростовской области и автомобильной мойки ИП Амирханян Ш. В. на участке с КН 61:06:0010114:869 в п. Веселый, ул. Октябрьская д. 219-в,  Веселовского района, Ростовской области</t>
  </si>
  <si>
    <t>Строительство  ВЛ 0,4 кВ от КТП № 103  ВЛ 10 кВ №115  ПС 110 кВ  СМ1  для электроснабжения  ВРУ 0,4 кВ на земельном участке ( вагончик охраны) заявителя  Жиленко И.Н. по адресу: Ростовская обл.,  г. Семикаракорск, 163 м на северо-восток от строения, расположенного по ул. Авилова, 2, к.н. земельного участка: 61:35:0110175:121</t>
  </si>
  <si>
    <t>Строительство ТП 10/0,4 кВ, ВЛ 10 кВ, ВЛ 0,4 кВ от ВЛ 10 кВ №101       ПС 110 кВ АС1 для электроснабжения жилого дома Ткаченко Т.В., по адресу: Ростовская область, Аксайский район, с/х КСП «Пригородное», кад. №61:02:0600015:6810</t>
  </si>
  <si>
    <t xml:space="preserve">Техническое перевооружение КТП №218 ВЛ 10 кВ №1208 ПС 110 кВ АС12 с заменой силового трансформатора и строительством ВЛ 0,4 кВ для электроснабжения ВРУ 0,4 кВ магазина Мурадян К. А. по ул. Южная, 6 в п. Щепкин Аксайского района Ростовской области </t>
  </si>
  <si>
    <t>Строительство КТПН 10/0,4 кВ, ВЛ 10 кВ, ВЛ 0,4 кВ от ВЛ 10 кВ №1103       ПС 110 кВ АС11 для электроснабжения ВРУ 0,4 кВ садового дома Осадченко Д. А. на участке с КН 61:02:0600009:881 в КСП им. М. Горького Аксайского района Ростовской области</t>
  </si>
  <si>
    <t xml:space="preserve">Строительство ВЛ 0,4 кВ от ВЛ 0,4 кВ №1 ТП 10 кВ №1 ВЛ 10 кВ №657 ПС 110 кВ АС6 для электроснабжения нежилого здания ИП Семеновой И. И. на участке с КН 61:02:0600013:1638 в ст-це Старочеркасская Аксайского района Ростовской области </t>
  </si>
  <si>
    <t xml:space="preserve">Строительство ВЛ 0,4 кВ от ВЛ 0,4 кВ №3 КТП №493 ВЛ 10 кВ №1103 ПС 110 кВ АС11 для электроснабжения ВРУ 0,4 кВ жилого дома Крамарева Ю. И. на участке с КН 61:02:0070501:558 в х. Александровка Аксайского района Ростовской области </t>
  </si>
  <si>
    <t xml:space="preserve">Строительство ТП 10/0,4 кВ, ВЛ 10 кВ, ВЛ 0,4 кВ от опоры №100 ВЛ 10 кВ №606 ПС 110 кВ БГ6 для электроснабжения земельного участка сельскохозяйственного назначения Ажогина В.А. по адресу: Ростовская область, Багаевский район, в границах плана ЗАО «Елкинское». Местоположение установлено относительно ориентира, расположенного в границах участка, к.н.61:03:0600002:207 </t>
  </si>
  <si>
    <t xml:space="preserve">Строительство ВЛ0,4 кВ от опоры №1 КТП № 1110 ВЛ10 кВ№1101 ПС СМ-11 с заменой силового трансформатора КТП№ 1110 ВЛ10 кВ№1101 ПС СМ-11  для электроснабжения ВРУ-0,4 кВ насосов для полива заявителей Тян Е.В.; Ли Е.Г., Ли А.Н. по адресу: РО., Семикаракорский р-н, к.н.: 61:35:0600013:390, к.н.: 61:35:0600013:387, к.н.: 61:35:0600013:389 </t>
  </si>
  <si>
    <t xml:space="preserve">Строительство ВЛ 0,4 кВ от ВЛ 0,4 кВ №3 ТП 6/0,4 кВ №72 ВЛ 6 кВ №804 ПС 35 кВ АС8 для электроснабжения ВРУ 0,4 кВ жилого дома Горяинова А. Д. на участке с КН 61:02:0600010:3516 в п. Российский Аксайского района Ростовской области </t>
  </si>
  <si>
    <t xml:space="preserve">Строительство ВЛ 0,4 кВ от проектируемой ВЛ 0,4 кВ проектируемой КТПН 6/0,4 кВ ВЛ 6 кВ №305 ПС 35 кВ АС3 (по договору №61-1-20-00436769 от 16.04.2020 г.)  для электроснабжения ВРУ 0,4 кВ жилых домов Телегина С. Е. в г. Аксае Аксайского района Ростовской области </t>
  </si>
  <si>
    <t xml:space="preserve">Строительство ВЛ 0,4 кВ от ВЛ 0,4 кВ проектируемой КТПН 10/0,4 кВ (по договору №61-1-19-00488343 от 16.12.2019 г.) ВЛ 10 кВ №107 ПС 110 кВ АС1 для электроснабжения ВРУ 0,4 кВ жилых домов по ул. Степная в ст-це Ольгинская Аксайского района Ростовской области </t>
  </si>
  <si>
    <t xml:space="preserve">Строительство ТП 10/0,4 кВ, ВЛ 0,4 кВ, ВЛ 10 кВ от ВЛ 10 кВ №655 ПС 110 кВ АС6 для электроснабжения нежилого здания АО “АКСАЙСКАЯ НИВА” на участке с КН 61:02:0600012:573 в Аксайском районе Ростовской области </t>
  </si>
  <si>
    <t xml:space="preserve">Строительство ВЛ 0,4 кВ по проектируемым опорам проектируемой ВЛ 0,4 кВ (по договору №61-1-20-00542111 от 30.10.2020 г.) от РУ 0,4 кВ КТП №176 ВЛ 10 кВ №1206 ПС 110 кВ АС12 для электроснабжения нежилого здания ИП Степанян М. М. на участке с КН 61:02:0600007:2682 в п. Красный Колос Аксайского района Ростовской области </t>
  </si>
  <si>
    <t xml:space="preserve">Строительство ВЛ 0,4 кВ от ВЛ 0,4 кВ №1 ТП 10 кВ №630 ВЛ 10 кВ №103 ПС 110 кВ АС1 для электроснабжения ВРУ 0,4 кВ жилого дома Фоминой И. В. на участке с КН 61:02:0600021:1678 в х. Островского Аксайского района Ростовской области </t>
  </si>
  <si>
    <t xml:space="preserve">Строительство ВЛ 0,4 кВ от РУ 0,4 кВ ТП 10 кВ №50А ВЛ 10 кВ №1208 ПС 110 кВ АС12 для электроснабжения нежилого здания ИП Живой Н. Ю. на участке с КН 61:02:0600006:7113 в п. Щепкин Аксайского района Ростовской области </t>
  </si>
  <si>
    <t xml:space="preserve">Строительство ВЛ 0,4 кВ от проектируемой ВЛ 0,4 кВ (по договору №61-1-20-00541729 от 23.11.2020 г.) от РУ 0,4 кВ ТП 6 кВ №520 ВЛ 6 кВ №3 РП 6 кВ №6 КЛ 6 кВ №340 ПС 110 кВ БТ3 для электроснабжения ВРУ 0,23 кВ жилых домов в п. Красный Сад Азовского района Ростовской области </t>
  </si>
  <si>
    <t xml:space="preserve">Строительство ВЛ 0,4 кВ от проектируемой ВЛ 0,4 кВ (по договору №61-1-19-00493223 от 23.01.2020 г.) КТПН 10/0,4 кВ ВЛ 10 кВ №414 ПС 220 кВ Р4 для электроснабжения ВРУ 0,4 кВ объекта сельскохозяйственного производства ИП Рябых О. Н. на участке с КН 61:02:0600010:8414 в х. Камышеваха Аксайского района Ростовской области </t>
  </si>
  <si>
    <t xml:space="preserve">Строительство ВЛ 0,4 кВ от ВЛ 0,4 кВ №1 ТП 10 кВ №488 ВЛ 10 кВ №1103 ПС 110 кВ АС11 для электроснабжения производственного здания/помещения ООО «Промэкосервис» на участке с КН 61:02:060009:2850 в Аксайском районе Ростовской области </t>
  </si>
  <si>
    <t xml:space="preserve">Строительство ВЛ 0,4 кВ от проектируемой ВЛ 0,4 кВ (по договору №61-1-20-00517323 от 25.06.2020 г.) техперевооружаемой КТПН 10/0,4 кВ ВЛ 10 кВ №1208 ПС 110 кВ АС12 для электроснабжения ВРУ 0,4 кВ жилого дома Казак Л. Д. в п. Октябрьский Аксайского района Ростовской области </t>
  </si>
  <si>
    <t>Строительство ВЛ 0,4 кВ от РУ 0,4 кВ проектируемой ТП 6/0,4 кВ (по договору №61-1-19-00469443 от 27.09.2020 г.) ВЛ 6 кВ №806 ПС 35 кВ АС8 для электроснабжения нежилого здания ИП Песенниковой Д. В. в п. Реконструктор Аксайского района Ростовской области (ориентировочная протяжённость ЛЭП 0,01 км)</t>
  </si>
  <si>
    <t xml:space="preserve">Строительство ТП 6/0,4 кВ, ВЛ 0,4 кВ, ВЛ 6 кВ от ВЛ 6 кВ №305 ПС 35 кВ АС3 для электроснабжения оборудования СТОА ООО “АксайАвтоРемонт” на участке с КН 61:02:0120110:360 в г. Аксае Аксайского района Ростовской области </t>
  </si>
  <si>
    <t xml:space="preserve">Строительство ТП 10/0,4 кВ, ВЛ 0,4 кВ, ВЛ 10 кВ от ВЛ 10 кВ №1208 ПС 110 кВ АС12 для электроснабжения ВРУ 0,4 кВ ИП Демьянова Ю. И. на участке с КН 61:02:0600004:3104 в АО “Октябрьское” Аксайского района Ростовской области </t>
  </si>
  <si>
    <t xml:space="preserve">Строительство СТП 6/0,4 кВ, ВЛ 0,4 кВ, ВЛ 6 кВ от ВЛ 6 кВ №805 ПС 35 кВ АС8 для электроснабжения ВРУ 0,4 кВ жилого дома Копылова В. В. на участке с КН 61:02:0010201:1343 в х. Большой Лог Аксайского района Ростовской области </t>
  </si>
  <si>
    <t xml:space="preserve">Строительство ВЛ 0,4 кВ от ВЛ 0,4 кВ №1 ТП 10 кВ №426 ВЛ 10 кВ №1109 ПС 110 кВ АС11 для электроснабжения ВРУ 0,4 кВ жилого дома Пикина А. А. на участке с КН 61:02:0030301:615 в х. Веселый Аксайского района Ростовской области </t>
  </si>
  <si>
    <t xml:space="preserve">Строительство ВЛ 0,4 кВ от проектируемой ВЛ 0,4 кВ (по договору №61-1-20-00496749 от 26.02.2020 г.) КТПН 10/0,4 кВ ВЛ 10 кВ №1203 ПС 110 кВ АС12 для электроснабжения ВРУ 0,4 кВ жилого дома Челидзе А. Г. в совх. Каменобродский Родионово-Несветайского района Ростовской области </t>
  </si>
  <si>
    <t xml:space="preserve">Строительство ВЛ 0,4 кВ от ВЛ 0,4 кВ №1 ТП 10 кВ №96 ВЛ 10 кВ №3 ПС 35 кВ Б. Салы для электроснабжения ВРУ 0,22 кВ жилого дома Горшкова В. Д. на участке с КН 61:02:0600005:9715 в п. Темерницкий Аксайского района Ростовской области </t>
  </si>
  <si>
    <t xml:space="preserve">Строительство ВЛ 0,4 кВ от проектируемой ВЛ 0,4 кВ (по договору №61-1-21-00596429 от 01.09.2021 г.) ТП 10 кВ №448 ВЛ 10 кВ №1109 ПС 110 кВ АС11 для электроснабжения ВРУ 0,4 кВ жилого дома Лобова Н. Е.  г. Новочеркасск КН 61:55:0011022:100 </t>
  </si>
  <si>
    <t>Строительство ВЛ 0,4 кВ от ВЛ 0,4 кВ №1 КТП 10/0,4 кВ №131 ВЛ 10 кВ №108 ПС 110 кВ БГ1 для электроснабжения жилого дома Хусаиновой Г.Х. по адресу РО, Багаевский район, х. Елкин, пер. Новый, д. 16, к.н. 61:03:0600002:515.</t>
  </si>
  <si>
    <t xml:space="preserve">Строительство ВЛ 0,4 кВ от ВЛ 0,4 кВ №3 ТП 10/0,4 кВ №575 ВЛ 10 кВ №704 ПС 35 кВ БГ7 для электроснабжения жилого дома Тонкошкуровой В.Н. по адресу РО, Багаевский район, х. Красный, ул. Набережная, д. 2-е, к.н. 61:03:0060109:189. </t>
  </si>
  <si>
    <t xml:space="preserve">Строительство ВЛ 0,4 кВ от РУ 0,4 кВ КТП №74 ВЛ 10 кВ №504 ПС 35 кВ В5 для электроснабжения станции катодной защиты (подземного и надземного газопровода среднего давления) ПАО "Газпром газораспределение Ростов-на-Дону" по адресу Ростовская обл., р-н. Веселовский, п. Веселый, от АГЗС по пер. Комсомольский (61:06:0000000:2531) </t>
  </si>
  <si>
    <t xml:space="preserve">Строительство ВЛ 0,4 кВ от опоры №11 ВЛ-0,4 кВ №2 КТП 10/0,4 кВ №235 ВЛ 10 кВ №205 ПС 110 кВ СМ2 для электроснабжения ВРУ-0,4 кВ жилого дома заявителя Изотова П.А. по адресу: РО., р-н. Семикаракорский, ст-ца. Задоно-Кагальницкая, примерно в 48 м на север от ул. Набережная, 127 Б, к.н.: 61:35:0030101:4144 </t>
  </si>
  <si>
    <t xml:space="preserve">Строительство ВЛ 0,4 кВ от проектируемой ВЛ 0,4 кВ (по договору №61-1-20-00507601 от 16.04.2020 г.) проектируемой КТПН 10/0,4 кВ ВЛ 10 кВ №403 ПС 110 кВ АС4 для электроснабжения ВРУ 0,4 кВ жилых домов Савельевой М. В. в х. Ленина Аксайского района Ростовской области </t>
  </si>
  <si>
    <t xml:space="preserve">Строительство КТПН 10/0,4 кВ, ВЛ 0,4 кВ, ВЛ 10 кВ от ВЛ 10 кВ №1207 ПС 110 кВ АС12 для электроснабжения ВРУ 0,4 кВ линии наружного освещения на участке с КН 61:02:0000000:570 в п. Щепкин Аксайского района Ростовской области </t>
  </si>
  <si>
    <t xml:space="preserve">Строительство ВЛ 0,4 кВ от ВЛ 0,4 кВ №2 ТП 6 кВ №520 ВЛ 6 кВ №3 РП 6 кВ №6 КЛ 6 кВ №340 ПС 110 кВ БТ3 для электроснабжения ВРУ 0,22 кВ жилого дома Бинчук С. А. на участке с КН 61:01:0600007:1640 в п. Красный Сад Азовского района Ростовской области </t>
  </si>
  <si>
    <t xml:space="preserve">Строительство ТП 10/0,4 кВ, ВЛ 0,4 кВ, ВЛ 10 кВ от ВЛ 10 кВ №1109 ПС 110 кВ АС11 для электроснабжения нежилого здания Шабаевой Е. А. по ул. Новочеркасское шоссе, 1Д в ст-це Грушевская Аксайского района Ростовской области </t>
  </si>
  <si>
    <t xml:space="preserve">Строительство ТП 10/0,4 кВ, ВЛ 0,4 кВ, ВЛ 10 кВ от ВЛ 10 кВ №1207 ПС 110 кВ АС12 для электроснабжения ВРУ 0,4 кВ жилых домов по ул. Семейная, 8, ул. Небесная, 7 в п. Щепкин Аксайского района Ростовской области </t>
  </si>
  <si>
    <t>Строительство ВЛ 0,4 кВ от проектируемой ВЛ 0,4 кВ (по договору № 61-1-20-00527947 от 25.08.2020 г.) проектируемой КТПН 6/0,4 кВ ВЛ 6 кВ № 305 ПС 35 кВ АС3  для электроснабжения ВРУ 0,22 кВ жилого дома Жигалиной М.Ю.  на участке с КН 61:02:0600010:14315 в г. Аксае Аксайского района Ростовской области</t>
  </si>
  <si>
    <t xml:space="preserve">Строительство ВЛ 0,4 кВ от ВЛ 0,4 кВ №2 КТП 10/0,4 кВ №31 ВЛ 10 кВ №263 ПС 110 кВ БГ2 для электроснабжения жилого дома Соколовой Т.С. по адресу РО, Багаевский район, х. Арпачин, ул. Донская, д. 31-г, к.н. 61:03:0000000:4081. </t>
  </si>
  <si>
    <t xml:space="preserve">Строительство ВЛ 0,4 кВ от РУ 0,4 кВ КТП 10 кВ № 151 по ВЛ 10 кВ №405 ПС 35 кВ В4 для электроснабжения мастерской по ремонту и обслуживанию автомобилей, автомобильной мойки, гаражей, магазинов ИП Курбанова Э. К. на участке с КН 61:06:0010102:67 в Веселовском районе РО, п. Веселый, пер. Промышленный, 5-в </t>
  </si>
  <si>
    <t xml:space="preserve">Строительство ВЛ 0,4 кВ по ВЛ 0,4 кВ № 2, КТП 10 кВ № 433 по ВЛ 10 кВ №608 ПС 35 кВ В6 для электроснабжения магазина ИП Разгон А. И. на участке с КН 61:06:0020804:12 в Веселовском районе Р.О, п. Чаканиха, пер. Школьный, 13-а </t>
  </si>
  <si>
    <t xml:space="preserve">Строительство ВЛ 0,4 кВ по ВЛ 0,4 кВ № 1 от КТП 10/0,4 кВ №99, ВЛ 10 кВ №160 ПС 110 кВ В1 для электроснабжения жилого дома Шин А. А. на участке с КН 61:06:0010107:161 в Веселовском районе Ростовской области, п. Веселый, ул. Набережная, 73-а </t>
  </si>
  <si>
    <t xml:space="preserve">Строительство ТП 10/0,4 кВ, ВЛ 0,4 кВ, ВЛ 10 кВ от ВЛ 10 кВ №158 ПС 110 кВ В-1для электроснабжения проходной МУП «Веселовский рынок» на участке с КН 61:06:0010125:49 в Веселовском районе Ростовской области, п. Веселый, пер. Комсомольский, 50 б </t>
  </si>
  <si>
    <t xml:space="preserve">Строительство ВЛ 0,4 кВ по ВЛ 0,4 кВ № 1 от КТП 10 кВ №21, ВЛ 10 кВ №158 ПС 110 кВ В1 для электроснабжения магазина Кулиничева Е. А. на участке с КН 61:06:0010138:826 в Веселовском районе Ростовской области, п. Веселый, ул. Мира, 18-а </t>
  </si>
  <si>
    <t>Строительство ВЛ 0,4 кВ от КТП 10/0,4 кВ №642 ВЛ 10 кВ №608 ПС 35 кВ СМ6 для электроснабжения ВРУ-0,4 кВ нежилого здания заявителя Ненартович В.П. по адресу: РО, р-н. Семикаракорский, ст-ца. Новозолотовская, примерно в 5 км по направлению на северо-восток от ориентира, кадастровый номер земельного участка: 61:35:0600005:643</t>
  </si>
  <si>
    <t xml:space="preserve">Строительство ВЛ 0,4 кВ от ВЛ0,4 кВ №2 КТП №141 ВЛ10 кВ №125 ПС СМ1  с установкой на границе земельного участка Заявителя прибора учета для электроснабжения ВРУ-0,4 кВ жилого дома заявителя Лавлинской Л.А. по адресу: РО, г. Семикаракорск, ул. Мира, 1 а к.н.: 61:35:0110207:370  </t>
  </si>
  <si>
    <t xml:space="preserve">Строительство ВЛ 0,4 кВ от опоры №41 ВЛ-0,4 кВ №1 КТП 10/0,4 кВ №294 ВЛ 10 кВ №208 ПС 110 кВ СМ2 для электроснабжения ВРУ-0,4 кВ теплицы заявителя Афуз Б.Б. по адресу: РО., р-н. Семикаракорский, примерно в 118 м на северо-восток от х. Жуков пер. Доской, 8, к.н.: 61:35:0040201:1414. </t>
  </si>
  <si>
    <t>Строительство ВЛ 0,4 кВ от РУ 0,4 кВ ТП 10 кВ №82 ВЛ 10 кВ №1208 ПС 110 кВ АС12 для электроснабжения ВРУ 0,4 кВ жилого дома Пономарева К. В. на участке с КН 61:02:0600006:7781 в п. Щепкин Аксайского района Ростовской области</t>
  </si>
  <si>
    <t xml:space="preserve">Строительство ВЛ 0,4 кВ от проектируемой ВЛ 0,4 кВ проектируемой КТПН 10/0,4 кВ (по договору №61-1-19-00425577 от 09.04.2019 г.) ВЛ 10 кВ №706 ПС 35 кВ АС7 для электроснабжения ВРУ 0,4 кВ жилых домов по ул. Спортивная, Платова в п. Красный Колос Аксайского района Ростовской области </t>
  </si>
  <si>
    <t>Строительство ВЛ 0,4 кВ от проектируемой ВЛ 0,4 кВ (по договору №61-1-20-00535727 от 15.10.2020 г.) от ВЛ 0,4 кВ №1 ТП 10 кВ №642 ВЛ 10 кВ №107 ПС 110 кВ АС1 для электроснабжения ВРУ 0,23 кВ жилого дома Самойловой В. В. на участке с КН 61:02:0600015:7315 в ст-це Ольгинская Аксайского района Ростовской области</t>
  </si>
  <si>
    <t>Строительство ВЛ 0,4 кВ от ВЛ 0,4 кВ №1 ТП 10 кВ №38 ВЛ 10 кВ №1203 ПС 110 кВ АС12 для электроснабжения ВРУ 0,4 кВ жилого дома Крюкова В. В. на участке с КН 61:33:0600015:1136 в Родионово-Несветайском районе Ростовской области</t>
  </si>
  <si>
    <t xml:space="preserve">Техническое перевооружение проектируемой ТП 10/0,4 кВ (по договору №61-1-19-00488413 от 05.12.2019 г.) ВЛ 10 кВ №1208 ПС 110 кВ АС12 и строительство ВЛ 0,4 кВ от проектируемого ТП 10/0,4 кВ для электроснабжения жилого дома Павленко Б. А. по адресу: Ростовская обл., р-н Аксайский, п. Щепкин, ул. Строителей, 190А, </t>
  </si>
  <si>
    <t xml:space="preserve">Строительство ВЛ 0,4 кВ от ВЛ 0,4 кВ №3 ТП 10 кВ №491 ВЛ 10 кВ №1103 ПС 110 кВ АС11 для электроснабжения индивидуального жилого дома Шидлос Н. А. в ст-це Мишкинская Аксайского района Ростовской области </t>
  </si>
  <si>
    <t xml:space="preserve">Строительство ВЛ 0,4 кВ от РУ 0,4 кВ ТП 10 кВ №36 ВЛ 10 кВ №657 ПС 110 кВ АС6 для электроснабжения ВРУ 0,4 кВ жилого дома Авалишвили Д. С. в ст-це Старочеркасская Аксайского района Ростовской области </t>
  </si>
  <si>
    <t>Строительство ВЛ 0,4 кВ от ВЛ 0,4 кВ №3 ТП 10 кВ №708 ВЛ 10 кВ №101 ПС 110 кВ АС1 для электроснабжения ВРУ 0,4 кВ жилого дома Даденко А. Е. на участке с КН 61:02:0090103:1898 в ст-це Ольгинская Аксайского района Ростовской области</t>
  </si>
  <si>
    <t xml:space="preserve">Строительство ВЛ 0,4 кВ от РУ 0,4 кВ ТП 6 кВ №101 ВЛ 6 кВ №805 ПС 35 кВ АС8, с заменой трансформатора в ТП №101 для электроснабжения объекта торговли ИП Штанько А. В. и объекта туристической отрасли ИП Кудрявцевой В. С. по адресу: РО, Аксайский, х. Большой Лог, участок с КН 61:02:0010201:614, КН 61:02:0010201:1616 </t>
  </si>
  <si>
    <t xml:space="preserve">Строительство ВЛ 0,4 кВ от РУ 0,4 кВ ТП 6 кВ №520 ВЛ 6 кВ №3 РП 6 кВ №3 КЛ 6 кВ №340 ПС 110 кВ БТ3 для электроснабжения нежилой застройки ИП Полторацкого Р. В. на участке с КН 61:01:0600007:1811 в Азовском районе Ростовской области </t>
  </si>
  <si>
    <t xml:space="preserve">Строительство ВЛ 0,4 кВ от проектируемой ВЛ 0,4 кВ проектируемой КТПН 10/0,4 кВ (по договору №61-1-19-00425623 от 07.02.2019 г.) ВЛ 10 кВ №706 ПС 35 кВ АС7 для электроснабжения ВРУ 0,4 кВ жилых домов по ул. Куренная, ул. Мелиховская в п. Красный Колос Аксайского района Ростовской области </t>
  </si>
  <si>
    <t>Строительство ВЛ 0,4 кВ от ВЛ 0,4 кВ №1 КТП-10/0,4 кВ №129А ВЛ 10 кВ №414 ПС 220кВ Р-4 для электроснабжения административного/офисного здания ООО «ТермоПласт-В» в х. Камышеваха Аксайского района Ростовской области</t>
  </si>
  <si>
    <t xml:space="preserve">Строительство ВЛ 0,4 кВ от ВЛ 0,4кВ №1 КТП 10/0,4 кВ №165 ВЛ 10 кВ №605 ПС110 кВ БГ6 для электроснабжения жилых домов по адресу: РО, Багаевский район, х. Карповка, ул. Береговая ,д. 8, д. 6 </t>
  </si>
  <si>
    <t xml:space="preserve">Строительство ВЛ 0,4 кВ по ВЛ 0,4 кВ №1 от КТП 10 кВ №18, ВЛ 10 кВ №207 ПС 110 кВ В2 для электроснабжения жилого дома Соколюк Ю. В.  на участке с КН 61:06:0040201:78 в Веселовском районе Ростовской области, х. Маныч-Балабинка, ул. Озерная, 8-а </t>
  </si>
  <si>
    <t xml:space="preserve">Строительство ВЛ 0,4 кВ по ВЛ 0,4 кВ №2 от КТП 10 кВ №120, ВЛ 10 кВ №405 ПС 35 кВ В4 для электроснабжения газовой автозаправочной станции Тукуева А. А.  на участке с КН 61:06:0600012:1058 в Веселовском районе Ростовской области, п. Веселый, ул. Октябрьская, 228 </t>
  </si>
  <si>
    <t xml:space="preserve">Строительство ВЛ 0,4 кВ от РУ 0,4 кВ проектируемой (по договору №61-1-19-00435209 от 02.04.2019 г.) КТПН 10/0,4 кВ ВЛ 10 кВ №403 ПС 110 кВ АС4 с заменой силового трансформатора для электроснабжения ВРУ 0,4 кВ нежилого здания Нечай А. В. в Аксайском районе Ростовской области </t>
  </si>
  <si>
    <t xml:space="preserve">Строительство ВЛ 0,4 кВ от ВЛ 0,4 кВ №1 ТП 10 кВ №448 ВЛ 10 кВ №1109 ПС 110 кВ АС11 для электроснабжения ВРУ 0,4 кВ жилого дома Борцова А. Н. на участке с КН 61:55:0011022:770 в г. Новочеркасске Ростовской области </t>
  </si>
  <si>
    <t xml:space="preserve">Строительство ТП 10/0,4 кВ, ВЛ 0,4 кВ, ВЛ 10 кВ от ВЛ 10 кВ №125 ПС 110 кВ СМ1 для электроснабжения ВРУ-0,4 кВ жилых домов заявителей Гулей И.Т., Старов Е.С., Старовой О.А., Старовой А.Е., Макарова А.В., Макарова Ю.А., Куровского Н.А., Кирчева И.В., Кирчевой Л.И. по адресу: Ростовская обл., р-н. Семикаракорский, г. Семикаракорск, к.н.: 61:35:0600012:656., к.н.: 61:35:0600012:668, к.н.: 61:35:0600012:674, к.н.: 61:35:0600012:734, к.н.: 61:35:0600012:733, к.н.: 61:35:0600012:736, к.н.: 61:35:0600012:660, к.н.: 61:35:0600012:661, к.н.: 61:35:0600012:551. </t>
  </si>
  <si>
    <t>Строительство ВЛ 0,4 кВ от РУ 0,4 кВ ТП 10 кВ №448 ВЛ 10 кВ №1109 ПС 110 кВ АС11 для электроснабжения земельного участка Чадиной Т. С. по ул. Тринадцатая, 19 в г. Новочеркасске Ростовской области</t>
  </si>
  <si>
    <t xml:space="preserve">Строительство ВЛ 0,4 кВ от РУ ТП 10/0,4 кВ №113 КЛ 10 кВ №625, №628 ПС 110 кВ Р6 для электроснабжения жилого дома Карауш О.А. на участке с КН 61:44:0070905:13 по ул. Прогулочная, д. 19 г. Ростов-на-Дону </t>
  </si>
  <si>
    <t>Строительство ТП 10/0,4 кВ, ВЛ 0,4 кВ, ВЛ 10 кВ от ВЛ 10 кВ №1208 ПС 110 кВ АС12 для электроснабжения нежилой застройки Акопян Р. С. на участке с КН 61:02:0600006:7160 в п. Щепкин Аксайского района Ростовской области</t>
  </si>
  <si>
    <t>Строительство ТП 10/0,4 кВ, ВЛ 10 кВ по ВЛ 10 кВ №111 ПС 110 кВ АС1, ВЛ 0,4 кВ от РУ 0,4 кВ нового ТП 10/0,4 кВ для электроснабжения нежилой застройки ИП Шкарпитко О.Н. на участке с КН 61:02:0600016:4512 в Ростовской области,  Аксайского района х. Маяковского</t>
  </si>
  <si>
    <t>Строительство КТПН 10/0,4 кВ, ВЛ 0,4 кВ, КЛ 10 кВ от ВЛ 10 кВ №1111 ПС 110 кВ АС11 для электроснабжения ВРУ 0,4 кВ садовых домов по адресу: Ростовская обл., г. Новочеркасск, СТ “УМ-3”</t>
  </si>
  <si>
    <t>Строительство КВЛ 0,4 кВ от ВЛ 0,4 кВ №1 КТП №136А ВЛ 10 кВ №414 ПС 220 кВ Р4 для электроснабжения ВРУ 0,4 кВ нежилого помещения Кашка О. А. на участке с КН 61:02:0600010:16552 в х. Камышеваха Аксайского района Ростовской области</t>
  </si>
  <si>
    <t xml:space="preserve">Строительство ВЛ 0,4 кВ от проектируемой ВЛ 0,4 кВ проектируемой КТПН 10/0,4 кВ (по договору №61-1-19-00461385 от 25.09.2019 г.) ВЛ 10 кВ №1203 ПС 110 кВ АС12 для электроснабжения ВРУ 0,4 кВ жилого дома Безроднова А. М. в совх. Каменобродский Родионово-Несветайского района Ростовской области </t>
  </si>
  <si>
    <t>Строительство ВЛ 0,4 кВ от проектируемой ВЛ 0,4 кВ проектируемой КТПН 10/0,4 кВ (по договору №61-1-19-00443323 от 21.05.2019 г.) ВЛ 10 кВ №107 ПС 110 кВ АС1 для электроснабжения ВРУ 0,4 кВ жилого дома Клименко Е. С. на участке с КН 61:02:0600015:5009 в ст-це Ольгинская Аксайского района Ростовской области</t>
  </si>
  <si>
    <t xml:space="preserve">Строительство ВЛ 0,4 кВ от проектируемой ВЛ 0,4 кВ проектируемой КТПН 10/0,4 кВ (по договору №61-1-19-00428265 от 25.02.2019 г.) ВЛ 10 кВ №706 ПС 35 кВ АС7 для электроснабжения ВРУ 0,4 кВ жилого дома Курбатова А. В. по ул. Спортивная, 6 в п. Красный Колос Аксайского района Ростовской области </t>
  </si>
  <si>
    <t xml:space="preserve">Строительство ВЛ 0,4 кВ от ВЛ 0,4 кВ проектируемой КТПН 10/0,4 кВ (по договору №61-1-19-00473099 от 07.11.2019 г.) ВЛ 10 кВ №706 ПС 35 кВ АС7 для электроснабжения ВРУ 0,4 кВ жилого дома Краснова И. Д. по ул. Куренная, 2 в п. Красный Колос Аксайского района Ростовской области </t>
  </si>
  <si>
    <t xml:space="preserve">Строительство ВЛ 0,4 кВ от проектируемой КТПН 10/0,4 кВ (по договору №61-1-20-00496501 от 20.02.2020 г.) ВЛ 10 кВ №1203 ПС 110 кВ АС12 для электроснабжения ВРУ 0,4 кВ жилого дома Ачакова В. В. в совх. Каменобродский Родионово-Несветайского района Ростовской области </t>
  </si>
  <si>
    <t>Строительство ВЛ 0,4 кВ от ВЛ 0,4 кВ №1 КТП №188 ВЛ 6 кВ №804 ПС 35 кВ АС8 для электроснабжения ВРУ 0,4 кВ жилого дома Свеженец Н. П. на участке с КН 61:02:0010301:938 в п. Российский Аксайского района Ростовской области</t>
  </si>
  <si>
    <t xml:space="preserve">Строительство ВЛ 0,4 кВ от ВЛ 0,4 кВ №1 КТП №520 ВЛ 6 кВ №3 РП-6 КЛ 6 кВ №340 ПС 110 кВ БТ3 для электроснабжения ВРУ 0,22 кВ жилого дома Подгорной Э. В. на участке с КН 61:01:0600007:2518 в п. Красный Сад Азовского района Ростовской области </t>
  </si>
  <si>
    <t xml:space="preserve">Строительство ВЛ 0,4 кВ от проектируемой ВЛ 0,4 кВ (по договору №61-1-20-00518209 от 27.07.2020 г.) от ВЛ 0,4 кВ №3 КТП №613 ВЛ 10 кВ №101 ПС 110 кВ АС1 для электроснабжения ВРУ 0,4 кВ жилых домов Жукова В. И. по ул. Степная в ст-це Ольгинская Аксайского района Ростовской области </t>
  </si>
  <si>
    <t xml:space="preserve">Строительство ВЛ 0,4 кВ от ВЛ 0,4 кВ №1 ТП 10 кВ №451 ВЛ 10 кВ №1109 ПС 110 кВ АС11 для электроснабжения ВРУ 0,4 кВ жилого дома Тарасенко Н. В. на участке с КН 61:02:0000000:6674 в х. Веселый Аксайского района Ростовской области </t>
  </si>
  <si>
    <t xml:space="preserve">Строительство ВЛ 0,4 кВ от ВЛ 0,4 кВ №2 ТП 10 кВ №614 ВЛ 10 кВ №105 ПС 110 кВ АС1 для электроснабжения ВРУ 0,22 кВ жилого дома Протопоповой Ю. И. на участке с КН 61:02:090102:4179 в ст-це Ольгинская Аксайского района Ростовской области </t>
  </si>
  <si>
    <t>Строительство ВЛ 0,4 кВ от проектируемой ВЛ 0,4 кВ (по договору №61-1-21-00529991 от 05.09.2020 г.) КТПН 10/0,4 кВ ВЛ 10 кВ №1203 ПС 110 кВ АС12 для электроснабжения ВРУ 0,4 кВ жилого дома Кравцовой И. Ю. в Родионово-Несветайском районе Ростовской области</t>
  </si>
  <si>
    <t xml:space="preserve">Строительство ВЛ 0,4 кВ от ВЛ 0,4 кВ №1 ТП 10 кВ №242 ВЛ 10 кВ №3 ПС 35 кВ Б. Салы для электроснабжения нежилой застройки Ковшун Н. С. на участке с КН 61:02:0600005:4708 в п. Темерницкий Аксайского района Ростовской области </t>
  </si>
  <si>
    <t xml:space="preserve">Техническое перевооружение ТП 6 кВ №188 ВЛ 6 кВ №804 ПС 35 кВ АС8 и строительство ВЛ 0,4 кВ от РУ 0,4 кВ техперевооружаемой ТП 6 кВ №188 ВЛ 6 кВ №804 ПС 35 кВ АС8 для электроснабжения ВРУ 0,4 кВ жилых домов по адресу: Ростовская обл., р-н Аксайский, п. Российский, ул. Заповедная, пер. Широкий </t>
  </si>
  <si>
    <t xml:space="preserve">Строительство ВЛ 0,4 кВ от ВЛ 0,4 кВ №2 ТП 10 кВ №226 ВЛ 10 кВ №3 ПС 35 кВ Б. Салы для электроснабжения ВРУ 0,4 кВ жилого дома Кешишян Н. А. на участке с КН 61:02:0600005:11349 в х. Нижнетемерницкий Аксайского района Ростовской области </t>
  </si>
  <si>
    <t xml:space="preserve">Строительство ВЛ 0,4 кВ от ВЛ 0,4 кВ №2 ТП 10 кВ №163 ВЛ 10 кВ №1212 ПС 110 кВ АС12 для электроснабжения ВРУ 0,4 кВ жилого дома Ковалько Н. А. в п. Октябрьский Аксайского района Ростовской области </t>
  </si>
  <si>
    <t xml:space="preserve">Строительство ВЛ 0,4 кВ от ВЛ 0,4 кВ №2 ТП 10 кВ №226 ВЛ 10 кВ №3 ПС 35 кВ Б. Салы для электроснабжения ВРУ 0,4 кВ жилого дома Гаус Е. А. в х. Нижнетемерницкий Аксайского района Ростовской области </t>
  </si>
  <si>
    <t>Строительство ВЛ 0,4 кВ от проектируемой ВЛ 0,4 кВ (по договору №61-1-19-00461385 от 25.09.2019 г.) проектируемой КТПН 10/0,4 кВ ВЛ 10 кВ №1203 ПС 110 кВ АС12 для электроснабжения ВРУ 0,4 кВ жилых домов в Родионово-Несветайском районе Ростовской области</t>
  </si>
  <si>
    <t xml:space="preserve">Строительство ВЛ 0,4 кВ от концевой проектируемой опоры по договору № 61-1-21-00604167 от 01.10.2021г  ВЛ 0,4 кВ №1 КТП 10/0,4 кВ № 39 ВЛ 10 кВ № 1203 ПС 110/10 кВ АС-12 для электроснабжения ВРУ 0,4 кВ жилого дома Горского П.О. в границах плана х. Каменный Брод, уч. 409, Родионово-Несветайский район, Ростовской области </t>
  </si>
  <si>
    <t xml:space="preserve">Строительство ВЛ 0,4 кВ от ВЛ 0,4 кВ №1 ТП 10 кВ №448 ВЛ 10 кВ №1109 ПС 110 кВ АС11 для электроснабжения строительной площадки жилого дома Заводнова П. В. на участке с КН 61:55:0011023:219 в г. Новочеркасске Ростовской области </t>
  </si>
  <si>
    <t>Строительство ВЛ 0,4 кВ от кольцевой проектируемой опоры (по договору №61-1-20-00496749 от 26.02.2021 г) для электроснабжения жилого дома Фиско В.С. по адресу РО р-н Родионово-Несветайский, совх. Каменобродский, юго-западнее х. Каменный Брод, участок 398, К.Н. 61:33:0600015:995</t>
  </si>
  <si>
    <t xml:space="preserve">Строительство ВЛ 0,4 кВ от проектируемой ВЛ 0,4 кВ (по договору №61-1-21-00604431 от 05.10.2021 г.) от ВЛ 0,4 кВ №2 ТП 10 кВ №226 ВЛ 10 кВ №3 ПС 35 кВ Б. Салы для электроснабжения ВРУ 0,4 кВ жилого дома Бескоровайного С. А. на участке с КН 61:02:0600005:11166 в х. Нижнетемерницкий Аксайского района Ростовской области </t>
  </si>
  <si>
    <t xml:space="preserve">Строительство ВЛ 0,4 кВ, от РУ 0,4 кВ КТП 10/0,4 кВ №265 ВЛ 10 кВ №1208 ПС 110/10 кВ АС12 для электроснабжения ВРУ-0,4 кВ нежилой застройки на участке с КН 61:02:060004:3325 в пос. Октябрьский Аксайского района Ростовской области </t>
  </si>
  <si>
    <t>Строительство ВЛ 0,4 кВ по ВЛ 0,4 кВ №3 от КТП 10/0,4 кВ №159 ВЛ 10 кВ №1408 ПС 35/10 кВ АС14 для электроснабжения ВРУ-0,4 кВ жилых домов Бархоянц А.А. на участках с КН 61:02:0100201:885, КН 61:02:0100201:893, КН 61:02:0100201:896 по ул. Луговая в п. Рассвет Аксайского района Ростовской области</t>
  </si>
  <si>
    <t xml:space="preserve">Строительство ТП 10/0,4 кВ, ВЛ 0,4 кВ, ВЛ 10 кВ от ВЛ 10 кВ №3 ПС 35 кВ Б. Салы для электроснабжения ВРУ 0,4 кВ жилых домов по ул. Радужная, 5, 7, ул. Гармоничная, 6, 8 в п. Темерницкий Аксайского района Ростовской области </t>
  </si>
  <si>
    <t xml:space="preserve">Строительство ТП 10/0,4 кВ, ВЛ 0,4 кВ, ВЛ 10 кВ от ВЛ 10 кВ №1103 ПС 110 кВ АС11 для электроснабжения ВРУ 0,22 кВ и ВРУ 0,4 кВ жилых домов по ул. Новороссийская/ул. Лесная, 1/17, ул. Смоленская, 14 в ст-це Мишкинская Аксайского района Ростовской области </t>
  </si>
  <si>
    <t xml:space="preserve">Строительство ТП 10/0,4 кВ, ВЛ 0,4 кВ, ВЛ 10 кВ от ВЛ 10 кВ №3 ПС 35 кВ Б. Салы для электроснабжения ВРУ 0,4 кВ жилых домов Тарасова С. С., Кудашко Ю. В. на участках с КН 61:02:0600005:7596, 61:02:0600005:5469 в п. Темерницкий Аксайского района Ростовской области </t>
  </si>
  <si>
    <t xml:space="preserve">Строительство двух ТП 10/0,4 кВ, ВЛ 0,4 кВ, ВЛ 10 кВ от ВЛ 10 кВ №307 ПС 35 кВ БГ3 для электроснабжения дачных домов Аристовой М.И., Бабаян Г.А. и теплиц Адамовой З.Д., Мухлисова М.Л., Ашрафова Х.Ф., Эминова М.С. по адресу: Ростовская обл., р-н. Багаевский, Елкинское сельское поселение, </t>
  </si>
  <si>
    <t xml:space="preserve">Строительство КТПН 10/0,4 кВ, ВЛ 0,4 кВ, ВЛ 10 кВ от ВЛ 10 кВ №655 ПС 110 кВ АС6 для электроснабжения ВРУ 0,4 кВ нежилого здания филиала ФГБУ “Государственная комиссия РФ по испытанию и охране селекционных достижений” по Ростовской области на участке с КН 61:02:0600012:485 в г. Аксае Аксайского района Ростовской области </t>
  </si>
  <si>
    <t xml:space="preserve">Строительство КТПН 10/0,4 кВ, ВЛ 0,4 кВ, ВЛ 10 кВ от ВЛ 10 кВ №3 ПС 35 кВ Б. Салы для электроснабжения ВРУ 0,4 кВ жилых домов Абакумовой А. С. и Абакумова Н. В. в совх. Каменобродский и п. Темерницкий Аксайского района Ростовской области </t>
  </si>
  <si>
    <t>Строительство ВЛ 0,4 кВ от ВЛ 0,4 кВ №2 ТП 10 кВ №82 ВЛ 10 кВ №1208 ПС 110 кВ АС12 для электроснабжения ВРУ 0,4 кВ жилых домов Полулях С. А. на участках с КН 61:02:0600006:7476, 61:02:0600006:7510 в п. Щепкин Аксайского района Ростовской области</t>
  </si>
  <si>
    <t xml:space="preserve">Строительство ВЛ 0,4 кВ от проектируемой ВЛ 0,4 кВ (по договору №61-1-20-00499235 от 03.03.2020 г.) от техперевооружаемой ТП 10 кВ №78 ВЛ 10 кВ №3 ПС 35 кВ Б. Салы для электроснабжения ВРУ 0,4 кВ жилого дома Мкртчян В. П. на участке с КН 61:02:0600006:6880 в п. Щепкин Аксайского района Ростовской области </t>
  </si>
  <si>
    <t xml:space="preserve">Строительство ТП 10/0,4 кВ, ВЛ 0,4 кВ, ВЛ 10 кВ от проектируемой опоры (по договору №61-1-19-00485963 от 25.11.2019 г.) ВЛ 10 кВ №1109 ПС 110 кВ АС11 для электроснабжения стоянки Юдина Я. О. на участке с КН 61:02:0600002:1727 в ст-це Грушевская Аксайского района Ростовской области </t>
  </si>
  <si>
    <t xml:space="preserve">Строительство двух ТП 10/0,4 кВ, ВЛ 0,4 кВ, ВЛ 10 кВ по ВЛ 10 кВ №3Ф5 РП 10 кВ №3 КЛ 10 кВ №1532 и №1546 ПС 110 кВ АС15 для электроснабжения магазина и станции ТО Апресян А. Г., а также объектов торговли ИП Рыбалкиной Р. Ф. на участках с КН 61:02:0600010:14195, 61:02:0600010:14927 в Аксайском районе РО </t>
  </si>
  <si>
    <t xml:space="preserve">Строительство ТП 10/0,4 кВ, ВЛ 0,4 кВ, ВЛ 10 кВ от проектируемой ВЛ 10 кВ (по договору №61-1-19-00488413 от 05.12.2019 г.) от ВЛ 10 кВ №1208 ПС 110 кВ АС12 для электроснабжения ВРУ 0,4 кВ жилых домов Казак С. Г. на тер. АО «Щепкинское» Аксайского района Ростовской области </t>
  </si>
  <si>
    <t xml:space="preserve">Строительство ТП 10/0,4 кВ, ВЛ 0,4 кВ, ВЛ 10 кВ по ВЛ 10 кВ №211 ПС 110 кВ СМ2 для электроснабжения жилого дома Патыка А.Г. по адресу: РО, р-н. Семикаракорский, ст-ца. Задоно-Кагальницкая, к.н.:61:35:0030101:4550  </t>
  </si>
  <si>
    <t>Строительство ВЛ 0,4 кВ от РУ 0,4 кВ ТП 10 кВ №927 ВЛ 10 кВ №1207 ПС 110 кВ АС12 с заменой тр-ра в ТП №927 для электроснабжения жилых домов по адресу: РО., р-н Аксайский, п. Щепкин, ул. Гармоничная, ул. Солнечная, ул. Благодатная КН 61:02:0600006:4630, 61:02:0600006:7086, 61:02:0600006:4643 , 61:02:0600006:4635, 61:02:0600006:4622, 61:02:0600006:5836,   61:02:0600006:4660, 61:02:0600006:4640.</t>
  </si>
  <si>
    <t xml:space="preserve">Строительство ВЛ 0,4 кВ от проектируемой ВЛ 0,4 кВ проектируемой КТПН 10/0,4 кВ (по договору №61-1-18-00373877 от 10.05.2018 г.) ВЛ 10 кВ №3 ПС 35 кВ Б. Салы для электроснабжения ВРУ 0,4 кВ жилых домов по ул. Рублева в п. Темерницкий Аксайского района Ростовской области </t>
  </si>
  <si>
    <t xml:space="preserve">Строительство ВЛ 0,4 кВ от проектируемой ВЛ 0,4 кВ (по договору №61-1-20-00507601 от 16.04.2020 г.) проектируемой КТПН 10/0,4 кВ ВЛ 10 кВ №403 ПС 110 кВ АС4 для электроснабжения ВРУ 0,4 кВ жилых домов по ул. Крымская, 39, 44 в х. Ленина Аксайского района Ростовской области </t>
  </si>
  <si>
    <t xml:space="preserve">Строительство ВЛ 0,4 кВ от ВЛ 0,4 кВ №1 КТП №29 ВЛ 10 кВ №657 ПС 110 кВ АС6 с заменой силового трансформатора КТП №29 ВЛ 10 кВ №657 ПС 110 кВ АС6 для электроснабжения ВРУ 0,4 кВ жилого дома Дружбиной С. А. на участке с КН 61:02:0110102:2833 в ст-це Старочеркасская Аксайского района Ростовской области </t>
  </si>
  <si>
    <t xml:space="preserve">Строительство ВЛ 0,4 кВ по ВЛ 0,4 кВ №2 ТП 6/0,4 кВ №287 ВЛ 6 кВ №805 ПС 35 кВ АС-8 для электроснабжения жилого дома Мамедярова Н.Ф.  на участке с КН 61:02:0600011:1020 в Ростовской области Аксайского р-на,  х. Большой Лог, </t>
  </si>
  <si>
    <t xml:space="preserve">Строительство ВЛ 0,4 кВ от ВЛ 0,4 кВ №2 ТП 10 кВ №119 ВЛ 10 кВ №1212 ПС 110 кВ АС12 для электроснабжения ВРУ 0,4 кВ жилого дома Парфененко Ю. М. на участке с КН 61:02:0080106:322 в п. Октябрьский Аксайского района Ростовской области </t>
  </si>
  <si>
    <t xml:space="preserve">Техперевооружение существующего КТП-10/04 кВ № 191, строительство ВЛ 0,4 кВ от опоры № 6 ВЛ 0,4 кВ № 2 КТП 10/0,4 кВ №191 ВЛ 10 кВ №701 ПС 35кВ АС 7 для электроснабжения жилого дома Лисовского А.В. по адресу Ростовская обл., р-н. Аксайский, п. Красный, ул. Островского, кадастровый номер земельного участка: 61:02:0080601:1714. </t>
  </si>
  <si>
    <t xml:space="preserve">Техническое перевооружение ТП 10 кВ №9 ВЛ 10 кВ №657 ПС 110 кВ АС6 и строительство ВЛ 0,4 кВ от ВЛ 0,4 кВ №2 ТП 10 кВ №9 ВЛ 10 кВ №657 ПС 110 кВ АС6 для электроснабжения ВРУ 0,4 кВ жилого дома Дикун В. М. по адресу: Ростовская обл., р-н Аксайский, ст-ца Старочеркасская, ул. Донская, 14, </t>
  </si>
  <si>
    <t xml:space="preserve">Строительство ВЛ 0,4 кВ от ВЛ 0,4 кВ №2 ТП 10 кВ №129 ВЛ 10 кВ №1208 ПС 110 кВ АС12 для электроснабжения ВРУ 0,4 кВ жилого дома Веселова Е. В. в п. Октябрьский Аксайского района Ростовской области </t>
  </si>
  <si>
    <t xml:space="preserve">Строительство ВЛ 0,4 кВ по ВЛ 0,4 кВ № 1 КТП №260 ВЛ 10 кВ №3 ПС 35 кВ Б. Салы для электроснабжения ВРУ 0,4 кВ жилого дома Свищевой О.Р. в границах плана х. Нижнетемерницкий, ул. Озерная, к.н. 61:02:0600005:12058, Аксайский район, Ростовской области </t>
  </si>
  <si>
    <t xml:space="preserve">Строительство ВЛ 0,4 кВ по ВЛ 0,4 кВ № 1 КТП №260 ВЛ 10 кВ №3 ПС 35 кВ Б. Салы для электроснабжения ВРУ 0,4 кВ жилого дома Степанова М.В. в границах плана х. Нижнетемерницкий, ул. Озерная, к.н. 61:02:0600005:12059, Аксайский район, Ростовской области </t>
  </si>
  <si>
    <t xml:space="preserve">Строительство ТП 10/0,4 кВ, ВЛ 0,4 кВ, ВЛ 10 кВ от ВЛ 10 кВ №1212 ПС 110 кВ АС12 для электроснабжения ВРУ 0,4 кВ нежилой застройки Алексаньян Т. В. на участке с КН 61:02:0600004:2989 в п. Октябрьский Аксайского района Ростовской области </t>
  </si>
  <si>
    <t xml:space="preserve">Строительство ВЛ 0,4 кВ от ВЛ 0,4 кВ №2 ТП 10 кВ №254 ВЛ 10 кВ №1208 ПС 110 кВ АС12 для электроснабжения ВРУ 0,4 кВ нежилых зданий на участках с КН 61:02:0600006:5863, 61:02:0600006:5864 на тер. АО «Щепкинское» Аксайского района Ростовской области </t>
  </si>
  <si>
    <t xml:space="preserve">Строительство ВЛ 0,4 кВ от ВЛ 0,4 кВ №2 ТП 10 кВ №89 ВЛ 10 кВ №706 ПС 35 кВ АС7 для электроснабжения ВРУ 0,22 кВ жилого дома Чигасовой Е. Н. на участке с КН 61:02:0600007:2825 в п. Красный Колос Аксайского района Ростовской области </t>
  </si>
  <si>
    <t xml:space="preserve">Строительство ВЛ 0,4 кВ от ВЛ 0,4 кВ №1 ТП 10 кВ №927 ВЛ 10 кВ №1207 ПС 110 кВ АС12 для электроснабжения ВРУ 0,4 кВ жилого дома Сень Ю. Е. на участке с КН 61:02:0600006:4690 в п. Щепкин Аксайского района Ростовской области </t>
  </si>
  <si>
    <t xml:space="preserve">Строительство ВЛ 0,4 кВ от РУ 0,4 кВ ТП 10 кВ №926 ВЛ 10 кВ №1208 ПС 110 кВ АС12 для электроснабжения производственного здания/помещения ИП Гуляев М. С. на участке с КН 61:02:0600004:3081 в АО «Октябрьское» Аксайского района Ростовской области </t>
  </si>
  <si>
    <t xml:space="preserve">Строительство ВЛ 0,4 кВ от ВЛ 0,4 кВ №1 ТП 10 кВ №39 ВЛ 10 кВ №1203 ПС 110 кВ АС12 для электроснабжения жилого дома Кащеевой О. Ю. на участке с КН 61:33:0600015:993 в Родионово-Несветайском районе Ростовской области </t>
  </si>
  <si>
    <t xml:space="preserve">Строительство ВЛ 0,4 кВ от ВЛ 0,4 кВ №2 ТП 10 кВ №166 ВЛ 10 кВ №1407 ПС 35 кВ АС14 для электроснабжения ВРУ 0,4 кВ жилого дома Грицай М. А. на участке с КН 61:02:0100301:363 в п. Золотой Колос Аксайского района, РО </t>
  </si>
  <si>
    <t xml:space="preserve">Строительство ВЛ 0,4 кВ от опоры №15 ВЛ 0,4 кВ №1 КТП 10/0,4 кВ №749 ВЛ 10 кВ №403 ПС 110/10 кВ АС4 для электроснабжения ВРУ 0,4 кВ жилого дома Шкель Ф.Е. на участке с КН 61:02:0060101:4075 в Аксайском районе Ростовской области </t>
  </si>
  <si>
    <t xml:space="preserve">Строительство ВЛ 0,4 кВ по ВЛ 0,4 кВ №3 КТП 10/0,4 кВ №587 ВЛ 10 кВ №704 ПС 35 кВ БГ7 для электроснабжения малоэтажной жилой застройки Аскерова А.М. по адресу РО, Багаевский район, х. Красный, ул. Садовая, д. 36, к.н. 61:03:0060111:25. </t>
  </si>
  <si>
    <t xml:space="preserve">Строительство ВЛ 0,4 кВ по ВЛ 0,4 кВ №2 КТП 10/0,4 кВ №587 ВЛ 10 кВ №704 ПС 35 кВ БГ7 для электроснабжения квартиры Дроздовой Е.Р. по адресу РО, Багаевский район, х. Красный, ул. Полевая, д. 20, кв. 1, к.н. 61:03:0060111:22. </t>
  </si>
  <si>
    <t xml:space="preserve">Строительство ВЛ 0,4 кВ от РУ 0,4 кВ ТП 10/0,4 кВ №682 ВЛ 10 кВ №255 ПС 110 кВ БГ2 для электроснабжения объекта сельскохозяйственного производства Сирый М.Н. по адресу РО, Аксайский район, х. Слава Труда, поле №1, к.н. 61:02:0600019:1187. </t>
  </si>
  <si>
    <t xml:space="preserve">Строительство ВЛ 0,4 кВ от ВЛ 0,4 кВ №1 КТП 10/0,4 кВ №99 ВЛ 10 кВ №305 ПС 35 кВ БГ3 для электроснабжения АПК видеофиксации нарушений ПДД «КРИС-П» ИП Андреева В.А. по адресу РО, Багаевский район, 49 км а/д г. Ростов-на-Дону-г. Волгодонск, координаты 47.282589, 40.423226. </t>
  </si>
  <si>
    <t xml:space="preserve">Строительство ВЛ 0,4 кВ от ВЛ 0,4 кВ №1 КТП 10/0,4 кВ №41 ВЛ 10 кВ №263 ПС 110 кВ БГ2 для электроснабжения жилого дома Хотнянского С.С. по адресу РО, Багаевский район, х. Арпачин, ул. Донская, д. 33-и, к.н. 61:03:0040215:106. </t>
  </si>
  <si>
    <t xml:space="preserve">Строительство ВЛ 0,4 кВ по ВЛ 0,4 кВ №2 от КТП 10 кВ №2, ВЛ 10 кВ №151 ПС 110 кВ В1 для электроснабжения жилого дома Живого В. А.  на участке с КН 61:06:0600012:1101 в Веселовском районе РО, х. Каракашев, ул. Старая, 64-н </t>
  </si>
  <si>
    <t xml:space="preserve">Строительство ВЛ 0,4 кВ по ВЛ 0,4 кВ №1, ТП №12, ВЛ 10 кВ №157 ПС 110 кВ В1 для электроснабжения жилого дома Прилукиной Т. П. в Веселовском районе, РО, п. Веселый, ул. Первомайская, 40-а </t>
  </si>
  <si>
    <t>Строительство ВЛ 0,4 кВ по ВЛ 0,4кВ №2 КТП 10 кВ №58, ВЛ 10 кВ №157 ПС 110 кВ В1 для электроснабжения жилого дома Иваненковой Т. С. на участке с КН 61:06:0010132:137 в Веселовском районе, РО, п. Веселый, ул. Красноармейская, 14 А</t>
  </si>
  <si>
    <t xml:space="preserve">Строительство ВЛ 0,4 кВ по ВЛ 0,4кВ №5 ТП 10 кВ №70, ВЛ 10 кВ №158 ПС 110 кВ В1 для электроснабжения жилого дома Ильдимиркиной Е. В. на участке с КН 61:06:0010138:814 в Веселовском районе, РО, п. Веселый, ул. Заречная, 30 </t>
  </si>
  <si>
    <t xml:space="preserve">Строительство ВЛ 0,4 кВ от опоры №7 ВЛ-0,4 кВ № 1 КТП 10/0,4 кВ №174 ВЛ-10 кВ № 125 ПС СМ-1 для электроснабжения жилого дома заявителя Шрамко Н.И., по адресу: Семикаракорский р-н, ст-ца Новозолотовская, ул. Энергетиков, 10 к.н.: 61:35:0000000:10347 </t>
  </si>
  <si>
    <t xml:space="preserve">Строительство ТП 10/0,4 кВ, ВЛ 0,4 кВ, ВЛ 10 кВ от ВЛ 10 кВ №106 ПС 110 кВ БГ1 для электроснабжения дачных домов Котова И.Н., Бородина Д.Д.,Гелядова Ю.Б., Пономаренко В.С., Камышановой О.С., Станкович Н.В., Беляева Р.А. по адресу: Ростовская обл., р-н. Багаевский, участок находится примерно в 900 метрах от ст. Багаевская. </t>
  </si>
  <si>
    <t>Строительство ВЛ 0,4 кВ от проектируемой ВЛ 0,4 кВ (по договору №61-1-20-00511571 от 05.06.2020 г.) проектируемой КТПН 10/0,4 кВ ВЛ 10 кВ №101 ПС 110 кВ АС1 для электроснабжения ВРУ 0,4 кВ жилого дома Соловьевой Е. В. на участке с КН 61:02:0600015:7123 в ст-це Ольгинская Аксайского района Ростовской области (ориентировочная протяжённость ЛЭП 0,31 км)</t>
  </si>
  <si>
    <t xml:space="preserve">Строительство ВЛ 0,4 кВ от проектируемой ВЛ 0,4 кВ (по договору №61-1-20-00507601 от 16.04.2020 г.) проектируемой КТПН 10/0,4 кВ ВЛ 10 кВ №403 ПС 110 кВ АС4 для электроснабжения ВРУ 0,4 кВ жилого дома Дьяченко Н. О. в х. Ленина Аксайского района Ростовской области </t>
  </si>
  <si>
    <t xml:space="preserve">Строительство ВЛ 0,4 кВ от проектируемой ВЛ 0,4 кВ (по договору №61-1-21-00569679 от 13.05.2021 г.) от РУ 0,4 кВ ТП 10 кВ №447 ВЛ 10 кВ №1103 ПС 110 кВ АС11 для электроснабжения ВРУ 0,4 кВ жилого дома Яхьева А. А. на участке с КН 61:02:0600009:2931 в ст-це Мишкинская Аксайского района Ростовской области </t>
  </si>
  <si>
    <t xml:space="preserve">Строительство ВЛ 0,4 кВ от проектируемой ВЛ 0,4 кВ (по договору №61-1-20-00511571 от 05.06.2020 г.) проектируемой КТПН 10/0,4 кВ ВЛ 10 кВ №101 ПС 110 кВ АС1 для электроснабжения ВРУ 0,4 кВ жилого дома Веретенниковой О. А. на участке с КН 61:02:0600015:7103 в ст-це Ольгинская Аксайского района Ростовской области </t>
  </si>
  <si>
    <t xml:space="preserve">Строительство ВЛ 0,4 кВ от проектируемой ВЛ 0,4 кВ (по договору №61-1-20-00604561 от 02.10.2021 г.) проектируемой КТПН 10/0,4 кВ ВЛ 10 кВ №101 ПС 110 кВ АС1 для электроснабжения ВРУ 0,4 кВ жилого дома Губенко Л. П. на участке с КН 61:02:0600015:7078 в ст-це Ольгинская Аксайского района РО </t>
  </si>
  <si>
    <t xml:space="preserve">Строительство ВЛ 0,4 кВ от ВЛ 0,4 кВ №1 ТП 10 кВ №925 ВЛ 10 кВ №1208 ПС 110 кВ АС12 для электроснабжения жилого дома Волошина Д. Д. на участке с КН 61:02:0080503:1512 в п. Щепкин Аксайского района Ростовской области </t>
  </si>
  <si>
    <t>Строительство ВЛ 0,4 кВ от проектируемой ВЛ 0,4 кВ (по договору №61-1-20-00511571 от 05.06.2020 г.) проектируемой КТПН 10/0,4 кВ ВЛ 10 кВ №101 ПС 110 кВ АС1 для электроснабжения ВРУ 0,4 кВ жилого дома Дорошева А. И. на участке с КН 61:02:0600015:7939 в ст-це Ольгинская Аксайского района Ростовской области</t>
  </si>
  <si>
    <t xml:space="preserve">Строительство ВЛ 0,4 кВ от ВЛ 0,4 кВ №2 ТП 6 кВ №76 ВЛ 6 кВ №807 ПС 35 кВ АС8 для электроснабжения ВРУ 0,4 кВ жилого дома Барсегян А. А. на участке с КН 61:02:0600010:7866 в п. Российский Аксайского района Ростовской области </t>
  </si>
  <si>
    <t xml:space="preserve">Строительство ВЛ 0,4 кВ от проектируемой ВЛ 0,4 кВ (по договору №61-1-21-00589229 от 21.07.2021 г.) от ВЛ 0,4 кВ №2 ТП 10 кВ №78 ВЛ 10 кВ №3 ПС 35 кВ Б. Салы для электроснабжения ВРУ 0,4 кВ жилого дома Бандура Ю. С. на участке с КН 61:02:0600006:6879 в п. Щепкин Аксайского района Ростовской области </t>
  </si>
  <si>
    <t xml:space="preserve">Строительство ВЛ 0,4 кВ по ВЛ 0,4 кВ №1 КТП 10/0,4 кВ №1 ВЛ 10 кВ №657 ПС 110 кВ АС-6, для электроснабжения жилого дома Шемякина Ю.П. расположенного на земельном участке КН 61:02:0600013:3766, в Аксайском районе </t>
  </si>
  <si>
    <t xml:space="preserve">Строительство ВЛ 0,4 кВ от проектируемой ВЛ 0,4 кВ (по договору № 61-1-21-00616821 от 02.12.2021) ТП 0,4/10 кВ ВЛ 10 кВ № 1212 ПС 110 кВ АС12  для электроснабжения объекта торговли ООО «РУСДАР» на участке с КН 61:02:0600004:2988 в Аксайском р-не, п. Октябрьский, ул. Рубежная, д. 4 </t>
  </si>
  <si>
    <t xml:space="preserve">Строительство ВЛ 0,4 кВ по ВЛ 0,4 кВ №1 КТП-10/0,4 кВ №406 ВЛ 10 кВ №1003 ПС 110 кВ АС-10 для электроснабжения ВРУ 0,4 кВ жилого дома Сухоруковой О.А. на участке с КН 61:02:0030103:408 в станице Грушевская Аксайского района Ростовской области </t>
  </si>
  <si>
    <t xml:space="preserve">Строительство ВЛ 0,4 кВ по ВЛ 0,4 кВ №2 КТП-6/0,4 кВ №76 ВЛ 6 кВ №807 ПС 35/6 кВ АС8 для электроснабжения ВРУ 0,4 кВ жилого дома Полякова В.А. на участке с КН 61:02:600010:8299 в п. Российский Аксайского района Ростовской области </t>
  </si>
  <si>
    <t xml:space="preserve">Строительство ВЛ 0,4 кВ по ВЛ 0,4 кВ №1 ТП-10/0,4 кВ №39 ВЛ 10 кВ №1203 ПС 110 кВ АС12 для электроснабжения ВРУ 0,4 кВ жилого дома Мурадян В.А. на участке с КН 61:33:0600015:983 Родионово-Несветайского района Ростовской области </t>
  </si>
  <si>
    <t xml:space="preserve">Строительство ВЛ 0,4 кВ по ВЛ 0,4 кВ №2 ТП-10/0,4 кВ №633 ВЛ 10 кВ №111 ПС 110 кВ АС1 для электроснабжения ВРУ 0,4 кВ жилого дома Филимонова М.Н. на участке с КН 61:02:0050101:2695 Аксайского района Ростовской области </t>
  </si>
  <si>
    <t xml:space="preserve">Строительство ВЛ 0,4 кВ от проектируемой ВЛ 0,4 кВ (по договору №61-1-21-00615425 от 03.12.2021 г.) от РУ 0,4 кВ ТП 10 кВ №629 ВЛ 10 кВ №501 ПС 35 кВ АС5 для электроснабжения ВРУ 0,4 кВ жилого дома Черникова С. Г. на участке с КН 61:02:0020101:715 в х. Алитуб Аксайского района Ростовской области </t>
  </si>
  <si>
    <t xml:space="preserve">Строительство ВЛ 0,4 кВ от РУ 0,4 кВ ТП 10 кВ №271 ВЛ 10 кВ №1513 ПС 110 кВ АС15 для электроснабжения ВРУ 0,4 кВ жилых домов по пер. Клубничный, 5А, ул. Ландышевая, 23 в п. Янтарный Аксайского района Ростовской области </t>
  </si>
  <si>
    <t xml:space="preserve">Строительство ВЛ 0,4 кВ от ВЛ 0,4 кВ №1 КТП 10/0,4 кВ №163 ВЛ 10 кВ №605 ПС 110 кВ БГ6 для электроснабжения храма Местной религиозной организации православного Прихода храма Рождества Пресвятой Богородицы х. Ажинов Багаевского района РО Шахтинской Епархии Русской Православной Церкви (Московский Патриархат) по адресу РО, Багаевский район, х. Карповка, ул. Зеленая, д. 15. </t>
  </si>
  <si>
    <t xml:space="preserve">Строительство ВЛ 0,4 кВ от ВЛ 0,4 кВ №3 КТП 10/0,4 кВ №88 ВЛ 10 кВ №301 ПС 35 кВ БГ3 для электроснабжения жилого дома Мамонова Д.О. по адресу РО, Багаевский район, п. Дачный, ул. Набережная, д. 3-б, к.н. 61:03:0010602:345. </t>
  </si>
  <si>
    <t>Строительство ВЛ 0,4 кВ по ВЛ 0,4 кВ №1 КТП 10/0,4 кВ №58 ВЛ 10 кВ №261 ПС 110 кВ БГ2 с заменой трансформатора ТП 10/0,4 кВ №58 для электроснабжения жилого дома Бабиной О.О. по адресу РО, Багаевский район, х. Арпачин, ул. Советская, д. 5, к.н. 61:03:0040211:13.</t>
  </si>
  <si>
    <t>Строительство ВЛ 0,4 кВ (по существующим опорам) от опоры №29 ВЛ-0,4 кВ № 1 КТП 10/0,4 кВ №175 ВЛ-10 кВ № 125 ПС СМ-1 для электроснабжения жилого дома заявителя Токаревой М.А., по адресу: РО, г. Семикаракорск, ул. Свободы, д.14а к.н.: 61:35:0110205:862</t>
  </si>
  <si>
    <t>"Строительство участка ВЛ-10кВ от опоры 6-00/237 по ВЛ-10кВ Л-6 Целинская и участка ВЛ-10кВ от опоры 1-03/11 по ВЛ-10кВ Л-1 Лопанская, строительство КТП 10/0,4 и ВЛ 0,4 кВ для электроснабжения скважин №11-14, 16-19 и насосной станции второго подъема, расположенных по адресу: Ростовская область, Целинский район, заявитель Администрация Целинского района Ростовской области» (Ориентировочная протяженность ЛЭП – 15,38 км, ориентировочная мощность ТП – 0,9 МВА)"</t>
  </si>
  <si>
    <t>«Строительство ВЛ 0,4 кВ от опоры №1-00/2-5 ВЛ 0,4 кВ Л-1 КТП 10/0,4 кВ №1 по ВЛ 10 кВ Л-9 Трубецкая для электроснабжения объекта –«объект животноводства», расположенного по адресу: Ростовская обл., Сальский район, п. Нижнеянинский, в кадастровом квартале 61:34:0600005 с условным центром в п. Нижнеянинском, кадастровый номер земельного участка: 61:34:0600005:3993, заявитель Юркин И.А.»</t>
  </si>
  <si>
    <t>«Строительство ВЛ 10 кВ от опоры №7-00/333 по ВЛ 10 кВ Л-7 Сандатовская, строительство КТП 10/0,4 и ВЛ 0,4 кВ для электроснабжения объекта –здание МТФ, расположенного по адресу: РФ, Ростовская область, Сальский район, х.Крупский, 500 м на юг от х.Крупский, к.н. 61.34.0600019:3163, заявитель Магомедов М.М.» (Ориентировочная протяженность ЛЭП - 0,29 км, ориентировочная мощность ТП – 0,025 МВА)</t>
  </si>
  <si>
    <t>"Строительство ВЛ 10 кВ от опоры №4-01/135 ВЛ 10 кВ Л-4 Лопанская, строительство КТП 10/0,4 и ВЛ 0,4 кВ для электроснабжения объекта – «объект сельскохозяйственного производства», расположенного по адресу: РФ, Ростовская область, Целинский район, с. Средний Егорлык, СПК «Московский», к.н.: 61:40:0600015:3628, заявитель ИП глава КФХ Давиденко Александр Павлович. (Ориентировочная протяженность ЛЭП – 0,16 км, ориентировочная мощность ТП – 0,025 МВА)"</t>
  </si>
  <si>
    <t>Строительство ВЛ 10 кВ от опоры №13-00/11 ВЛ 10 кВ Л-13 Пролетарская, строительство КТП 10/0,4 и ВЛ 0,4 кВ для электроснабжения объекта – «производственное здание/помещение», расположенного по адресу: РФ, Ростовская область, Пролетарский район, г. Пролетарск, пер Чкалова, д. 22-в, к.н.: 61:31:0110470:12, заявитель ООО «Импульс». (Ориентировочная протяженность ЛЭП – 0,015 км, ориентировочная мощность ТП – 0,25 МВА)</t>
  </si>
  <si>
    <t>Строительство ВЛ 0,4 кВ от опоры № 1-00/1 ВЛ 0,4 кВ Л-1 ТП 10/0,4 кВ № 102 по ВЛ 10 кВ Л-4 Уютная, для электроснабжения объекта – «дачный дом», расположенного по адресу: РФ, Ростовская область, Пролетарский район, СА «Уютная», отделение 3, контур 310, к.н.: 61:31:0600011:939, заявитель Федоряченко Е.С.» (Ориентировочная протяженность ЛЭП – 0,065 км)</t>
  </si>
  <si>
    <t xml:space="preserve">«Строительство ВЛ 0,4 кВ от опоры №3-00/7 ВЛ 0,4 кВ Л-3 КТП 10/0,4 кВ № 297 по ВЛ 10 кВ Л-7 Ленинец, для электроснабжения объекта – «Базовая станция сотовой связи», расположенного по адресу: 347629, РФ, Ростовская область, р-н. Сальский, п. Приречный, ул. Школьная, д. 16б, кадастровый номер земельного участка: 61:34:0130101:1829, заявитель ООО «Т2 Мобайл» (Ориентировочная протяженность ЛЭП – 0,03 км)» </t>
  </si>
  <si>
    <t>«Строительство ВЛ 0,4 кВ от ЗТП 10/0,4 кВ № 65 по ВЛ 10 кВ Л-7 Пролетарская, для электроснабжения объекта – «Базовая станция сотовой связи БС 61-01611», расположенного по адресу: 347540 Российская Федерация, Ростовская обл., р-н. Пролетарский., г. Пролетарск, переулок Красный, в районе дома №98, к.н.з.у. 61:31:0110116:307., заявитель Филиал публичного акционерного общества «Мобильные ТелеСистемы» в Ростовской области.» (Ориентировочная протяженность ЛЭП – 0,20 км)</t>
  </si>
  <si>
    <t>«Строительство ВЛ 0,4 кВ от опоры №4-00/1 ВЛ 0,4 кВ Л-4 КТП 10/0,4 кВ №17 по ВЛ 10 кВ Л-1 Красный Партизан для электроснабжения объекта – «объект сельскохозяйственного производства», расположенного по адресу: Ростовская обл., Сальский район, в кадастровом квартале 61:34:0600001 с условным центром в п. Новостепной, кадастровый номер земельного участка: 61:34:0600001:2605, заявитель ИП Глава К(Ф)Х Брыкунов С.А. (Ориентировочная протяженность ЛЭП - 0,15 км)»</t>
  </si>
  <si>
    <t>«Строительство ВЛ 6 кВ от опоры 1-00/117 по ВЛ 6 кВ Л-1 Екатериновская, СТП 6/0,4 кВ и ВЛ 0,4 кВ для электроснабжения: объекта «домик отдыха», расположенного по адресу: Российская федерация, Ростовская обл., р-н. Сальский, п. Манычстрой, Левый берег реки Маныч 6 км. + 540 северо-западнее от разъезда «Маныч», кадастровый номер земельного участка 61:34:0600006:301, заявитель Перевозченко Н.А.» (Ориентировочная протяженность ЛЭП-0,07 км, ориентировочная мощность ТП-0,025 МВА)</t>
  </si>
  <si>
    <t>«Строительство участка ВЛИ 0,4 кВ от опоры 3-00/13 ВЛ 0,4 кВ Л-3  КТП 10/0,4 кВ №235 по ВЛ 10 кВ Л-2 Целинский ССК для электроснабжения объекта – «базовая станция сотовой связи БС-2701», расположенного по адресу: РФ, Ростовская область, Целинский район, х. Северный, ул. Молодежная, д. 92, с к.н. з.у.: 61:40:0031101:2459, заявитель ООО «Т2 Мобайл» (Ориентировочная протяженность ЛЭП-0,19 км)</t>
  </si>
  <si>
    <t>«Строительство ВЛ 0,4 кВ от опоры №2-00/15 ВЛ 0,4 кВ Л-2 КТП 10/0,4 кВ №215 по ВЛ 10 кВ Л-6 Ново-Егорлыкская для электроснабжения: «земельного участка», расположенного по адресу: 347615 Ростовская обл., р-н. Сальский, с. Новый Егорлык, ул. Фрунзе, д. 35, кадастровый номер земельного участка: 61:34:0110101:6958, заявитель Попчин Т.В.» (Ориентировочная протяженность ЛЭП - 0,02 км)</t>
  </si>
  <si>
    <t>«Строительство ВЛ 0,4 кВ от опоры №2-00/9 ВЛ-0,4 кВ Л-2 КТП-10/0,4кВ №892 по ВЛ-10 кВ Л-4 ПС Буденновская для электроснабжения объекта – «объект видеонаблюдения», расположенного по адресу: РФ, Ростовская обл., р-н. Пролетарский, СПК им. Красных Партизан, поле VII, py 29, к.н.: 61:31:0600009:673, заявитель ООО «Авис-Юг» (Ориентировочная протяженность ЛЭП – 0,165 км)</t>
  </si>
  <si>
    <t>«Строительство ВЛ 0,4 кВ от опоры №2-00/3-3 ВЛ 0,4 кВ Л-2 КТП 10/0,4 кВ №234 по ВЛ 10 кВ Л-3 Березовская для электроснабжения объекта –«объект сельскохозяйственного производства», расположенного по адресу: Ростовская обл., Сальский район, в кадастровом квартале 61:34:0600016 с условным центром в с. Березовка, кадастровый номер земельного участка 61:34:0600016:1321, заявитель Тесленко С.Н.» (Ориентировочная протяженность ЛЭП – 0,09 км)</t>
  </si>
  <si>
    <t>Строительство ВЛ 0,4 кВ от опоры №2-00/9 ВЛ 0,4 кВ Л-2 КТП 10/0,4 кВ № 416 по ВЛ 10 кВ Л-1 Южная, установка системы учета для технологического присоединения – «БС №61-03028», расположенной по адресу: РФ, Ростовская область, Песчанокопский район, п. Дальнее Поле, южнее земельного участка ул. Садовая, 2/1 к.н.: 61:30:0040101:93, заявитель ПАО «МТС» (Ориентировочная протяженность ЛЭП – 0,080 км)</t>
  </si>
  <si>
    <t>«Строительство ВЛИ 0,4кВ от существующей опоры 1-00/15 ВЛ 0,4кВ Л-1 КТП 10/0,4кВ №130 ВЛ 10кВ Л-2 Целинский ССК для технологического присоединения «жилой дом», расположенного по адресу: РФ, Ростовская область, Целинский район, х. Северный, ул. Молодежная, д. 44/1, к.н.з.у.:61:40:0031101:2414, заявитель Лохматов С.Н.»  (Ориентировочная протяженность ЛЭП-0,05 км)</t>
  </si>
  <si>
    <t>«Строительство ВЛИ 0,4 кВ от РУ 0,4 кВ КТП 10/0,4 кВ №239 ВЛ 10 кВ Л-1 Ольшанская и установка системы учета электрической энергии (мощности) на границе земельного участка для технологического присоединения «объект крестьянского (фермерского) хозяйства», расположенного по адресу: РФ, Ростовская область, Целинский район, с. Васильевка, Ольшанское сельское поселение, восточная окраина, к.н.з.у.:61:40:0600001:788, заявитель ИП глава КФХ Соннов А.А.» (Ориентировочная протяженность ЛЭП - 0,3 км)</t>
  </si>
  <si>
    <t>«Строительство ВЛ 0,4 кВ от опоры №1-00/10-2 ВЛ 0,4 кВ Л-2 КТП 10/0,4 кВ №160 по ВЛ 10 кВ Л-2 РП 21 С, для электроснабжения объекта – «автомобильная мойка», расположенного по адресу: Российская Федерация, Ростовская обл, р-н Сальский, п. Конезавод имени Буденного, ул. Комсомольская, д. 1-а, кадастровый номер земельного участка 61:34:0040101:3702, заявитель Мурсалиев Р.К.» (Ориентировочная протяженность ЛЭП – 0,03 км)</t>
  </si>
  <si>
    <t>«Строительство ВЛ 0,4 кВ от опоры №2-01/14 ВЛ 0,4 кВ Л-2 КТП 10/0,4 кВ    № 301 по ВЛ 10 кВ Л-3 Волочаевская, для электроснабжения объекта – «Вводно-распределительное устройство», расположенного по адресу: РФ, Ростовская область, Орловский район, п. Волочаевский, ул. Октябрьская, д. 49, к.н. з.у.: 61:29:0020101:1896, заявитель ИП Головко В.А. глава К(Ф)Х» (Ориентировочная протяженность ЛЭП – 0,046 км)</t>
  </si>
  <si>
    <t>«Строительство ТП 10/0,4 кВ от опоры №4-00/222 по ВЛ 10 кВ Л-4 Ново-Егорлыкская, строительство ВЛ 0,4 кВ от РУ 0,4 кВ вновь строящейся ТП 10/0,4 кВ для электроснабжения объекта –«жилой дом», расположенного по адресу: 347626 Российская Федерация, Ростовская область, Сальский район, с. Романовка, жт. Канал, д.1, кадастровый номер земельного участка 61:34:0140101:402, заявитель Хантуева З.М.» (Ориентировочная протяженность ЛЭП – 0,025 км, ориентировочная мощность ТП – 0,025 МВА)</t>
  </si>
  <si>
    <t>«Строительство ВЛ 6 кВ от опоры 1-00/13-3 по ВЛ 6 кВ Л-1 Фрунзе 3, МТП 6/0,4 кВ и ВЛ 0,4 кВ для электроснабжения: объекта «нежилой застройки», расположенного по адресу: Российская федерация, Ростовская обл., Сальский район, Манычское сельское поселение, кадастровый номер земельного участка 61:34:0600001:2970, заявитель Прудникова Л.Г.; объекта «нежилой застройки (хозяйственная постройка, нежилое здание)», расположенного по адресу: Российская федерация, Ростовская обл., Сальский район, Манычское сельское поселение, кадастровый номер земельного участка 61:34:0600001:2969, заявитель Копченко О.В.» (Ориентировочная протяженность ЛЭП-0,08 км, ориентировочная мощность ТП-0,04 МВА)</t>
  </si>
  <si>
    <t>«Строительство ВЛ 0,4 кВ от опоры №1-00/3-5 ВЛ 0,4 кВ Л-1 КТП 10/0,4 кВ №250 по ВО 10 кВ Л-3 РП 1П для электроснабжения объекта «дачный дом», расположенного по адресу: 347571, РФ, Ростовская область, Песчанокопский район, х. Солдатский, д.4, к.н.з.у.: 61:30:0010401:23, заявитель Полянский А.А.» (Ориентировочная протяженность ЛЭП-0,16 км)</t>
  </si>
  <si>
    <t>«Строительство ВЛ 0,4 кВ от опоры №1-00/2-3 ВЛ 0,4 кВ Л-1 КТП №76 по ВЛ 10 кВ Л-6 РП-1-6П для электроснабжения объекта «гараж», расположенного по адресу: Российская Федерация, Ростовская обл., р-н. Пролетарский, г. Пролетарск, ул. Московская, д. 23/45, заявитель Бабкин М.И.»</t>
  </si>
  <si>
    <t>«Строительство ВЛ 0,4 кВ от опоры №2-00/10 ВЛ-0,4 кВ Л-2 КТП 10/0,4 кВ № 130 по ВЛ-10 кВ Л-4 Уютная, для электроснабжения объекта – «дачный дом», расположенного по адресу: РФ, Ростовская область, Пролетарский район, ДНТ "Заречное", ул. Южная, д.273, к.н.з.у.: 61:31:0500401:27, заявитель Кириченко В.К.» (Ориентировочная протяженность ЛЭП – 0,62 км)»</t>
  </si>
  <si>
    <t>«Строительство ВЛ 0,4 кВ от КТП 10/0,4 кВ №304 по ВЛ 10 кВ Л-1 Краснополянская для электроснабжения объекта –«ангар», расположенного по адресу: 347565 Российская Федерация, Ростовская обл., р-н. Песчанокопский, с. Красная Поляна, ул. Владимирова, д. 38, к.н.з.у. 61:30:0050101:5442, заявитель ИП глава КФХ Ковтунов Е.Н.» (Ориентировочная протяженность ЛЭП – 0,025 км)</t>
  </si>
  <si>
    <t>Строительство ВЛ 10 кВ от опоры №1-00/183 ВЛ 10 кВ Л-1 Ивановская, строительство КТП 10/0,4 и ВЛ 0,4 кВ для электроснабжения объекта –«насосная станция», расположенного по адресу: РФ, Ростовская область, Сальский район, с. Ивановка, 6 км от с. Ивановка, стр. б/н, к.н.з.у. 61.34.0600018:0966, заявитель Колесников М.М.» (Ориентировочная протяженность ЛЭП - 4,41 км, ориентировочная мощность ТП – 0,025 МВА)</t>
  </si>
  <si>
    <t>Строительство ВЛ 10кВ от опоры №1-11/61 ВЛ 10кВ Л-1 Пролетарская, строительство КТП 10/0,4 и ВЛ 0,4кВ для электроснабжения объекта – «здание», расположенного по адресу: РФ, Ростовская область, Пролетарский район, Участок находится примерно в 11км по направлению на северо-восток от ориентира хутора М. Ельмута, расположенного за пределами участка, адрес ориентира, р-н Пролетарский, х. Мокрая Ельмута, к.н. 61:31:0600009:642, заявитель Зинченко А.Г.» (Ориентировочная протяженность ЛЭП-2,94км, ориентировочная мощность ТП-0,04МВА)</t>
  </si>
  <si>
    <t>Строительство ВЛ 0,4 кВ от опоры №3-00/16 ВЛ 0,4 кВ Л-3 КТП 10/0,4 кВ №182 по ВЛ 10 кВ Л-10 Сандатовская, для электроснабжения объекта – «ангар», расположенного по адресу: 347612 Российская Федерация, Ростовская обл, р-н Сальский, с. Сандата, ул. Социалистическая, д. 34, кадастровый номер земельного участка 61:34:0170101:2315, заявитель ИП Елисеев А.Г.» (Ориентировочная протяженность ЛЭП – 0,03 км)</t>
  </si>
  <si>
    <t>«Строительство ВЛИ 0,4 кВ от существующей опоры №1-00/10 ВЛ 0,4 кВ  Л-1 КТП 10/0,4 кВ №268 по ВЛ 10 кВ Л-3 Летницкая и установка системы учета электрической энергии (мощности) на границе земельного участка для электроснабжения объекта  «нежилого помещения», расположенного по адресу: 347568, РФ, Ростовская область, Песчанокопский район, с. Летник, ул. Мичурина, д. 43, кв 2, 3, 4, к.н.: 61:30:0060101:3576, заявитель АО «Почта России» (Ориентировочная протяженность ЛЭП-0,04 км)</t>
  </si>
  <si>
    <t>«Строительство ВЛИ 0,4 кВ от существующей опоры 1-00/10 ВЛ 0,4 кВ Л-1 КТП 10/0,4 кВ №296 ВЛ 10 кВ Л-3 Целинская для технологического присоединения «база строительных материалов», расположенного по адресу: РФ, Ростовская область, Целинский район, п. Целина, ул. Продольная, д. 7/1, к.н.з.у.:61:40:0010155:41, заявитель ИП Горлов С.А.» (Ориентировочная протяженность ЛЭП – 0,1 км)</t>
  </si>
  <si>
    <t>«Строительство ВЛ 0,4 кВ от опоры №4-00/3 ВЛ 0,4 кВ Л-4 КТП 10/0,4 кВ №389 по ВЛ 10 кВ Л-3 Чапаевская, для электроснабжения объекта – «объект крестьянского (фермерского) хозяйства», расположенного по адресу: 347626 Российская Федерация, Ростовская обл, р-н Сальский, с. Романовка, ул. Юбилейная, д. 16 а, кадастровый номер земельного участка 61:34:0140101:1587, заявитель ИП Ковалев А.А.» (Ориентировочная протяженность ЛЭП – 0,08 км)</t>
  </si>
  <si>
    <t>«Строительство ВЛ 10 кВ от опоры №16-00/22 ВЛ 10 кВ Л-16 Сальская, строительство ТП 10/0,4 и ВЛ 0,4 кВ для электроснабжения объекта – «объект сельскохозяйственного производства», расположенного по адресу: Российская Федерация, Ростовская обл., р-н Сальский, г. Сальск, ул. Мелиоративная, 9, кадастровый номер земельного участка 61:57:0010214:22, заявитель ООО «Сальская ярмарка»</t>
  </si>
  <si>
    <t>«Строительство ВЛ 10 кВ от опоры №6-00/59 ВЛ 10 кВ Л-6 Шаблиевская, строительство КТП 10/0,4 и ВЛ 0,4 кВ для электроснабжения объекта – «нежилая застройка», расположенного по адресу: РФ, Ростовская обл, р-н Сальский, 800м. на северо-запад от с. Шаблиевка, строение б/н, кадастровый номер земельного участка 61:34:0600009:5, заявитель Рыжков И.С.» (Ориентировочная протяженность ЛЭП – 0,260 км, ориентировочная мощность ТП – 0,025 МВА)»</t>
  </si>
  <si>
    <t>«Строительство ВЛ 10 кВ от опоры 1-01/36 ВЛ 10 кВ Л-1 ПС Уютная, строительство КТП 10/0,23 и ВЛ 0,23 кВ для электроснабжения объекта – «дачный дом», расположенного по адресу: РФ, Ростовская обл.,р-н. Пролетарский, СА "Уютная", отделение 3, контур 304, кадастровый номер земельного участка: 61:31:0600011:860, заявитель Огрызько Ю.В. (Ориентировочная протяженность ЛЭП – 1,11 км, ориентировочная мощность ТП – 0,010 МВА)»</t>
  </si>
  <si>
    <t>«Строительство ВЛ 0,4 кВ от ЗТП-10/0,4кВ №1248 по ВЛ-10 кВ Л-4 ПС КРС для электроснабжения объекта-«жилой дом», расположенного по адресу: РФ, Ростовская обл., р-н. Пролетарский, п. Опенки, ул. Каштанов, д.1, заявитель Просяная Т.Д.» (Ориентировочная протяженность ЛЭП-0,35 км)»</t>
  </si>
  <si>
    <t>«Строительство ВЛИ 0,4 кВ от существующей опоры 1-00/1 ВЛ 0,4 кВ Л-1 КТП 10/0,4 кВ №267 ВЛ 10 кВ Л-1 Ольшанская для технологического присоединения «складское здание/помещение», расположенного по адресу: РФ, Ростовская область, Целинский район, с. Ольшанка, Ольшанское сельское поселение, в границах СПК «Победа», поле №42, к.н.з.у.:61:40:0600001:1363, заявитель ИП глава КФХ Соннов А.А.»   (Ориентировочная протяженность ЛЭП-0,04 км)</t>
  </si>
  <si>
    <t>«Реконструкция ВЛ 0,4 кВ от опоры №1-00/19 ВЛ 0,4 кВ Л-1 КТП 10/0,4 кВ    № 325 по ВЛ 10 кВ Л-8 Орловская, для электроснабжения объекта – «Незавершенный строительством садовый дом», расположенного по адресу: РФ, Ростовская область, Орловский район, садовый массив «Луганка-1»,  ул. 1 линия, д. 25, к.н. з.у.: 61:29:500401:0017, заявитель Рыбалко В.В.»</t>
  </si>
  <si>
    <t>«Строительство ВЛ 0,4 кВ от опоры №2-01/4 ВЛ 0,4 кВ Л-2 КТП 10/0,4 кВ №148 по ВЛ 10 кВ Л-3 Уютная и установка системы учета электрической энергии (мощности) на границе земельного участка для электроснабжения объекта «нежилое помещение», расположенного по адресу: Российская Федерация, р-н. Пролетарский, х. Уютный, ул. Ленина, д. 29, кв.3, 3а, 4, кадастровый номер земельного участка: 61:31:0100101:1132, заявитель АО «Почта России» (Ориентировочная протяженность ЛЭП – 0,04 км)</t>
  </si>
  <si>
    <t>«Строительство ВЛ 0,4 кВ от опоры №2-00/15 ВЛ 0,4 кВ Л-2 КТП 10/0,4 кВ №131 по ВЛ 10 кВ Л-7 Ново-Егорлыкская, для электроснабжения объекта – «базовой станции сотовой связи №1058», расположенного по адресу: Российская Федерация, Ростовская обл, р-н Сальский, с. Новый Егорлык, рядом с земельным участком с кадастровым номером 61:31:0110101:6706, координаты: широта – 46,385018, долгота – 41,874968, кадастровый номер земельного участка 61:31:0110101, заявитель ООО «Т2 Мобайл» (Ориентировочная протяженность ЛЭП – 0,11 км)</t>
  </si>
  <si>
    <t xml:space="preserve">пообъектная расшифровка * </t>
  </si>
  <si>
    <t>Строительство ВЛ 0,4 кВ от новой ТП 10/0,4 кВ, строительство ТП 10/0,4 кВ, строительство ВЛ 10 кВ от ВЛ 10 кВ №1 ПС 110/35/10 кВ Чалтырь, для технологического присоединения нежилого здания Заявителя (ИП Мелконян С.М.) по адресу: Ростовская область, Мясниковский район, Краснокрымское сельское поселение, на землях колхоза «Дружба» к.н. №61:25:0600401:3579 (ориентировочная протяженность ЛЭП 0,015 км; мощность силового трансформатора 160 кВА)</t>
  </si>
  <si>
    <t>Строительство ВЛ 0,4 кВ от новой ТП 10/0,4 кВ, строительство ТП 10/0,4 кВ, строительство ВЛ 10 кВ от ВЛ 10 кВ №1/3 ПС 110/35/10 кВ «Троицкая-1», для технологического присоединения ЛЭП 0,4 кВ Заявителя (Жилин Е.Е.) по адресу: Ростовская область, Неклиновский район, с. Николаевка, ул. Чехова, 199-б, к.н. 61:26:0110101:8992 (ориентировочная протяженность ЛЭП 1,235 км; мощность силового трансформатора 63 кВА)</t>
  </si>
  <si>
    <t>Строительство ВЛ 0,4 кВ от РУ 0,4 кВ ТП 10/0,4 кВ, строительство ТП 10/0,4 кВ, строительство ВЛ 10 кВ от ВЛ 10 кВ №4/3 ПС 110/35/10 кВ «Троицкая-1» для технологического присоединения инженерной инфраструктуры Заявителя: (МКУ НР «УКС»), по адресу: Ростовская область, Неклиновский район, с. Троицкое, к.н. 61:26:0600014:1975 (ориентировочная протяженность ЛЭП 0,02 км; мощность силового трансформатора – 250 кВА)</t>
  </si>
  <si>
    <t>Строительство двух ВЛ 0,4 кВ, строительство двух ТП 10/0,4 кВ, строительство ВЛ 10 кВ от ВЛ 10 кВ №5 отпайки на ТП 10/0,4 кВ №5-51, запитанной от ВЛ 10 кВ №12 ПС 110/35/10 кВ Чалтырь, строительство ВЛ 10 кВ от ВЛ 10 кВ №3 отпайки на ТП 10/0,4 кВ №3-37 ПС 110/35/10 кВ Чалтырь, для технологического присоединения муниципального бюджетного детского образовательного учреждения Заявителя: (МУ «Отдел образования Администрации Мясниковского района») по адресу: Ростовская обл. Мясниковский р-н, с. Чалтырь, ул. Гайламазяна, д 19/2 к.н. 61:25:0101605:182 (ориентировочная протяженность ЛЭП -0,82 км; мощность силового трансформатора – 2х0,25 МВА)</t>
  </si>
  <si>
    <t>Строительство ВЛ 0,4 кВ от РУ 0,4 кВ новой ТП 10/0,4 кВ, строительство ТП 10/0,4 кВ, строительство ВЛ 10 кВ от ВЛ 10 кВ №6 ПС 110/35/10 кВ  Синявская до новой ТП 10/0,4 кВ, для технологического присоединения жилых домов заявителей Бурдейный В.П., Коваленко П.В., Горбенко Н.Н. по адресам: Мясниковский район, х. Веселый, ул. Русская 12,24,26 (ориентировочная протяженность ЛЭП - 0,46 км, ориентировочная мощность ТП – 63 кВА)</t>
  </si>
  <si>
    <t>Строительство ВЛ 0,4 кВ от РУ 0,4 кВ ТП 10/0,4 кВ, строительство ТП 10/0,4 кВ, строительство ВЛ 10 кВ от ВЛ 10 кВ №4 ПС 110/35/10 кВ Чалтырь, отпайки на ТП 10/0,4 кВ №4-25А, для технологического присоединения производственного здания Заявителя: (ООО «САН-АГРО»), по адресу: Мясниковский район, с. Крым, ул. 19-я линия, д. 26, корп. А, к.н. 61:25:0201019:496 (ориентировочная протяженность ЛЭП 0,120 км; мощность силового трансформатора – 160 кВА)</t>
  </si>
  <si>
    <t>Строительство ВЛ 0,4 кВ от РУ 0,4 кВ ТП 10/0,4 кВ, строительство ТП 10/0,4 кВ, строительство ВЛ 10 кВ от ВЛ 10 кВ №2 ПС 110/35/10 кВ Чалтырь, для технологического присоединения производственного здания Заявителя: (ООО «Железобетон»), по адресу: Мясниковский район, установлено относительно ориентира, расположенного в границах участка №3/6 к.н 61:25:0600401:8620. (ориентировочная протяженность ЛЭП 0,02 км; мощность силового трансформатора – 0,16 МВА)</t>
  </si>
  <si>
    <t>Строительство ВЛ 0,4 кВ от новой ТП 10/0,4 кВ, строительство ТП 10/0,4 кВ, строительство ВЛ 10 кВ от ВЛ 10 кВ №6 ПС 35/10 кВ «Покровская», для технологического присоединения нежилого помещения Заявителя (ИП Атоян А.Л.) по адресу: Ростовская область, Неклиновский район, с. Покровское, ул. Привокзальная, 1, к.н. 61:26:0050101:260 (ориентировочная протяженность ЛЭП 0,015 км; мощность силового трансформатора 160 кВА)</t>
  </si>
  <si>
    <t>Строительство ВЛ 0,4 кВ от РУ 0,4 кВ ТП 10/0,4 кВ, строительство ТП 10/0,4 кВ, строительство ВЛ 10 кВ от ВЛ 10 кВ №6 ПС 35/10 кВ Б.Салы, отпайки на ТП 10/0,4 кВ №6-3 для технологического присоединения жилых домов Заявителя: (Явруев А.Х.), по адресу: Мясниковский район, х. Красный Крым, ул. Пшеничная, (ориентировочная протяженность ЛЭП 0,56 км; мощность силового трансформатора – 630 кВА)</t>
  </si>
  <si>
    <t>Строительство ВЛ 0,4 кВ от РУ 0,4 кВ ТП 10/0,4 кВ, строительство ТП 10/0,4 кВ, строительство ВЛ 10 кВ от ВЛ 10 кВ №7 ПС 110/35/10 кВ Синявская для технологического присоединения жилых домов Заявителей: (Трофименко А.И., Долгова Т.Ю.), по адресу: Мясниковский район, х. Недвиговка, ул. Молодежная, д. 29/в, 28/ж, к.н. 61:25:0070101:4521, 61:25:0070101:4702 (ориентировочная протяженность ЛЭП 0,22 км; мощность силового трансформатора – 160 кВА)</t>
  </si>
  <si>
    <t>Строительство ВЛ 0,4 кВ от новой ТП 10/0,4 кВ, строительство ТП 10/0,4 кВ, строительство ВЛ 10 кВ от ВЛ 10 кВ №4 ПС 110/35/10 кВ Чалтырь, для технологического присоединения Заявителей (Халамбашян Л.Г., ИП Халамбашян В.Х.) по адресу: Ростовская область, Мясниковский район, с. Крым (ориентировочная протяженность ЛЭП 0,520 км; мощность силового трансформатора 40 кВА)</t>
  </si>
  <si>
    <t xml:space="preserve">Строительство 2-х ВЛ 0,4 кВ от новой ТП 10/0,4 кВ, строительство ТП 10/0,4 кВ, строительство ВЛ 10 кВ от ВЛ 10 кВ № 2 ПС 35/10 кВ «Троицкая», для технологического присоединения нежилых помещений Заявителей (ИП Цыганенко Е.В. и ИП Кириченко Е.Н.) по адресу: Ростовская область, Неклиновский район, с. Троицкое, к.н. 61:26:060014:320 и к.н. 61:26:060014:321 (ориентировочная протяженность ЛЭП 1,23 км; мощность силового трансформатора 250 кВА) </t>
  </si>
  <si>
    <t>Строительство двух ВЛ 0,4 кВ, строительство 2-х трансформаторной ТП 10/0,4 кВ, строительство ВЛ 10 кВ от ВЛ 10 кВ №7 ПС 35/10 кВ Петровская, строительство ВЛ 10 кВ от ВЛ 10 кВ №2 ПС 35/10 кВ Петровская, для технологического присоединения муниципального бюджетного детского образовательного учреждения Заявителя: (МУ «Отдел образования Администрации Мясниковского района») по адресу: Ростовская обл. Мясниковский р-н, сл. Петровка, ул. Южная, д 9 к.н. 61:25:0080101:1680 (ориентировочная протяженность ЛЭП -1,04 км; мощность силового трансформатора – 2х0,16 МВА)</t>
  </si>
  <si>
    <t>Строительство ВЛ 10 кВ от ВЛ 10 кВ №7 ПС 35/10 кВ «Русский Колодец», для технологического присоединения нежилого здания Заявителя (ООО «ПК-ЭНЕРГО») по адресу: Ростовская область, Неклиновский район, х. Русский Колодец, 100 м на юг от ул. Мирная, к.н. 61:26:0600023:417 (ориентировочная протяженность ЛЭП 0,017 км)</t>
  </si>
  <si>
    <t>«Строительство ВЛ 10кВ от ВЛ 10кВ №3 ПС 35/10кВ "Советка" для электроснабжения административных и офисных зданий Заявителя (Иваненко Д.О.) по адресу: Ростовская область, Неклиновский район, с. Самбек, СПК к-з "Колос", поле №101, к.н. 61:26:0600015:1217 (ориентировочная протяженность ЛЭП 0,05км)</t>
  </si>
  <si>
    <t>«Строительство ВЛ 0,4 кВ от РУ 0,4 кВ ТП 10/0,4 кВ, строительство ТП 10/0,4 кВ, строительство ВЛ 10 кВ от ВЛ 10 кВ №12 ПС 110/35/10 кВ Чалтырь, для технологического присоединения Заявителя: (Донченко А.П.), по адресу: Мясниковский район, с. Чалтырь, ул. Пионерская (ориентировочная протяженность ЛЭП – 0,54 км, мощность силового трансформатора – 250 кВА)»</t>
  </si>
  <si>
    <t>Строительство ВЛ 0,4 кВ от РУ 0,4 кВ проектируемого ТП 10/0,4 кВ, строительство ТП 10/0,4 кВ, строительство ВЛ 10 кВ от ВЛ 10 кВ №7 ПС 35/10 кВ Б. Салы, для технологического присоединения нежилой застройки (крематорий) Заявителя: (ООО «Омская Мемориальная Организация») по адресу: Ростовская обл. Мясниковский р-н, земли колхоза «Колос» к.н. 61:25:0600501:1515 (ориентировочная протяженность ЛЭП - 0,02 км; мощность силового трансформатора – 0,4 МВА)</t>
  </si>
  <si>
    <t>Строительство ВЛ 0,4 кВ от РУ 0,4 кВ ТП 10/0,4 кВ, строительство ТП 10/0,4 кВ, строительство ВЛ 10 кВ от ВЛ 10 кВ №1 ПС 110/35/10 кВ Чалтырь, отпайки на ТП 10/0,4 кВ №1-38А для технологического присоединения жилых домов Заявителей: (Курбанов М.К., Гаджибаев М.Э., Алиева С.М., Габибуллаев А.И., Акопян А.Р. Шубина С.Н., Гаджифейтуллаева Б.Г., Алиева М.Г., Гаджибалаева Д.С., Масимова Э.З., Масимов К.Т.) (ориентировочная протяженность ЛЭП 1,05 км; мощность силового трансформатора – 250 кВА)</t>
  </si>
  <si>
    <t>Строительство ВЛ 10 кВ от ВЛ 10 кВ №2 ПС 110/10 кВ «Самбек», строительство КВЛ 10 кВ от ВЛ 10 кВ №5 ПС 110/10 кВ «Самбек» для технологического присоединения очистных сооружений Заявителя: (МКУ НР «УКС»), по адресу: Ростовская область, Неклиновский район, с. Самбек, ул. Спортивная, 4, к.н. 61:58:0600015:3818 (ориентировочная протяженность ЛЭП 6,8 км)</t>
  </si>
  <si>
    <t xml:space="preserve">Строительство участка ВЛЗ-6 кВ от опоры №154 ВЛ-6 кВ №1 ПС 35/6 кВ Романовская, с установкой ТП-6/0,4 кВ и строительство ВЛИ-0,4 кВ от РУ-0,4 кВ вновь установленной ТП-6/0,4 кВ  для присоединения жилых домов Ястребова В.Г. и Усова А.А., расположенных по адресу: Ростовская область, Волгодонской район, г. Волгодонск, ул. Отдыха (ориентировочная протяженность ЛЭП 0,426 км, ориентировочная мощность трансформатора 250 кВА) </t>
  </si>
  <si>
    <t>Строительство участка ВЛЗ-6 кВ от опоры №10/7 ВЛ-6 кВ №6 ПС 35/6 кВ Потаповская,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зернохранилища ООО «Русский продукт», расположенного по адресу: Ростовская область, Волгодонской район, станица Каргальская, 2400 м севернее ж.д. №67 ул. Центральная, к.н.з.у. 61:08:0600601:3987 (ориентировочная протяженность ЛЭП 2,26 км, ориентировочная мощность трансформатора 160 кВА)</t>
  </si>
  <si>
    <t>Строительство участка ВЛЗ-6 кВ от опоры №2/2 по ВЛ-6 кВ №42 ПС 110/10/6 кВ ЮЗР,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производственной базы ИП Шаповалова С.С., расположенной по адресу: Ростовская область, г. Волгодонск, Ростовское шоссе, 1, к.н.з.у. 61:48:0080104:307 (ориентировочная протяженность ЛЭП 0,15 км, ориентировочная мощность трансформатора 0,25 МВА, количество приборов коммерческого учета – 1 шт)</t>
  </si>
  <si>
    <t xml:space="preserve"> Строительство ВЛИ-0,4 кВ от вновь построенной ТП 10/0,4 кВ подключенной к вновь построенной ВЛ-10кВ от ВЛ-10кВ Комплекс ПС 110/35/10 Ш-34 для присоединения вагончика ИП Лукьянова М.А. в ст. Мелиховская Усть-Донецкого района (ориентировочная протяженность ЛЭП 0,250 км, ориентировочная мощность трансформатора 25 кВА)</t>
  </si>
  <si>
    <t>Строительство ТП-10/0,4 от существующей опоры № 26 ВЛ 10 кВ Каменный Брод от ПС 110/10 кВ АС-12, и ВЛИ-0,4 кВ от вновь установленной ТП-10/0,4 кВ для присоединения садового домика Белакина В.В. (ориентировочная протяженность ЛЭП 0,005 км, ориентировочная мощность трансформатора 250 кВА)</t>
  </si>
  <si>
    <t>Строительство участка ВЛЗ10 кВ от ВЛ10 кВ Придонский ПС 110/35/10 Ш-34, с установкой ТП 10/0,4 кВ, и строительство ВЛИ 0,4 кВ от вновь установленной ТП 10/0,4 кВ для присоединения ВРУ-0,4 кВ карьера, ООО Фирма «Стройпроект» в ст. Мелиховская Усть-Донецкого района (ориентировочная протяженность ЛЭП 1,285 км, ориентировочная мощность трансформатора 0,25 МВА)</t>
  </si>
  <si>
    <t>Строительство ВЛИ-0,4 кВ от оп.22 ВЛ 0,4 кВ № 1 от ТП 10/0,4кВ № 134 по ВЛ-10кВ «Заря» ПС Н-9, для электроснабжения магазина ИП Головкова В.М.по адресу: сл. Родионово-Несветайская, ул. 30 лет Победы, д. 31В (ориентировочная протяженность ЛЭП – 0,050 км)</t>
  </si>
  <si>
    <t xml:space="preserve"> Строительство ТП-10/0,4, ВЛ-10 кВ от существующей оп. №150 ВЛ 10 кВ Федоровка ПС С-5, и ВЛИ-0,4 кВ от вновь установленной ТП-10/0,4 кВ для присоединения строительной площадки, Ростовская обл, Красносулинского района, СПК «Федоровский», в 830 м на юго-запад от х. Большая Федоровка (ориентировочная протяженность ЛЭП 0,095 км, ориентировочная мощность трансформатора 25 кВА)</t>
  </si>
  <si>
    <t>Строительство ТП-6/0,4, ЛЭП-6 кВ от оп. №60 ВЛ 6 кВ Кривянка ПС Ш-43, и ВЛИ-0,4 кВ от вновь установленной ТП-6/0,4 кВ для присоединения девяти жилых домов (Цебенко П.С., Пудов Ю.В., Каклюгина Н.И., Бобернага О.В., Страданченков В.И., Пятаков А.М., Чернов А.С., Болдырева Т.Н., Пудов Т.А.) по адресу: Октябрьский район, ст. Кривянская, ул. Кирпичная (ориентировочная протяженность ЛЭП 0,7 км, ориентировочная мощность трансформатора 160 кВА)</t>
  </si>
  <si>
    <t xml:space="preserve"> Строительство ТП-6/0,4, ЛЭП-6 кВ от оп. №12 отпайки к КТП №275 по ВЛ 6 кВ Кривянка ПС Ш-40, и ВЛИ-0,4 кВ от вновь установленной ТП-6/0,4 кВ для присоединения объекта крестьянского (фермерского) хозяйства ИП Александрова Б.Б. по адресу: Октябрьский район, ст. Кривянская, на поле №11(ориентировочная протяженность ЛЭП 1,010 км, ориентировочная мощность трансформатора 25 кВА)</t>
  </si>
  <si>
    <t>Строительство участка ВЛ-10 кВ от существующей оп. №199 по ВЛ-10 кВ «Федоровка» от ПС С-5, с установкой ТП-10/0,4 кВ, и строительство ВЛИ-0,4 кВ от вновь установленной ТП-10/0,4 кВ для присоединения ВРУ-0,4 кВ освещения, офисных помещений и бытовых помещений, Ростовская обл, Красносулинский район, в 2,7км севернее х. Большая Федоровка (ООО Карьер) (ориентировочная протяженность ЛЭП 1,845 км, ориентировочная мощность трансформатора 250 кВА)</t>
  </si>
  <si>
    <t>Строительство участка ВЛ-10 кВ от опоры № 9, ВЛ-10 кВ № 2, ПС 35/10 кВ «Нижнепоповская», ТП 10/0,4 кВ и участка ВЛ-0,4 кВ от РУ-0,4 кВ новой ТП 10/0,4 кВ, для электроснабжения ВНС Администрации Белокалитвинского района, расположенного по адресу: Ростовская обл., Белокалитвинский р-н, х. Нижнепопов к.н. 61:04:0600013:997. (ориентировочная протяженность ЛЭП – 0,200 км, ориентировочная мощность ТП – 0, 063 МВА, прибор учёта  электроэнергии - 1шт</t>
  </si>
  <si>
    <t>30,3</t>
  </si>
  <si>
    <t>Строительство участка ВЛ-10 кВ от опоры № 50 ВЛ-10 кВ № 3, ПС 35/10 кВ «Калитвенская», ТП 10/0,4 кВ и участка ВЛ-0,4 кВ от РУ-0,4 кВ проектируемого ТП 10/0,4 кВ для подключения скважины Кудинова С.С., расположенной по адресу: Ростовская обл., Каменский р-н, ООО «Донецкие Зори», уч. № 84,7 ку, к. н.:61:15:602201:0760 (ориентировочная протяженность ЛЭП - 1,205 км, ориентировочная мощность ТП – 0,025 МВА)</t>
  </si>
  <si>
    <t>4603</t>
  </si>
  <si>
    <t>Строительство участка ВЛ-10 кВ от опоры № 24, отпайка Л-527, ВЛ-10 кВ № 4, ПС 35/10 кВ «Колушкинская», ТП 10/0,4 кВ и ВЛ-0,4 кВ от РУ-0,4 кВ проектируемой ТП 10/0,4 кВ, для подключения строящегося помещения ИП Главы К(Ф)Х Давыденко С.Я, для содержания животных, расположенного по адресу: Ростовская обл., Тарасовский р-н, Ефремово-Степановское сельское поселение, 2,2 км на юго-запад от х. Нижнемакеевский, КН ЗУ 61:37:060008:910 (ориентировочная протяженность ЛЭП –0,03 км, трансформаторная мощность – 0,025 МВА, прибор учёта электроэнергии - 1шт)</t>
  </si>
  <si>
    <t>16</t>
  </si>
  <si>
    <t>4604</t>
  </si>
  <si>
    <t>Строительство участка ВЛ-10 кВ от опоры № 7, отпайка Л-183, ВЛ-10 кВ №3, ПС 110/35/10 кВ «Чеботовская», ТП 10/0,4 кВ и ВЛ-0,4 кВ от РУ-0,4 кВ проектируемой ТП 10/0,4 кВ, для подключения телятника ООО «Деметра», расположенного по адресу: Ростовская обл., Тарасовский р-н, х. Зеленовка, ул. Центральная, д. 85 а, КН ЗУ 61:37:0600021:1327 (ориентировочная протяженность ЛЭП –0,19 км, трансформаторная мощность – 0,063 МВА, прибор учёта электроэнергии - 1шт)</t>
  </si>
  <si>
    <t>25</t>
  </si>
  <si>
    <t>Строительство участка ВЛ-10 кВ от опоры № 7, ВЛ-10 кВ № ДКУ, ПС 110/35/10 кВ «Б-4», ТП 10/0,4кВ и участка ВЛ-0,4кВ от РУ-0,4 кВ проектируемого ТП 10/0,4 кВ для подключения объекта крестьянского (фермерского) хозяйства Байкова Н.Н. расположенного по адресу: Ростовская обл., Каменский р-н, х. Богданов, ТсОО им. Кирова, пастбище р.у. 7, к.н.з.у. 61:15:0602501:1372 (ориентировочная протяженность ЛЭП – 0,353 км,трансформаторная мощность – 0,063МВА,прибор учёта электроэнергии 40 кВт- 1шт)</t>
  </si>
  <si>
    <t>Строительство участка ВЛ-10кВ от опоры № 81, ВЛ-10кВ № 2, ПС 110/35/10/6кВ «К-4», ТП 10/0,4кВ и участка ВЛ-0,4кВ от РУ-0,4кВ новой   ТП 10/0,4кВ для подключения магазина Кривогузовой Т.Н., расположенного по адресу: Ростовская обл., Каменский р-н, х. Красновка, ул. Профильная, д. №1, корп. А, к.н.з.у. 61:15:0080109:1309 (ориентировочная протяженность ЛЭП – 0,205км, трансформаторная мощность – 0,100МВА, прибор учёта электроэнергии - 1шт.)</t>
  </si>
  <si>
    <t>90</t>
  </si>
  <si>
    <t>«Строительство участка ВЛ-10 кВ от опоры № 20 отпайка Л-361 ВЛ-10 кВ  № 1, ПС 35/10 кВ «Тарасовская СХТ», ТП 10/0,4 кВ и участка ВЛ-0,4 кВ от РУ-0,4 кВ новой ТП 10/0,4 кВ, для подключения строящегося склада ИП Рудаков Д.В., расположенного по адресу: Ростовская обл., Тарасовский р-н, сл. Дячкино, к.н.з.у. 61:37:0600012:1523 (ориентировочная протяженность ЛЭП – 2,76 км, ориентировочная мощность ТП – 0,16 МВА)»</t>
  </si>
  <si>
    <t>Строительство участка ВЛ-10 кВ от опоры № 16, отпайка Л-РК 58, ВЛ-10 кВ № 1, ПС 35/10 кВ «Митякинская», ТП 10/0,4 кВ и ВЛ-0,4 кВ от РУ-0,4 кВ новой ТП 10/0,4 кВ, для подключения жилых домов Лаврухиной Л. В., Кузьмичевой М. И., Талалаевой С. В., Дзюбенко В. М., расположенных по адресу: Ростовская обл., Тарасовский р-н, х. Верхний Митякин, ул.Заречная, жилые дома № 57 (к.н.з.у. 61:37:0060101:367),  № 59 (к.н.з.у. 61:37:0060101:369), № 61 (к. н.з.у. 61:37:0060101:382) ,     № 58 (к.н.з.у.61:37:000000:4179) (ориентировочная протяженность ЛЭП –0,53 км, трансформаторная  мощность – 0,1 МВА, прибор учёта электроэнергии – 4 шт)</t>
  </si>
  <si>
    <t>Строительство участка ВЛ-10 кВ от опоры № 20, отпайка Л-361, ВЛ-10 кВ №1, ПС 35/10 кВ «Тарасовская СХТ», ТП 10/0,4 кВ и ВЛ-0,4 кВ от РУ-0,4 кВ проектируемой ТП 10/0,4 кВ, для подключения освещения территории строящегося придорожного комплекса  Геворкяна Г.В., расположенного по адресу: Ростовская обл., Тарасовский р-н, Дячкинское сельское поселение, разъезд Дяткино, территория Сервисная, земельный участок № 4, КН ЗУ 61:37:0600012:1539 (ориентировочная протяженность ЛЭП –0,05 км, трансформаторная мощность – 0,16 МВА, прибор учёта электроэнергии 100 кВт - 1шт)</t>
  </si>
  <si>
    <t>100</t>
  </si>
  <si>
    <t>Строительство участка КВЛ-10 кВ от опоры № 42, ВЛ-10 кВ № 1, ПС 35/10 кВ «Глубокинская», ТП 10/0,4 кВ и участка ВЛ-0,4 кВ от РУ-0,4 кВ новой ТП 10/0,4 кВ, для подключения электрической зарядной станции для электромобилей АО «Ситроникс», расположенной по адресу: Ростовская обл., Каменский р-н, р.п. Глубокий, а/д М-4 «Дон» в 30 м от дорожного полотна слева, АЗС Лукойл 31362, к.н.з.у. 61:15:0010106:127 (ориентировочная протяженность ЛЭП – 0,472 км, трансформаторная мощность – 0,160 МВА, прибор учёта электроэнергии - 1 шт.)</t>
  </si>
  <si>
    <t>Строительство ВЛ-10 кВ от опоры № 3/49 по ВЛ-10 кВ № 6 ПС 110/35/10 кВ «Ал. Лозовская», установка КТП- 10/04 кВ и строительство ВЛ- 0,4 кВ, установка прибора коммерческого учета электрической энергии (мощности) в точке поставки и установка шкафа 0,4 кВ с коммутационным аппаратом, строительство ВЛ-10 кВ от опоры № 35 по ВЛ-10 кВ № 9 ПС 110/35/10 кВ «Ал. Лозовская», установка КТП-10/04 кВ и строительство ВЛ-0,4 кВ, установка прибора коммерческого учета электрической энергии (мощности) в точке поставки и установка шкафа 0,4 кВ с коммутационным аппаратом, для технологического присоединения МБДОУ Алексеево-Лозовский детский сад II категории, заявитель Отдел образования Администрации Чертковского района, расположенного в Ростовской области, Чертковский р-н, с. Алексеево-Лозовское, ул. Спортивная, д. 3-в,  (61:42:0010101:3801) (ориентировочная   протяженность ЛЭП – 1,9 км, ориентировочная мощность 2-х ТП – 0,5 МВА (2х0,25)</t>
  </si>
  <si>
    <t>Строительство ВЛ-10 кВ от опоры №13/46 отпайки на ТП10/04 кВ № 0217(на балансе ООО «ЛУКОЙЛ-Югнефтепродукт») по ВЛ-10 кВ №1 ПС 110/10 кВ «Дегтевская» с установкой КТП и строительством ВЛ-0,4 кВ, установка коммерческого учета (1 шт.) электрической энергии (мощности) в точке поставки и установка шкафа 0,4 кВ с коммутационными аппаратами, для электроснабжения электрической зарядной станции Заявителя, АО «Ситроникс» расположенной в Ростовской области, Миллеровский р-н, а/д М4 Дон с южной стороны от х. Грай-Воронец, 824 км+500 м слева, координаты 49.163482, 40.597913 (к.н.з.у. 61:22:600006:439), (ориентировочная протяженность ЛЭП – 0,015 км, ориентировочная мощность ТП – 0,160 МВА)</t>
  </si>
  <si>
    <t xml:space="preserve">Строительство КТПН 10/0,4 кВ, ВЛ 0,4 кВ, ВЛ 10 кВ от ВЛ 10 кВ №403 ПС 110 кВ АС4 для электроснабжения ВРУ 0,4 кВ жилых домов по ул. Крымская в х. Ленина Аксайского района Ростовской области </t>
  </si>
  <si>
    <t xml:space="preserve">Строительство КТП 10/0,4 кВ, ВЛ 0,4 кВ, ВЛ 10 кВ от ВЛ 10 кВ №705 ПС 35 кВ БГ7 для электроснабжения насосной станции Гучучалиева К.Г. по адресу: Ростовская обл., р-н. Багаевский, местоположение установлено относительно ориентира, расположенного в границах участка. Ориентир от п. Садовый. Участок находится примерно в 2 км от ориентира по направлению на северо-запад, к.н.: 61:03:0600010:69. </t>
  </si>
  <si>
    <t>Строительство ТП 6/0,4 кВ, ВЛ 0,4 кВ, ВЛ 6 кВ от ВЛ 6 кВ №3 РП 6 кВ №6 КЛ 6 кВ №340 ПС 110 кВ БТ3 для электроснабжения ВРУ 0,22 кВ жилых домов Марченко А. Г. в п. Красный Сад Азовского района Ростовской области</t>
  </si>
  <si>
    <t xml:space="preserve">Строительство ТП 10/0,4 кВ, ВЛ 10 кВ, ВЛ 0,4 кВ от опоры №217  ВЛ 10 кВ №125 ПС 110 кВ СМ1 для электроснабжения ВРУ-0,4 кВ на земельном участке, заявителя: Денисовой Ирины Ивановны по адресу: Ростовская область, Семикаракорский  район,  Семикаракорское лесничество ,Семикаракорское участковое лесничество, квартал 59 выд.17 к.н.:61:35:0600004:195  </t>
  </si>
  <si>
    <t>Строительство ВЛ 10 кВ от ВЛ 10 кВ №105 ПС 110 кВ АС1, установка пункта коммерческого учета для электроснабжения жилого дома Фролова А. В. по адресу: Ростовской обл., р-н Аксайский, х. Рыбацкий, ул. Новая, 45, участок с КН 61:02:0110301:218 (ориентировочная протяженность ЛЭП 0,21 км)</t>
  </si>
  <si>
    <t xml:space="preserve">Строительство ТП 6/0,4 кВ, ВЛ 0,4 кВ, ВЛ 6 кВ от ВЛ 6 кВ №807 ПС 35 кВ АС7 для электроснабжения складского здания/помещения ИП Варламовой Т. Н. на участке с КН 61:02:0010201:6894 в х. Большой Лог Аксайского района Ростовской области </t>
  </si>
  <si>
    <t xml:space="preserve">Строительство ВЛ 0,4 кВ от проектируемой ВЛ 0,4 кВ (по договору №61-1-19-00461385 от 25.09.2019 г.) КТПН 10/0,4 кВ ВЛ 10 кВ №1203 ПС 110 кВ АС12 для электроснабжения ВРУ 0,4 кВ жилого дома Чемериченко К. В. в совх. Каменобродский Родионово-Несветайского района Ростовской области </t>
  </si>
  <si>
    <t xml:space="preserve">Строительство ТП 10/0,4 кВ, ВЛ 10 кВ, ВЛ 0,4 кВ от ВЛ 10 кВ №1005 ПС 110 кВ АС10 для электроснабжения складов ООО “Горизонт” на участках с КН 61:02:0600002:929, 61:02:0600002:2420 в ст-це Грушевская Аксайского района Ростовской области </t>
  </si>
  <si>
    <t xml:space="preserve">Строительство ТП 10/0,4 кВ, ВЛ 10 кВ, ВЛ 0,4 кВ от опоры №352  ВЛ 10 кВ №255 ПС 110 кВ БГ2 для электроснабжения складов сельскохозяйственной продукции ООО «Ритм»  по адресу: Ростовская обл., Аксайский район, АО «Заречное», поле 33 к.н.: 61:02:0600019:1255, к.н: 61:02:0600019:1261, к.н. 61:02:0600019:1213  </t>
  </si>
  <si>
    <t xml:space="preserve">Строительство КТП 10/0,4 кВ, ВЛ 0,4 кВ, ВЛ 10 кВ от ВЛ 10 кВ №1208 ПС 110 кВ АС12 для электроснабжения ВРУ 0,4 кВ жилых домов Полулях С. А. в п. Щепкин Аксайского района Ростовской области </t>
  </si>
  <si>
    <t xml:space="preserve">Строительство ТП 10/0,4 кВ, ВЛ 0,4 кВ, ВЛ 10 кВ от ВЛ 10 кВ №653 ПС 110 кВ АС6 для электроснабжения ВРУ 0,4 кВ жилых домов по ул. Ласточкина, 11, 13, 15 в х. Краснодворск Аксайского района Ростовской области </t>
  </si>
  <si>
    <t xml:space="preserve">Строительство ТП 6/0,4 кВ, ВЛ 0,4 кВ, ВЛ 6 кВ от ВЛ 6 кВ №807 ПС 35 кВ АС8 для электроснабжения ВРУ 0,4 кВ нежилой застройки Чевычалова А. И. на участке с КН 61:02:0600011:1281 в х. Большой Лог Аксайского района Ростовской области </t>
  </si>
  <si>
    <t xml:space="preserve">Строительство ЛЭП 10 кВ от КЛ 10 кВ №3Ф6 РП 10 кВ №3 КЛ 10 кВ №1532 и №1546 ПС 110 кВ АС15, установка ПКУ и прибора учета в РУ ТП 10/0,4 кВ Заявителя для электроснабжения производственного здания/помещения ИП Балаева Р. Г. и складского здания ООО «Вельтпласт-Дон» на участках с КН 61:02:0120101:19, 61:02:120101:0005  в г. Аксае </t>
  </si>
  <si>
    <t xml:space="preserve">Строительство ТП 10/0,4 кВ, ВЛ 0,4 кВ, ВЛ 10 кВ от ВЛ 10 кВ №125 ПС 110 кВ СМ1 для электроснабжения ВРУ-0,4 кВ жилого дома заявителя Худотеплова А.С. по адресу: Ростовская обл., р-н. Семикаракорский, г. Семикаракорск, ул. Серегина, д.64, а к.н.: 61:35:0110205:634., </t>
  </si>
  <si>
    <t>Строительство ВЛ-0,4 кВ от КТП-6/0,4 кВ  № 303 по КЛ-6 кВ № 927 ПС-110/6 кВ " Т-9 " до границы земельного участка Заявителя ( Скорикова В. В. )</t>
  </si>
  <si>
    <t>Строительство ВЛ 0,4 кВ от ВЛ 0,4 кВ №1 КТП 10/0,4 кВ №511А ВЛ 10 кВ №3 ПС 110/10 кВ «Лиманная» для технологического присоединения жилого дома Заявителя (Арустамян Н.А.) по адресу: Ростовская область, Неклиновский район, х. Лотошники, пер. Веселый, 1-а, к.н. 61:26:0600013:1076 (ориентировочная протяженность ЛЭП 0,28 км)</t>
  </si>
  <si>
    <t>Строительство ВЛ 0,4 кВ от ВЛ 0,4 кВ №1 КТП №357 ВЛ 10 кВ №7 ПС 110/10 кВ «Самбек» для технологического присоединения жилого дома Заявителя (Соловьев А.А.) по адресу: Ростовская область, Неклиновский район, ст. Морская, ул. Ленина, 1/2-а-г, к.н. 61:26:0120301:193 (ориентировочная протяженность ЛЭП 0,24 км)</t>
  </si>
  <si>
    <t>Строительство ВЛ 0,4 кВ от ВЛ 0,4 кВ №1 КТП 10/0,4 кВ №660 ВЛ 10 кВ №3 ПС 110/10 кВ «Самбек» для технологического присоединения энергопринимающих устройств Заявителей: Муртазин М.Р., Клычникова Е.В., Хачатрян Л.В., Недашковская Л.В., Рудаков В.А., Манджари А.Р., Викулина Е.В., Гаспарян В.Л., Ювакаева А.В., Шакер М., Хидешели М.В. в с. Самбек Неклиновского района Ростовской области (ориентировочная протяженность ЛЭП 0,45 км)</t>
  </si>
  <si>
    <t>Строительство ВЛ 0,4 кВ от ВЛ 0,4 кВ №2 ТП 10/0,4 кВ №413Ам по ВЛ 10 кВ №4 ПС 35/10 кВ «Русский Колодец» для технологического присоединения жилого дома Заявителя (Назарян М.Г.) по адресу: Ростовская область, Неклиновский район, с. Боцманово, проезд. Сквозной, 1, к.н. 61:26:0070801:1854 (ориентировочная протяженность ЛЭП 0,2 км)</t>
  </si>
  <si>
    <t>Строительство ВЛ 0,4 кВ от ЗТП 10/0,4 кВ №198 ВЛ 10 кВ №5/3 ПС 110/35/10 кВ «Троицкая-1» для технологического присоединения участка сельхозпереработки Заявителя (ИП Аракелян К.К.) по адресу: Ростовская область, Неклиновский р-н, с. Троицкое, ул. Ленина, 198, к.н. 61:26:0600014:1979 (ориентировочная протяженность ЛЭП 0,24 км)</t>
  </si>
  <si>
    <t>Строительство двух ВЛ 0,4 кВ от РУ 0,4 кВ ТП 10/0,4 кВ, строительство ТП 10/0,4 кВ, строительство ВЛ 10 кВ от ВЛ 10 кВ №5/3 ПС 110/35/10 кВ «Троицкая-1» для технологического присоединения производственных объектов Заявителей: (ИП Бадаков А.С., ИП Гребенников А.Н.), по адресу: Ростовская область, Неклиновский район, с. Николаевка, ул. Пушкина, 132, к.н. 61:58:0600014:1309, к.н. 61:58:0600014:1308 (ориентировочная протяженность ЛЭП 0,52 км; мощность силового трансформатора – 400 кВА)</t>
  </si>
  <si>
    <t>Строительство ВЛ 0,4 кВ от новой ТП 10/0,4 кВ, строительство ТП 10/0,4 кВ, строительство ВЛ 10 кВ от ВЛ 10 кВ №8 ПС 35/10 кВ «Русский Колодец», для технологического присоединения объектов Заявителей в х. Русская Слободка, ул. Маршала СССР А.И. Покрышкина (ориентировочная протяженность ЛЭП 0,5 км; мощность силового трансформатора 0,16 МВА)</t>
  </si>
  <si>
    <t>Строительство ВЛ 0,4 кВ от РУ 0,4 кВ ТП 10/0,4 кВ №6-10 по ВЛ 10 кВ №6 ПС 35/10 кВ Б. Салы, для технологического присоединения жилого дома Заявителя (Мирзоян П.Г.) по адресу: Ростовская область, Мясниковский район, с. Большие Салы, ул. Центральная, д. 23, к.н. №61:25:0600501:1726 (ориентировочная протяженность ЛЭП 0,21 км)</t>
  </si>
  <si>
    <t>Строительство ВЛИ 0,4 кВ от опоры по ВЛИ 0,4 кВ №1 ТП 10/0,4 кВ №7-21 по ВЛ 10 кВ №7 ПС 35/10 кВ Б. Салы, для технологического присоединения жилых домов Заявителей (Папян С.К., Цветков И.М.) по адресу: Ростовская область, Мясниковский район, с. Большие Салы, ул. Центральная, д. 27, к.н. №61:25:0600501:1657, ул. Мира, 31, к.н. 61:25:0600501:1599 (ориентировочная протяженность ЛЭП 0,43 км)</t>
  </si>
  <si>
    <t>Строительство ВЛ 0,4 кВ от РУ 0,4 кВ ТП 10/0,4 кВ №7-7 по ВЛ 10 кВ №7 ПС 110/35/10 кВ Синявская, для технологического присоединения жилого дома Заявителя (Гужавина С.В, Хохлова Л.М, Вылупко Т.Н, Мельников В.А, Кабарухина Т.И, Сонин А.В.) по адресу: Ростовская область, Мясниковский район, х. Недвиговка, ул. Железнодорожная, ул. 2-я Линия (ориентировочная протяженность ЛЭП 0,75 км)</t>
  </si>
  <si>
    <t>Строительство ВЛ 0,4 кВ от опоры ВЛ 0,4 кВ №1 ТП 10/0,4 кВ №6-10 по ВЛ 10 кВ №6 ПС 35/10 кВ Б.Салы для технологического присоединения жилого дома Заявителя (Саркисов В.А, Шеховцов А.Д, Егиазарян К.И, Бабаян А.В.) по адресу: Мясниковский район, с. Большие Салы, ул. Согласия, ул. Мира (ориентировочная протяженность ЛЭП 0,47 км)</t>
  </si>
  <si>
    <t>Строительство ВЛ 0,4 кВ от ТП 10/0,4 кВ №3-101 по ВЛ 10 кВ №3 ПС 110/35/10 кВ Чалтырь для технологического присоединения Заявителей (Хартавакян А.А., Хошафян А.М., Лимарев А.И.) по адресу: Ростовская область, Мясниковский район, с. Чалтырь, линия 16-я, д.24, д.26, ул. Олимпийская, д №28-а (ориентировочная протяженность ЛЭП 0,26 км)</t>
  </si>
  <si>
    <t>Строительство ВЛ 0,4 кВ от новой ТП 10/0,4 кВ, строительство ТП 10/0,4 кВ, строительство ВЛ 10 кВ от ВЛ 10 кВ №5 ПС 110/10 кВ «Самбек», для технологического присоединения объектов Заявителей в с. Бессергеновка (ориентировочная протяженность ЛЭП 1,4 км; мощность силового трансформатора 400 кВА)</t>
  </si>
  <si>
    <t>Строительство ВЛ 10 кВ от ВЛ 10 кВ №12 ПС110/35/10 кВ Чалтырь, до границы земельного участка заявителя (Даглдиян С.С.), строительство ТП10/0,4 кВ» (ориентировочная протяженность ЛЭП - 0,005 км., ориентировочная мощность ТП-100 кВА</t>
  </si>
  <si>
    <t>Строительство ВЛ 0,4 кВ от РУ 0,4 кВ ТП 6/0,4 кВ №155 (на балансе ООО «Югстроймонтаж») по КЛ 6 кВ №8 ПС 110/6 кВ Т-5 для технологического присоединения нежилого здания Заявителя (Арутюнов Ю.Б.) по адресу: Ростовская область, г. Таганрог, ул. Фрунзе, 92 б, к.н. 61:58:0003007:8 (ориентировочная протяженность ЛЭП 0,25 км)</t>
  </si>
  <si>
    <t>Строительство ВЛ 0,4 кВ от ВЛ 0,4 кВ №1 КТП 10/0,4 кВ №473 ВЛ 10 кВ №6 ПС 110/10 кВ «Самбек», для технологического присоединения производственного цеха заявителя Войнова В.С. по адресу: Ростовская область, Неклиновский р-н, с. Самбек, х-во СПК к-з «Колос», поле №63, к.н. № 61:26:060015:1088 (ориентировочная протяженность ЛЭП - 0,15 км)</t>
  </si>
  <si>
    <t>Строительство ВЛ 0,4 кВ от КТП 10/0,4 кВ №248м ВЛ 10 кВ №3 ПС 110/10 кВ «Ефремовская» для технологического присоединения здания детского сада заявителя (МБДОУ Детский сад «Теремок» с. Ефремовка) по адресу: Ростовская область, Неклиновский район, с. Ефремовка, ул. Советская, 10, к.н. 61:26:0170101:54 (ориентировочная протяженность ЛЭП 0,1 км)</t>
  </si>
  <si>
    <t>Строительство ВЛ 0,4 кВ от опоры по ВЛ 0,4 кВ проектируемой по договору №61-1-20-00523063 ТП 10/0,4 кВ №3-101 по ВЛ 10 кВ №3 ПС 110/35/10 кВ Чалтырь, для технологического присоединения жилого дома Заявителя (Караханян В.Т.) по адресу: Ростовская область, Мясниковский район, с. Чалтырь, ул. 16-я линия, д. 30, к.н. №61:25:0101243:166 (ориентировочная протяженность ЛЭП 0,04 км)</t>
  </si>
  <si>
    <t xml:space="preserve"> «Строительство ВЛ 0,4 кВ от РУ 0,4 кВ новой ТП 10/0,4 кВ, строительство ТП 10/0,4 кВ, строительство ВЛ 10 кВ от ВЛ 10 кВ №2 ПС 35/10 кВ  Колесниковская, для технологического присоединения жилых домов, нежилого помещения (магазина) заявителей (Фильшин В.Н., Розинская М.П., Азаров А.В., Толстиков С.В., Шитова Л.Н., ИП Решетка В.Н., Терчиев Д.Х., Ким А.М., Луговой Г.А. Новикова А.А., Кравченко Г.М.) по адресу: Ростовская область, М-Курганский р-н, п. М-Курган, ул. Сосновая 1, 3, 8, 10, 12, 14, 14а, 15, 20, ул. Московская 136, ул. Придорожная 33 (ориентировочная протяженность ЛЭП - 0,870 км, ориентировочная мощность ТП – 160 кВА)»</t>
  </si>
  <si>
    <t>Строительство ВЛ 0,4 кВ от ВЛ 0,4 кВ № 3 ТП 6/0,4 кВ № 85 для технологического присоединения жилого дома Заявителя (ООО "Голден Бэй") по адресу: Ростовская область, г. Таганрог, пер. Дуровский спуск, 1, к.н. 61:58:0001087:28   (ориентировочная протяжённость: 0,35 км)</t>
  </si>
  <si>
    <t xml:space="preserve">Строительство ВЛ 0,4 кВ от новой ТП 6/0,4 кВ, строительство ТП 6/0,4 кВ, строительство КЛ 6 кВ от места врезки в КЛ 6 кВ №79 до новой ТП 6/0,4 кВ для технологического присоединения нежилого помещения Заявителя (Чегодарь С.И.) по адресу: Ростовская область, Таганрог, пер. 7-й Новый, к.н. 61:58:0004482:355. (ориентировочная протяженность ЛЭП 0,14 км; мощность силового трансформатора 160 кВА)
</t>
  </si>
  <si>
    <t>Строительство ВЛ 0,4 кВ от новой ТП 10/0,4 кВ, строительство ТП 10/0,4 кВ, строительство ВЛ 10 кВ от опоры по ВЛ 10 кВ №7 ПС 35/10 кВ М-Курганская, для технологического присоединения ЛЭП 0,4 кВ Заявителя (ООО «Крынка») по адресу: Ростовская область, Матвеево-Курганский район, 250 м на север от п. Крынка, ул. Гагарина, д. 15, к.н. 61:21:0600021:709 (ориентировочная протяженность ЛЭП 0,04 км; мощность силового трансформатора 160 кВА)</t>
  </si>
  <si>
    <t xml:space="preserve">Строительство участка ВЛ-10 кВ от опоры №58 ВЛ-10 кВ №3 ПС 110/35/10 кВ Дубенцовская, с установкой ТП-10/0,4 кВ и строительство ВЛИ-0,4 кВ от РУ-0,4 кВ вновь установленной ТП-10/0,4 кВ  для присоединения производственного помещения ИП Никулова А.В., расположенного по адресу: Ростовская обл., Волгодонской район, станица Дубенцовская, 2350 м юго-западнее дома №2 ул. Пролетарская ст. Дубенцовская, кадастровый номер земельного участка: 61:08:0600201;1393 (ориентировочная протяженность ЛЭП 2,83 км, ориентировочная мощность трансформатора 63 кВА) </t>
  </si>
  <si>
    <t xml:space="preserve">Строительство участка ВЛ-10 кВ от опоры №29 ВЛ-10 кВ №13 ПС 35/10 кВ Андреевская, с установкой ТП-10/0,4 кВ и строительство ВЛИ-0,4 кВ от РУ-0,4 кВ вновь установленной ТП-10/0,4 кВ  для присоединения жилого помещения Отроды Т.П., квартиры Кравченко Л.В. и квартиры в жилом доме Яценко В.Р., расположенных по адресам: Ростовская область, Дубовский район, станица Андреевская, ул. Восточная, д.34, кв.2, к.н. 61:09:0600011:500;  ул. Кольцевая, д.1, кв.1, к.н. 61:09:0080101:1918 и кв.2, к.н. 61:09:0080101:0:724 (ориентировочная протяженность ЛЭП 0,49 км, ориентировочная мощность трансформатора 40 кВА)
</t>
  </si>
  <si>
    <t>Строительство ВЛИ-0,4 кВ от РУ-0,4 кВ КТП-7054/40 кВА ВЛ-10 кВ №1 ПС 35/10 кВ Почтовская для присоединения жилого дома Лосева А.Е., расположенного по адресу: Ростовская область, Константиновский район, северо-восточнее х. Кременской, к.н.61:17:0600002:1966 (ориентировочная протяженность ЛЭП 1,31 км)</t>
  </si>
  <si>
    <t>Строительство участка ВЛИ-0,4 кВ от вновь установленной опоры вновь построенной ВЛИ-0,4кВ от вновь установленной ТП-10/0,4кВ по ВЛ-10кВ №2 ПС 35/10кВ Нижне-Журавская (по договору №61-1-19-00490149 от 19.12.2019г) для присоединения жилого дома Жилина А.В., расположенного по адресу: Ростовская область, Константиновский район, х. Хрящевский, пер. Дальний, д.10, к.н. 61:17:0600010:3487 (ориентировочная протяженность ЛЭП 0,022 км)</t>
  </si>
  <si>
    <t>Строительство ВЛИ-0,4 кВ от РУ-0,4 кВ КТП-1468 ВЛ 10 кВ №11 ПС 35 кВ Камышевская и установка прибора коммерческого учета электрической энергии (мощности) в точке поставки для присоединения жилого дома Кольцова А.А., расположенного по адресу: Ростовская область, Цимлянский район, х. Рынок-Каргальский, ул. Полевая, д. 4, к.н.з.у. 61:41:0040401:5 (ориентировочная протяженность ЛЭП 1,1 км)</t>
  </si>
  <si>
    <t>Строительство участка ВЛ-6 кВ от опоры №281 ВЛ-6 кВ №6 ПС 110/6 кВ НС-1, с установкой ТП-6/0,4 кВ, и строительство ВЛИ-0,4 кВ от вновь установленной ТП-6/0,4 кВ  для присоединения коровника ИП главы К(Ф)Х Магомедовой З.А., расположенного по адресу: Ростовская область, Мартыновский район, х. Садовый, Ильиновское сельское поселение, к.н. 61:20:0600022:2326 (ориентировочная протяженность ЛЭП 0,675 км, ориентировочная мощность трансформатора 25 кВА)</t>
  </si>
  <si>
    <t>Строительство ВЛ 0,4 кВ подключить от ТП-6/0,4 от ЛЭП-6 кВ от оп №25 отпайки на КТП №110 по ВЛ 6 кВ Орошение ПС 110/35/6 кВ Н-8 строящейся по договору №61-1-20-00511053 заключенному с Мелиховым А.В, для присоединения ВРУ-0,4 кВ приюта для собак. Ростовская область, г. Красный Сулин, ул. Тельмана, в 1,1 км на юго-запад от дома № 104 (ИП Сычева И.Ю) (ориентировочная протяженность ЛЭП-0,63 км)</t>
  </si>
  <si>
    <t>Строительство участка ВЛ-10 кВ от существующей оп. №243 по ВЛ-10 кВ «Федоровка» от ПС С-5, с установкой ТП-10/0,4 кВ, и строительство ВЛИ-0,4 кВ от вновь установленной ТП-10/0,4 кВ для присоединения ВРУ-0,4 кВ уличное освещение периметра, бытовые вагончики, Ростовская обл, Красносулинский район, х. Малая Федоровка, Владимировское сельское поселение, 2,8 км на северо-восток от х. Малая Федоровка (ООО Дельта) (ориентировочная протяженность ЛЭП 3,415 км, ориентировочная мощность трансформатора 160 кВА)</t>
  </si>
  <si>
    <t xml:space="preserve"> Строительство участка ВЛ-6 кВ от существующей оп. №127 ВЛ-6 кВ «Россия» от ПС Ш-12, с установкой ТП-6/0,4 кВ, и строительство ВЛИ-0,4 кВ от вновь установленной ТП-6/0,4 кВ для присоединения кондитерского цеха ИП Сенаторова Н.А. (ориентировочная протяженность ЛЭП 0,015 км, ориентировочная мощность трансформатора 160 кВА)</t>
  </si>
  <si>
    <t>Строительство участка ВЛ-10 кВ от существующей оп. №243 по ВЛ-10 кВ «Федоровка» от ПС С-5, с установкой ТП-10/0,4 кВ, и строительство ВЛИ-0,4 кВ от вновь установленной ТП-10/0,4 кВ для присоединения ВРУ-0,4 кВ уличное освещение периметра, бытовые вагончики, Ростовская обл, Красносулинский район, СПК «Федоровский», р.у. №96 (ООО Дельта) (ориентировочная протяженность ЛЭП 1,285 км, ориентировочная мощность трансформатора 250 кВА)</t>
  </si>
  <si>
    <t>Строительство ТП-10/0,4, ЛЭП-10 кВ от оп. № 70 ВЛ 10 кВ Каменный Брод от ПС АС-12, и ВЛИ-0,4 кВ от вновь установленной ТП-10/0,4 кВ для присоединения складского здания ИП Алоян Н.А.: Родионово-Несветайский район, в 470 м от ориентира от х. Каменный Брод по направлению на запад. КН 61:33:0600015:46 (ориентировочная протяженность ЛЭП 1,365 км, ориентировочная мощность трансформатора 160 кВА)</t>
  </si>
  <si>
    <t>Строительство ТП-10/0,4 кВ от существующей оп.№59 ВЛ 10 кВ «Кутейниково» ПС 110/35/10 кВ Н-9 и ВЛИ-0,4 кВ от вновь установленной ТП-10/0,4 кВ для присоединения стоянки для с/х техники ИП Раздорского А.В. (ориентировочная протяженность ЛЭП 0,020 км, ориентировочная мощность трансформатора 25 кВА)</t>
  </si>
  <si>
    <t>Строительство ВЛИ-0,4 кВ от оп.34 по ВЛ-0,4кВ №3 от КТП 6/0,4 кВ №45 по ВЛ-6кВ Совхоз-10 ПС Ш-12 для электроснабжения жилого дома Мгоева А.Ю. Ростовская обл., Октябрьский р-н, х. Марьевка, ул. Парковая, д. 6 (ориентировочная протяженность ЛЭП – 0,07 км)</t>
  </si>
  <si>
    <t>Строительство ВЛИ-0,4 кВ от оп. №19 ВЛ-0,4 кВ №1 КТП №363 по ВЛ-10 кВ Зерновой ПС 110 кВ Ш-36 для присоединения полевого стана ИП Минина В.В. по адресу: Ростовская область, Октябрьский район, Керчикское сельское поселение, вблизи п. Атлантово (ориентировочная протяженность ЛЭП-0,3 км)</t>
  </si>
  <si>
    <t>Строительство ВЛИ 0,4 кВ от ВЛ 0,4 кВ №1 КТП 87 ВЛ 10 кВ Крымский ПС Ш14 для электроснабжения ВРУ-0.4кВ малоэтажной жилой застройки Колоскова В.В. по адресу: Усть-Донецкий район, х. Ещеулов, ул. Комарова, д. 11, КН ЗУ:61:39:0050301:649 (ориентировочная протяженность ЛЭП – 0,780 км</t>
  </si>
  <si>
    <t>Строительство ВЛИ-0,4 кВ от оп. №14 ВЛИ-0,4 кВ №1 КТП №412 по ВЛ-6 кВ ПТФ ПС 35 кВ Ш-20 для присоединения склада ИП Штогрина С.В. по адресу: Ростовская область, Красносулинский район, с/п Табунщиковское, в 150 м на запад от с. Табунщиково (ориентировочная протяженность ЛЭП 0,37 км)</t>
  </si>
  <si>
    <t>Строительство ТП-10/0,4, ЛЭП-10 кВ от №163 по ВЛ-10кВ «Новоегорьевка» ПС 110кВ Н-9, и ВЛИ-0,4 кВ от вновь установленной ТП-10/0,4 кВ для присоединения объекта с-х производства ИП Лигус В.Н. по адресу: Родионово-Несветайский район, относительно ориентира 470м по направлению на юг от х. Грекова-Балка. КН 61:33:0600001:639 (ориентировочная протяженность ЛЭП 0,085 км, ориентировочная мощность трансформатора 160 кВА)</t>
  </si>
  <si>
    <t>Строительство участка ВЛ-10 кВ от существующей оп. №243 по ВЛ-10 кВ «Федоровка» от ПС С-5, с установкой ТП-10/0,4 кВ, и строительство ВЛИ-0,4 кВ от вновь установленной ТП-10/0,4 кВ для присоединения ВРУ-0,4 кВ освещения, насосов, Ростовская обл., Красносулинский район, СПК «Федоровский», примерно 5,8 км от х. Обухов №4 (ООО Щебторг) (ориентировочная протяженность ЛЭП 0,56 км, ориентировочная мощность трансформатора 250 кВА)</t>
  </si>
  <si>
    <t>Строительство ТП-6/0,4, ЛЭП-6 кВ от оп. №10 отпайки к КТП №228 по ВЛ 6 кВ Кривянка ПС Ш-43, и ВЛИ-0,4 кВ от вновь установленной ТП-6/0,4 кВ для присоединения восьми жилых домов (Сидоренко Е.Н., Гречишкин А.Н., Ягодкин А.В., Величко Л.А., Юрасов С.В., Морщагин Н.С., Череповская В.П., Куреннов А.Г.) по адресу:Октябрьский район, ст. Кривянская, ул. Жданова, ул. Чехова (ориентировочная протяженность ЛЭП 1,070 км, ориентировочная мощность трансформатора 160 кВА)</t>
  </si>
  <si>
    <t>Строительство ВЛИ 0,4 кВ от РУ 0,4кВ КТП 29 ВЛ 10кВ Мостовой ПС 35/10 Ш18 для электроснабжения ВРУ 0,4кВ малоэтажной жилой застройки Винниковой Ю.В. по адресу: Ростовская обл., Усть-Донецкий район, ст. Верхнекундрюченская, ул. Пушкина, д. 13, КН ЗУ:61:39:0070101:643 (ориентировочная протяженность ЛЭП – 0,470 км)</t>
  </si>
  <si>
    <t>«Строительство ВЛ-10 кВ от опоры №10/129 по ВЛ-10 кВ №4 ПС 110/35/10 кВ "ГОК" с установкой КТП и строительством ВЛ- 0,4 кВ,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ангара заявителя, ООО ИП Бачевский А.С., расположенного в Ростовской области, Миллеровский р-н, с юго- западной стороны от х. Малотокмацкий, бригада 1, гуртовой участок 2, (61:22:0600027:712) (ориентировочная протяженность ЛЭП-0,01 км, ориентировочная мощность ТП- 0,16 МВА)»</t>
  </si>
  <si>
    <t xml:space="preserve">Строительство ВЛ 0,4 кВ от РУ 0,4 кВ техперевооружаемой КТП №605 (по договору №61-1-19-00480303 от 31.10.2019 г.) ВЛ 10 кВ №101 ПС 110 кВ АС1 для электроснабжения ВРУ 0,4 кВ жилого дома Румянниковой А. Ю. по ул. Ленина, 10 в ст-це Ольгинская Аксайского района Ростовской области </t>
  </si>
  <si>
    <t xml:space="preserve">Строительство ТП 10/0,4 кВ, ВЛ 10 кВ, ВЛ 0,4 кВ от ВЛ 10 кВ №3 ПС 35 кВ Б. Салы для электроснабжения жилого дома Мунтян В. Ю. по ул. Сосновая, 42 в пос. Темерницкий Аксайского района Ростовской области </t>
  </si>
  <si>
    <t xml:space="preserve">Строительство ВЛ 0,4 кВ, ТП 10/0,4 кВ, КЛ 10 кВ от ВЛ 10 кВ №26-66 ПС 110 кВ Р26 для электроснабжения заявителя Абдулкадировой П.А., расположенной по адресу: Ростовская область, Мясниковский район, тер. Юго-Восточная промзона, КН 61:25:601001:0313 </t>
  </si>
  <si>
    <t>Строительство ТП 10/0,4 кВ, ВЛ 0,4 кВ, ВЛ 10 кВ от ВЛ 10 кВ №111 ПС 110 кВ АС1 для электроснабжения нежилого здания ИП Кравцова А. В. и складов Рогальского А. В. в п. Дорожный Аксайского района Ростовской области</t>
  </si>
  <si>
    <t xml:space="preserve">Строительство ТП 10/0,4 кВ, ВЛ 10 кВ, ВЛ 0,4 кВ от ВЛ 10 кВ №111 ПС 110 кВ АС1 для электроснабжения складов ООО “Молот” на участке с КН 61:02:0600016:3581 в х. Ленина Аксайского района Ростовской области </t>
  </si>
  <si>
    <t>Строительство ВЛ 10 кВ от ВЛ 10 кВ №407 ПС 110 кВ СМ4 до проектируемой  ВЛ 10 кВ по договору №61-1-19-00486467 (ООО Стройснаб), строительство ТП 10/0,4 кВ, ВЛ 0,4 кВ, ВЛ10 кВ от ВЛ10 кВ КРС №407 ПС110 Ш34 для электроснабжения ВРУ-0,4 кВ нежилого здания заявителя Синцова В.В. по адресу: Р.О., Усть-Донецкий р-н, ст-ца Раздорская, левый берег р. Дон, к.н.: 61:39:0000000:6684</t>
  </si>
  <si>
    <t xml:space="preserve">Строительство ТП 10/0,4 кВ, ВЛ 0,4 кВ, ВЛ 10 кВ от опоры №2/18 ВЛ 10 кВ №610 ПС 35 кВ СМ6,  с установкой прибора учета электрической энергии на границе балансовой принадлежности для электроснабжения объекта сельхоз. производства заявителя ИП Анастасиадис Д.Я. адресу: РО, Семикаракорский район, п. Крымский, поле № 4,5 массива земель реорганизованного сельскохозяйственного предприятия ОАО «Крымское» к.н.:61:35:060009:482 </t>
  </si>
  <si>
    <t xml:space="preserve">Строительство ВЛ 0,4 кВ от РУ 0,4 кВ проектируемой ТП 10/0,4 кВ (по договору №61-1-20-00505085 от 16.04.2020 г.) ВЛ 10 кВ №403 ПС 110 кВ АС4 для электроснабжения ВРУ 0,4 кВ жилого дома Бондаревой Е. Ю. в х. Ленина Аксайского района Р.О. </t>
  </si>
  <si>
    <t>Строительство ВЛ 0,4 кВ от кольцевой проектируемой опоры по договору № 61-1-21-00584993 от 29.06.2021г. проектируемого ТП 10/0,4 кВ ВЛ 10 кВ № 403 ПС 110 АС-4 для электроснабжения жилого дома Кипко М.В. по адресу РО, Аксайский р-н, х. Ленина, ул. Севастопольская, 13 К.Н. 61:02:0600016:4496.</t>
  </si>
  <si>
    <t xml:space="preserve">Строительство ВЛ 0,4 кВ от проектируемой ВЛ 0,4 кВ (по договору №61-1-20-00524953 от 18.09.2020 г.) ТП 10/0,4 кВ №39 ВЛ 10 кВ №1213 ПС 110 кВ АС-12 для электроснабжения ВРУ 0,4 кВ жилого дома Кусакиной Я.Ю. на участке с КН 61:33:0600015:1126 в совх. Каменобродский, Родионово-Несветайский р-н, юго-западнее х. Каменный Брод, участок 107 Аксайского района Ростовской области </t>
  </si>
  <si>
    <t xml:space="preserve">Строительство ВЛ 0,4 кВ от проектируемой ВЛ 0,4 кВ (по договору №61-1-21-00602853 от 21.09.2021 г.) проектируемой КТПН 10/0,4 кВ ВЛ 10 кВ №403 ПС 110 кВ АС4 для электроснабжения ВРУ 0,4 кВ жилого дома Баранцевой Е. О. на участке с КН 61:02:0600016:4452 в х. Ленина Аксайского района Ростовской области </t>
  </si>
  <si>
    <t xml:space="preserve">Строительство ВЛ 0,4 кВ по ВЛ 0,4 кВ №3 от КТП 10 кВ №91, ВЛ 10 кВ №160 ПС 110 кВ В1 для электроснабжения жилого дома Ахметова Р. У.  на участке с КН 61:06:0010141:354 в Веселовском районе Ростовской области, п. Веселый, ул. Береговая, 40 </t>
  </si>
  <si>
    <t>Строительство ВЛ 10кВ от отпайки на ТП 10/0,4кВ №1-54 по ВЛ 10кВ №1 ПС 110/35/10кВ Чалтырь, запитанной от ВЛ 10кВ №29-35 ПС Р-29, до границы земельного участка заявителя (ИП Шапошников А.В.)» (ориентировочная протяженность ЛЭП-0,12км)</t>
  </si>
  <si>
    <t>Строительство ЛЭП-6 кВ от опоры № 44 отпайки к КТП 6/0,4 кВ № 38 по ВЛ 6 кВ Пушкино ПС 110/6 кВ С2, с установкой на конечной опоре ПКУ-6 кВ, для объекта торговли ООО «МАК-Лоджистик», по адресу: Российская Федерация, Ростовская обл., Красносулинский район, в 1 км по направлению на запад от х. Пушкино, К.Н З.М: 61:18:0600022:1120. (ориентировочная протяженность ЛЭП – 0,500 км.)</t>
  </si>
  <si>
    <t>Строительство ВЛ 0,4 кВ от РУ 0,4 кВ ТП 6/0,4 кВ №84 по КВЛ 6 кВ №6 ПС 110/6 кВ Т-5, строительство ВЛ 0,4 кВ от РУ 0,4 кВ проектируемой ТП 6/0,4 кВ, строительство ТП 6/0,4 кВ, строительство КЛ 6 кВ от новой ТП 6/0,4 кВ до места врезки в КЛ 6 кВ №4 ПС 110/6 кВ Т-5, для электроснабжения здания ГДК Заявителя МАУ «Городской дом культуры» по адресу РО г. Таганрог ул. Петровская, д. 104, корп. 1 к.н..61:58:0003014:57. (протяженность ЛЭП – 0,510 км. ориентировочная мощность силового трансформатора – 160 кВА)</t>
  </si>
  <si>
    <t>Строительство ВЛИ-0,4 кВ от РУ-0,4 кВ МТП №803 ВЛ-10 кВ Красюковка ПС Ш-39 для электроснабжения одиннадцати садовых домов с/т «Электровозостроитель» (ориентировочная протяженность ЛЭП – 1,15 км)</t>
  </si>
  <si>
    <t>Строительство ВЛ-0,4 кВ от опоры №10/6, ВЛ 0,4 кВ №1, КТП-10/0,4 кВ №630 по ВЛ-10 кВ №2 ПС  110/27,5/10 кВ «Ст. Станица»,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дробильно-сортировочного комплекса Заявителя, ООО «АГРОДОН», расположенного по адресу: Ростовская область, Миллеровский р-н, х. Верхнеталовка, Верхнеталовское сельское поселение (к.н.з.у. 61:22:0600026:757) (ориентировочная протяженность ЛЭП – 0,22 км)</t>
  </si>
  <si>
    <t>Строительство участка ВЛИ-0,4 кВ от РУ-0,4 кВ, КТП № 24, ВЛ-10 кВ № 6, ПС 35/10 кВ «Вишневецкая» для подключения жилого дома Головкова Н.А.. расположенного по адресу: Ростовская обл., Каменский р-н, х. Филиппенков, ул. Некрасова, д. № 56, корп. Б, к.н.з.у. 61:15:0080501:1924 (ориентировочная протяженность ЛЭП – 0,321км, прибор учёта электроэнергии - 1шт)</t>
  </si>
  <si>
    <t>Строительство участка ВЛ-0,4 кВ от опоры № 12, ВЛ-0,4 кВ № 1, КТП№ 243, ВЛ-10 кВ № 9, ПС 35/10 кВ «Селивановская», для подключения строящегося жилого дома Кривошлыкова А.А., расположенного по адресу: Ростовская обл., Милютинский р-н, х. Вячеслав, ул. Горелова. д. 1, КН ЗУ 61:23:050601:39 (ориентировочная протяженность ЛЭП – 0,070 км(прибор учета электроэнергии – 1шт).</t>
  </si>
  <si>
    <t>Строительство участка ВЛ-0,4 кВ от опоры № 7, ВЛ-0,4 кВ № 1, КТП 224, ВЛ 10 кВ № 3, ПС 35/10 кВ «Селивановская», для подключения жилого дома Осадченко Н.А., расположенного по адресу: Ростовская обл., Милютинский р-н, ст. Селивановская, пер. Вишнёвый, д.8, к.н. 61:21:080101:0289 (ориентировочная протяженность ЛЭП – 0,130 км).</t>
  </si>
  <si>
    <t>Строительство участка ВЛ-0,4 кВ от опоры №7, ВЛ-0,4 кВ №2 , КТП №851, ВЛ-10 кВ №1, ПС 35/10 кВ "Грушевская", для подключения строящегося жилого дома Денисенко Е.П., расположенного по адресу: Ростовская обл., Белокалитвенский р-н, х. Грушевка, ул. Солнечная д.35. (ориентировочная протяженность ЛЭП - 0,360 км)</t>
  </si>
  <si>
    <t>Строительство участка ВЛ-0,4 кВ от опоры № 1, ВЛ-0,4 кВ №2, КТП №82, ВЛ-10 кВ №6, ПС 35/10 кВ «Вишневецкая», для подключения строящегося жилого дома Анучкина С.И. расположенного по адресу: Ростовская обл., Каменский р-н, х. Верхнекрасный.  расположен с северо-западной стороны от земельного участка с к.н 61:15:0100201:8, к.н. 61:15:0100201:781 (ориентировочная протяженность ЛЭП – 0,171км)</t>
  </si>
  <si>
    <t>Строительство участка ВЛ-0,4 кВ от опоры №8, ВЛ-0,4кВ №1, КТП №251, ВЛ-10 кВ №5, ПС 110/10 кВ «Обливская ПТФ», для подключения «здания конюшни» Обжерина С.Ю., расположенного по адресу: Ростовская область, Обливский район, х. Солонецкий, пер.Луговой, 4б, к.н. № 61:27:0600016:69 (ориентировочная протяженность ЛЭП – 0,390 км)</t>
  </si>
  <si>
    <t>'Строительство участка ВЛИ-0,4 кВ от опоры № 6 ВЛ-0,4 кВ №2, КТП № 146, ВЛ-10 кВ № 3, ПС 35/10 кВ «Каменская СХТ», для подключения строящегося дома Шепелева В.М. расположенного по адресу: Ростовская обл., Каменский р-н, х. Старая Станица, пер. Транспортный, д. 41, КН 61:15:0130105:593 (ориентировочная   протяженность ЛЭП – 0, 225 км, прибор учёта электроэнергии - 1шт)</t>
  </si>
  <si>
    <t>Строительство участка ВЛ-0,4 кВ от РУ-0,4 кВ КТП № 556, ВЛ-10 кВ № 5, ПС 35/10 кВ «Колушкинская» для подключения коровника Серякова В.В. расположеного по адресу: местоположение установлено относительно ориентира, расположенного в границах участка. Почтовый адрес ориентира: Ростовская область, Тарасовский район, 530 м на север от х.Рыновка, КН 61:37:0600023:128 (ориентировочная протяженность ЛЭП – 0,65 км, прибор учёта электроэнергии - 1шт)</t>
  </si>
  <si>
    <t>'Строительство участка ВЛ-0,4 кВ от опоры № 6, ВЛ-0,4 кВ № 2, КТП № 80, ВЛ-10 кВ № 4, ПС 35/10 кВ «Скосырская», для подключения ВРУ-0,4 кВ жилого дома Карпенко Г.А., расположенного по адресу: Ростовская область, Тацинский район, х. Пролетарский, ул. Набережная, д. 14, к.н. 61:38:0061001:71 (ориентировочная протяженность ЛЭП – 0,25 км, прибор учёта электроэнергии - 1шт)</t>
  </si>
  <si>
    <t>Строительство участка ВЛ-0,4 кВ от РУ-0,4 кВ КТП № 255, ВЛ-10 кВ № 2, ПС 110/35/10/6 кВ «К - 4» для подключения рыбной фермы ИП Хабарова О.Н. расположенной по адресу: Ростовская обл., Каменский р-н, х. Филиппенков, АКХ «Колос», участок № 48, КН 61:15:0602101:2668 (ориентировочная протяженность ЛЭП – 0,394 км, прибор учёта электроэнергии - 1шт)</t>
  </si>
  <si>
    <t>Строительство участка ВЛ-0,4 кВ от КТП № 88, ВЛ-10 кВ № 3, ПС 35/10 кВ «Владимировская», для подключения здания фермы ООО «Ермак», расположенного по адресу: Ростовская обл., Морозовский р-н, совхоз Россия 1,5 км на юго-запад от ул. Безменова, п. Знаменка, к.н. 61:24:0090103:239 (ориентировочная   протяженность ЛЭП – 0,14 км, прибор учёта электроэнергии - 1шт)</t>
  </si>
  <si>
    <t>Строительство участка ВЛ-0,4 кВ от опоры № 3/6, ВЛ-0,4 кВ №1, КТП № 62, ВЛ-10 кВ № 1, ПС 35/10 кВ «Советская-1», для подключения строящегося нежилого здания Артюковской О.Н, расположенного по адресу: Ростовская обл., Советский р-н, примерно в 0,05 км на север от ориентира х. Русаков, КНЗУ 61:36:0600002:454 (ориентировочная протяженность ЛЭП – 0,095 км, прибор учёта электроэнергии - 1шт)</t>
  </si>
  <si>
    <t>Строительство участка ВЛ 0,4 кВ от опоры №11 ВЛ-0,4 кВ №2, КТП №2,7 ВЛ-10 кВ №4, ПС 110/35/10 кВ «Милютинская» для присоединения жилого дома Коноваловой А.А., расположенного по адресу: Ростовская область, Милютинский район, х. Терновой, пер. Тенистый, д. № 6, к.н. 61:23:0030601:18 (ориентировочная протяженность ЛЭП - 0,295 км)</t>
  </si>
  <si>
    <t>'Строительство участка ВЛ-0,4 кВ от опоры № 8, ВЛ-0,4 кВ № 1, КТП 399, ВЛ 10 кВ № 2, ПС 35/10 кВ «Нижнепоповская», для подключения сада Сандулян Н.И., расположеннго по адресу: Ростовская обл., Белокалитвинский р-н, х. Верхнепопов., КН № 61:04:0600013:1004 (ориентировочная протяженность ЛЭП – 0,278 км)</t>
  </si>
  <si>
    <t>Строительство участка ВЛ-0,4 кВ от опоры № 10 ВЛ-0,4 кВ № 1, КТП № 379, ВЛ-10 кВ № 9, ПС 35/10 кВ «Селивановская», для присоединения ВРУ-0,4 кВ жилого дома Ерошовой Е.А., расположенного по адресу: Ростовская обл., Милютинский р-н, ст. Селивановская, ул. Привольная, д. 48, к.н.з.у. 61:23:0080101:531 (ориентировочная протяженность ЛЭП-0,460 км, прибор учёта электроэнергии - 1шт.)</t>
  </si>
  <si>
    <t>Строительство участка ВЛ-0,4 кВ от опоры № 19 ВЛ-0,4 кВ 3, КТП № 4, ВЛ-10 кВ № 3, ПС 35/10 кВ «Вольно-Донская», для подключения жилого дома Узаировой Халиды Алижановны, расположенного по адресу: Ростовская обл., Морозовский р-н, х. Сибирьки, ул. Большая Садовая, д. 58, КНЗУ 61:24:0060601:168 (ориентировочная   протяженность ЛЭП – 0,22 км, прибор учёта электроэнергии - 1шт)</t>
  </si>
  <si>
    <t>Строительство участка ВЛИ-0,4 кВ от опоры № 3, ВЛ-0,4 кВ № 1, КТП № 301, ВЛ-10 кВ №1, ПС 35/10 кВ «Артемовская», для подключения летней кухни Брызгалина И.А., расположенной по адресу: Ростовская обл., Обливский район, поселок Сосновый, улица Лесная, д. № 3, КНЗУ 61:27:0040401:271 (ориентировочная протяженность ЛЭП – 0,382 км, прибор учёта электроэнергии- 1шт)</t>
  </si>
  <si>
    <t>Строительство участка ВЛ-10 кВ от опоры № 3 отпайка на КТП №67, ВЛ-10 кВ от ПС 110/35/10 кВ «Советская-2», ТП 10/0,4 кВ и ВЛ-0,4 кВ от проектируемой ТП 10/0,4 кВ, для подключения дошкольной организации на 60 мест, расположенной по адресу: Ростовская обл., Советский р-н, поселок Чирский, ул. Дорожная д. 16, КН ЗУ 61:36:0030101:1574 (ориентировочная протяженность ЛЭП –0,04 км, трансформаторная мощность – 0,160 МВА, прибор учёта электроэнергии - 1шт)</t>
  </si>
  <si>
    <t>Строительство участка ВЛ-10 кВ от опоры № 3 отпайка на КТП № 144, ВЛ-10 кВ №1 от ПС 35/10 кВ «Советская-1», ТП 10/0,4 кВ и ВЛ-0,4 кВ от проектируемой ТП 10/0,4 кВ, для подключения дошкольной организации на 50 мест, расположенной по адресу: Ростовская обл., Советский  р-н, слобода Чистяково, ул. Западная  д. 18 «а», КН ЗУ 61:36:0020101:1395 (ориентировочная протяженность ЛЭП –0,08 км, трансформаторная мощность – 0,160 МВА, прибор учёта электроэнергии - 1шт)</t>
  </si>
  <si>
    <t>Строительство участка ВЛИ-0,4 кВ от КТП № 360, ВЛ-10 кВ № 2,ПС 35/10 кВ "Верхне-Кольцовская", для подключения ВРУ-0,4 кВ нежилого здания Дядичко И.П., расположенного по адресу: Ростовская область, Тацинский район, х. Пуличев, ул. Кривая, д. 1, к.н. 61:38:0020401:53 (ориентировочная протяженность ЛЭП – 0,36 км, прибор учёта электроэнергии - 1шт)</t>
  </si>
  <si>
    <t>Строительство участка ВЛИ-0,4 кВ от КТП № 207, ВЛ-10 кВ № 3, ПС 35/10 кВ "Быстрянская", для подключения ВРУ-0,4 кВ жилого дома Соловьевой Т.М., расположенного по адресу: Ростовская область, Тацинский район, х. Ковылкин, ул. Луговая, д. 7, к.н. 61:38:0110101:168 (ориентировочная протяженность ЛЭП – 0,3 км, прибор учёта электроэнергии - 1шт)</t>
  </si>
  <si>
    <t>Строительство участка ВЛИ-0,4кВ от опоры № 64 ВЛ-0,4кВ №1, КТП № 120, ВЛ-10кВ № 2, ПС 35/10 кВ «Каменская СХТ» для подключения дома Войтенко И.А. расположенного по адресу: Ростовская обл., Каменский р-н, х. Старая Станица, ул. Чайковского, д. № 28, КН 61:15:0130106:547 (ориентировочная протяженность ЛЭП – 0,108км)</t>
  </si>
  <si>
    <t>Строительство участка ВЛ-0,4 кВ от опоры № 14, ВЛ-0,4 кВ № 1, КТП №433 по ВЛ 10 кВ № 3, ПС 35/10 «Нижнепоповская» для электроснабжения строящегося жилого дома Нисановой О.Н., расположенного по адресу: Ростовская обл., Белокалитвинский р-н, п. Сосны, ул. Зеленая, д. 34 а, к.н. 61:04:0150415:98. (ориентировочная протяженность ЛЭП – 0,04 км, прибор учёта электроэнергии - 1шт)</t>
  </si>
  <si>
    <t>Строительство участка ВЛИ-0,4 кВ от опоры № 37, ВЛ-0,4 кВ № 1, КТП № 680, ВЛ-6 кВ «Восход», ПС 110/6 кВ «Б-1», для подключения жилого дома Калабухова В.И., расположенного по адресу: Ростовская область, Белокалитвинский р-н, х. Поцелуев, ул. Старцева, д. № 35, КНЗУ 61:04:005101:102 (ориентировочная протяженность ЛЭП – 0,071 км, прибор учёта электроэнергии - 1 шт.)</t>
  </si>
  <si>
    <t>Строительство участка ВЛИ-0,4 кВ от опоры № 4/2, ВЛ-0,4 кВ № 1, КТП № 432, ВЛ-10 кВ № 3, ПС 35/10 кВ «Нижнепоповская», для подключения строящегося жилого дома Руденко В.Р., расположенного по адресу: Ростовская область, Белокалитвинский р-н, п. Сосны, ул. Крайняя, д. № 7 б, КНЗУ 61:04:0150405:498 (ориентировочная протяженность ЛЭП – 0,050 км, прибор учёта электроэнергии - 1 шт.)</t>
  </si>
  <si>
    <t>Строительство участка ВЛ-0,4 кВ от опоры № 22 ВЛ-0,4 кВ №1 КТП № 63, ВЛ-10 кВ № 3, ПС 35/10 кВ «Широко-Атамановская», для подключения крытого тока ИП Главы КФХ Ноздрина Александра Ивановича, расположенного по адресу: Ростовская обл., Морозовский р-н, х. Покровский, 140 м на юго-запад от ул. Покровская, д.12, КНЗУ 61:24:0600010:358 (ориентировочная   протяженность ЛЭП – 0,265 км, прибор учёта электроэнергии - 1шт).</t>
  </si>
  <si>
    <t>Строительство участка ВЛ-0,4 кВ от оп. № 25 ВЛ-0,4 кВ №2, КТП № 334, ВЛ-10 кВ № 3, ПС 110/35/10 кВ «Тарасовская», для подключения строящегося жилого дома Пшеничного В.Н., расположенного по адресу: Ростовская обл., Тарасовский р-н, х. Нижняя Тарасовка, ул. Центральная, д.77 б, КН 61:37:0020401:896 (ориентировочная протяженность ЛЭП – 0,03 км, прибор учёта электроэнергии - 1шт)</t>
  </si>
  <si>
    <t>Строительство участка ВЛ-10 кВ от опоры № 66, Л-286 по ВЛ-10 кВ № 2,  ПС 110/35/10/6 кВ «К - 4», ТП 10/0,4 кВ и участка ВЛИ 0,4 кВ от РУ-0,4 кВ проектируемой ТП для подключения жилого дома Бородина С.И.,  расположенного по адресу: Ростовская область, Каменский район, хутор Красновка, ул. Профильная, д. № 18, корпус А,  КНЗУ 61:15:080109:0266 (ориентировочная протяженность ЛЭП – 0,089 км, трансформаторная мощность – 0,025МВА, прибор учёта электроэнергии - 1 шт.)</t>
  </si>
  <si>
    <t>Строительство участка ВЛ-10 кВ от опоры № 14, Л-63, ВЛ-10 кВ № 2, ПС 110/10 кВ «Головокалитвинская», ТП 10/0,4 кВ и участка ВЛ-0,4 кВ от РУ-0,4 кВ новой ТП 10/0,4 кВ, для электроснабжения здания коровника индивидуального предпринимателя Шакенус И.А., расположенного по адресу: Ростовская обл., Белокалитвинский р-н, от п.п. 8787. Участок находится в 1500 метрах от ориентира по направлению на северо-восток, к.н. 61:04:0600002:209 (ориентировочная протяженность ЛЭП – 0,150 км, ориентировочная мощность ТП – 0, 025 МВА, прибор учёта электроэнергии - 1шт)</t>
  </si>
  <si>
    <t>Строительство участка ВЛИ-0,4 кВ от опоры № 10, ВЛ-0,4 кВ № 5, КТП № 419, ВЛ-10 кВ № 3, ПС 35/10 кВ «Нижнепоповская», для подключения магазина Индивидуального предпринимателя Гнетнева А. А., расположенного по адресу: Ростовская область, Белокалитвинский район, п. Сосны, улица 50 лет СССР, дом № 17 Д, КНЗУ 61:04:0150405:209 (ориентировочная протяженность ЛЭП – 0,032 км, прибор учёта электроэнергии - 1 шт.)</t>
  </si>
  <si>
    <t>Строительство участка ВЛ-0,22 кВ от опоры № 39 ВЛ-0,4 кВ № 2, КТП № 375, ВЛ-10 кВ № 2, ПС 35/10 кВ «Нижнепоповская», для подключения строящегося жилого дома Усачёвой Н.Д., расположенного по адресу: Ростовская обл., Белокалитвинский р-н, х. Погорелов, ул. Сергея Саринова,   д.18 Б, к.н.з.у. 61:04:0130201:168 (ориентировочная   протяженность ЛЭП – 0,050 км, прибор учёта электроэнергии - 1шт)</t>
  </si>
  <si>
    <t>Строительство участка ВЛИ-0,4 кВ от РУ-0,4 кВ, КТП № 83, ВЛ-10 кВ № 5, ПС 35/10 кВ «Вишневецкая», для электроснабжения «базовой станции сотовой связи» ООО «Т2 Мобайл», расположенной по адресу: Ростовская обл., Каменский р-н, 150 м на северо-восток от х. Вишнивецкий, к.н. 61:15:0601401:1319. (ориентировочная протяженность ЛЭП – 0,037 км, прибор учёта электроэнергии - 1шт)</t>
  </si>
  <si>
    <t>Строительство участка ВЛИ-0,4 кВ от опоры № 6, ВЛ-0,4 кВ № 1, КТП № 321, ВЛ-10 кВ № 4, ПС 35/10 кВ «Каменская СХТ», для подключения жилого дома Меркулова С.В. расположенного по адресу: Ростовская обл., Каменский р-н, х. Абрамовка, ул. Ленина, д. № 26, корп. Б, КНЗУ 61:15:0130201:1907 (ориентировочная протяженность ЛЭП – 0,057км, прибор учёта электроэнергии 15 кВт- 1шт).</t>
  </si>
  <si>
    <t>Строительство участка ВЛИ-0,4 кВ от опоры № 7, ВЛ-0,4 кВ № 2, КТП № 97, ВЛ-10 кВ № 2, ПС 110/35/10/6 кВ «К-4» для подключения жилого дома Калитвенцева А.В. расположенного по адресу: Ростовская обл., Каменский р-н, х. Красновка, ул. 8 Марта, д. № 46, корп. А, КНЗУ 61:15:0080107:207 (ориентировочная протяженность ЛЭП – 0,087 км, прибор учёта электроэнергии 15 кВт - 1шт)</t>
  </si>
  <si>
    <t>Строительство участка ВЛИ-0,4 кВ от опоры № 17, ВЛ-0,4 кВ № 2,  КТП № 105, ВЛ-10 кВ № 2, ПС 110/35/10/6 кВ «К - 4» для подключения базовой станции сотовой связи ПАО «Вымпел-Коммуникации», расположенной по адресу: Ростовская область, Каменский район, хутор Красновка, улица Янтарная, дом № 1, корпус А, КНЗУ 61:15:0080101:134 (ориентировочная протяженность ЛЭП – 0,057 км, прибор учёта электроэнергии 15 кВт - 1 шт.</t>
  </si>
  <si>
    <t>Строительство участка ВЛИ-0,4 кВ от ВЛ – 0,4 кВ № 2, КТП № 196, ВЛ-10 кВ № 5, ПС 35/10 кВ «Каменская СХТ» для подключения жилого дома Фоменко В.Н., расположенного по адресу: Ростовская обл., Каменский р-н, х. Богданов, ул. Кирова, д. № 12, КНЗУ 61:15:0030101:68 (ориентировочная протяженность ЛЭП – 0,210 км, прибор учёта электроэнергии - 1 шт.)</t>
  </si>
  <si>
    <t>Строительство участка ВЛ-0,4 кВ от опоры № 4, ВЛ-0,4 кВ № 1, КТП № 106, ВЛ-10 кВ № 1, ПС 35/10 кВ "Успенская", для подключения склада ИП Павлова В.В., расположенного по адресу: Ростовская область, Милютинский район, п. Аграрный, в 800 м северо-восточнее, к.н.з.у. 61:23:0600012:433 (ориентировочная протяженность ЛЭП – 0,082 км, прибор учёта электроэнергии - 1шт)</t>
  </si>
  <si>
    <t>Строительство участка ВЛ-0,4 кВ от опоры № 33 ВЛ-0,4 кВ № 1, КТП № 3, ВЛ-10 кВ № 4, ПС 110/35/10 кВ "Милютинская", для подключения ВРУ-0,4 кВ автомойки ИП Свиридова А А., расположенной по адресу: Ростовская обл., Милютинский р-н, х. Старокузнецов, ул. Центральная, д. 6, к.н.з.у. 61:23:0030201:1872 (ориентировочная протяженность ЛЭП – 0,030 км, прибор учёта электроэнергии - 1шт)</t>
  </si>
  <si>
    <t>Строительство участка ВЛ-0,22 кВ от опоры № 37 ВЛ-0,4 кВ № 1, КТП № 176,  ВЛ-10 кВ № 6, ПС 110/35/10 кВ «Б-11», для подключения вагона-бытовки Лихачева А.В., расположенного по адресу: Ростовская обл., Морозовский р-н, г. Морозовск, западная окраина г. Морозовска, СТ "Мечта", участок № 4, к.н. 61:24:0014001:495 (ориентировочная   протяженность ЛЭП – 0,18 км, прибор учёта электроэнергии - 1шт)</t>
  </si>
  <si>
    <t>Строительство участка ВЛ-0,4 кВ от опоры № 20 ВЛ-0,4 кВ № 2, КТП № 4, ВЛ-10 кВ № 3, ПС 35/10 кВ «Вольно-Донская», для подключения жилого дома Исмоиловой Нарвесты Шерали Кызы, расположенного по адресу: Ростовская обл., Морозовский р-н, х. Сибирьки, ул. Степная, д .43, к.н. 61:24:0060601:119 (ориентировочная   протяженность ЛЭП – 0,135 км, прибор учёта электроэнергии - 1шт)</t>
  </si>
  <si>
    <t>Строительство участка ВЛ-0,4 кВ от опоры № 6 ВЛ-0,4 кВ № 2, КТП № 41 ВЛ-10 кВ № 6 ПС 110/35/10 кВ «Б-11», для подключения гаража Чупаха Татьяны Сергеевны, расположенного по адресу: Ростовская обл., Морозовский р-н, г. Морозовск, ул. Халтурина, 179, гараж № 31, КНЗУ 61:24:0013011:35 (ориентировочная   протяженность ЛЭП – 0,04 км, прибор учёта электроэнергии - 1шт)</t>
  </si>
  <si>
    <t>Строительство участка ВЛ-10 кВ от опоры № 17 на отпайке Л-139 по ВЛ-10 кВ № 4, ПС 35/10 кВ «Обливская-2», ТП 10/0,4 кВ и участка ВЛ-0,4 кВ от РУ-0,4 кВ новой ТП 10/0,4 кВ, для подключения жилого дома Дьяченко В.М., расположенного по адресу: Ростовская обасть, Обливский район, хутор Кривов, улица Новая, дом № 17, к.н.з.у. 61:27:0050402:59 (ориентировочная протяженность ЛЭП – 0,1 км, трансформаторная мощность – 0,025 МВА, прибор учёта электроэнергии - 1шт.)</t>
  </si>
  <si>
    <t>Строительство участка ВЛ-0,4 кВ от РУ-0,4 кВ КТП № 364 ВЛ 10 кВ №1 ПС 35/10 «Тарасовская СХТ», для подключения строящегося производственного здания Геворкяна Г.Г., расположенного по адресу: Ростовская область, Тарасовский район, севернее сл. Дячкино, к.н.з.у. 61:37:0600012:1669 (ориентировочная протяженность ЛЭП – 0,654 км,  прибор учёта электроэнергии – 1 шт.)</t>
  </si>
  <si>
    <t>Строительство участка ЛЭП-0,4 кВ от ВЛ-0,4 кВ №1, КТП № 567, ВЛ-10 кВ №3, ПС 35/10 кВ «Краснодонецкая», для подключения жилого дома Лушницкой И.А., расположенного по адресу: Ростовская область, Белокалитвинский р-н, х. Усть - Быстрый, ул. Нижняя, д. 41 а, к.н.з.у. 61:04:0070202:112 (ориентировочная протяженность ЛЭП – 0,268 км, прибор учёта электроэнергии - 1шт)</t>
  </si>
  <si>
    <t>Строительство участка ЛЭП-0,4 кВ от ВЛ-0,4 кВ № 1, КТП № 680, ВЛ-6 кВ «Восход», ПС 110/6 кВ «Б-1», для подключения жилого дома Акимовой Т.В., расположенного по адресу: Ростовская область, р-он Белокалитвинский, х. Поцелуев, ул. Бунина, д. 9, к.н. 61:04:0050102:1 (ориентировочная протяженность ЛЭП – 0,220 км, прибор учёта электроэнергии - 1шт)</t>
  </si>
  <si>
    <t>Установка автономного источника питания от АВ-0,4 кВ «ОРТПЦ» КТП 10/0,4 кВ №47 ВЛ 10 кВ №2 ПС 110/10 «Голокалитвинская» для подключения РТС Ильинка ФГУП «Российская телевизионная и радиовещательная сеть» филиал «Ростовский областной радиотелевизионный передающий центр» (ориентировочная мощность автономного источника питания 0,016 МВА)</t>
  </si>
  <si>
    <t>Установка автономного источника питания от опоры №60 ВЛ 10 кВ №4 ПС 35/10 кВ «Селивановская» для подключения РТС Селивановская ФГУП «Российская телевизионная и радиовещательная сеть» филиал «Ростовский областной радиотелевизионный передающий центр» (ориентировочная мощность автономного источника питания 0,044 МВА)</t>
  </si>
  <si>
    <t>Строительство участка ВЛ-10 кВ опоры № 76 ВЛ-10 кВ № 1, ПС 35/10 кВ «Широко-Атамановская», ТП 10/0,4 кВ и участка ВЛ-0,4 кВ от РУ-0,4 кВ новой ТП 10/0,4 кВ, для подключения жилых домов Громовой В.Н. и Громова С.А. расположенных по адресу: Ростовская обл., Морозовский р-н, х. Большая Хлоповая, д. 3 (КНЗУ 61:24:0040101:67), д. 5 (КНЗУ 61:24:0040101:5) (ориентировочная   протяженность ЛЭП – 0,410 км, трансформаторная мощность – 0,040 МВА, прибор учёта электроэнергии – 2 шт)</t>
  </si>
  <si>
    <t>Строительство участка ВЛ-0,4 кВ от опоры № 33, ВЛ-0,4 кВ № 1, КТП № 35, ВЛ-10 кВ № 4, ПС 35/10 кВ "Советская-1", для подключения ВРУ-0,4 кВ строящегося жилого дома Попова В.В., расположенной по адресу: Ростовская область, Советский р-н, ст. Советская, ул. Лесхозная, д. 62 «а», К.Н 61:36:0010101:4839 (ориентировочная протяженность ЛЭП – 0,025 км, прибор учёта электроэнергии - 1шт)</t>
  </si>
  <si>
    <t>Установка автономного источника питания от РУ 0,4 кВ  ВЛ 10 кВ №8, ПС 110/35/10 кВ «Советская-2» для подключения РТС  Чирский ФГУП «Российская телевизионная и радиовещательная сеть» филиал «Ростовский областной радиотелевизионный передающий центр» (ориентировочная мощность автономного источника питания 0,039 МВА)</t>
  </si>
  <si>
    <t>Строительство участка ВЛ-0,4 кВ от оп. № 17 ВЛ-0,4 кВ № 1, КТП № 250, ВЛ-10 кВ № 2, ПС 35/10 кВ «Митякинская» для подключения строящегося объекта сельскохозяйственного производства ИП главы К(Ф)Х Вербицкой Л.И., расположенного по адресу: Ростовская обл., Тарасовский р-н, п. Весенний, 300м на юго-восток от ориентира, КН 61:37:0040101:1023 (ориентировочная протяженность ЛЭП – 0,33 км, прибор учёта электроэнергии - 1шт)</t>
  </si>
  <si>
    <t>Строительство участка ВЛ-10 кВ от проектируемой опоры на отпайке Л-565 ВЛ-10 кВ № 3, ПС 35/10 кВ «Краснодонецкая», ТП 10/0,4 кВ и участка ВЛ-0,4 кВ от РУ-0,4 кВ новой ТП 10/0,4 кВ, для подключения щита питания берега наплавного моста Администрации Белокалитвинского района, расположенного по адресу: Ростовская обл., Белокалитвинский р-н, Краснодонецкое сельское поселение, ст-ца. Краснодонецкая, ул. Центральная, д. 39 В, КНЗУ 61:04:0080104:508, (ориентировочная   протяженность ЛЭП – 0,210 км, трансформаторная мощность – 0,063 МВА, прибор учёта электроэнергии - 1шт)</t>
  </si>
  <si>
    <t>Строительство участка ВЛИ-0,4 кВ от РУ - 0,4 кВ КТП № 70, ВЛ-10 кВ № 3, ПС 35/10 кВ  «Каменская СХТ»  для   подключения   жилого   дома Луханиной Н.В., расположенного по адресу: Ростовская обл., Каменский р-н,   х. Старая Станица, ул. Красноармейская, д. № 74, корп. А, КН ЗУ  61:15:130103:1226 (ориентировочная протяженность ЛЭП – 0,202 км, прибор учёта электроэнергии - 1 шт.)</t>
  </si>
  <si>
    <t>Строительство участка ВЛ-0,4 кВ от опоры № 13 ВЛ-0,4 кВ № 3, КТП № 221, ВЛ-10 кВ № 3, ПС 35/10 кВ " Селивановская", для подключения ВРУ- 0,4 кВ склада сельскохозяйственного назначения  ИП Главой К(Ф)Х Сахно В.С., расположенного по адресу: Ростовская обл., Милютинский р-н, ст. Селивановская, примерноо в 0,9 км на юго- запад от ст. Селивановская, к.н.з.у. 61:23:0600003:557 (ориентировочная протяженность ЛЭП – 0,045 км, прибор учёта электроэнергии - 1шт)</t>
  </si>
  <si>
    <t>Строительство участка ВЛ-0,4 кВ от ВЛ-0,4 кВ № 1, КТП № 339, ВЛ 10 кВ № 1 ПС 35/10 кВ «Знаменская», для подключения мельницы Лиманского П.В., расположенной по адресу: Ростовская обл., Милютинский  р-н, сл. Маньково-Берёзовская, ул. Новикова, д. 2, к.н.з.у. 61:23:0020501:1104 (ориентировочная протяженность ЛЭП – 0,028 км, прибор учёта электроэнергии - 1 шт.)</t>
  </si>
  <si>
    <t>Строительство участка ЛЭП-0,4 кВ от опоры № 10, ВЛ-0,4 кВ №1, КТП № 26, ВЛ-10 кВ №4, ПС 110/35/10 кВ «Милютинская» для подключения жилого дома Устиновой И.С., расположенного по адресу: Ростовская область, Милютинский р-он, х. Старокузнецов, ул. Хлебная, д.21, к.н. 61:23:0030201:1141 (ориентировочная протяженность ЛЭП – 0,030 км, прибор учёта электроэнергии - 1шт)</t>
  </si>
  <si>
    <t>Строительство участка ВЛ-0,4 кВ от опоры № 6 ВЛ-0,4 кВ № 2, КТП № 65, ВЛ-10 кВ № 2, ПС 35/10 кВ "Семёновская", для подключения жилого дома Солодкова В.А., расположенного по адресу: Ростовская область, Милютинский район, х. Широко-Бахолдинский, ул. Набережная, д. 13, к.н.з.у. 61:23:0070201:34 (ориентировочная протяженность ЛЭП – 0,265 км, прибор учёта электроэнергии - 1шт)</t>
  </si>
  <si>
    <t>Строительство участка ВЛ-0,4 кВ от опоры №1 ВЛ-0,4 кВ № 1, КТП № 58, ВЛ-10 кВ № 6, ПС 110/35/10 кВ «Б-11», для подключения административного здания ООО «АгроФактор», расположенного по адресу: Ростовская обл., Морозовский р-н, х. Скачки-Малюгин, д. 28, КНЗУ 61:24:0020601:99 (ориентировочная   протяженность ЛЭП – 0,055 км, прибор учёта электроэнергии  - 1шт)</t>
  </si>
  <si>
    <t>Строительство участка ВЛ-0,4 кВ от опоры № 37 ВЛ-0,4 кВ № 2, КТП № 42, ВЛ-10 кВ № 2, ПС 110/35/10 кВ «Б-11», для присоединения жилого дома Линник В.А., расположенного по адресу: Ростовская область, Морозовский р-н, х. Вербочки, ул. Урожайная, д. 32, кадастровый номер земельного участка: 61:24:0030107:31 (ориентировочная   протяженность ЛЭП – 0,047 км, прибор учёта электроэнергии  - 1шт)</t>
  </si>
  <si>
    <t>Строительство ВЛИ-0,4 кВ от КТП № 41, ВЛ-10 кВ № 6, ПС 110/35/10 кВ «Обливская-1», для подключения ВРУ-0,4 кВ «складское помещение» Сербиненко Е.В., расположенного по адресу: Ростовская обл., Обливский район, станица Обливская, улица Калиманова, д. 27, К.Н.61:27:0000000:849 (ориентировочная протяженность ЛЭП – 0,055 км, прибор учёта электроэнергии - 1шт)</t>
  </si>
  <si>
    <t>Строительство участка ВЛИ-0,4 кВ от опоры № 18, ВЛ-0,4 кВ № 1, КТП  № 341, ВЛ-10 кВ № 3, ПС 35/10 кВ «Артемовская», для подключения жилого дома Бурдиной О.С., расположенной по адресу: Ростовская обл., Обливский      р-н, х. Караичев, ул. Раздольная, д. № 16, к.н.з.у. 61:27:0040101:141 (ориентировочная протяженность ЛЭП – 0,490 км, прибор учёта электроэнергии - 1шт)</t>
  </si>
  <si>
    <t>Строительство участка ЛЭП-0,4 кВ от ВЛ-0,4 кВ № 1, КТП № 678, ВЛ-6 кВ «Восход», ПС 110/10 кВ «Б-1» для подключения ЛПХ  Кудинова П.И., расположенного по адресу: Ростовская область, р-он Белокалитвинский, х. Поцелуев, ул. Солнечная, д.23а, к.н. 61:47:060103:1  (ориентировочная протяженность ЛЭП – 0,04 км, прибор учёта электроэнергии - 1шт)»</t>
  </si>
  <si>
    <t>Строительство участка ВЛ-0,4 кВ от опоры № 16 ВЛ-0,4 кВ № 2, КТП № 27, ВЛ-10 кВ № 4, ПС 110/35/10 кВ "Милютинская", для подключения ВРУ-0,4 кВ жилого дома Корплякова Ю.В., расположенного по адресу: Ростовская обл., Милютинский р-н, х. Терновой, ул. Большая Терновская, д.18, к.н.з.у. 61:23:0030601:0023 (ориентировочная протяженность ЛЭП – 0,095 км, прибор учёта электроэнергии - 1шт)</t>
  </si>
  <si>
    <t>Строительство ВЛ-0,4 кВ от опоры № 13/16 проектируемой ВЛ-0,4 кВ (по договорам № 61-1-20-00539815 от 21.10.2020 г. и № 61-1-21-00597313 от 08.09.2021 г.), от опоры № 13 ВЛ-0,4 кВ № 3, КТП № 27, ВЛ-10 кВ № 4, ПС 110/35/10 кВ «Милютинская», для подключения жилых домов Пучковой О.Н. и Тарасенко Н.Б., расположенных по адресу: Ростовская область, Милютинский р-н, х. Терновой, пер. Тенистый, д. № 16, к.н.з.у. 61:23:0030601:0002:1268, д. № 14, к.н.з.у 61:23:0030601:22 (ориентировочная протяженность ЛЭП – 0,390 км, прибор учёта электроэнергии – 2 шт)</t>
  </si>
  <si>
    <t>Строительство участка ВЛ-0,4 кВ от опоры № 16, ВЛ-0,4 кВ № 1, КТП № 82, ВЛ- 10 кВ №7, ПС 110/35/10 кВ «Милютинская», для подключения жилого дома Коровиной В.И.,   расположенного по адресу: Ростовская область, Милютинский район, х. Юдин, пер. Вербный, д. 16, к.н. 61:23:0030101:221 (ориентировочная протяженность ЛЭП – 0,39 км)</t>
  </si>
  <si>
    <t>Строительство участка ВЛИ-0,4 кВ от опоры № 1, ВЛ-0,4 кВ № 1, КТП № 82, ВЛ-10 кВ № 7, ПС 110/35/10 кВ "Милютинская", для подключения жилого дома Алимова Н.И., расположенного по адресу: Ростовская область, Милютинский район, х. Юдин, ул.Черёмушки, д. 43, к.н. 61:23:0030101:39 (ориентировочная протяженность ЛЭП – 0,24 км, прибор учёта электроэнергии - 1шт)</t>
  </si>
  <si>
    <t>Строительство участка ВЛ-0,4 кВ от опоры №9 ВЛ-0,4 кВ № 1, КТП №211, ВЛ- 10 кВ №5, ПС "Б-11», для подключения строящегося жилого дома Макарова С.М., расположенного по адресу: Ростовская обл., Морозовский р-н, х. Грузинов, ул. Абрикосовая, д.1/7, кадастровый номер земельного участка :61:24:0050312:64 (ориентировочная протяженность ЛЭП – 0,260 км)</t>
  </si>
  <si>
    <t>Строительство участка ВЛ-0,4 кВ от опоры № 20 ВЛ-0,4 кВ № 1, КТП № 11, ВЛ-10 кВ № 1, ПС 35/10 кВ «Вольно-Донская», для подключения телятника Сорокина Николая Анатольевича, расположенного по адресу: Ростовская обл., Морозовский р-н, х. Власов, ул. Вязовая, д. 40 а, КНЗУ 61:24:0600007:988 (ориентировочная   протяженность ЛЭП – 0,24 км, прибор учёта электроэнергии - 1шт)</t>
  </si>
  <si>
    <t>Строительство участка ВЛИ-0,4 кВ от РУ-0,4 кВ КТП № 260 ВЛ-10 кВ № 5,  ПС 110/10 кВ «Обливская ПТФ» для подключения жилого дома Мартиросян А.В., расположенного по адресу: Ростовская область, Обливский район, хутор Рябовский, улица Сосновая, дом 30, к.н.з.у.  61:27:0070201:612 (ориентировочная протяженность ВЛИ – 0,085 км, прибор учёта электроэнергии - 1шт.)</t>
  </si>
  <si>
    <t>Строительство участка ВЛ-10 кВ от опоры № 8, отпайка Л-168, ВЛ-10 кВ №3, ПС 110/35/10 кВ «Чеботовская», ТП 10/0,4 кВ и ВЛ-0,4 кВ от РУ-0,4 кВ проектируемой ТП 10/0,4 кВ, для подключения здания сельского дома культуры Муниципального учреждения культуры Зеленовского сельского поселения, расположенного по адресу: Ростовская обл., Тарасовский р-н, х.Зеленовка, ул. Центральная, д. 51, КН ЗУ 61:37:0070101:332 (ориентировочная протяженность ЛЭП –0,03 км, трансформаторная мощность – 0,063 МВА, прибор учёта электроэнергии - 1шт)</t>
  </si>
  <si>
    <t>Строительство участка ВЛ-0,4 кВ от опоры № 69 ВЛ-0,4 кВ № 2 КТП № 3, ВЛ-10 кВ № 1, ПС 35/10 кВ «Войковская» для подключения монтерского пункта Щуровой М.П., расположенного по адресу: Ростовская обл., Тарасовский р-н, п. Войково, ул. Садовая, д. 57, КН 61:37:0110201:596 (ориентировочная протяженность ЛЭП – 0,08 км, прибор учёта электроэнергии - 1шт)</t>
  </si>
  <si>
    <t>Строительство участка ВЛ-0,22 кВ от ВЛ-0,4 № 1 кВ, КТП № 88, ВЛ-10 кВ № 5, ПС 35/10 кВ «Войковская» для подключения жилого дома Полковниченко И.В., расположенного по адресу: Ростовская область, Тарасовский р-н, х. Дубы, ул. Центральная, д.45, к.н.з.у 61:37:0100201:1816, (ориентировочная протяженность ЛЭП – 0,017 км, прибор учёта электроэнергии - 1шт)</t>
  </si>
  <si>
    <t>Строительство участка ВЛ-0,4 кВ от РУ-0,4 кВ КТП № 286, ВЛ-10 кВ № 2, ПС 110/35/10 кВ «Тарасовская» для подключения здания утятника № 1, здание утятника № 2 Надуева А.В., расположенных по адресу: Ростовская область, район Тарасовский, х. Липовка, примерно в 1,7 км по направлению на север от ориентира х. Липовка, к.н. 61:37:0600005:574 (ориентировочная протяженность ЛЭП – 1,3 км, прибор учёта электроэнергии - 1шт)</t>
  </si>
  <si>
    <t>Строительство участка ВЛИ-0,4 кВ от опоры № 5, ВЛ-0,4 кВ № 2, КТП № 137, ВЛ-10 кВ № 2, ПС 35/10 кВ "Тацинская СХТ", для     подключения ВРУ-0,4 кВ обьектов наружного освещения Администрации Тацинского района, расположенного по адресу: Ростовская область, Тацинский район, ст. Тацинская, Автомобильная дорога   ст. Тацинская – х. Исаев, к.н. 61:38:0061001:98 (ориентировочная протяженность ЛЭП – 0,458 км, прибор учёта электроэнергии - 1шт)</t>
  </si>
  <si>
    <t>Строительство участка ВЛ-10 кВ  от  опоры № 6 Л-129, ВЛ-10 кВ № 4, ПС110/10 кВ «Волченская ПТФ», ТП 10/0,4кВ и участка ВЛ-0,4 кВ от РУ-0,4 кВ новой ТП 10/0,4 кВ, для подключения нежилого здания «Свято-Троицкий храм», расположенного по адресу: Ростовская обл., Каменский р-н, х. Волченский, ул. Шахтерская, д. № 104, к.н.з.у. 61:15:0040101:648 (ориентировочная протяженность ЛЭП – 0,029 км, трансформаторная мощность – 0,160 МВА, прибор учёта электроэнергии - 1шт.)</t>
  </si>
  <si>
    <t>«Строительство участка ВЛ-0,4 кВ от РУ-0,4 кВ КТП № 138 по ВЛ- 10 кВ №4, ПС 35/10 кВ «Обливская-2», для подключения жилых домов Избаевой С.А., Здасюк С.С., Индрисова А.Е., Индрисовой Т.Е., Маринич О.А., расположенных по адресу: Ростовская область, Обливский  район, х. Трухин, ул. Овражная, дома  №№ 13, 14, 16, 18, 21,  к.н. 61:27:0050701:23, 61:27:0050701:20, 61:27:0050701:26, 61:27:0050701:37, 61:27:0050701:31 (ориентировочная протяженность ЛЭП – 0,985 км)»</t>
  </si>
  <si>
    <t>Строительство участка ВЛИ-0,4 кВ от опоры № 7, ВЛ-0,4 кВ № 1, КТП  № 513, ВЛ-6 кВ «Дробзавод-1», ЗРП-6 кВ «БКУ», ВЛ-6 кВ «ЗРП-2», ПС 35/6 кВ «Б-6», для подключения ВРУ-0,4 кВ строящегося здания Штоколова С.В., расположенного по адресу: Ростовская область, Тацинский район, п. Быстрогорский, ул. Санаторная, д. 1, корп. ф, к.н. 61:38:0040103:130 (ориентировочная протяженность ЛЭП – 0,45 км, прибор учёта электроэнергии - 1шт)</t>
  </si>
  <si>
    <t>Строительство участка ВЛИ-0,4 кВ от опоры № 1, ВЛ-0,4 кВ № 1, КТП № 282, ВЛ-10 кВ № 4, ПС 35/10 кВ "Скосырская", для подключения ВРУ-0,4 кВ жилого дома Перебейнос И.А., расположенного по адресу: Ростовская область, Тацинский район, х. Пролетарский, ул. Комсомольская, д. 17, к.н. 61:38:0061001:98 (ориентировочная протяженность ЛЭП – 0,668 км, прибор учёта электроэнергии - 1шт)</t>
  </si>
  <si>
    <t>Строительство ВЛ-0,4 кВ от предпоследней опоры проектируемой ВЛ-0,4 кВ (по договору № 61-1-20-00539815 от 21.10.2020 г.) от опоры № 13 ВЛ-0,4 кВ № 3, КТП № 27, ВЛ-10 кВ № 4, ПС 110/35/10 кВ «Милютинская», для подключения ВРУ-0,4 кВ жилого дома Корплякова А.В., расположенного по адресу: Ростовская область, Милютинский р-н, х. Терновой, пер. Тенистый, д. № 12, к.н. 61:23:0030601:1 (ориентировочная протяженность ЛЭП – 0,385 км, прибор учёта электроэнергии - 1шт)</t>
  </si>
  <si>
    <t>Строительство участка ВЛИ 0,4кВ от проектируемой ВЛ 0,4 кВ (по договору ТП № 61-1-20-00571813 от 21.04.2021 г.) КТП 10/0,4 кВ №174 ВЛ 10кВ 1011 ПС 110/35/10 кВ «Самарская» и системы учета электрической энергии (мощности) на границе земельного участка для электроснабжения жилых домов заявителей Ильченко И.С., Харабаджаховой Е.Ю., Шер О.И., с.Самарское, Азовский район, Ростовская область (ориентировочная протяженность ЛЭП – 0,055 км)</t>
  </si>
  <si>
    <t>Строительство участка ВЛИ 0,4кВ от оп. №30-58 ВЛ-0,4 №3 от КТП-30 по ВЛ-10 1402 ПС 110 кВ ЗР14 и системы учета электрической энергии (мощности) на границе земельного участка для электроснабжения ЛПХ заявителя Перетятько В.И., Ростовская область, Зерноградский р-н, с. Светлоречное, ул. Новая д.27 (ориентировочная протяженность ВЛИ-0,4  – 0,08 км)</t>
  </si>
  <si>
    <t>Строительство участка ВЛИ 0,4кВ от проектируемой ВЛ 0,4 кВ (по договору ТП № 61-1-20-00572525 от 22.04.2021 г.) КТП 10/0,4 кВ №329 ВЛ 10кВ 106Н ПС 110/6/10 кВ «НС-1» и установка системы учета электрической энергии (мощности) на границе земельного участка для электроснабжения жилого дома заявителя Томышевой А.С., ДНТ «Виктория», Азовский район, Ростовская область (ориентировочная протяженность ЛЭП – 0,075 км)</t>
  </si>
  <si>
    <t>Строительство ВЛ 0,4 кВ от №13-18 ВЛ 0,4 кВ №1 КТП 10/0,4 кВ №13 ВЛ 10 кВ №3203 ПС 110/35/10 кВ А-32 и установка коммерческого учета электрической энергии (мощности) на границе земельного участка для электроснабжения жилого дома заявителя Покотило Н.Ф., Ростовская обл.  р-н. Азовский, с. Александровка (ориентировочная протяженность ЛЭП – 0,03 км)</t>
  </si>
  <si>
    <t>Строительство ВЛ 0,4 кВ от №44-64 ВЛ 0,4 кВ №3 КТП 10/0,4 кВ №44 по ВЛ 10 кВ №1107 ПС 35/10 кВ А-11 и установка коммерческого учета электрической энергии (мощности) на границе земельного участка для электроснабжения жилого дома заявителя Вердиева Т.И., с. Кагальник, Азовский р-он Ростовская область (ориентировочная протяженность ЛЭП – 0,04 км)</t>
  </si>
  <si>
    <t>Строительство ВЛ 0,4 кВ от №190-37 ВЛ 0,4 кВ №2 КТП 10/0,4 кВ №190 ВЛ 10 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Ибрагимова Т.М., с. Пешково, Азовский р-он Ростовская область (ориентировочная протяженность ЛЭП – 0,04 км)</t>
  </si>
  <si>
    <t>Строительство ВЛ 0,4 кВ от №93-30 ВЛ 0,4 кВ №1 КТП 10/0,4 кВ №93 ВЛ 10 кВ №802 ПС 35/10 кВ А-8 и установка коммерческого учета электрической энергии (мощности) на границе земельного участка для электроснабжения жилого дома заявителя Явруян О.А., с. Семибалки, Азовский р-он Ростовская область (ориентировочная протяженность ЛЭП – 0,110 км)</t>
  </si>
  <si>
    <t>Строительство ВЛ 0,4 кВ от №218-2 по ВЛ 0,4 кВ №1 КТП 10/0,4 кВ №218 ВЛ 10 кВ №901 ПС 35/10 кВ А-9 и установка коммерческого учета электрической энергии (мощности) на границе земельного участка для электроснабжения жилого дома заявителя Макаровой И.А., с. Высочино, Азовский район, Ростовская область (ориентировочная протяженность ЛЭП – 0,05 км)</t>
  </si>
  <si>
    <t>Строительство участка ВЛИ 0,4кВ в пролетах оп. №60-55 &amp;#247; 60-58 ВЛ-0,4 №1 от КТП-60 по ВЛ-10 204 ПС 110 кВ Краснолучинская и системы учета электрической энергии (мощности) на границе земельного участка для электроснабжения магазина заявителя Капиносовой Е.С., Ростовская обл., р-н. Зерноградский, х. Большая Таловая, ул. Буденного д.7 кв.2 (ориентировочная протяженность ВЛИ-0,4 – 0,1 км)</t>
  </si>
  <si>
    <t>Строительство ВЛ 0,4 кВ от №144-53 ВЛ 0,4 кВ №2 КТП 10/0,4кВ №144 ВЛ 10 кВ №1101 ПС 35/10 кВ А-11 и установка коммерческого учета электрической энергии (мощности) на границе земельного участка для электроснабжения объекта торговли заявителя ИП Воронцова А.А., с. Кагальник, Азовский район, Ростовская область (ориентировочная протяженность ЛЭП – 0,05 км)</t>
  </si>
  <si>
    <t>Строительство участка ВЛИ-0,4 кВ от проектируемой опоры (по договору ТП № 61-1-21-00610441 от 05.11.2021г.) ВЛ-0,4 №1 от ЗТП-28 по ВЛ-10 313 ПС 35 кВ КГ3 и системы учета электрической энергии (мощности) на границе земельного участка для электроснабжения жилого дома заявителя Глуховской А.В., Ростовская область, Кагальницкий р-н, ст. Кировская, ул. Северная д.8 (ориентировочная протяженность ВЛИ-0,4 – 0,06 км)</t>
  </si>
  <si>
    <t>Строительство участка ВЛИ 0,4 кВ от оп. №28-37 ВЛ-0,4 №1 от КТП-28 по ВЛ-10 313 ПС 35 кВ КГ3 и системы учета электрической энергии (мощности) на границе земельного участка для электроснабжения ЛПХ заявителя Аристакесяна С.А., Ростовская область, Кагальницкий р-н, ст. Кировская, ул. Северная д.6 (ориентировочная протяженность ВЛИ-0,4 – 0,025 км)</t>
  </si>
  <si>
    <t>Строительство участка ВЛИ-0,4кВ от опоры №251-9 ВЛ-0,4 кВ №2 КТП - №251 ВЛ-10 кВ №904 ПС 110 кВ Балко-Грузская и установка системы учета электрической энергии (мощности) на границе земельного участка для электроснабжения склада заявителя ИП Бойченко Н.А., х.Балко-Грузский, Егорлыкский р-он, Ростовская область (ориентировочная протяженность ЛЭП – 0,035 км)</t>
  </si>
  <si>
    <t>Строительство участка ВЛИ 0,4 кВ от оп. №89-10 ВЛ-0,4 №1 от КТП-89 по ВЛ-10 319 ПС 35 кВ КГ3 и системы учета электрической энергии (мощности) на границе земельного участка для электроснабжения ЛПХ заявителя Кустовой Т.Н., Ростовская область, Кагальницкий р-н, ст. Кировская, ул. Рабочая д.2А (ориентировочная протяженность ВЛИ-0,4 – 0,03 км)</t>
  </si>
  <si>
    <t>Строительство участка ВЛИ 0,4 кВ от оп. №89-134 ВЛ-0,4 №3 от КТП-89 по ВЛ-10 415 ПС 35 кВ КГ4 и системы учета электрической энергии (мощности) на границе земельного участка для электроснабжения ЛПХ заявителя Вишницкого И.И., Ростовская область, Кагальницкий р-н, с. Иваново-Шамшево, ул. Береговая д.2Г (ориентировочная протяженность ВЛИ-0,4 – 0,05 км)</t>
  </si>
  <si>
    <t>Строительство участка ВЛИ 0,4 кВ от оп. №33-22 ВЛ-0,4 №1 от КТП-33 по ВЛ-10 1402 ПС 110 кВ ЗР14 и системы учета электрической энергии (мощности) на границе земельного участка для электроснабжения квартиры заявителя Казачины В.Я., Ростовская область, Зерноградский р-н, х. Вишневка, пер. Западный д.5 кв.1 (ориентировочная протяженность ВЛИ-0,4 – 0,1 км)</t>
  </si>
  <si>
    <t>Строительство участка ВЛИ 0,4кВ от опоры б/н ВЛ-0,4 кВ КТП 10/0,4 кВ №35 (на балансе Администрации Елизаветинского сельского поселения) ВЛ-10кВ №1814 ПС 35/10 кВ А-18 и системы учета электрической энергии (мощности) на границе земельного участка для электроснабжения жилого дома заявителя Паксеевой С.В., х. Обуховка, Азовский район, Ростовская область (ориентировочная протяженность ЛЭП – 0,05 км)</t>
  </si>
  <si>
    <t>Строительство участка ВЛИ-0,4кВ от оп. №1 ВЛ-0,4 кВ №2 КТП-10/0,4 кВ №98 ВЛ-10 кВ №1815 ПС 35/10 кВ «А-18» и системы учета электрической энергии (мощности) на границе земельного участка для электроснабжения жилого помещения заявителя Яковлевой И.В., х. Колузаево, Азовский р-он Ростовская область (ориентировочная протяженность ЛЭП – 0,09 км)</t>
  </si>
  <si>
    <t>Строительство участка ВЛИ 0,4кВ от опоры №36-50 ВЛ 0,4 кВ №1 ЗТП 10/0,4 кВ №36 ВЛ 10кВ №1901 РП-19 ПС 110/35/10 кВ Самарская и системы учета электрической энергии (мощности) на границе земельного участка для электроснабжения жилого дома заявителя Рубаниковой С.А., п. Каяльский, Азовский район, Ростовская область (ориентировочная протяженность ЛЭП – 0,075 км)</t>
  </si>
  <si>
    <t>Строительство участка ВЛИ 0,4кВ от опоры №121-38 6 ВЛ 0,4 кВ №2 КТП 10/0,4 кВ №121 ВЛ 10 кВ №1904 РП-19 ПС 110/35/10 кВ Самарская и системы учета электрической энергии (мощности) на границе земельного участка для электроснабжения жилого дома заявителя Зеленской Е.А., с. Новотроицкое, Азовский район, Ростовская область (ориентировочная протяженность ЛЭП – 0,07 км)</t>
  </si>
  <si>
    <t>Строительство участка ВЛИ 0,4кВ от опоры №41-61 ВЛ-0,4 кВ №3 ЗТП 10/0,4 кВ №41 (бесхозная) ВЛ 10 кВ №2608 от ПС 110/10 кВ А-26 и системы учета электрической энергии (мощности) на границе земельного участка для электроснабжения жилого дома заявителя Гиносян М.В., с. Кулешовка, Азовский район, Ростовская область (ориентировочная протяженность ЛЭП – 0,07 км)</t>
  </si>
  <si>
    <t>Строительство участка ВЛ-0,4кВ от оп. №32-104 ВЛ-0,4кВ №1 КТП 10/0,4кВ № 32 ВЛ 10кВ № 2907 РП-29 ПС 35/10 кВ А-18 и системы учета электрической энергии (мощности) на границе земельного участка для электроснабжения жилого дома заявителя Галкиной Р.А., Ростовская область, Азовский р-н, х. Коса (ориентировочная протяженность ЛЭП – 0,060 км)</t>
  </si>
  <si>
    <t>Строительство ВЛ 0,4 кВ от №316-5 ВЛ-0,4 кВ №1 МТП 10/0,4 кВ №316 ВЛ-10 кВ №211 ПС 35/10 кВ А-2 и установка коммерческого учета электрической энергии (мощности) на границе земельного участка для электроснабжения жилого дома заявителя Онищенко А.Г., х. Новоалександровка, Азовский р-он Ростовская область (ориентировочная протяженность ЛЭП – 0,03 км)</t>
  </si>
  <si>
    <t>Строительство ВЛ 0,4 кВ от №311-3/8 ВЛ 0,4 кВ №3 МТП 10/0,4 кВ №311 ВЛ 10кВ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Иванова Д.Ю., СХА "Кулешовское" поле III о, Азовский район, Ростовская область (ориентировочная протяженность ЛЭП – 0,03 км)</t>
  </si>
  <si>
    <t>Строительство ВЛ 0,4 кВ от проектируемой ВЛ 0,4 кВ (по договору ТП № 61-1-21-00580865 от 10.06.2021 г.) КТП 10/0,4 кВ №6 ВЛ-10 кВ №3113 от ПС 110/35/10 кВ А-31 и установка коммерческого учета электрической энергии (мощности) на границе земельных участков для электроснабжения нежилого здания заявителя ИП Старикова В.В., с. Пешково, Азовский р-он Ростовская область (ориентировочная протяженность ЛЭП – 0,08 км</t>
  </si>
  <si>
    <t>Строительство ВЛ 0,4 кВ от опоры №10-21 ВЛ-0,4 кВ №1 КТП 10/0,4 кВ №10 ВЛ-10 кВ №3125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Сониной Л.В., с.Пешково, Азовский район, Ростовская область (ориентировочная протяженность ЛЭП – 0,09 км)</t>
  </si>
  <si>
    <t>Строительство ВЛ 0,4 кВ от проектируемой ВЛ 0,4 кВ (по договору ТП № 61-1-21-00597887 от 03.09.2021г с заявителем Томышевой А.С.) ТП 10/0,4 кВ №329 ВЛ-10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Шарипова Х.И., ДНТ «Виктория», Азовский р-он Ростовская область (ориентировочная протяженность ЛЭП – 0,075 км)</t>
  </si>
  <si>
    <t>Строительство ВЛИ 0,4 кВ от РУ 0,4 кВ КТП 10/0,4 кВ №74 ВЛ 10 кВ №405 ПС 35/10 кВ Е-4 и установка коммерческого учета электрической энергии (мощности) на границе земельного участка для электроснабжения нежилого здания заявителя Грекова В.Н., Егорлыкский район, Ростовская область, к.н. 61:10:0600010:2221 (ориентировочная протяженность ЛЭП – 0,220 км)</t>
  </si>
  <si>
    <t>Строительство ВЛИ 0,4 кВ от оп.78-16 кВ ВЛ-0,4кВ № 1 КТП-78 ВЛ 10 № 507 ПС 35 кВ Е-5 и установка коммерческого учета электрической энергии (мощности) на границе земельного участка для электроснабжения жилого дома заявителя Чернышова А.Ю., х.Дудукалов, Егорлыкский район, Ростовская область, к.н. 61:10:0080201:129 (ориентировочная протяженность ЛЭП – 0,017 км)</t>
  </si>
  <si>
    <t>Строительство участка ВЛИ 0,4кВ от опоры №3-15 ВЛ-0,4 кВ №1 КТП 10/0,4 кВ №3 ВЛ-10кВ №2903 РП-29 ПС 35/10 кВ «А-18» и системы учета электрической энергии (мощности) на границе земельного участка для электроснабжения жилого дома заявителя Берко А.С., х. Обуховка, Азовский район, Ростовская область (ориентировочная протяженность ЛЭП – 0,03 км)</t>
  </si>
  <si>
    <t>Строительство участка ВЛИ 0,4кВ от опоры №190-3 ВЛ 0,4 кВ №1 КТП 10/0,4 кВ №190 ВЛ 10 кВ №3113 от ПС 110/35/10 кВ А-31 и системы учета электрической энергии (мощности) на границе земельного участка для электроснабжения жилого дома заявителя Сементяевой И.А., с. Пешково, Азовский район, Ростовская область (ориентировочная протяженность ЛЭП – 0,130 км)</t>
  </si>
  <si>
    <t>Строительство ВЛ 0,4 кВ от №8-13 ВЛ 0,4 кВ №1 КТП 10/0,4 кВ №8 ВЛ 10 кВ 3125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Бригадир М.И., Ростовская обл.  р-н. Азовский, с. Пешково (ориентировочная протяженность ЛЭП – 0,07 км)</t>
  </si>
  <si>
    <t>Строительство ВЛ 10 кВ от опоры №31-108 по ВЛ 10 кВ №2412 ПС 35/10 кВ А-24, ТП 10/0,4 кВ, ВЛ 0,4 кВ и системы учета электрической энергии (мощности) на границе земельного участка для электроснабжения жилого дома заявителя Федорец К.С., Ростовская обл.  р-н. Азовский, х. Полушкин (ориентировочная протяженность ЛЭП– 0,100 км, ориентировочная трансформаторная мощность – 0,025 МВА)</t>
  </si>
  <si>
    <t>Строительство ВЛ 0,4 кВ от №390-3 ВЛ-0,4 кВ №1 КТП 6/0,4 кВ №390 ВЛ-6 кВ №10701 ПС 110/35/6 кВ А-1 и установка коммерческого учета электрической энергии (мощности) на границе земельного участка для электроснабжения жилого дома заявителя Тужакова С.П., г. Азов, Азовский район, Ростовская область (ориентировочная протяженность ЛЭП – 0,05 км)</t>
  </si>
  <si>
    <t>Строительство ВЛ 0,4 кВ от опоры №390-3 ВЛ-0,4 кВ №1 КТП 6/0,4 кВ №390 ВЛ-6 кВ №10701 ПС 110/35/6 кВ А-1 и установка коммерческого учета электрической энергии (мощности) на границе земельного участка для электроснабжения жилого дома заявителя Авсециной О.В., г.Азов, Городской округ «Город Азов», Ростовская область (ориентировочная протяженность ЛЭП – 0,065 км)</t>
  </si>
  <si>
    <t>Строительство ВЛ 0,4 кВ от опоры №205-46 ВЛ 0,4 кВ №2 КТП 10/0,4 кВ №205 ВЛ 10 кВ 3127 ПС 110/35/10 кВ А-31 и установка коммерческого учета электрической энергии (мощности) на границе земельного участка для электроснабжения нежилой застройки заявителя Шелест Н.А., с. Кагальник, Азовский район, Ростовская область (ориентировочная протяженность ЛЭП – 0,04 км)</t>
  </si>
  <si>
    <t>Строительство участка ВЛИ-0,4кВ от опоры №95-13 ВЛ-0,4 КТП-95 ВЛ-10кВ № 1106 ПС 35кВ Е-11 установленных в рамках исполнения договора ТП 61-1-21-00597631, с заявителем ИП Волгиным В.С. и установка системы учета электрической энергии (мощности) на границе земельного участка для электроснабжения нежилого здания (навес) заявителя ИП Дорганова Н.Н., х.Изобильный, Егорлыкский р-он, Ростовская область (ориентировочная протяженность ЛЭП – 0,105 км)</t>
  </si>
  <si>
    <t>Строительство участка ВЛИ 0,4 кВ от оп. №191-8 ВЛ-0,4 №1 от КТП-191 по ВЛ-10 318 ПС 35 кВ КГ3 и системы учета электрической энергии (мощности) на границе земельного участка для электроснабжения жилого дома заявителя Попхадзе И.Г., Ростовская область, Кагальницкий р-н, ст. Кировская, к.н. 61:14:0050131:667 (ориентировочная протяженность ВЛИ-0,4 – 0,04 км)</t>
  </si>
  <si>
    <t>Строительство ВЛИ 0,4 кВ от оп.77-23 кВ ВЛ-0,4кВ № 1 КТП-77 ВЛ 10 № 313 ПС 35 кВ КГ3 и установка коммерческого учета электрической энергии (мощности) на границе земельного участка для электроснабжения ЛПХ заявителя Фащеева А.С., ст. Кировская, Кагальницкий район, Ростовская область, к.н. 61:14:0050103:21 (ориентировочная протяженность ЛЭП – 0,11 км)</t>
  </si>
  <si>
    <t>Строительство участка ВЛИ-0,4кВ от  опоры №211-47 ВЛ-0,4кВ № 1  КТП-211 ВЛ-10кВ № 612 ПС 35кВ Е-6  и установка системы учета электрической энергии (мощности) на границе земельного участка для электроснабжения Церкви Святого Саркиса Святой Армянской Апостольской Православной Церкви заявителя Местная религиозная организация Святой Армянской Апостольской Православной Церкви., х.Шаумяновский, Егорлыкский р-он, Ростовская область (ориентировочная протяженность ЛЭП – 0,016 км)</t>
  </si>
  <si>
    <t>Строительство ВЛ 0,4 кВ от проектируемой ВЛ 0,4 кВ (по договору ТП № 61-1-20-00549837 от 26.01.2021 г.) КТП 10/0,4 кВ №25 ВЛ 10кВ №1815 ПС 35/10 кВ А-18 и установка коммерческого учета электрической энергии (мощности) на границе земельных участков для электроснабжения жилого дома заявителя Севериновой Л.И., х.Курган, Азовский р-он Ростовская область (ориентировочная протяженность ЛЭП – 0,330 км</t>
  </si>
  <si>
    <t>Строительство ВЛ-10 кВ от оп. №57 по ВЛ-10кВ №1002 от ПС 110/35/10 кВ «Самарская», ТП-10/0,4 кВ, ВЛ-0,4 кВ и системы учета электрической энергии (мощности) на границе земельного участка для электроснабжения строительной площадки заявителя ООО "ДАУАВИН", Ростовская обл.  р-н. Азовский, в границах землепользования бывшего ТОО «Самарское» (ориентировочная протяженность ЛЭП– 0,410 км, ориентировочная трансформаторная мощность – 0,025 МВА)</t>
  </si>
  <si>
    <t>Строительство ВЛ 0,4 кВ от оп. №48-79 ВЛ 0,4 кВ № 1 КТП 10/0,4 кВ № 48 ВЛ 10кВ № 1815 ПС 35/10 кВ А-18 и установка коммерческого учета электрической энергии (мощности) на границе земельных участков для электроснабжения жилого дома заявителя Головина О.В, Рыболовецкий колхоз им.Ленина, Азовский р-он Ростовская область (ориентировочная протяженность ЛЭП – 0,215 км)</t>
  </si>
  <si>
    <t>Строительство ВЛ 0,4 кВ от оп. №48-70 ВЛ 0,4 кВ № 1 КТП 10/0,4 кВ № 48 ВЛ 10кВ № 1815 ПС 35/10 кВ А-18 и установка коммерческого учета электрической энергии (мощности) на границе земельных участков для электроснабжения трех жилых домов заявителя Головина О.В, Рыболовецкий колхоз им.Ленина, Азовский р-он Ростовская область (ориентировочная протяженность ЛЭП – 0,240 км)</t>
  </si>
  <si>
    <t>Строительство участка ВЛИ-0,4кВ от опоры №42-23 ВЛ-0,4 кВ №2 КТП-10/0,4 кВ №42 по ВЛ-10 кВ № 707 ПС 35/10 кВ Е-7 и установка системы учета электрической энергии (мощности) на границе земельного участка для электроснабжения сельского дома культуры заявителя МБУК Войновского сельского поселения Егорлыкского района «Войновский СДК», Егорлыкский р-он Ростовская область (1шт), (ориентировочная протяженность ЛЭП – 0,016 км)</t>
  </si>
  <si>
    <t>Строительство ВЛ-10 кВ от опоры №120 ВЛ-10 кВ №1815 ПС 35/10 кВ А-18, ТП-10/0,4 кВ, ВЛИ-0,4 кВ для подключения жилых домов заявителя ООО «Флавия Норд» х. Городище, Азовский р-он, Ростовская область (ориентировочная протяженность ЛЭП – 0,715 км, ориентировочная трансформаторная мощность – 0,063 МВА)</t>
  </si>
  <si>
    <t>Строительство ВЛ 0,4 кВ от №120-40 ВЛ-0,4 кВ №1 КТП 10/0,4 кВ №120 ВЛ-10 кВ №1107 ПС 35/10 кВ А-11 и установка коммерческого учета электрической энергии (мощности) на границе земельного участка для электроснабжения жилого дома заявителя Павлова А.А., с. Кагальник, Азовский район, Ростовская область (ориентировочная протяженность ЛЭП – 0,05 км)</t>
  </si>
  <si>
    <t>Строительство ВЛ 0,4 кВ от проектируемой ВЛ 0,4 кВ (по договору ТП № 61-1-21-00589387 от 20.07.2021г.) КТП 10/0,4 кВ №329 ВЛ 10кВ №106Н ПС 110/6/10 кВ НС-1 и установка коммерческого учета электрической энергии (мощности) на границе земельных участков для электроснабжения жилого дома заявителя Стрюк В.А., ДНТ «Виктория», Азовский р-он Ростовская область (ориентировочная протяженность ЛЭП – 0,03 км)</t>
  </si>
  <si>
    <t>Строительство ВЛ 0,4 кВ от №160-19 ВЛ-0,4 кВ №1 КТП 10/0,4 кВ №160 ВЛ-10 кВ №1101 ПС 35/10 кВ А-11 и установка коммерческого учета электрической энергии (мощности) на границе земельных участков для электроснабжения жилых домов заявителей Наумова М.С., Наумовой Л.В., с. Кагальник, Азовский район, Ростовская область (ориентировочная протяженность ЛЭП – 0,03 км)</t>
  </si>
  <si>
    <t>Строительство ВЛ 0,4 кВ от №16-151 ВЛ-0,4 кВ №3 КТП 10/0,4 кВ №16 ВЛ 10 кВ №2608 от ПС 110/10 кВ А-26 и установка коммерческого учета электрической энергии (мощности) на границе земельного участка для электроснабжения жилого дома заявителя Дзюба Е.И., с. Кулешовка, Азовский р-он Ростовская область (ориентировочная протяженность ЛЭП – 0,03 км)</t>
  </si>
  <si>
    <t>Строительство ВЛ 0,4 кВ от опоры №217-57 ВЛ-0,4 кВ №2 КТП 10/0,4 кВ №217 ВЛ-10 кВ №1107 ПС 35/10 кВ А-11 и установка коммерческого учета электрической энергии (мощности) на границе земельного участка для электроснабжения жилого дома заявителя Нестеренко Д.А., с. Кагальник, Азовский район, Ростовская область (ориентировочная протяженность ЛЭП – 0,05 км)</t>
  </si>
  <si>
    <t>Техническое перевооружение ВЛ 0,22 кВ от опоры №136-33 до опоры №136-35 по ВЛ-0,4 кВ №1 КТП-10/0,4 кВ №136 ВЛ-10 кВ №803 ПС 35/10 кВ А-8 для обеспечения возможности технологического присоединения жилого дома заявителя Горобовской Т.В., с. Семибалки, Азовский район Ростовская область (ориентировочная протяженность ЛЭП – 0,085км)</t>
  </si>
  <si>
    <t>Строительство ВЛ 0,4 кВ от опоры №7-11 ВЛ-0,4 №1 КТП-7 ВЛ-10 114 ПС 220 кВ Зерновая и установка коммерческого учета электрической энергии (мощности) на границе земельного участка для электроснабжения жилого дома заявителя Варнавского А.В., г. Зерноград, Зерноградский район, Ростовская область, к.н. 61:12:0040806:47 (ориентировочная протяженность ЛЭП – 0,03 км)</t>
  </si>
  <si>
    <t>Строительство ВЛ 0,4 кВ от опоры №202-37 ВЛ-0,4 №2 КТП-202 ВЛ-10 319 ПС 35 кВ КГ3 и установка коммерческого учета электрической энергии (мощности) на границе земельного участка для электроснабжения ЛПХ заявителя Петренко В.В., п. Мокрый Батай, Кагальницкий район, Ростовская область, к.н. 61:14:0060110:584 (ориентировочная протяженность ЛЭП – 0,03 км)</t>
  </si>
  <si>
    <t>Строительство совместного подвеса ВЛИ-0,4 кВ от КТП-95 ВЛ 10кВ № 1106 ПС 35кВ Е-11 в пролетах опор № 95-1*95-13 ВЛ 10кВ № 1106 ПС 35кВ Е-11 и установка системы учета электрической энергии (мощности) на границе земельного участка для электроснабжения нежилого помещения заявителя ИП Волгина В.С., х.Изобильный Егорлыкский район, Ростовская область (1шт.), (ориентировочная протяженность ЛЭП – 0,500 км)</t>
  </si>
  <si>
    <t>Строительство ВЛ 0,4 кВ от опоры №134-5 ВЛ-0,4 №1 КТП-134 ВЛ-10 101 ПС 220 кВ Зерновая и установка коммерческого учета электрической энергии (мощности) на границе земельного участка для электроснабжения жилого дома заявителя Ерылкина С.А., Зерноградский р-н., Ростовская область, к.н. 61:12:0040573:55 (ориентировочная протяженность ЛЭП – 0,03 км)</t>
  </si>
  <si>
    <t>Строительство ВЛ 0,4 кВ от опоры №136-48 ВЛ-0,4 кВ №2 КТП 10/0,4 кВ №136 ВЛ 10 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Бойко М.А., с. Пешково, Азовский район, Ростовская область, к.н. 61:01:0140101:8159 (ориентировочная протяженность ЛЭП – 0,08 км)</t>
  </si>
  <si>
    <t>Строительство ВЛ 0,4 кВ от опоры №311-1/10 ВЛ-0,4 кВ №3 МТП 10/0,4 кВ №311 ВЛ 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Хачатуровой Е.С., Ростовская область, Азовский район, СХА "Кулешовское" поле III о, к.н. 61:01:0600006:5005 (ориентировочная протяженность ЛЭП – 0,060 км)</t>
  </si>
  <si>
    <t>Строительство ВЛ 0,4 кВ от опоры №4-93 ВЛ-0,4 №4 КТП-4 ВЛ-10 305 ПС 35 кВ КГ3 и установка коммерческого учета электрической энергии (мощности) на границе земельного участка для электроснабжения жилого дома заявителя Белова С.А., ст. Кировская, Кагальницкий р-н, Ростовская область, к.н. 61:14:0050150:456 (ориентировочная протяженность ЛЭП – 0,07 км)</t>
  </si>
  <si>
    <t>Строительство ВЛ 0,4 кВ от оп. №63-29 ВЛ-0,4 №2 от КТП-63 по ВЛ-10 319 ПС 35 кВ КГ3 и системы учета электрической энергии (мощности) на границе земельного участка для электроснабжения жилого дома заявителя Суриковой В.В., Ростовская область, Кагальницкий р-н. п. Новоракитный, к.н. 61:14:0050902:110 (ориентировочная протяженность – 0,05 км)</t>
  </si>
  <si>
    <t>Строительство участка ВЛИ 0,4 кВ от оп. №123-41 ВЛ-0,4 №1 от КТП-123 по ВЛ-10 114 ПС 220 кВ Зерновая и системы учета электрической энергии (мощности) на границе земельного участка для электроснабжения жилого дома заявителя Забей-Ворота И.Г., Ростовская область, Зерноградский р-н, г. Зерноград, пер. Волжский д.5 (ориентировочная протяженность ВЛИ-0,4  – 0,23 км)</t>
  </si>
  <si>
    <t>Техническое перевооружение ВЛИ 0,4 кВ от оп. №5-11 ВЛ-0,4 №1 от КТП-5 по ВЛ-10 1407 ПС 110 кВ ЗР14 и системы учета электрической энергии (мощности) на границе земельного участка для электроснабжения квартиры заявителя Ивановой И.И., Ростовская область, Зерноградский р-н, х. Гуляй-Борисовка, к.н. 61:12:0011228:1(ориентировочная протяженность – 0,31 км)</t>
  </si>
  <si>
    <t>Строительство ВЛИ 0,4 кВ от РУ 0,4 кВ КТП -113 ВЛ 10 кВ №203 ПС 110 кВ Егорлыкская и установка коммерческого учета электрической энергии (мощности) на границе земельного участка для электроснабжения нежилого здания (склада) заявителя ИП Губиной В.Н., Егорлыкский район, Ростовская область, к.н. 61:10:0600014:2602 (ориентировочная протяженность ЛЭП – 0,550 км)</t>
  </si>
  <si>
    <t>Строительство ВЛ-10 кВ от оп. №71 по ВЛ-10кВ №1815 ПС 35/10 кВ А-18, ТП-10/0,4 кВ, ВЛ-0,4 кВ и системы учета электрической энергии (мощности) на границе земельного участка для электроснабжения жилого дома заявителя Зубова А.В., в 850 м от ориентира ПТ «Городище» по направлению на юго-восток Азовский район, Ростовская область (ориентировочная протяженность ЛЭП– 0,230 км, ориентировочная трансформаторная мощность – 0,025 МВА)</t>
  </si>
  <si>
    <t>Строительство участка ВЛИ 0,4кВ от РУ-0,4кВ КТП 10/0,4 кВ №46 ВЛ 10 кВ №1815 ПС 35/10 кВ А-18 и системы учета электрической энергии (мощности) на границе земельного участка для электроснабжения жилого дома заявителя Кравченко В.Н., х.Обуховка, Азовский район, Ростовская область (ориентировочная протяженность ЛЭП – 0,270 км)</t>
  </si>
  <si>
    <t>Строительство участка ВЛИ 0,4кВ от опоры №43-45 ВЛ 0,4 кВ №2 КТП 10/0,4 кВ №43 ВЛ 10 кВ 105Н ПС 110/6/10 кВ НС-1 и системы учета электрической энергии (мощности) на границе земельного участка для электроснабжения жилого дома заявителя Рындина Ю.Б., х. Шмат, Азовский район, Ростовская область (ориентировочная протяженность ЛЭП – 0,205 км)</t>
  </si>
  <si>
    <t>Строительство ВЛ-10 кВ от оп. №188 по ВЛ-10кВ №801 ПС 35/10 кВ «ЗР-8», ТП-10/0,4 кВ, ВЛ-0,4 кВ и системы учета электрической энергии (мощности) на границе земельного участка для электроснабжения производственной базы заявителя Перетятько А.А., х. Клюев, 3,6 км на северо-запад от него, Зерноградский р-н, Ростовская область (ориентировочная протяженность ЛЭП– 0,08 км, ориентировочная трансформаторная мощность – 0,063 МВА)</t>
  </si>
  <si>
    <t>Строительство ЛЭП 10 кВ от опоры № 22 по ВЛ 10 кВ №1101 ПС 35/10 кВ А-11,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Потапенко Н.М., Ростовская область, Азовский район, с.Кагальник, ул.Тельмана (ориентировочная протяженность ЛЭП– 0,070 км, ориентировочная трансформаторная мощность – 0,250 МВА)</t>
  </si>
  <si>
    <t>Строительство ЛЭП 10 кВ от опоры № 109 по ВЛ 10 кВ №1001 ПС 110/35/10 кВ Самарская, ТП 10/0,4 кВ, ЛЭП 0,4 кВ и установка системы учета электрической энергии (мощности) на границе земельного участка для электроснабжения нежилого строения ИП Корнилова С.В., Ростовская область, Азовский район, х. Победа (ориентировочная протяженность ЛЭП– 0,06 км, ориентировочная трансформаторная мощность – 0,250 МВА)</t>
  </si>
  <si>
    <t>Строительство ЛЭП 10 кВ от опоры №1-137 по ВЛ 10 кВ №1701 ПС 35/10 кВ А-17, ТП 10/0,4 кВ, ЛЭП 0,4 кВ и установка системы учета электрической энергии (мощности) на границе земельного участка для электроснабжения объектов заявителя ИП Мироненко С.А., Ростовская область, Азовский район, с. Круглое (ориентировочная протяженность ЛЭП– 0,09 км, ориентировочная трансформаторная мощность – 0,250 МВА)</t>
  </si>
  <si>
    <t>Строительство ВЛ-10 кВ от оп. №47 ВЛ-10 кВ №1815 ПС 35/10 кВ А-18, ТП-10/0,4 кВ, ВЛИ-0,4 кВ для подключения жилого дома заявителя Малыгина Е.В. х. Городище, Азовский район Ростовская область (ориентировочная протяженность ЛЭП – 0,860 км, ориентировочная трансформаторная мощность – 0,025 МВА)</t>
  </si>
  <si>
    <t>Строительство ВЛ 10 кВ от опоры № 6 по ВЛ 10 кВ №1010 РП-10 ПС 220/110/10 кВ А-20, ТП 10/0,4 кВ, ВЛИ 0,4 кВ и установка системы учета электрической энергии (мощности) на границе земельного участка для электроснабжения объекта наружного освещения ул. Дружбы заявителя Министерство транспорта Ростовской области, г. Азов, Ростовская область (ориентировочная протяженность ЛЭП– 0,065 км, ориентировочная трансформаторная мощность – 0,025 МВА)</t>
  </si>
  <si>
    <t>Строительство ВЛ-10 кВ от оп. 10 кВ оп. №20-131 (бесхозная) по ВЛ-10кВ №801 ПС 35/10 кВ «А-8», ТП-10/0,4 кВ, ВЛИ-0,4 кВ и установка системы учета электрической энергии (мощности) на границе земельного участка для электроснабжения дачного дома заявителя Гладкова Л.Я., х. Павло-Очаково, Азовский район Ростовская область (ориентировочная протяженность ЛЭП– 0,085 км, ориентировочная трансформаторная мощность – 0,025 МВА)</t>
  </si>
  <si>
    <t>Строительство ВЛ 6 кВ от опоры № 11 по ВЛ 6 кВ №10706 ПС 110/35/6 кВ А-1, ТП 6/0,4 кВ, ВЛИ 0,4 кВ и установка системы учета электрической энергии (мощности) на границе земельного участка для электроснабжения производственного помещения заявителя Зозуля С.Ю., г.Азов, Ростовская область (ориентировочная протяженность ЛЭП– 0,04 км, ориентировочная трансформаторная мощность – 0,250 МВА)</t>
  </si>
  <si>
    <t>Строительство ВЛ-10 кВ от оп. №57 по ВЛ-10кВ №1002 от ПС 110/35/10 кВ «Самарская», ТП-10/0,4 кВ, ВЛ-0,4 кВ и системы учета электрической энергии (мощности) на границе земельного участка для электроснабжения жилого дома заявителя Триф И.В., Ростовская обл.  р-н. Азовский, в границах землепользования бывшего ТОО «Самарское» (ориентировочная протяженность ЛЭП– 0,03км, ориентировочная трансформаторная мощность – 0,025 МВА)</t>
  </si>
  <si>
    <t>Строительство ЛЭП 10 кВ от опоры № 5-34 по ВЛ 10 кВ №1101 ПС 35/10 кВ А-11, ТП 10/0,4 кВ, ЛЭП 0,4 кВ и установка системы учета электрической энергии (мощности) на границе земельного участка для электроснабжения нежилого помещения заявителя Оганесян М.В., Ростовская область, Азовский район, с.Кагальник, ул.Пролетарская (ориентировочная протяженность ЛЭП– 0,060 км, ориентировочная трансформаторная мощность – 0,160 МВА)</t>
  </si>
  <si>
    <t>Строительство ЛЭП 10 кВ от опоры №184 по ВЛ 10 кВ №3129 ПС 110/35/10 кВ А-31, 2хТП 10/0,4 кВ, ЛЭП 0,4 кВ и установка системы учета электрической энергии (мощности) на границе земельных участков для электроснабжения 4-х объектов сельскохозяйственного производства заявителя ИП Глава К(Ф)Х Дорошенко Р.И., в границах СПК «Заветы Ильича», поля №137-140, №124, №122, №121 Азовский район, Ростовская область, к.н. 61:01:0600012:734, к.н. 61:01:0600012:726, к.н. 61:01:0600012:933, к.н. 61:01:0600012:723 (ориентировочная протяженность ЛЭП- 1,590 км, ориентировочная трансформаторная мощность – 2х0,400 МВА)</t>
  </si>
  <si>
    <t>Строительство ЛЭП 10 кВ от опоры № 159 по ВЛ 10 кВ 1507 ПС 110/10кВ ЗР15, ТП 10/0,4 кВ, ЛЭП 0,4 кВ и установка системы учета электрической энергии (мощности) на границе земельного участка для электроснабжения здания проходной заявителя ИП Харьковской А.А., Ростовская область, г. Зерноград, к.н. 61:12:0040102:422 (ориентировочная протяженность ЛЭП– 0,045 км, ориентировочная трансформаторная мощность – 0,250 МВА)</t>
  </si>
  <si>
    <t>Строительство ЛЭП 10 кВ от опоры №6-1 по ВЛ 10 кВ №801 ПС 35/10 кВ А-8, ТП 10/0,4 кВ, ЛЭП 0,4 кВ и установка системы учета электрической энергии (мощности) на границе земельного участка для электроснабжения базы отдыха Савченко В.Ю., Ростовская область, Азовский район, х. Павло-Очаково (ориентировочная протяженность ЛЭП– 0,06 км, ориентировочная трансформаторная мощность – 0,250 МВА)</t>
  </si>
  <si>
    <t>Строительство ЛЭП 10 кВ от опоры №57 по ВЛ 10 кВ №107Н ПС 110/10/6 кВ НС-1, ТП 10/0,4 кВ, ЛЭП 0,4 кВ и установка системы учета электрической энергии (мощности) на границе земельного участка для электроснабжения складского помещения ООО «СпецТех», Ростовская область, Азовский район, п. Овощной (ориентировочная протяженность ЛЭП– 0,03 км, ориентировочная трансформаторная мощность – 0,250 МВА)</t>
  </si>
  <si>
    <t>Строительство ЛЭП 10 кВ от опоры №34 по ВЛ 10 кВ №1107 ПС 35/10 кВ А-11, ТП 10/0,4 кВ, ЛЭП 0,4 кВ и установка системы учета электрической энергии (мощности) на границе земельного участка для электроснабжения магазина ИП Мироненко С.А., Ростовская область, Азовский район, с. Кагальник (ориентировочная протяженность ЛЭП– 0,03 км, ориентировочная трансформаторная мощность – 0,100 МВА)</t>
  </si>
  <si>
    <t>Строительство ЛЭП 10 кВ от опоры №224 по ВЛ 10 кВ №103 ПС 110/35/10 кВ Звонкая-110, ТП 10/0,4 кВ, ЛЭП 0,4 кВ и установка системы учета электрической энергии (мощности) на границе земельного участка для электроснабжения складского здания заявителя ИП Роговой Т.А., Ростовская область, Кагальницкий район, к.н.: 61:14:0600019:3331 (ориентировочная протяженность ЛЭП– 0,070 км, ориентировочная трансформаторная мощность – 0,250 МВА)</t>
  </si>
  <si>
    <t>Строительство ВЛ-10 кВ от оп. №11-48 по ВЛ-10кВ 318 ПС 35 кВ КГ3, ТП-10/0,4 кВ, ВЛ-0,4 кВ и системы учета электрической энергии (мощности) на границе земельного участка для электроснабжения гаражей, заявителя ИП Мизюковой Т. В., Ростовская обл.  р-н. Кагальницкий, х. Николаевский, ул. Луговая: д. 199А; 197А (ориентировочная протяженность ЛЭП– 0,10км, ориентировочная трансформаторная мощность – 0,250 МВА)</t>
  </si>
  <si>
    <t>Строительство ЛЭП 10 кВ от опоры № 41 по ВЛ 10 кВ №1002 ПС 110/35/10 кВ Самарская,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Высочина Г.В., Ростовская область, Азовский район, с.Самарское, пер.Жданова (ориентировочная протяженность ЛЭП– 0,380км, ориентировочная трансформаторная мощность – 0,250 МВА)</t>
  </si>
  <si>
    <t>Строительство участка ВЛ-0,4 кВ от опоры № 1, ВЛ-0,4 кВ №1, КТП №680, ВЛ-6 кВ «Восход», ПС 110/6 кВ «Б-1», для подключения жилого дома Жигулиной О.М., расположенного по адресу: Ростовская обл., Белокалитвинский р-н, х.Поцелуев, ул.Есенина д. 19, кв. 2. (ориентировочная протяженность ЛЭП – 0,355 км)</t>
  </si>
  <si>
    <t>Строительство участка ВЛ-0,4 кВ от опоры № 28, ВЛ-0,4 кВ №2, КТП №168, ВЛ-10 кВ №1, ПС 110/35/10/6 кВ «К-4», для подключения строящегося жилого дома Воликова Л.В. расположенного по адресу: Ростовская обл., Каменский р-н, х. Астахов, ул. Кирова, д.24, корпус А к.н. 61:15:020201:0056 (ориентировочная протяженность ЛЭП – 0,149км)</t>
  </si>
  <si>
    <t>Строительство участка ВЛИ-0,4 кВ от опоры № 2, ВЛ-0,4 кВ № 1, КТП № 89, ВЛ-10 кВ № 3, ПС 110/10 кВ «Головокалитвинская», для подключения жилого дома Похивка Е.Г., расположенного по адресу: Ростовская обл., Белокалитвинский р-н, х. Раздолье, улица Лесная, дом № 12, КНЗУ 61:04:0090301:48 (ориентировочная протяженность ЛЭП – 0,150 км, прибор учёта электроэнергии - 1 шт.)</t>
  </si>
  <si>
    <t>Строительство участка ВЛ-0,4 кВ от ВЛ-0,4 кВ № 1 КТП №123, ВЛ 10 кВ № 4, ПС-110/10 кВ «Головокалитвинская», для подключения модульного здания Дома культуры МБУК Литвиновская клубная смстема, расположенного по адресу: Ростовская обл., Белокалитвинский р-н, х. Кононов, ул. Центральная, д. 66 а, к.н.з.у. 61:04:0090402:561 (ориентировочная протяженность ЛЭП – 0,077 км,  прибор учёта электроэнергии - 1 шт.)</t>
  </si>
  <si>
    <t>Строительство участка ВЛИ-0,4 кВ  от ВЛ – 0,4 кВ № 1, КТП №  22,ВЛ-10  кВ  №  2, ПС  110/35/10/6  кВ   «К - 4»  для  подключения  жилого  дома Долженко С.И., расположенного по адресу: Ростовская область, Каменский район, хутор Масаловка, ул. Дружбы, д. № 17, корпус В, КНЗУ 61:15:0080201:1623 (ориентировочная протяженность ЛЭП – 0,356 км, прибор учёта электроэнергии - 1 шт.)</t>
  </si>
  <si>
    <t>Строительство участка ВЛ-0,4 кВ от РУ-0,4 кВ КТП № 138, ВЛ- 10 кВ №4, ПС 35/10 кВ «Обливская-2», для подключения жилых домов Гончаровой О.В., Жаманбалиевой А.Б., расположенных по адресу: Ростовская область, Обливский район, х. Трухин, ул. Овражная дом 5, 10, к.н. 61:27:0050701:13, 61:27:0050701:38, (ориентировочная протяженность ЛЭП – 0,607 км, прибор учёта электроэнергии – 2 шт.)</t>
  </si>
  <si>
    <t>Строительство участка ВЛ-10 кВ от опоры № 17 Л-205, ВЛ-10 кВ № 3, ПС 35/10 кВ «Каменская СХТ», ТП 10/0,4 кВ и ВЛ-0,4 кВ от РУ-0,4 кВ проектируемой ТП 10/0,4 кВ, для подключения строящегося склада ИП Рудакова Д.В. расположенного по адресу: Ростовская обл., Каменский р-н, х. Старая Станица,АКХ «Колос», пастбище 12г, КН ЗУ 61:15:06002101:2655 (ориентировочная протяженность ЛЭП –1,420 км, трансформаторная мощность – 0,160 МВА, прибор учёта электроэнергии - 1шт)</t>
  </si>
  <si>
    <t>Строительство участка ВЛИ-0,4кВ от РУ-0,4кВ КТП 10/0,4кВ №6 ВЛ-10 №3113 ПС 110/35/10 «А-31» для подключения ангара заявителя Главы КФХ Могила В.П., с. Пешково Азовский район, Ростовская область (ориентировочная протяженность ЛЭП – 0,150км)</t>
  </si>
  <si>
    <t>Строительство участка ВЛИ 0,4кВ от РУ-0,4кВ КТП 10/0,4 кВ №48 ВЛ 10 кВ №1815 ПС 35/10 кВ А-18 и системы учета электрической энергии (мощности) на границе земельного участка для электроснабжения жилого дома заявителя Назаретян С.Ш., Рыболовецкий колхоз им. Ленина, Азовский район, Ростовская область (ориентировочная протяженность ЛЭП – 0,700 км)</t>
  </si>
  <si>
    <t>Строительство ВЛ 10 кВ от опоры №104 по ВЛ 10 кВ №3113 ПС 110/35/10 кВ А-31, ТП 10/0,4 кВ, ВЛ 0,4 кВ и установка систем учета электрической энергии (мощности) на границе земельных участков для электроснабжения 10 жилых домов заявителя ООО «РСК Юг», с. Пешково, Азовский район, Ростовская область (ориентировочная трансформаторная мощность – 0,250 МВА, ориентировочная протяженность ЛЭП– 0,200 км)</t>
  </si>
  <si>
    <t>Техническое перевооружение ВЛ 0,4 кВ №1 от РУ-0,4 кВ КТП 10/0,4 кВ №143 ВЛ 10 кВ №1411 РП-14 ПС 110/35/10 кВ А-32 для обеспечения возможности технологического присоединения объектов заявителей Самойленко Д.М., Самойленко М.В., п. Новополтавский, Азовский район Ростовская область (ориентировочная протяженность ЛЭП – 0,590км)</t>
  </si>
  <si>
    <t>Строительство КВЛ 6 кВ от резервной ячейки 6 кВ №18 «Резерв -18» на ПС 110/35/6 кВ «Гундоровская», для технологического присоединения тепличного комплекса ООО "ПМТ», расположенного по адресу: Ростовская область, городской округ муниципальное образование «Город Донецк»  г. Донецк, ул. Чехова, 26,  к.н.з.у. 61:5:0020105:471 (ориентировочная протяженность ЛЭП 0,12 км, в том числе ГНБ 0,03 км, прибор учёта электроэнергии 2 МВт - 1шт)</t>
  </si>
  <si>
    <t>Строительство ВЛЗ-10 кВ от ПС 35/10 кВ Е-1, ТП-10/0,4 кВ, ВЛИ-0,4 кВ для подключения дачного домика заявителя Берковцева В.В., Егорлыкский р-он, Ростовская область (ориентировочная протяженность ЛЭП – 0,470 км, ориентировочная трансформаторная мощность – 0,025 МВА)</t>
  </si>
  <si>
    <t>Строительство участка ВЛ-6 кВ от существующей оп. №127 ВЛ-6 кВ «Россия» от ПС Ш-12, с установкой ТП-6/0,4 кВ, и строительство ВЛИ-0,4 кВ от вновь установленной ТП-6/0,4 кВ для присоединения кондитерского цеха ИП Сенаторова Н.А. (ориентировочная протяженность ЛЭП 0,015 км, ориентировочная мощность трансформатора 160 кВА)</t>
  </si>
  <si>
    <t xml:space="preserve"> Строительство участка ВЛ-10 кВ от существующей оп. №243 по ВЛ-10 кВ «Федоровка» от ПС С-5, с установкой ТП-10/0,4 кВ, и строительство ВЛИ-0,4 кВ от вновь установленной ТП-10/0,4 кВ для присоединения ВРУ-0,4 кВ освещения, насосов, Ростовская обл., Красносулинский район, СПК «Федоровский», примерно 5,8 км от х. Обухов №4 (ООО Щебторг) (ориентировочная протяженность ЛЭП 0,56 км, ориентировочная мощность трансформатора 250 кВА)</t>
  </si>
  <si>
    <t>«Строительство ВЛ 10 кВ от  проектируемой ВЛ 10 кВ (по договору № 61-1-19-00480445 от 20.11.2019г.) от опоры №65/49 по ВЛ 10 кВ №8 ПС 35/10кВ «Ореховская», строительство ПКУ на границе балансовой принадлежности, для технологического присоединения КФХ заявителя, ООО «Транс - Маркет», расположенного в Ростовской области, Миллеровский р-н, х. Локтев,  (61:22:0600027:46), (ориентировочная   протяженность ЛЭП – 0,22 км.)»</t>
  </si>
  <si>
    <t>Строительство   ВЛ 10 кВ от опоры №110/73 по ВЛ 10 кВ №5 ПС 110/10кВ «Дёгтевская», строительство ПКУ на границе балансовой принадлежности, для технологического присоединения объекта торговли, Заявитель ООО «МАК-Лоджистик»., расположенного в Ростовской области, Миллеровский р-н, с северной стороны от сл. Дёгтево (61:22:0600006:1508), ориентировочная   протяженность ЛЭП – 0,1 км.</t>
  </si>
  <si>
    <t>Строительство ВЛ 0,4 кВ от ВЛ 0,4 кВ №2 ТП 10/0,4 кВ №190 ВЛ 10 кВ №6 ПС 35/10 кВ «Покровская», для технологического присоединения жилого дома заявителя Лойторенко В.Н. по адресу: Ростовская область, Неклиновский р-н, с. Покровское, ул. 1 Мая, 10 А, к.н. № 61:26:0050140:924 (ориентировочная протяженность ЛЭП - 0,13 км)</t>
  </si>
  <si>
    <t>Реконструкция участка ВЛИ-0,4 кВ от опоры №1/3 до опоры №1/9 ВЛ-0,4 кВ №1 КТП-3458 ВЛ-10 кВ №2  ПС 35 кВ Комиссаровская и установка прибора коммерческого учета электрической энергии (мощности) в точке поставки для присоединения жилого помещения Ульяновой Т.Г., расположенного по адресу: Ростовская область, Дубовский район, х. Сиротский, ул. Молодежная, д. 28, кв. 1, к.н.з.у. 61:09:0090101:1813 (ориентировочная протяженность ЛЭП 0,21 км)</t>
  </si>
  <si>
    <t xml:space="preserve">Строительство ВЛ 0,4 кВ от РУ 0,4 кВ КТП 10 кВ №447, ВЛ 10 кВ №705 ПС 35 кВ В7 для электроснабжения жилого дома Оджа Р. М. на участке с КН 61:06:0020101:6 в Веселовском районе, РО, х. Верхнесоленый, ул. Заречная, 14 </t>
  </si>
  <si>
    <t>Строительство ВЛ 10 кВ от ВЛ 10 кВ №407 ПС 110 кВ СМ4 до проектируемой  ВЛ 10 кВ по договору №61-1-19-00486467 (ООО Стройснаб), строительство ТП 10/0,4 кВ, ВЛ 0,4 кВ, ВЛ10 кВ от ВЛ10 кВ КРС №407 ПС110 Ш34 для электроснабжения ВРУ-0,4 кВ нежилого здания заявителя Синцова В.В. по адресу: Р.О., Усть-Донецкий р-н, ст-ца Раздорская, левый берег р. Дон, к.н.: 61:39:0000000:6684 (ориентировочная мощность трансформатора 0,040 МВА, ориентировочная протяжённость ЛЭП 5,455км)» (II этап)</t>
  </si>
  <si>
    <t>Строительство ВЛ 10 кВ от опоры № 214-188 по ВЛ-10кВ №1802 ПС 35/10 кВ А-18, ТП 10/0,4 кВ, ВЛ 0,4 кВ и установка системы учета электрической энергии (мощности) на границе земельного участка для электроснабжения жилого дома заявителя Пасика Р.П., х.Донской Азовского района, Ростовская область (ориентировочная протяженность ЛЭП– 0,06 км, ориентировочная трансформаторная мощность – 0,025 МВА)</t>
  </si>
  <si>
    <t xml:space="preserve">Строительство КЛ 6 кВ, ТП 6/0,4 кВ, КЛ 0,4 кВ от КЛ 6 кВ №24-25 ПС 110 кВ Р24 для электроснабжения производственной базы (ИП Бабичева Т.Ф.) расположенного по адресу: г. Ростов-на-Дону, пер. Радиаторный, д.11/3, к.н. 61:44:0081116:56 </t>
  </si>
  <si>
    <t>Строительство ТП 6/0,4 кВ, КЛ 6 кВ от опоры №36 ВЛ 6 кВ №603 ПС 110 кВ АС6 для электроснабжения подсобного хозяйства Религиозной организации «Свято-Донской Старочеркасский мужской монастырь Ростовской-на-Дону Епархии Русской Православной Церкви (Московской Патриархат)</t>
  </si>
  <si>
    <t xml:space="preserve">Строительство КЛ 0,4 кВ от РУ 0,4 кВ ТП 10/0,4 кВ №113 по КЛ 10 кВ №625, №628 ПС 110 кВ Р6 для электроснабжения жилого дома Ивлеевой А.О. в г. Ростов-на-Дону, ул. Прогулочная, д.5 </t>
  </si>
  <si>
    <t xml:space="preserve">Строительство КЛ 10 кВ от КЛ 10 кВ №104ф1 РП 10 кВ №104 ПС 110 кВ Р19 для электроснабжения автомобильного салона (ИП Недогоновой Т.В.), расположенной по адресу: г. Ростов-на-Дону, ул. Доватора, д. 273, КН 61:44:0070502:19 </t>
  </si>
  <si>
    <t xml:space="preserve">Строительство ТП 6/0,4 кВ, КЛ 6 кВ от КЛ 6 кВ №31-44 ПС 110 кВ Р31 для электроснабжения производственной базы, на участке с КН 61:44:0062502:273 в г. Ростов-на-Дону, ул. Луговая 2-я, д.10, корп. А. </t>
  </si>
  <si>
    <t xml:space="preserve">Строительство ТП-10/0,4 кВ, ЛЭП 10 кВ, ЛЭП 0,4 кВ от опоры № 50 ВЛ 10 кВ №401 ПС 110 кВ АС4 для электроснабжения нежилых зданий ИП Гулуа Р.З., для электроснабжения ВРУ 0,4 кВ нежилых зданий ООО «Экогазтехнолоджи» в х. Ленина, ул. Тенисная, Аксайского района, Ростовской области </t>
  </si>
  <si>
    <t>3.1.2.1.3.1</t>
  </si>
  <si>
    <t>Строительство КЛ в траншеях многожильные с резиновой и пластмассовой изоляцией сечением провода от 100 до 200 квадратных мм включительно с одним кабелем в траншее</t>
  </si>
  <si>
    <t xml:space="preserve">Строительство двух КВЛ 10 кВ от ячеек №23 и №24 ПС 110 кВ АС10 для электроснабжения РТП-1 ГК “Российские автомобильные дороги” на участке с КН 61:55:0010901:10 в г. Новочеркасске Ростовской области </t>
  </si>
  <si>
    <t>«Строительство КЛ 0,4 кВ от ТП 6/0,4 кВ №305 по КЛ 6кВ №161 и КЛ 6кВ №162 от РП 6кВ №16 по КЛ 6кВ №1316/1 и КЛ 6кВ №1316/2 от ПС 110/35/6 кВ Т-13 для технологического присоединения нежилого помещения Заявителя (АО «ИНТЭК») по адресу: Ростовская область, г. Таганрог, ул. 4-я Линия, к.н. 61:58:0004524:30 (ориентировочная протяженность ЛЭП 2х0,26 км)»</t>
  </si>
  <si>
    <t>3.6.2.1.2.1.</t>
  </si>
  <si>
    <t>Кабельные линии, прокладываемые методом горизонтального наклонного бурения, многожильные с резиновой или пластмассовой изоляцией сечением провода от 50 до 100 квадратных мм включительно с одной трубой в скважине</t>
  </si>
  <si>
    <t>0,4кВ</t>
  </si>
  <si>
    <t xml:space="preserve"> Строительство ТП-10/0,4 кВ от существующей оп.№59 ВЛ 10 кВ «Кутейниково» ПС 110/35/10 кВ Н-9 и ВЛИ-0,4 кВ от вновь установленной ТП-10/0,4 кВ для присоединения стоянки для с/х техники ИП Раздорского А.В. (ориентировочная протяженность ЛЭП 0,020 км, ориентировочная мощность трансформатора 25 кВА)</t>
  </si>
  <si>
    <t>Строительство ТП 6/0,4 кВ, ВЛ 0,4 кВ, ВЛ 6 кВ от ВЛ 6 кВ №807 ПС 35 кВ АС8 для электроснабжения ВРУ 0,4 кВ нежилой застройки Чевычалова А. И. на участке с КН 61:02:0600011:1281 в х. Большой Лог Аксайского района Ростовской области</t>
  </si>
  <si>
    <t>"Строительство ВЛ 10 кВ от опоры №1-00/183 ВЛ 10 кВ Л-1 Ивановская, строительство КТП 10/0,4 и ВЛ 0,4 кВ для электроснабжения объекта –«насосная станция», расположенного по адресу: РФ, Ростовская область, Сальский район, с. Ивановка, 6 км от с. Ивановка, стр. б/н, к.н.з.у. 61.34.0600018:0966, заявитель Колесников М.М.» (Ориентировочная протяженность ЛЭП - 4,41 км, ориентировочная мощность ТП – 0,025 МВА)"</t>
  </si>
  <si>
    <t>Техническое перевооружение ТП 10/0,4 кВ №3-101 по ВЛ 10 кВ №3 ПС 110/35/10 кВ Чалтырь с заменой силового трансформатора для технологического присоединения Заявителей (Хартавакян А.А., Хошафян А.М., Лимарев А.И.) по адресу: Ростовская область, Мясниковский район, с. Чалтырь, линия 16-я, д.24, д.26, ул. Олимпийская, д №28-а (мощность силового трансформатора 100 кВА)</t>
  </si>
  <si>
    <t>Строительство участка ВЛ-10 кВ от опоры №29 ВЛ-10 кВ №13 ПС 35/10 кВ Андреевская, с установкой ТП-10/0,4 кВ и строительство ВЛИ-0,4 кВ от РУ-0,4 кВ вновь установленной ТП-10/0,4 кВ  для присоединения жилого помещения Отроды Т.П., квартиры Кравченко Л.В. и квартиры в жилом доме Яценко В.Р., расположенных по адресам: Ростовская область, Дубовский район, станица Андреевская, ул. Восточная, д.34, кв.2, к.н. 61:09:0600011:500;  ул. Кольцевая, д.1, кв.1, к.н. 61:09:0080101:1918 и кв.2, к.н. 61:09:0080101:0:724 (ориентировочная протяженность ЛЭП 0,49 км, ориентировочная мощность трансформатора 40 кВА)</t>
  </si>
  <si>
    <t>Строительство ТП 6/0,4 кВ, ВЛ 0,4 кВ, ВЛ 10 кВ от ВЛ 6 кВ №807 ПС 35 кВ АС8 для электроснабжения объекта сельскохозяйственного объекта ООО НПФ «ФИТЭКО» на участке с КН 61:02:0600011:1808 в п. Мускатный Аксайского района Ростовской области</t>
  </si>
  <si>
    <t>Техперевооружение КТП 6/0,4 кВ № 329 ВЛ 6 кВ Орошение ПС 110 кВ Ш9 для электроснабжения объекта животноводства ИП Дроздов А.Ю. в р-н. Красносулинский, Пролетарское сельское поселение, на землях ПСХ “Соколовское’, кадастровьпй номер земельного участка: 61:18:0600022:900 (ориентировочная мощность трансформатора 0,25 МВА)</t>
  </si>
  <si>
    <t>Строительство ТП 6/0,4 кВ, ВЛ 0,4 кВ, ВЛ 6 кВ от ВЛ 6 кВ №3 РП-6 КЛ 6кВ №340 ПС 110 кВ БТ3 для электроснабжения нежилой застройки ИП Кудина Ю. П. на участке с КН 61:01:0600007:2314 в п. Красный Сад Азовского района Ростовской области</t>
  </si>
  <si>
    <t>Техническое перевооружение КТП 7295 ВЛ 10 кВ №15 ПС 110 кВ Константиновская, с заменой силового трансформатора, и установка прибора коммерческого учета электрической энергии (мощности) в точке поставки для присоединения сторожки ООО «Костины Горы», расположенной по адресу: Ростовская область, Константиновский район, АО «Ленинский Путь», к.н.з.у.: 61:17:0600010:781 (ориентировочная мощность трансформатора 0,16 МВА)</t>
  </si>
  <si>
    <t xml:space="preserve">Строительство ТП 10/0,4 кВ, ВЛ 10 кВ по ВЛ 10 кВ №111 ПС 110 кВ АС1, ВЛ 0,4 кВ от РУ 0,4 кВ нового ТП 10/0,4 кВ для электроснабжения нежилой застройки ИП Шкарпитко О.Н. на участке с КН 61:02:0600016:4512 в Ростовской области,  Аксайского района х. Маяковского, </t>
  </si>
  <si>
    <t>5.1.4.3</t>
  </si>
  <si>
    <t>5.1.4.4</t>
  </si>
  <si>
    <t>5.1.4.5</t>
  </si>
  <si>
    <t>Строительство участка ВЛ-10кВ от опоры 6-00/237 по ВЛ-10кВ Л-6 Целинская и участка ВЛ-10кВ от опоры 1-03/11 по ВЛ-10кВ Л-1 Лопанская, строительство КТП 10/0,4 и ВЛ 0,4 кВ для электроснабжения скважин №11-14, 16-19 и насосной станции второго подъема, расположенных по адресу: Ростовская область, Целинский район, заявитель Администрация Целинского района Ростовской области» (Ориентировочная протяженность ЛЭП – 15,38 км, ориентировочная мощность ТП – 0,9 МВА)</t>
  </si>
  <si>
    <t>Техническое перевооружение ТП 6/0,4 кВ №51 по КВЛ 6 кВ №3 ПС 110/6 кВ Т-5 с заменой силового трансформатора для технологического присоединения нежилого здания Заявителя (ИП Иванов С.О.) по адресу: ростовская область, г. Таганрог, пл. Красная, 27 к.н. 61:58:02511:0008. ( мощность силового трансформатора 630 кВА)</t>
  </si>
  <si>
    <t>Установка системы учета для технологического присоединения энергопринимающих устройств Заявителя (Ахвердян К.Р.) по адресу: Ростовская область, Мясниковский район, х. Красный Крым, ул. Лермонтовская, д. 12, к.н. 61:25:0600401:17053 (1 шт.)</t>
  </si>
  <si>
    <t>Установка системы учета для технологического присоединения энергопринимающих устройств Заявителя (Богданова Т.В.) по адресу: Ростовская область, Мясниковский район, х. Красный Крым, ул. Лермонтовская, д. 6, к.н. 61:25:0600401:17056 (1 шт.)</t>
  </si>
  <si>
    <t>Установка системы учета для технологического присоединения энергопринимающих устройств Заявителя (Боровинских О.Н.) по адресу: Ростовская область, Мясниковский район, х. Красный Крым, ул. Осенняя, д. 16/а, к.н. 61:25:0600401:18627 (1 шт.)</t>
  </si>
  <si>
    <t>Установка системы учета для технологического присоединения энергопринимающих устройств Заявителя (Гордиенко М.Е.) по адресу: Ростовская область, Мясниковский район, с. Чалтырь, ул. 15-я линия, д. 9/к, к.н. 61:25:0101243:892 (1 шт.)</t>
  </si>
  <si>
    <t>Установка системы учета для технологического присоединения энергопринимающих устройств Заявителя (Егизарян Л.В.) по адресу: Ростовская область, Мясниковский район, х. Красный Крым, ул. Пушкинская, д. 48, к.н. 61:25:0600401:16313 (1 шт.)</t>
  </si>
  <si>
    <t>Установка системы учета для технологического присоединения энергопринимающих устройств Заявителя (Ефремова Т.С.) по адресу: Ростовская область, Мясниковский район, х. Красный Крым, ул. Сатхинская, д. 27 к.н. 61:25:0600401:17254 (1 шт.)</t>
  </si>
  <si>
    <t>Установка системы учета для технологического присоединения энергопринимающих устройств Заявителя (Карюк А.П.) по адресу: Ростовская область, Мясниковский район, х. Ленинакан, ул. Осенняя, д. 8/а, к.н. 61:25:0600401:18625 (1 шт.)</t>
  </si>
  <si>
    <t>Установка системы учета для технологического присоединения энергопринимающих устройств Заявителя (Кудря Н.А.) по адресу: Ростовская область, Мясниковский район, х. Ленинакан, ул. Майская, д. 17/а, к.н. 61:25:0600401:16748 (1 шт.)</t>
  </si>
  <si>
    <t>Установка системы учета для технологического присоединения энергопринимающих устройств Заявителя (Хусинова Е.А.) по адресу: Ростовская область, Мясниковский район, х. Ленинакан, ул. Майская, д. 16, к.н. 61:25:0600401:19123 (1 шт.)</t>
  </si>
  <si>
    <t>Установка системы учета для технологического присоединения энергопринимающих устройств Заявителя (Цыганская Ю.А.) по адресу: Ростовская область, Мясниковский район, х. Ленинакан, ул. Майская, д. 1/а, к.н. 61:25:0600401:17600 (1 шт.)</t>
  </si>
  <si>
    <t>Установка системы учета для технологического присоединения энергопринимающих устройств Заявителя (Мкртчян С.С.) по адресу: Ростовская область, Мясниковский район, х. Красный Крым, ул. Сатхинская, д. 13 к.н. 61:25:0600401:17262 (1 шт.)</t>
  </si>
  <si>
    <t>Установка системы учета для технологического присоединения энергопринимающих устройств Заявителя (Панарина А.В.) по адресу: Ростовская область, Мясниковский район, х. Красный Крым, ул. Пушкинская, д. 59, к.н. 61:25:0600401:16307 (1 шт.)</t>
  </si>
  <si>
    <t>Установка системы учета для технологического присоединения энергопринимающих устройств Заявителя (Спиваков А.С.) по адресу: Ростовская область, Мясниковский район, х. Красный Крым, ул. Сатхинская, д. 8 к.н. 61:25:0600401:17232 (1 шт.)</t>
  </si>
  <si>
    <t>Установка системы учета для технологического присоединения энергопринимающих устройств Заявителя (Феоктистов К.А.) по адресу: Ростовская область, Мясниковский район, х. Красный Крым, ул. Пушкинская, д. 46, к.н. 61:25:0600401:16314 (1 шт.)</t>
  </si>
  <si>
    <t>Установка системы учета для технологического присоединения энергопринимающих устройств Заявителя (Салтовский К.Г.) по адресу: Ростовская область, Мясниковский район, х. Красный Крым, ул. Урожайная, д. 16, к.н. 61:25:0600401:16107 (1 шт.)</t>
  </si>
  <si>
    <t>Установка системы учета для технологического присоединения энергопринимающих устройств Заявителя (Сиренко В.В.) по адресу: Ростовская область, Мясниковский район, х. Красный Крым, ул. Пушкинская, д. 62, к.н. 61:25:0600401:16356 (1 шт.)</t>
  </si>
  <si>
    <t>Установка системы учета для технологического присоединения энергопринимающих устройств Заявителя (Чиж Ю.Д.) по адресу: Ростовская область, Мясниковский район, х. Ленинаван, ул. Московская, д. 11, к.н. 61:25:0600401:5571 (1 шт.)</t>
  </si>
  <si>
    <t>Установка системы учета для технологического присоединения энергопринимающих устройств Заявителя (Шульженко К.С.) по адресу: Ростовская область, Мясниковский район, х. Ленинакан, ул. Майская, д. 16/а, к.н. 61:25:0600401:17365 (1 шт.)</t>
  </si>
  <si>
    <t>Установка системы учета для технологического присоединения энергопринимающих устройств Заявителя (Юрченко М.С.) по адресу: Ростовская область, Мясниковский район, х. Ленинакан, ул. Майская, д. 21, к.н. 61:25:0600401:16826 (1 шт.)</t>
  </si>
  <si>
    <t>Установка системы учета для технологического присоединения энергопринимающих устройств Заявителя (Бондарев Д.А.) по адресу: Ростовская область, Мясниковский район, х. Ленинакан, ул. Майская, д. 18/а, к.н. 61:25:0600401:18002 (1 шт.)</t>
  </si>
  <si>
    <t>Установка системы учета для технологического присоединения энергопринимающих устройств Заявителя (Горунова Л.А.) по адресу: Ростовская область, Мясниковский район, х. Красный Крым, ул. Сатхинская, д. 36 к.н. 61:25:0600401:17217 (1 шт.)</t>
  </si>
  <si>
    <t>Установка системы учета для технологического присоединения энергопринимающих устройств Заявителя (Устюжанина Л.И.) по адресу: Ростовская область, Мясниковский район, х. Красный Крым, ул. Лермонтовская, д. 33, к.н. 61:25:0600401:17075</t>
  </si>
  <si>
    <t>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с. Чалтырь, ул. Западная, д. 84, к.н. 61:25:0101602:135 (1 шт.)</t>
  </si>
  <si>
    <t>Установка системы учета для технологического присоединения энергопринимающих устройств Заявителя (Хачатрян А.Г.) по адресу: Ростовская область, Мясниковский район, х. Красный Крым, ул. Сатхинская, д. 43 к.н. 61:25:0600401:17246 (1 шт.)</t>
  </si>
  <si>
    <t>Установка системы учета для технологического присоединения энергопринимающих устройств Заявителя (Афентьев И.В.) по адресу: Ростовская область, Мясниковский район, х. Красный Крым, ул. Сатхинская, д. 58 к.н. 61:25:0600401:17234 (1 шт.)</t>
  </si>
  <si>
    <t>Установка системы учета для технологического присоединения энергопринимающих устройств Заявителя (Гильц М.В.) по адресу: Ростовская область, Мясниковский район, х. Ленинакан, ул. Майская, д. 20, к.н. 61:25:0600401:18001 (1 шт.)</t>
  </si>
  <si>
    <t>Установка системы учета для технологического присоединения энергопринимающих устройств Заявителя (Григорьян Т.Г.) по адресу: Ростовская область, Мясниковский район, с. Большие Салы, ул. Московская, д. 6/а к.н. 61:25:0600501:3184 (1 шт.)</t>
  </si>
  <si>
    <t>Установка системы учета для технологического присоединения энергопринимающих устройств Заявителя (Дадиян А.К.) по адресу: Ростовская область, Мясниковский район, с. Чалтырь, ул. Центральная, д. 57/а, к.н. 61:25:0101232:654 (1 шт.)</t>
  </si>
  <si>
    <t>Установка системы учета для технологического присоединения энергопринимающих устройств Заявителя (Камбулова А.С.) по адресу: Ростовская область, Мясниковский район, х. Красный Крым, ул. Сатхинская, д. 26 к.н. 61:25:0600401:17222 (1 шт.)</t>
  </si>
  <si>
    <t>Установка системы учета для технологического присоединения энергопринимающих устройств Заявителя (Кривенко О.Г.) по адресу: Ростовская область, Мясниковский район, х. Красный Крым, ул. Капитальная, д. 25 к.н. 61:25:0600401:17201 (1 шт.)</t>
  </si>
  <si>
    <t>Установка системы учета для технологического присоединения энергопринимающих устройств Заявителя (Майстренко А.А.) по адресу: Ростовская область, Мясниковский район, х. Красный Крым, ул. Сатхинская, д. 42 к.н. 61:25:0600401:17214 (1 шт.)</t>
  </si>
  <si>
    <t>Установка системы учета для технологического присоединения энергопринимающих устройств Заявителя (Макуха А.В.) по адресу: Ростовская область, Мясниковский район, х. Ленинакан, ул. Осенняя, д. 16, к.н. 61:25:0600401:18628 (1 шт.)</t>
  </si>
  <si>
    <t>Установка системы учета для технологического присоединения энергопринимающих устройств Заявителя (Малышев Б.В.) по адресу: Ростовская область, Мясниковский район, х. Ленинакан, ул. Майская, д. 12/а, к.н. 61:25:0600401:17369 (1 шт.)</t>
  </si>
  <si>
    <t>Установка системы учета для технологического присоединения энергопринимающих устройств Заявителя (Пивоварова Е.А.) по адресу: Ростовская область, Мясниковский район, х. Красный Крым, ул. Пушкинская, д. 55 к.н. 61:25:0600401:16309 (1 шт.)</t>
  </si>
  <si>
    <t>Установка системы учета для технологического присоединения энергопринимающих устройств Заявителя (Погосян С.У.) по адресу: Ростовская область, Мясниковский район, х. Красный Крым, ул. Капитальная, д. 18 к.н. 61:25:0600401:17209 (1 шт.)</t>
  </si>
  <si>
    <t>Установка системы учета для технологического присоединения энергопринимающих устройств Заявителя (Ткаченко О.Е.) по адресу: Ростовская область, Мясниковский район, х. Ленинакан, ул. Майская, д. 11, к.н. 61:25:0600401:16755 (1 шт.)</t>
  </si>
  <si>
    <t>Установка системы учета для технологического присоединения энергопринимающих устройств Заявителя (Тютюнников А.И.) по адресу: Ростовская область, Мясниковский район, х. Красный Крым, ул. Пушкинская, д. 44 к.н. 61:25:0600401:16315 (1 шт.)</t>
  </si>
  <si>
    <t>Установка системы учета для технологического присоединения энергопринимающих устройств Заявителя (Шетухина О.В.) по адресу: Ростовская область, Мясниковский район, х. Красный Крым, ул. Сатхинская, д. 12 к.н. 61:25:0600401:18679 (1 шт.)</t>
  </si>
  <si>
    <t>Установка системы учета для технологического присоединения энергопринимающих устройств Заявителя (Егоров А.В.) по адресу: Ростовская область, Мясниковский район, х. Красный Крым, ул. Пушкинская, д. 67 к.н. 61:25:0600401:16334 (1 шт.)</t>
  </si>
  <si>
    <t>Установка системы учета для технологического присоединения энергопринимающих устройств Заявителя (Казакова М.Ю.) по адресу: Ростовская область, Мясниковский район, х. Ленинакан, ул. Осенняя, д. 1/11, к.н. 61:25:0600401:17939 (1 шт.)</t>
  </si>
  <si>
    <t>Установка системы учета для технологического присоединения энергопринимающих устройств Заявителя (Карпенко А.А.) по адресу: Ростовская область, Мясниковский район, х. Ленинакан, ул. Майская, д. 18, к.н. 61:25:0600401:18003 (1 шт.)</t>
  </si>
  <si>
    <t>Установка системы учета для технологического присоединения энергопринимающих устройств Заявителя (Кушнир Д.М.) по адресу: Ростовская область, Мясниковский район, х. Красный Крым, ул. Капитальная, д. 13, к.н. 61:25:0600401:17195 (1 шт.)</t>
  </si>
  <si>
    <t>Установка системы учета для технологического присоединения энергопринимающих устройств Заявителя (Лиховицкая О.С.) по адресу: Ростовская область, Мясниковский район, х. Красный Крым, ул. Верхняя, д. 14, к.н. 61:25:0600401:18752 (1 шт.)</t>
  </si>
  <si>
    <t>Установка системы учета для технологического присоединения энергопринимающих устройств Заявителя (Мошиян В.Х.) по адресу: Ростовская область, Мясниковский район, с. Чалтырь, ул. Карла Маркса, к.н. 61:25:0101128:317 (1 шт.)</t>
  </si>
  <si>
    <t>Установка системы учета для технологического присоединения энергопринимающих устройств Заявителя (Налбандян О.С.) по адресу: Ростовская область, Мясниковский район, х. Красный Крым, ул. Пушкинская, д. 33, к.н. 61:25:0600401:16333 (1 шт.)</t>
  </si>
  <si>
    <t>Установка системы учета для технологического присоединения энергопринимающих устройств Заявителя (Свириденко Д.Ю.) по адресу: Ростовская область, Мясниковский район, х. Красный Крым, ул. Лермонтовская, д. 24, к.н. 61:25:0600401:17047 (1 шт.)</t>
  </si>
  <si>
    <t>Установка системы учета для технологического присоединения энергопринимающих устройств Заявителя (Скворцова М.Г.) по адресу: Ростовская область, Мясниковский район, х. Красный Крым, ул. Лермонтовская, д. 18, к.н. 61:25:0600401:17050 (1 шт.)</t>
  </si>
  <si>
    <t>Установка системы учета для технологического присоединения энергопринимающих устройств Заявителя (Уманец К.Ю.) по адресу: Ростовская область, Мясниковский район, х. Красный Крым, ул. Сатхинская, д. 21, к.н. 61:25:0600401:17258 (1 шт.)</t>
  </si>
  <si>
    <t>Установка системы учета для технологического присоединения энергопринимающих устройств Заявителя (Фомин В.В.) по адресу: Ростовская область, Мясниковский район, х. Ленинакан, ул. Майская, д. 14/а, к.н. 61:25:0600401:17367 (1 шт.)</t>
  </si>
  <si>
    <t>Установка системы учета для технологического присоединения энергопринимающих устройств Заявителя (Шишкарев С.В.) по адресу: Ростовская область, Мясниковский район, х. Красный Крым, ул. Лермонтовская, д. 16, к.н. 61:25:0600401:17051 (1 шт.)</t>
  </si>
  <si>
    <t>Установка системы учета для технологического присоединения энергопринимающих устройств Заявителя (Якунин В.Е.) по адресу: Ростовская область, Мясниковский район, х. Ленинакан, ул. Осенняя, д. 10, к.н. 61:25:0600401:19455 (1 шт.)</t>
  </si>
  <si>
    <t>Установка системы учета для технологического присоединения энергопринимающих устройств Заявителя (Аббасова О.Ю.) по адресу: Ростовская область, Мясниковский район, х. Ленинакан, ул. Осенняя, д. 6 к.н. 61:25:0600401:18104 (1 шт.)</t>
  </si>
  <si>
    <t>Установка системы учета для технологического присоединения энергопринимающих устройств Заявителя (Колесников Г.Д.) по адресу: Ростовская область, Мясниковский район, х. Красный Крым, ул. Пушкинская, д. 53, к.н. 61:25:0600401:16310 (1 шт.)</t>
  </si>
  <si>
    <t>Установка системы учета для технологического присоединения энергопринимающих устройств Заявителя (Овчарук Н.В.) по адресу: Ростовская область, Мясниковский район, х. Ленинакан, ул. Майская, д. 12, к.н. 61:25:0600401:17370 (1 шт.)</t>
  </si>
  <si>
    <t>Установка системы учета для технологического присоединения энергопринимающих устройств Заявителя (Черкесова О.Н.) по адресу: Ростовская область, Мясниковский район, х. Красный Крым, ул. Пушкинская, д. 57 к.н. 61:25:0600401:16308 (1 шт.)</t>
  </si>
  <si>
    <t>Установка системы учета для технологического присоединения энергопринимающих устройств Заявителя (Великанов О.Н.) по адресу: Ростовская область, Мясниковский район, х. Красный Крым, ул. Пушкинская, д. 36, к.н. 61:25:0600401:16326 (1 шт.)</t>
  </si>
  <si>
    <t>Установка системы учета для технологического присоединения энергопринимающих устройств Заявителя (Григорьев И.В.) по адресу: Ростовская область, Мясниковский район, х. Красный Крым, ул. Пушкинская, д. 60, к.н. 61:25:0600401:16371 (1 шт.)</t>
  </si>
  <si>
    <t>Установка системы учета для технологического присоединения энергопринимающих устройств Заявителя (Постовалов Е.П.) по адресу: Ростовская область, Мясниковский район, х. Красный Крым, ул. Пушкинская, д. 51, к.н. 61:25:0600401:16318 (1 шт.)</t>
  </si>
  <si>
    <t>Установка системы учета для технологического присоединения энергопринимающих устройств Заявителя (Раджабов К.К.) по адресу: Ростовская область, Мясниковский район, х. Красный Крым, ул. Капитальная, д. 19, к.н. 61:25:0600401:17198 (1 шт.)</t>
  </si>
  <si>
    <t>Установка системы учета для технологического присоединения энергопринимающих устройств Заявителя (Арутюнян Л.В.) по адресу: Ростовская область, Мясниковский район, с. Чалтырь, ул. 15-я линия, д. 7/т, к.н. 61:25:0101243:903 (1 шт.)</t>
  </si>
  <si>
    <t>Установка системы учета для технологического присоединения энергопринимающих устройств Заявителя (Побережный А.А.) по адресу: Ростовская область, г. Таганрог, ул. Больничная, к.н.: 61:58:0002226:283 (1 шт.)</t>
  </si>
  <si>
    <t>Установка системы учета для технологического присоединения энергопринимающих устройств Заявителя (ИП Коробейникова О.В.) по адресу: Ростовская область, г. Таганрог, ул. Вишневая, д. 15-1, к.н.: 61:58:0005274:2991 (1 шт.)</t>
  </si>
  <si>
    <t>Установка системы учета для технологического присоединения энергопринимающих устройств Заявителя (ИП Коробейникова О.В.) по адресу: Ростовская область, г. Таганрог, ул. Вишневая, д. 15-1, к.н.: 61:58:0005274:3001 (1 шт.)</t>
  </si>
  <si>
    <t>Установка системы учета для технологического присоединения энергопринимающих устройств Заявителя (ИП Коробейникова О.В.) по адресу: Ростовская область, г. Таганрог, ул. Вишневая, д. 15-1, к.н.: 61:58:0005274:3014 (1 шт.)</t>
  </si>
  <si>
    <t>Установка системы учета для технологического присоединения энергопринимающих устройств Заявителя (Медведева Е.В.) по адресу: Ростовская область, г. Таганрог, ул. Мартеновская, д. 17, к.н.: 61:58:0004313:35 (1 шт.)</t>
  </si>
  <si>
    <t>Установка системы учета для технологического присоединения энергопринимающих устройств Заявителя (Ягунов А.А.) по адресу: Ростовская область, г. Таганрог, ул. Петровская, д.78-а, к.н. 61:58:0001114:116 (1 шт.)</t>
  </si>
  <si>
    <t>Установка системы учета для технологического присоединения энергопринимающих устройств Заявителя (Астахова И.В.) по адресу: Ростовская область, г. Таганрог, ул. Ореховая, д.24б к.н. 61:58:0005230:337 (1 шт.)</t>
  </si>
  <si>
    <t>Установка системы учета для технологического присоединения энергопринимающих устройств Заявителей (Буряк Ю.И.) по адресу: Ростовская область, г. Таганрог, 19 переулок д.91 (1 шт.)</t>
  </si>
  <si>
    <t>Установка системы учета для технологического присоединения энергопринимающих устройств Заявителя (Ларионов А.А.) по адресу: Ростовская область, г. Таганрог, ул. Ореховая, к.н.: 61:58:0005230:340 (1 шт.)</t>
  </si>
  <si>
    <t>Установка системы учета для технологического присоединения энергопринимающих устройств Заявителя (ИП Кареньких А.П.) по адресу: Ростовская область, г. Таганрог, ул. Ломоносова, д. 57, к.н.: 61:58:0005138:1157; к.н.: 61:58:0005138:1159; к.н.: 61:58:0005138:1158 (1 шт.)</t>
  </si>
  <si>
    <t>Установка системы учета для технологического присоединения энергопринимающих устройств Заявителя (Жиленко Я.А.) по адресу: Ростовская область, г. Таганрог, ул. Дзержинского, д. 144-е, к.н.: 61:58:0003278:656 (1 шт.)</t>
  </si>
  <si>
    <t>Установка системы учета для технологического присоединения энергопринимающих устройств Заявителя (ИП Киндзерский А.В.) по адресу: Ростовская область, г. Таганрог, ул. Р. Люксембург, д. 305, к.н.: 61:58:0005108:26 (1 шт.)</t>
  </si>
  <si>
    <t>Установка системы учета для технологического присоединения энергопринимающих устройств Заявителя (ИП Майоров М.В.) по адресу: Ростовская область, г. Таганрог, ул. Менделеева, д. 117-3, к.н.: 61:58:0000000:42732 (1 шт.)</t>
  </si>
  <si>
    <t>Установка системы учета для технологического присоединения энергопринимающих устройств Заявителя (Богуш О.А.) по адресу: Ростовская область, г. Таганрог, ул. Чехова/20-й переулок, 261/80, к.н.: 61:58:0002200:176 (1 шт.)</t>
  </si>
  <si>
    <t>Установка системы учета для технологического присоединения энергопринимающих устройств Заявителя (Рябичев Д.В.) по адресу: Ростовская область, г. Таганрог, ул. Бартини, д.42, к.н.: 61:58:0005233:255, 61:58:0005233:11 (1 шт.)</t>
  </si>
  <si>
    <t>Установка системы учета для технологического присоединения энергопринимающих устройств Заявителя (Комашня А.С.) по адресу: Ростовская область, М-Курганский район, п. М-Курган, ул. Куйбышева, д. 42, к.н. 61:21:0010124:70 (1 шт.)</t>
  </si>
  <si>
    <t>Установка системы учета для технологического присоединения энергопринимающих устройств Заявителя (Лихота А.Г.) по адресу: Ростовская область, М-Курганский район, п. Матвеев Курган, ул. Транспортная, д. 42, к.н. 61:21:0010124:51 (1 шт.)</t>
  </si>
  <si>
    <t>Установка системы учета для технологического присоединения энергопринимающих устройств Заявителя (Кияшко С.С.) по адресу: Ростовская область, М-Курганский район, с. Рясное, ул. Победы, д. 2а, к.н. 61:21:0020401:819 (1 шт.)</t>
  </si>
  <si>
    <t>Установка системы учета для технологического присоединения энергопринимающих устройств Заявителя (Маковеев В.И.) по адресу: Ростовская область, Неклиновский район, с. Новобессергеневка, ул. Инициативная, д. 21-Б, к.н. 61:26:0600024:7616 (1 шт.)</t>
  </si>
  <si>
    <t>Установка системы учета для технологического присоединения энергопринимающих устройств Заявителя (Гордейко В.В.) по адресу: Ростовская область, Неклиновский район, с. Новобессергеневка, ул. Инициативная, д. 21-А, к.н. 61:26:0600024:7617 (1 шт.)</t>
  </si>
  <si>
    <t>Установка системы учета для технологического присоединения энергопринимающих устройств Заявителя (Катцына А.В.) по адресу: Ростовская область, Неклиновский район, с. Новобессергеневка, ул. Инициативная, д. 26-В, к.н. 61:26:0600024:7656 (1 шт.)</t>
  </si>
  <si>
    <t>Установка системы учета для технологического присоединения энергопринимающих устройств Заявителя (Настич Л.А.) по адресу: Ростовская область, Неклиновский район, с. Новобессергеневка, ул. Свободы, д. 11-Б, к.н. 61:26:0600024:7619 (1 шт.)</t>
  </si>
  <si>
    <t xml:space="preserve">Установка системы учета для технологического присоединения энергопринимающих устройств Заявителя (Ярощук В.С.) по адресу: Ростовская область, Неклиновский район, х. Рожок, ул. Южная, д. 3, к.н. 61:26:0100401:171 (1 шт.) </t>
  </si>
  <si>
    <t>Установка системы учета для технологического присоединения энергопринимающих устройств Заявителя (Борисенко В.А.) по адресу: Ростовская область, Неклиновский район, с. Новобессергеневка, ул. Инициативная, д. 36-В, к.н. 61:26:0600024:6348 (1 шт.)</t>
  </si>
  <si>
    <t>Установка системы учета для технологического присоединения энергопринимающих устройств Заявителя (Роменский И.В.) по адресу: Ростовская область, Неклиновский район, с. Новобессергеневка, ул. Инициативная, д. 43, к.н. 61:26:0600024:7749 (1 шт.)</t>
  </si>
  <si>
    <t>Установка системы учета для технологического присоединения энергопринимающих устройств Заявителя (Коротенко В.Н.) по адресу: Ростовская область, Неклиновский район, с. Новобессергеневка, ул. Солнечная, д. 44-А, к.н. 61:26:0600024:6019 (1 шт.)</t>
  </si>
  <si>
    <t>Установка системы учета для технологического присоединения энергопринимающих устройств Заявителя (Мхоян Г.Г.) по адресу: Ростовская область, Неклиновский район, с. Новобессергеневка, ул. Коминтерна, д. 48-Б, к.н. 61:26:0180101:8017 (1 шт.)</t>
  </si>
  <si>
    <t>Установка системы учета для технологического присоединения энергопринимающих устройств Заявителя (Мхоян С.Г.) по адресу: Ростовская область, Неклиновский район, с. Новобессергеневка, ул. Коминтерна, д. 48-А, к.н. 61:26:0180101:8018 (1 шт.)</t>
  </si>
  <si>
    <t>Установка системы учета для технологического присоединения энергопринимающих устройств Заявителя (Окорочков А.А.) по адресу: Ростовская область, Неклиновский район, с. Новобессергеневка, ул. Инициативная, д. 26, к.н. 61:26:0600024:7655 (1 шт.)</t>
  </si>
  <si>
    <t>Установка системы учета для технологического присоединения энергопринимающих устройств Заявителя (Мартасов Ф.Е.) по адресу: Ростовская область, Неклиновский район, с. Троицкое, ул. Новая, д. 5, к.н. 61:26:0010101:4540 (1 шт.)</t>
  </si>
  <si>
    <t>Установка системы учета для технологического присоединения энергопринимающих устройств Заявителя (Шарапова О.А.) по адресу: Ростовская область, Неклиновский район, п. Дмитриадовка, ул. 3-я Степная, д. 31-Б, к.н. 61:26:0600024:6451 (1 шт.)</t>
  </si>
  <si>
    <t xml:space="preserve">Установка системы учета для технологического присоединения энергопринимающих устройств Заявителя (Чередник И.С.) по адресу: Ростовская область, Неклиновский район, с. Новобессергеневка, пер. Большой, д. 11, к.н. 61:26:0180101:8002 (1 шт.) </t>
  </si>
  <si>
    <t>Установка системы учета для технологического присоединения энергопринимающих устройств Заявителя (Шелист И.А.) по адресу: Ростовская область, Неклиновский район, с. Новобессергеневка, ул. Свободы, д. 38, к.н.: 61:26:0600024:8245 (1 шт.)</t>
  </si>
  <si>
    <t>Установка системы учета для технологического присоединения энергопринимающих устройств Заявителя (Владымцев С.В.) по адресу: Ростовская область, Неклиновский район, с. Новобессергеневка, ул. Свободы, д. 2, к.н. 61:26:0600024:8147 (1 шт.)</t>
  </si>
  <si>
    <t>Установка системы учета для технологического присоединения энергопринимающих устройств Заявителя (Сабитов И.О.) по адресу: Ростовская область, Неклиновский район, х. Седых, ул. Центральная, д. 16-А, к.н. 61:26:0181101:416 (1 шт.)</t>
  </si>
  <si>
    <t>Установка системы учета для технологического присоединения энергопринимающих устройств Заявителя (Бутенко Л.М.) по адресу: Ростовская область, Неклиновский район, с. Покровское, пер. Сельмаш, д. 40-А, к.н. 61:26:0050137:1947 (1 шт.)</t>
  </si>
  <si>
    <t>Установка системы учета для технологического присоединения энергопринимающих устройств Заявителя (Джалалян М.В.) по адресу: Ростовская область,  Неклиновский район, с. Вареновка, ул. Садовая, д. 56, к.н. 61:26:0040101:640 (1 шт.)</t>
  </si>
  <si>
    <t>Установка системы учета для технологического присоединения энергопринимающих устройств Заявителя (Кравчук А.А.) по адресу: Ростовская область, Неклиновский район, с. Новобессергеневка, ул. Инициативная, д. 31-Б, к.н. 61:26:0600024:6978 (1 шт.)</t>
  </si>
  <si>
    <t>Установка системы учета для технологического присоединения энергопринимающих устройств Заявителя (Полянский А.И.) по адресу: Ростовская область, Неклиновский район, с. Долоковка, ул. Чехова, д. 2-Б, к.н. 61:26:0070401:747 (1 шт.)</t>
  </si>
  <si>
    <t>Установка системы учета для технологического присоединения энергопринимающих устройств Заявителя (Саргсян И.Н.) по адресу: Ростовская область,  Неклиновский район, с. Вареновка, ул. Первомайская, д. 124-з, к.н. 61:26:0040101:5567 (1 шт.)</t>
  </si>
  <si>
    <t>Установка системы учета для технологического присоединения энергопринимающих устройств Заявителя (Юренко Ф.Ф.) по адресу: Ростовская область, Неклиновский район, с. Покровское, пер. Сельмаш, д. 82, к.н. 61:26:0050137:146 (1 шт.)</t>
  </si>
  <si>
    <t>Установка системы учета для технологического присоединения энергопринимающих устройств Заявителя (Дёмин К.Ю.) по адресу: Ростовская область,  Неклиновский район, с. Новобессергеневка, ул. Лескова, д. 13-А, к.н. 61:26:0600024:7596 (1 шт.)</t>
  </si>
  <si>
    <t>Установка системы учета для технологического присоединения энергопринимающих устройств Заявителя (Солодунова А.В.) по адресу: Ростовская область,  Неклиновский район, с. Новобессергеневка, ул. Свободы, д. 11, к.н. 61:26:0600024:7622 (1 шт.)</t>
  </si>
  <si>
    <t>Установка системы учета для технологического присоединения энергопринимающих устройств Заявителя (Едуш О.С.) по адресу: Ростовская область, Неклиновский район, с. Петрушино, пер. Садовый, д. 35-А, к.н. 61:26:0600024:6887 (1 шт.)</t>
  </si>
  <si>
    <t>Установка системы учета для технологического присоединения энергопринимающих устройств Заявителя (Ангел Д.Г.) по адресу: Ростовская область,  Неклиновский район, с. Новобессергеневка, ул. Ворошилова, д. 18-А, к.н. 61:26:0180101:8059 (1 шт.)</t>
  </si>
  <si>
    <t>Установка системы учета для технологического присоединения энергопринимающих устройств Заявителя (Винокурова Е.П.) по адресу: Ростовская область,  Неклиновский район, с. Новобессергеневка, ул. Свободы, д. 39-Б, к.н. 61:26:0600024:6550 (1 шт.)</t>
  </si>
  <si>
    <t>Установка системы учета для технологического присоединения энергопринимающих устройств Заявителя (Рожков А.Г.) по адресу: Ростовская область,  Неклиновский район, с. Гаевка, ул. Ленина, д. 109-А, к.н. 61:26:0160301:524 (1 шт.)</t>
  </si>
  <si>
    <t>Установка системы учета для технологического присоединения энергопринимающих устройств Заявителя (Крайненко Г.Л.) по адресу: Ростовская область, Неклиновский район х. Мержаново, ул. Буденного, д. 10, к.н. 61:26:0060301:575 (1 шт.)</t>
  </si>
  <si>
    <t>Установка системы учета для технологического присоединения энергопринимающих устройств Заявителя (Остриков Е.В.) по адресу: Ростовская область, Неклиновский район с. Русская Слободка, ул. Пушкина, д. 46, к.н. 61:26:0070201:1112 (1 шт.)</t>
  </si>
  <si>
    <t>Установка системы учета для технологического присоединения энергопринимающих устройств Заявителя (Мельниченко О.Ф.) по адресу: Ростовская область,  Неклиновский район, с. Бессергеновка, ул. Колхозная, д. 52, к.н. 61:26:0040201:810 (1 шт.)</t>
  </si>
  <si>
    <t>Установка системы учета для технологического присоединения энергопринимающих устройств Заявителя (Труфанова Т.И.) по адресу: Ростовская область, Неклиновский район, с. Лотошники, пер. Морской, д. 13-А, к.н. 61:26:0090401:49 (1 шт.)</t>
  </si>
  <si>
    <t>Установка системы учета для технологического присоединения энергопринимающих устройств Заявителя (Ясковец А.А.) по адресу: Ростовская область, Неклиновский район, х. Калиновка, ул. Набережная, д. 36-В, к.н. 61:26:0150301:530 (1 шт.)</t>
  </si>
  <si>
    <t>Установка системы учета для технологического присоединения энергопринимающих устройств Заявителя (Денисов А.В.) по адресу: Ростовская область, Неклиновский район, с. Новобессергеневка, ул. Инициативная, д. 28-В, к.н. 61:26:0600024:7717 (1 шт.)</t>
  </si>
  <si>
    <t>Установка системы учета для технологического присоединения энергопринимающих устройств Заявителей (Валенцев Е.Р.) по адресу: Ростовская область, Неклиновский район с. Новобессергеневка, ул. Островского д.12-А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</si>
  <si>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Неклиновский район с. Николаевка, ул. Межевая, д.36, к.н. 61:26:0110101:1210 (1 шт.)</t>
  </si>
  <si>
    <t>Установка системы учета для технологического присоединения энергопринимающих устройств Заявителя (Кузьменко О.В.) по адресу: Ростовская область, Неклиновский район с. Николаевка, ул. Межевая, д.4-Б к.н. 61:26:0110101:9993 (1 шт.)</t>
  </si>
  <si>
    <t>Установка системы учета для технологического присоединения энергопринимающих устройств Заявителя (Кузьменко О.В.) по адресу: Ростовская область, Неклиновский район с. Николаевка, ул. Межевая, д.6-А к.н. 61:26:0110101:9997 (1 шт.)</t>
  </si>
  <si>
    <t>Установка системы учета для технологического присоединения энергопринимающих устройств Заявителя (Кузьменко О.В.) по адресу: Ростовская область, Неклиновский район с. Николаевка, ул. Межевая, д.6-Б к.н. 61:26:0110101:9996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</si>
  <si>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Неклиновский район, с. Николаевка, ул. Межевая, д. 36-Б, к.н. 61:26:0110101:10254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</si>
  <si>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Неклиновский район, с. Николаевка, ул. Межевая, д. 36-А, к.н. 61:26:0110101:10255 (1 шт.)</t>
  </si>
  <si>
    <t>Установка системы учета для технологического присоединения энергопринимающих устройств Заявителя (Бабкин Ю.Ф.) по адресу: Ростовская область, Неклиновский район, с. Новобессергеневка, ул. Малая Куйбышева, д. 13-Б, к.н. 61:26:0180101:8108 (1 шт.)</t>
  </si>
  <si>
    <t>Установка системы учета для технологического присоединения энергопринимающих устройств Заявителя (Яковлев Е.В.) по адресу: Ростовская область, г. Таганрог, ул. Кузнечная, д. 9, к:н.: 61:58:0002014:204 (1 шт.)</t>
  </si>
  <si>
    <t>Установка системы учета для технологического присоединения энергопринимающих устройств Заявителей (Трифонов Д.В.) по адресу: Ростовская область, г. Таганрог, Северо-Западное шоссе д.1 в НТ Дачное-3, аллея 3 участок 24 (1 шт.)</t>
  </si>
  <si>
    <t>Установка системы учета для технологического присоединения энергопринимающих устройств Заявителя (Лаптева О.В.) по адресу: Ростовская область, г. Таганрог, ш. Северо-Западное, 1-в, СНТ «Дачное-3», аллея 3, уч. 30, к.н.: 61:58:0006051:350 (1 шт.)</t>
  </si>
  <si>
    <t>Установка системы учета для технологического присоединения энергопринимающих устройств Заявителя (Огиенко С.Н.) по адресу: Ростовская область, г. Таганрог, Николаевское Шоссе, 7-а, СНТ «Радуга», аллея 16, участок 25, к.н.: 61:58:0006054:876 (1 шт.)</t>
  </si>
  <si>
    <t>Установка системы учета для технологического присоединения энергопринимающих устройств Заявителя (ИП Егоров А.В.) по адресу: Ростовская область, г. Таганрог, ул. Ленина, д. 208, к.н.: 61:58:0003183:319 (1 шт.)</t>
  </si>
  <si>
    <t>Установка системы учета для технологического присоединения энергопринимающих устройств Заявителя (ИП Шматко Ю.М.) по адресу: Ростовская область, г. Таганрог, СНТ «Спутник», уч. №201, к.н.: 61-61-42/073/2014-855 (1 шт.)</t>
  </si>
  <si>
    <t>Установка системы учета для технологического присоединения энергопринимающих устройств Заявителя (Кулешова Е.А.) по адресу: Ростовская область, г. Таганрог, 22-й переулок, д. 83, к.н.: 61:58:0002282:353, 61:58:0002282:24 (1 шт.)</t>
  </si>
  <si>
    <t>«Установка системы учета для технологического присоединения энергопринимающих устройств Заявителя (Брагинец А.А.) по адресу: Ростовская область, г. Таганрог, пер. 3-й Артиллерийский, земельный участок 25, к.н.: 61:58:0003243:264 (1 шт.)»</t>
  </si>
  <si>
    <t>Установка системы учета для технологического присоединения энергопринимающих устройств Заявителя (Малинская В.А.) по адресу: Ростовская область, г. Таганрог, Садоводческое товарищество «Дружба-1», участок 17, к.н.: 61:58:0005165:556 (1 шт.)</t>
  </si>
  <si>
    <t>Установка системы учета для технологического присоединения энергопринимающих устройств Заявителя (Галицкий Я.М.) по адресу: Ростовская область, г. Таганрог, СНТ «Маяк», уч. 50, к.н.: 61:58:005177:95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</si>
  <si>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Инструментальная (между пер. Смирновский и Площадь Авиаторов), около ул. Инструментальная, д. 15В, к.н.: 61:58:0002246:450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</si>
  <si>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Инструментальная (между пер. Смирновский и Площадь Авиаторов), около ул. Инструментальная, д. 13-1, к.н.: 61:58:0002245:1065 (1 шт.)</t>
  </si>
  <si>
    <t>Установка системы учета для технологического присоединения энергопринимающих устройств Заявителя (Кикла Д.П.) по адресу: Ростовская область, г. Таганрог, ул. Комарова, земельный участок 19, к.н.: 61:58:0005046:411 (1 шт.)</t>
  </si>
  <si>
    <t>Установка системы учета для технологического присоединения энергопринимающих устройств Заявителя (Дудко Л.И.) по адресу: Ростовская область, г. Таганрог, ул. Нестерова, д.4-а, кв.2, к.н.: 61:58:0000000:36924 (1 шт.)</t>
  </si>
  <si>
    <t>Установка системы учета для технологического присоединения энергопринимающих устройств Заявителя (Менякина Т.А.) по адресу: Ростовская область, г. Таганрог, ул. Петлякова, д. 14, к.н.: 61:58:0005223:337 (1 шт.)</t>
  </si>
  <si>
    <t>Установка системы учета для технологического присоединения энергопринимающих устройств Заявителя (Пахомов К.В.) по адресу: Ростовская область, г. Таганрог, 10-й Переулок, д. 98, к.н.: 61:58:0002117:6 (1 шт.)</t>
  </si>
  <si>
    <t>Установка системы учета для технологического присоединения энергопринимающих устройств Заявителя (ИП Аллахвердов И.А.) по адресу: Ростовская область, г. Таганрог, ул. Дзержинского, д. 161-4 (1 шт.)</t>
  </si>
  <si>
    <t>Установка системы учета для технологического присоединения энергопринимающих устройств Заявителя (Иващенко Э.К.) по адресу: Ростовская область, г. Таганрог, ул, Бартини, д.24/пер. 4-й Мариупольский, д. 31, к.н.: 61:58:005231:247 (1 шт.)</t>
  </si>
  <si>
    <t>Установка системы учета для технологического присоединения энергопринимающих устройств Заявителя (ИП Майоров М.В.) по адресу: Ростовская область, г. Таганрог, ул, Гарибальди вблизи дома №27, к.н.: 61:58:0000000:94 (1 шт.)</t>
  </si>
  <si>
    <t>Установка системы учета для технологического присоединения энергопринимающих устройств Заявителя (Перлик О.В.) по адресу: Ростовская область, г. Таганрог, ул. Р. Люксембург/2 переулок, д. 160/58, к.н.: 61:58:0002062:59 (1 шт.)</t>
  </si>
  <si>
    <t>Установка системы учета для технологического присоединения энергопринимающих устройств Заявителя (Степаненко Н.В.) по адресу: Ростовская область, г. Таганрог, пер. 5-й Артиллерийский, к.н.: 61:58:0003276:369 (1 шт.)</t>
  </si>
  <si>
    <t>Установка системы учета для технологического присоединения энергопринимающих устройств Заявителя (Степаненко Е.В.) по адресу: Ростовская область, г. Таганрог, пер. 5-й Артиллерийский, к.н.: 61:58:0003276:370 (1 шт.)</t>
  </si>
  <si>
    <t>Установка системы учета для технологического присоединения энергопринимающих устройств Заявителя (ИП Кодоева М.А.) по адресу: Ростовская область, г. Таганрог, ул. Инициативная, 54а, к.н. 61:58:0004386:253 (1 шт.)</t>
  </si>
  <si>
    <t>Установка системы учета для технологического присоединения энергопринимающих устройств Заявителя (Галицкого Я.М.) по адресу: Ростовская область, г. Таганрог, пер. 18-й Мариупольский, 3а, к.н. 61:58:005201:115 (1 шт.)</t>
  </si>
  <si>
    <t>Установка системы учета для технологического присоединения энергопринимающих устройств Заявителя (Самойлова Л.Н.) по адресу: Ростовская область, г. Таганрог, пер. Зеленый, 19-г, к.н. объекта: 61:58:0002352:301 (1 шт.)</t>
  </si>
  <si>
    <t>Установка системы учета для технологического присоединения энергопринимающих устройств Заявителя (Акопян А.П.) по адресу: Ростовская область, Мясниковский район, х. Красный Крым, ул. Лермонтовская, д. 41, к.н. 61:25:0600401:17071 (1 шт.)</t>
  </si>
  <si>
    <t>Установка системы учета для технологического присоединения энергопринимающих устройств Заявителя (Амирханян К.В.) по адресу: Ростовская область, Мясниковский район, х. Красный Крым, ул. Сатхинская, д. 49 к.н. 61:25:0600401:17242 (1 шт.)</t>
  </si>
  <si>
    <t>Установка системы учета для технологического присоединения энергопринимающих устройств Заявителя (Дарбинян Л.В.) по адресу: Ростовская область, Мясниковский район, х. Красный Крым, ул. Лермонтовская, д. 31, к.н. 61:25:0600401:17076 (1 шт.)</t>
  </si>
  <si>
    <t>Установка системы учета для технологического присоединения энергопринимающих устройств Заявителя (Егиазарян С.А.) по адресу: Ростовская область, Мясниковский район, с. Крым, ул. Александра Суворова, д. 17 к.н. 61:25:0600201:1531 (1 шт.)</t>
  </si>
  <si>
    <t>Установка системы учета для технологического присоединения энергопринимающих устройств Заявителя (Мелохаян Е.Е.) по адресу: Ростовская область, Мясниковский район, с. Чалтырь, ул. Молодежная, д. 11/б, к.н. 61:25:0101430:314 (1 шт.)</t>
  </si>
  <si>
    <t>Установка системы учета для технологического присоединения энергопринимающих устройств Заявителя (Окунев И.А.) по адресу: Ростовская область, Мясниковский район, х. Красный Крым, ул. Верхняя, д. 58, к.н. 61:25:0600401:18740 (1 шт.)</t>
  </si>
  <si>
    <t>Установка системы учета для технологического присоединения энергопринимающих устройств Заявителя (Свиридова Н.В.) по адресу: Ростовская область, Мясниковский район, х. Красный Крым, ул. Молодежная, д. 70, к.н. 61:25:0600401:16114 (1 шт.)</t>
  </si>
  <si>
    <t>Установка системы учета для технологического присоединения энергопринимающих устройств Заявителя (Татарская Ю.С.) по адресу: Ростовская область, Мясниковский район, х. Красный Крым, ул. Молодежная, д. 62, к.н. 61:25:0600401:16119 (1 шт.)</t>
  </si>
  <si>
    <t>Установка системы учета для технологического присоединения энергопринимающих устройств Заявителя (Терехов С.И.) по адресу: Ростовская область, Мясниковский район, с. Чалтырь, ул. Западная, д. 116/а, к.н. 61:25:0101602:219 (1 шт.)</t>
  </si>
  <si>
    <t>Установка системы учета для технологического присоединения энергопринимающих устройств Заявителя (Яковлева Ю.В.) по адресу: Ростовская область, Мясниковский район, х. Красный Крым, ул. Молодежная, д. 58, к.н. 61:25:0600401:16121 (1 шт.)</t>
  </si>
  <si>
    <t>Установка системы учета для технологического присоединения энергопринимающих устройств Заявителя (Грачев А.Н.) по адресу: Ростовская область, Мясниковский район, х. Красный Крым, ул. Верхняя, д. 31, к.н. 61:25:0600401:17502 (1 шт.)</t>
  </si>
  <si>
    <t>Установка системы учета для технологического присоединения энергопринимающих устройств Заявителя (Грачев А.Н.) по адресу: Ростовская область, Мясниковский район, х. Красный Крым, ул. Верхняя, д. 33, к.н. 61:25:0600401:17515 (1 шт.)</t>
  </si>
  <si>
    <t>Установка системы учета для технологического присоединения энергопринимающих устройств Заявителя (Григорян Н.С.) по адресу: Ростовская область, Мясниковский район, х. Красный Крым, ул. Баграмяна, д. 3, к.н. 61:25:0600401:18273 (1 шт.)</t>
  </si>
  <si>
    <t>Установка системы учета для технологического присоединения энергопринимающих устройств Заявителя (Соловьев А.А.) по адресу: Ростовская область, Мясниковский район, х. Ленинаван, ул. Кольцевая, д. 15, к.н. 61:25:0600401:9972 (1 шт.)</t>
  </si>
  <si>
    <t>Установка системы учета для технологического присоединения энергопринимающих устройств Заявителя (Дмитриев И.К.) по адресу: Ростовская область, Мясниковский район, х. Красный Крым, ул. Капитальная, д. 27, к.н. 61:25:0600401:17202 (1 шт.)</t>
  </si>
  <si>
    <t xml:space="preserve">Установка системы учета для технологического присоединения энергопринимающих устройств Заявителя (Каменская Е.О.) по адресу: Ростовская область, Мясниковский район, х. Красный Крым, ул. Урожайная, д. 18, к.н. 61:25:0600401:16106 (1 шт.) </t>
  </si>
  <si>
    <t xml:space="preserve">Установка системы учета для технологического присоединения энергопринимающих устройств Заявителя (Гребенюк В.В.) по адресу: Ростовская область, Мясниковский район, х. Красный Крым, ул. Молодежная, д. 64, к.н. 61:25:0600401:16118 (1 шт.) </t>
  </si>
  <si>
    <t>Установка системы учета для технологического присоединения энергопринимающих устройств Заявителя (Албертян Ш.В.) по адресу: Ростовская область, Мясниковский район, с. Чалтырь, ул. Пионерская, д. 19/п, к.н. 61:25:0101130:326 (1 шт.)</t>
  </si>
  <si>
    <t>Установка системы учета для технологического присоединения энергопринимающих устройств Заявителя (Бабиян М.А.) по адресу: Ростовская область, Мясниковский район, с. Крым, ул. Пролетарская, д. 12, кв. 1, к.н. 61:25:0201024:117 (1 шт.)</t>
  </si>
  <si>
    <t>Установка системы учета для технологического присоединения энергопринимающих устройств Заявителя (Баздыкян М.В.) по адресу: Ростовская область, Мясниковский район, х. Красный Крым, ул. Звездная, д. 30/а, к.н. 61:25:0600401:15015 (1 шт.)</t>
  </si>
  <si>
    <t>Установка системы учета для технологического присоединения энергопринимающих устройств Заявителя (Вартеванян К.С.) по адресу: Ростовская область, Мясниковский район, с. Чалтырь, ул. 12-я линия, д. 14, к.н. 61:25:0101243:243 (1 шт.)</t>
  </si>
  <si>
    <t>Установка системы учета для технологического присоединения энергопринимающих устройств Заявителя (Винокурова Т.В.) по адресу: Ростовская область, Мясниковский район, х. Ленинаван, ул. Дружбы, д. 1/3, к.н. 61:25:0030202:4921 (1 шт.)</t>
  </si>
  <si>
    <t>Установка системы учета для технологического присоединения энергопринимающих устройств Заявителя (Гладких А.А.) по адресу: Ростовская область, Мясниковский район, х. Красный Крым, ул. Молодежная, д. 66, к.н. 61:25:0600401:16117 (1 шт.)</t>
  </si>
  <si>
    <t>Установка системы учета для технологического присоединения энергопринимающих устройств Заявителя (Джамалдиев М.Х.) по адресу: Ростовская область, Мясниковский район, х. Ленинакан, ул. Лукашина, д. 18/б, к.н. 61:25:0030301:1965 (1 шт.)</t>
  </si>
  <si>
    <t>Установка системы учета для технологического присоединения энергопринимающих устройств Заявителя (Джеентаева Н.В.) по адресу: Ростовская область, Мясниковский район, х. Ленинакан, ул. Трудовая, д. 35/1,  к.н. 61:25:0030301:1942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</si>
  <si>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Ленинаван, ул. Центральная, д. 6, к.н. 61:25:0600401:19787 (1 шт.)</t>
  </si>
  <si>
    <t xml:space="preserve">Установка системы учета для технологического присоединения энергопринимающих устройств Заявителя (Долгополов В.И.) по адресу: Ростовская область, Мясниковский район, х. Ленинаван, ул. Ландышевая, д. 5, к.н. 61:25:0600401:19526 (1 шт.) </t>
  </si>
  <si>
    <t xml:space="preserve">Установка системы учета для технологического присоединения энергопринимающих устройств Заявителя (Дрожко В.А.) по адресу: Ростовская область, Мясниковский район, х. Красный Крым, ул. Звездная, д. 29/а, к.н. 61:25:0600401:14944 (1 шт.) </t>
  </si>
  <si>
    <t xml:space="preserve">Установка системы учета для технологического присоединения энергопринимающих устройств Заявителя (Емельянова С.О.) по адресу: Ростовская область, Мясниковский район, х. Ленинакан, ул. Майская, д. 1/1, к.н. 61:25:0600401:19262 (1 шт.) </t>
  </si>
  <si>
    <t>Установка системы учета для технологического присоединения энергопринимающих устройств Заявителя (Звягинцев В.Д.) по адресу: Ростовская область, Мясниковский район, х. Ленинакан, ул. Осенняя, д. 10/а к.н. 61:25:0600401:18675 (1 шт.)</t>
  </si>
  <si>
    <t>Установка системы учета для технологического присоединения энергопринимающих устройств Заявителя (Иванов С.В.) по адресу: Ростовская область, Мясниковский район, х. Ленинакан, ул. Майская, д. 10 к.н. 61:25:0600401:19151 (1 шт.)</t>
  </si>
  <si>
    <t>Установка системы учета для технологического присоединения энергопринимающих устройств Заявителя (Гвоздинская С.С.) по адресу: Ростовская область, Мясниковский район, х. Ленинакан, ул. Майская, д. 7/а, к.н. 61:25:0600401:16693 (1 шт.)</t>
  </si>
  <si>
    <t>Установка системы учета для технологического присоединения энергопринимающих устройств Заявителя (Геворгян А.Э.) по адресу: Ростовская область, Мясниковский район, х. Красный Крым, ул. Пушкинская, д. 69, к.н. 61:25:0600401:16312 (1 шт.)</t>
  </si>
  <si>
    <t>Установка системы учета для технологического присоединения энергопринимающих устройств Заявителя (Кайсина О.С.) по адресу: Ростовская область, Мясниковский район, х. Ленинакан, ул. Майская, д. 22, к.н. 61:25:0600401:17520 (1 шт.)</t>
  </si>
  <si>
    <t>Установка системы учета для технологического присоединения энергопринимающих устройств Заявителя (Кароян К.А.) по адресу: Ростовская область, Мясниковский район, с. Большие Салы, ул. 26 Бакинских Комиссаров, к.н. 61:25:0040101:6100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</si>
  <si>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И. Айвазовского, д. 36, к.н. 61:25:0600401:5760 (1 шт.)</t>
  </si>
  <si>
    <t>Установка системы учета для технологического присоединения энергопринимающих устройств Заявителя (Бахлян М.М.) по адресу: Ростовская область, Мясниковский район, х. Красный Крым, ул. Крымская, д. 44, к.н. 61:25:0600401:16643 (1 шт.)</t>
  </si>
  <si>
    <t xml:space="preserve">Установка системы учета для технологического присоединения энергопринимающих устройств Заявителя (Беликова Л.П.) по адресу: Ростовская область, Мясниковский район, с. Чалтырь, ул. Центральная, д. 47 к.н. 61:25:0101232:76 (1 шт.) </t>
  </si>
  <si>
    <t>Установка системы учета для технологического присоединения энергопринимающих устройств Заявителя (Деев А.В.) по адресу: Ростовская область, Мясниковский район, х. Ленинаван, ул. Ландышевая, д. 1/а, к.н. 61:25:0600401:16834 (1 шт.)</t>
  </si>
  <si>
    <t>Установка системы учета для технологического присоединения энергопринимающих устройств Заявителя (Кротова Н.С.) по адресу: Ростовская область, Мясниковский район, с. Чалтырь, ул. Социалистическая, 20/н, к.н. 61:25:0101204:41 (1 шт.)</t>
  </si>
  <si>
    <t>. Установка системы учета для технологического присоединения энергопринимающих устройств Заявителя (Касымбеков К.О.) по адресу: Ростовская обл., Мясниковский р-н, х. Красный Крым, ул. Лермонтовская, д. 20, к.н. 61:25:0600401:17049 (1 шт.)</t>
  </si>
  <si>
    <t>Установка системы учета для технологического присоединения энергопринимающих устройств Заявителя (Керимова А.М.) по адресу: Ростовская область, Мясниковский район, с. Чалтырь, ул. 4-я линия, д. 36/б, к.н. 61:25:0101101:127 (1 шт.)</t>
  </si>
  <si>
    <t>Установка системы учета для технологического присоединения энергопринимающих устройств Заявителя (Клеменищев С.В.) по адресу: Ростовская область, Мясниковский район, х. Красный Крым, ул. Звездная, д. 33/а, к.н. 61:25:0600401:17145 (1 шт.)</t>
  </si>
  <si>
    <t>Установка системы учета для технологического присоединения энергопринимающих устройств Заявителя (Коломиец Т.А.) по адресу: Ростовская область, Мясниковский район, х. Красный Крым, ул. Сатхинская, д. 20, к.н. 61:25:0600401:19107 (1 шт.)</t>
  </si>
  <si>
    <t>Установка системы учета для технологического присоединения энергопринимающих устройств Заявителя (Королев А.А.) по адресу: Ростовская область, Мясниковский район, х. Красный Крым, ул. Молодежная, д. 60, к.н. 61:25:0600401:16120 (1 шт.)</t>
  </si>
  <si>
    <t>Установка системы учета для технологического присоединения энергопринимающих устройств Заявителя (Лагоша Е.Г.) по адресу: Ростовская область, Мясниковский район, х. Красный Крым, ул. Крымская, д. 16, к.н. 61:25:0600401:16930 (1 шт.)</t>
  </si>
  <si>
    <t>Установка системы учета для технологического присоединения энергопринимающих устройств Заявителя (Мамаюнусова А.К.) по адресу: Ростовская область, Мясниковский район, х. Красный Крым, ул. Лермонтовская, д. 38 к.н. 61:25:0600401:17039 (1 шт.)</t>
  </si>
  <si>
    <t>Установка системы учета для технологического присоединения энергопринимающих устройств Заявителя (Михайленко С.А.) по адресу: Ростовская область, Мясниковский район, с. Крым, ул. Маршала Баграмяна, д. 18, к.н. 61:25:0201019:232 (1 шт.)</t>
  </si>
  <si>
    <t>Установка системы учета для технологического присоединения энергопринимающих устройств Заявителя (Михайленко С.А.) по адресу: Ростовская область, Мясниковский район, с. Крым, ул. Григора Бабияна, д. 30/а к.н. 61:25:0600201:1443 (1 шт.)</t>
  </si>
  <si>
    <t>Установка системы учета для технологического присоединения энергопринимающих устройств Заявителя (Михайленко С.А.) по адресу: Ростовская область, Мясниковский район, с. Крым, ул. Григора Бабияна, д. 30/б, к.н. 61:25:0600201:1444 (1 шт.)</t>
  </si>
  <si>
    <t>Установка системы учета для технологического присоединения энергопринимающих устройств Заявителя (Мудревская А.Э.) по адресу: Ростовская область, Мясниковский район, х. Красный Крым, ул. Крымская, д. 12, к.н. 61:25:0600401:16902 (1 шт.)</t>
  </si>
  <si>
    <t>Установка системы учета для технологического присоединения энергопринимающих устройств Заявителя (Нестулей Е.И.) по адресу: Ростовская область, Мясниковский район, х. Ленинакан, ул. Осенняя, д. 28, к.н. 61:25:0600401:8713 (1 шт.)</t>
  </si>
  <si>
    <t>Установка системы учета для технологического присоединения энергопринимающих устройств Заявителя (Овсепян Е.С.) по адресу: Ростовская область, Мясниковский район, х. Красный Крым, ул. Сатхинская, д. 9, к.н. 61:25:0600401:17264 (1 шт.)</t>
  </si>
  <si>
    <t xml:space="preserve">Установка системы учета для технологического присоединения энергопринимающих устройств Заявителя (Пищета Д.С.) по адресу: Ростовская область, Мясниковский район, х. Красный Крым, ул. Сатхинская, д. 15, к.н. 61:25:0600401:17261 (1 шт.) </t>
  </si>
  <si>
    <t>Установка системы учета для технологического присоединения энергопринимающих устройств Заявителя (Пономарев В.Ю.) по адресу: Ростовская область, Мясниковский район, х. Ленинакан, ул. Трудовая, д. 28/4, к.н. 61:25:0030301:1904 (1 шт.)</t>
  </si>
  <si>
    <t>Установка системы учета для технологического присоединения энергопринимающих устройств Заявителя (Потемкин А.Е.) по адресу: Ростовская область, Мясниковский район, х. Калинин, ул. Школьная, д. 72, к.н. 61:25:0050101:2149 (1 шт.)</t>
  </si>
  <si>
    <t>Установка системы учета для технологического присоединения энергопринимающих устройств Заявителя (Прибыльнова С.В.) по адресу: Ростовская область, Мясниковский район, х. Ленинакан, ул. Майская, д. 9, к.н. 61:25:0600401:16709 (1 шт.)</t>
  </si>
  <si>
    <t>Установка системы учета для технологического присоединения энергопринимающих устройств Заявителя (Прядкина Н.Ю.) по адресу: Ростовская область, Мясниковский район, х. Ленинаван, ул. Абовяна, д. 19/б, к.н. 61:25:0030202:4825 (1 шт.)</t>
  </si>
  <si>
    <t>Установка системы учета для технологического присоединения энергопринимающих устройств Заявителя (Романенко Э.А.) по адресу: Ростовская область, Мясниковский район, х. Красный Крым, ул. Звездная, д. 16/а к.н. 61:25:0600401:10441 (1 шт.)</t>
  </si>
  <si>
    <t>Установка системы учета для технологического присоединения энергопринимающих устройств Заявителя (Рябеченкова С.А.) по адресу: Ростовская область, Мясниковский район, х. Красный Крым, ул. Сатхинская, д. 5, к.н. 61:25:0600401:17266 (1 шт.)</t>
  </si>
  <si>
    <t>Установка системы учета для технологического присоединения энергопринимающих устройств Заявителя (Савельев Ю.Ю.) по адресу: Ростовская область, Мясниковский район, х. Красный Крым, ул. Оливковая, д. 23, к.н. 61:25:0600401:19619 (1 шт.)</t>
  </si>
  <si>
    <t>Установка системы учета для технологического присоединения энергопринимающих устройств Заявителя (Савицкая А.Ю.) по адресу: Ростовская область, Мясниковский район, х. Ленинаван, ул. Дружбы, д. 1/6, к.н. 61:25:0030202:4923 (1 шт.)</t>
  </si>
  <si>
    <t>Установка системы учета для технологического присоединения энергопринимающих устройств Заявителя (Саркисян А.В.) по адресу: Ростовская область, Мясниковский район, с. Большие Салы, ул. Московская, д. 4, к.н. 61:25:0600501:3190 (1 шт.)</t>
  </si>
  <si>
    <t>Установка системы учета для технологического присоединения энергопринимающих устройств Заявителя (Семенова В.В.) по адресу: Ростовская область, Мясниковский район, х. Ленинакан, ул. Майская, д. 9/а к.н. 61:25:0600401:16708 (1 шт.)</t>
  </si>
  <si>
    <t>Установка системы учета для технологического присоединения энергопринимающих устройств Заявителя (Сидоренко О.А.) по адресу: Ростовская область, Мясниковский район, х. Ленинакан, ул. Майская, д. 6/в, к.н. 61:25:0600401:16312 (1 шт.)</t>
  </si>
  <si>
    <t>Установка системы учета для технологического присоединения энергопринимающих устройств Заявителя (Симонова Ю.А.) по адресу: Ростовская область, Мясниковский район, х. Красный Крым, ул. Молодежная, д. 68, к.н. 61:25:0600401:16116 (1 шт.)</t>
  </si>
  <si>
    <t>Установка системы учета для технологического присоединения энергопринимающих устройств Заявителя (Самойлова Е.А.) по адресу: Ростовская область, Мясниковский район, х. Ленинакан, ул. Майская, д. 14, к.н. 61:25:0600401:17368 (1 шт.)</t>
  </si>
  <si>
    <t>Установка системы учета для технологического присоединения энергопринимающих устройств Заявителя (Степанян Л.Г.) по адресу: Ростовская область, Мясниковский район, с. Крым, ул. 3-я линия, д. 3/г, к.н. 61:25:0201016:447 (1 шт.)</t>
  </si>
  <si>
    <t>Установка системы учета для технологического присоединения энергопринимающих устройств Заявителя (Тютюнникова Н.Ю.) по адресу: Ростовская область, Мясниковский район, х. Ленинакан, ул. Майская, д. 4/б, к.н. 61:25:0600401:17386 (1 шт.)</t>
  </si>
  <si>
    <t>Установка системы учета для технологического присоединения энергопринимающих устройств Заявителя (Фролова Г.А.) по адресу: Ростовская область, Мясниковский район, х. Красный Крым, ул. Пушкинская, д. 42, к.н. 61:25:0600401:16316 (1 шт.)</t>
  </si>
  <si>
    <t>Установка системы учета для технологического присоединения энергопринимающих устройств Заявителя (Хамаев Э.Р.) по адресу: Ростовская область, Мясниковский район, х. Красный Крым, ул. Крымская, д. 37, к.н. 61:25:0600401:16865 (1 шт.)</t>
  </si>
  <si>
    <t xml:space="preserve">Установка системы учета для технологического присоединения энергопринимающих устройств Заявителя (Хейгетян Г.Е.) по адресу: Ростовская область, Мясниковский район, с. Крым, ул. 18-я линия, д. 9, к.н. 61:25:0201008:510 (1 шт.) </t>
  </si>
  <si>
    <t>Установка системы учета для технологического присоединения энергопринимающих устройств Заявителя (Хейгетян Г.Е.) по адресу: Ростовская область, Мясниковский район, с. Крым, ул. 18-я линия, д. 9/а, к.н. 61:25:0201008:511 (1 шт.)</t>
  </si>
  <si>
    <t>Установка системы учета для технологического присоединения энергопринимающих устройств Заявителя (Хейгетян Г.Е.) по адресу: Ростовская область, Мясниковский район, с. Крым, ул. 18-я линия, д. 9/б, к.н. 61:25:0201008:512 (1 шт.)</t>
  </si>
  <si>
    <t>Установка системы учета для технологического присоединения энергопринимающих устройств Заявителя (Хейккинен А.П.) по адресу: Ростовская область, Мясниковский район, х. Красный Крым, ул. Сатхинская, д. 60, к.н. 61:25:0600401:19488 (1 шт.)</t>
  </si>
  <si>
    <t>Установка системы учета для технологического присоединения энергопринимающих устройств Заявителя (Цатурян В.К.) по адресу: Ростовская область, Мясниковский район, с. Большие Салы, ул. Московская, д. 4/г, к.н. 61:25:0600501:3240 (1 шт.)</t>
  </si>
  <si>
    <t>Установка системы учета для технологического присоединения энергопринимающих устройств Заявителя (Яловенко Н.И.) по адресу: Ростовская область, Мясниковский район, х. Ленинакан, ул. Майская, д. 1/б, к.н. 61:25:0600401:17599 (1 шт.)</t>
  </si>
  <si>
    <t>Установка системы учета для технологического присоединения энергопринимающих устройств Заявителя (Амбарцумян А.Л.) по адресу: Ростовская область, Мясниковский район, с. Крым, ул. Нольная, д. 1/в, к.н. 61:25:0201005:69 (1 шт.)</t>
  </si>
  <si>
    <t xml:space="preserve">Установка системы учета для технологического присоединения энергопринимающих устройств Заявителя (Луценко Д.А.) по адресу: Ростовская область, Мясниковский район, х. Ленинакан, ул. Майская, д. 23, к.н. 61:25:0600401:16834 (1 шт.) </t>
  </si>
  <si>
    <t xml:space="preserve">Установка системы учета для технологического присоединения энергопринимающих устройств Заявителя (Петрова А.Г.) по адресу: Ростовская область, Мясниковский район, х. Красный Крым, ул. Сатхинская, д. 34, к.н. 61:25:0600401:17218 (1 шт.) </t>
  </si>
  <si>
    <t xml:space="preserve">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ул. Майская, д. 42, к.н. 61:25:0030202:1149 (1 шт.) </t>
  </si>
  <si>
    <t>Установка системы учета для технологического присоединения энергопринимающих устройств Заявителя (Акопян М.А.) по адресу: Ростовская область, Мясниковский район, с. Крым, ул. Маршала Баграмяна, д. 32/а, к.н. 61:25:0600201:1460 (1 шт.)</t>
  </si>
  <si>
    <t xml:space="preserve">Установка системы учета для технологического присоединения энергопринимающих устройств Заявителя (Аносов Х.С.) по адресу: Ростовская область, Мясниковский район, с. Чалтырь, ул. Речная, 34/г,  к.н. 61:25:0101211:311 (1 шт.) </t>
  </si>
  <si>
    <t>Установка системы учета для технологического присоединения энергопринимающих устройств Заявителя (Аракелян В.О.) по адресу: Ростовская область, Мясниковский район, с. Большие Салы, ул. Московская, д. 16, к.н. 61:25:0600401:2513 (1 шт.)</t>
  </si>
  <si>
    <t>Установка системы учета для технологического присоединения энергопринимающих устройств Заявителя (Бородавка М.А.) по адресу: Ростовская область, Мясниковский район, х. Ленинаван, ул. Дружбы, д. 1, к.н. 61:25:0030202:4920 (1 шт.)</t>
  </si>
  <si>
    <t>Установка системы учета для технологического присоединения энергопринимающих устройств Заявителя (Винникова А.В.) по адресу: Ростовская область, Мясниковский район, с. Большие Салы, ул. Московская, д. 5, к.н. 61:25:0600501:2535 (1 шт.)</t>
  </si>
  <si>
    <t>Установка системы учета для технологического присоединения энергопринимающих устройств Заявителя (Габриелян А.С.) по адресу: Ростовская область, Мясниковский район, с. Большие Салы, ул. Оганяна, д. 7/е, к.н. 61:25:0040101:6146 (1 шт.)</t>
  </si>
  <si>
    <t>Установка системы учета для технологического присоединения энергопринимающих устройств Заявителя (Гагалаев А.Б.) по адресу: Ростовская область, Мясниковский район, х. Ленинакан, ул. Майская, д. 8/а, к.н. 61:25:0600401:17006 (1 шт.)</t>
  </si>
  <si>
    <t>Установка системы учета для технологического присоединения энергопринимающих устройств Заявителя (Калуга А.А.) по адресу: Ростовская область, Мясниковский район, х. Красный Крым, ул. Капитальная, д. 12, к.н. 61:25:0600401:17182 (1 шт.)</t>
  </si>
  <si>
    <t>Установка системы учета для технологического присоединения энергопринимающих устройств Заявителя (Кипершлак А.О.) по адресу: Ростовская область, Мясниковский район, х. Ленинакан, ул. Майская, д. 10/а, к.н. 61:25:0600401:16983 (1 шт.)</t>
  </si>
  <si>
    <t xml:space="preserve">Установка системы учета для технологического присоединения энергопринимающих устройств Заявителя (Комарова И.В.) по адресу: Ростовская область, Мясниковский район, х. Красный Крым, ул. Верхняя, д. 53, к.н. 61:25:0600401:17510 (1 шт.) </t>
  </si>
  <si>
    <t>Установка системы учета для технологического присоединения энергопринимающих устройств Заявителя (Манвелян А.А.) по адресу: Ростовская область, Мясниковский район, х. Красный Крым, ул. Баграмяна, д. 13, к.н. 61:25:0600401:18278 (1 шт.)</t>
  </si>
  <si>
    <t xml:space="preserve">Установка системы учета для технологического присоединения энергопринимающих устройств Заявителя (Шарапов С.Н.) по адресу: Ростовская область, Мясниковский район, с. Крым, ул. Григора Бабияна, д. 48/б к.н. 61:25:0600201:1468 (1 шт.) </t>
  </si>
  <si>
    <t>Установка системы учета для технологического присоединения энергопринимающих устройств Заявителя (Чебыкин К.А.) по адресу: Ростовская область, Мясниковский район, с. Крым, ул. Григора Бабияна, д. 46/б к.н. 61:25:0600201:1546 (1 шт.)</t>
  </si>
  <si>
    <t xml:space="preserve">Установка системы учета для технологического присоединения энергопринимающих устройств Заявителя (Чабанов М.А.) по адресу: Ростовская область, Мясниковский район, с. Крым, ул. Григора Бабияна, д. 48/а, к.н. 61:25:0600201:1509 (1 шт.) </t>
  </si>
  <si>
    <t>Установка системы учета для технологического присоединения энергопринимающих устройств Заявителя (ИП Беньяминов А.В.) по адресу: Ростовская область, Мясниковский район, х. Ленинаван, к.н. 61:25:0600401:18652 (1 шт.)</t>
  </si>
  <si>
    <t>Установка системы учета для технологического присоединения энергопринимающих устройств Заявителя (Репка А.О.) по адресу: Ростовская область, Мясниковский район, х. Красный Крым, ул. Звездная, д. 34/а, к.н. 61:25:0600401:17683 (1 шт.)</t>
  </si>
  <si>
    <t>Установка системы учета для технологического присоединения энергопринимающих устройств Заявителя (Пирмурадова С.С.) по адресу: Ростовская область, Мясниковский район, х. Ленинакан, ул. Майская, д. 21/а, к.н. 61:25:0600401:18822 (1 шт.)</t>
  </si>
  <si>
    <t>Установка системы учета для технологического присоединения энергопринимающих устройств Заявителя (Пуличева Е.В.) по адресу: Ростовская область, Мясниковский район, х. Красный Крым, ул. Сатхинская, д. 38, к.н. 61:25:0600401:17216 (1 шт.)</t>
  </si>
  <si>
    <t>Установка системы учета для технологического присоединения энергопринимающих устройств Заявителя (Ратникова С.И.) по адресу: Ростовская область, Мясниковский район, х. Ленинаван, ул. Дружбы, д. 1/4, к.н. 61:25:0030202:4922 (1 шт.)</t>
  </si>
  <si>
    <t>Установка системы учета для технологического присоединения энергопринимающих устройств Заявителя (Рябова С.В.) по адресу: Ростовская область, Мясниковский район, х. Ленинакан, ул. Осенняя, д. 18/а, к.н. 61:25:0600401:19114 (1 шт.)</t>
  </si>
  <si>
    <t>Установка системы учета для технологического присоединения энергопринимающих устройств Заявителя (Семенова М.С.) по адресу: Ростовская область, Мясниковский район, х. Красный Крым, ул. Лермонтовская, д. 22, к.н. 61:25:0600401:17048 (1 шт.)</t>
  </si>
  <si>
    <t>Установка системы учета для технологического присоединения энергопринимающих устройств Заявителя (Сорохан Е.Я.) по адресу: Ростовская область, Мясниковский район, х. Красный Крым, ул. Пушкинская, д. 66, к.н. 61:25:0600401:16323 (1 шт.</t>
  </si>
  <si>
    <t>Установка системы учета для технологического присоединения энергопринимающих устройств Заявителя (Халилов И.К.) по адресу: Ростовская область, Мясниковский район, х. Красный Крым, ул. Верхняя, д. 19/б, к.н. 61:25:0600401:19817 (1 шт.)</t>
  </si>
  <si>
    <t>Установка системы учета для технологического присоединения энергопринимающих устройств Заявителя (Шахмурадян Р.К.) по адресу: Ростовская область, Мясниковский район, с. Чалтырь, ул. Октябрьская,  к.н. 61:25:0101243:942 (1 шт.)</t>
  </si>
  <si>
    <t>Установка системы учета для технологического присоединения энергопринимающих устройств Заявителя (Абгарян К.Ж.) по адресу: Ростовская область, Мясниковский район, с. Большие Салы, ул. Белорусская, д. 1/д, к.н. 61:25:0600501:3204 (1 шт.)</t>
  </si>
  <si>
    <t>Установка системы учета для технологического присоединения энергопринимающих устройств Заявителя (Азизбекян А.В.) по адресу: Ростовская область, Мясниковский район, с. Чалтырь, ул. Молодежная, д. 9/б, к.н. 61:25:0101430:316 (1 шт.)</t>
  </si>
  <si>
    <t>Установка системы учета для технологического присоединения энергопринимающих устройств Заявителя (Бондаренко Б.Н.) по адресу: Ростовская область, Мясниковский район, х. Красный Крым, ул. Лермонтовская, д. 13, к.н. 61:25:0600401:17086 (1 шт.)</t>
  </si>
  <si>
    <t>Установка системы учета для технологического присоединения энергопринимающих устройств Заявителя (Вардумян А.Л.) по адресу: Ростовская область, Мясниковский район, х. Ленинаван, ул. Суворова, д. 9/1, к.н. 61:25:0600401:20125 (1 шт.)</t>
  </si>
  <si>
    <t>Установка системы учета для технологического присоединения энергопринимающих устройств Заявителя (Водопьянов Н.В.) по адресу: Ростовская область, Мясниковский район, х. Ленинаван, ул. Кутузова, д. 66,  к.н. 61:25:0600401:6282 (1 шт.)</t>
  </si>
  <si>
    <t>Установка системы учета для технологического присоединения энергопринимающих устройств Заявителя (Волощак Д.М.) по адресу: Ростовская область, Мясниковский район, х. Ленинаван, ул. им. И.Х. Баграмяна, д. 32, к.н. 61:25:0600401:9608 (1 шт.)</t>
  </si>
  <si>
    <t>Установка системы учета для технологического присоединения энергопринимающих устройств Заявителя (Восканян К.Б.) по адресу: Ростовская область, Мясниковский район, с. Крым, ул. Шаумяна, д. 71/б, к.н. 61:25:0201004:241 (1 шт.)</t>
  </si>
  <si>
    <t>Установка системы учета для технологического присоединения энергопринимающих устройств Заявителя (Давиденко О.Б.) по адресу: Ростовская область, Мясниковский район, х. Красный Крым, ул. Баграмяна, д. 15, к.н. 61:25:0600401:18248 (1 шт.)</t>
  </si>
  <si>
    <t>Установка системы учета для технологического присоединения энергопринимающих устройств Заявителя (Зинченко Ф.В.) по адресу: Ростовская область, Мясниковский район, х. Красный Крым, ул. Верхняя, д. 15, к.н. 61:25:0600401:19812 (1 шт.)</t>
  </si>
  <si>
    <t>Установка системы учета для технологического присоединения энергопринимающих устройств Заявителя (Игнатенко В.А.) по адресу: Ростовская область, Мясниковский район, х. Ленинакан, ул. Осенняя, д. 1/10, к.н. 61:25:0600401:17943 (1 шт.)</t>
  </si>
  <si>
    <t>Установка системы учета для технологического присоединения энергопринимающих устройств Заявителя (Клементьев Д.С.) по адресу: Ростовская область, Мясниковский район, х. Ленинаван, ул. Ландышевая, д. 1, к.н. 61:25:0600401:17219 (1 шт.)</t>
  </si>
  <si>
    <t>Установка системы учета для технологического присоединения энергопринимающих устройств Заявителя (Комарова И.В.) по адресу: Ростовская область, Мясниковский район, х. Красный Крым, ул. Верхняя, д. 55, к.н. 61:25:0600401:17511 (1 шт.)</t>
  </si>
  <si>
    <t>Установка системы учета для технологического присоединения энергопринимающих устройств Заявителя (Коротков А.В.) по адресу: Ростовская область, Мясниковский район, х. Ленинакан, ул. Майская, д. 4/г, к.н. 61:25:0600401:17384 (1 шт.)</t>
  </si>
  <si>
    <t>Установка системы учета для технологического присоединения энергопринимающих устройств Заявителя (Костина И.М.) по адресу: Ростовская область, Мясниковский район, х. Красный Крым, ул. Лермонтовская, д. 10, к.н. 61:25:0600401:17054 (1 шт.)</t>
  </si>
  <si>
    <t>Установка системы учета для технологического присоединения энергопринимающих устройств Заявителя (Куличенко М.А.) по адресу: Ростовская область, Мясниковский район, х. Красный Крым, ул. Пушкинская, д. 65, к.н. 61:25:0600401:16367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</si>
  <si>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Красный Крым, ул. Крымская, д. 70, к.н. 61:25:0600401:16921 (1 шт.)</t>
  </si>
  <si>
    <t>Установка системы учета для технологического присоединения энергопринимающих устройств Заявителя (Лаврик Е.А.) по адресу: Ростовская область, Мясниковский район, х. Красный Крым, ул. Лермонтовская, д. 17, к.н. 61:25:0600401:17084 (1 шт.)</t>
  </si>
  <si>
    <t>Установка системы учета для технологического присоединения энергопринимающих устройств Заявителя (Лепилов И.Л.) по адресу: Ростовская область, Мясниковский район, х. Красный Крым, ул. Баграмяна, д. 7, к.н. 61:25:0600401:18275 (1 шт.)</t>
  </si>
  <si>
    <t>Установка системы учета для технологического присоединения энергопринимающих устройств Заявителя (Ломака В.Е.) по адресу: Ростовская область, Мясниковский район, х. Красный Крым, ул. Капитальная, д. 15, к.н. 61:25:0600401:17196 (1 шт.)</t>
  </si>
  <si>
    <t>Установка системы учета для технологического присоединения энергопринимающих устройств Заявителя (Мигаль Е.С.) по адресу: Ростовская область, Мясниковский район, х. Ленинаван, ул. Звездная, д. 26/а, к.н. 61:25:0600401:17456 (1 шт.)</t>
  </si>
  <si>
    <t>Установка системы учета для технологического присоединения энергопринимающих устройств Заявителя (Мироненко Н.С.) по адресу: Ростовская область, Мясниковский район, х. Ленинакан, ул. Майская, д. 5/б, к.н. 61:25:0600401:17593 (1 шт.)</t>
  </si>
  <si>
    <t>Установка системы учета для технологического присоединения энергопринимающих устройств Заявителя (Морозова М.Н.) по адресу: Ростовская область, Мясниковский район, с. Крым, ул. Маршала Жукова, д. 5, к.н. 61:25:0600201:466 (1 шт.)</t>
  </si>
  <si>
    <t>Установка системы учета для технологического присоединения энергопринимающих устройств Заявителя (Нечаева Е.В.) по адресу: Ростовская область, Мясниковский район, х. Ленинаван, ул. Удачная, д. 11, к.н. 61:25:0600401:15013 (1 шт.)</t>
  </si>
  <si>
    <t>Установка системы учета для технологического присоединения энергопринимающих устройств Заявителя (Петросян А.А.) по адресу: Ростовская область, Мясниковский район, с. Крым, ул. Первомайская, д. 92, к.н. 61:25:0201019:614 (1 шт.)</t>
  </si>
  <si>
    <t>Установка системы учета для технологического присоединения энергопринимающих устройств Заявителя (Пилтакян П.Х.) по адресу: Ростовская область, Мясниковский район, с. Крым, ул. Комсомольская, д. 28, к.н. 61:25:0201018:899 (1 шт.)</t>
  </si>
  <si>
    <t>Установка системы учета для технологического присоединения энергопринимающих устройств Заявителя (Савченко С.В.) по адресу: Ростовская область, Мясниковский район, х. Красный Крым, ул. Сатхинская, д. 40, к.н. 61:25:0600401:17215 (1 шт.)</t>
  </si>
  <si>
    <t>Установка системы учета для технологического присоединения энергопринимающих устройств Заявителя (Сотников А.В.) по адресу: Ростовская область, Мясниковский район, х. Ленинакан, ул. Майская, д. 5/а, к.н. 61:25:0600401:17594 (1 шт.)</t>
  </si>
  <si>
    <t>Строительство системы учета для технологического присоединения энергопринимающих устройств Заявителей: «Муниципальное бюджетное учреждение здравоохранения "Центральная районная больница "Матвеево - Курганского района.,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</si>
  <si>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Булавинцев А.Ю., Кручинина Е.В., в Матвеево Курганском районе Ростовской области</t>
  </si>
  <si>
    <t>Установка системы учета для технологического присоединения энергопринимающих устройств Заявителя: «Администрация Анастасиевского сельского поселения»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</si>
  <si>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Попов Л.В., в Матвеево Курганском районе Ростовской области – 1 шт.</t>
  </si>
  <si>
    <t>Строительство системы учета для технологического присоединения жилого дома Заявителя Михайленко А.В. по адресу: Ростовская область, Мясниковский район, с. Крым, ул. Григора Бабияна, д. 18, корп. а, к. н. 61:25:0201019:778</t>
  </si>
  <si>
    <t>Строительство системы учета для технологического присоединения энергопринимающих устройств Заявителей: Зозулюк С.В., Бурунин А.С., Кучер В.М.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</si>
  <si>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МКУ «Благоустройство», Сухоруков Е.А. в г. Таганроге, Ростовской области</t>
  </si>
  <si>
    <t>«Строительство системы учета для технологического присоединения энергопринимающих устройств Заявителей: Вороненко А.В., Исаджанян Г.З.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</si>
  <si>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МКУ «Благоустройство», Комарков А.Б., Макарова И.Н., Индивидуальный предприниматель Гребень В.В., в г. Таганроге, Ростовской области</t>
  </si>
  <si>
    <t>Строительство системы учета для технологического присоединения энергопринимающих устройств Заявителей: Щербина А.В., Мамонов А.В.  в г. Таганроге, Ростовской области</t>
  </si>
  <si>
    <t>Строительство системы учета для технологического присоединения энергопринимающих устройств Заявителей: Карпухина Н.А. в г. Таганроге, Ростовской области</t>
  </si>
  <si>
    <t>Установка системы учета для технологического присоединения энергопринимающих устройств Заявителя ИП Малашенко Г.В. в г.Таганроге Ростовской области (1 шт.)</t>
  </si>
  <si>
    <t>Установка системы учета для технологического присоединения энергопринимающих устройств Заявителя: Подгорная А.В. в г.Таганроге, Ростовской области (1 шт)</t>
  </si>
  <si>
    <t>Установка системы учета для технологического присоединения энергопринимающих устройств Заявителя: ООО «ДорСтройИнвест» в г. Таганроге, Ростовской области (1 шт)</t>
  </si>
  <si>
    <t>Установка системы учета для технологического присоединения энергопринимающих устройств Заявителей: Лаушкина А.Ю. в г.Таганроге, Ростовской области (1 шт)</t>
  </si>
  <si>
    <t>Установка системы учета для технологического присоединения энергопринимающих устройств Заявителей: Администрация Алексеевского сельского поселения,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</si>
  <si>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Заявителей: Лихота А.Г.,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</si>
  <si>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Жилякова Н.А. в г. Таганроге, Ростовской области (1 шт)</t>
  </si>
  <si>
    <t>Установка системы учета для технологического присоединения энергопринимающих устройств Заявителя: МРОП Приход храма праведного Павла Таганрогского п. М-Курган РО,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</si>
  <si>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Бучко О.В. в г. Таганроге, Ростовской области (1 шт)</t>
  </si>
  <si>
    <t>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 7 шт.</t>
  </si>
  <si>
    <t>Установка системы учета для технологического присоединения энергопринимающих устройств Заявителя: Администрация Екатериновского сельского поселения,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</si>
  <si>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</si>
  <si>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Заявителей: Саратикян А.Г., Казарян А.Г.,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</si>
  <si>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Переу Александр Федорович в г. Таганроге, Ростовской области (1 шт)</t>
  </si>
  <si>
    <t>Строительство системы учета для технологического присоединения энергопринимающих устройств Заявителей: Государственное бюджетное учреждение культуры Ростовской области «Таганрогский государственный литературный и историко-архитектурный музей-заповедник», Кравченко А.П., в г.Таганроге, Ростовской области</t>
  </si>
  <si>
    <t>Установка системы учета для технологического присоединения энергопринимающих устройств Заявителей: Аветисян А.Г. в г. Таганроге, Ростовской области (1 шт)</t>
  </si>
  <si>
    <t>Установка системы учета для технологического присоединения энергопринимающих устройств Заявителей: Пожидаева Е.Н., Гукасян Т.С.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</si>
  <si>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Сарычева А.В., Малинская Н.Н.  в г. Таганроге, Ростовской области (2 шт)</t>
  </si>
  <si>
    <t>Установка системы учета для технологического присоединения энергопринимающих устройств Заявителей: Скворцов В.Ф. в г. Таганроге, Ростовской области (1 шт)</t>
  </si>
  <si>
    <t>Установка системы учета для технологического присоединения энергопринимающих устройств Заявителей: Сюренко Т.И., Тебекин С.С., Пушкарева Н.И.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</si>
  <si>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Трубников А.А., Жихарева А.О., Герасименко Е.В. в Неклиновском районе Ростовской области (3 шт.)</t>
  </si>
  <si>
    <t>Установка системы учета для технологического присоединения энергопринимающих устройств Заявителя Гаврилова В.В. в г.Таганроге Ростовской области (1 шт.)</t>
  </si>
  <si>
    <t>Установка системы учета для технологического присоединения энергопринимающих устройств Заявителя Лазарева Л.Н. в Куйбышевском районе Ростовской области (1 шт)</t>
  </si>
  <si>
    <t>Установка системы учета для технологического присоединения энергопринимающих устройств Заявителя: Строгин Э.Г. в Неклиновском районе Ростовской области (1 шт)</t>
  </si>
  <si>
    <t>Установка системы учета для технологического присоединения энергопринимающих устройств Заявителя ИП Гиль В.П. в Куйбышевском районе Ростовской области (1 шт)</t>
  </si>
  <si>
    <t>Установка системы учета для технологического присоединения энергопринимающих устройств Заявителя Жуков А.А. в Куйбышевском районе Ростовской области (1 шт)</t>
  </si>
  <si>
    <t>Установка системы учета для технологического присоединения энергопринимающих устройств Заявителей Никитина Е.А., Мащенко П.М. в Куйбышевском районе Ростовской области (2 шт)</t>
  </si>
  <si>
    <t>Установка системы учета для технологического присоединения энергопринимающих устройств Заявителей Мамбетова В.Д., Гречко В.В. в Куйбышевском районе Ростовской области (2 шт)</t>
  </si>
  <si>
    <t>Установка системы учета для технологического присоединения энергопринимающих устройств Заявителя Хасанова Т.М. по адресу Ростовская обл., Куйбышевский район, с. Куйбышево, ул. Дмитриевская, д.97 (1 шт.)</t>
  </si>
  <si>
    <t>Установка системы учета для технологического присоединения энергопринимающих устройств Заявителя Сорока С.И. по адресу Ростовская обл., Куйбышевский район, с. Куйбышево, юго-западнее с. Куйбышево, 1000м, к.н: 61:19:0600005:888 (1шт)</t>
  </si>
  <si>
    <t>Установка системы учета для технологического присоединения энергопринимающих устройств Заявителя (Иванников П.А.) по адресу Ростовская обл., р-н. Куйбышевский, х. Русско-Лютино, ул. Социалистическая, д. 34, кв./оф. 1, к.н: 61:19:0020601:214 (1шт).</t>
  </si>
  <si>
    <t>Установка системы учета для технологического присоединения энергопринимающих устройств Заявителя (Юрченко В.В.) по адресу Ростовская обл., Куйбышевский район, с. Куйбышево, ул. Огородная, д. 4, к.н: 61:19:0010107:1 (1шт)</t>
  </si>
  <si>
    <t>Установка системы учета для технологического присоединения энергопринимающих устройств Заявителя (Гончарова Е.И.) по адресу Ростовская обл., Куйбышевский район, с. Куйбышево, ул. Ростовская, д. 14, к.н: 61:19:0010161:1 (1шт)</t>
  </si>
  <si>
    <t>Установка системы учета для технологического присоединения энергопринимающих устройств Заявителя (Григориади Л.А.) по адресу Ростовская обл., Куйбышевский район, с. Куйбышево, пер. Лесной, д. 32, к.н: 61:19:0010175:44 (1шт)</t>
  </si>
  <si>
    <t>Установка системы учета для технологического присоединения энергопринимающих устройств Заявителя (Кистенева Е.Ю.) по адресу Ростовская обл., Куйбышевский район, х. Примиусский, ул. Примиусская, д. 23, к.н: 61:19:0010401:205 (1шт)</t>
  </si>
  <si>
    <t>Установка системы учета для технологического присоединения энергопринимающих устройств Заявителей: Муниципальное бюджетное учреждение здравоохранения «Центральная районная больница» Матвеево-Курганского района Ростовской области.,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</si>
  <si>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Зинченко С.Н.,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</si>
  <si>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ИП Ларионова Г.Г.,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</si>
  <si>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Фомичев И.В., Скрытченко А.А., в Матвеево Курганском районе Ростовской области – 2 шт.</t>
  </si>
  <si>
    <t xml:space="preserve">Установка системы учета для технологического присоединения энергопринимающих устройств Заявителя: Сигута А.А., в Матвеево Курганском районе Ростовской области – 1 шт. </t>
  </si>
  <si>
    <t>Установка системы учета для технологического присоединения энергопринимающих устройств Заявителя: Бондаренко С.Г.,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</si>
  <si>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Петрушенко О.Г.,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</si>
  <si>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(Ростовская область, М-Курганский район, х. Криничный, в 44 м западнее домовладения по пер. Трудовой №2) - 1 шт. </t>
  </si>
  <si>
    <t xml:space="preserve">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(Ростовская область, М-Курганский район, х. Иваново-Ясиновка, в 20 м северо-западнее от домовладения по пер. Ясиновский №2) – 1 шт. </t>
  </si>
  <si>
    <t xml:space="preserve">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(Ростовская область, М-Курганский район, х. Иваново-Ясиновка, в 35 м северо-восточнее домовладения по ул. Калинина №3) – 1 шт. </t>
  </si>
  <si>
    <t xml:space="preserve">Установка системы учета для технологического присоединения энергопринимающих устройств Заявителя: Николаенко Ю.В., в Матвеево Курганском районе Ростовской области – 1 шт. </t>
  </si>
  <si>
    <t>Установка системы учета для технологического присоединения энергопринимающих устройств Заявителя: Администрация Большекирсановского сельского поселения, в Матвеево Курганском районе Ростовской области (Ростовская область, М-Курганский район, х. Петрополье, в 6 м северо-западнее домовладения по пер. Гвардейский №1)   – 1 шт.</t>
  </si>
  <si>
    <t xml:space="preserve">Установка системы учета для технологического присоединения энергопринимающих устройств Заявителя (Клипач Т.А.) по адресу: Ростовская область, Матвеево-Курганский район, х. Колесниково, ул. Лазоревая, д. 27, к.н. 61:21:0010301:630 (1 шт.) </t>
  </si>
  <si>
    <t>Установка системы учета для технологического присоединения энергопринимающих устройств Заявителя (Глазков А.В.) по адресу: Ростовская область, Матвеево-Курганский район, п. Матвеев Курган, ул. Березовая, д. 2, к.н. 61:21:0010124:81 (1 шт.)</t>
  </si>
  <si>
    <t>Установка системы учета для технологического присоединения энергопринимающих устройств Заявителя (Зимогляденко А.С.) по адресу: Ростовская область, Матвеево-Курганский район, с. Анастасиевка,
 ул. Октябрьская, д. 68, к.н. 61:21:0040101:1002 (1 шт.)</t>
  </si>
  <si>
    <t>Установка системы учета для технологического присоединения энергопринимающих устройств Заявителя (Митько Л.Д.) по адресу: Ростовская область, Матвеево-Курганский район, п. Красный Бумажник, ул. Подгорная, д. 34, к.н. 61:21:0010601:141 (1 шт.)</t>
  </si>
  <si>
    <t>Установка системы учета для технологического присоединения энергопринимающих устройств Заявителя (Администрация Матвеево-Курганского района) по адресу: Ростовская область, Матвеево-Курганский район, с. Алексеевка, ул. Ворошилова, д. 41, к.н. 61:21:030101:564 (1 шт.)</t>
  </si>
  <si>
    <t>Установка системы учета для технологического присоединения энергопринимающих устройств Заявителя (Шарафаненко К.В.) по адресу: Ростовская область, М-Курганский район, п. М-Курган, ул. Молодежная, гараж №7, к.н.: 61:21:0010178:665 (1 шт.)</t>
  </si>
  <si>
    <t xml:space="preserve">Установка системы учета для технологического присоединения энергопринимающих устройств Заявителя (Карпов С.В.) по адресу: Ростовская область, М-Курганский район, п. М-Курган, ул. Строительная, гараж №10, к.н.: 61:21:0010158:149 (1 шт.) </t>
  </si>
  <si>
    <t>Установка системы учета для технологического присоединения энергопринимающих устройств Заявителя (Галицкая Е.В.) по адресу: Ростовская область, М-Курганский район, с. Ряженое, ул. Ленина, д. 16, кв. а, к.н.: 61:21:0020101:5296 (1 шт.)</t>
  </si>
  <si>
    <t>Установка системы учета для технологического присоединения энергопринимающих устройств Заявителя (Цанга Л.Г.) по адресу: Ростовская область, М-Курганский район, п. М-Курган, ул. Новгородская, д. 13, к.н.: 61:21:0010135:93 (1 шт.)</t>
  </si>
  <si>
    <t>Установка системы учета для технологического присоединения энергопринимающих устройств Заявителя (Тишин В.В.) по адресу: Ростовская область, М-Курганский район, п. Матвеев Курган, ул. Строительная, гараж № 71, к.н.: 61:21:0010158:382 (1 шт.)</t>
  </si>
  <si>
    <t>Установка системы учета для технологического присоединения энергопринимающих устройств Заявителя (Тур С.М.) по адресу: Ростовская область, М-Курганский район, п. Матвеев Курган, ул. Верхняя д. 27, к.н.: 61:21:0010301:751 (1 шт.)</t>
  </si>
  <si>
    <t>Установка системы учета для технологического присоединения энергопринимающих устройств Заявителя (Администрация Ряженского сельского поселения) по адресу: Ростовская область, М-Курганский район, с. Ряженое, 20 м на северо-восток от ул. Ленина 57, к.н.: 00:00:000000:00 (1 шт.)</t>
  </si>
  <si>
    <t>Установка системы учета для технологического присоединения энергопринимающих устройств Заявителя (Фионкин А.Н.) по адресу: Ростовская область, М-Курганский район, с. Рясное, ул. Восточная д. 2/б, к.н.: 61:21:0020401:3445 (1 шт.)</t>
  </si>
  <si>
    <t>Установка системы учета для технологического присоединения энергопринимающих устройств Заявителя (Федоренко А.В.) по адресу: Ростовская область, М-Курганский район, п. Матвеев Курган, ул. Одесская, д. 37, кв.2, к.н.: 61:21:0010118:104 (1 шт.)</t>
  </si>
  <si>
    <t>Установка системы учета для технологического присоединения энергопринимающих устройств Заявителя (Комарова Н.А.) по адресу: Ростовская область, М-Курганский район, с. Латоново, ул. Ленина, д. 9, 
к.н.: 61:21:0070101:748 (1 шт.)</t>
  </si>
  <si>
    <t>Установка системы учета для технологического присоединения энергопринимающих устройств Заявителя (Милохин Г.В.) по адресу: Ростовская область, М-Курганский район, х. Балка, ул. Мира, д. 24, к.н.: 61:21:0051101:679 (1 шт.)</t>
  </si>
  <si>
    <t>Установка системы учета для технологического присоединения энергопринимающих устройств Заявителя (Савицкий И.Ж.) по адресу: Ростовская область, М-Курганский район, х. Колесниково, ул. Таганрогская, д. 81 а, к.н. 61:21:0010301:564 (1 шт.)</t>
  </si>
  <si>
    <t>Установка системы учета для технологического присоединения энергопринимающих устройств Заявителя (Антоненко А.А.) по адресу: Ростовская область, М-Курганский район, с. Анастасиевка, ул. Пролетарская, д.71, к.н. 61:21:0040101:928 (1 шт.)</t>
  </si>
  <si>
    <t>Установка системы учета для технологического присоединения энергопринимающих устройств Заявителя: Галицына А.Е.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</si>
  <si>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Трубников А.А., Клюйкова Ю.С., Исаджанян З.Г.  в Неклиновском районе Ростовской области (3 шт.).</t>
  </si>
  <si>
    <t xml:space="preserve">Установка системы учета для технологического присоединения энергопринимающих устройств Заявителя: Букша А.Г.   в Неклиновском районе Ростовской области (1 шт.). </t>
  </si>
  <si>
    <t>Установка системы учета для технологического присоединения энергопринимающих устройств Заявителей: Голованов Д.Н., Карнута И.Н., Настатуха А.А., Федоренко А.С.   в Неклиновском районе Ростовской области (4 шт.).</t>
  </si>
  <si>
    <t>Установка системы учета для технологического присоединения энергопринимающих устройств Заявителей: Полянский В.А., Гузикова Г.А., Радченко А.О.  в Неклиновском районе Ростовской области (3 шт.).</t>
  </si>
  <si>
    <t xml:space="preserve">Установка системы учета для технологического присоединения энергопринимающих устройств Заявителя: Казакова А.А. в Неклиновском районе Ростовской области (1 шт.). </t>
  </si>
  <si>
    <t>Установка системы учета для технологического присоединения энергопринимающих устройств Заявителей: Брынзарь С.В., Починский А.М., Шевцова Е.И.  в Неклиновском районе Ростовской области (3 шт.).</t>
  </si>
  <si>
    <t>Установка системы учета для технологического присоединения энергопринимающих устройств Заявителя: Кириченко Д.В.   в Неклиновском районе Ростовской области (1 шт.).</t>
  </si>
  <si>
    <t>Установка системы учета для технологического присоединения энергопринимающих устройств Заявителя: Дубасар О.А.   в Неклиновском районе Ростовской области (1 шт.).</t>
  </si>
  <si>
    <t>Установка системы учета для технологического присоединения энергопринимающих устройств Заявителя: Соскова О.И.   в Неклиновском районе Ростовской области (1 шт.)</t>
  </si>
  <si>
    <t>Установка системы учета для технологического присоединения энергопринимающих устройств Заявителя: Тупиха Л.Н.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</si>
  <si>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(Богомолова Т.В.)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</si>
  <si>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(Дорогань К.С.)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</si>
  <si>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(Зарудняя Е.А.) в г. Таганроге Ростовской области (1шт.) </t>
  </si>
  <si>
    <t xml:space="preserve">Установка системы учета для технологического присоединения энергопринимающих устройств Заявителя (Котовский Н.В.)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</si>
  <si>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(Кунева О.Г.) в г. Таганроге Ростовской области (1шт.) </t>
  </si>
  <si>
    <t xml:space="preserve">Установка системы учета для технологического присоединения энергопринимающих устройств Заявителя (Малайчук И.В.)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</si>
  <si>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(Маршалкин А.В.)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</si>
  <si>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(Окунцева И.Г.)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</si>
  <si>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(Нижниковский А.П.) по адресу: Ростовская область, Неклиновский район, с. Новобессергеневка, ул. Чапаева, 28-Б (1шт.) </t>
  </si>
  <si>
    <t xml:space="preserve">Установка системы учета для технологического присоединения энергопринимающих устройств Заявителя (Нижниковский А.П.) по адресу: Ростовская область, Неклиновский район, с. Новобессергеневка, ул. Чапаева, 28-В (1шт.) </t>
  </si>
  <si>
    <t xml:space="preserve">Установка системы учета для технологического присоединения энергопринимающих устройств Заявителя (Оленев Ф.А.)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</si>
  <si>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(Администрация Большенеклиновского с.п.) по адресу: Ростовская область, Неклиновский район, с. Отрадное, ул. Первомайская, 26 (1шт.) </t>
  </si>
  <si>
    <t xml:space="preserve">Установка системы учета для технологического присоединения энергопринимающих устройств Заявителя (Администрация Большенеклиновского с.п.) по адресу: Ростовская область, Неклиновский район, с. Отрадное, ул. Молодежная, 1 (1шт.) </t>
  </si>
  <si>
    <t xml:space="preserve">Установка системы учета для технологического присоединения энергопринимающих устройств Заявителя (Самохина Ю.С.)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</si>
  <si>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Саркисян Б.В.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</si>
  <si>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(Спиридонова С.С.)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</si>
  <si>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(Стасенко Н.П.) в Неклиновском районе Ростовской области (1шт.) </t>
  </si>
  <si>
    <t>Установка системы учета для технологического присоединения энергопринимающих устройств Заявителя (Фацкая И.А.)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</si>
  <si>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(Фацкий В.А.)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</si>
  <si>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(Цапова Л.С.)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</si>
  <si>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(Шевченко В.В.)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</si>
  <si>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(Шилова Л.Д.)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</si>
  <si>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(Шкуропат А.В.)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</si>
  <si>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(Шостик И.П.) в Неклиновском районе Ростовской области (1шт.) </t>
  </si>
  <si>
    <t>Установка системы учета для технологического присоединения энергопринимающих устройств Заявителя (Кукибная Т.А.) в Неклиновском районе Ростовской области (1шт.)</t>
  </si>
  <si>
    <t xml:space="preserve">Установка системы учета для технологического присоединения энергопринимающих устройств Заявителя (Агафонов Ю.М.) по адресу: Ростовская область, Неклиновский район, с. Марьевка, ул. Мирная, д. 164, к.н. 61:26:0190401:166 (1 шт.) </t>
  </si>
  <si>
    <t xml:space="preserve">Установка системы учета для технологического присоединения энергопринимающих устройств Заявителя (Александрова Т.Н.) по адресу: Ростовская область, Неклиновский район, х. Красный Десант, ул. Октябрьская, д. 96, к.н. 61:26:0070101:435 (1 шт.) </t>
  </si>
  <si>
    <t xml:space="preserve">Установка системы учета для технологического присоединения энергопринимающих устройств Заявителя (Бандурист А.Н.) в Неклиновском районе Ростовской области (1шт.) </t>
  </si>
  <si>
    <t>Установка системы учета для технологического присоединения энергопринимающих устройств Заявителя (МБУК "Межпоселенческая центральная библиотека имени И.М.Бондаренко" Неклиновского района Ростовской области)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</si>
  <si>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(Долженко А.А.) по адресу: Ростовская область, Неклиновский район, с. Самбек, ул. Первомайская, д. 109-Б, к.н. 61:26:0020101:5129 (1 шт.) </t>
  </si>
  <si>
    <t xml:space="preserve">Установка системы учета для технологического присоединения энергопринимающих устройств Заявителя (Дударева В.П.) по адресу: Ростовская область, Неклиновский район, с. Петрушино, 8-й переулок, д. 8-а, к.н. 61:26:0180201:4261 (1 шт.) </t>
  </si>
  <si>
    <t xml:space="preserve">Установка системы учета для технологического присоединения энергопринимающих устройств Заявителя (Жиденко С.О.) по адресу: Ростовская область, Неклиновский район, с. Петрушино, пер. Садовый, д. 49-А, к.н. 61:26:0600024:7718 (1 шт.) </t>
  </si>
  <si>
    <t xml:space="preserve">Установка системы учета для технологического присоединения энергопринимающих устройств Заявителя (Заргарян А.О.) по адресу: Ростовская область, Неклиновский район, с. Бессергеновка, ул. Солнечная, д. 63, к.н. 61:26:0040201:3805 (1 шт.) </t>
  </si>
  <si>
    <t xml:space="preserve">Установка системы учета для технологического присоединения энергопринимающих устройств Заявителя (Капшук Г.Д.) в городе Таганрог Ростовской области (1шт.) </t>
  </si>
  <si>
    <t xml:space="preserve">Установка системы учета для технологического присоединения энергопринимающих устройств Заявителя (Карелина Е.Е.) по адресу: Ростовская область, Неклиновский район, с. Натальевка, ул. Чехова, д. 17-а, к.н. 61:26:0030101:235 (1 шт.) </t>
  </si>
  <si>
    <t xml:space="preserve">Установка системы учета для технологического присоединения энергопринимающих устройств Заявителя (Клещаров А.Г.) по адресу: Ростовская область, Неклиновский район, с. Покровское, пер. Вокзальный, 53-а, д. 164, к.н. 61:26:0050135:983 (1 шт.) </t>
  </si>
  <si>
    <t xml:space="preserve">Установка системы учета для технологического присоединения энергопринимающих устройств Заявителя (Копичай О.В.) по адресу: Ростовская область, Неклиновский район, с. Новобессергеневка, ул. Янтарная, д. 18-Б, к.н. 61:26:0600024:5389 (1 шт.) </t>
  </si>
  <si>
    <t xml:space="preserve">Установка системы учета для технологического присоединения энергопринимающих устройств Заявителя (Лаптаков А.Ю.) по адресу: Ростовская область, Неклиновский район, с. Новобессергеневка, ул. Янтарная, д. 18-Б, к.н. 61:26:0600024:5389 (1 шт.) </t>
  </si>
  <si>
    <t xml:space="preserve">Установка системы учета для технологического присоединения энергопринимающих устройств Заявителя (Назарчук В.И.) по адресу: Ростовская область, Неклиновский район, с. Петрушино, пер. Садовый, д. 49-Б, к.н. 61:26:0600024:7719 (1 шт.) </t>
  </si>
  <si>
    <t xml:space="preserve">Установка системы учета для технологического присоединения энергопринимающих устройств Заявителя (Сорокин Ю.В.)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</si>
  <si>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(Худик А.В.) по адресу: Ростовская область, Неклиновский район, с. Николаевка, ул. Парковая, д. 112, к.н. 61:26:0110101:191 (1 шт.) </t>
  </si>
  <si>
    <t xml:space="preserve">Установка системы учета для технологического присоединения энергопринимающих устройств Заявителя (Чеботарь Т.П.)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</si>
  <si>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(Шматков В.А.) по адресу: Ростовская область, Неклиновский район, с. Петрушино, пер. Садовый, д. 2, к.н. 61:26:0180201:721 (1 шт.) </t>
  </si>
  <si>
    <t>Установка системы учета для технологического присоединения энергопринимающих устройств Заявителя (Еременко С.Е.) по адресу: Ростовская область, Неклиновский район, х. Рожок, ул. Южная, д. 9-б (1 шт.)</t>
  </si>
  <si>
    <t xml:space="preserve">Установка системы учета для технологического присоединения энергопринимающих устройств Заявителя (Муравьев Д.А.) по адресу: Ростовская область, Неклиновский район, с. Новобессергеневка, ул. Свободы, д. 3-б, к.н. 61:26:0600024:5988 (1 шт.) </t>
  </si>
  <si>
    <t xml:space="preserve">Установка системы учета для технологического присоединения энергопринимающих устройств Заявителя (Митилинео Е.Д.) по адресу: Ростовская область, Неклиновский район, х. Веселый, ул. Свободы, 1-в, к.н. 61:26:0070901:548 (1 шт.) </t>
  </si>
  <si>
    <t>Установка системы учета для технологического присоединения энергопринимающих устройств Заявителя (Ващенко И.А.) по адресу: Ростовская область, Неклиновский район, х. Курлацкий, пер. Садовый, д. 6,  (1 шт.)</t>
  </si>
  <si>
    <t>Установка системы учета для технологического присоединения энергопринимающих устройств Заявителя (Лоткова Т.Ю.) по адресу: Ростовская область, Неклиновский район, с. Новобессергеневка, ул. Морозова, д. 2-В, к.н. 61:26:0600024:7438 (1 шт.)</t>
  </si>
  <si>
    <t xml:space="preserve">Установка системы учета для технологического присоединения энергопринимающих устройств Заявителя (Малый Н.Н.) по адресу: Ростовская область, Неклиновский район, с. Новобессергеневка, ул. Лескова, д. 25-Д, к.н. 61:26:0600024:6139 (1 шт.) </t>
  </si>
  <si>
    <t>Установка системы учета для технологического присоединения энергопринимающих устройств Заявителя (Потапов С.М.) по адресу: Ростовская область, Неклиновский район, с. Синявское, пер. Донской, д. 3, к.н. 61:26:0060101:2223 (1 шт.)</t>
  </si>
  <si>
    <t>Установка системы учета для технологического присоединения энергопринимающих устройств Заявителя (Кононенко Н.А.) по адресу: Ростовская область, Неклиновский район, с. Новобессергеневка, ул. Морозова, д. 2-Б, к.н. 61:26:0600024:7439 (1 шт.)</t>
  </si>
  <si>
    <t>Установка системы учета для технологического присоединения энергопринимающих устройств Заявителя (Рыжих В.Н.) по адресу: Ростовская область, Неклиновский район, п. Золотая Коса, ул. Новаторов, д. 14, к.н. 61:26:0071001:788 (1 шт.)</t>
  </si>
  <si>
    <t>Установка системы учета для технологического присоединения энергопринимающих устройств Заявителя (Снименко Е.В.) по адресу: Ростовская область, Неклиновский район, с. Бессергеновка, ул. Солнечная, д. 25 (1 шт.)</t>
  </si>
  <si>
    <t>Установка системы учета для технологического присоединения энергопринимающих устройств Заявителя (Хайдукова Е.В.) по адресу: Ростовская область, Неклиновский район, с. Новобессергеневка, ул. Инициативная, д. 26-Б, к.н. 61:26:0600024:7657 (1 шт.)</t>
  </si>
  <si>
    <t>Установка системы учета для технологического присоединения энергопринимающих устройств Заявителя (Щербаков В.А.) по адресу: Ростовская область, г. Таганрог, ул. Надежды Сигиды, д. 9, к.н. 61:58:0007022:293 (1 шт.)</t>
  </si>
  <si>
    <t>Установка системы учета для технологического присоединения энергопринимающих устройств Заявителя (Базан Ю.В.) по адресу: Ростовская область, Неклиновский район, х. Русский Колодец, ул. Дзержинского, д. 72, к.н. 61:26:0070101:329 (1 шт.)</t>
  </si>
  <si>
    <t>Установка системы учета для технологического присоединения энергопринимающих устройств Заявителя (Шуклин М.И.) по адресу: Ростовская область, Неклиновский район, с. Новобессергеневка, ул. Морозова, д. 2Г, к.н. 61:26:0600024:7437 (1 шт.)</t>
  </si>
  <si>
    <t>Установка системы учета для технологического присоединения энергопринимающих устройств Заявителя (Красникова В.Д.) по адресу: Ростовская область, Неклиновский район, с. Новобессергеневка, ул. Солнечная, д. 44-Б, к.н. 61:26:0600024:6018 (1 шт.)</t>
  </si>
  <si>
    <t>Установка системы учета для технологического присоединения энергопринимающих устройств Заявителя (Путято Н.В.) по адресу: Ростовская область, Неклиновский район, с. Новобессергеневка, ул. Инициативная, д. 26-А, к.н. 61:26:0600024:7658 (1 шт.)</t>
  </si>
  <si>
    <t>Установка системы учета для технологического присоединения энергопринимающих устройств Заявителя (Гомонов Д.В.) по адресу: Ростовская область, Неклиновский район, с. Новобессергеневка, ул. Янтарная, д. 16-Б, к.н. 61:26:0600024:5420 (1 шт.)</t>
  </si>
  <si>
    <t xml:space="preserve">Установка системы учета для технологического присоединения энергопринимающих устройств Заявителя (Горянная А.В.) по адресу: Ростовская область, Неклиновский район, с. Новобессергеневка, ул. Свободы, д. 11-В, к.н. 61:26:0600024:7620 (1 шт.) </t>
  </si>
  <si>
    <t>Установка системы учета для технологического присоединения энергопринимающих устройств Заявителя (Кривоносова Е.И.) по адресу: Ростовская область, Неклиновский район, с. Новобессергеневка, ул. Янтарная, д. 16-А, к.н. 61:26:0600024:5419 (1 шт.)</t>
  </si>
  <si>
    <t>Установка системы учета для технологического присоединения энергопринимающих устройств Заявителя (Крупцев А.Ю.) по адресу: Ростовская область, Неклиновский район, с. Новобессергеневка, ул. Янтарная, д. 14-А, к.н. 61:26:0600024:5426 (1 шт.)</t>
  </si>
  <si>
    <t>Установка системы учета для технологического присоединения энергопринимающих устройств Заявителя (Недостаев И.А.) по адресу: Ростовская область, Неклиновский район, п. Павло-Мануйловский, ул. Родниковая, д. 2, к.н. 61:26:0090801:25 (1 шт.)</t>
  </si>
  <si>
    <t>Установка системы учета для технологического присоединения энергопринимающих устройств Заявителя (Овсянникова Н.Ю.) по адресу: Ростовская область, Неклиновский район, п. Дмитриадовка, ул. 3-я Степная, д. 31, к.н. 61:26:0000000:6526 (1 шт.)</t>
  </si>
  <si>
    <t>Установка системы учета для технологического присоединения энергопринимающих устройств Заявителя (Паршикова И.В.) по адресу: Ростовская область, Неклиновский район, с. Николаевка, ул. Ферганская, д. 1 Б к.н. 61:26:0110101:2419 (1 шт.)</t>
  </si>
  <si>
    <t>Установка системы учета для технологического присоединения энергопринимающих устройств Заявителя (Петрив С.Н.) по адресу: Ростовская область, Неклиновский район, с. Новобессергеневка, ул. Янтарная, д. 11-Б, к.н. 61:26:0600024:4934 (1 шт.)</t>
  </si>
  <si>
    <t>Установка системы учета для технологического присоединения энергопринимающих устройств Заявителя (Сергиенко С.Ф.) по адресу: Ростовская область, Неклиновский район, с. Весело-Вознесенка, ул. Школьная, д. 67, к.н. 61:26:0100101:313 (1 шт.)</t>
  </si>
  <si>
    <t>Установка системы учета для технологического присоединения энергопринимающих устройств Заявителя (Слепухин А.И.) по адресу: Ростовская область, Неклиновский район, с. Новобессергеневка, ул. Энгельса, д. 13-Б, к.н. 61:26:0180101:7969 (1 шт.)</t>
  </si>
  <si>
    <t>Установка системы учета для технологического присоединения энергопринимающих устройств Заявителя (Кунякова Е.Д.) по адресу: Ростовская область, Неклиновский район, х. Новозолотовка, ул. Транспортная, д. 4, к.н. 61:26:0180501:208 (1 шт.)</t>
  </si>
  <si>
    <t>Установка системы учета для технологического присоединения энергопринимающих устройств Заявителя (Харповицкий В.Г.) по адресу: Ростовская область, г. Таганрог, ул. Большая Лиманная, д. 25, к.н. 61:58:0006009:200 (1 шт.)</t>
  </si>
  <si>
    <t>Установка системы учета для технологического присоединения энергопринимающих устройств Заявителя (Богданов Н.Н.) по адресу: Ростовская область, Неклиновский район, с. Новобессергеневка, ул. Виноградная, д. 49, к.н. 61:26:0600024:2247 (1 шт.)</t>
  </si>
  <si>
    <t>Установка системы учета для технологического присоединения энергопринимающих устройств Заявителя (Козловский А.В.) по адресу: Ростовская область, Неклиновский район, с. Новобессергеневка, ул. Горького, д. 12-А, к.н. 61:26:0180101:7866 (1 шт.)</t>
  </si>
  <si>
    <t>Установка системы учета для технологического присоединения энергопринимающих устройств Заявителя (Трофимов А.Н.) по адресу: Ростовская область, Неклиновский район, с. Новобессергеневка, ул. Новостройки, д. 6-а, к.н. 61:26:0180101:7929 (1 шт.)</t>
  </si>
  <si>
    <t>Установка системы учета для технологического присоединения энергопринимающих устройств Заявителя (Подмарев В.А.) по адресу: Ростовская область, Неклиновский район, с. Николаевка, ул. Гоголя, д. 27-А, к.н. 61:26:0110101:2388 (1 шт.)</t>
  </si>
  <si>
    <t>Установка системы учета для технологического присоединения энергопринимающих устройств Заявителя (Сагателов А.А.) по адресу: Ростовская область, Неклиновский район, с. Новобессергеневка, ул. Островского, д. 12-Б, к.н. 61:26:0180101:7890 (1 шт.)</t>
  </si>
  <si>
    <t>Установка системы учета для технологического присоединения энергопринимающих устройств Заявителя (Таранцова Н.А.) по адресу: Ростовская область, Неклиновский район, с. Николаевка, ул. Советская, д. 31, к.н. 61:26:0110101:8188 (1 шт.)</t>
  </si>
  <si>
    <t>Установка системы учета для технологического присоединения энергопринимающих устройств Заявителя (Пирогова Е.Г.) по адресу: Ростовская область, Неклиновский район, с. Новобессергеневка, ул. Лесная, д. 8-В, к.н. 61:26:0180101:7994 (1 шт.)</t>
  </si>
  <si>
    <t xml:space="preserve">Установка системы учета для технологического присоединения энергопринимающих устройств Заявителя (Шатова И.В.) по адресу: Ростовская область, Неклиновский район, с. Новобессергеневка, ул. Виноградная, д. 66-а, к.н. 61:26:0600024:5173 (1 шт.) </t>
  </si>
  <si>
    <t>Установка системы учета для технологического присоединения энергопринимающих устройств Заявителя (Исупов А.В.) по адресу: Ростовская область, Неклиновский район, с. Новобессергеневка, ул. Инициативная, д. 41, к.н. 61:26:0600024:7748 (1 шт.)</t>
  </si>
  <si>
    <t xml:space="preserve">Установка системы учета для технологического присоединения энергопринимающих устройств Заявителя (Марина Ю.Ю.) по адресу: Ростовская область, Неклиновский район, с. Новобессергеневка, ул. Свободы, д. 34, к.н. 61:26:0600024:6374 (1 шт.) </t>
  </si>
  <si>
    <t>Установка системы учета для технологического присоединения энергопринимающих устройств Заявителя (Кондратова Н.И.) по адресу: Ростовская область, Неклиновский район, с. Новобессергеневка, ул. Фрунзе, д. 69-а, к.н. 61:26:0180101:1784 (1 шт.)</t>
  </si>
  <si>
    <t xml:space="preserve">Установка системы учета для технологического присоединения энергопринимающих устройств Заявителя (Шелист И.А.) по адресу: Ростовская область, Неклиновский район, с. Новобессергеневка, ул. Свободы, д. 38-А, к.н.: 61:26:0600024:8244 (1 шт.) </t>
  </si>
  <si>
    <t>Установка системы учета для технологического присоединения энергопринимающих устройств Заявителя (Церюта Т.В.) по адресу: Ростовская область, Неклиновский район, с. Новобессергеневка, ул. Лескова, д. 15-А, к.н. 61:26:0600024:7594 (1 шт.)</t>
  </si>
  <si>
    <t>Установка системы учета для технологического присоединения энергопринимающих устройств Заявителя (Мельникова Л.В.) по адресу: Ростовская область, Неклиновский район, с. Новобессергеневка, ул. Янтарная, д. 16-В, к.н. 61:26:0600024:7579 (1 шт.)</t>
  </si>
  <si>
    <t>Установка системы учета для технологического присоединения энергопринимающих устройств Заявителя (Андроян Э.О.) по адресу: Ростовская область, Неклиновский район, с. Малая Неклиновка, ул. Заречная,         д. 15, к.н. 61:26:0130201:163:417 (1 шт.)</t>
  </si>
  <si>
    <t xml:space="preserve">Установка системы учета для технологического присоединения энергопринимающих устройств Заявителя (Изотов С.А.) по адресу: Ростовская область, Неклиновский район, с. Николаевка, ул. Фрунзе, д. 73-А, к.н. 61:26:01101011:1051 (1 шт.). </t>
  </si>
  <si>
    <t>Установка системы учета для технологического присоединения энергопринимающих устройств Заявителя (Атарщикова Т.В.) по адресу: Ростовская область, Неклиновский район, с. Новобессергеневка, ул. Инициативная, д. 28-А, к.н. 61:26:0600024:7715 (1 шт.)</t>
  </si>
  <si>
    <t>Установка системы учета для технологического присоединения энергопринимающих устройств Заявителя (Малявко О.Ю.) по адресу: Ростовская область, Неклиновский район, с. Новобессергеневка, ул. Янтарная, д. 16-В, к.н. 61:26:0600024:5425 (1 шт.)</t>
  </si>
  <si>
    <t>Установка системы учета для технологического присоединения энергопринимающих устройств Заявителя: Конопихин Ю.Ю. в г. Таганроге, Ростовской области (1 шт)</t>
  </si>
  <si>
    <t>Установка системы учета для технологического присоединения энергопринимающих устройств Заявителя: Нефедов С.М. в г. Таганроге, Ростовской области (1 шт)</t>
  </si>
  <si>
    <t>Установка системы учета для технологического присоединения энергопринимающих устройств Заявителя: Гаврилов С.С. в г. Таганроге, Ростовской области (1 шт)</t>
  </si>
  <si>
    <t>Установка системы учета для технологического присоединения энергопринимающих устройств Заявителей: Воропаев А.В. в г. Таганроге, Ростовской области (1 шт)</t>
  </si>
  <si>
    <t>Установка системы учета для технологического присоединения энергопринимающих устройств Заявителей: Чуприна Г.А. в г. Таганроге, Ростовской области (1 шт)</t>
  </si>
  <si>
    <t>Установка системы учета для технологического присоединения энергопринимающих устройств Заявителей: Дувалко Т.В. в г. Таганроге, Ростовской области (1 шт)</t>
  </si>
  <si>
    <t>Установка системы учета для технологического присоединения энергопринимающих устройств Заявителя: Костина Е.Б. в г. Таганроге, Ростовской области (1 шт)</t>
  </si>
  <si>
    <t>Установка системы учета для технологического присоединения энергопринимающих устройств Заявителя: Белик А.И. в г. Таганроге, Ростовской области (1 шт)</t>
  </si>
  <si>
    <t>Установка системы учета для технологического присоединения энергопринимающих устройств Заявителя: Белик И.И. в г. Таганроге, Ростовской области (1 шт)</t>
  </si>
  <si>
    <t>Установка системы учета для технологического присоединения энергопринимающих устройств Заявителя: Годжаева В.Р.К. в г. Таганроге, Ростовской области (1 шт)</t>
  </si>
  <si>
    <t>Установка системы учета для технологического присоединения энергопринимающих устройств Заявителя: Кострик А.О. в г. Таганроге, Ростовской области (1 шт)</t>
  </si>
  <si>
    <t>Установка системы учета для технологического присоединения энергопринимающих устройств Заявителя: индивидуальный предприниматель Саркисян Сурен Сергеевич в г. Таганроге, Ростовской области (1 шт)</t>
  </si>
  <si>
    <t>Установка системы учета для технологического присоединения энергопринимающих устройств Заявителя: Валько Елена Васильевна в г. Таганроге, Ростовской области (1 шт)</t>
  </si>
  <si>
    <t>Установка системы учета для технологического присоединения энергопринимающих устройств Заявителя: Злобин Дмитрий Сергеевич в г. Таганроге, Ростовской области (1 шт)</t>
  </si>
  <si>
    <t>Установка системы учета для технологического присоединения энергопринимающих устройств Заявителей: Пашкина О.А. в г. Таганроге, Ростовской области (1 шт)</t>
  </si>
  <si>
    <t>Установка системы учета для технологического присоединения энергопринимающих устройств Заявителя: Величко И.А. в г. Таганроге, Ростовской области (1 шт)</t>
  </si>
  <si>
    <t>Установка системы учета для технологического присоединения энергопринимающих устройств Заявителей: Галка Р.А. в г. Таганроге, Ростовской области (1 шт)</t>
  </si>
  <si>
    <t>Установка системы учета для технологического присоединения энергопринимающих устройств Заявителей: Степаненко Е.В. в г. Таганроге, Ростовской области (1 шт)</t>
  </si>
  <si>
    <t>Установка системы учета для технологического присоединения энергопринимающих устройств Заявителя: Бондаренко Е.В. в г.Таганроге, Ростовской области (1 шт)</t>
  </si>
  <si>
    <t>Установка системы учета для технологического присоединения энергопринимающих устройств Заявителя: Иващенко Э.К. в г.Таганроге, Ростовской области (1 шт)</t>
  </si>
  <si>
    <t>Установка системы учета для технологического присоединения энергопринимающих устройств Заявителей: Бордунов С.В. в г. Таганроге, Ростовской области (1 шт)</t>
  </si>
  <si>
    <t>Установка системы учета для технологического присоединения энергопринимающих устройств Заявителей: Татевосян А.Р. в г. Таганроге, Ростовской области (1 шт)</t>
  </si>
  <si>
    <t>Установка системы учета для технологического присоединения энергопринимающих устройств Заявителей: Венидиктова В.А. в г. Таганроге, Ростовской области (1 шт)</t>
  </si>
  <si>
    <t>Установка системы учета для технологического присоединения энергопринимающих устройств Заявителей: Зейналабдиев Т.Я. в г. Таганроге, Ростовской области (1 шт)</t>
  </si>
  <si>
    <t>Установка системы учета для технологического присоединения энергопринимающих устройств Заявителей: Пахомов К.В. в г. Таганроге, Ростовской области (1 шт)</t>
  </si>
  <si>
    <t xml:space="preserve">Установка системы учета для технологического присоединения энергопринимающих устройств Заявителя (Степаненко Н.В.) по адресу: Ростовская область, г. Таганрог, пр. 4-й Линейный, д. 71 к.н. 61:58:0004150:275 (1 шт.) </t>
  </si>
  <si>
    <t>Установка системы учета для технологического присоединения энергопринимающих устройств Заявителей: Хмеленко И.Б. в г. Таганроге, Ростовской области (1 шт)</t>
  </si>
  <si>
    <t>Установка системы учета для технологического присоединения энергопринимающих устройств Заявителя (Чернов И.В.) по адресу: Ростовская область, г. Таганрог, ул. Фрунзе, д. 62/А, к. 31, 32, 33 (1 шт.)</t>
  </si>
  <si>
    <t>Установка системы учета для технологического присоединения энергопринимающих устройств Заявителя (Чернякова Н.В.) по адресу: Ростовская область, г. Таганрог, пер. 13-й Новый, д. 102, к.н. 61:58:0004456:49 (1 шт.)</t>
  </si>
  <si>
    <t>Установка системы учета для технологического присоединения энергопринимающих устройств Заявителя (Баркарова М.В.) по адресу: Ростовская область, г. Таганрог,  ул. Фрунзе, д.3, к.н. 61:58:0001078:234(1 шт.)</t>
  </si>
  <si>
    <t>Установка системы учета для технологического присоединения энергопринимающих устройств Заявителя (Блошенко А.С.) по адресу: Ростовская область, г. Таганрог, пер. Аптечный, д. 6, к.н. 61:58:00063050:32 (1 шт.)</t>
  </si>
  <si>
    <t>Установка системы учета для технологического присоединения энергопринимающих устройств Заявителя (Комарков А.Б.) по адресу: Ростовская область, г. Таганрог,  ул. Северная, д. 125, к.н. 61:58:0004281:288 (1 шт.)</t>
  </si>
  <si>
    <t>Установка системы учета для технологического присоединения энергопринимающих устройств Заявителя (Мещерякова О.Е.) по адресу: Ростовская область, г. Таганрог,  ул. Доменская, д.45, к.н. 61:58:0003084:92  (1 шт.)</t>
  </si>
  <si>
    <t>Установка системы учета для технологического присоединения энергопринимающих устройств Заявителя (ИП Майоров М.В.) по адресу: Ростовская область, г. Таганрог, ул. Дзержинского, д.163 , к.н. 61:58:0003490 (1 шт.)</t>
  </si>
  <si>
    <t>Установка системы учета для технологического присоединения энергопринимающих устройств Заявителя (Рубайло И.Г.) по адресу: Ростовская область, г. Таганрог, ул. Надежды Сигиды, 1-1, ДНТ  «Орешек»,участок 58 (1 шт.)</t>
  </si>
  <si>
    <t>Установка системы учета для технологического присоединения энергопринимающих устройств Заявителя (Сидоренко А.Л.) по адресу: Ростовская область, г. Таганрог, пер. 9-й Мариупольский, 6а, к.н. 61:58:0005228:534 (1 шт.)</t>
  </si>
  <si>
    <t>Установка системы учета для технологического присоединения энергопринимающих устройств Заявителя (Добрынин П.Ю.) по адресу: Ростовская область, г. Таганрог, ул. Северная, д.59, к.н. 61:58:0004272:135 (1 шт.)</t>
  </si>
  <si>
    <t>Установка системы учета для технологического присоединения энергопринимающих устройств Заявителя (Емелин В.А.) по адресу: Ростовская область, г. Таганрог, пер. 18-й Мариупольский, д. 5, к.н. 61:58:0005201:114 (1 шт.)</t>
  </si>
  <si>
    <t>Установка системы учета для технологического присоединения энергопринимающих устройств Заявителя (Ивакин А.Н.) по адресу: Ростовская область, г. Таганрог, ул. Ломоносова,  к.н. 61:58:0005026:502
(1 шт.)</t>
  </si>
  <si>
    <t>Установка системы учета для технологического присоединения энергопринимающих устройств Заявителя (Корышева Н.Н..) по адресу: Ростовская область, г. Таганрог, ул. Дзержинского, д.93, к.н. 61:58:0003195:83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</si>
  <si>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г. Таганрог, ул. Литейная,  к.н. 61:58:0004510:280 
(1 шт.)</t>
  </si>
  <si>
    <t>Установка системы учета для технологического присоединения энергопринимающих устройств Заявителя (Лях А.Ю.) по адресу: Ростовская область, г. Таганрог, пер. 7-й, д.69, к.н. 61:58:0002074:355 (1 шт.)</t>
  </si>
  <si>
    <t>Установка системы учета для технологического присоединения энергопринимающих устройств Заявителя (Рябичев Д.В.) по адресу: Ростовская область, г. Таганрог, пер. 2-й Мариупольский, д. 3  к.н. 61:58:0005213:35 (1 шт.)</t>
  </si>
  <si>
    <t>Установка системы учета для технологического присоединения энергопринимающих устройств Заявителя (Солодовник К.О.) по адресу: Ростовская область, г. Таганрог, пер. 8-й Новый, д. 52 , к.н.: 61:58:0004262:367 (1 шт.)</t>
  </si>
  <si>
    <t xml:space="preserve">Установка системы учета для технологического присоединения энергопринимающих устройств Заявителя (Чупряков Н.А.) по адресу: Ростовская область, г. Таганрог, ул. Бериева, д.13, к.н. 61:58:0005199:2 (1 шт.)
</t>
  </si>
  <si>
    <t>Установка системы учета для технологического присоединения энергопринимающих устройств Заявителя (Шкарина З.В.) по адресу: Ростовская область, г. Таганрог, пер. 16-й Артиллерийский, д. 11  (1 шт.)</t>
  </si>
  <si>
    <t>Установка системы учета для технологического присоединения энергопринимающих устройств Заявителя (Мирошниченко Д.Ю.) по адресу: Ростовская область, г. Таганрог, пер. 7-й Новый, д.100/5, к.н. 61:58:0004479:81, (1 шт.)</t>
  </si>
  <si>
    <t>Установка системы учета для технологического присоединения энергопринимающих устройств Заявителя (ИП Топчаев В.А.) по адресу: Ростовская область, г. Таганрог, ул. Цветная, д.41, кн. 61:58:0002274:21
 (1 шт.)</t>
  </si>
  <si>
    <t>Установка системы учета для технологического присоединения энергопринимающих устройств Заявителя (Галыгин А.А.) по адресу: Ростовская область, г. Таганрог, ул. Петлякова, д.2, к.н. 61:58:0005225:86 
(1 шт.)</t>
  </si>
  <si>
    <t>Установка системы учета для технологического присоединения энергопринимающих устройств Заявителя (Дегтярев Ю.В.) по адресу: Ростовская область, г. Таганрог, пер. 7-й Новый, д.100/5, к.н. 61:58:0004479:87 (1 шт.)</t>
  </si>
  <si>
    <t xml:space="preserve">Установка системы учета для технологического присоединения энергопринимающих устройств Заявителя (Минка А.А.) по адресу: Ростовская область, г. Таганрог, ул. Пархоменко, д. 7-20, к.н.: 61:58:0005210:1722 (1 шт.) </t>
  </si>
  <si>
    <t>Установка системы учета для технологического присоединения энергопринимающих устройств Заявителя (Панченко З.В.) по адресу: Ростовская область, г. Таганрог, ул. Восточная, д.49, строение 1, к.н.: 61:58:0002337:48 (1 шт.)</t>
  </si>
  <si>
    <t>Установка системы учета для технологического присоединения энергопринимающих устройств Заявителя (Стаценко Т.Т.) по адресу: Ростовская область, г. Таганрог, пер. 7-й Мариупольский, к.н.: 61:58:0005219:64 (1 шт.)</t>
  </si>
  <si>
    <t>Установка системы учета для технологического присоединения энергопринимающих устройств Заявителя (Бова Л.П.) по адресу: Ростовская область, г. Таганрог, ул. Бартини, д.16, к.н. 61:58:0005232:12 (1 шт.)</t>
  </si>
  <si>
    <t>Установка системы учета для технологического присоединения энергопринимающих устройств Заявителя (Галицкий Я.М.) по адресу: Ростовская область, г. Таганрог, пер. 18-й Мариупольский, д.3, к.н. 61:58:0005201:35 (1 шт.)</t>
  </si>
  <si>
    <t>Установка системы учета для технологического присоединения энергопринимающих устройств Заявителя (Гришина В.И.) по адресу: Ростовская область, г. Таганрог, ул. М. Жукова, д.2-б, к.н. 61:58:0004349:2023 (1 шт.)</t>
  </si>
  <si>
    <t>Установка системы учета для технологического присоединения энергопринимающих устройств Заявителя (Кривенко Г.В.) по адресу: Ростовская область, г. Таганрог, Мариупольское шоссе, д.17-д, к.н. 61:58:0005270:2559
(1 шт.)</t>
  </si>
  <si>
    <t>Установка системы учета для технологического присоединения энергопринимающих устройств Заявителя (Медведев В.В.) по адресу: Ростовская область, г. Таганрог, плщ. 22-я Садовая, д.20, к.н. 61:58:0004215:129 (1 шт.)</t>
  </si>
  <si>
    <t>Установка системы учета для технологического присоединения энергопринимающих устройств Заявителя (Якина И.Н.) по адресу: Ростовская область, г. Таганрог, пер.  Каркасный, 5-а, ГПК-73, гараж 97, к.н. 61-61-42/064/2006-321  (1 шт.)</t>
  </si>
  <si>
    <t>Установка системы учета для технологического присоединения энергопринимающих устройств Заявителя (Мишекин А.А.) по адресу: Ростовская область, г. Таганрог, ул. Бартини, д.24, к.н.: 61:58:0005231:11
 (1 шт.)</t>
  </si>
  <si>
    <t>Установка системы учета для технологического присоединения энергопринимающих устройств Заявителя (Никитина В.Г.) по адресу: Ростовская область, г. Таганрог, ул. С. Шило, д.241-б, к.н. 61:58:0005210:1356 (1 шт.)</t>
  </si>
  <si>
    <t>Установка системы учета для технологического присоединения энергопринимающих устройств Заявителя (Печеный А.А.) по адресу: Ростовская область, г. Таганрог, пер. 4-й Мариупольский, д.11, к.н.: 61:58:0005217:47 (1 шт.)</t>
  </si>
  <si>
    <t>Установка системы учета для технологического присоединения энергопринимающих устройств Заявителя (Щиклин Е.И.) по адресу: Ростовская область, г. Таганрог, ул. Котлостроительная, д.11, к.н.: 61:58:0003432:12 (1 шт.)</t>
  </si>
  <si>
    <t>Установка системы учета для технологического присоединения энергопринимающих устройств Заявителя (Чабан Н.В.) по адресу: Ростовская область, г. Таганрог, пер. Каркасный, 5-а, ГПК-73, гараж №33, к.н. 61:58:0003186:919 (1 шт.)</t>
  </si>
  <si>
    <t>Установка системы учета для технологического присоединения энергопринимающих устройств Заявителя (Едуш А.В.) по адресу: Ростовская область, г. Таганрог, ул. Александровская,  д.57, к.н.: 61:58:0001108:122
 (1 шт.)</t>
  </si>
  <si>
    <t>Установка системы учета для технологического присоединения энергопринимающих устройств Заявителя (Лысогорский Е.С.) по адресу: Ростовская область, г. Таганрог, ул. Т. Руденко,  д.12, к.н.: 61:58:0005072:372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</si>
  <si>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№61-1-22-00630147),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</si>
  <si>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№61-1-22-00630149),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</si>
  <si>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№61-1-22-00630377),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</si>
  <si>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№61-1-22-00630379),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</si>
  <si>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№61-1-22-00630115), Ростовской области (1 шт)</t>
  </si>
  <si>
    <t>Установка системы учета для технологического присоединения энергопринимающих устройств Заявителя (Байрамбеков Р.М.) по адресу: Ростовская область, г. Таганрог, пер. 6-й Мариупольский, д. 22, к.н. : 61:58:0005218:30 (1 шт.)</t>
  </si>
  <si>
    <t>Установка системы учета для технологического присоединения энергопринимающих устройств Заявителя (Бова В.В.) по адресу: Ростовская область, г. Таганрог, ул. 9-й Мариупольский, 6в, к.н.: 61:58:0005228:539 (1 шт.)</t>
  </si>
  <si>
    <t>Установка системы учета для технологического присоединения энергопринимающих устройств Заявителя (ИП Думик Ю.А.) по адресу: Ростовская область, г. Таганрог, ул. Дзержинского, д. 193/ул. Москатова, 
д. 17 (1 шт.)</t>
  </si>
  <si>
    <t>Установка системы учета для технологического присоединения энергопринимающих устройств Заявителя (Какулия Э.В.) по адресу: Ростовская область, г. Таганрог, ул. Дзержинского, 65-а, к.н.: 61:58:0003104:353 (1 шт.)</t>
  </si>
  <si>
    <t>Установка системы учета для технологического присоединения энергопринимающих устройств Заявителя (Малинский  А.Н.) по адресу: Ростовская область, г. Таганрог, пер. 10-й, д.64-а, к.н.: 61:58:0002120:406
 (1 шт.)</t>
  </si>
  <si>
    <t>Установка системы учета для технологического присоединения энергопринимающих устройств Заявителя (ИП Юрочкин С.В.) по адресу: Ростовская область, г. Таганрог, ул. Ломоносова, д.53 (1 шт.)</t>
  </si>
  <si>
    <t xml:space="preserve">Установка системы учета для технологического присоединения энергопринимающих устройств Заявителя (Петрова Т.С.) по адресу: Ростовская область, г. Таганрог, ул. Таврическая, д. 7/ пер. 20-й Мариупольский, д. 1, к.н.: 61:58:0005206:34 (1 шт.) </t>
  </si>
  <si>
    <t>Установка системы учета для технологического присоединения энергопринимающих устройств Заявителя (Серебрякова Г.В.) по адресу: Ростовская область, г. Таганрог, пер.  1-й Цветочный, д.13, к.н.: 61:58:0002397:327 (1 шт.)</t>
  </si>
  <si>
    <t>Установка системы учета для технологического присоединения энергопринимающих устройств Заявителя (ООО «Сталит») по адресу: Ростовская область, г. Таганрог, ул. Петровская, д. 87, к.н.: 61:58:0001130:567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</si>
  <si>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г. Таганрог, ул. Инструментальная, д. 21(1 шт.)</t>
  </si>
  <si>
    <t>Установка системы учета для технологического присоединения энергопринимающих устройств Заявителя (Барабанов А.В.) по адресу: Ростовская область, г. Таганрог, 17-я Садовая площадка, д.5 (1 шт.)</t>
  </si>
  <si>
    <t>Установка системы учета для технологического присоединения энергопринимающих устройств Заявителя (Мажуга В.И.) по адресу: Ростовская область, г. Таганрог, ул. Р. Люксембург, д. 216, к.н.: 61:58:0002166:314 (1 шт.)</t>
  </si>
  <si>
    <t>Установка системы учета для технологического присоединения энергопринимающих устройств Заявителя (Седлецкая П.В.) по адресу: Ростовская область, г. Таганрог, ул. Сигиды, д. 1-1, СНТ «Орешек», уч. 92, к.н: 61:58:0007037:92 (1 шт.)</t>
  </si>
  <si>
    <t>Установка системы учета для технологического присоединения энергопринимающих устройств Заявителя (Сидоренко А.Л.) по адресу: Ростовская область, г. Таганрог, пер. 9-й Мариупольский, д.6 (1 шт.)</t>
  </si>
  <si>
    <t>Установка системы учета для технологического присоединения энергопринимающих устройств Заявителя (Скворцов А.А.) по адресу: Ростовская область, г. Таганрог, Северо-Западное шоссе, д.3, СНТ «Дачное-2», уч. 550, к.н.: 61:58:0006031:42 (1 шт.)</t>
  </si>
  <si>
    <t>Установка системы учета для технологического присоединения энергопринимающих устройств Заявителя (Алферьев Д.В.) по адресу: Ростовская область, г. Таганрог, ул. Бакинская, к.н. 61:58:0004523:1010
 (1 шт.)</t>
  </si>
  <si>
    <t>Установка системы учета для технологического присоединения энергопринимающих устройств Заявителя (Громашев Д.Н..) по адресу: Ростовская область, г. Таганрог, пер. 21-й, 64 (1 шт.)</t>
  </si>
  <si>
    <t>Установка системы учета для технологического присоединения энергопринимающих устройств Заявителя (Мишакин А.В.) по адресу: Ростовская область, г. Таганрог, пер. 4-й Мариупольский, д. 32, к.н. 61:58:0005215:241 (1 шт.)</t>
  </si>
  <si>
    <t>Установка системы учета для технологического присоединения энергопринимающих устройств Заявителя (Пахомов К.В.) по адресу: Ростовская область, г. Таганрог, ул. Северная, д. 80-а, к.н. 61:58:0004271:361 (1 шт.)</t>
  </si>
  <si>
    <t>Установка системы учета для технологического присоединения энергопринимающих устройств Заявителя (Протопопова Н.П.) по адресу: Ростовская область, г. Таганрог, ул. Полева, д. 45/пер. 15-й Новый, д. 11, к.н. 61:58:0004245:18 (1 шт.)</t>
  </si>
  <si>
    <t>Установка системы учета для технологического присоединения энергопринимающих устройств Заявителя (Галицкий Я.М.) по адресу: Ростовская область, г. Таганрог, пер. 10-й Мариупольский, 17 (1 шт.)</t>
  </si>
  <si>
    <t>Установка системы учета для технологического присоединения энергопринимающих устройств Заявителя (Золотов Н.Г.) по адресу: Ростовская область, г. Таганрог, Мариупольское шоссе, 32, ДНТ «Маяк», уч. №3 (1 шт.)</t>
  </si>
  <si>
    <t>Установка системы учета для технологического присоединения энергопринимающих устройств Заявителя (Матвиенко Г.М.) по адресу: Ростовская область, г. Таганрог, ул. Надежды Сигиды, 1-1, ДНТ «Орешек», уч. 82 (1 шт.)</t>
  </si>
  <si>
    <t>Установка системы учета для технологического присоединения энергопринимающих устройств Заявителя (Смирнов А.Н.) по адресу: Ростовская область, г. Таганрог, с/т «Дачное-1», уч. 18/ал.9 (1 шт.)</t>
  </si>
  <si>
    <t>Установка системы учета для технологического присоединения энергопринимающих устройств Заявителя (Парахина Л.В.) по адресу: Ростовская область, г. Таганрог, ул. Трубопрокатная, 21б (1 шт.)</t>
  </si>
  <si>
    <t xml:space="preserve">Установка системы учета для технологического присоединения энергопринимающих устройств Заявителя (ИП Верзунов Ю.С.) адресу: Ростовская область, г. Таганрог, пер. 7-й Новый, д.100/1 ( 1 шт.) </t>
  </si>
  <si>
    <t xml:space="preserve">Установка системы учета для технологического присоединения энергопринимающих устройств Заявителя (ИП Саркисян С.С.) по адресу: Ростовская область, г. Таганрог, Николаевское шоссе, 7-а, СНТ «Радуга», аллея 13, уч. 20, к.н. 61:58:0006054:1426 (1 шт.) </t>
  </si>
  <si>
    <t>Установка системы учета для технологического присоединения энергопринимающих устройств Заявителя (Перепелица Т.С.) по адресу: Ростовская область, г. Таганрог, СНТ «Энтузиаст», 27, к.н. 61:58:0005285:116 (1 шт.)</t>
  </si>
  <si>
    <t>Установка системы учета для технологического присоединения энергопринимающих устройств Заявителя (Тютькин А.В.) по адресу: Ростовская область, г. Таганрог, пер. 21-й Мариупольский, д. 7, к.н. 61:58:0005207:22 (1 шт.)</t>
  </si>
  <si>
    <t>Установка системы учета для технологического присоединения энергопринимающих устройств Заявителя (Алиев М.Р.о.) по адресу: Ростовская область, г. Таганрог, Северо-Западное Шоссе, д. 1а, СНТ «Ягодка», уч. 130, к.н. 61:58:0006076:145 (1 шт.)</t>
  </si>
  <si>
    <t>Установка системы учета для технологического присоединения энергопринимающих устройств Заявителя (Бова А.В.) по адресу: Ростовская область, г. Таганрог, ул. Северная, д. 32-а,  к.н. 61:58:0004265:274 
(1 шт.)</t>
  </si>
  <si>
    <t>Установка системы учета для технологического присоединения энергопринимающих устройств Заявителя (Васильева Е.И.) по адресу: Ростовская область, г. Таганрог, Северо-Западное Шоссе, д. 1-а, СНТ «Ягодка», уч. 114, к.н. 61:58:0006076:124 (1 шт.)</t>
  </si>
  <si>
    <t>Установка системы учета для технологического присоединения энергопринимающих устройств Заявителя (Половинкин С.М.) по адресу: Ростовская область, г. Таганрог, ул. Халтурина, д. 17, к.н. 61:58:0003350:93
(1 шт.)</t>
  </si>
  <si>
    <t xml:space="preserve">Установка системы учета для технологического присоединения энергопринимающих устройств Заявителя (Шилина Т.В.) по адресу: Ростовская область, г. Таганрог, 15-й переулок , д. 3, к.н. 61:58:0002161:302
 (1 шт.) </t>
  </si>
  <si>
    <t>Установка системы учета для технологического присоединения энергопринимающих устройств Заявителя (Панченко А.Г.) по адресу: Ростовская область, г. Таганрог, ул. пер. 1-й Артиллерийский, д. 24  к.н. 61:58:0003192:219 (1 шт.)</t>
  </si>
  <si>
    <t>Установка системы учета для технологического присоединения энергопринимающих устройств Заявителей (Емцова Т.Ю.) по адресу: Ростовская область, г. Таганрог, ул. Свободы д.11 (1 шт.</t>
  </si>
  <si>
    <t>Установка системы учета для технологического присоединения энергопринимающих устройств Заявителей (Фещенко А.Р.) по адресу: Ростовская область, г. Таганрог, Подгорная д. 83 (1 шт.)</t>
  </si>
  <si>
    <t>Установка системы учета для технологического присоединения энергопринимающих устройств Заявителя (Карпухина Т.А.) по адресу: Ростовская область, г. Таганрог, ул. Фаины Раневской, д.1 к.н. 61:58:0005207:25 (1 шт.)</t>
  </si>
  <si>
    <t>Установка системы учета для технологического присоединения энергопринимающих устройств Заявителя (Маркарян Н.Р) по адресу: Ростовская область, г. Таганрог, ул. Рябиновая, д.76, к.н. 61:58:0004479:88 (1 шт.)</t>
  </si>
  <si>
    <t>Установка системы учета для технологического присоединения энергопринимающих устройств Заявителя (Климков Д.А.) по адресу: Ростовская область, г. Таганрог, пер. Веселый, д. 18а, к.н.: 61:58:0004458:286 (1 шт.)</t>
  </si>
  <si>
    <t>Установка системы учета для технологического присоединения энергопринимающих устройств Заявителя (Пилипенко В.В.) по адресу: Ростовская область, г. Таганрог, ул. Лизы Чайкиной, д. 316, к.н.: 61:58:0004303:168 (1 шт.)</t>
  </si>
  <si>
    <t>Установка системы учета для технологического присоединения энергопринимающих устройств Заявителя (ИП Васюнкин С.В.) по адресу: Ростовская область, г. Таганрог, пер. Смирновский, д. 139/3, к.н.: 61:58:0002005:779 (1 шт.)</t>
  </si>
  <si>
    <t>Установка системы учета для технологического присоединения энергопринимающих устройств Заявителя (ИП Галушкин А.И.) по адресу: Ростовская область, г. Таганрог, ул. Инструментальная, д. 35 (1 шт.)</t>
  </si>
  <si>
    <t>Установка системы учета для технологического присоединения энергопринимающих устройств Заявителя (ИП Купина Л.С.) по адресу: Ростовская область, г. Таганрог, ул. Седова, д. 12, к.н.: 61:58:0002419:117 (1 шт.)</t>
  </si>
  <si>
    <t>Установка системы учета для технологического присоединения энергопринимающих устройств Заявителя (Рыбалко В.В.) по адресу: Ростовская область, г. Таганрог, Северо-Западное Шоссе, 1-а, СНТ «Ягодка», участок № 120, к.н.: 61:58:0006076:122 (1 шт.)</t>
  </si>
  <si>
    <t>Установка системы учета для технологического присоединения энергопринимающих устройств Заявителя (Скалиух В.Ф.) по адресу: Ростовская область, г. Таганрог, ул. Энгельса, д. 121, к.н.: 61:58:0001119:0:55 (1 шт.)</t>
  </si>
  <si>
    <t>Установка системы учета для технологического присоединения энергопринимающих устройств Заявителей: Назаров С.В., Беликов В.Н., Гермашева Н.Ф.в Мясниковском районе Ростовской области (4 шт.)</t>
  </si>
  <si>
    <t xml:space="preserve">Установка системы учета для технологического присоединения энергопринимающих устройств Заявителя: Басова И.Е. в Мясниковском районе Ростовской области (1 шт.) </t>
  </si>
  <si>
    <t>Установка системы учета для технологического присоединения энергопринимающих устройств Заявителей: Михайленко А.В. в Мясниковском районе Ростовской области (3 шт.)</t>
  </si>
  <si>
    <t xml:space="preserve">Установка системы учета для технологического присоединения энергопринимающих устройств Заявителя: Авакян Д.Б. в х. Ленинакан, ул. Трудовая, д. 28/3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</si>
  <si>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Адамова Е.Г. в х. Красный Крым, ул. Капитальная, д. 30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</si>
  <si>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Айрапетян Э.О. в с. Крым, ул. 27-я линия, д. 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</si>
  <si>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Анненко А.И. в с. Крым, ул. Имени Майи Пегливановой, д. 11/б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</si>
  <si>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Анненко А.И. в с. Крым, ул. Имени Майи Пегливановой, д. 11/а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</si>
  <si>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Арабаджиян С.И. в с. Чалтырь, ул. 15-я линия, д. 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</si>
  <si>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Арзуманян Р.С. в х. Красный Крым, ул. Капитальная, д. 11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</si>
  <si>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Арутюнян Л.А. в с. Чалтырь, ул. Тащияна, д. 168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</si>
  <si>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Бабаджанов А.В. в х. Красный Крым, ул. Капитальная, д. 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</si>
  <si>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Баранова Е.В. в х. Красный Крым, ул. Пушкинская, д. 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</si>
  <si>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Бедросян А.М. в х. Красный Крым, ул. Пушкинская, д. 17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</si>
  <si>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Безвестная Н.А. в с. Большие Салы, ул. Героев, д. 35-а/8/5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</si>
  <si>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Бессонов В.М. в с. Чалтырь, ул. 15-я линия, д. 9/е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</si>
  <si>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Болдырев Р.В. в х. Красный Крым, ул. Пушкинская, д. 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</si>
  <si>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Герасимова А.С. в х. Красный Крым, ул. Небесная, д. 5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</si>
  <si>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Григорян В.А. в с. Крым Мясниковского района Ростовской области (1 шт.) </t>
  </si>
  <si>
    <t xml:space="preserve">Установка системы учета для технологического присоединения энергопринимающих устройств Заявителя: Даллакян О.С. в х. Ленинакан, ул. Дачная, д. 4/1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</si>
  <si>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Дегтярев И.П. в х. Красный Крым, ул. Капитальная, д. 7 Мясниковского района Ростовской области – 1 </t>
  </si>
  <si>
    <t xml:space="preserve">Установка системы учета для технологического присоединения энергопринимающих устройств Заявителя: Дзиваян Е.А. в х. Красный Крым Мясниковскго района Ростовской области (2 шт.) </t>
  </si>
  <si>
    <t xml:space="preserve">Установка системы учета для технологического присоединения энергопринимающих устройств Заявителя: Зубкова И.А. в х. Ленинакан, ул. Дачная, д. 4/2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</si>
  <si>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Кизилова Т.И. в х. Калинин, ул. Кривоноса, д. 59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</si>
  <si>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Корниенко В.В. в х. Красный Крым Мясниковского района Ростовской области. </t>
  </si>
  <si>
    <t xml:space="preserve">Установка системы учета для технологического присоединения энергопринимающих устройств Заявителя: Косяк Р.С. в х. Красный Крым, ул. Пушкинская, д. 7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</si>
  <si>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Коцупей Д.П. в х. Красный Крым Мясниковского района Ростовской области. </t>
  </si>
  <si>
    <t xml:space="preserve">Установка системы учета для технологического присоединения энергопринимающих устройств Заявителя: Красова Л.З. в х. Ленинакан, ул. Дачная, д. 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</si>
  <si>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Кривохатская А.М. в с. Чалтырь, ул. Крестьянская, д. 18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</si>
  <si>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Лапенко В.Ю. в х. Красный Крым, ул. Звездная, д. 26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</si>
  <si>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Ларин Д.Ю. в х. Красный Крым, ул. Пушкинская, д. 38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</si>
  <si>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Легоцкий Е.Н. в с. Большие Салы, ул. Крестьянская, д. 2/а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</si>
  <si>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Меграбян А.М. в х. Красный Крым, ул. Пушкинская, д. 25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</si>
  <si>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Мискарян Ж.Л. в х. Красный Крым, ул. Шаумяна, д. 56/ж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</si>
  <si>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Мостовая Т.Г. в х. Ленинаван, ул. 1-я Кольцевая, д. 49/а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</si>
  <si>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Алдабаев К.Н. в с. Чалтырь, ул. Центральная, д. 17/а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</si>
  <si>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Горлов А.В. в х. Красный Крым, ул. Лермонтовская, д. 29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</si>
  <si>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Диденко А.Н. в х. Красный Крым, ул. Урожайная, д. 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</si>
  <si>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Мудревская О.В. в х. Красный Крым, ул. Сатхинская, д. 10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</si>
  <si>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Николаев А.А. в х. Красный Крым Мясниковского района Ростовской области. </t>
  </si>
  <si>
    <t xml:space="preserve">Установка системы учета для технологического присоединения энергопринимающих устройств Заявителя: Агакарян А.А.  в х. Красный Крым, ул. Молодежная, д. 52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</si>
  <si>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Поддубная А.В. в х. Красный Крым, ул. Урожайная, д. 10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</si>
  <si>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Полторак Д.А. в х. Красный Крым, ул. Звездная, д. 22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</si>
  <si>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Походенко П.Г. в х. Красный Крым, ул. Пушкинская, д. 11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</si>
  <si>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Рамазян Ю.Г. в с. Крым, ул. Александра Суворова, д. 6/а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</si>
  <si>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Савченко О.К. в х. Красный Крым, ул. Пушкинская, д. 16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</si>
  <si>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Сазонова О.В. в с. Большие Салы, ул. Заводская, д. 18/в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</si>
  <si>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Склярова С.А. в х. Ленинаван, ул. Звездная, д. 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</si>
  <si>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Сморгунова Е.В. в х. Красный Крым, ул. Пушкинская, д. 28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</si>
  <si>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Сучкова В.Н. в х. Красный Крым, ул. Капитальная, д. 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</si>
  <si>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Тамбиев Ю.А. в х. Красный Крым, ул. Сатхинская, д. 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</si>
  <si>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Ткачева Л.Ю. в х. Ленинаван, ул. Кольцевая, д. 54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</si>
  <si>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Емельянова И.А. в х. Красный Крым, ул. Звездная, д. 17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</si>
  <si>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ИП Цыганок В.А. в сл. Петровка, ул. Октябрьская, напротив участка 26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</si>
  <si>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Калиш И.Н. в х. Красный Крым, ул. Пушкинская, д. 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</si>
  <si>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Кузнецов И.А. в х. Красный Крым, ул. Звездная, д. 17/а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</si>
  <si>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Мельник С.Н. в х. Красный Крым, ул. Звездная, д. 31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</si>
  <si>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Проценко О.А. в х. Ленинакан, ул. Малиновая, д. 3/2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</si>
  <si>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Рамазанов Р.И. в х. Красный Крым, ул. Лермонтовская, д. 51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</si>
  <si>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Рамазанова И.А. в х. Красный Крым, ул. Лермонтовская, д. 49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</si>
  <si>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Утева Т.В. в с. Чалтырь, ул. 15-я линия, д. 9/н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</si>
  <si>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Хавранян А.О. в х. Калинин Мясниковскго района Ростовской области (4 шт.) </t>
  </si>
  <si>
    <t xml:space="preserve">Установка системы учета для технологического присоединения энергопринимающих устройств Заявителя: Хакимов Амирхамза в х. Красный Крым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</si>
  <si>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Чекулаева Н.С. в х. Ленинаван, ул. Алексеевская, д. 24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</si>
  <si>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Чиликина И.М. в х. Красный Крым, ул. Пушкинская, д. 39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</si>
  <si>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Шаров Д.Е. в х. Красный Крым, ул. Капитальная, д. 14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</si>
  <si>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Шевцова Е.А. в х. Красный Крым, ул. Пушкинская, д. 13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</si>
  <si>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Шиятов Р.Ю. в х. Красный Крым, ул. Пушкинская, д. 23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</si>
  <si>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Шрам Д.А. в х. Красный Крым, ул. Пушкинская, д. 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</si>
  <si>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Шульга С.И. в х. Красный Крым, ул. Пушкинская, д. 47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</si>
  <si>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Яковлева Я.В. в х. Ленинаван, пер. Петровский, д. 22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</si>
  <si>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(Амирханян Р.Г.) по адресу: Ростовская область, Мясниковский район, х. Красный Крым, ул. Сатхинская, д. 22, к.н. 61:25:0600401:17225 (1 шт.) </t>
  </si>
  <si>
    <t xml:space="preserve">Установка системы учета для технологического присоединения энергопринимающих устройств Заявителя (Бабаджанян А.Г.) по адресу: Ростовская область, Мясниковский район, х. Красный Крым, ул. Пушкинская, д. 43, к.н. 61:25:0600401:16322 (1 шт.) </t>
  </si>
  <si>
    <t xml:space="preserve">Установка системы учета для технологического присоединения энергопринимающих устройств Заявителя: Бабушкина А.В. в х. Недвиговка, пер. Переездный, д. 26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</si>
  <si>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(Бакалов С.Ю.) по адресу: Ростовская область, Мясниковский район, х. Красный Крым, ул. Капитальная, д. 16, к.н. 61:25:0600401:17210 (1 шт.) </t>
  </si>
  <si>
    <t xml:space="preserve">Установка системы учета для технологического присоединения энергопринимающих устройств Заявителя (Бибичева Л.А.) по адресу: Ростовская область, Мясниковский район, х. Красный Крым, ул. Капитальная, д. 21, к.н. 61:25:0600401:18475 (1 шт.) </t>
  </si>
  <si>
    <t xml:space="preserve">Установка системы учета для технологического присоединения энергопринимающих устройств Заявителя (Буракова С.В.) по адресу: Ростовская область, Мясниковский район, х. Красный Крым, ул. Пушкинская, д. 24, к.н. 61:25:0600401:16338 (1 шт.) </t>
  </si>
  <si>
    <t xml:space="preserve">Установка системы учета для технологического присоединения энергопринимающих устройств Заявителя: Варданян Д.А. в с. Крым, ул. Маршала Жукова, д. 21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</si>
  <si>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(Велигурин Р.В.) по адресу: Ростовская область, Мясниковский район, х. Красный Крым, ул. Лермонтовская, д. 25, к.н. 61:25:0600401:17080 (1 шт.) </t>
  </si>
  <si>
    <t xml:space="preserve">Установка системы учета для технологического присоединения энергопринимающих устройств Заявителя: Виденин М.Н. в х. Красный Крым, ул. Лермонтовская, д. 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</si>
  <si>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(Владыченко А.Ю.) по адресу: Ростовская область, Мясниковский район, х. Ленинакан, ул. Трудовая, д. 37/4, к.н. 61:25:0030301:1950 (1 шт.) </t>
  </si>
  <si>
    <t xml:space="preserve">Установка системы учета для технологического присоединения энергопринимающих устройств Заявителя: Гишян А.А. в х. Ленинаван, ул. Набережная, д. 20/а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</si>
  <si>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(Голик Л.А.) по адресу: Ростовская область, Мясниковский район, х. Красный Крым, ул. Пушкинская, д. 22, к.н. 61:25:0600401:16340 (1 шт.) </t>
  </si>
  <si>
    <t xml:space="preserve">Установка системы учета для технологического присоединения энергопринимающих устройств Заявителя (Гуринова О.Г.) по адресу: Ростовская область, Мясниковский район, х. Красный Крым, ул. Капитальная, д. 10, к.н. 61:25:0600401:17183 (1 шт.) </t>
  </si>
  <si>
    <t xml:space="preserve">Установка системы учета для технологического присоединения энергопринимающих устройств Заявителя (Дейнеко Е.А.) по адресу: Ростовская область, Мясниковский район, х. Красный Крым, ул. Капитальная, д. 28, к.н. 61:25:0600401:17192 (1 шт.) </t>
  </si>
  <si>
    <t xml:space="preserve">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Большие Салы, ул. Белорусская, д. 1/и, к.н. 61:25:0600501:3215 (1 шт.) </t>
  </si>
  <si>
    <t xml:space="preserve">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Большие Салы, ул. Белорусская, д. 1/г, к.н. 61:25:0600501:3214 (1 шт.) </t>
  </si>
  <si>
    <t xml:space="preserve">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Большие Салы, ул. Белорусская, д. 1/в, к.н. 61:25:0600501:3212 (1 шт.) </t>
  </si>
  <si>
    <t xml:space="preserve">Установка системы учета для технологического присоединения энергопринимающих устройств Заявителя (Дзиваян А.А.) по адресу: Ростовская область, Мясниковский район, с. Большие Салы, ул. Белорусская, д. 1/ж, к.н. 61:25:0600501:3213 (1 шт.) </t>
  </si>
  <si>
    <t xml:space="preserve">Установка системы учета для технологического присоединения энергопринимающих устройств Заявителя (Дзюба Д.С.) по адресу: Ростовская область, Мясниковский район, х. Красный Крым, ул. Капитальная, д. 5, к.н. 61:25:0600401:17190 (1 шт.) </t>
  </si>
  <si>
    <t xml:space="preserve">Установка системы учета для технологического присоединения энергопринимающих устройств Заявителя (Дикун В.П.) по адресу: Ростовская область, Мясниковский район, сл. Петровка, ул. Советская, д. 30, к.н. 61:25:0080101:1654 (1 шт.) </t>
  </si>
  <si>
    <t xml:space="preserve">Установка системы учета для технологического присоединения энергопринимающих устройств Заявителя (Димитрова И.П.) по адресу: Ростовская область, Мясниковский район, х. Красный Крым, ул. Лермонтовская, д. 57, к.н. 61:25:0600401:17062 (1 шт.) </t>
  </si>
  <si>
    <t xml:space="preserve">Установка системы учета для технологического присоединения энергопринимающих устройств Заявителя (Дукян Д.С.) по адресу: Ростовская область, Мясниковский район, с. Чалтырь, ул. Салых-Су, д. 29/г, к.н. 61:25:0101513:97 (1 шт.) </t>
  </si>
  <si>
    <t xml:space="preserve">Установка системы учета для технологического присоединения энергопринимающих устройств Заявителя: Евланова А.В. в с. Крым, ул. Александра Суворова, д. 20/а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</si>
  <si>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(Згребнев В.В.) по адресу: Ростовская область, Мясниковский район, х. Красный Крым, ул. Звездная, д. 29, к.н. 61:25:0600401:14943 (1 шт.) </t>
  </si>
  <si>
    <t xml:space="preserve">Установка системы учета для технологического присоединения энергопринимающих устройств Заявителя (Калашникова А.А.) по адресу: Ростовская область, Мясниковский район, х. Красный Крым, ул. Пушкинская, д. 22/а, к.н. 61:25:0600401:16339 (1 шт.) </t>
  </si>
  <si>
    <t xml:space="preserve">Установка системы учета для технологического присоединения энергопринимающих устройств Заявителя (Киенко Е.А.) по адресу: Ростовская область, Мясниковский район, х. Красный Крым, ул. Пушкинская, д. 32, к.н. 61:25:0600401:16328 (1 шт.) </t>
  </si>
  <si>
    <t xml:space="preserve">Установка системы учета для технологического присоединения энергопринимающих устройств Заявителя (Кобцев В.А.) по адресу: Ростовская область, Мясниковский район, х. Красный Крым, ул. Пушкинская, д. 18, к.н. 61:25:0600401:16348 (1 шт.) </t>
  </si>
  <si>
    <t xml:space="preserve">Установка системы учета для технологического присоединения энергопринимающих устройств Заявителя (Ковалевский Р.А.) по адресу: Ростовская область, Мясниковский район, х. Красный Крым, ул. Пушкинская, д. 50, к.н. 61:25:0600401:16311 (1 шт.) </t>
  </si>
  <si>
    <t xml:space="preserve">Установка системы учета для технологического присоединения энергопринимающих устройств Заявителя: Коваленко А.А. в х. Веселый, ул. Молодежная, д. 6/б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</si>
  <si>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(Коваленко К.Ю.) по адресу: Ростовская область, Мясниковский район, х. Красный Крым, ул. Пушкинская, д. 29, к.н. 61:25:0600401:16341 (1 шт.) </t>
  </si>
  <si>
    <t xml:space="preserve">Установка системы учета для технологического присоединения энергопринимающих устройств Заявителя (Кондратенко А.В.) по адресу: Ростовская область, Мясниковский район, х. Хапры, пер. Степной, д. 20/а, к.н. 61:25:0070201:2268 (1 шт.) </t>
  </si>
  <si>
    <t xml:space="preserve">Установка системы учета для технологического присоединения энергопринимающих устройств Заявителя (Крикуненко Д.В.) по адресу: Ростовская область, Мясниковский район, х. Ленинаван, ул. 1-я Кольцевая, д. 51/а, к.н. 61:25:0600401:15322 (1 шт.) </t>
  </si>
  <si>
    <t xml:space="preserve">Установка системы учета для технологического присоединения энергопринимающих устройств Заявителя (Курбанов И.А.) по адресу: Ростовская область, Мясниковский район, х. Красный Крым, ул. Пушкинская, д. 37, к.н. 61:25:0600401:16331 (1 шт.) </t>
  </si>
  <si>
    <t xml:space="preserve">Установка системы учета для технологического присоединения энергопринимающих устройств Заявителя (Куренков М.А.) по адресу: Ростовская область, Мясниковский район, х. Красный Крым, ул. Сатхинская, д. 47, к.н. 61:25:0600401:17243 (1 шт.) </t>
  </si>
  <si>
    <t xml:space="preserve">Установка системы учета для технологического присоединения энергопринимающих устройств Заявителя (Лукьянченко Ю.А.) по адресу: Ростовская область, Мясниковский район, х. Ленинаван, ул. Звездная, д. 25, к.н. 61:25:0600401:16122 (1 шт.) </t>
  </si>
  <si>
    <t xml:space="preserve">Установка системы учета для технологического присоединения энергопринимающих устройств Заявителя (Луптиев М.У.) по адресу: Ростовская область, Мясниковский район, х. Красный Крым, ул. Пушкинская, д. 41, к.н. 61:25:0600401:18508 (1 шт.) </t>
  </si>
  <si>
    <t xml:space="preserve">Установка системы учета для технологического присоединения энергопринимающих устройств Заявителя (Малицкая Я.В.) по адресу: Ростовская область, Мясниковский район, х. Красный Крым, ул. Капитальная, д. 4, к.н. 61:25:0600401:17186 (1 шт.) </t>
  </si>
  <si>
    <t xml:space="preserve">Установка системы учета для технологического присоединения энергопринимающих устройств Заявителя: Манукян И.Н. в с. Чалтырь, ул. 50 лет Победы, д. 82/22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</si>
  <si>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(Марабян К.В.) по адресу: Ростовская область, Мясниковский район, с. Большие Салы, ул. 2-я Ленинская, д. 11/а, к.н. 61:25:0040101:5362 (1 шт.) </t>
  </si>
  <si>
    <t xml:space="preserve">Установка системы учета для технологического присоединения энергопринимающих устройств Заявителя (Матевосян Ш.А.) по адресу: Ростовская область, Мясниковский район, ул. Нольная линия,  д. 1/ж, к.н. 61:25:0201005:87 (1 шт.) </t>
  </si>
  <si>
    <t xml:space="preserve">Установка системы учета для технологического присоединения энергопринимающих устройств Заявителя (Михайличенкова Л.Ю.) по адресу: Ростовская область, Мясниковский район, х. Красный Крым, ул. Пушкинская, д. 40, к.н. 61:25:0600401:16317 (1 шт.) </t>
  </si>
  <si>
    <t xml:space="preserve">Установка системы учета для технологического присоединения энергопринимающих устройств Заявителя: Мудревский С.М. в х. Красный Крым, ул. Сатхинская, д. 16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</si>
  <si>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(Мурадян Н.Р.) по адресу: Ростовская область, Мясниковский район, с. Чалтырь, ул. Хошаф-Чорвах, д. 1/м, к.н. 61:25:0101401:127 (1 шт.) </t>
  </si>
  <si>
    <t xml:space="preserve">Установка системы учета для технологического присоединения энергопринимающих устройств Заявителя (Назаретян Р.А.) по адресу: Ростовская область, Мясниковский район, с. Крым, ул. Согомоняна, д. 1, к.н. 61:25:0600201:1451 (1 шт.) </t>
  </si>
  <si>
    <t xml:space="preserve">Установка системы учета для технологического присоединения энергопринимающих устройств Заявителя (Некрасов А.С.) по адресу: Ростовская область, Мясниковский район, х. Красный Крым, ул. Капитальная, д. 29, к.н. 61:25:0600401:17204 (1 шт.) </t>
  </si>
  <si>
    <t xml:space="preserve">Установка системы учета для технологического присоединения энергопринимающих устройств Заявителя (Неумывако С.Н.) по адресу: Ростовская область, Мясниковский район, х. Красный Крым, ул. Капитальная, д. 8, к.н. 61:25:0600401:17184 (1 шт.) </t>
  </si>
  <si>
    <t xml:space="preserve">Установка системы учета для технологического присоединения энергопринимающих устройств Заявителя (Олейник А.В.) по адресу: Ростовская область, Мясниковский район, х. Красный Крым, ул. Звездная, д. 28/а, к.н. 61:25:0600401:17687 (1 шт.) </t>
  </si>
  <si>
    <t xml:space="preserve">Установка системы учета для технологического присоединения энергопринимающих устройств Заявителя (Передерий Д.А.) по адресу: Ростовская область, Мясниковский район, х. Красный Крым, ул. Лермонтовская, д. 28, к.н. 61:25:0600401:17044 (1 шт.) </t>
  </si>
  <si>
    <t xml:space="preserve">Установка системы учета для технологического присоединения энергопринимающих устройств Заявителя (Рудской А.В.) по адресу: Ростовская область, Мясниковский район, х. Красный Крым, ул. Верхняя, д. 23, к.н. 61:25:0600401:17507 (1 шт.) </t>
  </si>
  <si>
    <t xml:space="preserve">Установка системы учета для технологического присоединения энергопринимающих устройств Заявителя (Сорокина А.Н.) по адресу: Ростовская область, Мясниковский район, х. Красный Крым, ул. Пушкинская, д. 35, к.н. 61:25:0600401:16332 (1 шт.) </t>
  </si>
  <si>
    <t xml:space="preserve">Установка системы учета для технологического присоединения энергопринимающих устройств Заявителя (Страхов А.И.) по адресу: Ростовская область, Мясниковский район, х. Красный Крым, ул. Звездная, д. 31/а, к.н. 61:25:0600401:17147 (1 шт.) </t>
  </si>
  <si>
    <t xml:space="preserve">Установка системы учета для технологического присоединения энергопринимающих устройств Заявителя (Суменко М.В.) по адресу: Ростовская область, Мясниковский район, с. Чалтырь, ул. Шагиняна, д. 81, к.н. 61:25:0600601:1384 (1 шт.) </t>
  </si>
  <si>
    <t xml:space="preserve">Установка системы учета для технологического присоединения энергопринимающих устройств Заявителя (Ткаченко А.В.) по адресу: Ростовская область, Мясниковский район, х. Красный Крым, ул. Пушкинская, д. 27, к.н. 61:25:0600401:16342 (1 шт.) </t>
  </si>
  <si>
    <t xml:space="preserve">Установка системы учета для технологического присоединения энергопринимающих устройств Заявителя (Ткаченко Н.В.) по адресу: Ростовская область, Мясниковский район, с. Крым, ул. Григора Бабияна, д. 44, к.н. 61:25:0600201:1489 (1 шт.) </t>
  </si>
  <si>
    <t xml:space="preserve">Установка системы учета для технологического присоединения энергопринимающих устройств Заявителя (Токузова З.М.) по адресу: Ростовская область, Мясниковский район, х. Красный Крым, ул. Лермонтовская, д. 34, к.н. 61:25:0600401:18507 (1 шт.) </t>
  </si>
  <si>
    <t xml:space="preserve">Установка системы учета для технологического присоединения энергопринимающих устройств Заявителя (Тоноян Г.Е.) по адресу: Ростовская область, Мясниковский район, с. Крым, ул. 2-я Пролетарская, д. 23, к.н. 61:25:0201024:786 (1 шт.) </t>
  </si>
  <si>
    <t xml:space="preserve">Установка системы учета для технологического присоединения энергопринимающих устройств Заявителя (Федорченко В.В.) по адресу: Ростовская область, Мясниковский район, х. Красный Крым, ул. Пушкинская, д. 21, к.н. 61:25:0600401:16346 (1 шт.) </t>
  </si>
  <si>
    <t xml:space="preserve">Установка системы учета для технологического присоединения энергопринимающих устройств Заявителя: Хараян Н.Н. в с. Большие Салы, ул. Шаумяна, д. 18/в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</si>
  <si>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(Шадрин Р.А.) по адресу: Ростовская область, Мясниковский район, х. Ленинаван, ул. Звездная, д. 1/а, к.н. 61:25:0600401:15318 (1 шт.) </t>
  </si>
  <si>
    <t xml:space="preserve">Установка системы учета для технологического присоединения энергопринимающих устройств Заявителя (Шахназарян С.А.) по адресу: Ростовская область, Мясниковский район, х. Калинин, ул. 2-я Кольцевая, д. 22/б, к.н. 61:25:0050101:2320 (1 шт.) </t>
  </si>
  <si>
    <t xml:space="preserve">Установка системы учета для технологического присоединения энергопринимающих устройств Заявителя (Шорохова М.Н.) по адресу: Ростовская область, Мясниковский район, х. Красный Крым, ул. Пушкинская, д. 49, к.н. 61:25:0600401:16319 (1 шт.) </t>
  </si>
  <si>
    <t>Установка системы учета для технологического присоединения энергопринимающих устройств Заявителя (Агабабян Г.Ц.) по адресу: Ростовская область, Мясниковский район, х. Ленинаван, ул. Шаумяна, д. 12/а, к.н. 61:25:0030202:3970 (1 шт.)</t>
  </si>
  <si>
    <t>Установка системы учета для технологического присоединения энергопринимающих устройств Заявителя (Баландина Е.Н.) по адресу: Ростовская область, Мясниковский район, х. Красный Крым, ул. Пушкинская, д. 30, к.н. 61:25:0600401:16329 (1 шт.)</t>
  </si>
  <si>
    <t>Установка системы учета для технологического присоединения энергопринимающих устройств Заявителя (Баласанян Л.Х.) по адресу: Ростовская область, Мясниковский район, с. Крым, ул. Советская, д. 69, к.н. 61:25:0201019:1018 (1 шт.)</t>
  </si>
  <si>
    <t>Установка системы учета для технологического присоединения энергопринимающих устройств Заявителя (Кабанов С.А.) по адресу: Ростовская область, Мясниковский район, х. Красный Крым, ул. Молодежная, д. 54, к.н. 61:25:0600401:16094 (1 шт.)</t>
  </si>
  <si>
    <t>Установка системы учета для технологического присоединения энергопринимающих устройств Заявителя (ИП Чубарян А.А.) по адресу: Ростовская область, Мясниковский район, с. Чалтырь, ул. Мясникяна, д. 95 и ул. Ленина, 36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</si>
  <si>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Красный Крым, ул. Сатхинская, д. 54, к.н. 61:25:0600401:17256 (1 шт.)</t>
  </si>
  <si>
    <t>Установка системы учета для технологического присоединения энергопринимающих устройств Заявителя (Корманукян Б.П.) по адресу: Ростовская область, Мясниковский район, с. Крым, ул. Александра Суворова, д. 20, к.н. 61:25:0600201:1461 (1 шт.)</t>
  </si>
  <si>
    <t xml:space="preserve">Установка системы учета для технологического присоединения энергопринимающих устройств Заявителя (Ливерова А.А.) по адресу: Ростовская область, Мясниковский район, х. Красный Крым, ул. Пушкинская, д. 52, к.н. 61:25:0600401:16306 (1 шт.) </t>
  </si>
  <si>
    <t>Установка системы учета для технологического присоединения энергопринимающих устройств Заявителя (Пайлеванян М.С.) по адресу: Ростовская область, Мясниковский район, х. Красный Крым, ул. Сатхинская, д. 33, к.н. 61:25:0600401:17251 (1 шт.)</t>
  </si>
  <si>
    <t>Установка системы учета для технологического присоединения энергопринимающих устройств Заявителя (Погребная Ю.Р.) по адресу: Ростовская область, Мясниковский район, х. Ленинаван, ул. Центральная, д. 15/а, к.н. 61:25:0600401:17523 (1 шт.)</t>
  </si>
  <si>
    <t>Установка системы учета для технологического присоединения энергопринимающих устройств Заявителя (Попков С.Ю.) по адресу: Ростовская область, Мясниковский район, с. Чалтырь, ул. 15-я линия, д. 7/л, к.н. 61:25:0101243:898 (1 шт.)</t>
  </si>
  <si>
    <t>Установка системы учета для технологического присоединения энергопринимающих устройств Заявителя (Рюмин М.Д.) по адресу: Ростовская область, Мясниковский район, х. Ленинаван, ул. Звездная, д. 23, к.н. 61:25:0600401:16060 (1 шт.)</t>
  </si>
  <si>
    <t>Установка системы учета для технологического присоединения энергопринимающих устройств Заявителя (Савельева Л.В.) по адресу: Ростовская область, Мясниковский район, с. Чалтырь, ул. 15-я линия, д. 9/м, к.н. 61:25:0101243:899 (1 шт.)</t>
  </si>
  <si>
    <t>Установка системы учета для технологического присоединения энергопринимающих устройств Заявителя (Стрельникова Е.П.) по адресу: Ростовская область, Мясниковский район, х. Красный Крым, ул. Капитальная, д. 24, к.н. 61:25:0600401:17206 (1 шт.)</t>
  </si>
  <si>
    <t>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х. Калинин, ул. Садовая, д. 32, к.н. 61:25:0050101:1811 (1 шт.)</t>
  </si>
  <si>
    <t>Установка системы учета для технологического присоединения энергопринимающих устройств Заявителя (Чубанов Е.А.) по адресу: Ростовская область, Мясниковский район, х. Ленинаван, ул. Пушкинская, д. 26/г, к.н. 61:25:0600401:18640 (1 шт.)</t>
  </si>
  <si>
    <t>Установка системы учета для технологического присоединения энергопринимающих устройств Заявителя (Ягунян Н.Э.) по адресу: Ростовская область, Мясниковский район, х. Красный Крым, ул. Капитальная, д. 26, к.н. 61:25:0600401:17203 (1 шт.)</t>
  </si>
  <si>
    <t>Установка системы учета для технологического присоединения энергопринимающих устройств Заявителя (Апраксина А.С.) по адресу: Ростовская область, Мясниковский район, х. Ленинаван, ул. Абовяна, д. 19/2, к.н. 61:25:0030202:4826 (1 шт.)</t>
  </si>
  <si>
    <t>Установка системы учета для технологического присоединения энергопринимающих устройств Заявителя (Беллуян Л.Р.) по адресу: Ростовская область, Мясниковский район, х. Ленинаван, ул. Алексеевская, д. 26, к.н. 61:25:0600401:16159 (1 шт.)</t>
  </si>
  <si>
    <t>Установка системы учета для технологического присоединения энергопринимающих устройств Заявителя (Блюденова Н.П.) по адресу: Ростовская область, Мясниковский район, х. Ленинакан, ул. Майская, д. 11/а, к.н. 61:25:0600401:16754 (1 шт.)</t>
  </si>
  <si>
    <t>Установка системы учета для технологического присоединения энергопринимающих устройств Заявителя (Бурым В.Г.) по адресу: Ростовская область, Мясниковский район, х. Красный Крым, ул. Верхняя, д. 9/б, к.н. 61:25:0600401:17542 (1 шт.)</t>
  </si>
  <si>
    <t>Установка системы учета для технологического присоединения энергопринимающих устройств Заявителя (Бурым В.Г.) по адресу: Ростовская область, Мясниковский район, х. Красный Крым, ул. Верхняя, д. 9/а, к.н. 61:25:0600401:17541 (1 шт.)</t>
  </si>
  <si>
    <t>Установка системы учета для технологического присоединения энергопринимающих устройств Заявителя (Викторов А.А.) по адресу: Ростовская область, Мясниковский район, х. Красный Крым, ул. Лермонтовская, д. 55, к.н. 61:25:0600401:17063 (1 шт.)</t>
  </si>
  <si>
    <t>Установка системы учета для технологического присоединения энергопринимающих устройств Заявителя (Викторов А.А.) по адресу: Ростовская область, Мясниковский район, х. Красный Крым, ул. Лермонтовская, д. 53, к.н. 61:25:0600401:17064 (1 шт.)</t>
  </si>
  <si>
    <t>Установка системы учета для технологического присоединения энергопринимающих устройств Заявителя (Грекова И.А.) по адресу: Ростовская область, Мясниковский район, х. Красный Крым, ул. Верхняя, д. 9, к.н. 61:25:0600401:17540 (1 шт.)</t>
  </si>
  <si>
    <t>Установка системы учета для технологического присоединения энергопринимающих устройств Заявителя (Канивец А.А.) по адресу: Ростовская область, Мясниковский район, х. Ленинакан, ул. Майская, д. 13, к.н. 61:25:0600401:16753 (1 шт.)</t>
  </si>
  <si>
    <t>Установка системы учета для технологического присоединения энергопринимающих устройств Заявителя (Кривко Л.В.) по адресу: Ростовская область, Мясниковский район, х. Красный Крым, ул. Небесная, д. 16/а, к.н. 61:25:0600401:18670 (1 шт.)</t>
  </si>
  <si>
    <t>Установка системы учета для технологического присоединения энергопринимающих устройств Заявителя (Кривко Л.В.) по адресу: Ростовская область, Мясниковский район, х. Красный Крым, ул. Небесная, д. 16, к.н. 61:25:0600401:18671 (1 шт.)</t>
  </si>
  <si>
    <t>Установка системы учета для технологического присоединения энергопринимающих устройств Заявителя (Лавриненко А.Л.) по адресу: Ростовская область, Мясниковский район, х. Красный Крым, ул. Пушкинская, д. 10, к.н. 61:25:0600401:16352 (1 шт.)</t>
  </si>
  <si>
    <t>Установка системы учета для технологического присоединения энергопринимающих устройств Заявителя (Лихоносова М.А.) по адресу: Ростовская область, Мясниковский район, х. Красный Крым, ул. Лермонтовская, д. 32, к.н. 61:25:0600401:17042 (1 шт.)</t>
  </si>
  <si>
    <t>Установка системы учета для технологического присоединения энергопринимающих устройств Заявителя (Мишарева Т.В.) по адресу: Ростовская область, Мясниковский район, х. Красный Крым, ул. Звездная, д. 28, к.н. 61:25:0600401:17688 (1 шт.)</t>
  </si>
  <si>
    <t>Установка системы учета для технологического присоединения энергопринимающих устройств Заявителя (Оганесян О.А.) по адресу: Ростовская область, Мясниковский район, с. Чалтырь, ул. Крестьянская, д. 6/а, к.н. 61:25:0600601:2148 (1 шт.)</t>
  </si>
  <si>
    <t>Установка системы учета для технологического присоединения энергопринимающих устройств Заявителя (Полуян И.Б.) по адресу: Ростовская область, Мясниковский район, х. Красный Крым, ул. Звездная, д. 34, к.н. 61:25:0600401:17684 (1 шт.)</t>
  </si>
  <si>
    <t>Установка системы учета для технологического присоединения энергопринимающих устройств Заявителя (Саевич А.И.) по адресу: Ростовская область, Мясниковский район, х. Красный Крым, ул. Звездная, д. 26/а, к.н. 61:25:0600401:14948 (1 шт.)</t>
  </si>
  <si>
    <t>Установка системы учета для технологического присоединения энергопринимающих устройств Заявителя (Фисенко А.С.) по адресу: Ростовская область, Мясниковский район, х. Красный Крым, ул. Пушкинская, д. 6, к.н. 61:25:0600401:16354 (1 шт.)</t>
  </si>
  <si>
    <t>Установка системы учета для технологического присоединения энергопринимающих устройств Заявителя (Черпухов И.М.) по адресу: Ростовская область, Мясниковский район, х. Ленинаван, ул. Алексеевская, д. 26/а, к.н. 61:25:0600401:16158 (1 шт.)</t>
  </si>
  <si>
    <t>Установка системы учета для технологического присоединения энергопринимающих устройств Заявителя (Щесняк А.В.) по адресу: Ростовская область, Мясниковский район, х. Красный Крым, ул. Звездная, д. 30, к.н. 61:25:0600401:15014 (1 шт.)</t>
  </si>
  <si>
    <t>Установка системы учета для технологического присоединения энергопринимающих устройств Заявителя (Ярославцев Х.А.) по адресу: Ростовская область, Мясниковский район, с. Крым, ул. 15-я линия, д. 4, к.н. 61:25:0201019:1022 (1 шт.)</t>
  </si>
  <si>
    <t>Установка системы учета для технологического присоединения энергопринимающих устройств Заявителя (Антонян С.М.) по адресу: Ростовская область, Мясниковский район, х. Красный Крым, ул. Лермонтовская, д. 44, к.н. 61:25:0600401:17036 (1 шт.)</t>
  </si>
  <si>
    <t>Установка системы учета для технологического присоединения энергопринимающих устройств Заявителя (Григорян В.С.) по адресу: Ростовская область, Мясниковский район, х. Ленинаван, ул. Звездная, д. 25/а, к.н. 61:25:0600401:16123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</si>
  <si>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Верхняя, д. 29, к.н. 61:25:0600401:17501 (1 шт.)</t>
  </si>
  <si>
    <t>Установка системы учета для технологического присоединения энергопринимающих устройств Заявителя (Дорошенко М.А.) по адресу: Ростовская область, Мясниковский район, х. Ленинакан, ул. Трудовая, д. 37/2, к.н. 61:25:0030301:1931 (1 шт.)</t>
  </si>
  <si>
    <t>Установка системы учета для технологического присоединения энергопринимающих устройств Заявителя (Карагулян Л.Н.) по адресу: Ростовская область, Мясниковский район, х. Красный Крым, ул. Сатхинская, д. 31, к.н. 61:25:0600401:17252 (1 шт.)</t>
  </si>
  <si>
    <t>Установка системы учета для технологического присоединения энергопринимающих устройств Заявителя (Конышев Ю.В.) по адресу: Ростовская область, Мясниковский район, х. Ленинакан, ул. Майская, д. 5, к.н. 61:25:0600401:17595 (1 шт.)</t>
  </si>
  <si>
    <t>Установка системы учета для технологического присоединения энергопринимающих устройств Заявителя (Мангов Д.Ю.) по адресу: Ростовская область, Мясниковский район, с. Крым, ул. Григора Бабияна, д. 40, к.н. 61:25:0600201:1446 (1 шт.)</t>
  </si>
  <si>
    <t>Установка системы учета для технологического присоединения энергопринимающих устройств Заявителя (Николаенко А.А.) по адресу: Ростовская область, Мясниковский район, с. Чалтырь, ул. Крестьянская, д. 4, к.н. 61:25:0600601:1365 (1 шт.)</t>
  </si>
  <si>
    <t>Установка системы учета для технологического присоединения энергопринимающих устройств Заявителя (Рудской А.В.) по адресу: Ростовская область, Мясниковский район, х. Красный Крым, ул. Верхняя, д. 25, к.н. 61:25:0600401:17508 (1 шт.)</t>
  </si>
  <si>
    <t>Установка системы учета для технологического присоединения энергопринимающих устройств Заявителя (Самосватова Н.Ю.) по адресу: Ростовская область, Мясниковский район, х. Красный Крым, ул. Сатхинская, д. 25, к.н. 61:25:0600401:17255 (1 шт.)</t>
  </si>
  <si>
    <t xml:space="preserve">Установка системы учета для технологического присоединения энергопринимающих устройств Заявителя (Селина Е.Н.) по адресу: Ростовская область, Мясниковский район, с. Крым, ул. Комсомольская, д. 2/б, к.н. 61:25:0201018:0245 (1 шт.) </t>
  </si>
  <si>
    <t>Установка системы учета для технологического присоединения энергопринимающих устройств Заявителя (Сукасян Л.И.) по адресу: Ростовская область, Мясниковский район, х. Красный Крым, ул. Сатхинская, д. 29, к.н. 61:25:0600401:17253 (1 шт.)</t>
  </si>
  <si>
    <t>Установка системы учета для технологического присоединения энергопринимающих устройств Заявителя (Шадрова Р.В.) по адресу: Ростовская область, Мясниковский район, х. Ленинакан, ул. Майская, д. 3/б, к.н. 61:25:0600401:17596 (1 шт.)</t>
  </si>
  <si>
    <t>Установка системы учета для технологического присоединения энергопринимающих устройств Заявителя (Блюденов С.Н.) по адресу: Ростовская область, Мясниковский район, х. Ленинакан, ул. Майская, д. 8, к.н. 61:25:0600401:17007 (1 шт.)</t>
  </si>
  <si>
    <t>Установка системы учета для технологического присоединения энергопринимающих устройств Заявителя (Загрядский А.С.) по адресу: Ростовская область, Мясниковский район, х. Красный Крым, ул. Капитальная, д. 20, к.н. 61:25:0600401:17208 (1 шт.)</t>
  </si>
  <si>
    <t>Установка системы учета для технологического присоединения энергопринимающих устройств Заявителя (Зеленовский В.В.) по адресу: Ростовская область, Мясниковский район, х. Ленинакан, ул. Трудовая, д. 37/5, к.н. 61:25:0030301:1934 (1 шт.)</t>
  </si>
  <si>
    <t>Установка системы учета для технологического присоединения энергопринимающих устройств Заявителя (ИП Аведян Т.В.) по адресу: Ростовская область, Мясниковский район, с. Чалтырь, ул. Красноармейская, д. 63/ж (слева от магазина автозапчастей) (1 шт.)</t>
  </si>
  <si>
    <t>Установка системы учета для технологического присоединения энергопринимающих устройств Заявителя (ИП Бардахчьян Г.М.) по адресу: Ростовская область, Мясниковский район, х. Ленинаван, ул. Ленина, д. 8/5
(1 шт.)</t>
  </si>
  <si>
    <t>Установка системы учета для технологического присоединения энергопринимающих устройств Заявителя (Кеян Р.М.) по адресу: Ростовская область, Мясниковский район, х. Красный Крым, ул. Сатхинская, д. 14, к.н. 61:25:0600401:17229 (1 шт.)</t>
  </si>
  <si>
    <t>Установка системы учета для технологического присоединения энергопринимающих устройств Заявителя (Колпаков М.А.) по адресу: Ростовская область, Мясниковский район, х. Ленинакан, ул. Майская, д. 3, к.н. 61:25:0600401:17598 (1 шт.)</t>
  </si>
  <si>
    <t>Установка системы учета для технологического присоединения энергопринимающих устройств Заявителя (Костырин В.Г.) по адресу: Ростовская область, Мясниковский район, х. Ленинаван, ул. Пушкинская, д. 26/а, к.н. 61:25:0600401:18641 (1 шт.)</t>
  </si>
  <si>
    <t>Установка системы учета для технологического присоединения энергопринимающих устройств Заявителя (Мелешко В.Н.) по адресу: Ростовская область, Мясниковский район, х. Ленинакан, ул. Осенняя, д. 5, к.н. 61:25:0600401:18115 (1 шт.)</t>
  </si>
  <si>
    <t>Установка системы учета для технологического присоединения энергопринимающих устройств Заявителя (Микоян С.С.) по адресу: Ростовская область, Мясниковский район, с. Крым, ул. 15-я линия, д. 6, к.н. 61:25:0201019:1023 (1 шт.)</t>
  </si>
  <si>
    <t>Установка системы учета для технологического присоединения энергопринимающих устройств Заявителя (Молоканов А.В.) по адресу: Ростовская область, Мясниковский район, х. Красный Крым, ул. Капитальная, д. 23, к.н. 61:25:0600401:17200 (1 шт.)</t>
  </si>
  <si>
    <t>Установка системы учета для технологического присоединения энергопринимающих устройств Заявителя (Панасенко Н.А.) по адресу: Ростовская область, Мясниковский район, х. Красный Крым, ул. Лермонтовская, д. 40, к.н. 61:25:0600401:17038 (1 шт.)</t>
  </si>
  <si>
    <t>Установка системы учета для технологического присоединения энергопринимающих устройств Заявителя (Песчанский Л.А.) по адресу: Ростовская область, Мясниковский район, х. Ленинакан, ул. Трудовая, д. 37/3, к.н. 61:25:0030301:1932 (1 шт.)</t>
  </si>
  <si>
    <t>Установка системы учета для технологического присоединения энергопринимающих устройств Заявителя (Прокопенко Ю.А.) по адресу: Ростовская область, Мясниковский район, с. Крым, ул. Пролетарская, д. 4/ж, к.н. 61:25:0201022:716 (1 шт.)</t>
  </si>
  <si>
    <t>Установка системы учета для технологического присоединения энергопринимающих устройств Заявителя (Сурмило А.А.) по адресу: Ростовская область, Мясниковский район, х. Красный Крым, ул. Пушкинская, д. 45, к.н. 61:25:0600401:16321 (1 шт.)</t>
  </si>
  <si>
    <t xml:space="preserve">Установка системы учета для технологического присоединения энергопринимающих устройств Заявителя (Сычева Т.В.) по адресу: Ростовская область, Мясниковский район, х. Красный Крым, ул. Капитальная, д. 22, к.н. 61:25:0600401:17207 (1 шт.) </t>
  </si>
  <si>
    <t>Установка системы учета для технологического присоединения энергопринимающих устройств Заявителя (Тарасова К.И.) по адресу: Ростовская область, Мясниковский район, х. Красный Крым, ул. Урожайная, д. 14, к.н. 61:25:0600401:16108 (1 шт.)</t>
  </si>
  <si>
    <t>Установка системы учета для технологического присоединения энергопринимающих устройств Заявителя (Абрамов Д.А.) по адресу: Ростовская область, Мясниковский район, х. Ленинакан, ул. Васильковая, д. 19/а, к.н. 61:25:0030301:1530 (1 шт.)</t>
  </si>
  <si>
    <t>Установка системы учета для технологического присоединения энергопринимающих устройств Заявителя (Бабасиева Г.Р.) по адресу: Ростовская область, Мясниковский район, х. Красный Крым, ул. Урожайная, д. 12, к.н. 61:25:0600401:16109 (1 шт.)</t>
  </si>
  <si>
    <t>Установка системы учета для технологического присоединения энергопринимающих устройств Заявителя (Бейнарович А.В.) по адресу: Ростовская область, Мясниковский район, х. Красный Крым, ул. Братьев Баян, д. 45/а, к.н. 61:25:0030101:2020 (1 шт.)</t>
  </si>
  <si>
    <t>Установка системы учета для технологического присоединения энергопринимающих устройств Заявителя (Воропай О.А.) по адресу: Ростовская область, Мясниковский район, с. Крым, ул. Григора Бабияна, д. 44/а, к.н. 61:25:0600201:1490 (1 шт.)</t>
  </si>
  <si>
    <t>Установка системы учета для технологического присоединения энергопринимающих устройств Заявителя (Доценко А.Ю.) по адресу: Ростовская область, Мясниковский район, х. Ленинакан, ул. Майская, д. 3/а, к.н. 61:25:0600401:18804 (1 шт.)</t>
  </si>
  <si>
    <t>Установка системы учета для технологического присоединения энергопринимающих устройств Заявителя (Жук Д.Л.) по адресу: Ростовская область, Мясниковский район, х. Красный Крым, ул. Лермонтовская, д. 48, к.н. 61:25:0600401:17094 (1 шт.)</t>
  </si>
  <si>
    <t>Установка системы учета для технологического присоединения энергопринимающих устройств Заявителя (Журавлев С.А.) по адресу: Ростовская область, Мясниковский район, х. Красный Крым, ул. Лермонтовская, д. 42, к.н. 61:25:0600401:17037 (1 шт.)</t>
  </si>
  <si>
    <t>Установка системы учета для технологического присоединения энергопринимающих устройств Заявителя (Зарубин Н.Н.) по адресу: Ростовская область, Мясниковский район, х. Ленинакан, ул. Осенняя, д. 8, к.н. 61:25:0600401:18626 (1 шт.)</t>
  </si>
  <si>
    <t>Установка системы учета для технологического присоединения энергопринимающих устройств Заявителя (Косов В.В.) по адресу: Ростовская область, Мясниковский район, х. Красный Крым, ул. Урожайная, д. 5/а, к.н. 61:25:0600401:17528 (1 шт.)</t>
  </si>
  <si>
    <t>Установка системы учета для технологического присоединения энергопринимающих устройств Заявителя (Магакелян К.А.) по адресу: Ростовская область, Мясниковский район, х. Красный Крым, ул. Молодежная, д. 56, к.н. 61:25:0600401:16093 (1 шт.)</t>
  </si>
  <si>
    <t>Установка системы учета для технологического присоединения энергопринимающих устройств Заявителя (Манукян Л.Г.) по адресу: Ростовская область, Мясниковский район, х. Ленинакан, ул. Васильковая, д. 2/в, к.н. 61:25:0030301:1536 (1 шт.)</t>
  </si>
  <si>
    <t xml:space="preserve">Установка системы учета для технологического присоединения энергопринимающих устройств Заявителя (Полянская И.В.) по адресу: Ростовская область, Мясниковский район, х. Ленинакан, ул. Майская, д. 17, к.н. 61:25:0600401:16749 (1 шт.) </t>
  </si>
  <si>
    <t>Установка системы учета для технологического присоединения энергопринимающих устройств Заявителя (Рамазян Ю.Г.) по адресу: Ростовская область, Мясниковский район, с. Крым, ул. Григора Бабияна, д. 9/а, к.н. 61:25:0600201:1538 (1 шт.)</t>
  </si>
  <si>
    <t>Установка системы учета для технологического присоединения энергопринимающих устройств Заявителя (Сергеева Ю.А.) по адресу: Ростовская область, Мясниковский район, х. Ленинакан, ул. Трудовая, д. 37/6, к.н. 61:25:0030301:1935 (1 шт.)</t>
  </si>
  <si>
    <t>Установка системы учета для технологического присоединения энергопринимающих устройств Заявителя (Таванец Е.Ю.) по адресу: Ростовская область, Мясниковский район, х. Красный Крым, ул. Лермонтовская, д. 26, к.н. 61:25:0600401:17045 (1 шт.)</t>
  </si>
  <si>
    <t>Установка системы учета для технологического присоединения энергопринимающих устройств Заявителя (Татаренко В.Н.) по адресу: Ростовская область, Мясниковский район, х. Ленинаван, ул. И. Айвазовского, д. 9/а, к.н. 61:25:0600401:16804 (1 шт.)</t>
  </si>
  <si>
    <t>Установка системы учета для технологического присоединения энергопринимающих устройств Заявителя (Терентьев А.Е.) по адресу: Ростовская область, Мясниковский район, х. Ленинаван, ул. Алексеевская, д. 24/а, к.н. 61:25:0600401:16057 (1 шт.)</t>
  </si>
  <si>
    <t xml:space="preserve">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х. Калинин, ул. Садовая, д. 32/б, к.н. 61:25:0050101:8011 (1 шт.) </t>
  </si>
  <si>
    <t>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х. Калинин, ул. Садовая, д. 32/а, к.н. 61:25:0050101:8010 (1 шт.)</t>
  </si>
  <si>
    <t>Установка системы учета для технологического присоединения энергопринимающих устройств Заявителя (Чернушкина М.С.) по адресу: Ростовская область, Мясниковский район, с. Крым, ул. Первомайская, д. 11/и, к.н. 61:25:0201016:706 (1 шт.)</t>
  </si>
  <si>
    <t xml:space="preserve">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Ленинаван, ул. Дружбы, д. 1/1, к.н. 61:25:0030202:4919 (1 шт.) </t>
  </si>
  <si>
    <t>Установка системы учета для технологического присоединения энергопринимающих устройств Заявителя (Юманова В.А.) по адресу: Ростовская область, Мясниковский район, х. Ленинакан, ул. Майская, д. 15/а, к.н. 61:25:0600401:16750 (1 шт.)</t>
  </si>
  <si>
    <t>Установка системы учета для технологического присоединения энергопринимающих устройств Заявителей: Пешекерян А.А., ИП Пешекерян А.А.  в Мясниковском районе Ростовской области (5 шт.)</t>
  </si>
  <si>
    <t>Установка системы учета для технологического присоединения энергопринимающих устройств Заявителей: Босенко Е.В., Смалько Д.А., Шпаков В.Н., Гурова Л.А., Родькина А.С. в Неклиновском районе Ростовской области (5 шт.).</t>
  </si>
  <si>
    <t xml:space="preserve">Установка системы учета для технологического присоединения энергопринимающих устройств Заявителей: Бондаренко А.А., Крикун Р.Ф., Скляр М.И.   в Неклиновском районе Ростовской области (3 шт.). </t>
  </si>
  <si>
    <t>Установка системы учета для технологического присоединения энергопринимающих устройств Заявителя: Григорьев А.А.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</si>
  <si>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ИП Дворник Е.А.   в Неклиновском районе Ростовской области (1 шт.). </t>
  </si>
  <si>
    <t>Установка системы учета для технологического присоединения энергопринимающих устройств Заявителей: Колесов А.А., Валиуллин С.Р.   в Неклиновском районе Ростовской области (2 шт.).</t>
  </si>
  <si>
    <t>Установка системы учета для технологического присоединения энергопринимающих устройств Заявителя: Кирилина К.С.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</si>
  <si>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Заявителей: ООО «Колхоз «50 лет Октября», Левченко О.А., Маличенко Л.Н.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</si>
  <si>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Заявителя (Есаян Н.С.)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</si>
  <si>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(Сеник Г.А.)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</si>
  <si>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(Шадов А.Ж.)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</si>
  <si>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(Богданова А.А.) по адресу: Ростовская область, Неклиновский район, с. Новобессергеневка, ул. Инициативная, д. 27-Г, к.н. 61:26:0600024:5411 (1 шт.) </t>
  </si>
  <si>
    <t xml:space="preserve">Установка системы учета для технологического присоединения энергопринимающих устройств Заявителя (Дорохова Н.В.) по адресу: Ростовская область, Неклиновский район, х. Мержаново, ул. Буденого, д. 13, к.н. 61:26:0060301:571 (1 шт.) </t>
  </si>
  <si>
    <t xml:space="preserve">Установка системы учета для технологического присоединения энергопринимающих устройств Заявителя (Иваница Е.А.) по адресу: Ростовская область, Неклиновский район, с. Андреево-Мелентьево, ул. Береговая, д. 13, кв. 3, к.н. 61:26:0090101:1039 (1 шт.) </t>
  </si>
  <si>
    <t xml:space="preserve">Установка системы учета для технологического присоединения энергопринимающих устройств Заявителя (Мехти-Заде Ф.Ю.) по адресу: Ростовская область, Неклиновский район, х. Мержаново, ул. Буденого, д. 29-а, к.н. 61:26:0060301:752 (1 шт.) </t>
  </si>
  <si>
    <t xml:space="preserve">Установка системы учета для технологического присоединения энергопринимающих устройств Заявителя (Синдеева М.А.) по адресу: Ростовская область, Неклиновский район, х. Палий, ул. Урожайная, д. 9 (1 шт.) </t>
  </si>
  <si>
    <t>Установка системы учета для технологического присоединения энергопринимающих устройств Заявителя (Мусина В.И.) по адресу: Ростовская область, Неклиновский район, с. Новобессергеневка, ул. Инициативная, д. 27-В, к.н. 61:26:0600024:5412 (1 шт.)</t>
  </si>
  <si>
    <t>Установка системы учета для технологического присоединения энергопринимающих устройств Заявителя (Гавриков А.В.) по адресу: Ростовская область, Неклиновский район, с. Николаевка, пер. Клубный, д. 3, к.н. 61:26:0110101:8574 (1 шт.)</t>
  </si>
  <si>
    <t xml:space="preserve">Установка системы учета для технологического присоединения энергопринимающих устройств Заявителя (Бондарева Т.Ю.) в г. Таганроге Ростовской области (1шт.) </t>
  </si>
  <si>
    <t>Установка прибора коммерческого учета электрической энергии (мощности) в точке поставки для присоединения индивидуального жилого дома Трясциной А.Н., расположенного по адресу: Ростовская область, Волгодонской район, станица Романовская, ул. 75 лет Победы, д.77, к.н.з.у.: 61:08:0600601:4633</t>
  </si>
  <si>
    <t>Установка прибора коммерческого учета электрической энергии (мощности) в точке поставки для присоединения индивидуального жилого дома Бондаренко П.А., расположенного по адресу: Ростовская область, Волгодонской район, станица Романовская, ул. Лесная, д. 1А, кадастровый номер земельного участка: 61:08:0070114:243</t>
  </si>
  <si>
    <t>Установка прибора коммерческого учета электрической энергии (мощности) в точке поставки для присоединения жилого дома Сорокина Д.Е., расположенного по адресу: Ростовская область, Волгодонской район, х. Погожев, ул. Школьная, д.14, к.н.з.у.: 61:08:0070401:157</t>
  </si>
  <si>
    <t>Установка прибора коммерческого учета электрической энергии (мощности) в точке поставки для присоединения жилого дома Мордвинцева И.П., расположенного по адресу: Ростовская область, Волгодонской район, станица Романовская, ул. Соловьевых, д. 118А, к.н.з.у.: 61:08:0070130:520</t>
  </si>
  <si>
    <t>Обеспечение коммерческим учетом электрической энергии (мощности) в точке поставки и установка шкафа 0,22 кВ по присоединению жилого дома Колычева Н.В., расположенного по адресу: Ростовская область, Цимлянский район, п. Саркел, пер. Виноградный, д. 25, к.н. 61:41:0011104:535</t>
  </si>
  <si>
    <t>Обеспечение коммерческим учетом электрической энергии (мощности) в точке поставки и установка шкафа 0,22 кВ по присоединению жилого дома Русанова Б.Н., расположенного по адресу: Ростовская область, Цимлянский район, х. Лозной, ул. Виноградная, д. 16, к.н. 61:41:0030113:35</t>
  </si>
  <si>
    <t>Обеспечение коммерческим учетом электрической энергии (мощности) в точке поставки и установка шкафа 0,22 кВ по присоединению уличного освещения Администрации Красноярского сельского поселения, расположенного по адресу: Ростовская область, Цимлянский район, станица Красноярская, ул. Ленина, к.н. 61:41:0020128:297</t>
  </si>
  <si>
    <t>Обеспечение коммерческим учетом электрической энергии (мощности) в точке поставки и установка шкафа 0,22 кВ по присоединению магазина ИП Соповой Е.Г., расположенного по адресу: Ростовская область, Цимлянский район, станица Лозновская, ул. Центральная, л. 30а, к.н. 61:41:0040203:1</t>
  </si>
  <si>
    <t>Установка прибора коммерческого учета электрической энергии (мощности) в точке поставки по присоединению нежилого здания АО «Почта России», расположенного по адресу: Ростовская область, Цимлянский район, х. Антонов, ул. Центральная, д.2, с/п Калининское, кадастровый номер земельного участка 61:41:0060405:6</t>
  </si>
  <si>
    <t>Установка прибора коммерческого учета электрической энергии (мощности) в точке поставки по присоединению жилого дома Шелест М.А., расположенного по адресу: Ростовская область, Цимлянский район, станица Красноярская, ул. Социалистическая, д. 37а, кадастровый номер земельного участка: 61:41:0020118:472</t>
  </si>
  <si>
    <t>Установка прибора коммерческого учета электрической энергии (мощности) в точке поставки для присоединения жилого дома Виноградовой И.В., расположенного по адресу: Ростовская область, Цимлянский район, х. Крутой, ул. Степная, д.18, к.н.з.у.: 61:41:0020307:123</t>
  </si>
  <si>
    <t>Установка прибора коммерческого учета электрической энергии (мощности) в точке поставки для присоединения жилого дома Бурлаки А.В., расположенного по адресу: Ростовская область, Цимлянский район, станица Красноярская, ул. 60 лет Октября, д. 24, к.н.з.у.: 61:41:0020128:52</t>
  </si>
  <si>
    <t>Установка прибора коммерческого учета электрической энергии (мощности) в точке поставки для присоединения жилого дома Сапрыкиной Л.А., расположенного по адресу: Ростовская область, Цимлянский район, х. Лозной, пер. Лесной, д. 9, к.н.з.у.: 61:41:0030103:65</t>
  </si>
  <si>
    <t>Установка прибора коммерческого учета электрической энергии (мощности) в точке поставки для присоединения сети уличного освещения Администрации Новоселовского сельского поселения, расположенной по адресу: Ростовская область, Мартыновский район, х. Красноармейский, ул. Красноармейская, к.н.з.у.: 61:20:0070301:626</t>
  </si>
  <si>
    <t>Установка прибора коммерческого учета электрической энергии (мощности) в точке поставки для присоединения квартиры Лукьяненко Р.Г., расположенной по адресу: Ростовская область ,Мартыновский район, хутор Комаров, ул. Школьная, д. 54, кв./оф. 1, к.н.з.у.: 61:20:0050101:4038</t>
  </si>
  <si>
    <t>Установка прибора коммерческого учета электрической энергии (мощности) в точке поставки для присоединения жилого дома ООО «Новоселовское», расположенного по адресу: Ростовская область, Мартыновский район, х. Новоселовка, ул. Краснопартизанская, д. 28в, к.н.з.у.: 61:20:0070101:3418</t>
  </si>
  <si>
    <t>Установка прибора коммерческого учета электрической энергии (мощности) в точке поставки для присоединения жилого дома Котельниковой А.А., расположенного по адресу: Ростовская область, Константиновский район, станица Николаевская, ул. Фридриха Энгельса, д.102, к.н.з.у.: 61:17:0050101:152</t>
  </si>
  <si>
    <t>Установка прибора коммерческого учета электрической энергии (мощности) в точке поставки для присоединения торгового павильона ИП Попова Н.Н., расположенного по адресу: Ростовская область, Константиновский район, г. Константиновск, на 80 км влево от автодороги «Шахты – Цимлянск», к.н.з.у.: 61:17:0600011:350</t>
  </si>
  <si>
    <t>Установка прибора коммерческого учета электрической энергии (мощности) в точке поставки по присоединению квартиры Аникашиной Н.В., расположенной по адресу: Ростовская область, Ремонтненский район, п. Привольный, пер. Молодежный, д.5, кв.3, кадастровый номер земельного участка 61:32:0100101:1817</t>
  </si>
  <si>
    <t>Установка прибора коммерческого учета электрической энергии (мощности) в точке поставки по присоединению жилого дома Стасенко А.Н., расположенного по адресу: Ростовская область, Ремонтненский район, с. Первомайское, ул. Садовая, д. 54, к.н. объекта 61:32:0080101:1318, кадастровый номер земельного участка 61:32:0080101:86</t>
  </si>
  <si>
    <t>Установка прибора коммерческого учета электрической энергии (мощности) в точке поставки для присоединения полевого стана ИП Магомедова М.К., расположенного по адресу: Ростовская область, Ремонтненский район, х. Раздольный, в 3 км на юго-восток от х. Раздольный, 2-я бригада, поле №1 первого полевого севооборота, к.н.з.у.: 61:32:0600003:1274</t>
  </si>
  <si>
    <t>Установка коммерческого учета электрической энергии (мощности) в точке поставки и установка шкафа 0,22 кВ по присоединению жилого дома Булатова М-Р.М., расположенного по адресу: Ростовская область, Ремонтненский район, Подгорненское сельское поселение примерно в 7 км по направлению на северо-восток от с. Подгорное от ориентира 41 отарный участок, расположенного в границах участка, ж/т 13, кадастровый номер земельного участка 61:32:0000000:2311 (1 шт)</t>
  </si>
  <si>
    <t>Установка прибора коммерческого учета электрической энергии (мощности) в точке поставки для присоединения квартиры в жилом доме Донец Н.В., расположенной по адресу: Ростовская область, Дубовский район, х. Семичный, ул. Центральная, д. 21, кв. 1, к.н.з.у.: 61:09:0020101:535</t>
  </si>
  <si>
    <t>Установка прибора коммерческого учета электрической энергии (мощности) в точке поставки для присоединения дачного дома Воиновой С.М., расположенного по адресу: Ростовская область, Волгодонской район, СДТ Юбилейное, к.н.з.у.: 61:08:0601901:1193</t>
  </si>
  <si>
    <t>Обеспечение коммерческим учетом электрической энергии (мощности) в точке поставки и установка шкафа 0,22 кВ по присоединению спального домика Лещенко Е.П., расположенной по адресу: Ростовская область, г. Волгодонск, ул. Отдыха, д.3,  к.н. 61:48:0020101:1407</t>
  </si>
  <si>
    <t>Установка  коммерческого учета электрической энергии (мощности) в точках поставки и установка шкафов 0,22 кВ по присоединению жилых домов ИП Кошаташяна А.А., расположенных по адресам: Ростовская область, Волгодонской район, х. Погожев, ул. Гладкова, д. 32а, кадастровый номер земельного участка 61:08:0600601:4950, д. 32б, кадастровый номер земельного участка 61:08:0600601:4951, д. 32в, кадастровый номер земельного участка 61:08:0600601:4952</t>
  </si>
  <si>
    <t>Установка коммерческого учета электрической энергии (мощности) в точках поставки и установка шкафов 0,22 кВ по присоединению жилых домов Кошаташяна А.А., расположенных по адресам: Ростовская область, Волгодонской район, х. Погожев, ул. Гладкова, д. 34а, д. 34б, д. 34в, в границах кадастрового квартала 61:08:0600601 (количество приборов учета – 3 шт.)</t>
  </si>
  <si>
    <t>Установка прибора коммерческого учета электрической энергии (мощности) в точке поставки для присоединения жилого дома Костенко В.П., расположенного по адресу: Ростовская область, Волгодонской район, х. Лагутники, ул. Ленина, д. 35а, к.н.з.у.: 61:08:0070205:472</t>
  </si>
  <si>
    <t>Установка прибора коммерческого учета электрической энергии (мощности) в точке поставки для присоединения жилого дома Музафарова Р.Т., расположенного по адресу: Ростовская область, Волгодонской район, станица Романовская, ул. 50 лет Победы, д. 95А, к.н.з.у.: 61:08:0070127:839</t>
  </si>
  <si>
    <t>Установка прибора коммерческого учета электрической энергии (мощности) в точке поставки для присоединения жилого дома Демьянец Н.А., расположенного по адресу: Ростовская область, Волгодонской район, станица Романовская, ул. Почтовая, д. 47а, к.н.о.: 61:08:070106:829</t>
  </si>
  <si>
    <t>Строительство участка ВЛИ-0,4 кВ от вновь установленной опоры вновь построенной ВЛИ-0,4 кВ (по договору ТП №61-1-20-00512889 от 27.05.2020г) от вновь установленной ТП-6/0,4 кВ по ВЛ-6 кВ №1 ПС 35/6 кВ Романовская (по договорам ТП №61-1-19-00441801 от 13.05.2019г и №61-1-19-00437609 от 15.05.2019г), с установкой шкафов 0,4 кВ, и обеспечение коммерческим учетом электрической энергии (мощности) в точках поставки по присоединению спальных домиков Васильева В.В., Кривохижы Ю.В. и Савина А.И., вагончика Большовой Г.В., расположенных по адресам: Ростовская обл., г. Волгодонск, ул. Отдыха, д. 3, кадастровыми номерами земельных участков. 61:48:0020101:1395, 61:48:0020101:1340, 61:48:0020101:1248 и 61:48:0020101:1272 (ориентировочная протяженность ЛЭП 0,17 км)</t>
  </si>
  <si>
    <t>Обеспечение коммерческим учетом электрической энергии (мощности) в точке поставки и установка шкафа 0,22 кВ по присоединению жилого дома Трояновой В.А., расположенного по адресу: Ростовская область, Цимлянский район, станица Красноярская, ул. Социалистическая, д.29А,  к.н. 61:41:0020118:474</t>
  </si>
  <si>
    <t>Обеспечение коммерческим учетом электрической энергии (мощности) в точке поставки и установка шкафа 0,22 кВ по присоединению жилого дома Реджебова Д.Т., расположенного по адресу: Ростовская область, Волгодонской район, х. Рябичев, ул. Восточная, д.69, к.н. 61:08:0030107:554</t>
  </si>
  <si>
    <t>Установка прибора коммерческого учета электрической энергии (мощности) в точке поставки для присоединения индивидуального жилого дома Попова И.В., расположенного по адресу: Ростовская область, Волгодонской район, станица Романовская, ул. Береговая, д. 2, к.н.з.у.: 61:08:0070104:726</t>
  </si>
  <si>
    <t>Установка прибора коммерческого учета электрической энергии (мощности) в точке поставки для присоединения жилого дома Ким В.К., расположенного по адресу: Ростовская область, Волгодонской район, станица Романовская, ул. Почтовая, д. 28, к.н.з.у.: 61:08:0070107:7</t>
  </si>
  <si>
    <t>Установка прибора коммерческого учета электрической энергии (мощности) в точке поставки для присоединения дачного дома Спатаря А.В., расположенного по адресу: Ростовская область, Константиновский район, х. Нижнежуравский, ул. Солнечная, д. 18, к.н.з.у.: 61:17:0020401:121</t>
  </si>
  <si>
    <t>Установка прибора коммерческого учета электрической энергии (мощности) в точке поставки для присоединения жилого дома Асельдеровой Х., расположенного по адресу: Ростовская область, Заветинский район, х. Золотое Руно, проезд Ковыльный, д. 13, кв. 1,2, к.н.о.: 61:11:0600012:579</t>
  </si>
  <si>
    <t>Установка прибора коммерческого учета электрической энергии (мощности) в точке поставки для присоединения квартиры в жилом доме Болдыревой О.А., расположенной по адресу: Ростовская область, Заветинский район, с. Кичкино, ул. Быковского, д. 11, кв. 1, к.н.о.: 61:11:0030101:1442</t>
  </si>
  <si>
    <t>Установка прибора коммерческого учета электрической энергии (мощности) в точке поставки для присоединения подсобного помещения для ведения личного подсобного хозяйства Саидова Х.Ш., расположенного по адресу: Ростовская область, Заветинский район, х. Савдя, ул. Советская, д. 33, к.н.з.у.: 61:11:0060101:614</t>
  </si>
  <si>
    <t>Установка прибора коммерческого учета электрической энергии (мощности) в точке поставки для присоединения жилого дома Мусаева М.М., расположенного по адресу: Ростовская область, Заветинский район, п. Высокий, проезд Луговой, д. 26, кв. 1,2, к.н.о.: 61:11:0600012:578</t>
  </si>
  <si>
    <t>Установка прибора коммерческого учета электрической энергии (мощности) в точке поставки для присоединения индивидуального жилого дома Подлесных Д.А., расположенного по адресу: Ростовская область, Волгодонской район, станица Романовская, ул. Береговая, д. 17, к.н.з.у.: 61:08:0070104:721</t>
  </si>
  <si>
    <t>Установка прибора коммерческого учета электрической энергии (мощности) в точке поставки для присоединения индивидуального жилого дома Косоножкина С.В., расположенного по адресу: Ростовская область, Волгодонской район, станица Романовская, ул. Береговая, д. 8, к.н.з.у.: 61:08:0070104:707</t>
  </si>
  <si>
    <t>Установка прибора коммерческого учета электрической энергии (мощности) в точке поставки для присоединения дачного дома Гущина Е.А., расположенного по адресу: Ростовская область, г. Волгодонск, ул. Отдыха, д. 3, к.н.з.у.: 61:48:0020101:1268</t>
  </si>
  <si>
    <t>Установка прибора коммерческого учета электрической энергии (мощности) в точке поставки для присоединения жилого дома Прасолова Ю.С., расположенного по адресу: Ростовская область, Волгодонской район, х. Морозов, пер. Почтовый, д. 14, к.н.з.у.: 61:08:0020203:54</t>
  </si>
  <si>
    <t>Установка прибора коммерческого учета электрической энергии (мощности) в точке поставки для присоединения жилого дома Ивановой О.Н., расположенного по адресу: Ростовская область, Константиновский район, х. Нижнежуравский, ул. Солнечная, д. 20, к.н.з.у.: 61:17:0020401:327</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</si>
  <si>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Черкасской В.Л., расположенной по адресу: Ростовская область, Мартыновский район, х. Карповка, ул. Карповская, д.22, к.н.з.у.: 61:20:0070201:138</t>
  </si>
  <si>
    <t>Установка прибора коммерческого учета электрической энергии (мощности) в точке поставки для присоединения жилого дома ООО «Новоселовское», расположенного по адресу: Ростовская область, Мартыновский район, х. Новоселовка, ул. Краснопартизанская, д. 28б, к.н.з.у.: 61:20:0070101:3419</t>
  </si>
  <si>
    <t>Установка прибора коммерческого учета электрической энергии (мощности) в точке поставки для присоединения жилого дома Мавлюдовой Х.К., расположенного по адресу: Ростовская область, Мартыновский район, х. Новониколаевский, ул. Центральная, д. 10-г, к.н.з.у.: 61:20:0080501:500</t>
  </si>
  <si>
    <t>Установка прибора коммерческого учета электрической энергии (мощности) в точке поставки для присоединения скважины для полива огорода Усмановой Н.Н., расположенной по адресу: Ростовская область, Мартыновский район, х. Сальский Кагальник, ул. Почтовая, д.21А, к.н.з.у.: 61:20:0060501:3807</t>
  </si>
  <si>
    <t>Установка прибора коммерческого учета электрической энергии (мощности) в точке поставки для присоединения уличного освещения Бюджетного учреждения Администрация Дубовского сельского поселения, расположенного по адресу: Ростовская область, Дубовский район, х. Ериковский, 1 км на запад от ул. Кирова, к.н.з.у.: 61:09:0600005:1258</t>
  </si>
  <si>
    <t>Установка прибора коммерческого учета электрической энергии (мощности) в точке поставки для присоединения квартиры Витаханова Р.Б., расположенной по адресу: Ростовская область, Ремонтненский район, п. Привольный, пер. Молодежный, д.7, кв. 1, к.н.о.: 61:32:0100101:1716, к.н.з.у.: 61:32:0100101:305</t>
  </si>
  <si>
    <t>Установка прибора коммерческого учета электрической энергии (мощности) в точке поставки для присоединения жилого дома Куватова М.М., расположенного по адресу: Ростовская область, Ремонтненский район, п. Новопривольный, ул. Задорная, д. 14, к.н.з.у.: 61:32:0100201:257</t>
  </si>
  <si>
    <t>Обеспечение коммерческим учетом электрической энергии (мощности) в точке поставки и установка шкафа 0,22 кВ по присоединению спального домика Оберемченко Д.Н., расположенного по адресу: Ростовская область, г. Волгодонск, ул. Отдыха, д. 3, к.н. 61:48:0020101:703</t>
  </si>
  <si>
    <t>Обеспечение коммерческим учетом электрической энергии (мощности) в точке поставки и установка шкафа 0,22 кВ по присоединению жилого дома Пилецкой Е.В., расположенного по адресу: Ростовская область, Волгодонской район, х. Рябичев, ул. Космонавтов, д. 12, кадастровый номер земельного участка 61:08:0030101:154</t>
  </si>
  <si>
    <t>Установка прибора коммерческого учета электрической энергии (мощности) в точке поставки для присоединения уличного освещения Администрации Гашунского сельского поселения, расположенного по адресу: Ростовская область, Зимовниковский район, п. Байков, ул. Зеленая, кадастровый квартал: 61:13:30114</t>
  </si>
  <si>
    <t>Установка прибора коммерческого учета электрической энергии (мощности) в точке поставки для присоединения квартиры Муртазалиева Ш.А., расположенной по адресу: Ростовская область, Зимовниковский район, х. Глубокий, ул. Центральная, д. 2, кв./оф.3, к.н.з.у.: 61:13:0040402:188</t>
  </si>
  <si>
    <t>Установка прибора коммерческого учета электрической энергии (мощности) в точке поставки для присоединения скважины для полива огорода Зуфаровой Э.Х., расположенной по адресу: Ростовская область, Мартыновский район, х. Долгий, ул. Клубная, д.31, к.н.з.у.: 61:20:0060301:2099</t>
  </si>
  <si>
    <t>Установка прибора коммерческого учета электрической энергии (мощности) в точке поставки для присоединения жилого дома Панчехиной В.А., расположенного по адресу: Ростовская область, Мартыновский район, п. Новоцелинный, ул. Парковая, д. 12, к.н.з.у.: 61:20:0050501:490</t>
  </si>
  <si>
    <t>Установка прибора коммерческого учета электрической энергии (мощности) в точке поставки для присоединения жилого дома Дурицкого А.П., расположенного по адресу: Ростовская область, Ремонтненский район, п. Привольный, ул. Строительная, д.34, к.н.о.: 61:32:00100101:888, к.н.з.у.: 61:32:00100101:38</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</si>
  <si>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Суслова А.С., расположенного по адресу: Ростовская область, Цимлянский район, станица Красноярская, ул, Заречная, д,49А, к.н.з.у.: 61:41:0020127;1157</t>
  </si>
  <si>
    <t>Установка прибора коммерческого учета электрической энергии (мощности) в точке поставки для присоединения объекта наружного освещения Администрации Потаповского сельского поселения, расположенного по адресу: Ростовская область, Волгодонской район, х. Калинин, ул. Школьная, к.н.з.у.: 61:08:0040402:00</t>
  </si>
  <si>
    <t>Установка прибора коммерческого учета электрической энергии (мощности) в точке поставки для присоединения уличного освещения Администрации Потаповского сельского поселения, расположенного по адресу: Ростовская область, Волгодонской район, х. Калинин, ул. Савельевская, к.н.з.у.: 61:08:0040404:00</t>
  </si>
  <si>
    <t xml:space="preserve">Установка  коммерческого учета электрической энергии (мощности) в точке поставки и установка коммутационного аппарата 0,22 кВ  в РУ-0,4 кВ КТП-8457/100 кВА ВЛ-6 кВ №14 ПС 35/6 кВ Романовская по присоединению сетей наружного освещения Администрации Романовского сельского поселения, расположенных по адресу: Ростовская область, Волгодонской район, станица Романовская, пер. Котова (от ул. Тюхова до ул. Ленина) </t>
  </si>
  <si>
    <t>Установка прибора коммерческого учета электрической энергии (мощности) в точке поставки для присоединения объектов наружного освещения Администрации Рябичевского сельского поселения, расположенных по адресу: Ростовская область, Волгодонской район, х. Холодный, ул. Набережная, к.н.з.у.: 61:08:0030302:2</t>
  </si>
  <si>
    <t>Установка прибора коммерческого учета электрической энергии (мощности) в точке поставки для присоединения жилого дома Белодедова В.П., расположенного по адресу: Ростовская область, Волгодонской район, станица Романовская, ул. Жемчужная, д. 27, к.н.з.у.: 61:08:0070114:170</t>
  </si>
  <si>
    <t>Установка прибора коммерческого учета электрической энергии (мощности) в точке поставки для присоединения садового дома Исаак А.И., расположенного по адресу: Ростовская область, г. Волгодонск, СНТ «Машиностроитель» №98ндр, к.н.з.у.: 61:48:0020703:466</t>
  </si>
  <si>
    <t>Установка прибора коммерческого учета электрической энергии (мощности) в точке поставки для присоединения индивидуального жилого дома Михеевой Е.А., расположенного по адресу: Ростовская область, Волгодонской район, станица Романовская, ул. Одесская, д. 42, к.н.з.у.: 61:08:0600601:3870</t>
  </si>
  <si>
    <t>Установка прибора коммерческого учета электрической энергии (мощности) в точке поставки для присоединения жилого дома Мышковец И.П., расположенного по адресу: Ростовская область, Волгодонской район, станица Романовская, пер. Алферовский, д. 99, к.н.з.у.: 61:08:0070125:218</t>
  </si>
  <si>
    <t>Установка прибора коммерческого учета электрической энергии (мощности) в точке поставки для присоединения дачного домика Панова А.А., расположенного по адресу: Ростовская область, Волгодонской район, станица Романовская, снт. Энергетик, к.н.з.у.: 61:08:0600601:1729</t>
  </si>
  <si>
    <t>Установка прибора коммерческого учета электрической энергии (мощности) в точке поставки для присоединения жилого дома Попова А.А., расположенного по адресу: Ростовская область, Волгодонской район, станица Романовская, ул. Садовая, д. 34а, к.н.з.у.: 61:08:0070117:581</t>
  </si>
  <si>
    <t>Установка прибора коммерческого учета электрической энергии (мощности) в точке поставки для присоединения квартиры Примерова М.И., расположенной по адресу: Ростовская область, Волгодонской район, п. Савельевский, ул. Дружбы, д. 3, кв. 2, кадастровый номер земельного участка: 61:08:0040601:103</t>
  </si>
  <si>
    <t xml:space="preserve">Установка  коммерческого учета электрической энергии (мощности) в точке поставки и установка шкафа 0,22 кВ по присоединению жилого дома Сергиенко М.А., расположенного по адресу: Ростовская область, Волгодонской район, станица Романовская, пер. Рубиновый, д. 15, кадастровый номер земельного участка: 61:08:0070114:559 </t>
  </si>
  <si>
    <t>Установка прибора коммерческого учета электрической энергии (мощности) в точке поставки для присоединения жилого дома Теньшовой Н.А., расположенного по адресу: Ростовская область, Волгодонской район, станица Романовская, пер. Советский, д. 115, к.н.з.у.: 61:08:0070107:286</t>
  </si>
  <si>
    <t>Установка прибора коммерческого учета электрической энергии (мощности) в точке поставки для присоединения садового домика Цыганкова С.В., расположенного по адресу: Ростовская область, г. Волгодонск, ул. Отдыха, д. 39в33, к.н.з.у.: 61:48:0020101:1888</t>
  </si>
  <si>
    <t>Установка прибора коммерческого учета электрической энергии (мощности) в точке поставки для присоединения жилого дома Шевченко С.Л., расположенного по адресу: Ростовская область, Волгодонской район, х. Рябичев, ул. Театральная, д. 26, к.н.з.у.: 61:08:0030104:74</t>
  </si>
  <si>
    <t>Установка прибора коммерческого учета электрической энергии (мощности) в точке поставки для присоединения жилого дома Иваненко С.И., расположенного по адресу: Ростовская область, Константиновский район, х. Костино-Горский, пер. Нижний, д. 1, к.н.з.у.: 61:17:0020201:74</t>
  </si>
  <si>
    <t>Установка прибора коммерческого учета электрической энергии (мощности) в точке поставки для присоединения квартиры ООО «Стычное», расположенной по адресу: Ростовская область, Константиновский район, п. Стычновский, ул. Лукаша, д. 18, кв. 2, к.н.з.у.: 61:17:0070101:213</t>
  </si>
  <si>
    <t>Установка прибора коммерческого учета электрической энергии (мощности) в точке поставки по присоединению жилого дома Шихамирова Р.Г., расположенного по адресу: Ростовская область, Зимовниковский район, п. Донцов, ул. Садовая, д.6А, кадастровый номер земельного участка 61:13:00600301:22</t>
  </si>
  <si>
    <t>Установка прибора коммерческого учета электрической энергии (мощности) в точке поставки для присоединения жилого дома Омаровой М.Ш., расположенного по адресу: Ростовская область, Зимовниковский район, х. Курячий, ул. Кирова, д. 7, к.н.з.у.: 61:13:0110301:2</t>
  </si>
  <si>
    <t>Установка прибора коммерческого учета электрической энергии (мощности) в точке поставки для присоединения нежилого здания Игришина А.В., расположенного по адресу: Ростовская область, Мартыновский район, слобода Большая Орловка, ул. Дорожная, д. 2-я, к.н.з.у.: 61:20:0020101:13124</t>
  </si>
  <si>
    <t>Установка прибора коммерческого учета электрической энергии (мощности) в точки поставки для присоединения здания Самылова А.М., расположенного по адресу: Ростовская обл. р-н  Мартыновский, п. Зеленолугский ул. Центральная д.6а к.н.з.у. 61:20:0020401:280</t>
  </si>
  <si>
    <t>Установка прибора коммерческого учета электрической энергии (мощности) в точке поставки для присоединения жилого дома Черненко В.Ф., расположенного по адресу: Ростовская область, Мартыновский район, слобода Большая Орловка, ул. Строительная, д. 1а, к.н.з.у.: 61:20:0020101:12216</t>
  </si>
  <si>
    <t>Установка прибора коммерческого учета электрической энергии (мощности) в точке поставки для присоединения квартиры Сосуркаева С.С-Х., расположенной по адресу: Ростовская область, Дубовский район, х. Присальский, ул. Строителей, д.17, кв. 1, к.н.з.у.: 61:09:0070101:1026</t>
  </si>
  <si>
    <t>Установка прибора коммерческого учета электрической энергии (мощности) в точке поставки для присоединения объектов наружного освещения Администрации Новоцимлянского сельского поселения, расположенных по адресу: Ростовская обл., р-н Цимлянский, х. Ремизов, ул. Детская, район дома №9, кадастровый номер сооружения: 61:41:0000000:19656</t>
  </si>
  <si>
    <t>Установка прибора коммерческого учета электрической энергии (мощности) в точке поставки для присоединения светильника уличного освещения Администрации Шебалинского сельского поселения, расположенного по адресу: Ростовская область, Заветинский район, х. Шебалин, ул. Новоселов, к.н.з.у.: 61:11:0090101:1</t>
  </si>
  <si>
    <t>Установка прибора коммерческого учета электрической энергии (мощности) в точке поставки для присоединения жилого дома ООО «Племзавод Федосеевский», расположенного по адресу: Ростовская область, Заветинский район, с. Свободное, ул. Совхозная, д. 8, кв. 1,2, к.н.з.у.: 61:11:0600013:432</t>
  </si>
  <si>
    <t>Установка прибора коммерческого учета электрической энергии (мощности) в точке поставки для присоединения жилого дома ООО «Племзавод Федосеевский», расположенного по адресу: Ростовская область, Заветинский район, с. Свободное, ул. Совхозная, д. 3, кв. 1,2, к.н.о.: 61:11:0600013:430</t>
  </si>
  <si>
    <t>Установка прибора коммерческого учета электрической энергии (мощности) в точке поставки для присоединения жилого дома ООО «Племзавод Федосеевский», расположенного по адресу: Ростовская область, Заветинский район, х. Воротилов, ул. Луговая, д. 7, кв. 1,2, к.н.о.: 61:11:0000000:508</t>
  </si>
  <si>
    <t>Установка прибора коммерческого учета электрической энергии (мощности) в точке поставки для присоединения жилого дома ООО «Племзавод Федосеевский», расположенного по адресу: Ростовская область, Заветинский район, х. Воротилов, ул. Луговая, д. 4, кв. 1,2, к.н.о.: 61:11:0000000:514</t>
  </si>
  <si>
    <t>Установка прибора коммерческого учета электрической энергии (мощности) в точке поставки для присоединения жилого дома ООО «Племзавод Федосеевский», расположенного по адресу: Ростовская область, Заветинский район, с. Свободное, ул. Совхозная, д. 7, к.н.з.у.: 61:11:0600013:428</t>
  </si>
  <si>
    <t>Установка прибора коммерческого учета электрической энергии (мощности) в точке поставки для присоединения нежилого помещения ИП Плющева А.А., расположенного по адресу: Ростовская область, Заветинский район, х. Никольский, ул. Школьная, д.11 б, к.н.з.у.: 61:11:0050101:1483</t>
  </si>
  <si>
    <t>Установка прибора коммерческого учета электрической энергии (мощности) в точке поставки для присоединения малоэтажной жилой застройки Тановицкого В.И., расположенной по адресу: Ростовская область, Волгодонской район, станица Романовская, снт. Энергетик, к.н.з.у.: 61:08:0600601:1675</t>
  </si>
  <si>
    <t>Установка прибора коммерческого учета электрической энергии (мощности) в точке поставки для присоединения торгового павильона Полякова А.А., расположенного по адресу: Константиновский район, х. Базки, ул. Пушкина, (районе дома № 20), к.н.з.у.: 61:17:0060201:146</t>
  </si>
  <si>
    <t>Установка прибора коммерческого учета электрической энергии (мощности) в точке поставки для присоединения магазина Лещенко Н.П., расположенного по адресу: Ростовская область, Мартыновский район, слобода Большая Орловка, ул. Дорожная, д. 2/1в, к.н.з.у.: 61:20:0020101:12947</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</si>
  <si>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Чупанова М.З., расположенного по адресу: Ростовская область, Ремонтненский район, с. Валуевская, ул. Заречная, д. б/н, к.н.з.у.: 61:32:0020101:1684</t>
  </si>
  <si>
    <t>Установка прибора коммерческого учета электрической энергии (мощности) в точке поставки для присоединения малоэтажной жилой застройки Мухина А.В., расположенной по адресу: Ростовская область, Волгодонской район, х. Потапов, пер. Пионерский, д. 5, к.н.з.у.: 61:08:0040107:1</t>
  </si>
  <si>
    <t>Установка прибора коммерческого учета электрической энергии (мощности) в точке поставки для присоединения жилого дома Клевцова А.С., расположенного по адресу: Ростовская область, Волгодонской район, х. Мокросоленый, ул. Березовая, д. 4, к.н.з.у.: 61:08:0010201:302</t>
  </si>
  <si>
    <t>Установка прибора коммерческого учета электрической энергии (мощности) в точке поставки для присоединения дачного участка Штанько В.Е., расположенного по адресу: Ростовская область, г. Волгодонск, св-во Машиностроитель, уч. 23 ДР, к.н.з.у.: 61:48:0020704:4</t>
  </si>
  <si>
    <t>Установка прибора коммерческого учета электрической энергии (мощности) в точке поставки для присоединения малоэтажной жилой застройки Крошнева А.А., расположенной по адресу: Ростовская область, станица Романовская, пер. Изумрудный, д. 4а, к.н.з.у.: 61:08:0070114:614</t>
  </si>
  <si>
    <t>Установка прибора коммерческого учета электрической энергии (мощности) в точке поставки для присоединения малоэтажной жилой застройки Цыганова С.А., расположенной по адресу: Ростовская область, г. Волгодонск, СНТ Машиностроитель, №206ндр, к.н.з.у.: 61:48:0020702:175</t>
  </si>
  <si>
    <t>Установка прибора коммерческого учета электрической энергии (мощности) в точке поставки для присоединения индивидуального жилого дома Бусыревой Л.Н., расположенного по адресу: Ростовская область, Волгодонской район, станица Романовская, ул. 75 лет Победы, д. 46, к.н.з.у. 61:08:0600601:4603</t>
  </si>
  <si>
    <t>Установка прибора коммерческого учета электрической энергии (мощности) в точке поставки для присоединения здания хоз.назначения ИП Махмудовой А.И., расположенного по адресу: Ростовская область, Волгодонской район, х. Рябичев, ул. Юбилейная, д. 52, к.н.з.у.: 61:08:0030107:582</t>
  </si>
  <si>
    <t>Установка прибора коммерческого учета электрической энергии (мощности) в точке поставки для присоединения дачного дома Кияна Д.В., расположенного по адресу: Ростовская область, г. Волгодонск, Садоводство «Машиностроитель» д. 32 ндр, к.н.з.у.: 61:48:0020703:2381</t>
  </si>
  <si>
    <t>Установка прибора коммерческого учета электрической энергии (мощности) в точке поставки для присоединения малоэтажной жилой застройки Лозюк Ю.С., расположенной по адресу: Ростовская область, г. Волгодонск, СНТ Машиностроитель, №416 др, к.н.з.у.: 61:48:0020704:468</t>
  </si>
  <si>
    <t>Установка прибора коммерческого учета электрической энергии (мощности) в точке поставки для присоединения квартиры Сайдаева М.Ш., расположенной по адресу: Ростовская область, Зимовниковский район, х. Пенчуков, ул. Майская, д.9, кв./оф. 1, к.н.з.у.: 61:13:0081001:8</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</si>
  <si>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Владыкиной Г.И., расположенной по адресу: Ростовская область, Мартыновский район, х. Новоселовка, ул. Кировская, д. 25, кв./оф. 3, к.н.з.у.: 61:20:0070101:1418</t>
  </si>
  <si>
    <t>Установка прибора коммерческого учета электрической энергии (мощности) в точке поставки для присоединения здания зерносклада КХ «Гайворонцево», расположенного по адресу: Ростовская область, Мартыновский район, п. Стрижи, в 100 м по направлению на юг от п. Стрижи, ул. Школьная, к.н.о.: 61:20:0600003:436</t>
  </si>
  <si>
    <t>Установка прибора коммерческого учета электрической энергии (мощности) в точке поставки для присоединения жилого дома Назаровой Н.В., расположенного по адресу: Ростовская область, Дубовский район, х. Овчинников, пер. Солнечный, д. 4, к.н.з.у.: 61:09:0030201:102</t>
  </si>
  <si>
    <t>Установка прибора коммерческого учета электрической энергии (мощности) в точке поставки для присоединения малоэтажной жилой застройки Славицкого С.В., расположенной по адресу: Ростовская область, Волгодонской район, станица Дубенцовская, ул. Пионерская, д. 22, кв. 2, к.н.з.у.: 61:08:0020106:528</t>
  </si>
  <si>
    <t>Установка прибора коммерческого учета электрической энергии (мощности) в точке поставки для присоединения малоэтажной жилой застройки Юсупова А.Т., расположенной по адресу: Ростовская область, г. Волгодонск, ул. Отдыха, д. 39в33 А, к.н.з.у.: 61:48:0020101:1887</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</si>
  <si>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Раюшкина Е.Ю., расположенного по адресу: Ростовская обл, г. Волгодонск, ул. Отдыха, д 39в30, к.н.61:48:0020101:1818 (1 шт)</t>
  </si>
  <si>
    <t xml:space="preserve">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Нездойминовой Е.А., расположенной по адресу: Ростовская область, Волгодонской район, станица Романовская, ул. 75 лет Победы, д. 36, к.н.з.у.: 61:08:0600601:4593 </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</si>
  <si>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Зиброва М.В., расположенного по адресу: Ростовская обл, Волгодонской р-н, ст. Романовская, ул. 75 лет Победы, д.56, 61:08:0600601:4613»</t>
  </si>
  <si>
    <t>Установка прибора коммерческого учета электрической энергии (мощности) в точке поставки для присоединения малоэтажной жилой застройки Беляева С.Л., расположенной по адресу: Ростовская область, Цимлянский район, п. Дубравный, ул. Весенняя, д. 6, к.н.з.у.: 61:41:0030401:196</t>
  </si>
  <si>
    <t>Установка прибора коммерческого учета электрической энергии(мощности)в точке поставки и монтаж ответвления от ВЛ  к  вводу  для  присоединения  малоэтажной  жилой  застройки(индивидуального жилого дома/садового/дачного дома) Следневой О.О., расположенной по адресу: Ростовская область, Цимлянский район, станица Красноярская, ул. Набережная, д.19а, к.н.з.у.: 61:41:0020113:836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</si>
  <si>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(индивидуального жилого дома/садового/дачного дома) Следневой О.О.,расположенной по адресу: Ростовская область, Цимлянский район, станица Красноярская, ул. Набережная, д.19б, к.н.з.у.: 61:41:0020113:835</t>
  </si>
  <si>
    <t>Установка прибора коммерческого учета электрической энергии (мощности) в точке поставки для присоединения малоэтажной жилой застройки Скрябина А.И., расположенного по адресу: Ростовская обл, Волгодонской р-он, ст. Романовская, ул. Шолохова, д. 3, к.н.61:08:0600601:5004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</si>
  <si>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Гурилкина Н.С., расположенного по адресу: Ростовская обл, Волгодонской р-н, ст. Романовская, ул. 75 лет Победы, д.74, к.н.з.у.:61:08:0600601:4630</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</si>
  <si>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Соловьева Н.А., расположенного по адресу: Ростовская обл, Волгодонской р-н, х. Мокросоленый, ул. Центральная, д. 10, к.н.61:08:0010201:1454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</si>
  <si>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Васильева М.А., расположенного по адресу: Ростовская обл, г. Волгодонск, ул. Отдыха, д 39в23, к.н.61:48:0020101:1938</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</si>
  <si>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Гиренко С.А., расположенного по адресу: Ростовская обл, г. Волгодонск, ул. Отдыха, д.15м, к.н.61:48:0020101:844</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</si>
  <si>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наружного освещения Министерства транспорта Ростовской области, расположенного по адресу: Ростовская область, Константиновский район, х. Гапкин, ул. Центральная. Начало – въезд со стороны х. Савельев в х. Гапкин, конец – въезд со стороны х. Ермилов в х. Гапкин )х. Гапкин), к.н.з.у.: 61:17:0040101:796</t>
  </si>
  <si>
    <t>Установка прибора коммерческого учета электрической энергии (мощности) в точке поставки для присоединения жилого дома Зайцевой О.В., расположенной по адресу: Ростовская область, Зимовниковский район, х. Плотников, ул. Дружбы 1, к.н.з.у.: 61:13:0040106:333</t>
  </si>
  <si>
    <t>Установка прибора коммерческого учета электрической энергии (мощности) в точке поставки для присоединения жилого дома Зайцевой О.В., расположенной по адресу: Ростовская область, Зимовниковский район, х. Плотников, ул. Дружбы 2, к.н.з.у.: 61:13:0040106:335</t>
  </si>
  <si>
    <t>Установка прибора коммерческого учета электрической энергии (мощности) в точке поставки для присоединения жилого дома Зайцевой О.В., расположенной по адресу: Ростовская область, Зимовниковский район, х. Плотников, ул. Дружбы 1А, к.н.з.у.: 61:13:0040106:334</t>
  </si>
  <si>
    <t>Установка прибора коммерческого учета электрической энергии (мощности) в точке поставки для присоединения нежилого помещения Тохтаровой Я.С.., расположенного по адресу: Ростовская область, Зимовниковский район, в близи х. Марченков, к.н.з.у.: 61:13:0000000:9158</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</si>
  <si>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Магдиевой П.Г., расположенной по адресу: Ростовская область, Ремонтненский район, п. Тихий Лиман, ул. Степная, д. 4, кв./оф. 2, к.н.о.: 61:32:0060301:686, к.н.з.у.: 61:32:0060301:91</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</si>
  <si>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Томинец  О.В., расположенного по адресу: Ростовская область, Цимлянский район, станица Красноярская, ул. Спортивная, д. 2Д, строение 1, к.н.з.у.:  61:41:0020128:258</t>
  </si>
  <si>
    <t>Строительство ВЛИ-0,4 кВ от конечной опоры ВЛИ-0,4 кВ, строящейся по договору ТП от 23.10.2020 №61-1-20-00540187 (Андреева И.В) от оп. №25 ВЛИ-0,4 кВ №2 МТП №802 ВЛ-10 кВ Красюковка ПС Ш-39 для электроснабжения двух садовых домов СТ «Электровозостроитель» (Кривцова Я.А., Московченко О.Л.) (ориентировочная протяженность ЛЭП – 0,05 км)</t>
  </si>
  <si>
    <t>Установка прибора учета для присоединения объекта «Малоэтажная жилая застройка (Индивидуальный жилой дом/Садовый/Дачный дом)» Беденко А.И., расположенного по адресу: Ростовская область, Родионово-Несветайский район, х. Волошино, ул. Советская, д. 11Б, КН ЗУ: 61:33:0070101:1501</t>
  </si>
  <si>
    <t>Установка прибора учета для присоединения объекта торговли (магазин, торговый центр, прочее) ИП Мамаевой Т.И. расположенного по адресу: Ростовская область, Родионово-Несветайский район, сл. Аграфеновка, ул. Кирова, д. 25А, КН ЗУ: 61:33:0010101:1497</t>
  </si>
  <si>
    <t>Установка прибора учета для присоединения объекта Малоэтажная жилая застройка (Индивидуальный жилой дом/Садовый/Дачный дом) Коваленко О.Б., расположенного по адресу: Ростовская область, Родионово-Несветайский район, сл. Родионово-Несветайская, ул. Абрикосовая, д. 5А, КН ЗУ: 61:33:0040123:421</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</si>
  <si>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Каменоломни, ул. Пролетарская д.51 (Чередниченко Е.В.) (1 шт.)</t>
  </si>
  <si>
    <t>Установка прибора учета для присоединения жилого дома Тагиева Рагима Рза-Оглы., расположенного по адресу: Ростовская область, Красносулинский район, Пролетарское сельское поселение, с. Прохоровка, в 5 м на север от участка №2 по ул.Школьная, к.н.з.у 61:18:0080402:418</t>
  </si>
  <si>
    <t xml:space="preserve"> Установка прибора учета для присоединения жилого дома Акатнова А.С., расположенного по адресу: Ростовская область, Красносулинский район, х. Лихой, ул. Садовая, д. 28, КН ЗУ: 61:18:0070104:420</t>
  </si>
  <si>
    <t>Установка прибора учета для присоединения индивидуального жилого дома Черновой Н.В., расположенного по адресу: Ростовская область, Октябрьский район, ст-ца Кривянская, ул. Матвеевка, д. 19, КН ЗУ: 61:28:0040129:170</t>
  </si>
  <si>
    <t>Установка прибора учета для присоединения малоэтажной жилой застройки Скрипиной О.Ю., расположенной по адресу: Ростовская область, Октябрьский район, п. Персиановский, ул. Университетская, д.2, КН ЗУ: 61:28:0110101:5893 (прибор учета - 1 шт.)</t>
  </si>
  <si>
    <t xml:space="preserve"> Установка прибора учета для присоединения малоэтажной жилой застройки Ревиной Л.Н., расположенной по адресу: Ростовская область, Октябрьский район, с/т «Электровозостроитель», уч. 8, КН ЗУ: 61:28:0502501:250</t>
  </si>
  <si>
    <t>Установка прибора учета для присоединения малоэтажной жилой застройки Пущенко Т.Н., расположенного по адресу: Ростовская область, Октябрьский район, садоводческое товарищество «Электровозостроитель», уч. 181, КН ЗУ: 61:28:0502501:491</t>
  </si>
  <si>
    <t>Установка прибора учета для присоединения малоэтажной жилой застройки Бородина А.В., расположенного по адресу: Ростовская область, Октябрьский район, х. Калинин, с/т «Дон», уч. 107-б, КН ЗУ: 61:28:0030201:3687</t>
  </si>
  <si>
    <t>Установка прибора учета для присоединения малоэтажной жилой застройки Шпинева С.В., расположенного по адресу: Ростовская область, Октябрьский район, х. Калинин, ул. Донская, д. 77Б, КН ЗУ: 61:28:0030201:3612</t>
  </si>
  <si>
    <t>Установка прибора учета для присоединения малоэтажной жилой застройки Матяшова В.А., расположенной по адресу: Ростовская область, Октябрьский район, х. Яново-Грушевский, пер. Короткий, д. 2, КН ЗУ: 61:28:070201:0065</t>
  </si>
  <si>
    <t>Установка прибора учета для присоединения жилого дома Вознякова Д.В., расположенного по адресу: Ростовская область, Усть-Донецкий район, х. Пухляковский, пер. Луговой, д. 6, КН ЗУ: 61:39:0090103:205</t>
  </si>
  <si>
    <t>Установка прибора учета для присоединения торгового ларька ИП Быкадоровой Т.В., расположенного по адресу: Ростовская область, Усть-Донецкий район, х. Коныгин, пер. Школьный, д. 20, КН ЗУ: 61:39:0030202:248</t>
  </si>
  <si>
    <t>Обеспечение коммерческим учетом электрической энергии (мощности) в точке поставки по присоединению объектов заявителей. Ростовская обл., р-н Усть-Донецкий, ст. Усть-Быстрянская, ул. Максима Горького, д. 30 а, ул. Гагарина, д. 15 (Егорова И.Ю., Иванченко Ю.И.) (2 шт.)</t>
  </si>
  <si>
    <t xml:space="preserve"> Установка прибора учета для присоединения  жилого дома Плехановой Н.А., расположенного по адресу: Ростовская область, Усть-Донецкий район, х. Пухляковский, ул. Центральная,  д. 124-а, КН ЗУ: 61:39:0090103:590</t>
  </si>
  <si>
    <t>Установка прибора учета для присоединения жилого дома Бабаян Б.Г., расположенного по адресу: Ростовская область, г. Шахты, ул. Крупская д. 74</t>
  </si>
  <si>
    <t>Установка прибора учета для присоединения жилого дома Анацкой З.И., расположенного по адресу: Ростовская область, г. Шахты, ул. Чапаева, д. 78</t>
  </si>
  <si>
    <t>Установка прибора учета для присоединения жилого дома Тищенко Н.М., расположенного по адресу: Ростовская область, Красносулинский район, х. Садки, ул. Степная, д. 8а, КН ЗУ: 61:18:0090104:395</t>
  </si>
  <si>
    <t>Установка прибора учета для присоединения шкафа с оборудованием видеонаблюдения ООО «ГК «Вега», расположенного по адресу: Ростовская область, Родионово-Несветайского район, сл. Родионово-Несветайская, пересечение ул. Ворошилова и ул. 30 лет Победы</t>
  </si>
  <si>
    <t xml:space="preserve"> Установка прибора учета для присоединения шкафа с оборудованием видеонаблюдения ООО «ГК «Вега», расположенного по адресу: Ростовская область, Родионово-Несветайского район, сл. Родионово-Несветайская, ул. Садовая, д. 1</t>
  </si>
  <si>
    <t xml:space="preserve"> Строительство ВЛИ-0,4 кВ от оп.5 ВЛ 0,4 кВ № 1 от ТП 10/0,4кВ № 91 по ВЛ-10кВ «Заря» ПС Н-9, для электроснабжения жилого дома Голубев В.Г. по адресу: Родионово-Несветайский р-н сл. Родионово-Несветайская, ул. Садовая, д. 81 (ориентировочная протяженность ЛЭП – 0,030 км)</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</si>
  <si>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Выдел, ул. Первомайская, д. 10 (АО «Почта России») (1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</si>
  <si>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с. Чистополье, ул. Октябрьская, д. 42 (Тызыхян В.Х.) (1 шт.)</t>
  </si>
  <si>
    <t xml:space="preserve"> Установка прибора учета для присоединения жилого дома Бирюкова Н.С., расположенного по адресу: Ростовская область, Красносулинский район, с. Павловка, ул. Московская, д. 22, КН ЗУ: 61:18:0050501:0050</t>
  </si>
  <si>
    <t>Установка прибора учета для присоединения жилого дома Караваевой И.Н., расположенного по адресу: 346393, Ростовская область, Красносулинский район, х. Платово, пер. Мирный, д. 4</t>
  </si>
  <si>
    <t>Установка прибора учета для присоединения жилого дома Перцева И.Н., расположенного по адресу: Ростовская область, Красносулинский район, х. Бобров, ул. Бургустинская, д. 13</t>
  </si>
  <si>
    <t>Установка прибора учета для присоединения шкафа с оборудованием видеонаблюдения ООО «ГК «Вега», расположенного по адресу: Ростовская область, Красносулинский район, х. Малая Гнилуша, ул. Солнечная</t>
  </si>
  <si>
    <t>Установка прибора учета для присоединения ГРПБ объекта «Межпоселковый газопровод от ГРС Садки к х. Садки, х. Дудкино Красносулинского района Ростовской области» ООО «Газпром межрегионгаз», расположенного по адресу: Ростовская область, Красносулинский район, х. Садки, КН ЗУ: 61:18:0600018:950</t>
  </si>
  <si>
    <t>Установка прибора учета для присоединения жилого дома Кучмасова П.В., расположенного по адресу: Ростовская область, Красносулинский район, х. Нижняя Ковалёвка, ул. Мичурина д. 1а</t>
  </si>
  <si>
    <t>Установка прибора учета для присоединения жилого дома Берденева В.Н., расположенного по адресу: Ростовская область, Красносулинский район, с. Киселево, ул.Пушкина, д. 10-а, к.н.з.у 61:18:0050104:138</t>
  </si>
  <si>
    <t>Установка прибора учета для присоединения жилого дома Гладченко Е.Ю., расположенного по адресу: Ростовская область, Родионово-Несветайский район, сл. Алексеево-Тузловка, ул. Школьная, д. 11, КН ЗУ: 61:33:0051001:239</t>
  </si>
  <si>
    <t>Установка прибора учета для присоединения 1/4 жилого дома Данильченко Т.Ю., расположенного по адресу: Родионово-Несветайский район, х. Веселый, ул. Центральная,  д. 5., КНЗУ: 61:33:0070401:45</t>
  </si>
  <si>
    <t>Установка прибора учета для присоединения объекта «Малоэтажная жилая застройка (Индивидуальный жилой дом/Садовый/Дачный дом)» Мадиевой Н.И., расположенного по адресу: Ростовская область, Родионово-Несветайский район, х. Болдыревка, ул. Советская,  д. 25, КН ЗУ: 61:33:020101:44</t>
  </si>
  <si>
    <t>Установка прибора учета для присоединения объекта «1/2 жилого дома» Романова С.И. расположенного по адресу: Ростовская обл., р-н. Родионово-Несветайский, х. Атамано-Власовка, ул. Чапаева, д. 8</t>
  </si>
  <si>
    <t>Установка прибора учета для присоединения жилого дома Савенкова Г.А., расположенного по адресу: Ростовская область, Родионово-Несветайский район, сл. Кутейниково, ул. Ульянова, д. 25а, КН ЗУ: 61:33:0030101:496</t>
  </si>
  <si>
    <t xml:space="preserve"> Установка прибора учета для присоединения объекта «Малоэтажная жилая застройка (Индивидуальный жилой дом/Садовый/Дачный дом)» Сантюровой Н.А., расположенного по адресу: Ростовская область,  Родионово-Несветайский район, с. Генеральское, ул. Набережная,  д. 12, КН ЗУ: 61:33:070601:118</t>
  </si>
  <si>
    <t>Установка прибора учета для присоединения объекта «Малоэтажная жилая застройка (Индивидуальный жилой дом/Садовый/Дачный дом)» Серковой М.Н., расположенного по адресу: Ростовская область, Родионово-Несветайский район, СНТ «Электромонтажник» уч. 367, КН ЗУ: 61:33:0500201:207</t>
  </si>
  <si>
    <t xml:space="preserve"> Установка прибора учета для присоединения объекта «Малоэтажная жилая застройка (Индивидуальный жилой дом/Садовый/Дачный дом)» Шапиро Н.Н., расположенного по адресу: Ростовская область, Родионово-Несветайский район, участок находится примерно в 800 м по направлению на юго-восток от ориентира х. Октябрьский СНТ "Электромонтажник", КН ЗУ: 61:33:0500201:0422</t>
  </si>
  <si>
    <t>Установка прибора учета для присоединения малоэтажной жилой застройки Вержиковского В.Н., расположенной по адресу: Ростовская область, Октябрьский район, садоводческое товарищество «Электровозостроитель», уч. №70а, КН ЗУ: 61:28:0502501:270</t>
  </si>
  <si>
    <t>Установка прибора учета для присоединения объекта медицинского учреждения МБУЗ ЦРБ Октябрьского района Ростовской области, расположенного по адресу: Ростовская область, Октябрьский район, х. Коммуна, ул. Клубная, д. 4, КН ЗУ: 61:28:0090905:217</t>
  </si>
  <si>
    <t>Установка прибора учета для присоединения жилого дома Глухова М.П., расположенного по адресу: Ростовская область, Усть-Донецкий район, ст. Мелиховская, ул. Мерзлякова, д. 43а, КН ЗУ: 61:39:0020105:176</t>
  </si>
  <si>
    <t>Установка прибора учета для присоединения жилого дома Коваленко И.П., расположенного по адресу: Ростовская область, Усть-Донецкий район, ст. Раздорская, ул. Донская, д. 75, КН ЗУ: 61:39:0030102:1118</t>
  </si>
  <si>
    <t>Установка прибора учета для присоединения жилого дома Медведева А.В., расположенного по адресу: Ростовская область, Усть-Донецкий район, ст. Мелиховская, ул. Набережная, д. 8а, кадастровый номер земельного участка: 61:39:0020104:580</t>
  </si>
  <si>
    <t>Установка прибора учета для присоединения жилого дома Гончаровой А.И., расположенного по адресу: Ростовская область, Усть-Донецкий район, ст. Усть-Быстрянская, ул. Советская, д. 21-а, КН ЗУ: 61:39:0080102:1308</t>
  </si>
  <si>
    <t>Установка прибора учета для присоединения объекта ВРУ-0.23кВ жилого дома Рахманов Н.В., расположенного по адресу: Ростовская область, Усть-Донецкий район, х. Евсеевский, ул. Разина, д. 25, кв. 1, кадастровый номер земельного участка: 61:39:0070402:128</t>
  </si>
  <si>
    <t>Установка прибора учета для присоединения жилого дома Козарева Д.А., расположенного по адресу: Ростовская область, Усть-Донецкий район, ст. Усть-Быстрянская, ул. Советская, д. 14, КН ЗУ: 61:39:0080102:133</t>
  </si>
  <si>
    <t>Установка прибора учета для присоединения жилого дома Яковлевой Е.В., расположенного по адресу: Ростовская область, Усть-Донецкий район, ст. Верхнекундрюченская, ул. Береговая, КН ЗУ: 61:39:0070103:105</t>
  </si>
  <si>
    <t>Установка прибора учета для присоединения 1/3 жилого дома Кривоносова А.В., расположенного по адресу: Ростовская область, Родионово-Несветайский район, х. Большой Должик, ул. Новая, д. 11, КН ЗУ: 61:3360040501:442</t>
  </si>
  <si>
    <t>Установка прибора учета для присоединения объекта «Малоэтажная жилая застройка (Индивидуальный жилой дом/Садовый/Дачный дом)» Привалова И.С. расположенного по адресу: Ростовская обл., р-н. Родионово-Несветайский, х сл. Большекрепинская, ул. Ленина, д. 24 к.н.: 61:33:060101:517 (1 шт.)</t>
  </si>
  <si>
    <t xml:space="preserve"> Установка прибора учета для присоединения жилого дома Погребновой В.Л., расположенного по адресу: Ростовская область, Усть-Донецкий район, р.п. Усть-Донецкий, ул. Виноградная, д. 55, кадастровый номер земельного участка: 61:39:0010104:206</t>
  </si>
  <si>
    <t>Установка прибора учета для присоединения хозпостройки Шкодина Г.И., расположенной по адресу: Ростовская область, Усть-Донецкий район, ст. Верхнекундрюченская, ул. А.Кудрявцева, д. 13а, КН ЗУ: 61:39:0070102:21</t>
  </si>
  <si>
    <t>Установка прибора учета для присоединения хозпостройки Пасхаловой В.П., расположенной по адресу: Ростовская область, Усть-Донецкий район, х. Апаринский, ул. Виноградная, д. 71, КН ЗУ: 61:39:0050101:434</t>
  </si>
  <si>
    <t xml:space="preserve"> Установка прибора учета для присоединения объекта ВРУ-0.23кВ жилого дома Матрипула Н.Б., расположенного по адресу: Ростовская область, Усть-Донецкий район, ст. Раздорская, ул. Набережная, д. 8в</t>
  </si>
  <si>
    <t>Установка прибора учета для присоединения жилого дома Ажогина А.И., расположенного по адресу: Ростовская область, Усть-Донецкий район, р.п. Усть-Донецкий, ул. Виноградная, д. 31, кадастровый номер земельного участка: 61:39:0010104:224</t>
  </si>
  <si>
    <t>Установка прибора учета для присоединения жилого дома Житникова Д.М., расположенного по адресу:, Ростовская область, Усть-Донецкий район, х. Апаринский, ул. Заводская, д. 14, КН ЗУ: 61:39:0050101:563</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</si>
  <si>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ст. Мелиховская, ул. Ленина, д. 137 (Селиванова А.Ю.)</t>
  </si>
  <si>
    <t>Установка прибора учета для присоединения жилого дома Полтаракина С.И., расположенного по адресу: Ростовская область, Усть-Донецкий район, ст. Мелиховская, ул. Советская, д. 167а, КН ЗУ: 61:39:0020101:852</t>
  </si>
  <si>
    <t>Установка прибора учета для дачного домика Бугрим Н.В., расположенного по адресу: Ростовская область, Красносулинский район, х.Платово, ул. Колодезная, д. 34, к.н.з.у.: 61:18:0060102:40</t>
  </si>
  <si>
    <t>Установка прибора учета для присоединения Малоэтажной жилой застройки Соболева М.А., расположенной по адресу: Ростовская область, Октябрьский район, х. Маркин, ул. Новоселов, д. 13А, КН ЗУ: 61:28:0100701:1999</t>
  </si>
  <si>
    <t>Установка прибора учета для присоединения малоэтажной жилой застройки Стольной А.С., расположенной по адресу: Ростовская область, Октябрьский район, сл. Красюковская, ул. Революции, д.112-а, КН ЗУ: 61:28:0070201:8250</t>
  </si>
  <si>
    <t>Установка прибора учета для присоединения малоэтажной жилой застройки Белоусовой Е.А., расположенной по адресу: Ростовская область, Октябрьский район, п. Новоперсиановка, ул. Гвардейская, д. 10, КН ЗУ: 61:28:0070701:42</t>
  </si>
  <si>
    <t xml:space="preserve"> Установка прибора учета для присоединения малоэтажной жилой застройки Бойко В.Д., расположенной по адресу: Ростовская область, Октябрьский район, ст-ца Бессергеневская, ул. Шоссейная, д.13, КН ЗУ: 61:28:0030301:103</t>
  </si>
  <si>
    <t>Установка прибора учета для присоединения малоэтажной жилой застройки Геращенко П.Ю., расположенной по адресу: Ростовская область, Октябрьский район, сл. Красюковская, ул. Советская, д.79, КН ЗУ: 61:28:0070101:1657</t>
  </si>
  <si>
    <t>Установка прибора учета для присоединения жилого дома Грибельникова Г.В., расположенного по адресу: Ростовская область, Октябрьский район, х. Яново-Грушевский, ул. Восточная, д. 60-а, КН ЗУ: 61:28:0070201:2317</t>
  </si>
  <si>
    <t>Установка прибора учета для присоединения жилого дома Бутарева Р.Д. расположенного по адресу: Ростовская область, Красносулинский район, х. Лихой, пер. Школьный, д. 32. (1 шт.)</t>
  </si>
  <si>
    <t>Установка прибора учета для присоединения шкафа телекоммуникационного ПАО «Ростелеком»-Ростовский филиал, расположенного по адресу: Ростовская область, Красносулинский район, х. Лихой, ул. Ленина, д. 65</t>
  </si>
  <si>
    <t>Установка прибора учета для присоединения объекта медицинского учреждения Муниципального бюджетного учреждения здравоохранения Центральная районная больница Октябрьского района Ростовской области, расположенного по адресу: Ростовская область, Октябрьский район, х. Озерки, ул. Школьная, д. 8а</t>
  </si>
  <si>
    <t>Установка прибора учета для присоединения объектов наружного освещения Администрации Раздорского с/п., расположенной по адресу: Ростовская область, Усть-Донецкий район, х. Коныгин, пер. Соборный, КН ЗУ: 61:39:0030202:277</t>
  </si>
  <si>
    <t>Установка прибора учета для присоединения жилого дома Колпаковой Н.А., расположенного по адресу: Ростовская область, Усть-Донецкий район, р.п. Усть-Донецкий, ул. Дачная, д. 65, КН ЗУ: 61:39:0010104:169</t>
  </si>
  <si>
    <t xml:space="preserve"> Установка прибора учета для присоединения объекта ВРУ-0.23кВ жилого дома Кузьмина А.А., расположенного по адресу: Ростовская область, Усть-Донецкий район, р.п. Усть-Донецкий, ул. Шолохова, д. 43</t>
  </si>
  <si>
    <t>Установка прибора учета для присоединения объекта «объект торговли (магазин, торговый центр, прочее)» ИП Перепелица А.И. расположенного по адресу: р-н. Родионово-Несветайский, сл. Родионово-Несветайская, ул. Гвардейцев-Танкистов, д. 24(прилегает к земельному участку по адресу: сл. Родионово-Несветайская, ул.Гвардейцев-Танкистов,24А) (1 шт.)</t>
  </si>
  <si>
    <t>Установка прибора учета для присоединения гаража Пониделко И.Ю., расположенного по адресу: Ростовская область, Родионово-Несветайский район, х. Веселый, ул. Калинина,  д. 3/5, КН ЗУ: 61:33:0040701:1008</t>
  </si>
  <si>
    <t>Установка прибора учета для присоединения объекта «гараж» Пониделко Ю.А. расположенного по адресу: р-н. Родионово-Несветайский, х. Веселый, ул. Калинина, д. 3/6, к.н.з.у. 61:33:0040701:1007</t>
  </si>
  <si>
    <t>Установка прибора учета для присоединения объекта «Малоэтажная жилая застройка (Индивидуальный жилой дом/Садовый/Дачный дом)» Скоробогатова П.А. расположенного по адресу: р-н. Родионово-Несветайский, сл. Аграфеновка, ул. Просвещения, д. 154 (1 шт.)</t>
  </si>
  <si>
    <t>Установка прибора учета для присоединения объекта торговли (магазин, торговый центр, прочее) ИП Цирковой Т.В., расположенного по адресу: Ростовская область, Родионово-Несветайский район, сл. Родионово-Несветайская, ул. Гвардейцев-Танкистов,  д. 24 (в 35 м на юго-запад от земельного участка, расположенного по адресу: сл. Родионово-Несветайская, ул. Гвардейцев-Танкистов, 24А)</t>
  </si>
  <si>
    <t>Установка прибора учета для присоединения Малоэтажной жилой застройки (Индивидуальный жилой дом/Садовый/Дачный дом) Бердникова В.А., расположенного по адресу: Ростовская область, Родионово-Несветайский район, "Электромонтажник" трест "Кавэлетромонтаж", КН ЗУ: 61:33:0500201:410</t>
  </si>
  <si>
    <t>Установка прибора учета для присоединения Малоэтажной жилой застройки (Индивидуальный жилой дом/Садовый/Дачный дом) Мирзоназарова Ш.Э., расположенного по адресу: Ростовская область, Родионово-Несветайский район, х. Атамано-Власовка, ул. Новая, д.6, КН ЗУ: 61:33:0050701:131</t>
  </si>
  <si>
    <t>Установка прибора учета для присоединения Малоэтажной жилой застройки (Индивидуальный жилой дом/Садовый/Дачный дом) Ширинского А.В., расположенного по адресу: Ростовская область, Родионово-Несветайский район, х. Октябрьский, пер. Мирный, д.1, КН ЗУ: 61:33:0030401:14</t>
  </si>
  <si>
    <t>Установка прибора учета для присоединения объекта "Малоэтажная жилая застройка (Индивидуальный жилой дом/Садовый/Дачный дом)" Гуртового А.И. расположенного по адресу: Ростовская обл., р-н Родионово-Несветайский, с. Генеральское, ул. Ворошилова, д.14А КН ЗУ: 61:33:0070601:2457</t>
  </si>
  <si>
    <t>Установка прибора учета для присоединения объекта "Индивидуальный жилой дом/Садовый/Дачный дом)" Кислицкой И.А. расположенного по адресу: Ростовская область, Родионово-Несветайский район, х. Октябрьский, ул. Подгорная, д.6 КН ЗУ: 61:33:0030401:211</t>
  </si>
  <si>
    <t>Установка прибора учета для присоединения жилого дома Горбаченко Николая Николаевича расположенного по адресу: Ростовская область, Красносулинский район, х.Лихой, ул. Советская, д.93, кадастровый номер земельного участка: 61:18:0070101:9. (1шт.)</t>
  </si>
  <si>
    <t xml:space="preserve"> Установка прибора учета для присоединения жилого дома Мартиросян Размик Занаворович расположенного по адресу: Ростовская область, Красносулинский район, х. Володарский, ул. Энгельса, д.12, кадастровый номер земельного участка: (1шт.)</t>
  </si>
  <si>
    <t>Установка прибора учета для присоединения квартиры Утробиной Л.Г., расположенной по адресу: Ростовская область, Октябрьский район, п. Интернациональный, ул. Железнодорожная, д.57, КН ЗУ: 61:28:0080701:839</t>
  </si>
  <si>
    <t>Установка прибора учета для присоединения малоэтажной жилой застройки Лигостаева Д.Н., расположенной по адресу: Ростовская область, Октябрьский район, х. Калинин, ул. Центральная, д.219, КН ЗУ: 61:28:0030201:3937 (1 шт.)</t>
  </si>
  <si>
    <t>Установка прибора учета для присоединения садового дома Серикова Ю.В., расположенного по адресу: Ростовская область, Октябрьский район, х.Яново-Грушевский, сад. Электровозостроитель, д. 85, КН ЗУ: 61:28:0502501:238</t>
  </si>
  <si>
    <t>Установка прибора учета для присоединения малоэтажной жилой застройки Федина П.М., расположенной по адресу: Ростовская область, Октябрьский район, х. Яново-Грушевский, сад. Электровозостроитель, д. 84, КН ЗУ: 61:28:0502501:240</t>
  </si>
  <si>
    <t xml:space="preserve"> Установка прибора учета для присоединения объекта  малоэтажной жилой застройки Горшинева А.Е., расположенного по адресу: Ростовская область, р-н. Усть-Донецкий, ст-ца. Мелиховская, снт. Горняк № 326</t>
  </si>
  <si>
    <t>Установка прибора учета для присоединения объекта малоэтажной жилой застройки Донцова О.В., расположенного по адресу: Ростовская область, р-н. Усть-Донецкий, ст-ца. Раздорская, пер. Колхозный, д. 6</t>
  </si>
  <si>
    <t>Установка прибора учета для присоединения объекта малоэтажной жилой застройки Каменской Н.А., расположенного по адресу: Ростовская область, р-н. Усть-Донецкий, х. Кривая Лука, ул. Первомайская, д. 31</t>
  </si>
  <si>
    <t>Установка прибора учета для присоединения объекта малоэтажной жилой застройки Костина В.Н., расположенного по адресу: Ростовская область, р-н. Усть-Донецкий, ст-ца. Раздорская, ул. Донская, д. 76</t>
  </si>
  <si>
    <t>Установка прибора учета для присоединения малоэтажной жилой застройки Ливинцова В.В., расположенного по адресу: Ростовская область, Октябрьский район, п. Персиановский, ул. Университетская, д.2-в, КН ЗУ: 61:28:0110101:5892</t>
  </si>
  <si>
    <t>Установка прибора учета для присоединения малоэтажной жилой застройки Петренко Г.Ю., расположенной по адресу: Ростовская область, Октябрьский район, х. Новая Бахмутовка, ул. Возрождение, д.20, КН ЗУ: 61:28:0020801:12</t>
  </si>
  <si>
    <t>Установка прибора учета для присоединения жилого дома., Федоренко А.И., расположенного по адресу: Ростовская область, Родионово-Несветайский район, сл. Родионово-Несветайская, ул. Гагарина, д. 20Б, КН ЗУ: 61:33:0040128:657</t>
  </si>
  <si>
    <t>Установка прибора учета для присоединения жилого дома Ивачевой Н.В., расположенного по адресу: Ростовская обл., Родионово-Несветайский, х. Октябрьский, СНТ "Электромонтажник" участок № 310, КН ЗУ: 61:33:0500201:592.</t>
  </si>
  <si>
    <t>Установка прибора учета для присоединения жилого дома Борисенко Л.Н., расположенного по адресу: Ростовская область, Родионово-Несветайский район , сл. Родионово-Несветайская, ул. Комарова, д. 33Б, КН ЗУ: 61:33:0040112:71</t>
  </si>
  <si>
    <t>Установка прибора учета для присоединения Малоэтажной жилой застройки (Индивидуальный жилой дом/Садовый/Дачный дом) Идрисова М.М.., расположенного по адресу: Ростовская область, Родионово-Несветайский район , х. Павленков, ул. Центральная, д. 9В, КН ЗУ: 61:33:0040201:151</t>
  </si>
  <si>
    <t>Установка прибора учета для присоединения Малоэтажной жилой застройки (Индивидуальный жилой дом/Садовый/Дачный дом) Рогозиной Т.В., расположенного по адресу: Ростовская область, Родионово-Несветайский район х. Октябрьский, ул. Заречная, д.19, КН ЗУ: 61:33:0030401:1019</t>
  </si>
  <si>
    <t>Установка прибора учета для присоединения жилого дома., Явруян Е. Х., расположенного по адресу: Ростовская область, Родионово-Несветайский район, с.Чистополье, ул. Октябрьская, д. 48А, КН ЗУ: 61:33:0060201:598</t>
  </si>
  <si>
    <t>Установка прибора учета для присоединения объекта малоэтажной жилой застройки Королёвой Е.В., расположенного по адресу: Ростовская область, р-н. Усть-Донецкий, х. Пухляковский, ул. Школьная, д. 7</t>
  </si>
  <si>
    <t>Установка прибора учета для присоединения объекта  малоэтажной жилой застройки Маргарян А.Л., расположенного по адресу: Ростовская область, р-н. Усть-Донецкий, ст-ца. Верхнекундрюченская, ул. Центральная д. 36, кв. 4, КН ЗУ: 61:39:0070101:599</t>
  </si>
  <si>
    <t>Установка прибора учета для присоединения объекта малоэтажной жилой застройки Ростовской Л.П.., расположенного по адресу: Ростовская область, р-н. Усть-Донецкий, ст-ца. Мелиховская, ул. Розы Люксембург, д. 29Б, КН ЗУ: 61:39:0020104:1562</t>
  </si>
  <si>
    <t>Установка прибора учета для присоединения Малоэтажной жилой застройки (Индивидуальный жилой дом/Садовый/Дачный дом) Балашенко А.В., расположенного по адресу: Ростовская область, Родионово-Несветайский район х. Октябрьский, СНТ "Комбайностроитель" участок №5 сад 6, КН ЗУ: 61:33:0500103:213</t>
  </si>
  <si>
    <t>Установка прибора учета для присоединения Малоэтажной жилой застройки (Индивидуальный жилой дом/Садовый/Дачный дом) Струкина С.В., расположенного по адресу: Ростовская область, Родионово-Несветайский район, ориентир х. Октябрьский. Участок находится примерно в 24,10 по направлению на северо-восток от ориентира, КН ЗУ: 61:33:0500201:21</t>
  </si>
  <si>
    <t>Установка прибора учета для присоединения гаража Щегольковой О.А. расположенного по адресу: Ростовская обл., Родионово-Несветайский район, х. Веселый, ул. Калинина, д. 4/1,КН ЗУ : 61:33:0040701:999</t>
  </si>
  <si>
    <t>Установка прибора учета для присоединения гаража, Шаповаловой Т.В., расположенного по адресу: Ростовская область, Родионово-Несветайский район, х. Веселый, ул. Калинина, д. 4/2, КН ЗУ 61:33:0040701:1011</t>
  </si>
  <si>
    <t>Установка прибора учета для присоединения жилого дома., Цыбенко О.Н., расположенного по адресу: Ростовская область, Родионово-Несветайский район х. Каменный Брод, ул. Курсантов РАУ, д. 1в, КН ЗУ: 61:33:0030501:1761</t>
  </si>
  <si>
    <t>Установка прибора учета для присоединения объекта торговли (магазин, торговый центр, прочее) Безусова А.М.., расположенного по адресу: Ростовская область, Родионово-Несветайский район, сл. Большекрепинская, ул. Ленина, д. 18А, КН ЗУ: 61:33:0060101</t>
  </si>
  <si>
    <t>Установка прибора учета для присоединения Малоэтажной жилой застройки (Индивидуальный жилой дом/Садовый/Дачный дом) Степанова А.А., расположенного по адресу: Ростовская область, Родионово-Несветайский район, сл. Алексеево-Тузловка, ул. Садовая, д.18, КН ЗУ: 61:33:0051001:17</t>
  </si>
  <si>
    <t>Установка прибора учета для присоединения жилого дома, Кацупеева М.В., расположенной по адресу: Ростовская область, Родионово-Несветайский район, сл. Кутейниково,СНТ "Комбайностроитель", участок 4-490, КН ЗУ: 61:33:0500101:2729</t>
  </si>
  <si>
    <t>Установка прибора учета для присоединения жилого дома, расположенного по адресу: Ростовская обл., Родионово-Несветайский р-он, х. Красильников, ул. Первомайская,10 кадастровый номер 61:33:0020901:342</t>
  </si>
  <si>
    <t>Установка прибора учета для присоединения квартиры Алхименко Татьяны Александровны, расположенного по адресу: Ростовская область, Красносулинский район, п. Первомайский, ул. Почтовая, д.7а, кв./оф. 2, кадастровый номер земельного участка: (1шт.)</t>
  </si>
  <si>
    <t>Установка прибора учета для присоединения жилого дома Молодчая Светлана Александровна расположенного по адресу: Ростовская область, Красносулинский район,  х. Петровский, ул. Центральная, д.3, кадастровый номер земельного участка: 61:18:0130401:440 (1 шт.)</t>
  </si>
  <si>
    <t>Установка прибора учета для присоединения объекта малоэтажной жилой застройки Смирновой В.Д., расположенного по адресу: Ростовская область, р-н. Октябрьский, х. Яново-Грушевский, ул. Красноармейская, д. 4</t>
  </si>
  <si>
    <t>Установка прибора учета для присоединения ВРУ 0,22 кВ жилого дома, расположенного по адресу: РО, Октябрьский р-н, с/т "Дон", уч. 71, КН ЗУ:61:28:05004201:28, (1 шт.)</t>
  </si>
  <si>
    <t>Установка прибора учета для присоединения объекта малоэтажной жилой застройки Бученко В.М., расположенного по адресу: Ростовская область, р-н. Октябрьский, с/т "Электровозостроитель", уч. №80</t>
  </si>
  <si>
    <t>Установка прибора учета для присоединения объекта малоэтажной жилой застройки Авдеевой Л.В., расположенного по адресу: Ростовская область, Октябрьский район, с/т "Электровозостроитель", уч. №69</t>
  </si>
  <si>
    <t>Установка прибора учета для присоединения объекта  садовый дом Бульба Г.В., расположенного по адресу: Ростовская область, р-н. Октябрьский, с/т «Электровозостроитель», уч. №86/1</t>
  </si>
  <si>
    <t>Установка прибора учета для присоединения объекта малоэтажной жилой застройки Бургеловой О.И., расположенного по адресу: Ростовская область, р-н. Октябрьский, с/т "Электровозостроитель", уч. №31</t>
  </si>
  <si>
    <t>Установка прибора учета для присоединения объекта  малоэтажной жилой застройки Мирущенко Н.А., расположенного по адресу: Ростовская область, р-н. Октябрьский, сл. Красюковская, ул. Красюкова, д.28а</t>
  </si>
  <si>
    <t>Установка прибора учета для присоединения объекта  малоэтажной жилой застройки Соловьянова Д.Г., расположенного по адресу: Ростовская область, р-н. Октябрьский, п. Каменоломни, ул. Гвардейская, д. 3</t>
  </si>
  <si>
    <t>Установка прибора учета для присоединения объекта  малоэтажной жилой застройки Шпакова Ю.Н., расположенного по адресу: Ростовская область, р-н. Октябрьский, ст. Заплавская, ул. Почтовая, д.47а</t>
  </si>
  <si>
    <t>Установка прибора учета для присоединения объекта  малоэтажной жилой застройки Щербаковой Л.М., расположенного по адресу: Ростовская область, р-н. Октябрьский, с/т «Электровозостроитель», уч. №206</t>
  </si>
  <si>
    <t>Установка прибора учета для присоединения объекта  малоэтажной жилой застройки Быкадоровой А.А., расположенного по адресу: Ростовская область, р-н. Усть-Донецкий, ст-ца. Раздорская, ул. Мичурина, д. 5, КН ЗУ 61:39:0030103:80</t>
  </si>
  <si>
    <t>Установка прибора учета для присоединения объекта малоэтажной жилой застройки Уланова И.В., расположенного по адресу: Ростовская область, р-н. Усть-Донецкий, ст-ца. Нижнекундрюченская, ул. Интернациональная, д. 18, КН ЗУ: 61:39:0060105:168</t>
  </si>
  <si>
    <t>Установка прибора учета для присоединения объекта малоэтажной жилой застройки Проскуриной А.П., расположенного по адресу: Ростовская область, р-н. Усть-Донецкий, ст-ца. Раздорская, ул. Суворова, д. 13, КН ЗУ: 61:39:0030102:131</t>
  </si>
  <si>
    <t>Установка прибора учета для присоединения объекта малоэтажной жилой застройки Абрамовой Е.С.., расположенного по адресу: Ростовская область, р-н. Семикаракорский, ст-ца. Кочетовская, пер. 12-й, д. 38-А, КН ЗУ: 61:35:0080101:4012</t>
  </si>
  <si>
    <t>Установка прибора учета для присоединения объекта малоэтажной жилой застройки Лазарева Р.В., расположенного по адресу: Ростовская область, р-н. Усть-Донецкий, х. Исаевский, ул. Речная, д. 3-А, КН ЗУ: 61:39:0020201:929</t>
  </si>
  <si>
    <t>Установка прибора учета для присоединения объекта малоэтажной жилой застройки Финкельсон А.Ю., расположенного по адресу: Ростовская область, Усть-Донецкий район, ст-ца. Мелиховская, ул. Северная, д. 22а, КН ЗУ: 61:39:0020103:91</t>
  </si>
  <si>
    <t>Установка прибора учета для присоединения жилого дома Клочкова Валерия Александровича расположенного по адресу: Ростовская область, Красносулинский район, х. Пролетарка, ул. Набережная, д.3, кадастровый номер земельного участка: (1шт.)</t>
  </si>
  <si>
    <t>Установка прибора учета для присоединения жилого дома Королевой Натальи Александровна расположенного по адресу: Ростовская область, Красносулинский район, х. Коминтер, ул. Дачная, д.15., кадастровый номер земельного участка: (1шт.)</t>
  </si>
  <si>
    <t>Установка прибора учета для присоединения объекта  садового дома Коломийцевой Т.Н., расположенного по адресу: Ростовская область, р-н. Октябрьский, с/т «Электровозостроитель», уч. № 228</t>
  </si>
  <si>
    <t>Установка прибора учета для присоединения объекта  малоэтажная жилая застройка Титирко А.В., расположенного по адресу: Ростовская область, р-н. Октябрьский, с/т «Электровозостроитель</t>
  </si>
  <si>
    <t>Установка прибора учета для присоединения объекта  садовый дом Хандусенко В.И., расположенного по адресу: Ростовская область, р-н. Октябрьский, с/т «Электровозостроитель», уч. №83-А</t>
  </si>
  <si>
    <t>Установка прибора учета для присоединения объекта  жилой дом Лысенко Н.П., расположенного по адресу: Ростовская область, р-н. Октябрьский, с/т «Электровозостроитель», уч. №92</t>
  </si>
  <si>
    <t>Установка прибора учета для присоединения объекта  малоэтажная жилая застройка Ивановой М.В., расположенного по адресу: Ростовская область, р-н. Октябрьский, с/т «Электровозостроитель», уч. №21</t>
  </si>
  <si>
    <t>Установка прибора учета для присоединения объекта  садовый дом Королева С.В., расположенного по адресу: Ростовская область, р-н. Октябрьский, с/т «Электровозостроитель», уч. №101</t>
  </si>
  <si>
    <t>Установка прибора учета для присоединения объекта  садовый дом Пузановой Н.М., расположенного по адресу: Ростовская область, р-н. Октябрьский, с/т «Электровозостроитель», уч. №97</t>
  </si>
  <si>
    <t>Установка прибора учета для присоединения объекта малоэтажная жилая застройка Грициной Н.В., расположенного по адресу: Ростовская область, р-н. Октябрьский, х. Калинин, ул. Донская, д. 83-г</t>
  </si>
  <si>
    <t>Установка прибора учета для присоединения объекта малоэтажная жилая застройка Мазур Н.П., расположенного по адресу: Ростовская область, р-н. Октябрьский, х. Калинин, ул. Центральная, д. 240-в</t>
  </si>
  <si>
    <t>Установка прибора учета для присоединения объекта  садовый дом Араповой О.Ю., расположенного по адресу: Ростовская область, р-н. Октябрьский, с/т «Электровозостроитель», уч. №59</t>
  </si>
  <si>
    <t>Установка прибора учета для присоединения объекта  малоэтажной жилой застройки Баковеевой О.Н., расположенного по адресу: Ростовская область, р-н. Октябрьский, с/т «Электровозостроитель», уч. №128</t>
  </si>
  <si>
    <t>Установка прибора учета для присоединения объекта  садовый дом Бородиной З.В., расположенного по адресу: Ростовская область, р-н. Октябрьский, с/т «Электровозостроитель», уч. №131</t>
  </si>
  <si>
    <t>Установка прибора учета для присоединения объекта  садовый дом Гаврилюк М.А., расположенного по адресу: Ростовская область, р-н. Октябрьский, с/т «Электровозостроитель», уч. №109</t>
  </si>
  <si>
    <t>Установка прибора учета для присоединения объекта  малоэтажной жилой застройки Колесниковой Е.А., расположенного по адресу: Ростовская область, р-н. Октябрьский, с/т «Электровозостроитель», уч. №146</t>
  </si>
  <si>
    <t>Установка прибора учета для присоединения объекта  садовый дом Мирзоян Л.Б., расположенного по адресу: Ростовская область, р-н. Октябрьский, с/т «Электровозостроитель», уч. №90</t>
  </si>
  <si>
    <t>Установка прибора учета для присоединения объекта  садовый дом Соболева Е.П., расположенного по адресу: Ростовская область, р-н. Октябрьский, с/т «Электровозостроитель», уч. №148</t>
  </si>
  <si>
    <t>Установка прибора учета для присоединения объекта малоэтажная жилая застройка Воробьева Ю.И., расположенного по адресу: Ростовская область, р-н. Октябрьский, рп. Каменоломни, ул. Пролетарская, д. 57</t>
  </si>
  <si>
    <t>Установка прибора учета для присоединения объекта малоэтажная жилая застройка Дзауровой С.Б., расположенного по адресу: Ростовская область, р-н. Октябрьский, ст-ца. Кривянская, ул. Чехова, д. 125</t>
  </si>
  <si>
    <t>Установка прибора учета для присоединения объекта  жилого дома Манакова А.В., расположенного по адресу: Ростовская область, р-н. Октябрьский, х. Красный Кут, ул. Заречная, д.70а</t>
  </si>
  <si>
    <t>Установка прибора учета для присоединения объекта  жилой дом Михайлюк А.Г., расположенного по адресу: Ростовская область, р-н. Октябрьский, ст. Кривянская, ул. Чехова, д. 180</t>
  </si>
  <si>
    <t>Установка прибора учета для присоединения объекта малоэтажная жилая застройка Фетисовой В.Д., расположенного по адресу: Ростовская область, р-н. Октябрьский, рп. Каменоломни, ул. Пролетарская, д. 53</t>
  </si>
  <si>
    <t>Установка прибора учета для присоединения объекта  жилого дома Чубыкиной О.В., расположенного по адресу: Ростовская область, р-н. Октябрьский, сл. Красюковская, пер. Южный, д.2А</t>
  </si>
  <si>
    <t>Установка прибора коммерческого учёта электрической энергии, для присоединения отделения почтовой связи АО «Почта России», расположенного по адресу: Ростовская область, Тарасовский р-н, п. Верхнетарасовский, ул. Майская, д. 10 кв. 2, к.н. 61:37:0040201:560 (прибор учёта электроэнергии - 1шт.)</t>
  </si>
  <si>
    <t>Установка прибора коммерческого учёта электрической энергии, для присоединения отделения почтовой связи АО «Почта России», расположенного по адресу: Ростовская область, Тарасовский р-н, х. Каюковка, ул. Центральная, д 47, к.н.з.у. 61:37:0030501:719 (прибор учёта электроэнергии - 1шт.)</t>
  </si>
  <si>
    <t>Обеспечение коммерческим учетом электрической энергии  в точке поставки, по присоединению жилого дома Гапоновой Л.О., расположенного по адресу: Ростовская область, Белокалитвинский район, х. Дороговский, ул. Крайняя, д. № 12, к.н. 61:04:0150301:187(прибор учета электроэнергии – 1шт).</t>
  </si>
  <si>
    <t>Обеспечение коммерческим учетом электрической энергии  в точке поставки, по присоединению жилого дома Гасинец И.И., расположенного по адресу: Ростовская область, Белокалитвинский район, с. Литвиновка, пер. Песчаный, д. № 6, к.н. 61:04:0060109:177 (прибор учета электроэнергии – 1шт).</t>
  </si>
  <si>
    <t>Обеспечение коммерческим учетом электрической энергии  в точке поставки, по присоединению жилого дома Талалаева И.В., расположенного по адресу: Ростовская область, Белокалитвинский район, х. Крутинский, ул. Набережная, д. № 56, к.н. 61:04:0130103:130 (прибор учета электроэнергии – 1шт).</t>
  </si>
  <si>
    <t>Обеспечение коммерческим учетом электрической энергии  в точке поставки, по присоединению жилого дома Любушкина А.В., расположенного по адресу: Ростовская область, Белокалитвинский район, х. Дубовой, ул. Степная, д. № 75, к.н. 61:04:0110502:106 (прибор учета электроэнергии – 1шт).</t>
  </si>
  <si>
    <t>Установка прибора коммерческого учёта электрической энергии для присоединения жилого дома Чушкина А.А., расположенного по адресу: Ростовская область, Белокалитвинский район, х. Наумов, ул. Лесная, д. № 4, к.н. 61:04:0080401:157 (прибор учета электроэнергии – 1шт)</t>
  </si>
  <si>
    <t>Установка прибора коммерческого учёта электрической энергии, для присоединения строящегося жилого строения Курбановой О.Ю., расположенного по адресу: Ростовская область, Белокалитвинский р-н, х. Богураев, ул. Нижняя, д. 54, к.н. 61:04:0160108:374 (прибор учёта электроэнергии - 1шт)</t>
  </si>
  <si>
    <t>Обеспечение коммерческим учетом электрической энергии  в точке поставки, по присоединению уличного освещения дороги асфальтобетонной, автомобильной Муниципального образования «Ефремово-Степановское сельское поселение», расположенного по адресу: Ростовская область, Тарасовский район,  х. Нижнемакеевский, ул. Молодежная, к.н. 61:37:0080301:557 (прибор учёта электроэнергии - 1шт)</t>
  </si>
  <si>
    <t>Обеспечение коммерческим учетом электрической энергии в точке поставки, по присоединению уличного освещения дороги асфальтобетонной Муниципального образования «Курно-Липовское сельское поселение», расположенного по адресу: Ростовская область, Тарасовский район, х.Мартыновка, ул.Мира, к.н. 61:37:0050101:1875 (прибор учёта электроэнергии - 1шт)</t>
  </si>
  <si>
    <t>Обеспечение коммерческим учетом электрической энергии  в точке поставки, по присоединению жилого дома Федорова А.А., расположенного по адресу: Ростовская область, Белокалитвинский район, х. Западный, ул. Садовая, д. № 39, к.н. 61:04:0000000:5806 (прибор учета электроэнергии – 1шт).</t>
  </si>
  <si>
    <t>Установка прибора коммерческого учёта электрической энергии, для присоединения строящегося жилого дома Толстенева С.Н., расположенного по адресу: Ростовская область, Белокалитвинского р-н, х. Богатов, ул. Сосновая, д.1а, к.н. 61:04:0080201:1143 (прибор учёта электроэнергии - 1шт)</t>
  </si>
  <si>
    <t>Установка прибора коммерческого учёта электрической энергии, для присоединения дачного участка Гаркушиной О.В., расположенного по адресу: Ростовская область, Белокалитвинский р-н, п. Бондарный, к.н. 61:04:0160301:07 (прибор учёта электроэнергии - 1шт)</t>
  </si>
  <si>
    <t>Установка прибора коммерческого учёта электрической энергии, для присоединения ларька Индивидуального предпринимателя Фудалеевой Оксаны Леонидовны., расположенного по адресу: Ростовская область, Белокалитвинский р-н, с. Литвиновка, ул. Центральная, д. 78, к.н. 61:04:0060104:122 (прибор учёта электроэнергии - 1шт)</t>
  </si>
  <si>
    <t>Установка прибора коммерческого учёта электрической энергии, для присоединения ВРУ-0,22 кВ квартиры Ткачёва С.А., расположенной по адресу: Ростовская область, Милютинский р-н, х. Юдин, пер. Космонавтов, д. 10, корп.1, кв.1, к.н. 61:04:0060104:122 (прибор учёта электроэнергии - 1шт)</t>
  </si>
  <si>
    <t>Установка прибора коммерческого учёта электрической энергии, для присоединения освещения обелиска Светочниковского сельского поселения, расположенного по адресу: Ростовская область, Милютинский р-н, п. Светоч, ул. Центральная, д. 5 А, к.н. 61:23:0070101:1032 (прибор учёта электроэнергии - 1шт)</t>
  </si>
  <si>
    <t>Установка прибора коммерческого учёта электрической энергии для присоединения ВРУ- 0,22 кВ сооружения связи-телекоммуникационного шкафа абонентского доступа ПАО «Ростелеком», расположенного по адресу: Ростовская область, Милютинский район, х. Юдин, ул. Заречная, д.2/15 (прибор учёта электроэнергии однофазный - 1шт.)</t>
  </si>
  <si>
    <t>Установка прибора коммерческого учёта электрической энергии для присоединения ВРУ- 0,22 кВ квартиры Бучило М.Н., расположенной по адресу: Ростовская область, Милютинский район, х. Юдин, ул.  Космонавтов, д. 10, корп. 1, кв. 2, к.н.з.у. 61:23:0030101:2171 (прибор учёта электроэнергии однофазный - 1шт.)</t>
  </si>
  <si>
    <t>Установка прибора коммерческого учёта электрической энергиидля присоединения ВРУ- 0,22 кВ объекта наружного освещения Администрации муниципального образования «Светочниковское сельское поселение», расположенного по адресу: Ростовская обл., Милютинский р-н, х. Широко–Оглоблинский, ул. Нижняя (прибор учёта электроэнергии - 1шт.)</t>
  </si>
  <si>
    <t>Установка прибора коммерческого учёта электрической энергии, для присоединения ВРУ-0,22 кВ квартиры Степаняна Э.Р., расположенной по адресу: Ростовская область, Милютинский р-н, х. Юдин, пер. Космонавтов,  д. 10, корп. 1, кв. 3, к.н. 61:23:0030101:2155 (прибор учёта электроэнергии - 1шт)</t>
  </si>
  <si>
    <t>Установка прибора коммерческого учёта электрической энергии, для присоединения уличного освещения (КТП № 19 ф.2) Администрации Широко-Атамановского сельского поселения, расположенного по адресу: Ростовская область, Морозовский р-н, п. Комсомольский, ул. Мира, к.н. 00:00:000000:00 (прибор учёта электроэнергии - 1шт.)</t>
  </si>
  <si>
    <t>Установка прибора коммерческого учёта электрической энергии, для присоединения уличного освещения (КТП № 270 ф.2) Администрации Широко-Атамановского сельского поселения, расположенного по адресу: Ростовская область, Морозовский р-н, п. Комсомольский, ул. Победы, к.н. 00:00:000000:00 (прибор учёта электроэнергии - 1шт.)</t>
  </si>
  <si>
    <t>Установка прибора коммерческого учёта электрической энергии, для присоединения уличного освещения (ул. Кольцевая КТП № 213 ф-1) Администрации Гагаринского сельского поселения, расположенного по адресу: Ростовская область, Морозовский р-н, х. Морозов, ул. Кольцевая, к.н. 00:00:000000:00 (прибор учёта электроэнергии - 1шт.)</t>
  </si>
  <si>
    <t>Установка прибора коммерческого учёта электрической энергии, для присоединения уличного освещения (ул. Кольцевая КТП № 213 ф-2) Администрации Гагаринского сельского поселения, расположенного по адресу: Ростовская область, Морозовский р-н, х. Морозов, ул. Кольцевая, к.н. 00:00:000000:00 (прибор учёта электроэнергии - 1шт.)</t>
  </si>
  <si>
    <t>Установка прибора коммерческого учёта электрической энергии, для присоединения ВРУ-0,22 кВ жилого дома Карасева И.М., расположенного по адресу: Ростовская область, Обливский район, хутор Леонов, улица Продольная, д. 66, к.н. 61:27:0010401:57 (прибор учёта электроэнергии - 1шт.).</t>
  </si>
  <si>
    <t>Установка прибора коммерческого учёта электрической энергии, для присоединения освещения внутрипоселковой грунтовой дороги Муниципального образования «Митякинское сельское поселение», расположенного по адресу: Ростовская область, Тарасовский р-н, ст. Митякинская, ул. Большая Садовая, в пределах ул.Фрунзе, к.н. 61:37:0100101:3976, 61:37:0100101:3981 (прибор учёта</t>
  </si>
  <si>
    <t>Установка прибора коммерческого учёта электрической энергии для присоединения уличного освещения дороги грунтовой МО «Войковского сельского поселения», расположенного по адресу: 346091, Ростовская область, Тарасовский район,  х. Можаевка, ул. Школьная, к.н. 61:37:0110101:2203 (прибор учета электроэнергии- 1шт)</t>
  </si>
  <si>
    <t>Установка прибора коммерческого учёта электрической энергии, для присоединения жилого дома Барышниковой О.И., расположенного по адресу: Ростовская область, Тарасовский р-н, х. Дубы, ул. Речная, д.42, к.н. 61:37:0100201:1599 (прибор учёта электроэнергии - 1шт)</t>
  </si>
  <si>
    <t>Установка прибора коммерческого учёта электрической энергии, для присоединения уличного освещения автомобильной дороги Администрации Зеленовского сельского поселения Тарасовского района, расположенного по адресу: Ростовская область, Тарасовский р-н, х. Зеленовка, ул. Восточная, к.н. 61:37:0000000:1851 (прибор учёта электроэнергии - 1шт)</t>
  </si>
  <si>
    <t>Установка прибора коммерческого учёта электрической энергии, для присоединения уличного освещения автомобильной дороги Администрации Зеленовского сельского поселения Тарасовского района, расположенного по адресу: Ростовская область, Тарасовский р-н, х. Зеленовка, ул. Строительная, к.н. 61:37:0070101:1196 (прибор учёта электроэнергии - 1шт).</t>
  </si>
  <si>
    <t>Установка прибора коммерческого учёта электрической энергии, для присоединения освещение внутрипоселковой автомобильной дороги МО «Митякинское сельское поселение», расположенного по адресу: Ростовская область, Тарасовский р-н, х. Дубы, ул. Дубовская, к.н. 61:37:0100201:1556 (прибор учёта электроэнергии - 1шт.)</t>
  </si>
  <si>
    <t>Установка прибора коммерческого учёта электрической энергии, для присоединения освещения дороги Администрации Войковского сельского поселения, расположенной по адресу: Ростовская область, Тарасовский  р-н,  п.Войково, ул. Элеваторская, к.н. 61:37:0110201:1166 (прибор учёта электроэнергии - 1шт.)</t>
  </si>
  <si>
    <t>Установка прибора коммерческого учёта электрической энергии, для присоединения освещения дороги асфальто-бетонной Администрации Войковского сельского поселения, расположенной по адресу: Ростовская область, Тарасовский р-н,  п. Войково, ул. Вокзальная, к.н. 61:37:0110201:1165 (прибор учёта электроэнергии - 1шт.)</t>
  </si>
  <si>
    <t>Установка прибора коммерческого учёта электрической энергии, для присоединения ВРУ-0,22 кВ жилого дома Скрыльникова А.А., расположенного по адресу: Ростовская область, Тацинский район, х. Верхнеобливский, пер. Пролетарский, д. 7, к.н. 61:38:0070101:199. (прибор учёта электроэнергии - 1шт.)</t>
  </si>
  <si>
    <t>Установка прибора коммерческого учёта электрической энергии, для присоединения ВРУ-0,4 кВ здания бригадного дома Заболотнева В.Н., расположенного по адресу: Ростовская область, Тацинский район, ст. Тацинская, в 9,5 км на юг от ул. Юбилейная, д. 56, к.н.отсутствует .(прибор учёта электроэнергии - 1шт.)</t>
  </si>
  <si>
    <t>Установка прибора коммерческого учёта электрической энергии, для присоединения жилого дома Савина В.А., расположенного по адресу: Ростовская область, Тацинский район, п. Быстрогорский, ул. Щебёночная, д. 27, к.н. 61:38:0040152:9 (прибор учёта электроэнергии - 1шт.)</t>
  </si>
  <si>
    <t>Установка прибора коммерческого учёта электрической энергии, для присоединения ВРУ-0,22 кВ объекта наружного освещения Администрации Суховского сельского поселения, расположенного по адресу: Ростовская область, Тацинский район, х. Крылов, ул. Восточная, к.н.отсутствует .(прибор учёта электроэнергии - 1шт.)</t>
  </si>
  <si>
    <t>Установка прибора коммерческого учёта электрической энергии, для присоединения ВРУ-0,22 кВ объекта наружного освещения Администрации Суховского сельского поселения, расположенного по адресу: Ростовская область, Тацинский район, п. Новосуховый, ул. Молодежная, к.н. отсутствует (прибор учёта электроэнергии - 1шт.)</t>
  </si>
  <si>
    <t>Установка прибора коммерческого учёта электрической энергии, для присоединения ВРУ-0,22 кВ объекта наружного освещения Администрации Суховского сельского поселения, расположенного по адресу: Ростовская область, Тацинский район, х. Крылов, ул. Садовая, к.н. 00:00:0000:00(прибор учёта электроэнергии - 1шт.)</t>
  </si>
  <si>
    <t>Установка прибора коммерческого учёта электрической энергии, для присоединения ВРУ-0,22 кВ объекта наружного освещения Администрации Суховского сельского поселения, расположенного по адресу: Ростовская область, Тацинский район, п. Новосуховый, ул. Черемушки, к.н. отсутствует (прибор учёта электроэнергии - 1шт.)</t>
  </si>
  <si>
    <t>Установка прибора коммерческого учёта электрической энергии, для присоединения жилого дома Лободенко В.С., расположенного по адресу: Ростовская область, Тацинский район, х. Игнатенко, ул. Чапаева, д. 23, к.н. 61:38:0030401:124. (прибор учёта электроэнергии - 1шт.)</t>
  </si>
  <si>
    <t>Установка прибора коммерческого учёта электрической энергии, для присоединения жилого дома Мостового А.В., расположенного по адресу: Ростовская область, Тацинский район, х. Гремучий, ул. А. Швыдкова, д. 85, к.н. 61:38:0030201:39. (прибор учёта электроэнергии - 1шт.)</t>
  </si>
  <si>
    <t>Установка прибора коммерческого учёта электрической энергии, для присоединения летней кухни Еремеевой Е.А., расположенной по адресу: Ростовская область, Тацинский район, х. Михайлов, ул. Ленина, д. 261, к.н. 61:38:0030104:16. (прибор учёта электроэнергии - 1шт.).</t>
  </si>
  <si>
    <t>Установка прибора коммерческого учёта электрической энергии, для присоединения торгового объекта ИП Музыченко О.Д., расположенного по адресу: Ростовская область, Тацинский район, х. Исаев, ул. Свердлова, д. 23, корп а, к.н. 00:00:0000:000 (прибор учёта электроэнергии - 1шт.)</t>
  </si>
  <si>
    <t>Установка прибора коммерческого учёта электрической энергии, для присоединения ВРУ-0,22 кВ строящегося здания Смолы С.П., расположенного по адресу: Ростовская область, Тацинский район, п. Быстрогорский, ул. Дачная, д. 7, к.н. 61:38:0040156:276 (прибор учёта электроэнергии - 1шт.)</t>
  </si>
  <si>
    <t>Установка прибора коммерческого учёта электрической энергии, для присоединения ВРУ-0,22 кВ жилого дома Агеева А.И., расположенного по адресу: Ростовская область, Тацинский район, п. Новосуховый, ул. Садовая, д. 9, к.н. 61:38:100101:0007(прибор учёта электроэнергии - 1шт.)</t>
  </si>
  <si>
    <t>Установка прибора коммерческого учёта электрической энергии, для присоединения ВРУ-0,22 кВ объекта наружного освещения Администрации Скосырского сельского поселения, расположенного по адресу: Ростовская обл., Тацинский р-н, х. Надежевка, ул. Пролетарская, к.н.з.у. 00:00:0000:000 (прибор учёта электроэнергии - 1шт.)</t>
  </si>
  <si>
    <t>Установка прибора коммерческого учёта электрической энергии, для присоединения ВРУ-0,22 кВ жилого дома Криниченко М.Л., расположенного по адресу: Ростовская область, Тацинский район, ст. Тацинская, ул. Полевая, д. 13, к.н. 61:38:0010226:9. (прибор учёта электроэнергии - 1шт.)</t>
  </si>
  <si>
    <t>Установка прибора коммерческого учёта электрической энергии, для присоединения ВРУ - 0,22 кВ жилого дома Рахманкуловаой Л.С., расположенного по адресу: Ростовская область, Тацинский район,  п. Быстрогорский, ул. Набережная, д. 5, кв./оф. 1, к.н. 00:00:0000:000. (прибор учёта электроэнергии - 1шт.)</t>
  </si>
  <si>
    <t>Установка прибора коммерческого учёта электрической энергии, для присоединения ВРУ-0,22 кВ жилого дома Фоминых Д.О., расположенного по адресу: Ростовская область, Тацинский район, ст. Скосырская, ул. Советская, д. 10, к.н. 61:38:0060101:1378 (прибор учёта электроэнергии - 1шт.)</t>
  </si>
  <si>
    <t>Установка прибора коммерческого учёта электрической энергии, для присоединения ВРУ-0,22 кВ объектов наружного освещения Администрации Тацинского района, расположенных по адресу: Ростовская обл., Тацинский р-н, п. Жирнов, Подъезд от а/д ст. Тацинская - х. Исаев к п. Жирнов, к.н.з.у.61:38:0600008:1553 (прибор учёта электроэнергии - 1шт.)</t>
  </si>
  <si>
    <t>Установка прибора коммерческого учёта электрической энергии, для присоединения отделения почтовой связи АО «Почта России», расположенного по адресу: Ростовская область, Каменский район, х. Кочетовка, ул. Победы, д. № 1, к.н.з.у.00:00:000000 (прибор учёта электроэнергии - 1шт.)</t>
  </si>
  <si>
    <t>Установка прибора коммерческого учёта электрической энергии для присоединения ВРУ-0,22 кВ нестационарного участкового пункта полиции Межмуниципального отдела Министерства внутренних дел Российской Федерации «Обливский», расположенного по адресу: Ростовская область, Обливский район, х. Солонецкий, ул. Советская,д. 12а, к.н. 61:27:0060101:823 (прибор учёта электроэнергии - 1шт.)</t>
  </si>
  <si>
    <t>Установка прибора коммерческого учёта электрической энергии, для присоединения жилого дома Дьяковой Г.Н., расположенного по адресу: Ростовская область, Морозовский р-н, х. Николаев, ул. Набережная, д. 4, кадастровый номер земельного участка: 61:24:100202:0044 (прибор учёта электроэнергии - 1шт.)</t>
  </si>
  <si>
    <t>Установка прибора коммерческого учёта электрической энергии, для присоединения жилого жилого дома Лукиных Ю.А., расположенного по адресу: Ростовская область, Белокалитвинский район, х. Дубовой, ул. Степная, д. № 83 А, к.н. 61:04:0110502:224 (прибор учета электроэнергии – 1шт)</t>
  </si>
  <si>
    <t>Установка прибора коммерческого учёта электрической энергии, для присоединения жилого строения Чернобаевой Т.А., расположенного по адресу: Ростовская область, Белокалитвинский р-н, НСТ «Калитва» уч. 164, к.н. 61:04:0600013:114 (прибор учёта электроэнергии - 1шт)</t>
  </si>
  <si>
    <t>Установка прибора коммерческого учёта электрической энергии, для присоединения гаража Добрынина А.А., расположенного по адресу: Ростовская область, Белокалитвинский р-н, ст. Краснодонецкая, ул. Молодежная, д 27. к.н. 61:04:0080101:215 (прибор учёта электроэнергии - 1шт)</t>
  </si>
  <si>
    <t>Установка прибора коммерческого учёта электрической энергии, для присоединения жилого дома Письменской А.В., расположенного по адресу: Ростовская обл., Белокалитвинский р-н, п. Сосны, ул. Севастопольская, д. 4,    кв. 1, к.н. 61:04:0150405:492 (прибор учёта электроэнергии - 1шт)</t>
  </si>
  <si>
    <t>Установка прибора коммерческого учёта электрической энергии, для присоединения ВРУ-0,22 кВ квартиры Белоконя М.Б., расположенной по адресу: Ростовская обл., Милютинский р-н, х.Юдин, ул. Космонавтов, д.8, корп.2, кв.2 (прибор учёта электроэнергии - 1шт)</t>
  </si>
  <si>
    <t>Установка прибора коммерческого учёта электрической энергии, для присоединения уличного освещения (ул. Кольцевая КТП № 213 ф-3) Администрации Гагаринского сельского поселения, расположенного по адресу: Ростовская область, Морозовский р-н, х. Морозов, ул. Кольцевая, к.н. 00:00:000000:00 (прибор учёта электроэнергии - 1шт.)</t>
  </si>
  <si>
    <t>Установка прибора коммерческого учёта электрической энергии, для присоединения нежилой застройки (Садового дома) Мухина В.А., расположенного по адресу: Ростовская область, Морозовский р-н, х. Грузинов, ул. Абрикосовая, д. 1/9, кадастровый номер земельного участка: 61:24:0050312:77 (прибор учёта электроэнергии - 1шт.)</t>
  </si>
  <si>
    <t>Установка прибора коммерческого учёта электрической энергии, для присоединения гаража Косенко В.И., расположенного по адресу: Ростовская область, г. Морозовск, ул. Халтурина, 179, № 11, к.н.з.у. 61:24:0013011:99 (прибор учёта электроэнергии - 1шт.)</t>
  </si>
  <si>
    <t>Установка прибора коммерческого учёта электрической энергии для присоединения торгового павильона некапитального типа ИП Бодрухиной И.П,, расположенного по адресу: Ростовская область, Тарасовский район, х. Дубы, ул. Центральная, д. 44а, к.н. 61:37:0100201:1601 (прибор учёта электроэнергии - 1шт).</t>
  </si>
  <si>
    <t>Установка прибора коммерческого учёта электрической энергии, для присоединения освещения дороги грунтовой Администрации Ефремово-Степановского сельского поселения, расположенного по адресу: Ростовская область, Тарасовский р-н, сл. Александровка, ул. Буденного, к.н. 61:37:0080201:1132 (прибор учёта электроэнергии - 1шт)</t>
  </si>
  <si>
    <t>Установка прибора коммерческого учёта электрической энергии, для присоединения ВРУ-0,22 кВ жилого дома Шишкаловой Ю.А., расположенного по адресу: Ростовская область, Тарасовский район, х. Верхний Митякин, ул. Заречная, д. 156, к.н. 61:37:00600101:488 (прибор учёта электроэнергии - 1шт.)</t>
  </si>
  <si>
    <t>Установка прибора коммерческого учёта электрической энергии, для присоединения строящегося магазина ИП Запарченко И.В., расположенного по адресу: Ростовская область, Тарасовский р-н, Дячкинское сельское поселение, п. Малое Полесье, ул. Центральная, земельный участок 10/1а, к.н. 61:37:0030601:900 (прибор учёта электроэнергии - 1шт.)</t>
  </si>
  <si>
    <t>Установка прибора коммерческого учёта электрической энергии, для присоединения жилого дома Герасименко В.Н., расположенного по адресу: Ростовская область, Тарасовский р-н, сл. Курно-Липовка, ул. Луговая, д. 114, к.н. 61:37:0050601:60 (прибор учёта электроэнергии - 1шт)</t>
  </si>
  <si>
    <t>Установка прибора коммерческого учёта электрической энергии, для присоединения нежилого помещения (магазин) ИП Позднякова Е.Н., расположенного по адресу: Ростовская область, Тарасовский р-н, Войковское сельское поселение, х. Ушаковка, земельный участок 50б, к.н. 61:37:00110701:955 (прибор учёта электроэнергии - 1шт)</t>
  </si>
  <si>
    <t>Установка прибора коммерческого учёта электрической энергии, для присоединения жилого дома СПК «Дружба», расположенного по адресу: Ростовская область, Тацинский район, ст. Скосырская, ул. Советская, д. 71, к.н. 61:38:0060101:1134 (прибор учёта электроэнергии - 1шт.)</t>
  </si>
  <si>
    <t>Установка прибора коммерческого учёта электрической энергии, для присоединени видеонаблюдения Администрации Суховского сельского поселения, расположенного по адресу: Ростовская область, Тацинский район, п. Новосуховый, ул. Центральная (прибор учёта электроэнергии - 1шт.)</t>
  </si>
  <si>
    <t>Установка прибора коммерческого учёта электрической энергии для присоединения ВРУ-0,22 кВ жилого дома Сергеева С.А., расположенного по адресу: Ростовская область, Тацинский район, п. Быстрогорский, ул. Погудина, д. 31, к.н. 61:38:0040137:15 (прибор учёта электроэнергии - 1шт.)</t>
  </si>
  <si>
    <t>Установка прибора коммерческого учёта электрической энергии, для присоединения ВРУ-0,22 кВ жилого дома Харитонова М.Н., расположенного по адресу: Ростовская область, Тацинский район, ст. Скосырская, ул. Советская, д. 2, к.н. 61:38:00600101:80. (прибор учёта электроэнергии - 1шт.)</t>
  </si>
  <si>
    <t>Установка прибора коммерческого учёта электрической энергии, для присоединения ВРУ-0,22 кВ жилого дома Романцова И.П., расположенного по адресу: Ростовская область, Тацинский район, х.Верхнеобливский, пер. Садовый, д. 24, к.н. 61:38:0070101:183 (прибор учёта электроэнергии - 1шт.)</t>
  </si>
  <si>
    <t>Установка прибора коммерческого учёта электрической энергии для присоединения жилого дома Сизякиной Н.Б., расположенного по адресу: Ростовская область, Белокалитвинский район, х. Голубинка, ул. Центральная, д. № 35, к.н. 61:04:0110201:352 (прибор учета электроэнергии – 1шт)</t>
  </si>
  <si>
    <t>Установка прибора коммерческого учёта электрической энергии, для присоединения жилого дома Терехова А.В., расположенного по адресу Ростовская область, Белокалитвинский р-н, х. Нижнепопов, ул. Школьная,  д. 36 а, к.н. 61:04:0150202:304 (прибор учёта электроэнергии - 1шт)</t>
  </si>
  <si>
    <t>Установка прибора коммерческого учёта электрической энергии, для присоединения освещения участка Цыбулевского А.В., расположенного по адресу: Ростовская область, Белокалитвинский р-н, земли бывшего колхоза Чапаева, пастбище контур № 303, к.н. 61:04:0600015:523 (прибор учёта электроэнергии - 1шт)</t>
  </si>
  <si>
    <t>Установка прибора коммерческого учёта электрической энергии для присоединения жилого дома Гусаровой Н.И., расположенного по адресу: Ростовская область, Белокалитвинский р-н, п. Сосны, ул. Севастопольская. 6, кв. 2, к.н.з.у.: 61:04:0150405:496 (прибор учёта электроэнергии - 1шт.)</t>
  </si>
  <si>
    <t>Установка прибора коммерческого учёта электрической энергии, для присоединения жилого дома Бубликовой Е.Д., расположенного по адресу: Ростовская область, Каменский р-н, х. Старая Станица, пер. Почтовый, д. 15, корп. А, к.н. 61:15:0130102:3016 (прибор учёта электроэнергии 5 кВт - 1шт)</t>
  </si>
  <si>
    <t>Установка прибора коммерческого учёта электрической энергии, для присоединения жилого дома Макухина В.М., расположенного по адресу: Ростовская область, Каменский район, х. Красновка, пер. Советский, д. 17, к.н. 61:15:0080108:307 (прибор учёта электроэнергии 5кВт - 1шт)</t>
  </si>
  <si>
    <t>Установка прибора коммерческого учёта электрической энергии, для присоединения жилого дома Болдырева А.И., расположенного по адресу: Ростовская область, Каменский район, ст-ца Калитвенская, ул. Немальцева, д. № 3, к.н.з.у. 61:15:0070101:802 (прибор учёта электроэнергии - 1шт.)</t>
  </si>
  <si>
    <t>Установка прибора коммерческого учёта электрической энергии, для присоединения жилого дома Брянцева Е.О., расположенного по адресу: Ростовская область, Каменский район, х. Старая Станица, ул. Буденного, д. 215, корп. А, к.н. 61:15:0130104:529(прибор учёта электроэнергии - 1шт)</t>
  </si>
  <si>
    <t>Установка прибора коммерческого учёта электрической энергии, для присоединения жилого дома Вишневецкой Л.В., расположенного по адресу: Ростовская область, Каменский район, х. Старая Станица, ул. Парковая, д. № 3, корп. А, к.н.з.у. 61:15:0130103:4623 (прибор учёта электроэнергии - 1шт.)</t>
  </si>
  <si>
    <t>Установка прибора коммерческого учёта электрической энергии, для присоединения жилого дома Цветковой К.М., расположенного по адресу: Ростовская область, Каменский р-н, х. Старая Станица, ул. 50 лет Победы, д. № 1 Б, КНЗУ 61:15:00130103:4718 (прибор учёта электроэнергии - 1шт.)</t>
  </si>
  <si>
    <t>Установка прибора коммерческого учёта электрической энергии, для присоединения уличного освещения (х. Павлов КТП №54) Администрации Широко-Атамановского сельского поселения, расположенного по адресу: Ростовская область, Морозовский р-н, х. Павлов, к.н.з.у.: 00:00:0000000:00 (прибор учёта электроэнергии - 1шт.)</t>
  </si>
  <si>
    <t>Установка прибора коммерческого учёта электрической энергии для присоединения жилого дома Шевелева Ю.П., расположенного по адресу: Ростовская область, Морозовский р-н,  х. Александров, ул. Заречная, д. 16, к.н.з.у.: 61:24:0100102:212 (прибор учёта электроэнергии – 1 шт.)</t>
  </si>
  <si>
    <t>Установка прибора коммерческого учёта электрической энергии, для присоединения жилого помещения Ивлева Н.М., расположенного по адресу: Ростовская область, Советский р-н, п. Низовой, ул. Степная, д. 1, к.н. 61:36:0030501:52 (прибор учёта электроэнергии - 1шт)</t>
  </si>
  <si>
    <t>Установка прибора коммерческого учёта электрической энергии, для присоединения жилого дома Юровой М.Н., расположенного по адресу: Ростовская область, Советский район, х. Русаков, ул. Мартыненко, д. 14, к.н. 61:36:0010201:102 (прибор учёта электроэнергии - 1шт.)</t>
  </si>
  <si>
    <t>Установка прибора коммерческого учёта электрической энергии, для присоединения ВРУ-0,22 кВ нежилого здания Абдусаламова З.Р., расположенного по адресу: Ростовская область, Советский р-н, ст. Советская, ул. 40 лет Октября, д. 73 «а», к.н. 61:36:0010101:4945(прибор учёта электроэнергии - 1шт.)</t>
  </si>
  <si>
    <t>Установка приборов коммерческого учёта электрической энергии, для присоединения освещения автомобильных дорог Администрации Ефремово-Степановского сельского поселения, расположенных по адресу: Ростовская область, Тарасовский р-н, сл. Ефремово-Степановка, ул. Кирова к.н. 61:37:0080101:2091 и ул. Первомайская к.н. 61:37:000000:1863 (прибор учёта электроэнергии - 2шт)</t>
  </si>
  <si>
    <t>Установка прибора коммерческого учёта электрической энергии, для присоединения освещения дороги грунтовой Администрации Ефремово-Степановского сельского поселения, расположенного по адресу: Ростовская область, Тарасовский р-н, сл. Ефремово-Степановка, ул. Октябрьская, к.н. 61:37:0080101:2072 (прибор учёта электроэнергии - 1шт)</t>
  </si>
  <si>
    <t>Обеспечение коммерческим учетом электрической энергии  в точке поставки, по присоединению садового дома Гиль Н.А., расположенного по адресу: Ростовская область, Каменский район, х. Абрамовка, тер. ДНО «Надежда», ул. Яблочная, д. № 112, к.н. 61:15:0501101:473(прибор учета электроэнергии – 1шт).</t>
  </si>
  <si>
    <t>Установка прибора коммерческого учёта электрической энергии для присоединения ВРУ-0,22 кВ строительной площадки Величко Е.И., расположенной по адресу: Ростовская область, Милютинский район,  х. Отрадно-Курносовский, ул. Первомайская, д. № 3, к.н.з.у. 61:23:0020601:8 (прибор учёта электроэнергии - 1 шт.)</t>
  </si>
  <si>
    <t>Установка прибора коммерческого учёта электрической энергии для присоединения ВРУ-0,22 кВ жилого дома Попко О.В., расположенного по адресу: Ростовская область, Милютинский район, ст. Милютинская,   ул. Дружбы, д. 25, к.н.з.у. 61:23:0030344:87 (прибор учёта электроэнергии -  1 шт.)</t>
  </si>
  <si>
    <t>Установка прибора коммерческого учёта электрической энергии для присоединения освещения автомобильных дорог Администрации Дячкинского сельского поселения, расположенных по адресу: Ростовская область, Тарасовский район, сл. Дячкино,  ул. Заречная (к.н.з.у № 61:37:0030101:1987), ул. Береговая (к.н.з.у № 61:37:0030101:1846), ул. Приозерная (к.н.з.у № 61:37:0030101:1998) (прибор учёта электроэнергии - 1шт.)</t>
  </si>
  <si>
    <t>Установка прибора коммерческого учёта электрической энергии для присоединения жилого дома Потаповой О.А., расположенного по адресу: Ростовская область, Белокалитвинского р-н,   х. Ленина, ул. Крупской, д. 18 а, к.н.з.у.: 61:04:0100112:402 (прибор учёта электроэнергии – 1 шт.)</t>
  </si>
  <si>
    <t>Установка прибора коммерческого учёта электрической энергии, для присоединения жилого дома Степанова Я.А., расположенной по адресу: Ростовская область, Каменский район, х. Красновка, ул. Октябрьская, д. № 24, к.н.з.у. 61:15:0080108:1810 (прибор учёта электроэнергии - 1 шт.)</t>
  </si>
  <si>
    <t>Установка прибора коммерческого учёта электрической энергии для присоединения жилого дома Рудаковой М.И., расположенного по адресу: Ростовская область, Каменский район, х. Груцинов, ул. Студенческая, д. № 20, кв./оф. № 1, к.н.з.у. 61:15:0050101:668 (прибор учёта электроэнергии - 1 шт.)</t>
  </si>
  <si>
    <t>Установка прибора коммерческого учёта электрической энергии, для присоединения садового дома Кучаевой Т.В., хозяйственной постройки Кононова Д.В., расположенных по адресу: Ростовская область, Каменский район, х. Абрамовка, тер. СНТ Восток, пер. Весенний, дом № 204, к.н.з.у.: 61:15:0500101:471; пер. Зеленый, дом № 303, к.н.з.у.: 61:15:0500101:426 (прибор учёта электроэнергии - 2 шт.)</t>
  </si>
  <si>
    <t>Установка прибора коммерческого учёта электрической энергии, для присоединения уличного освещения (ул. Мира КТП № 172 ф.1, ул. Полевая и ул. Школьная КТП № 172 ф.2) Администрации Широко-Атамановского сельского поселения, расположенного по адресу: Ростовская область, Морозовский р-н, х. Чекалов, ул. Мира, ул. Полевая, ул. Школьная кадастровые номера земельных участков: 00:00:0000000:00 (прибор учёта электроэнергии - 2шт.)</t>
  </si>
  <si>
    <t>Установка прибора коммерческого учета, электрической энергии для присоединения ВРУ-0,22кВ «водяная скважина» Багамаева М.А., расположенного по адресу: Ростовская область, Обливский район, хутор Дубовой, улица Овражная, к.н.з.у. 61:27:0070901:382 (прибор учета электроэнергии - 1 шт.)</t>
  </si>
  <si>
    <t>Установка прибора коммерческого учета электрической энергии, для присоединения ВРУ- 0,22 кВ объекта наружного освещения, расположенного по адресу: Ростовская область, Советский р-н, х. Наумов, ул. Молодежная, напротив дома № 7, К.Н 61:36:0600003:316 (прибор учёта электроэнергии - 1шт)</t>
  </si>
  <si>
    <t>Установка прибора коммерческого учёта электрической энергии, для присоединения ВРУ-0,22 кВ жилого дома Штоколовой С.А., расположенного по адресу: Ростовская область, Тацинский район, п. Быстрогорский, ул. Санаторная, д. 1-ж, к.н. 61:38:0040102:15. (прибор учёта электроэнергии - 1шт.)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</si>
  <si>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Алифанов, ул. Степная, к.н. 00:00:0000:000 (прибор учёта электроэнергии – 1 шт.)</t>
  </si>
  <si>
    <t>Установка прибора коммерческого учёта электрической энергии, для присоединения ВРУ-0,22 кВ уличного освещения Администрации Суховского сельского поселения, расположенного по адресу: Ростовская область, Тацинский район, п. Новосуховый, ул. Степная, к.н. 00:00:0000:000. (прибор учёта электроэнергии - 1шт.)</t>
  </si>
  <si>
    <t>Установка прибора коммерческого учёта электрической энергии, для присоединения ВРУ-0,22 кВ Артезианской скважины МУП ЖКХ «Станица», расположенного по адресу: Ростовская область, Тацинский район, х. Зазерский, примерно в 200 м на восток от ул. Новая, д. 12, к.н. 61:38:0600016:1054. (прибор учёта электроэнергии - 1шт.)</t>
  </si>
  <si>
    <t>Установка прибора коммерческого учёта электрической энергии, для присоединения ВРУ-0,22 кВ жилого дома Сидоренко А.С., расположенного по адресу: Ростовская область, Тацинский район, х. Надежевка, ул. Пролетарская, д. 8, корп. д, к.н. 61:15:0060901:1 (прибор учёта электроэнергии - 1шт.)</t>
  </si>
  <si>
    <t>Установка  прибора  коммерческого учёта  электрической энергии,   для    присоединения  ВРУ-0,22  кВ  строящегося  здания   Прилипко А.Н.,   расположенного   по  адресу:  Ростовская   область,   Тацинский   район,п. Быстрогорский, ул. Санаторная, д. 1, корп. д,  к.н. 61:38:0040103:26  (прибор учёта электроэнергии - 1шт.)</t>
  </si>
  <si>
    <t>Установка прибора коммерческого учёта электрической энергии для присоединения ВРУ-0,22 кВ строящегося здания СПК «Дружба», расположенного по адресу: Ростовская область, Тацинский район,   ст. Скосырская, ул. Советская, д. 12, к.н. 61:38:0060101:1135  (прибор учёта электроэнергии - 1шт.)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</si>
  <si>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Крюков, ул. Лесная, к.н. 00:00:0000:000 (прибор учёта электроэнергии – 1 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</si>
  <si>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Захаро-Обливский, ул. Набережная, к.н. 00:00:0000:000 (прибор учёта электроэнергии – 1 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</si>
  <si>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Захаро-Обливский, ул. Мира, к.н. 00:00:0000:000 (прибор учёта электроэнергии – 1 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</si>
  <si>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Крюков, ул. Школьная, к.н. 00:00:0000:000 (прибор учёта электроэнергии – 1 шт.)</t>
  </si>
  <si>
    <t>Установка прибора коммерческого учёта электрической энергии, для присоединения ВРУ-0,22 кВ уличного освещения Администрации Суховского сельского поселения, расположенного по адресу: Ростовская область, Тацинский район, х. Крылов, ул. Молодежная, к.н. 00:00:0000:000. (прибор учёта электроэнергии - 1шт.)</t>
  </si>
  <si>
    <t>Установка прибора коммерческого учёта электрической энергии, для присоединения ВРУ-0,22 кВ квартиры Кратенко М.М., расположенного по адресу: Ростовская область, Тацинский район, х. Крюков, ул. Ленина, д. 21, кв. 3, к.н. 61:38:0060701:1247 (прибор учёта электроэнергии - 1шт.)</t>
  </si>
  <si>
    <t>Установка прибора коммерческого учёта электрической энергии, для присоединения ВРУ-0,4кВ дачного дома Ивакиной Е.В., расположенного по адресу: Ростовская область, Каменский район, х. Абрамовка, с/т Черемушки, ул. Абрикосовая, дом № 18, К.Н 61:15:0501301:393 (прибор учета электроэнергии - 1 шт.)</t>
  </si>
  <si>
    <t>Установка прибора коммерческого учёта электрической энергии, для присоединения ВРУ-0,4кВ дачного дома, Шестопаловой Л.М., расположенного по адресу: Ростовская область, Каменский район, х. Абрамовка, снт. Восток, пер. Садовая, д. 226, к.н. 61:15:0500101:624, (прибор учёта электроэнергии –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</si>
  <si>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Музафаровой С.С., Мироненко А.В., Буложенко К.В., Кагальницкий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</si>
  <si>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№68-33 ВЛ-0,4 №6 КТП-68 ВЛ-10 603 ПС 35 кВ ЗР6 для технологического присоединения энергопринимающих устройств ЛПХ заявителя Воробьевой Е.В. , Ростовская область, р-н. Зерноградский, п. Лободин, ул. Майская,  д. 4 (1 шт.)</t>
  </si>
  <si>
    <t>Установка прибора коммерческого учета электрической энергии (мощности) на границе земельного участка, подключенного от опоры №121-106 ВЛ-0,4 №3 КТП-121 ВЛ-10 313 ПС 35 кВ КГ3 для технологического присоединения энергопринимающих устройств садового дома Заявителя Литовченко А. Е., Ростовская область, р-н. Кагальницкий, п. Березовая Роща, СНТ "Железнодорожник" уч.1396 (1 шт.)</t>
  </si>
  <si>
    <t>Установка прибора коммерческого учета электрической энергии (мощности) на границе земельного участка, подключенного от опоры №15-51 ВЛ-0,4 №3 КТП-15 ВЛ-10 605 ПС 35 кВ КГ6 для технологического присоединения энергопринимающих устройств жилого дома Заявителя Беляева А.М., Ростовская область, Кагальницкий р-н, с. Новобатайск, ул. Мичурина д.30 (1 шт.)</t>
  </si>
  <si>
    <t>Установка прибора коммерческого учета электрической энергии (мощности) на границе земельного участка, подключенного от опоры №15-51 ВЛ-0,4 №3 КТП-15 ВЛ-10 605 ПС 35 кВ КГ6 для технологического присоединения энергопринимающих устройств жилого дома Заявителя Бурлученко И.Н., Ростовская область, Кагальницкий р-н, с. Новобатайск, ул. Мичурина д.28 (1 шт.)</t>
  </si>
  <si>
    <t>Установка прибора коммерческого учета электрической энергии (мощности) на границе земельного участка, подключенного от опоры №53-5 ВЛ-0,4 №2 КТП-53 ВЛ-10 1606 ПС 35 кВ ЗР6 для технологического присоединения энергопринимающих устройств ЛПХ Заявителя Брайцара Т.М., Ростовская область, Зерноградский р-н, х. 2-й Россошинский, ул. Мира д.5 (1 шт.)</t>
  </si>
  <si>
    <t>Установка прибора коммерческого учета электрической энергии (мощности) на границе земельного участка, подключенного от опоры №83-184 ВЛ-0,4 №2 КТП-83 ВЛ-10 415 ПС 35 кВ КГ4 для технологического присоединения энергопринимающих устройств жилого дома Заявителя Серебренниковой А.В., Ростовская область, Кагальницкий р-н, с. Васильево-Шамшево, ул. Набережная д.19 (1 шт.)</t>
  </si>
  <si>
    <t>Установка прибора коммерческого учета электрической энергии (мощности) на границе земельного участка, подключенного от опоры №69-19 ВЛ-0,4 №1 от КТП-69 по ВЛ-10 413 ПС 35 кВ КГ4, для электроснабжения ЛПХ заявителя Галдина А.В., Ростовская область, Кагальницкий р-н, х. Тимошенко, ул. Дачная д.13А (1 шт.)</t>
  </si>
  <si>
    <t>Установка коммерческого учета электрической энергии (мощности) на границе земельного участка, подключенного от опоры №14-22 ВЛ-0,4 кВ №1 КТП 10/0,4кВ №14 ВЛ-10кВ №1515 ПС 35/10 кВ «А-15», для электроснабжения жилого дома заявителя Белан В.И., х. Полтава 2-я, Азовский р-он Ростовская область</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</si>
  <si>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Генераловой О.А., Рыбка А.К., Рыбка А.К., Рыбка О.К., Гринченко А.П., Финенко С.А., Азовский р-он Ростовская область (6 шт.)</t>
  </si>
  <si>
    <t>Установка прибора коммерческого учета электрической энергии (мощности) на границе земельного участка, подключенного от оп. №32-69 ВЛ 0,4 кВ №3 КТП 10/0,4кВ №32 ВЛ 10кВ №2907 РП-29 ПС 35/10 кВ А-18 для технологического присоединения энергопринимающих устройств жилого дома Заявителя Соболева Д.В. х. Коса,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</si>
  <si>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Кочетова С.Е., Прозорова С.В., Жарикова С.М., Ключникова Е.А., Азовский район Ростовская область (4 шт.)</t>
  </si>
  <si>
    <t>Установка прибора коммерческого учета электрической энергии (мощности) на границе земельного участка, подключенного от опоры №153-57 ВЛ-0,4 кВ №1 КТП 10/0,4кВ №153 ВЛ-10кВ №915 ПС 35/10 кВ «А-9» для технологического присоединения энергопринимающих устройств жилого дома Заявителя Моисеенко Е.А. с. Платоно-Петровка,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</si>
  <si>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№381-54 ВЛ-0,4кВ №1 КТП-10/0,4 кВ №381 ВЛ-10кВ №106Н ПС 110/6/10 кВ «НС-1» для технологического присоединения энергопринимающих устройств жилого дома Заявителя Чухова Н.А.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</si>
  <si>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№166-9 ВЛ 0,4 кВ №1 КТП 10/0,4кВ №166 ВЛ 10кВ №1701 ПС 35/10 кВ А-17 для технологического присоединения энергопринимающих устройств жилого дома Заявителя Токаревой В.Л.,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</si>
  <si>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№153-58 ВЛ 0,4 кВ №1 КТП 10/0,4кВ №153 ВЛ 10кВ 915 ПС 35/10 кВ А-9 для технологического присоединения энергопринимающих устройств жилого дома Заявителя Ким Р.М., с.Платоно-Петровка,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</si>
  <si>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№156-69 ВЛ 0,4 кВ №2 КТП 10/0,4кВ №156 ВЛ 10кВ №1701 ПС 35/10 кВ А-17 для технологического присоединения энергопринимающих устройств жилого дома Заявителя Василевской С.А.,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</si>
  <si>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№187-2 ВЛ 0,4 кВ №1 КТП 10/0,4кВ №187 ВЛ 10кВ №106Н ПС 110/6/10 кВ НС-1 для технологического присоединения энергопринимающих устройств жилого дома Заявителя Эпова Е.Г., Кулешовское сельское поселение, территория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</si>
  <si>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№102-30 ВЛ-0,4 кВ №1 КТП 10/0,4кВ №102 ВЛ-10кВ №2907 РП-29 ПС 35/10 кВ А-18 для технологического присоединения энергопринимающих устройств жилого дома Заявителя Саинчук Е.А.,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</si>
  <si>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№196-6 ВЛ 0,4 кВ №1 КТП 10/0,4кВ №196 ВЛ 10кВ №3125 ПС 110/35/10 кВ А-31 для технологического присоединения энергопринимающих устройств жилого дома Заявителя Левченко А.В., с. 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</si>
  <si>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№222-32 ВЛ-0,4 кВ №1 КТП 10/0,4кВ №222 ВЛ-10кВ №901 ПС 35/10 кВ А-9 для технологического присоединения энергопринимающих устройств жилого дома Заявителя Гудимова Л.В., с. Высочино,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</si>
  <si>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№8-26 ВЛ 0,4 кВ №2 КТП 10/0,4кВ №8 ВЛ 10кВ №3125 ПС 110/35/10 кВ А-31 для технологического присоединения энергопринимающих устройств жилого дома Заявителя Горовенко Д. Ф.,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</si>
  <si>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КТП 10/0,4 кВ №279 (балансовая принадлежность ИП Усачев В.И. (п. Беловодье) по ВЛ 10кВ №1815 ПС 35/10 кВ А-18 для технологического присоединения энергопринимающих устройств жилого дома Заявителя Белоглазовой Т.В.,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</si>
  <si>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КТП-10/0,4 кВ №279 (балансовая принадлежность ИП Усачев В.И. (п. Беловодье) по ВЛ 10кВ №1815 ПС 35/10 кВ «А-18» для технологического присоединения энергопринимающих устройств жилого дома Заявителя Пузикова М. В.,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</si>
  <si>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ВЛ-0,4кВ КТП-10/0,4 кВ №279 (балансовая принадлежность КТП №279, ВЛ-0,4 кВ ИП Усачев В.И. (п. Беловодье) по ВЛ-10кВ №1815 ПС 35/10 кВ «А-18» для технологического присоединения энергопринимающих устройств жилого дома Заявителя Шавелевой Е.С., х. Обуховка,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</si>
  <si>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опоры №121-38 ВЛ-0,4 кВ №2 КТП 10/0,4кВ №121 ВЛ-10кВ №1904 РП-19 ПС 110/35/10 кВ «Самарская» для технологического присоединения энергопринимающих устройств жилого дома Заявителя Кашириной М.В., Азовский район Ростовская область (1шт.)</t>
  </si>
  <si>
    <t>Установка прибора коммерческого учета электрической энергии (мощности) на границе земельного участка, подключенного от опоры №112-23 ВЛ-0,4 кВ №1 КТП 10/0,4кВ №112 ВЛ-10кВ №3113 ПС 110/35/10 кВ «А-31» для технологического присоединения энергопринимающих устройств жилого дома Заявителя Василиади Т.Г.,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</si>
  <si>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№14-68 ВЛ 0,4 кВ №3 КТП 10/0,4кВ №14 ВЛ 10кВ №106Н ПС 110/6/10 кВ НС-1 для технологического присоединения энергопринимающих устройств жилого дома Заявителя Цой Н.Ч.,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</si>
  <si>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№156-104 ВЛ-0,4 кВ №3 КТП 10/0,4кВ №156 ВЛ-10кВ №1701 ПС 35/10 кВ А-17 для технологического присоединения энергопринимающих устройств жилого дома Заявителя Блок Е.А.,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</si>
  <si>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№49-15 ВЛ 0,4 кВ №1 КТП 10/0,4кВ №49 ВЛ 10кВ №1411 РП-14 ПС 110/35/10 кВ А-32 для технологического присоединения энергопринимающих устройств жилого дома Заявителя Верещагиной В.Н., п. Чепрасовский,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</si>
  <si>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№70-61 ВЛ 0,4 кВ №2 КТП 10/0,4кВ №70 ВЛ 10кВ №2608 ПС 110/10 кВ А-26 для технологического присоединения энергопринимающих устройств жилого дома Заявителя Волкова А.А.,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</si>
  <si>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№8-110 ВЛ 0,4 кВ №3 КТП 10/0,4кВ №8 ВЛ 10кВ №3125 ПС 110/35/10 кВ А-31 для технологического присоединения энергопринимающих устройств религиозного центра Заявителя МРОП Приход храма апостола Иоанна Богослова с. Пешково Азовского р-на,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</si>
  <si>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№88-77 ВЛ-0,4 кВ №3 КТП 10/0,4кВ №88 ВЛ 10кВ №3127 ПС 110/35/10 кВ А-31 для технологического присоединения энергопринимающих устройств жилого дома Заявителя Шибинской А.Б.,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</si>
  <si>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№38 (балансовая принадлежность Администрация Елизаветинского сельского поселения) ВЛ 10кВ №1802 ПС 35/10 кВ А-18 для технологического присоединения энергопринимающих устройств жилого дома Заявителя Попырко В.В.,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</si>
  <si>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 кВ КТП 10/0,4кВ №94 ВЛ-10кВ №2907 РП-29 ПС 35/10 кВ «А-18» для технологического присоединения энергопринимающих устройств гаража Мижерицкого Р.А. х. Казачий Ерик,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</si>
  <si>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 кВ КТП 10/0,4кВ №94 (на балансе Администрации Елизаветинского сельского поселения) ВЛ-10кВ №2907 РП-29 ПС 35/10 кВ «А-18» для технологического присоединения энергопринимающих устройств жилого дома Заявителя Белова И.В. х. Казачий Ерик, Азовский район Ростовская область (1 шт.)</t>
  </si>
  <si>
    <t>Строительство участка ВЛИ 0,4кВ от опоры №83-1 ВЛ-0,4 кВ №1 КТП 10/0,4 кВ №83 ВЛ-10кВ №1802 ПС 35/10 кВ А-18 и системы учета электрической энергии (мощности) на границе земельного участка для электроснабжения жилого дома заявителя Щёголева П.Ю., х. Дугино, Азовский район, Ростовская область (ориентировочная протяженность ЛЭП – 0,285 км)</t>
  </si>
  <si>
    <t>Установка прибора коммерческого учета электрической энергии (мощности) на границе земельного участка, подключенного от опоры № 50-25 ВЛ-0,4 №3 КТП-50 ВЛ-10 1004 ПС 110 кВ Полячки для технологического присоединения энергопринимающих устройств жилого дома заявителя Липчанского В. Н. , Ростовская область, р-н. Кагальницкий, х. Жуково-Татарский ул. Ленина д.44/2 (1 шт.)</t>
  </si>
  <si>
    <t>Установка прибора коммерческого учета электрической энергии (мощности) на границе земельного участка, подключенного от опоры №108-31 ВЛ-0,4 №1 КТП-108 ВЛ-10 304 ПС 35 кВ КГ3 для технологического присоединения энергопринимающих устройств ЛПХ Заявителя Смирнова И.М., Ростовская область, Кагальницкий р-н, ст. Кировская, ул. Ленина д.176 (1 шт.)</t>
  </si>
  <si>
    <t>Установка прибора коммерческого учета электрической энергии (мощности) на границе земельного участка, подключенного от опоры №121-40 ВЛ-0,4 №1 КТП-121 ВЛ-10 313 ПС 35 кВ КГ3 для технологического присоединения энергопринимающих устройств садового дома Заявителя Кузнецовой Т.В., Ростовская область, Аксайский р-н, СНТ «Садко», 16 линия уч. 799 (1 шт.)</t>
  </si>
  <si>
    <t>Установка прибора коммерческого учета электрической энергии (мощности) на границе земельного участка, подключенного от опоры №28-31 ВЛ-0,4 №1 ЗТП-28 ВЛ-10 313 ПС 35 кВ КГ3 для технологического присоединения энергопринимающих устройств ЛПХ Заявителя Ким Л.Л., Ростовская область, Кагальницкий р-н, ст. Кировская, ул. Космонавтов д.28 (1 шт.)</t>
  </si>
  <si>
    <t>Установка прибора коммерческого учета электрической энергии (мощности) на границе земельного участка, подключенного от опоры №67-82 ВЛ-0,4 №5 КТП-67 ВЛ-10 1210 ПС 110 кВ Манычская для технологического присоединения энергопринимающих устройств жилого дома Заявителя Кулишова А.А., Ростовская область, Зерноградский р-н, п. Сорговый, ул. Манычская д.6 (1 шт.)</t>
  </si>
  <si>
    <t>Установка прибора коммерческого учета электрической энергии (мощности) на границе земельного участка, подключенного от опоры №75-67 ВЛ-0,4 №3 КТП-75 ВЛ-10 1501 ПС 110 кВ ЗР15 для технологического присоединения энергопринимающих устройств магазина Заявителя Устиновой О.А., Ростовская область, Зерноградский р-н, п. Экспериментальный, ул. Шоссейная вблизи д.7 (1 шт.)</t>
  </si>
  <si>
    <t>Установка прибора коммерческого учета электрической энергии (мощности) на границе земельного участка, подключенного от опоры №98-23 ВЛ-0,4 №3 КТП-98 ВЛ-10 603 ПС 35 кВ ЗР6 для технологического присоединения энергопринимающих устройств квартиры заявителя Дехтярёвой В. В. , Ростовская область, р-н. Зерноградский х. Чернышёвка ул. Школьная д.42 кв.1 (1 шт.)</t>
  </si>
  <si>
    <t>Установка прибора коммерческого учета электрической энергии (мощности) на границе земельного участка, подключенного от оп. №39-23 ВЛ 0,4 кВ №1 КТП 10/0,4кВ №39 ВЛ 10кВ №802 ПС 35/10 кВ «А-8» для технологического присоединения энергопринимающих устройств дачного дома Заявителя Вовк Н.Г. х. Павло-Очаково,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</si>
  <si>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№105-10 ВЛ 0,4 кВ №1 КТП 10/0,4кВ №105 ВЛ 10кВ №2608 ПС 110/10 кВ А-26 для технологического присоединения энергопринимающих устройств жилого дома Заявителя Новиковой Е.О.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</si>
  <si>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№350-62/27 ВЛ-0,4 кВ №2 КТП 6/0,4кВ №350 ВЛ-6кВ №207Н ПС 110/6/10 кВ «НС-2» для технологического присоединения энергопринимающих устройств дачного дома Заявителя Донец Т.Н., СТ «Квант»,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</si>
  <si>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№100-78 ВЛ 0,4 кВ №2 КТП 10/0,4кВ №100 ВЛ 10кВ №2412 ПС 35/10 кВ А-24 для технологического присоединения энергопринимающих устройств жилого дома Заявителя Широкова С.А., х. Лагутник,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</si>
  <si>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№21-17 ВЛ 0,4 кВ №1 КТП 10/0,4кВ №21 ВЛ 10кВ №1702 ПС 35/10 кВ А-17 для технологического присоединения энергопринимающих устройств жилого дома Заявителя Скорятина С.В.,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</si>
  <si>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№48-24 ВЛ 0,4 кВ №2 КТП 10/0,4кВ №48 ВЛ 10кВ №1815 ПС 35/10 кВ А-18 для технологического присоединения энергопринимающих устройств жилого дома Заявителя Амирагян Н.А., Рыболовецкий колхоз им.Ленина в границах квартала 61:01:0600002 на территории Елизаветинского сельского поселения от ПТ "Пять братьев",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</si>
  <si>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№240-144 ВЛ 0,4 кВ №3 КТП 10/0,4кВ №240 ВЛ 10кВ №106Н ПС 110/6/10 кВ НС-1 для технологического присоединения энергопринимающих устройств жилого дома Заявителя Карпун Ю.И.,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</si>
  <si>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№311-12 ВЛ 0,4 кВ №1 КТП 10/0,4кВ №311 ВЛ 10кВ №106Н ПС 110/6/10 кВ НС-1 для технологического присоединения энергопринимающих устройств жилого дома Заявителя Сурма И.М.,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</si>
  <si>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№381-39 ВЛ 0,4 кВ №1 КТП 10/0,4кВ №381 ВЛ 10кВ №106Н ПС 110/6/10 кВ НС-1 для технологического присоединения энергопринимающих устройств жилого дома Заявителя Мищенко Е.А.,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</si>
  <si>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№381-93 ВЛ 0,4 кВ №2 КТП 10/0,4кВ №381 ВЛ 10кВ №106Н ПС 110/6/10 кВ НС-1 для технологического присоединения энергопринимающих устройств жилого дома Заявителя Морозова Р.А.,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</si>
  <si>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№113-4 ВЛ 0,4 кВ №1 КТП 10/0,4кВ №113 ВЛ 10кВ №3125 ПС 110/35/10 кВ А-31 для технологического присоединения энергопринимающих устройств жилого дома Заявителя Исоченко Е.Н., с. 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</si>
  <si>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№115-124 ВЛ 0,4 кВ №3 КТП 10/0,4кВ №115 ВЛ 10кВ №3125 ПС 110/35/10 кВ А-31 для технологического присоединения энергопринимающих устройств жилого дома Заявителя Ивановой Л.И.,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</si>
  <si>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ВЛ-0,4кВ (бесхозная) КТП 6/0,4 кВ №101 по ВЛ 6кВ №10701 ПС 110/35/6 кВ А-1 для технологического присоединения энергопринимающих устройств жилого дома Заявителя Марченко М.И., г. Азов, Ростовская область (1 шт.)</t>
  </si>
  <si>
    <t>Строительство участка ВЛИ 0,4кВ от опоры №9-1 ВЛ-0,4 кВ №1 КТП 10/0,4 кВ №9 ВЛ-10 кВ 3125 ПС 110/35/10 кВ А-31 и системы учета электрической энергии (мощности) на границе земельного участка для электроснабжения жилого дома заявителя Резниченко М.В., с. Пешково, Азовский район, Ростовская область (ориентировочная протяженность ЛЭП – 0,220 км)</t>
  </si>
  <si>
    <t>Установка прибора коммерческого учета электрической энергии (мощности) на границе земельного участка, подключенного от опоры №б/н ВЛ-0,4 кВ КТП 10/0,4кВ №38 (балансовая принадлежность Администрация Елизаветинского сельского поселения) ВЛ-10кВ №1802 ПС 35/10 кВ «А-18» для технологического присоединения энергопринимающих устройств гаража Заявителя Зинченко А.И.,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</si>
  <si>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№194-7 ВЛ-0,4 №2 КТП-194 ВЛ-10 313 ПС 35 кВ КГ3 для технологического присоединения энергопринимающих устройств административного здания Заявителя Беджанян С.К., Ростовская область, Кагальницкий р-н, ст. Кировская, ул. Кирова д.8В (1 шт.)</t>
  </si>
  <si>
    <t>Установка приборов коммерческого учета электрической энергии (мощности) для технологического присоединения энергопринимающих устройств жилого дома Заявителя Стельмашова С.Б., ст-ца Елизаветинская,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</si>
  <si>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№16-151 ВЛ 0,4 кВ №3 КТП 10/0,4кВ №16 ВЛ 10кВ №2608 ПС 110/10 кВ А-26 для технологического присоединения энергопринимающих устройств жилого дома Заявителя Моховой Л.Н. с. Кулешовка,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</si>
  <si>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Булгаковой О.Т., Минко О.Ю., Гиносян М.Б.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</si>
  <si>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 №182-12 ВЛ-0,4кВ №1 КТП-10/0,4 кВ №182 ВЛ-10кВ №3127 ПС 110/35/10 кВ «А-31» для технологического присоединения энергопринимающих устройств жилого дома Заявителя Баталовой Е.В., с.Круглое,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</si>
  <si>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№66-77 ВЛ-0,4 кВ №2 КТП 10/0,4кВ №66 ВЛ-10кВ №2608 ПС 110/10 кВ А-26 для технологического присоединения энергопринимающих устройств жилого дома Заявителя Мухонько Ю.Н.,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</si>
  <si>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№143-29 ВЛ-0,4 кВ №2 КТП-10/0,4 кВ №143 по ВЛ-10 кВ № 802 ПС 35/10 кВ «А-8» для технологического присоединения энергопринимающих устройств жилого дома Заявителя Поповченковой Л.И., х. Павло-Очаково,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</si>
  <si>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№27-100 ВЛ-0,4 кВ №4 КТП-10/0,4 кВ №27 по ВЛ-10 кВ № 1701 ПС 35/10 кВ «А-17» для технологического присоединения энергопринимающих устройств жилого дома Заявителя Талпа Ж.В.,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</si>
  <si>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№212-29 ВЛ 0,4 кВ №2 КТП 10/0,4кВ №212 ВЛ 10кВ №910 ПС 35/10 кВ А-9 для технологического присоединения энергопринимающих устройств жилого дома Заявителя Тиверкаева В.В., г. Азов, СНТ Южное, Азовский район Ростовская область (1 шт.)</t>
  </si>
  <si>
    <t>Строительство участка ВЛИ 0,4кВ от проектируемой ВЛ 0,4 кВ (по договору ТП № 61-1-20-00549235 от 01.02.2021 г.)  КТП 10/0,4 кВ №192 ВЛ-10 кВ №1020 ПС 110/35/10 кВ Самарская и системы учета электрической энергии (мощности) на границе земельного участка для электроснабжения жилого дома заявителя Павловской Н.А., с. Самарское, Азовский район, Ростовская область (ориентировочная протяженность ЛЭП – 0,190 км)</t>
  </si>
  <si>
    <t>Строительство участка ВЛИ 0,4 кВ от оп. №28-40 ВЛ-0,4 №1 от ЗТП-28 по ВЛ-10 313 ПС 35 кВ КГ3 и системы учета электрической энергии (мощности) на границе земельного участка для электроснабжения жилого дома заявителя Радченко А.А., Ростовская область, Кагальницкий р-н, ст. Кировская, ул. Северная д.11 (ориентировочная протяженность ВЛИ-0,4  – 0,03 км)</t>
  </si>
  <si>
    <t>Установка прибора коммерческого учета электрической энергии (мощности) на границе земельного участка, подключенного от опоры №28-17 ВЛ 0,4 №2 КТП-28 ВЛ-10 1006 ПС 110 кВ Полячки для технологического присоединения энергопринимающих устройств жилого дома Заявителя Мартыновского Ю.В., Ростовская область, Кагальницкий р-н, х. Родники, к.н: 61:14:0000000:00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</si>
  <si>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Митьковой В.И., Ильченко Н.В., Азовский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</si>
  <si>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№31-150 ВЛ 0,4 кВ №2 КТП 10/0,4кВ №31 ВЛ 10кВ №2907 РП-29 ПС 35/10 кВ А-18 для технологического присоединения энергопринимающих устройств жилого дома Заявителя Дегтяренко А.В., ст-ца. Елизаветинская,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</si>
  <si>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№352-44 ВЛ-0,4 кВ №3 КТП 6/0,4кВ №352 ВЛ-6кВ №207Н ПС 110/6/10 кВ «НС-2» для технологического присоединения энергопринимающих устройств жилого дома Заявителя Дережинцева А.С., СТ «Квант»,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</si>
  <si>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№42-57 ВЛ 0,4 кВ №2 КТП 10/0,4кВ №42 ВЛ 10кВ №1802 ПС 35/10 кВ А-18 для технологического присоединения энергопринимающих устройств жилого дома Заявителя Владимирова В.Н., х. Рогожкино,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</si>
  <si>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 №381-47 ВЛ-0,4 кВ №1 КТП 10/0,4кВ №381 ВЛ-10кВ №106Н ПС 110/6/10 кВ «НС-1» для технологического присоединения энергопринимающих устройств жилого дома Заявителя Степанян С.Ш., Азовский район Ростовская область (1шт.)</t>
  </si>
  <si>
    <t>Установка приборов коммерческого учета электрической энергии (мощности) на границе земельного участка, подключенного от опоры оп. №56-19 ВЛ-0,4 кВ №2 КТП 10/0,4кВ №56 ВЛ-10кВ №2907 РП-29 ПС 35/10 кВ «А-18» для технологического присоединения энергопринимающих устройств жилого дома Заявителя Кондрашовой Л.Л., Азовский район Ростовская область (1 шт.)</t>
  </si>
  <si>
    <t>Строительство участка ВЛИ 0,4кВ от опоры №100-34 ВЛ 0,4 кВ №1 КТП 10/0,4 кВ №100 ВЛ 10 кВ №2412 от ПС 35/10 кВ А-24 и системы учета электрической энергии (мощности) на границе земельного участка для электроснабжения жилого дома заявителя Ромазанова А.М., х. Лагутник, Азовский район, Ростовская область (ориентировочная протяженность ЛЭП – 0,075 км)</t>
  </si>
  <si>
    <t>Установка прибора коммерческого учета электрической энергии (мощности) на границе земельного участка, подключенного от опоры №115-73 ВЛ-0,4 кВ №4 КТП 10/0,4кВ №115 ВЛ-10кВ №3125 ПС 110/35/10 кВ «А-31» для технологического присоединения энергопринимающих устройств жилого дома Заявителя Дилановой С.С.,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</si>
  <si>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№29-51 ВЛ 0,4 кВ №1 ЗТП 10/0,4кВ №29 КЛ 10кВ №1205 ПС 110/10 кВ А-12 для технологического присоединения энергопринимающих устройств жилого дома Заявителя Дзыс Ю.П.,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</si>
  <si>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№45-15 ВЛ 0,4 кВ №2 КТП 10/0,4кВ №45 ВЛ 10кВ №2907 РП-29 ПС 35/10 кВ А-18 для технологического присоединения энергопринимающих устройств жилого дома Заявителя Беляндинова А.Ф., х. Курган,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</si>
  <si>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№89-27 ВЛ 0,4 кВ №1 КТП 10/0,4кВ №89 ВЛ 10кВ №803 ПС 35/10 кВ А-8 для технологического присоединения энергопринимающих устройств жилого дома Заявителя Грачевой Т.И., с. Семибалки,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</si>
  <si>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№37 (балансовая принадлежность Администрация Елизаветинского с/п) ВЛ 10кВ №1802 ПС 35/10 кВ А-18 для технологического присоединения энергопринимающих устройств жилого дома Заявителя Старовой А.А. х. Дугино, Азовский район Ростовская область (1 шт.)</t>
  </si>
  <si>
    <t>Установка коммерческого учета электрической энергии (мощности) на границе земельного участка, подключенного от опоры №187-54 ВЛ 0,4кВ №2 КТП 10/0,4кВ №187 по ВЛ 10кВ №106Н ПС 110/6/10кВ "НС-1" для электроснабжения жилого дома заявителя Бязровой А.Г., ДНТ "Кулешовка", Ростовская область</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</si>
  <si>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Собакина В.А., Живой Л.А., Козаченко Т.П., Азовский р-он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</si>
  <si>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Моисеенко Н.А., Ефимова В.В., Досова С.В., Деевой О.Л., Пронина А.Г., Прудько Н.М., Азовский р-он Ростовская область (6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</si>
  <si>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Бондаренко А.И., Кваша Д.Р., Джуммиевой М.Д., ООО «Азовская Рыбная компания», Масловой Е.М., Дрюкова Ю.В., Самохвалова И.Г., Ецинер А.П., Азовский р-он Ростовская область (8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</si>
  <si>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Мелиховой Т.О., Хоткина А.А., Зайцева К.С., Федорцова В.В., Кылосовой Л.Г., Жукова В.В., Азовский р-он Ростовская область (6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</si>
  <si>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Авдеевой И.В., Шкиль Д.Е.,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</si>
  <si>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Карпенко А.А., Савельевой Е.Н., Костюченко А.А.,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</si>
  <si>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№107-47 ВЛ-0,4 №2 КТП-107 ВЛ-10 122 ПС 220 кВ Зерновая для технологического присоединения энергопринимающих устройств ЛПХ Заявителя Гаркушиной Т.П., Ростовская область, Зерноградский р-н, х. Ракитный, ул. Заречная д.31Б (1 шт.)</t>
  </si>
  <si>
    <t>Установка прибора коммерческого учета электрической энергии (мощности) на границе земельного участка, подключенного от опоры №109-94 ВЛ-0,4 №3 КТП-109 ВЛ-10 805 ПС 110 кВ БОС для технологического присоединения энергопринимающих устройств жилого дома Заявителя Гужвы Е.А., Ростовская область, Кагальницкий р-н, п. Мокрый Батай, ул. Солнечная д.39А (1 шт.)</t>
  </si>
  <si>
    <t>Установка прибора коммерческого учета электрической энергии (мощности) на границе земельного участка, подключенного от опоры №44-4 ВЛ-0,4 №2 КТП-44 ВЛ-10 806 ПС 35 кВ ЗР8 для технологического присоединения энергопринимающих устройств жилого дома Заявителя Гурина С.В., Ростовская область, Зерноградский р-н, х. Донской, ул. Черемушки д.3 кв.1 (1 шт.)</t>
  </si>
  <si>
    <t>Установка прибора коммерческого учета электрической энергии (мощности) на границе земельного участка, подключенного от опоры №135-14 ВЛ-0,4 №1 КТП-135 ВЛ-10 805 от ПС 110 кВ БОС для технологического присоединения энергопринимающих устройств ЛПХ Заявителя Зайло Р.М., Ростовская область, р-н. Кагальницкий, п. Мокрый Батай , ул. Мира (1 шт.)</t>
  </si>
  <si>
    <t>Установка прибора коммерческого учета электрической энергии (мощности) на границе земельного участка, подключенного от опоры №54-32 ВЛ 0,4 №1 КТП-54 ВЛ-10 318 ПС 35 кВ КГ3 для технологического присоединения энергопринимающих устройств жилой дом Заявителя Нестеренко А.В., Ростовская область, Кагальницкий р-н, ст. Кировская, ул. Гагарина д.40 (1 шт.)</t>
  </si>
  <si>
    <t>Установка прибора коммерческого учета электрической энергии (мощности) на границе земельного участка, подключенного от опоры №2-80 ВЛ-10 313 ПС 35 кВ КГ3 для технологического присоединения энергопринимающих устройств КТП Заявителя ОАО" Российские железные дороги" , Ростовская область, р-н. Кагальницкий, п. Мокрый Батай, перегон Конармейская-Мокрый Батай, железнодорожный переезд 22км (1 шт.)</t>
  </si>
  <si>
    <t>Установка прибора коммерческого учета электрической энергии (мощности) на границе земельного участка, подключенного от опоры №89-45 ВЛ 0,4 №2 КТП-89 ВЛ-10 1207 ПС 110 кВ Манычская для технологического присоединения энергопринимающих устройств квартиры Заявителя Пономарева В.В., Ростовская область, Зерноградский р-н, п. Сорговый, ул. Заполосная д.15 кв.3 (1 шт.)</t>
  </si>
  <si>
    <t>Установка прибора коммерческого учета электрической энергии (мощности) на границе земельного участка, подключенного от опоры №55-43 ВЛ-0,4 №1 КТП-55 ВЛ-10 1107 ПС 35 кВ ЗР11 для технологического присоединения энергопринимающих устройств жилого дома Заявителя Суханова А.А., Ростовская область, Зерноградский р-н, с. Новоивановка, ул. Школьная д.16 (1 шт.)</t>
  </si>
  <si>
    <t>Установка прибора коммерческого учета электрической энергии (мощности) на границе земельного участка, подключенного от опоры №130-46 ВЛ 0,4 №2 КТП-130 ВЛ-10 407 ПС 35 кВ КГ4 для технологического присоединения энергопринимающих устройств жилой дом Заявителя Тимошенко Т.А., Ростовская область, Кагальницкий р-н, п. Двуречье, ул. Советская д.18Б (1 шт.)</t>
  </si>
  <si>
    <t>Установка прибора коммерческого учета электрической энергии (мощности) на границе земельного участка, подключенного от опоры №1-3 ВЛ-0,4 №1 КТП-1 ВЛ-10 114 ПС 220 кВ Зерновая для технологического присоединения энергопринимающих устройств квартиры Заявителя Шаповаловой Е.А., Ростовская область, Зерноградский р-н, п. Кленовый, ул. Сидоренко д.5 кв.2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</si>
  <si>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Твердохлебовой Л.В., Карапетян В.С., Шматко А.А., Яковенко А.Н., Петрунько Л.В., Ильченко М.П., Чемоданова В.И., Азовский р-он Ростовская область (7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</si>
  <si>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Кравченко Ю.А., Кирсанова В.В., Цепиловой А.П., ООО «Мелиоратор», Жуковой Т.Г., Постоялко В.Т., Кравцовой Е.И., Кириллова Ю.А., Азовский р-он Ростовская область (8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</si>
  <si>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Бакуменко Р.В., Артемова Г.К., Евшиной И.А., Медведева А.В., Кизельской О.Ф., Демидченко С.Н., Сакевич О.И., Сытник В.Н., Зозуля О.С., Ординцова С.В., Азовский р-он Ростовская область (10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</si>
  <si>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Александровой Н.Ф., Гуровой Е.А., Локтюхова М.Ю., Шумейко Н.В., Белкания Н.В., Непейвода Н.Г., Гринченко И.И. Азовский р-он Ростовская область (7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</si>
  <si>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Назаренко А.В., Шпаковой О.Н., Лысенко С.М., Потапенко В.А., Батехиной И.В., Юрченко А.Н., Попова И.Ю., Красюченко Г.В., Барыкиной С.А., Процевской А.Н., Азовский р-он Ростовская область (10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</si>
  <si>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Стецурина Н.П., Арентова В.В., Воробьева К.В., Гридиной М.Ф., Божко Л.Л., Лобаченко Е.С., Пушкаренко Д.С., Жовницкого И.Е., Коноваловой О.В., Конопля С.А., Азовский р-он Ростовская область (11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</si>
  <si>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Плахотнюк Е.О., ООО «Константин Инвест Капитал», Азовский р-он Ростовская область (6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</si>
  <si>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Черняковой О.А., Хлынина С.П., Колобовой Н.А., Симухина Е.Н., Копылова С.В., Жатько Л.А., Киркина В.А., Демченко Е.В., ИП Романцова М.М., Хорольского Д.В., Хачик А.Г., Азовский район Ростовская область (11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</si>
  <si>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Липовец И.И., Дворникова В.В., Поник Т.В., Куриловой Т.И., Азовский район Ростовская область (4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</si>
  <si>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Новиковой Г.В., Еровченко А.Н., Щепина И.В.,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</si>
  <si>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Савва С.В., Валентиенко А.И.,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</si>
  <si>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Авдеева Ю.Н., Белозеровой В.В., Сорокиной А.А.,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</si>
  <si>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 163-47 ВЛ-0,4 № 2 МТП-163  ВЛ-10 909 ПС 110кВ Балко-Грузская для технологического присоединения энергопринимающих устройств жилого дома Заявителя Рыбкина Д.А., х.Тавричанка, Егорлыкский район, Ростовская область, к.н. 61:10:0020501:1220 (1 шт.)</t>
  </si>
  <si>
    <t>Строительство системы учета для технологического присоединения энергопринимающих устройств Заявителей: Кондратьевой Н.А., Чернышовой О.Ю., Галаганенко Т.А., Карначёвой А.П., Зурначян М.Г., Колоскова О.Г., Михай Б.Д., Милорадовой Н.Р., Азовский р-он Ростовская область</t>
  </si>
  <si>
    <t>Строительство системы учета для технологического присоединения энергопринимающих устройств Заявителей: Хорошун В.Л., Картамышевой И.Е., Ярового В.В., Аветисяна М.В., Павлова С.С., Ким И.А., Кузьменко В.Ю., Коршик В.Г., Лиханова В.А., Азовский р-он Ростовская область</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</si>
  <si>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Шабалина Е.Г., Токарева В.А., Потий В.И., Топилина Д.А., Богомазова К.И., ООО «Югтехмаш», Колодкина Д.С., Шершень А.А., Козловой Т.А., Заргарян А.Г., Чорба Т.К., Азовский р-он Ростовская область (11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</si>
  <si>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Гринченко И.В., Геворгян Р.М., Горов В.А., Борисовой А.Ю., Манченко А.В., Стриженок А.П., Плохенко Г.И., Азовский р-он Ростовская область (7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</si>
  <si>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Марчук С.В., Воронко Н.А., Хаустовой А.А., Казанской Е.А., Сиваковой Л.С., Лукашовой Л.Л., Заргарян Г.Г., Кисляковой Т.Н., Пешкова А.В., Карпенко А.И., Королева А.К., Марковой И.Г., Сорокиной Д.А., Кутир П.А., Степанянц В.Д., Медянник О.Е., Кояева Л.Ш., Юрченко А.К., Тагаева А.Н., Азовский р-он Ростовская область (19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</si>
  <si>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Бруйко Д.Б., Еремина М.Н., Самсонова В.В., Чернышовой Ю.Б., Дудкина И.В., Суперт О.О., Сирота Е.Н., Шестеркина А.И., Юрченко Н.А., Сониной О.Г., Казарян Р.Л., Хильчевской М.В. Азовский р-он Ростовская область (13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</si>
  <si>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Басаранович И.И., Кацуба О.В., Финаевой Е.И., Хмуренко К.О., Соломатиной И.В., Азовский р-он Ростовская область (5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</si>
  <si>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Скиба Л.Н., Папикян Г.Г., Зотовой Т.Г., Утесова Н.А., Бойченко С.В.,Кобцева В.В., Прищеповой М.М., Воробьева К.В., Михетко Т.А.,Актишан Я.И., Азовский р-он Ростовская область (10шт.)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</si>
  <si>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Сизовой Т.Г., Березовской Л.Д., Омарова А.М., Полуботко А.Н., Хомяковой Т.Т., Рындя Н.В., Болтенкова Ю.А., Азовский р-он Ростовская область (7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</si>
  <si>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Мальгина Ю.А., Кушнерик Ю.А., Хегай Б., Мартынова В.А., Поцыбенко С.И., Лупанова В.О., Азовский р-он Ростовская область (6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</si>
  <si>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Юсуповой А.С., Башкова Р.В., Дегтяревой Ю.И., Лашина А.Ю., Азовский р-он Ростовская область (4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</si>
  <si>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Садчикова В.В., ИП Шингаревой Л.Е., Ковалевой Л.И., Бобыревой А.А., Мухамедова И.И., Алексеенко В.А., Журовой Л.П., Ольшанского С.В., Рябыкина Д.А., Скрипникова Б.А., Азовский район Ростовская область (15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</si>
  <si>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Мошонкина С.В., Лоскутова И.В., Мамасуева В.Т., Бойко М.Н., Джурко А.В., Дубовик Е.Б., Крючкова А.А., Ефанова А.В., Рыкалова Д.В., Галушкина А.В., Алиева В.Ф., Тугушева Р.Ш., Аксенюк К.А., Азовский район Ростовская область (13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</si>
  <si>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Курбацкой Е.И., Ващенко С.В., Азовский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</si>
  <si>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№34-19 ВЛ 0,4 кВ №1 КТП 10/0,4кВ №34 ВЛ 10кВ №1101 ПС 35/10 кВ А-11 для технологического присоединения энергопринимающих устройств жилого дома Захарченко Д.А. с.Кагальник,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</si>
  <si>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(бесхозная) КТП 6/0,4 кВ №101 по ВЛ 6кВ №10701 ПС 110/35/6 кВ «А-1» для технологического присоединения энергопринимающих устройств жилого дома Заявителя Марченко М.И. г. Азов,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</si>
  <si>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No211-97 ВЛ-0,4кВ No5 КТП10/0,4кВ No211 ВЛ-10кВ No910 ПС 35/10 кВ «А-9» для технологического присоединения энергопринимающих устройств жилого дома Заявителя Горового И.О., ДНТ «Южное»,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</si>
  <si>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№189-13 ВЛ 0,4 кВ №1 КТП 10/0,4кВ №189 ВЛ 10кВ №1802 ПС 35/10 кВ А-18 для технологического присоединения энергопринимающих устройств жилого дома Заявителя Мелащенко Н.И., х. Донской,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</si>
  <si>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№200-16 ВЛ 0,4 кВ №2 КТП 10/0,4кВ №200 ВЛ 10кВ №1019 ПС 110/35/10 кВ Самарская для технологического присоединения энергопринимающих устройств жилого дома Заявителя Коваленко И.А.,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</si>
  <si>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№351-1 ВЛ 0,4 кВ №2 КТП 6/0,4кВ №351 ВЛ 6кВ №207Н ПС 110/6/10 кВ НС-2 для технологического присоединения энергопринимающих устройств дачного дома Заявителя Волиной С.В., СТ «Квант»,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</si>
  <si>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№40-55 ВЛ 0,4 кВ №2 КТП 10/0,4кВ №40 ВЛ 10кВ №1802 ПС 35/10 кВ А-18 для технологического присоединения энергопринимающих устройств жилого дома Заявителя Ерёменко Н.С.,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</si>
  <si>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№119-53 ВЛ 0,4 кВ №2 КТП 10/0,4кВ №119 ВЛ 10кВ №1101 ПС 35/10 кВ А-11 для технологического присоединения энергопринимающих устройств жилого дома Заявителя Карзакова Д.Ю.,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</si>
  <si>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№181-35 ВЛ 0,4 кВ №2 КТП 10/0,4кВ №181 ВЛ 10кВ №3113 ПС 110/35/10 кВ А-31 для технологического присоединения энергопринимающих устройств жилого дома Заявителя Гайдаровой С.Р.,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</si>
  <si>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№212-11 ВЛ 0,4 кВ №1 КТП 10/0,4кВ №212 ВЛ 10кВ №910 ПС 35/10 кВ А-9 для технологического присоединения энергопринимающих устройств жилого дома Заявителя Курилова В.Н., г. Азов, СНТ «Звездное»,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</si>
  <si>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№34-4 ВЛ 0,4 кВ №1 КТП 10/0,4кВ №34 ВЛ 10кВ №1904 РП-19 ПС 110/35/10 кВ Самарская для технологического присоединения энергопринимающих устройств жилого дома Заявителя Губиева А.З., с. 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</si>
  <si>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№40-23 ВЛ-0,4 кВ №1 КТП 10/0,4кВ №40 ВЛ-10кВ №1802 ПС 35/10 кВ А-18 для технологического присоединения энергопринимающих устройств жилого дома Заявителя Солдатова А.А.,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</si>
  <si>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№44-28 ВЛ 0,4 кВ №1 КТП 10/0,4кВ №44 ВЛ 10кВ №3125 ПС 110/35/10 кВ А-31 для технологического присоединения энергопринимающих устройств жилого дома Заявителя Гавришевой С.Г.,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</si>
  <si>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№58-80 ВЛ 0,4 кВ №2 КТП 10/0,4кВ №58 ВЛ 10кВ №2204 РП-22 ПС 110/35/10 кВ Самарская для технологического присоединения энергопринимающих устройств жилого дома Заявителя Селина А.В., х. Левобережный,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</si>
  <si>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№69-56 ВЛ 0,4 кВ №2 КТП 10/0,4кВ №69 ВЛ 10кВ №307Н ПС 110/35/6/10 кВ НС-3 для технологического присоединения энергопринимающих устройств жилого дома Заявителя Кириченко Н.И., с. Васильево-Петровское,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</si>
  <si>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№68 (балансовая принадлежность Администрация Кагальницкого сельского поселения) ВЛ 10кВ №1107 ПС 35/10 кВ А-11 для технологического присоединения энергопринимающих устройств жилого дома Заявителя Бец Э.В.,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</si>
  <si>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ВЛ 0,4, КТП 10/0,4 кВ №336 Котиева Т.М.) ВЛ 10кВ №211 ПС 35/10 кВ А-2 для технологического присоединения энергопринимающих устройств жилого дома Заявителя Аксеновой Н.А.,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</si>
  <si>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№79-21 ВЛ 0,4 кВ №4 КТП 10/0,4кВ №79 ВЛ 10кВ №1901 РП-19 ПС 110/35/10 кВ Самарская для технологического присоединения энергопринимающих устройств жилого помещения Заявителя Гудзь Г.Ф., п. Каяльский,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</si>
  <si>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№35 ВЛ 10кВ №1814 ПС 35/10 кВ А-18 для технологического присоединения энергопринимающих устройств жилого дома Заявителя Емельяновой К.А., х. Дугино, Азовский район Ростовская область (1 шт.)</t>
  </si>
  <si>
    <t xml:space="preserve">Установка прибора коммерческого учета электрической энергии (мощности) на границе земельного участка, подключенного от опоры №201-35 ВЛ-0,4 кВ №2 КТП 10/0,4кВ №201 ВЛ-10кВ №1019 ПС 110/35/10 кВ Самарская для технологического присоединения энергопринимающих устройств хозяйственного строения Заявителя Лохового А.А., х.Победа, Азовский район Ростовская область (1 шт.)
</t>
  </si>
  <si>
    <t>Установка прибора коммерческого учета электрической энергии (мощности) на границе земельного участка, подключенного от опоры №5-74 ВЛ-0,4 кВ №1 КТП 10/0,4кВ №5 ВЛ 10кВ №1702 ПС 35/10 кВ А-17 для технологического присоединения энергопринимающих устройств жилого дома Заявителя Меджидовой Е.А.,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</si>
  <si>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№37 (балансовая принадлежность Администрация Елизаветинского сельского поселения) ВЛ-10кВ №1802 ПС 35/10 кВ А-18 для технологического присоединения энергопринимающих устройств жилого дома Заявителя Михеевой Е.Ф.,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</si>
  <si>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Котиева Т.М.) ВЛ 10кВ №211 ПС 35/10 кВ А-2 для технологического присоединения энергопринимающих устройств жилого дома Заявителя Шамраевой В.В.,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</si>
  <si>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№84-36 ВЛ-0,4 №2 КТП-84 ВЛ-10 415 ПС 35 кВ КГ4 для технологического присоединения энергопринимающих устройств жилого дома Заявителя Реук И.Ю., Ростовская область, Кагальницкий р-н, х. Черниговский, пер. Донской д.25 (1 шт.)</t>
  </si>
  <si>
    <t>Установка прибора коммерческого учета электрической энергии (мощности) на границе земельного участка, подключенного от опоры №17-22 ВЛ-0,4 №2 КТП-17 ВЛ-10 605 ПС 35 кВ КГ6 для технологического присоединения энергопринимающих устройств ЛПХ Заявителя Спицына В.А., Ростовская область, Кагальницкий р-н, п. Новобатайск, ул. Крым-Гиреевская д.26В (1 шт.)</t>
  </si>
  <si>
    <t>Установка прибора коммерческого учета электрической энергии (мощности) на границе земельного участка, подключенного от опоры №29-14 ВЛ 0,4 кВ №1 КТП 10/0,4кВ №29 ВЛ 10кВ №1411 РП-14 ПС 110/35/10 кВ А-32 для технологического присоединения энергопринимающих устройств жилого дома Заявителя Доценко А.А., х. Полтава 1-я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</si>
  <si>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№29-5 ВЛ-0,4кВ №1 КТП-10/0,4 кВ №29 ВЛ-10кВ №3113 ПС 110/35/10 кВ А-31 для технологического присоединения энергопринимающих устройств жилого дома Заявителя Луговенко Н.А., с.Головатовка,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</si>
  <si>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ВЛ-0,4кВ КТП-10/0,4 кВ №35 (балансовая принадлежность Администрация Елизаветинского сельского поселения) ВЛ-10кВ №1814 ПС 35/10 кВ А-18 для технологического присоединения энергопринимающих устройств жилого дома Заявителя Яковлевой Е.В., х.Обуховка,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</si>
  <si>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№43-17 ВЛ-0,4 кВ №1 КТП 10/0,4 кВ №43 по ВЛ 10 кВ №1802 ПС 35/10 кВ А-18 для технологического присоединения энергопринимающих устройств жилого дома Заявителя Кушнарева И.С., х.Рогожкино,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</si>
  <si>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№206-5 ВЛ-0,4кВ №1 КТП-10/0,4 кВ №206 ВЛ-10кВ №3113 ПС 110/35/10 кВ А-31 для технологического присоединения энергопринимающих устройств жилого дома Заявителя Мещеряковой Н.Э., с. Пешково, Азовский район, Ростовская область, к.н. 61:01:0140101:8126 (1 шт.)</t>
  </si>
  <si>
    <t>Установка прибора коммерческого учета электрической энергии  (мощности) на границе земельного участка, подключенного от опоры №101-29 ВЛ-0,4 кВ №2 КТП 10/0,4кВ №101 ВЛ-10кВ №1904 РП-19 ПС 110/35/10 кВ Самарская для технологического присоединения энергопринимающих устройств жилого дома Заявителя Мигас Н.С., с. Новотроицкое, Азовский район, Ростовская область, к.н. 61:01:0040801:1808 (1 шт.)</t>
  </si>
  <si>
    <t>Установка прибора коммерческого учета электрической энергии (мощности) на границе земельного участка, подключенного от опоры №34-4 ВЛ 0,4 кВ №1 КТП 10/0,4кВ №34 ВЛ 10кВ №1101 ПС 35/10 кВ А-11 для технологического присоединения энергопринимающих устройств нежилого помещения Заявителя Олефиренко Ю.Е., с. Кагальник, Азовский район, Ростовская область, к.н. 61:01:0060101:12573 (1 шт.)</t>
  </si>
  <si>
    <t xml:space="preserve">Установка прибора коммерческого учета электрической энергии (мощности) на границе земельного участка, подключенного от опоры №189-14 ВЛ-0,4кВ №1 КТП-10/0,4 кВ №189 ВЛ-10кВ №1802 ПС 35/10 кВ А-18 для технологического присоединения энергопринимающих устройств жилого дома Заявителя Пухкало Е.И., х. Донской, Азовский район, Ростовская область, к.н. 61:01:0060201:155(1 шт.)
</t>
  </si>
  <si>
    <t>Установка прибора коммерческого учета электрической энергии (мощности) на границе земельного участка, подключенного от опоры №121-55 ВЛ-0,4 кВ №3 КТП 10/0,4 кВ №121 по ВЛ 10 кВ №1904 РП 19 ПС 110/35/10 кВ  для технологического присоединения энергопринимающих устройств жилого дома Заявителя Скорняковой А.В., с.Новотроицкое,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</si>
  <si>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№60-66 ВЛ-0,4 №3 КТП-60 ВЛ-10 318 ПС 35 кВ КГ3 для технологического присоединения энергопринимающих устройств ЛПХ Заявителя Куфиловой Л.С., Ростовская область,   Кагальницкий р-н, х. Николаевский, к.н.:61:14:0050701:626 (1 шт)</t>
  </si>
  <si>
    <t>Установка прибора коммерческого учета электрической энергии (мощности) на границе земельного участка, подключенного от опоры №54-30 ВЛ-0,4 №1 КТП-54 ВЛ-10 318 ПС 35 кВ КГ3 для технологического присоединения энергопринимающих устройств жилого дома Заявителя Логвиновой И.В., Ростовская обл. Кагальницкий р-н, ст. Кировская, ул. Гагарина д.8 к.н. 61:14:0050119:106 (1 шт.)</t>
  </si>
  <si>
    <t>Установка прибора коммерческого учета электрической энергии (мощности) на границе земельного участка, подключенного от опоры №122-76 ВЛ-0,4 №3 КТП-122 ВЛ-10 313 ПС 35 кВ КГ3 для технологического присоединения энергопринимающих устройств садового дома Заявителя Полетаев А.И., Ростовская обл., Аксайский р-н, СТ «Железнодорожник» уч.1864 к.н. 61:02:0504801:973 (1 шт.)</t>
  </si>
  <si>
    <t>Установка прибора коммерческого учета электрической энергии (мощности) на границе земельного участка, подключенного от опоры №122-21 ВЛ-0,4 №2 КТП-122 ВЛ-10 313 ПС 35 кВ КГ3 для технологического присоединения энергопринимающих устройств садового дома Заявителя Рыхловой Н.К., Ростовская обл., Аксайский р-н, СТ «Железнодорожник» уч.2554 к.н. 61:02:0504801:900 (1 шт.)</t>
  </si>
  <si>
    <t>Установка прибора коммерческого учета электрической энергии (мощности) на границе земельного участка, подключенного от опоры №4-13 ВЛ-0,4 №4 КТП-4 ВЛ-10 305 от ПС 35 кВ КГ3 для технологического присоединения энергопринимающих устройств ЛПХ Заявителя Сеногноева Д.В., Ростовская обл., Кагальницкий р-н, ст. Кировская к.н. 61:14:0050150:52 (1 шт</t>
  </si>
  <si>
    <t>Установка прибора коммерческого учета электрической энергии (мощности) на границе земельного участка, подключенного от опоры №123-48 ВЛ-0,4 №1 КТП-123 ВЛ-10 313 ПС 35 кВ КГ3 для технологического присоединения энергопринимающих устройств садового дома Заявителя Слабодчиков А.И., Ростовская обл. Аксайский р-н, СТ «Лазурный» уч.250 к.н. 61:02:0504901:3598 (1 шт.)</t>
  </si>
  <si>
    <t>Установка прибора коммерческого учета электрической энергии (мощности) на границе земельного участка, подключенного от опоры №4-93 ВЛ-0,4 №4 КТП-4 ВЛ-10 305 от ПС 35 кВ КГ3 для технологического присоединения энергопринимающих устройств ЛПХ Заявителя Федосовой Е.И., Ростовская обл., Кагальницкий р-н, ст. Кировская, к.н. 61:14:0050150:111 (1шт)</t>
  </si>
  <si>
    <t>Установка прибора коммерческого учета электрической энергии (мощности) на границе земельного участка, подключенного от опоры №128-115 ВЛ-0,4 №5 КТП-128 ВЛ-10 313 ПС 35 кВ КГ3 для технологического присоединения энергопринимающих устройств ЛПХ Заявителя Щербаков А.И., Ростовская обл. Кагальницкий р-н, ст. Кировская, ул. Королева д.29 к.н. 61:14:0050104:76 (1 шт.)</t>
  </si>
  <si>
    <t>Установка коммерческого учета электрической энергии (мощности) на границе земельного участка, подключенного от опоры №187-33 ВЛ- 0,4 кВ №2 КТП-10/0,4 кВ №187 по ВЛ-10 кВ №106Н ПС110/6/10 кВ "НС-1", для электроснабжения жилого дома заявителя Шевченко Т.Д., ДНТ "Кулешовка", Ростовская область</t>
  </si>
  <si>
    <t>Установка коммерческого учета электрической энергии (мощности) на границе земельного участка, подключенного от опоры №167-3 ВЛ- 0,4 кВ №3 КТП-10/0,4 кВ №167 по ВЛ-10 кВ №106Н ПС 110/6/10 кВ "НС-1", для электроснабжения жилого дома заявителя Пецикян К.А., ДНТ "Кулешовка", Ростовская область</t>
  </si>
  <si>
    <t>Установка коммерческого учета электрической энергии (мощности) на границе земельного участка, подключенного от опоры №187-19 ВЛ- 0,4 кВ №2 КТП-10/0,4 кВ №187 по ВЛ-10 кВ №106Н ПС 110/6/10 кВ "НС-1"для электроснабжения жилого дома заявителя Игнатовой Т.Л., ДНТ "Кулешовка", Ростовская область</t>
  </si>
  <si>
    <t>Установка прибора коммерческого учета электрической энергии (мощности) на границе земельного участка, подключенного от оп. №239-138 ВЛ-0,4 кВ №3 КТП 10/0,4кВ №239 ВЛ-10кВ №106Н ПС 110/6/10 кВ «НС-1» для технологического присоединения энергопринимающих устройств жилого дома Заявителя Смирновой Н.А., п.Овощной, Азовский район Ростовская область (1 шт.)</t>
  </si>
  <si>
    <t>Установка коммерческого учета электрической энергии (мощности) на границе земельного участка, подключенного от опоры №187-15 ВЛ- 0,4 кВ №2 КТП-10/0,4 кВ №187 по ВЛ-10 кВ №106Н ПС 110/6/10 кВ "НС-1", для электроснабжения жилого дома заявителя Нерсисян С.А., ДНТ "Кулешовка", Ростовская область</t>
  </si>
  <si>
    <t>Установка приборов коммерческого учета электрической энергии (мощности) на границе земельного участка, подключенного от опоры №239-46 ВЛ-0,4 кВ №2 КТП 10/0,4кВ №239 ВЛ-10кВ №106Н ПС 110/6/10 кВ «НС-1» для технологического присоединения энергопринимающих устройств жилого дома Заявителя Осипенко О.В.,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</si>
  <si>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№167-5 ВЛ 0,4 кВ №3 КТП 10/0,4кВ №167 ВЛ 10кВ №106Н ПС 110/6/10 кВ НС-1 для технологического присоединения энергопринимающих устройств жилого дома Гаспарян В.В.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</si>
  <si>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№228-31 ВЛ 0,4кВ №1 КТП 10/0,4 кВ №228 ВЛ 10кВ №106Н ПС 110/6/10 кВ «НС-1» для технологического присоединения энергопринимающих устройств нежилого помещения Заявителя Серикова П.П.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</si>
  <si>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 №228-92 ВЛ-0,4 кВ №3 КТП 10/0,4кВ №228 ВЛ-10кВ №106Н ПС 110/6/10 кВ «НС-1» для технологического присоединения энергопринимающих устройств жилого дома Заявителя Хачатрян Д.А.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</si>
  <si>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№38-17 ВЛ-0,4 кВ №1 КТП 10/0,4кВ №38 ВЛ-10кВ №3209 ПС 110/35/10 кВ «А-32» для технологического присоединения энергопринимающих устройств жилого дома Заявителя Довгаль Е.Н., х. Цыганки,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</si>
  <si>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№228-6 ВЛ-0,4 кВ №1 КТП 10/0,4кВ №228 ВЛ-10кВ №106Н ПС 110/6/10 кВ «НС-1» для технологического присоединения энергопринимающих устройств жилого дома Заявителя Манаенко С.Р.,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</si>
  <si>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№381-19 ВЛ-0,4 кВ №2 КТП 10/0,4кВ №381 ВЛ-10кВ №106Н ПС 110/6/10 кВ «НС-1» для технологического присоединения энергопринимающих устройств жилого дома Заявителя Мартынович В.Ю.,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</si>
  <si>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№381-16 ВЛ 0,4 кВ №2 КТП 10/0,4кВ №381 ВЛ 10кВ №106Н ПС 110/6/10 кВ НС-1 для технологического присоединения энергопринимающих устройств жилого дома Заявителя Мирошниченко Ф.А.,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</si>
  <si>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№187-15 ВЛ-0,4 кВ №3 КТП 10/0,4кВ №187 ВЛ 10кВ №106Н ПС 110/6/10 кВ «НС-1» для технологического присоединения энергопринимающих устройств жилого дома Заявителя Торосян А.Г.,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</si>
  <si>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№187-35 ВЛ 0,4 кВ №2 КТП 10/0,4кВ №187 ВЛ 10кВ №106Н ПС 110/6/10 кВ НС-1 для технологического присоединения энергопринимающих устройств жилого дома Заявителя Щелкуновой М.И., Кулешовское с/п, территория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</si>
  <si>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№100-97 ВЛ-0,4 кВ №3 КТП 10/0,4кВ №100 ВЛ-10кВ №2412 ПС 35/10 кВ А-24 для технологического присоединения энергопринимающих устройств жилого дома Заявителя Горбачева И.Л., х. Лагутник,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</si>
  <si>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Ромащенко Е.Н., Устименко В.В., Азовский район Ростовская область (2 шт.)</t>
  </si>
  <si>
    <t>Установка приборов коммерческого учета электрической энергии (мощности) на границе земельного участка, подключенного от опоры №167-12 ВЛ-0,4 кВ №1 КТП 10/0,4кВ №167 ВЛ-10кВ №106Н ПС 110/6/10 кВ «НС-1» для технологического присоединения энергопринимающих устройств жилого Заявителя Шаховой О.А.,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</si>
  <si>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№72-9 ВЛ-0,4 кВ №1 КТП-10/0,4 кВ №72 по ВЛ-10 кВ №3127 ПС 110/35/10 кВ «А-31» для технологического присоединения энергопринимающих устройств жилого дома Заявителя Куляко С.А., Азовский район Ростовская область (1шт.)</t>
  </si>
  <si>
    <t>Установка прибора коммерческого учета электрической энергии (мощности) на границе земельного участка, подключенного от опоры №228-91 ВЛ 0,4 кВ №3 КТП 10/0,4кВ №228 ВЛ 10кВ №106Н ПС 110/6/10 кВ НС-1 для технологического присоединения энергопринимающих устройств жилого дома Заявителя Мухоян Р.М.,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</si>
  <si>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№239-90 ВЛ 0,4 кВ №2 КТП 10/0,4кВ №239 ВЛ 10кВ №106Н ПС 110/6/10 кВ НС-1 для технологического присоединения энергопринимающих устройств жилого дома Заявителя Крутин Р.В.,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</si>
  <si>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(по договору ТП №61-1-20-00510403 от 20.05.2020г.) МТП 10/0,4 кВ №205 ВЛ-10кВ №3127 ПС 110/35/10 кВ «А-31» для технологического присоединения энергопринимающих устройств жилого дома Заявителя Воробьева Р.А., с. Кагальник, Азовский р-он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</si>
  <si>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№25-77 ВЛ 0,4 кВ №3 КТП 10/0,4кВ №25 ВЛ 10кВ №1815 ПС 35/10 кВ А-18 для технологического присоединения энергопринимающих устройств жилого дома Заявителя Вахромеевой А.В., х. Колузаево,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</si>
  <si>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№34-37 ВЛ-0,4 №2 КТП-34 ВЛ-10 313 ПС 35 кВ КГ3 для технологического присоединения энергопринимающих устройств жилого дома Заявителя Никитенко А.В., Ростовская область, Кагальницкий р-н, ст. Кировская, к.н.: 61:14:0050109:379 (1 шт.)</t>
  </si>
  <si>
    <t>Установка прибора коммерческого учета электрической энергии (мощности) на границе земельного участка, подключенного от опоры №59-1 ВЛ-0,4 №1 КТП-59 ВЛ-10 204 ПС 110 кВ Краснолучинская для технологического присоединения энергопринимающих устройств станции катодной защиты Заявителя ПАО «Газпром газораспределение Ростов-на-Дону», Ростовская обл., р-н. Зерноградский, х. Попов, х. Большая Таловая. Начало объекта: т.1- врезка в существующий подземный газопровод высокого давления, расположенная в 1500,00 метрах на юго-восток от жилого дома №124 по ул. 40 лет Победы в х. Попов. Зерноградского района Ростовской области. Конец объекта: т. 15 — выход из земли. Расположенная в 580.00 метрах на юго-запад от жилого дома №2 по ул. Островского в х. Большая Таловая, Зерноградского района Ростовской области (1 шт.)</t>
  </si>
  <si>
    <t>Установка прибора коммерческого учета электрической энергии (мощности) на границе земельного участка, подключенного от РУ-0,4 КТП-150 по ВЛ-10 307 ПС 110 кВ ЗР3 (принадлежностью филиала ПАО «Россети Юг»-«Ростовэнерго»); ВЛ-0,4 (принадлежность Любчанского А.В.) для технологического присоединения энергопринимающих устройств наружного освещения Заявителя Любчанского А.В., ст. Мечетинская, Зерноградский район, Ростовская область к.н. 61:12:0601501:2235 (1 шт.)</t>
  </si>
  <si>
    <t>Установка прибора коммерческого учета электрической энергии (мощности) на границе земельного участка, подключенного от опоры №28-133 ВЛ-0,4 №4 ЗТП-28 ВЛ-10 313 ПС 35кВ КГ3 для технологического присоединения энергопринимающих устройств магазин Заявителя Голованов Е.М., Ростовская обл. Кагальницкий р-н, ст. Кировская, ул. Черняховского д.68 к.н.:61:14:0000000:00 (1 шт.)</t>
  </si>
  <si>
    <t>Установка прибора коммерческого учета электрической энергии (мощности) на границе земельного участка, подключенного от опоры №121-123 ВЛ-0,4 № 3 КТП-121 ВЛ-10 313 ПС 35 кВ КГ3 для технологического присоединения энергопринимающих устройств садового дома Заявителя Мартышенко А.М., Ростовская обл. Аксайский р-н, СТ «Железнодорожник» уч.1690 к.н. 61:02:0504801:995 (1 шт.)</t>
  </si>
  <si>
    <t>Установка прибора коммерческого учета электрической энергии (мощности) на границе земельного участка, подключенного от опоры №121-26 ВЛ-0,4 №1 КТП-121 ВЛ-10 313 ПС 35 кВ КГ3 для технологического присоединения энергопринимающих устройств садового дома Заявителя Казимирова Е.М., Ростовская обл. Аксайский р-н, СНТ «Садко» уч.896 к.н. 61:02:0504701:4 (1 шт.)</t>
  </si>
  <si>
    <t>Установка прибора коммерческого учета электрической энергии (мощности) на границе земельного участка, подключенного от опоры №124-113 ВЛ-0,4 №3 КТП-124 ВЛ-10 313 ПС 35 кВ КГ3 для технологического присоединения энергопринимающих устройств садового дома Заявителя Изюмцевой И.В., Ростовская обл., Аксайский р-н, СНТ «Садко» уч.3791 к.н. 61:02:0504701:591 (1 шт.)</t>
  </si>
  <si>
    <t>Установка прибора коммерческого учета электрической энергии (мощности) на границе земельного участка, подключенного от опоры №182-28 ВЛ-0,4 №3 КТП-182 ВЛ-10 805 ПС 110 кВ БОС для технологического присоединения энергопринимающих устройств жилого дома Заявителя Игнатьев Н.А., Ростовская обл. Кагальницкий р-н. п. Мокрый Батай, ул. Майская д.9 к.н. 61:14:0000000:00 (1 шт.)</t>
  </si>
  <si>
    <t>Установка прибора коммерческого учета электрической энергии (мощности) на границе земельного участка, подключенного от опоры №66-11 ВЛ-0,4 №1 КТП-66 ВЛ-10 413 ПС 35 кВ КГ4 для технологического присоединения энергопринимающих устройств ЛПХ Заявителя Колодько И.В., Ростовская обл. Кагальницкий р-н. х. Песчаный Брод, ул. Заречная д.2В к.н. 61:14:0030701:68 (1 шт.)</t>
  </si>
  <si>
    <t>Установка прибора коммерческого учета электрической энергии (мощности) на границе земельного участка, подключенного от опоры №141-42 ВЛ-0,4 №2 КТП-141 ВЛ-10 215 ПС 35 кВ КГ2 для технологического присоединения энергопринимающих устройств жилого дома Заявителя Мигловец Н.А., Ростовская обл. Кагальницкий р-н, п. Малиновка, ул. Садовая д.44 к.н. 61:14:0010302:36 (1 шт.)</t>
  </si>
  <si>
    <t>Установка прибора коммерческого учета электрической энергии (мощности) на границе земельного участка, подключенного от опоры №34-32 ВЛ-0,4 №1 КТП-34 ВЛ-10 313 ПС 35 кВ КГ3 для технологического присоединения энергопринимающих устройств общежития Заявителя ООО «Вильямс», Ростовская обл. Кагальницкий р-н, ст. Кировская, ул. Победы д.2 кв.2 к.н. 61:14:18011209:66 (1 шт.)</t>
  </si>
  <si>
    <t>Установка прибора коммерческого учета электрической энергии (мощности) на границе земельного участка, подключенного от опоры №16-91 ВЛ-0,4 № 3 КТП-16 ВЛ-10 605 ПС 35кВ КГ6 для технологического присоединения энергопринимающих устройств ЛПХ Заявителя Полуян В.В., Ростовская обл. Кагальницкий р-н. с. Новобатайск ул. Красная д.55, к.н. 61:14:040153:5 (1 шт.)</t>
  </si>
  <si>
    <t>Установка прибора коммерческого учета электрической энергии (мощности) на границе земельного участка, подключенного от опоры №23-37 ВЛ-0,4 №2 КТП-23 ВЛ-10 1507 ПС 35 кВ ЗР15 для технологического присоединения энергопринимающих устройств базовой станции Заявителя ПАО «Ростелеком», Ростовская обл., Зерноградский р-н, г.Зерноград, ул. Самохвалова, напротив земельного участка №1 к.н. 61:12:0040102:0 (1 шт.)</t>
  </si>
  <si>
    <t>Установка прибора коммерческого учета электрической энергии (мощности) на границе земельного участка, подключенного от проектируемой опоры (в рамках договора 61-1-22-00612095 Аристакесян С.А.) ВЛ-0,4 №1 КТП-28 ВЛ-10 313 ПС 35 кВ КГ3 для технологического присоединения энергопринимающих устройств ЛПХ Заявителя Саносян В.Н., Ростовская обл. Кагальницкий р-н, ст. Кировская, ул. Космонавтов д.38 к.н. 61:14:0050126:495 (1 шт.)</t>
  </si>
  <si>
    <t>Установка прибора коммерческого учета электрической энергии (мощности) на границе земельного участка, подключенного от проектируемой опоры (в рамках договора 61-1-22-00612095 Аристакесян С.А.) ВЛ-0,4 №1 КТП-28 ВЛ-10 313 ПС 35 кВ КГ3 для технологического присоединения энергопринимающих устройств ЛПХ Заявителя Хедоян Ш.Ф., Ростовская обл. Кагальницкий р-н, ст. Кировская, ул. Космонавтов д.36 к.н. 61:14:0050126:496 (1 шт.)</t>
  </si>
  <si>
    <t>Установка прибора коммерческого учета электрической энергии (мощности) на границе земельного участка, подключенного от опоры №26-52 ВЛ-0,4 №2 КТП-26 ВЛ-10 318 ПС 35кВ КГ3 для технологического присоединения энергопринимающих устройств ЛПХ Заявителя Сенниковой Т.С., Ростовская обл. Кагальницкий р-н. х. Николаевский ул. Луговая д.125, к.н. 61:14:180012005:371(1 шт.)</t>
  </si>
  <si>
    <t>Установка прибора коммерческого учета электрической энергии (мощности) на границе земельного участка, подключенного от опоры №28-67 ВЛ 0,4 кВ №1 КТП 10/0,4кВ №28 ВЛ 10кВ №1815 ПС 35/10 кВ А-18 для технологического присоединения энергопринимающих устройств жилого дома Заявителя Архинина С.Г., х. Курган,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</si>
  <si>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№36-50 ВЛ-0,4 кВ №3 КТП 10/0,4кВ №36 ВЛ 10кВ №1702 ПС 35/10 кВ А-17 для технологического присоединения энергопринимающих устройств жилого дома Заявителя Худина Ю.А.,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</si>
  <si>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№70-13 ВЛ 0,4 кВ №1 КТП 10/0,4кВ №70 ВЛ 10кВ №2608 ПС 110/10 кВ А-26 для технологического присоединения энергопринимающих устройств жилого дома Заявителя Сухомлиновой О.А.,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</si>
  <si>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№70-15/2 ВЛ 0,4кВ №1 КТП 10/0,4 кВ №70 ВЛ 10кВ №2608 ПС 110/10 кВ А-26 для технологического присоединения энергопринимающих устройств жилого дома Заявителя Ольшанского С.В.,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</si>
  <si>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№88-46 ВЛ-0,4 кВ №2 КТП 10/0,4кВ №88 ВЛ 10кВ №3127 ПС 110/35/10 кВ А-31 для технологического присоединения энергопринимающих устройств жилого дома Заявителя Гринёвой Н.В.,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</si>
  <si>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№29 ВЛ 10кВ №2907 РП-29 ПС 35/10 кВ А-18 для технологического присоединения энергопринимающих устройств жилого дома Заявителя Быкова В.О., х. Казачий Ерик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</si>
  <si>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№16-5 ВЛ 0,4 кВ №1 КТП 10/0,4кВ №16 ВЛ 10кВ №2608 ПС 110/10 кВ А-26 для технологического присоединения энергопринимающих устройств жилого дома Заявителя Икряновой Н.В.,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</si>
  <si>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№239-112 ВЛ-0,4 кВ №4 КТП 10/0,4кВ №239 ВЛ-10кВ №106Н ПС 110/6/10 кВ НС-1 для технологического присоединения энергопринимающих устройств жилого дома Заявителя Козачок К.Я., п. Овощной, Азовский район Ростовская область (1 шт.) (по дог. ТП 61-1-21-00620377 от 22.12.2021)</t>
  </si>
  <si>
    <t>Установка прибора коммерческого учета электрической энергии (мощности) на границе земельного участка, подключенного от опоры №239-112 ВЛ-0,4 кВ №4 КТП 10/0,4кВ №239 ВЛ-10кВ №106Н ПС 110/6/10 кВ НС-1 для технологического присоединения энергопринимающих устройств жилого дома Заявителя Козачок Я.А., п. Овощной, Азовский район Ростовская область (1 шт.) (по дог. ТП 61-1-21-00620339 от 22.12.2021)</t>
  </si>
  <si>
    <t>Установка прибора коммерческого учета электрической энергии (мощности) на границе земельного участка, подключенного от опоры №265-56 ВЛ-0,4 кВ №2 КТП 10/0,4кВ №265 ВЛ 10кВ №2608 ПС 110/10 кВ А-26 для технологического присоединения энергопринимающих устройств жилого дома Заявителя Самарич Р.Н.,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</si>
  <si>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№1 КТП 10/0,4кВ №277 (балансовая принадлежность Администрация Елизаветинского сельского поселения) ВЛ 10кВ №1815 ПС 35/10 кВ А-18 для технологического присоединения энергопринимающих устройств жилого дома Заявителя Шутова С.О.,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</si>
  <si>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№365-13 ВЛ-0,4 кВ №1 КТП 10/0,4 кВ №365 по ВЛ 10 кВ №107Н ПС 110/6/10 кВ НС-1 для технологического присоединения энергопринимающих устройств жилого дома Заявителя Авдеевой И.В., п.Овощной,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</si>
  <si>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№4-23 ВЛ-0,4 кВ №1 КТП 10/0,4 кВ №4 по ВЛ 10 кВ №1702 ПС 35/10 кВ А-17 для технологического присоединения энергопринимающих устройств жилого дома Заявителя Звездилина А.Я.,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</si>
  <si>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№187-34 ВЛ 0,4кВ №2 КТП 10/0,4 кВ №187 ВЛ 10кВ №106Н ПС 110/6/10 кВ НС-1 для технологического присоединения энергопринимающих устройств жилого дома Заявителя Савенко Н.Н.,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</si>
  <si>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№82-55 ВЛ 0,4 кВ №3 КТП 10/0,4кВ №82 ВЛ 10кВ №3127 ПС 110/35/10 кВ А-31 для технологического присоединения энергопринимающих устройств жилого дома Заявителя Бебех С.В., с.Займо-Обрыв, Азовский район, Ростовская область, к.н. 61:01:0140401:3352 (1 шт.)</t>
  </si>
  <si>
    <t>Установка прибора коммерческого учета электрической энергии (мощности) на границе земельного участка, подключенного от опоры №152-15 ВЛ 0,4 кВ №1 КТП 10/0,4кВ №152 ВЛ 10кВ №1107 ПС 35/10 кВ А-11 для технологического присоединения энергопринимающих устройств жилого дома Заявителя Вершанской Л.И., с. Кагальник, Азовский район, Ростовская область, к.н. 61:01:0060101:12745 (1 шт.)</t>
  </si>
  <si>
    <t xml:space="preserve">Установка прибора коммерческого учета электрической энергии (мощности) на границе земельного участка, подключенного от опоры №84-8 ВЛ 0,4 кВ №1 КТП 10/0,4кВ №84 ВЛ 10кВ №2608 ПС 110/10 кВ А-26 для технологического присоединения энергопринимающих устройств жилого дома Заявителя Закалюжного И.Д., с. Кулешовка, Азовский район, Ростовская область, к.н. 61:01:0090102:2187 (1 шт.)
</t>
  </si>
  <si>
    <t>Установка прибора коммерческого учета электрической энергии (мощности) на границе земельного участка, подключенного от опоры №185-62/8 ВЛ 0,4 кВ №4 КТП 10/0,4кВ №185 ВЛ 10кВ №106Н ПС 110/6/10 кВ НС-1 для технологического присоединения энергопринимающих устройств нежилой застройки Заявителя Кобец Н.В., ДНТ «Эдем», Азовский район, Ростовская область, к.н. 61:01:0600006:2999 (1 шт.)</t>
  </si>
  <si>
    <t>Установка прибора коммерческого учета электрической энергии (мощности) на границе земельного участка, подключенного от опоры №44-139 ВЛ-0,4кВ № 3 КТП-10/0,4 кВ №44 ВЛ-10кВ №803 ПС 35/10 кВ А-8 для технологического присоединения энергопринимающих устройств жилого дома Мордышева А.И., с.Семибалки,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</si>
  <si>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№58-25 ВЛ 0,4 кВ №1 КТП 10/0,4кВ №58 ВЛ 10кВ №2204 РП-22 ПС 110/35/10 кВ Самарская для технологического присоединения энергопринимающих устройств жилого дома Заявителя Осеян С.А., х.Левобережный, Азовский район, Ростовская область, к.н. 61:01:0040701:80 (1 шт.)</t>
  </si>
  <si>
    <t xml:space="preserve">Установка прибора коммерческого учета электрической энергии (мощности) на границе земельного участка, подключенного от опоры №187-12 ВЛ 0,4 кВ №4 КТП 10/0,4кВ №187 ВЛ 10кВ №106Н ПС 110/6/10 кВ НС-1 для технологического присоединения энергопринимающих устройств жилого дома Заявителя Терещенко И.О., ДНТ «Кулешовка», Азовский район, Ростовская область, к.н. 61:01:0600006:1276 (1 шт.)
</t>
  </si>
  <si>
    <t xml:space="preserve">Установка прибора коммерческого учета электрической энергии (мощности) на границе земельного участка, подключенного от опоры №59-51 ВЛ-0,4 №2 КТП-59 ВЛ-10 1205 от ПС 110 кВ Манычская для технологического присоединения энергопринимающих устройств объекта торговли Заявителя ИП Зенковой А.В., Ростовская обл., Зерноградский р-н, х. Верхние Хороли, к.н. 61:12:0060201:114 (1 шт.)
</t>
  </si>
  <si>
    <t>Установка прибора коммерческого учета электрической энергии (мощности) на границе земельного участка, подключенного от опоры №80-17 ВЛ-0,4 №3 КТП-80 ВЛ-10 602 ПС 35 кВ ЗР6 для технологического присоединения энергопринимающих устройств жилого дома Заявителя Корниенко Е.Е., х. Чернышевка, Зерноградский район, Ростовская область к.н. 61:12:0090114:498 (1 шт.)</t>
  </si>
  <si>
    <t>Установка прибора коммерческого учета электрической энергии (мощности) на границе земельного участка, подключенного от опоры №104-86 ВЛ-0,4 №1 КТП-104 ВЛ-10 122 ПС 220 кВ Зерновая для технологического присоединения энергопринимающих устройств жилого дома Заявителя Гиголян А.А., Ростовская обл. Зерноградский р-н, х. Ракитный, ул. Заречная д.46А к.н. 61:12:0051001:649 (1 шт.)</t>
  </si>
  <si>
    <t>Установка прибора коммерческого учета электрической энергии (мощности) на границе земельного участка, подключенного от опоры №199-4 ВЛ-0,4 №1 КТП-199 ВЛ-10 805 ПС 110 кВ БОС для технологического присоединения энергопринимающих устройств ЛПХ Заявителя Гужва И.П., Ростовская обл. Кагальницкий р-н, п. Мокрый Батай, ул. Вишневая д.33-А к.н. 61:14:0060104:976 (1 шт.)</t>
  </si>
  <si>
    <t>Установка прибора коммерческого учета электрической энергии (мощности) на границе земельного участка, подключенного от опоры №175-31 ВЛ-0,4 №1 КТП-175 ВЛ-10 313 ПС 35кВ КГ3 для технологического присоединения энергопринимающих устройств ЛПХ Заявителя Ибрагимова Р.Ф., Ростовская обл. Аксайский р-н., сНТ Природа 21линия уч. 1368 к.н. 61:02:0000000:00 (1 шт.)</t>
  </si>
  <si>
    <t>Установка прибора коммерческого учета электрической энергии (мощности) на границе земельного участка, подключенного от опоры №166-5 ВЛ-0,4 №4 КТП-166 ВЛ-10 313 ПС 35 кВ КГ3 для технологического присоединения энергопринимающих устройств садового дома Заявителя Лазура Д.Д., Ростовская обл., Аксайский р-н, СНТ «Природа» уч.2182 к.н. 61:02:0504601:406 (1 шт.)</t>
  </si>
  <si>
    <t>Установка прибора коммерческого учета электрической энергии (мощности) на границе земельного участка, подключенного от опоры №121-48 ВЛ-0,4 №1 КТП-121 ВЛ-10 313 ПС 35 кВ КГ3 для технологического присоединения энергопринимающих устройств садового дома Заявителя Магомедов М.С., Ростовская обл., Аксайский р-н, СНТ Садко 15 линия уч.722 к.н. 61:02:0504701:195(1 шт.)</t>
  </si>
  <si>
    <t>Установка прибора коммерческого учета электрической энергии (мощности) на границе земельного участка, подключенного от опоры №109-37 ВЛ-0,4 №1 КТП-119 ВЛ-10 1608 ПС 35кВ ЗР16 для технологического присоединения энергопринимающих устройств жилого дома Заявителя  , Ростовская обл. Зерноградский р-н. х. 1-й Россошинский от ГРП до ГРП  к.н. 61:12:0000000:16947(1 шт.)</t>
  </si>
  <si>
    <t>Установка прибора коммерческого учета электрической энергии (мощности) на границе земельного участка, подключенного от опоры №122-98 ВЛ-0,4 №3 КТП-122 ВЛ-10 313 ПС 35 кВ КГ3 для технологического присоединения энергопринимающих устройств садового дома Заявителя Смотрякова О.Н., Ростовская обл., Аксайский р-н, СНТ «Лазурный» уч.1436 к.н.:61:02:0549901:3033 (1 шт.)</t>
  </si>
  <si>
    <t>Установка прибора коммерческого учета электрической энергии (мощности) на границе земельного участка, подключенного от опоры №112-29 ВЛ-0,4 №3 КТП-112 ВЛ-10 122 ПС 220 кВ Зерновая для технологического присоединения энергопринимающих устройств жилого дома Заявителя Толстопятенко В.А., х. Ракитный, Зерноградский район, Ростовская область, к.н. 61:12:0051001:728 (1 шт.)</t>
  </si>
  <si>
    <t>Установка прибора коммерческого учета электрической энергии (мощности) на границе земельного участка, подключенного от опоры №35-19 ВЛ-0,4 №1 КТП-35 ВЛ-10 1501 от ПС 35 кВ ЗР15 для технологического присоединения энергопринимающих устройств ЛПХ Заявителя Шевцова В.Е., п. Экспериментальный, Зерноградский р-н, Ростовская область, к.н.61:12:0050401:1755 (1 шт.)</t>
  </si>
  <si>
    <t>Установка прибора коммерческого учета электрической энергии (мощности) на границе земельного участка, подключенного от опоры № 418-28   ВЛ-0,4 № 1 КТП-418 ВЛ-10  612  ПС 35 кВ Е-6 для технологического присоединения энергопринимающих устройств жилого дома Заявителя Вартанян С.А., х.х.Шаумяновский, Егорлыкский район, Ростовская область, к.н. 61:10:0090101:207 (1 шт.)</t>
  </si>
  <si>
    <t>Установка прибора коммерческого учета электрической энергии (мощности) на границе земельного участка, подключенного от опоры №226-39 ВЛ-0,4кВ №5 КТП-10/0,4 кВ №226 ВЛ-10кВ №2608 ПС 110/10 кВ А-26 для технологического присоединения энергопринимающих устройств шкафа с оборудованием видеонаблюдения Заявителя ООО «Группа компаний «Вега»., с.Кулешовка, Азовский район, Ростовская область(1 шт.)</t>
  </si>
  <si>
    <t>Установка прибора коммерческого учета электрической энергии (мощности) на границе земельного участка, подключенного от опоры №б/н ВЛ-0,4кВ КТП-10/0,4 кВ №279 (балансовая принадлежность ИП Усачев В.И. (п.Беловодье) ВЛ-10кВ №1815 ПС 35/10 кВ А-18 для технологического присоединения энергопринимающих устройств жилого дома Заявителя Чувилина А.В., х.Обуховка, Азовский район, Ростовская область, к.н. 61:01:0600002:852 (1 шт.)</t>
  </si>
  <si>
    <t>Установка прибора коммерческого учета электрической энергии (мощности) на границе земельного участка, подключенного от опоры №48-4 ВЛ-0,4кВ № 1 КТП-10/0,4 кВ №48 ВЛ-10кВ №1815 ПС 35/10 кВ А-18 для технологического присоединения энергопринимающих устройств объекта жилого дома Заявителя Севостьянова Ю.А., Азовский район, Ростовская область, к.н. 61:01:0600002:2644(1 шт.)</t>
  </si>
  <si>
    <t>Установка прибора коммерческого учета электрической энергии (мощности) на границе земельного участка, подключенного от опоры №б/н ВЛ-0,4кВ КТП-10/0,4 кВ №279 (балансовая принадлежность ИП Усачев В.И. (п. Беловодье) ВЛ-10кВ №1815 ПС 35/10 кВ А-18 для технологического присоединения энергопринимающих устройств объекта жилого дома Заявителя Дяур Н.Д., х. Обуховка, Азовский район, Ростовская область, к.н. 61:01:0600002:1614(1 шт.)</t>
  </si>
  <si>
    <t>Установка прибора коммерческого учета электрической энергии (мощности) на границе земельного участка, подключенного от опоры №240-4 ВЛ-0,4кВ №1 КТП-10/0,4 кВ №240 ВЛ-10кВ №106Н ПС 110/6/10 кВ НС-1 для технологического присоединения энергопринимающих устройств объекта жилого дома Заявителя Авдеева Ю.Н., п. Овощной, Азовский район, Ростовская область, к.н. 61:01:0130101:5133 (1 шт.)</t>
  </si>
  <si>
    <t>Установка прибора коммерческого учета электрической энергии (мощности) на границе земельного участка, подключенного от опоры №56-1/3 ВЛ-0,4кВ №1 КТП-10/0,4 кВ №56 ВЛ-10кВ №3127 ПС 110/35/10 кВ А-31 для технологического присоединения энергопринимающих устройств объекта жилого дома Заявителя Стаценко А.Н., х. Береговой, Азовский район, Ростовская область,к.н. 61:01:0140201:1107 (1 шт.)</t>
  </si>
  <si>
    <t xml:space="preserve"> Установка прибора коммерческого учета электрической энергии (мощности) на границе земельного участка, подключенного от опоры №21-20 ВЛ-0,4кВ №3 КТП-10/0,4 кВ №21 ВЛ-10кВ №1815 ПС 35/10 кВ А-18 для технологического присоединения энергопринимающих устройств объекта жилого дома Заявителя Хорошенького А.А., х. Городище, Азовский район, Ростовская область, к.н. 61:01:0030201:3 28 (1 шт.)</t>
  </si>
  <si>
    <t>Установка прибора коммерческого учета электрической энергии (мощности) на границе земельного участка, подключенного от опоры №58-88 ВЛ-0,4кВ №3 КТП-10/0,4 кВ №58 ВЛ-10кВ №609 ПС 35/10 кВ А-6 для технологического присоединения энергопринимающих устройств объекта хозяйственной постройки Заявителя Гребнева А.Ю., с. Маргаритово, Азовский район, Ростовская область,к.н. 61:01:0100101:691 (1 шт.)</t>
  </si>
  <si>
    <t>Установка прибора коммерческого учета электрической энергии (мощности) на границе земельного участка, подключенного от опоры №240-76 ВЛ-0,4кВ №3 КТП-10/0,4 кВ №240 ВЛ-10кВ №106Н ПС 110/6/10 кВ НС-1 для технологического присоединения энергопринимающих устройств объекта жилого дома Заявителя Новиковой О.А., п. Овощной, Азовский район, Ростовская область,к.н. 61:01:0130101:5000 (1 шт.)</t>
  </si>
  <si>
    <t>Установка прибора коммерческого учета электрической энергии (мощности) на границе земельного участка, подключенного от опоры №106-93 ВЛ 0,4 кВ № 2 КТП 10/0,4кВ №106 ВЛ 10кВ №806 ПС 35/10 кВ А-8 для технологического присоединения энергопринимающих устройств жилого дома Заявителя Соломатиной С.Л., с. Семибалки, Азовский район Ростовская область, к.н. 61:01:0180101:5016 (1 шт.)</t>
  </si>
  <si>
    <t xml:space="preserve"> Установка прибора коммерческого учета электрической энергии (мощности) на границе земельного участка, подключенного от опоры №48-79 ВЛ-0,4кВ №3 КТП-10/0,4 кВ №48 ВЛ-10кВ №1815 ПС 35/10 кВ А-18 для технологического присоединения энергопринимающих устройств объекта жилого дома Заявителя Чупинина И.В., Рыболовецкий колхоз им.Ленина, Азовский район, Ростовская область, к.н. 61:01:0600002:3268 (1 шт.)</t>
  </si>
  <si>
    <t>Установка прибора коммерческого учета электрической энергии (мощности) на границе земельного участка, подключенного от опоры №185-14 ВЛ-0,4кВ №1 КТП-10/0,4 кВ №185 ВЛ-10кВ №106Н ПС 110/6/10 кВ НС-1 для технологического присоединения энергопринимающих устройств объекта жилого дома Заявителя Боровиченко Н.П., с. Кулешовка, Азовский район, Ростовская область, к.н. 61:01:0090101:1766 (1 шт.)</t>
  </si>
  <si>
    <t>Установка прибора коммерческого учета электрической энергии (мощности) на границе земельного участка, подключенного от опоры №219-46 ВЛ 0,4 кВ №2 КТП 10/0,4кВ №219 ВЛ 10кВ №901 ПС 35/10 кВ А-9 для технологического присоединения энергопринимающих устройств жилого дома Заявителя Павленко А.В., с. Высочино, Азовский район, Ростовская область, к.н. 61:01:0110201:2100 (1 шт.)</t>
  </si>
  <si>
    <t>Установка прибора коммерческого учета электрической энергии (мощности) на границе земельного участка, подключенного от опоры №48-17 ВЛ-0,4кВ №1 КТП-10/0,4 кВ №48 ВЛ-10кВ №1815 ПС 35/10 кВ А-18 для технологического присоединения энергопринимающих устройств объекта жилого дома Заявителя Шахбазян Ж.М., Азовский район, Ростовская область, к.н. 61:01:0600002:2541 (1 шт.)</t>
  </si>
  <si>
    <t>Установка прибора коммерческого учета электрической энергии (мощности) на границе земельного участка, подключенного от опоры №89-28 ВЛ-0,4кВ №1 КТП-10/0,4 кВ №89 ВЛ-10кВ №803 ПС 35/10 кВ А-8 для технологического присоединения энергопринимающих устройств объекта жилого дома Заявителя Осиповой Н.Б., с. Семибалки, Азовский район, Ростовская область, к.н. 61:01:0180101:1456 (1 шт.)</t>
  </si>
  <si>
    <t>Установка прибора коммерческого учета электрической энергии (мощности) на границе земельного участка, подключенного от опоры №228-92 ВЛ-0,4кВ №2 КТП-10/0,4 кВ №228 ВЛ-10кВ №106Н ПС 110/6/10 кВ НС-1 для технологического присоединения энергопринимающих устройств объекта жилого дома Заявителя Мухоян Р.М., п. Овощной, Азовский район, Ростовская область, к.н. 61:01:0130101:5108 (1 шт.)</t>
  </si>
  <si>
    <t>Установка прибора коммерческого учета электрической энергии (мощности) на границе земельного участка, подключенного от опоры №45-116 ВЛ-0,4кВ № 2 КТП-10/0,4 кВ №45 ВЛ-10кВ №1613 ПС 35/10 кВ А-16 для технологического присоединения энергопринимающих устройств объекта жилого дома Заявителя Самойленко Д.Г., х. Калиновка, Азовский район, Ростовская область, к.н. 61:01:0050501:682(1 шт.)</t>
  </si>
  <si>
    <t>Установка прибора коммерческого учета электрической энергии (мощности) на границе земельного участка, подключенного от опоры №156-8 ВЛ-0,4кВ № 1 КТП-10/0,4 кВ №156 ВЛ-10кВ №1701 ПС 35/10 кВ А-17 для технологического присоединения энергопринимающих устройств объекта жилого дома Заявителя Ивченко А.В., с. Круглое, Азовский район, Ростовская область, к.н. 61:01:0070101:2413(1 шт.)</t>
  </si>
  <si>
    <t>Установка прибора коммерческого учета электрической энергии (мощности) на границе земельного участка, подключенного от опоры №31-87 ВЛ-0,4кВ № 1 КТП-10/0,4 кВ №31 ВЛ-10кВ №2907 РП-29 ПС 35/10 кВ А-18 для технологического присоединения энергопринимающих устройств объекта жилого дома Заявителя Резников И.А., ст-ца Елизаветинская, Азовский район, Ростовская область, к.н. 61:01:0030101:1455(1 шт.)</t>
  </si>
  <si>
    <t>Установка прибора коммерческого учета электрической энергии (мощности) на границе земельного участка, подключенного от опоры №389-97 ВЛ-0,4кВ №1 КТП-10/0,4 кВ №389 ВЛ-10кВ №2008 ПС 220/110/10 кВ А-20 для технологического присоединения энергопринимающих устройств объекта жилого дома Заявителя Попёхина А.Е., ДНТ «Донские зори», Азовский район, Ростовская область, к.н. 61:01:0501901:595(1 шт.)</t>
  </si>
  <si>
    <t>Установка прибора коммерческого учета электрической энергии (мощности) на границе земельного участка, подключенного от опоры №44-40 ВЛ-0,4кВ №2 КТП-10/0,4 кВ №44 ВЛ-10кВ №1005 ПС 110/35/10 кВ «Самарская» для технологического присоединения энергопринимающих устройств объекта жилого дома Заявителя Полякова Н.Е., х. Бирючий, Азовский район, Ростовская область, к.н. 61:01:0050201:69 (1 шт.)</t>
  </si>
  <si>
    <t>Установка прибора коммерческого учета электрической энергии (мощности) на границе земельного участка, подключенного от опоры №1-32 ВЛ-0,4кВ №3 КТП-10/0,4 кВ №1 ВЛ-10кВ №302Н ПС 110/35/6/10 кВ НС-3 для технологического присоединения энергопринимающих устройств объекта жилого дома Заявителя Ковпак О.А., х. Еремеевка, Азовский район, Ростовская область (1 шт.)</t>
  </si>
  <si>
    <t xml:space="preserve">Установка прибора коммерческого учета электрической энергии (мощности) на границе земельного участка, подключенного от опоры №157-37 ВЛ-0,4кВ №2 КТП-10/0,4 кВ №157 ВЛ-10кВ №1101 ПС 35/10 кВ А-11 для технологического присоединения энергопринимающих устройств объекта жилого дома Заявителя Старинского С.С., с. Кагальник, Азовский район, Ростовская область, к.н. 61:01:0060101:5310 (1 шт.) </t>
  </si>
  <si>
    <t>Установка прибора коммерческого учета электрической энергии (мощности) на границе земельного участка, подключенного от опоры №111-35 ВЛ-0,4кВ №1 КТП-10/0,4 кВ №111 ВЛ-10кВ №1908 РП-19 ПС 110/35/10 кВ Самарская для технологического присоединения энергопринимающих устройств объекта жилого дома Заявителя Чупринина В.А., х. Галагановка, Азовский район, Ростовская область, к.н. 61:01:0040401:47 (1 шт.)</t>
  </si>
  <si>
    <t>Установка прибора коммерческого учета электрической энергии (мощности) на границе земельного участка, подключенного от опоры №196-22 ВЛ-0,4кВ №1 КТП-10/0,4 кВ №196 ВЛ-10кВ №3113 ПС 110/35/10 кВ А-31 для технологического присоединения энергопринимающих устройств объекта жилого дома Заявителя Семененко Г.Ф., с. Головатовка, Азовский район, Ростовская область, к.н. 61:01:0140301:2119 (1 шт.)</t>
  </si>
  <si>
    <t>Установка прибора коммерческого учета электрической энергии (мощности) на границе земельного участка, подключенного от опоры №389-58 ВЛ-0,4кВ №1 КТП-10/0,4 кВ №389 ВЛ-10кВ №2008 ПС 220/110/10 кВ А-20 для технологического присоединения энергопринимающих устройств объекта жилого дома Заявителя Николенко О.Н., ДНТ «Донские зори», Азовский район, Ростовская область, к.н. 61:01:0501901:182 (1 шт.)</t>
  </si>
  <si>
    <t>Установка прибора коммерческого учета электрической энергии (мощности) на границе земельного участка, подключенного от опоры №144-24 ВЛ-0,4кВ №1 КТП-10/0,4 кВ №144 ВЛ-10кВ №1107 ПС 35/10 кВ А-11 для технологического присоединения энергопринимающих устройств объекта жилого дома Заявителя Радченко С.И., с. Кагальник, Азовский район, Ростовская область, к.н. 61:01:0060101:2892 (1 шт.)</t>
  </si>
  <si>
    <t>Установка прибора коммерческого учета электрической энергии (мощности) на границе земельного участка, подключенного от опоры №17-19 ВЛ-0,4кВ №2 КТП-10/0,4 кВ №17 ВЛ-10кВ №107Н ПС 110/6/10 кВ НС-1 для технологического присоединения энергопринимающих устройств объекта жилого дома Заявителя Грушевенко О.В., п. Овощной, Азовский район, Ростовская область, к.н. 61:01:0130101:5152 (1 шт.)</t>
  </si>
  <si>
    <t>Установка прибора коммерческого учета электрической энергии (мощности) на границе земельного участка, подключенного от опоры №29-51 ВЛ-0,4кВ №2 КТП-10/0,4 кВ №29 ВЛ-10кВ №3113 ПС 110/35/10 кВ А-31 для технологического присоединения энергопринимающих устройств объекта жилого дома Заявителя Череповской Е.А., с. Головатовка, Азовский район, Ростовская область, к.н. 61:01:0140301:2824 (1 шт.)</t>
  </si>
  <si>
    <t>Установка прибора коммерческого учета электрической энергии (мощности) на границе земельного участка, подключенного от опоры №156-105 ВЛ-0,4кВ №3 КТП-10/0,4 кВ №156 ВЛ-10кВ №1701 ПС 35/10 кВ А-17 для технологического присоединения энергопринимающих устройств объекта жилого дома Заявителя Блок Е.А., с. Круглое, Азовский район, Ростовская область, к.н. 61:01:0070101:8043 (1 шт.)</t>
  </si>
  <si>
    <t>Установка прибора коммерческого учета электрической энергии (мощности) на границе земельного участка, подключенного от опоры №156-106 ВЛ-0,4кВ №3 КТП-10/0,4 кВ №156 ВЛ-10кВ №1701 ПС 35/10 кВ А-17 для технологического присоединения энергопринимающих устройств объекта жилого дома Заявителя Блок Е.А., с. Круглое, Азовский район, Ростовская область, к.н. 61:01:0070101:8042 (1 шт.)</t>
  </si>
  <si>
    <t>Установка прибора коммерческого учета электрической энергии (мощности) на границе земельного участка, подключенного от опоры №213-90 ВЛ-0,4кВ №3 КТП-10/0,4 кВ №213 ВЛ-10кВ №910 ПС 35/10 кВ А-9 для технологического присоединения энергопринимающих устройств объекта жилого дома Заявителя Козлова А.В., СНТ Звездное, Азовский район, Ростовская область, к.н. 61:45:0000380:482 (1 шт.)</t>
  </si>
  <si>
    <t>Установка прибора коммерческого учета электрической энергии (мощности) на границе земельного участка, подключенного от опоры №75-5 ВЛ 0,4 кВ № 1 КТП 10/0,4кВ №75 ВЛ 10кВ №3125 ПС 110/35/10 кВ А-31 для технологического присоединения энергопринимающих устройств жилого дома Заявителя Сафроновой Л.А., с. Пешково, Азовский район Ростовская область, к.н. 61:01:0140101:7479 (1 шт.)</t>
  </si>
  <si>
    <t>Установка прибора коммерческого учета электрической энергии (мощности) на границе земельного участка, подключенного от опоры №351-2 ВЛ-0,4кВ №2 КТП-6/0,4 кВ №351 ВЛ-6кВ №207Н ПС 110/6/10 кВ НС-2 для технологического присоединения энергопринимающих устройств объекта жилого дома Заявителя Рахматуллина Г.Ф., СТ «Квант», Азовский район, Ростовская область, к.н. 61:01:0502901:1087 (1 шт.)</t>
  </si>
  <si>
    <t>Установка прибора коммерческого учета электрической энергии (мощности) на границе земельного участка, подключенного от опоры №157-65 ВЛ-0,4кВ №2 КТП-10/0,4 кВ №157 ВЛ-10кВ №1101 ПС 35/10 кВ А-11 для технологического присоединения энергопринимающих устройств объекта жилого дома Заявителя Жамкочян С.Р., с. Кагальник, Азовский район, Ростовская область,к.н. 61:01:0060101:12797 (1 шт.)</t>
  </si>
  <si>
    <t>Установка прибора коммерческого учета электрической энергии (мощности) на границе земельного участка, подключенного от опоры №31-146 ВЛ 0,4 кВ № 2 КТП 10/0,4кВ №31 ВЛ 10кВ №2907 РП-29 ПС 35/10 кВ А-18 для технологического присоединения энергопринимающих устройств жилого дома Заявителя Стрельченко А.И., ст-ца. Елизаветинская, Азовский район Ростовская область, 61:01:0030101:1429 (1 шт.)</t>
  </si>
  <si>
    <t>Установка прибора коммерческого учета электрической энергии (мощности) на границе земельного участка, подключенного от опоры №172-2 ВЛ 0,4 кВ № 1 КТП 10/0,4кВ №172 ВЛ 10кВ №1702 ПС 35/10 кВ А-17 для технологического присоединения энергопринимающих устройств вагончика Заявителя Евдокимовой В.М., с. Стефанидинодар, Азовский район Ростовская область, к.н. 61:01:0070201:4426 (1 шт.)</t>
  </si>
  <si>
    <t>Установка прибора коммерческого учета электрической энергии (мощности) на границе земельного участка, подключенного от опоры №89-14 ВЛ 0,4 кВ № 1 КТП 10/0,4кВ №89 ВЛ 10кВ №803 ПС 35/10 кВ А-8 для технологического присоединения энергопринимающих устройств жилого дома Заявителя Саранча М.В., с. Семибалки, Азовский район Ростовская область, 61:01:0180101:4728 (1 шт.)</t>
  </si>
  <si>
    <t>Установка прибора коммерческого учета электрической энергии (мощности) на границе земельного участка, подключенного от опоры №35-8 ВЛ 0,4 кВ № 1 КТП 10/0,4кВ №35 ВЛ 10кВ №1904 РП-19 ПС 110/35/10 кВ Самарская для технологического присоединения энергопринимающих устройств жилого дома Заявителя Олейникова Н.Д., с. Новотроицкое, Азовский район Ростовская область, 61:01:0040801:2173 (1 шт.)</t>
  </si>
  <si>
    <t xml:space="preserve">Установка прибора коммерческого учета электрической энергии (мощности) на границе земельного участка, подключенного от опоры №27-112 ВЛ-0,4кВ №4 КТП-10/0,4 кВ №27 ВЛ-10кВ №1701 ПС 35/10 кВ А-17 для технологического присоединения энергопринимающих устройств объекта жилого дома Заявителя Грачевского В.В., с. Кругое, Азовский район, Ростовская область, к.н. 61:01:0070101:198 (1 шт.) </t>
  </si>
  <si>
    <t>Установка прибора коммерческого учета электрической энергии (мощности) на границе земельного участка, подключенного от опоры №9-2 ВЛ-0,4 кВ №1 КТП 10/0,4кВ №9 ВЛ-10кВ №3125 ПС 110/35/10 кВ А-31 для технологического присоединения энергопринимающих устройств жилого дома Заявителя Прядкиной Д.С., с. Пешково, Азовский район, Ростовская область, к.н. 61:01:0140101:8690 (1 шт.)</t>
  </si>
  <si>
    <t>Установка прибора коммерческого учета электрической энергии (мощности) на границе земельного участка, подключенного от опоры №б/н ВЛ 0,4 кВ КТП 10/0,4 кВ №38 (на балансе Администрации Елизаветинского сельского поселения) ВЛ 10кВ №1802 ПС 35/10 кВ А-18 для технологического присоединения энергопринимающих устройств жилого дома Заявителя Солимчук Л.И., х. Дугино, Азовский район, Ростовская область, к.н. 61:01:0030301:1942 (1 шт.)</t>
  </si>
  <si>
    <t>Установка прибора коммерческого учета электрической энергии (мощности) на границе земельного участка, подключенного от опоры №29-45 ВЛ-0,4кВ №1 ЗТП-10/0,4 кВ №29 КЛ-10кВ №1205 ПС 110/10 кВ А-12 для технологического присоединения энергопринимающих устройств объекта жилого дома Заявителя Козыренко Л.А., Азовский район, Ростовская область, к.н. 61:01:0090102:2564 (1 шт.)</t>
  </si>
  <si>
    <t>Установка прибора коммерческого учета электрической энергии (мощности) на границе земельного участка, подключенного от опоры №127-5 ВЛ-0,4кВ №1 КТП-10/0,4 кВ №127 ВЛ-10кВ №1708 ПС 35/10 кВ А-17 для технологического присоединения энергопринимающих устройств объекта жилого дома Заявителя Лыскиной В.В., с. Круглое, Азовский район, Ростовская область, к.н. 61:01:0070101:232 (1 шт.)</t>
  </si>
  <si>
    <t>Установка прибора коммерческого учета электрической энергии (мощности) на границе земельного участка, подключенного от опоры №126-57 ВЛ-0,4 №1 КТП-126 ВЛ-10 313 от ПС 35 кВ КГ3 для технологического присоединения энергопринимающих устройств садового дома Заявителя Бондаревой Е.А., Ростовская обл., Аксайский р-н, СНТ «Железнодорожник» к.н. 61:02:0504801:404 (1 шт.)</t>
  </si>
  <si>
    <t>Установка прибора коммерческого учета электрической энергии (мощности) на границе земельного участка, подключенного от опоры №123-38 ВЛ-0,4 №1 КТП-123 ВЛ-10 114 ПС 220 кВ Зерновая для технологического присоединения энергопринимающих устройств жилого дома Заявителя Коваленко А.А., г. Зерноград, Зерноградский район, Ростовская область,  к.н. 61:12:0040803:5 (1 шт.)</t>
  </si>
  <si>
    <t>Установка прибора коммерческого учета электрической энергии (мощности) на границе земельного участка, подключенного от проектируемой опоры (в рамках договора 61-1-22-00612349 Забей-Ворота И.Г.) ВЛ-0,4 №1 КТП-123 ВЛ-10 114 ПС 220 кВ Зерновая для технологического присоединения энергопринимающих устройств жилого дома Заявителя Кошуба М.С., Ростовская обл. Зерноградский р-н, г. Зерноград, пер. Волжский д.6 к.н. 61:12:0600801:610 (1 шт.)</t>
  </si>
  <si>
    <t>Установка прибора коммерческого учета электрической энергии (мощности) на границе земельного участка, подключенного от опоры         №107-10 ВЛ-0,4 №2 КТП-107 ВЛ-10 122 ПС 220кВ Зерновая для технологического присоединения энергопринимающих устройств жилого дома Заявителя  Кранокутского А.Ю. , Ростовская обл. Зерноградский р-н. х. Ракитный ул. Заречная д.54б  к.н. 61:12:0051001:1110(1 шт.)</t>
  </si>
  <si>
    <t>Установка прибора коммерческого учета электрической энергии (мощности) на границе земельного участка, подключенного от опоры №126-134 ВЛ-0,4 №1 КТП-126 ВЛ-10 313 ПС 35 кВ КГ3 для технологического присоединения энергопринимающих устройств малоэтажной жилой застройки Заявителя, Ростовская обл., Аксайский р-н, СНТ «Природа» 35 линия уч.3631 к.н. 61:02:0504601:4427(1 шт.)</t>
  </si>
  <si>
    <t>Установка прибора коммерческого учета электрической энергии (мощности) на границе земельного участка, подключенного от опоры №202-6 ВЛ-0,4 №1 КТП-202 ВЛ-10 319 ПС 35 кВ КГ3 для технологического присоединения энергопринимающих устройств малоэтажной жилой застройки Заявителя Марченко А.А., Ростовская обл. Кагальницкий р-н. п. Мокрый Батай, ул. Строителей д.78 к.н. 61:14:0060109:769 (1 шт.)</t>
  </si>
  <si>
    <t>Установка прибора коммерческого учета электрической энергии (мощности) на границе земельного участка, подключенного от опоры    №105-32 ВЛ-0,4 №1 КТП-105 ВЛ-10 716 ПС 110 кВ Юбилейная для технологического присоединения энергопринимающих устройств малоэтажной жилой застройки Заявителя Массольд А.В., Ростовская обл., Кагальницкий р-н, п. Воронцовка, ул. Садовая д.19 к.н. 61:14:0060202:349 (1 шт.)</t>
  </si>
  <si>
    <t>Установка прибора коммерческого учета электрической энергии (мощности) на границе земельного участка, подключенного от опоры №128-112 ВЛ-0,4 №1 КТП-128 ВЛ-10 313 ПС 35 кВ КГ3 для технологического присоединения энергопринимающих устройств малоэтажной жилой застройки Заявителя Поверенная Е.В., Ростовская обл., Кагальницкий р-н, ст. Кировская, ул. Королева д.20 к.н. 61:14:0050103:64(1 шт.)</t>
  </si>
  <si>
    <t>Установка прибора коммерческого учета электрической энергии (мощности) на границе земельного участка, подключенного от опоры №169-161 ВЛ-0,4 №3 КТП-169 ВЛ-10 313 ПС 35 кВ КГ3 для технологического присоединения энергопринимающих устройств малоэтажной жилой застройки Заявителя Помазанова А.Н., Ростовская обл., Аксайский р-н, х. Истомино, СНТ «Природа» уч.IV-23-3680 к.н. 61:02:0504601:762 (1 шт.)</t>
  </si>
  <si>
    <t>Установка прибора коммерческого учета электрической энергии (мощности) на границе земельного участка, подключенного от опоры №25-52 ВЛ-0,4 №2 КТП-25 ВЛ-10 1006 ПС 110 кВ Полячки для технологического присоединения энергопринимающих устройств малоэтажной жилой застройки Заявителя Струковой Л.В., Ростовская обл., Кагальницкий р-н, х. Родники, ул. Гагарина д.31Б к.н. 61:14:0080502:245(1 шт.)</t>
  </si>
  <si>
    <t>Установка прибора коммерческого учета электрической энергии (мощности) на границе земельного участка, подключенного от опоры №108-88 ВЛ-0,4 №4 КТП-108 ВЛ-10 1507 ПС 110 кВ ЗР15 для технологического присоединения энергопринимающих устройств жилого дома Заявителя Третьяковой С.А., п. Зерновой, Зерноградский район, Ростовская область, к.н.:61:12:0050501:811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</si>
  <si>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Цокаевой Р.М., расположенной по адресу: Ростовская область,Кашарский  район, х. Ленинский, ул. Заветная, д.10, кв.1, к.н.з.у. 61:16:0170401:79 (1шт.)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</si>
  <si>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Бушуева М.В., расположенного по адресу: Ростовская область, Боковский  район,х.Белавин,ул.Степная д.41»</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</si>
  <si>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Копкилец Р.А., расположенного по адресу: Ростовская область, Боковский  район, х. Коньков, ул. Комунная, д. 40, кв. 3, к.н.з.у. 61:05:0040501:47»</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</si>
  <si>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Литвиновой Е.И., расположенного по адресу: Ростовская область, Боковский район, ст. Боковская, ул. Совхозная, д. 11а, к.н.з.у. 61:05:0010104:385»</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</si>
  <si>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линии освещения мостового перехода на км 95+139 автомобильной дороги общего пользования регионального значения ст. Обливская - ст. Советская - ст. Боковская - ст. Каргинская, Заявителя, Министерство транспорта Ростовской области, расположенной по адресу: Ростовская область, Боковский район, х. Земцов, к.н.з.у. 61:05:0000000:85</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</si>
  <si>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ВРУ-0,22 кВ УКЗТ-3 Заявителя, ПАО "Газпром газараспределение Ростов-на-Дону", расположенного по адресу: Ростовская область, Боковский район, х. Земцов, к.н.з.у. 61:05:0600011:128</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</si>
  <si>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Гладкова Н.В., расположенного по адресу: Ростовская область, Кашарский район, п. Красный Колос, ул. Сосновая, д.10, к.н.з.у. 61:16:0080101:139»</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</si>
  <si>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Чалая С.А., расположенного по адресу: Ростовская область, Кашарский район, п. Красный Колос ул. Центральная д.2, кв. 4, к.н.з.у. 61:16:0080101:512»</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</si>
  <si>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Тимошенко А.О., расположенного по адресу: Ростовская область, Кашарский район, с. Усть-Мечетка, ул. Набережная, д. 47, к.н.з.у. 61:16:0160401:254»</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</si>
  <si>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Ерунова А.С., расположенного по адресу: Ростовская область, Кашарский район, с. Усть-Мечетка, ул. Набережная, д. 14, к.н.з.у. 61:16:0160401:259»</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</si>
  <si>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Бездорожней Т.Ф., расположенного по адресу: Ростовская область, Кашарский район, х. Вишневка, ул. Дружбы, 18 к.н.з.у. 61:16:0140202:470»</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</si>
  <si>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объектов здравоохранения заявителя, МБУЗ ЦРБ Кашарского района, расположенных по адресу: Ростовская область, Кашарский  район, х. Пономарев, ул. Центральная, д.35 а, к.н.з.у. 61:16:0120101:1238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</si>
  <si>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Козырева Д.Э., расположенного по адресу: Ростовская область, Кашарский район, с. Поповка, ул. Большая Садовая, д. 73, к.н.з.у. 61:16:0130101:436»</t>
  </si>
  <si>
    <t>«Установка прибора учета электрической энергии (мощности) в точке поставки и установка шкафа 0,22 кВ с коммутационным аппаратом (1 шт.) для электроснабжения светофора Заявителя, Администрация Чертковского района, расположенного по адресу: Ростовская область, Чертковский район, сл. Анно-Ребриковская, ул. Советская, в районе дома №58»</t>
  </si>
  <si>
    <t>«Установка прибора учета электрической энергии (мощности) в точке поставки и установка шкафа 0,22 кВ с коммутационным аппаратом (1 шт.) для электроснабжения светофора Заявителя, Администрация МО Маньковское сельское поселение, расположенного по адресу: Ростовская область, Чертковский район, с. Маньково-Калитвенское, ул. Советская, в районе дома №40»</t>
  </si>
  <si>
    <t>«Установка прибора учета электрической энергии (мощности) в точке поставки и установка шкафа 0,22 кВ с коммутационным аппаратом (1 шт.) для электроснабжения светофора Заявителя, Администрация Чертковского района, расположенного по адресу: Ростовская область, Чертковский район, с. Михайлово-Александровка, ул. Ленина к.н.з.у. 61:42:0090101:2884»</t>
  </si>
  <si>
    <t>«Установка прибора учета электрической энергии (мощности) в точке поставки и установка шкафа 0,22 кВ с коммутационным аппаратом (1 шт.) для электроснабжения светофора Заявителя, Администрация Чертковского района, расположенного по адресу: Ростовская область, Чертковский район, с. Сохрановка, ул. Школьная, в районе дома №8 к.н.з.у. 61:42:0000000:2561»</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</si>
  <si>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Грезиной Н.Л., расположенного по адресу: Ростовская область, Чертковский район, х. Полтава, ул. Комарова, д. 29, к.н.з.у. 61:42:0210201:163»</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</si>
  <si>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Капля Н.И., расположенной по адресу: Ростовская область, Чертковский район, х. Полтава, ул. Катаева, д. 6, кв. 1, к.н.з.у. 61:42:0000000:1947»</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</si>
  <si>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Нешта Л.Н., расположенной по адресу: Ростовская область, Чертковский район, с. Михайлово-Александровка, ул. Свердлова, д. 4, кв. 1, к.н.з.у. 61:42:0090101:625»</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</si>
  <si>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Скляренко С.В., расположенной по адресу: Ростовская область, Чертковский район, с. Алексеево-Лозовское, ул. Рабочая, д. 44, кв. 3, к.н.з.у. 61:42:0010101:834»</t>
  </si>
  <si>
    <t>«Установка прибора учета электрической энергии (мощности) в точке поставки и установка шкафа 0,22 кВ с коммутационным аппаратом для электроснабжения магазина Заявителя ИП Соболева В.В., расположенного по адресу: Ростовская область, Чертковский район, с. Маньково-Калитвенское, ул. Кирова, д. 106а, к.н.з.у. 61:42:0080102:312»</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</si>
  <si>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ФАП Заявителя МБУЗ "ЦРБ Миллеровского района", расположенной по адресу: Ростовская область, Миллеровский район, х. Венделеевка, ул. Центральная, д. 70, к.н.з.у 61:42:0050201:196»</t>
  </si>
  <si>
    <t>«Установка прибора учета электрической энергии (мощности)в точке поставки и установка шкафа 0,22 кВ с коммутационным аппаратом для электроснабжения пропускного пункта Заявителя ФГКУ «Пограничное управление ФСБ РФ по Ростовской области», расположенного по адресу: Ростовская область, Миллеровский район, Титовское сельское поселение, к.н.з.у. 61:22:0150101:1071»</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</si>
  <si>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Приходько Е.С., расположенного по адресу: Ростовская область, Кашарский район, п. Теплые Ключи ул. Прудная д. 13 кв. 1, к.н.з.у. 61:16:0090101:297</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</si>
  <si>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Морозова Е.И., расположенного по адресу: Ростовская область, Кашарский район, х. Пономарев ул. Садовая д. 11, к.н.з.у. 61:16:0120101:1251</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</si>
  <si>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Кучеровой Е.В., расположенной по адресу: Ростовская область,Кашарский  район, х. Пономарев, ул. Центральная, д.16, кв. 2,  к.н.з.у. 61:16:0120101:1234</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</si>
  <si>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Яценко Н.А., расположенного по адресу: Ростовская область, Кашарский район, сл. Кашары, ул. Строительная, д. 2, к.н.з.у. 61:16:0010112:88</t>
  </si>
  <si>
    <t>Установка прибора учета для технологического присоединения здания библиотеки заявителя, МБУК «Вёшенская межпоселковая центральная библиотека», расположенного по адресу: Ростовская область, Шолоховский район, х. Гороховский ул. Асфальтная, д. 23б, к.н.з.у. 61:43:0060401:573 (1 шт.)</t>
  </si>
  <si>
    <t>Обеспечение коммерческим учетом электрической энергии (мощности) в точке поставки и установка шкафа 0,22 кВ с коммутационным аппаратом, для электроснабжения жилого дома Заявителя, Гапоненко Л.Н.., расположенного по адресу: Ростовская область, Кашарский район, х. Вишневка, ул. Центральная, д. 19, к.н.з.у. 61:16:0170101:143</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</si>
  <si>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Пасикова А.И., расположенного по адресу: Ростовская область,Кашарский  район, х. Новопокровский, ул. Озерная, д.4, к.н.з.у. 61:16:0010401:266</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</si>
  <si>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объектов оптовой и розничной торговли заявителя, ИП Филевой Е.Г., расположенного по адресу: Ростовская область,Кашарский  район, с. Верхнегреково, ул. Школьная, д. 16А, к.н.з.у. 61:16:0020101:85</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</si>
  <si>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объектов  розничной торговли заявителя СлабченкоВ.А., расположенного по адресу: Ростовская область,Кашарский  район, с. Верхнегреково, ул. Заречная, д. 10А, к.н.з.у. 61:16:0020102:504</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</si>
  <si>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объектов  розничной торговли заявителя Слабченко В.А., расположенных по адресу: Ростовская область,Кашарский  район, х. Нижний Астахов, пер. Школьный, д. 10А, к.н.з.у. 61:16:0020201:223</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</si>
  <si>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Бацкина А.Н., расположенного по адресу: Ростовская область, Шолоховский  район, х. Зубковский, ул. Решетовская, д. 9, к.н.з.у. 61:43:0030301:108</t>
  </si>
  <si>
    <t>«Установка прибора учета электрической энергии (мощности) в точке поставки и установка шкафа 0,22 кВ с коммутационным аппаратом для электроснабжения здания столовой Заявителя, Администрация Боковского района, расположенной по адресу: Ростовская область, Боковский район, ст. Каргинская, ул. Ленина, д. 31/2, к.н.з.у. 61:05:0040103:169»</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</si>
  <si>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помещения Заявителя Тырнова В.М., расположенного по адресу: Ростовская область, Кашарский район, п. Индустриальный, ул. Школьная, д. 18,  к.н.з.у. 61:16:0060102:142</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</si>
  <si>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Прудниковой И.С., расположенного по адресу: Ростовская область, Шолоховский район, х. Пигаревский, ул. Красноселовская, д. 3А, к.н.з.у. 61:43:0020602:404</t>
  </si>
  <si>
    <t>Установка прибора учета электрической энергии (мощности)в точке поставки и установка шкафа 0,22 кВ с коммутационным аппаратом для электроснабжения ВРУ 0,22 кВ для ведения садоводства и огородничества, Заявителя Артеменко В.И., расположенного по адресу: Ростовская область, Миллеровский район, юго-восточная часть г. Миллерово, ООО «Железнодорожник», к.н.з.у. 61:54:050401:11</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</si>
  <si>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Лазарева А.Н., расположенной по адресу: Ростовская область, Кашарский район, с. Первомайское, ул. Лермонтова, д. 34, к.н.з.у. 61:16:0110102:467</t>
  </si>
  <si>
    <t>Установка прибора учета для технологического присоединения жилого дома заявителя, Корниенко С.Ю., расположенного по адресу: Ростовская область, Боковский район, х. Вислогузов, ул. Вислогузовская, д. 26-б, к.н.з.у. 61:05:0040202:29</t>
  </si>
  <si>
    <t>Установка прибора учета для технологического присоединения квартиры заявителя, Алимова Л.А., расположенной по адресу: Ростовская область, Боковский район, х. Горбатов, ул. Луговая, д. 14, кв. 2, к.н.з.у. 61:05:0010402:94</t>
  </si>
  <si>
    <t>Установка прибора учета для технологического присоединения ВРУ 0,4 кВ заявителя, Багдасарян К.С., расположенного по адресу: Ростовская область, Чертковский район, с. Маньково-Калитвенское, пер. Почтовый, д. 62, к.н.з.у. 61:42:0080113:2</t>
  </si>
  <si>
    <t>Установка прибора учета для технологического присоединения личного подсобного хозяйства заявителя, Стецков В.В., расположенного по адресу: Ростовская область, Миллеровский район, х. Маринченский, ул. Меловая, д. 1, к.н.з.у. 61:22:0020501:1</t>
  </si>
  <si>
    <t>Установка прибора учета для технологического присоединения уличного освещения заявителя, Администрация Первомайского СП, расположенного по адресу: Ростовская область, Миллеровский район, х. Редкодуб, ул. Созвучная, к.н.з.у. 00:00:000000:00</t>
  </si>
  <si>
    <t>Установка прибора учета для технологического присоединения нежилого помещения заявителя, ГБУ РО «Боковская межрайонная СББЖ», расположенного по адресу: Ростовская область, Боковский район, ст. Боковская, ул. Совхозная, д. 3-б, к.н.з.у. 61:05:0010104:1060</t>
  </si>
  <si>
    <t>Установка прибора учета для технологического присоединения жилого дома заявителя, Кузнецов В.И., расположенного по адресу: Ростовская область, Боковский район, х. Большенаполовский, ул. Лесная, д. 48, к.н.з.у. 61:05:0020201:27</t>
  </si>
  <si>
    <t>Установка прибора учета для технологического присоединения жилого дома заявителя, Заварыкин А.М., расположенного по адресу: Ростовская область, Чертковский район, сл. Анно-Ребриковская, ул. Лесная, д. 12, к.н.з.у. 61:42:0080113:2</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</si>
  <si>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Мутилина А. И., расположенной по адресу: 346175 Российская Федерация, Ростовская обл., р-н. Верхнедонской, х. Пузановский, ул. Пузановская,  д. 16, кадастровый номер земельного участка: 61:07:0060301:8</t>
  </si>
  <si>
    <t>Установка прибора учета для технологического присоединения жилого дома заявителя, Лубяная Е.М., расположенного по адресу: Ростовская область, Чертковский район, с. Сохрановка, ул. Первомайская, д. 7, к.н.з.у. 61:42:0150101:62</t>
  </si>
  <si>
    <t>Установка прибора учета электрической энергии (мощности) в точке поставки и установка шкафа 0,22 кВ с коммутационным аппаратом для электроснабжения земельного участка заявителя, Абрамов М.С., расположенного по адресу: Ростовская область, Кашарский район, с. Нижнекалиновка, ул. Береговая, д. 23, к.н.з.у. 61:16:0100501:66</t>
  </si>
  <si>
    <t>Установка прибора учета для технологического присоединения земельного участка заявителя Быкадоров В.П., расположенного по адресу: Ростовская область, Верхнедонской район, х. Казанская Лопатина, ул. Лопатинская, д. 132, к.н.з.у. 61:07:0020101:129</t>
  </si>
  <si>
    <t>Установка прибора учета (1 шт.) для технологического присоединения уличного освещения заявителя, Администрация Криворожского сельского поселения, расположенного по адресу: Ростовская область, Миллеровский район, сл. Позднеевка, ул. Садовая, к.н.з.у. 00:00:000000:00</t>
  </si>
  <si>
    <t>Установка прибора учета (1 шт.) для технологического присоединения уличного освещения заявителя, Администрация Криворожского сельского поселения, расположенного по адресу: Ростовская область, Миллеровский район, сл. Криворожье, ул. Лесная, ул. Овчинникова, ул. Ленина, ул. Первомайская, к.н.з.у. 00:00:000000:00</t>
  </si>
  <si>
    <t>Установка прибора учета (1 шт.) для технологического присоединения уличного освещения заявителя, Администрация Криворожского сельского поселения, расположенного по адресу: Ростовская область, Миллеровский район, сл. Позднеевка, ул. Специалистов, ул. Зеленая, ул. Садовая, ул. Комсомольская, ул. Советская, ул. Ольховая, к.н.з.у. 00:00:000000:00</t>
  </si>
  <si>
    <t>Установка прибора учета для технологического присоединения квартиры заявителя Лекаревой М.В., расположенной по адресу: Ростовская область, Верхнедонской район, х. Заикинский, ул. Заикинская, д. 64, кв. 2, к.н.з.у. 61:07:0060101:23/1</t>
  </si>
  <si>
    <t>«Установка прибора учета для технологического присоединения жилого дома заявителя Прудников А.А., расположенного по адресу: Ростовская область, Кашарский район, с. Шалаевка, ул. Князева, д. 4, к.н.з.у. 61:16:0020302:109»</t>
  </si>
  <si>
    <t>Установка прибора учета электрической энергии (мощности) в точке поставки и установка шкафа 0,22 кВ с коммутационным аппаратом для электроснабжения нежилого дома заявителя Чапцевой Р.И., расположенного по адресу: Ростовская область, Верхнедонской  район х. Четвертинская,ул.Четвертинская д.38. 61:07:0030701:67</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</si>
  <si>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Хибученко Л.А., расположенной по адресу: Ростовская область,Кашарский  район, сл. Кашары, ул. Комсомольская, д. 120, кв. 13, к.н.з.у. 00:00:000000</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</si>
  <si>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Пономаревой М.А., расположенной по адресу: Ростовская область,Кашарский  район, с. Первомайское, ул. Лермонтова, д.32, кв. 7, к.н.з.у. 00:00:0000</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</si>
  <si>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Богомоловой Т.И., расположенного по адресу: Ростовская область, Кашарский район, сл. Поповка, ул. Центральная, д. 14  к.н.з.у. 61:16:0130102:144</t>
  </si>
  <si>
    <t>Установка прибора учета электрической энергии (мощности) в точке поставки и установка шкафа 0,22 кВ с коммутационным аппаратом для электроснабжения квартиры Заявителя Уткиной Н.Н., расположенной по адресу: Ростовская область, Шолоховский район, х. Антиповский, ул. Асфальтная, д. 8, кв. 2, к.н.з.у. 61:43:0600009:1090</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</si>
  <si>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Кравцова С.К., расположенного по адресу: Ростовская область, Кашарский район, с. Каменка, ул. Центральная, д. 48,  к.н.з.у. 61:16:0130401:131</t>
  </si>
  <si>
    <t>Установка прибора учета для технологического присоединения личного подсобного хозяйства заявителя, Бородаенко Д.И., расположенного по адресу: Ростовская область, Кашарский район, п. Комсомольский, ул. Заречная, д. 3, к.н.з.у. 61:16:0170301:366</t>
  </si>
  <si>
    <t>Установка прибора учета для технологического присоединения личного подсобного хозяйства заявителя, Шевцов А.М., расположенного по адресу: Ростовская область, Кашарский район, х. Нижнекалиновка, ул. Береговая, д. 17 А, к.н.з.у. 61:16:0100501:64</t>
  </si>
  <si>
    <t>Установка прибора учета для технологического присоединения жилого дома заявителя, Фоменко С.В., расположенного по адресу: Ростовская область, Шолоховский район, х. Громковский, ул. Почтовая, д. 265а, к.н.з.у. 61:43:0010501:1476</t>
  </si>
  <si>
    <t>Установка прибора учета для технологического присоединения жилого дома заявителя, Данцев Н.А., расположенного по адресу: Ростовская область, Чертковский район, с. Осиково, ул. Садовая, д. 31, к.н.з.у. 61:42:0190101:1257</t>
  </si>
  <si>
    <t>Установка прибора учета для технологического присоединения жилого дома заявителя, Василенко А.А., расположенного по адресу: Ростовская область, Чертковский район, х. Бакай, ул. Песчанная, д. 47, к.н.з.у. 61:42:0180201:4</t>
  </si>
  <si>
    <t>Установка прибора учета для технологического присоединения жилого дома заявителя, Кусраева Ю.В., расположенного по адресу: Ростовская область, Шолоховский район, х. Калининский, ул. Центральная, д.51, к.н.з.у. 61:43:0050101:1706</t>
  </si>
  <si>
    <t>«Установка прибора учета для технологического присоединения жилого дома заявителя Мутикова Х.Г., расположенного по адресу: Ростовская область, Чертковский район, с. Маньково-Калитвенское, ул. Социалистическая, д. 30, к.н.з.у. 61:42:0080135:93»</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</si>
  <si>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Плахотиной А.В., расположенного по адресу: Ростовская область,Кашарский  район, х. Новодонецкий, ул. Ольховая, д.38, к.н.з.у. 61:16:0010201:261</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</si>
  <si>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объектов оптовой и розничной торговли заявителя, ИП Тимошенко Н.Н., расположенной по адресу: Ростовская область,Кашарский  район, п. Индустриальный, ул. Школьная, д. 33А, к.н.з.у. 61:16:0060102:181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</si>
  <si>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Ситниковой В.С., расположенного по адресу: Ростовская область,Кашарский  район, х. Второй Киевский, ул. Свободы, д.12, к.н.з.у. 61:16:0070101:229</t>
  </si>
  <si>
    <t>Установка прибора учета электрической энергии (мощности) в точке поставки и установка шкафа 0,22 кВ с коммутационным аппаратом для электроснабжения объекта индивидуального жилищного строительства Заявителя Гончаровой Т.Н., расположенного по адресу: Ростовская область, Кашарский район, с. Каменка, ул. Песчаная, д. 15, к.н.з.у. 61:16:0130402:151</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</si>
  <si>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Резник А.Н., расположенного по адресу: Ростовская область, Кашарский район, х. Усиковка, ул. Береговая, к.н.з.у. 61:16:0010501:292</t>
  </si>
  <si>
    <t>«Установка прибора учета электрической энергии (мощности) в точке поставки и установка шкафа 0,22 кВ с коммутационным аппаратом для электроснабжения личного подсобного хозяйства Заявителя Шавкуновой Е.А., расположенного по адресу: Ростовская область, Кашарский район, с. Каменка, ул. Песчаная, д. 39  к.н.з.у. 61:16:0130401:208 (1 шт.)».</t>
  </si>
  <si>
    <t>«Установка прибора учета (1 шт.) для технологического присоединения малоэтажной жилой застройки заявителя, Бегматов У.Р., расположенного по адресу: Ростовская область, Боковский район, х. Грачев, ул. Рожнова, д. 80, к.н.з.у. 61:05:0030102:406»,</t>
  </si>
  <si>
    <t>«Установка прибора учета (1 шт.) для технологического присоединения малоэтажной жилой застройки заявителя, Бегматов У.Р., расположенного по адресу: Ростовская область, Боковский район, х. Грачев, ул. Рожнова, д. 82, к.н.з.у. 61:05:0030102:407»</t>
  </si>
  <si>
    <t>«Установка прибора учета (1 шт.) для технологического присоединения малоэтажной жилой застройки заявителя, Бегматов У.Р., расположенного по адресу: Ростовская область, Боковский район, х. Грачев, ул. Рожнова, д. 84, к.н.з.у. 61:05:0030102:408»</t>
  </si>
  <si>
    <t>Установка прибора учета для технологического присоединения жилого помещения заявителя Менжулиной Л.П., расположенного по адресу: Ростовская область, Чертковский район, х. Гусев, ул. Центральная, д. 2/2, к.н.з.у. 61:42:0080701:138</t>
  </si>
  <si>
    <t>Установка прибора учета для технологического присоединения жилого дома заявителя Беспалова С.С., расположенного по адресу: Ростовская область, Чертковский район, х. Виноградовский, пер. Виноградовский, д. 33, к.н.з.у. 61:42:0070401:411 (1 шт.)</t>
  </si>
  <si>
    <t>Установка прибора учета электрической энергии (мощности) в точке поставки и установка шкафа 0,22 кВ с коммутационным аппаратом для электроснабжения жилого дома заявителя, Рябова А.В., расположенного по адресу: Ростовская область, Чертковский  район, х. Бакай, ул. Полетаева, д. 118, к.н.з.у. 61:42:0180201:53</t>
  </si>
  <si>
    <t>Установка прибора учета электрической энергии (мощности) в точке поставки и установка шкафа 0,22 кВ с коммутационным аппаратом для электроснабжения уличного освещения Заявителя, Администрация МО Маньковское СП, расположенного по адресу: Ростовская область, Чертковский район, х. Гусев, ул. Центральная</t>
  </si>
  <si>
    <t>Установка приборов учета для присоединения ВРУ 0,22 кВ жилых домов, расположенных по адресу: Р.О., г. Ростов-на-Дону, г. Аксай, Аксайский р-н, Азовский р-н КН: 61:01:0130201:4564; 61:01:0130201:4563; 61:01:0600007:1872; 61:01:0600007:1862; 61:01:0600007:1863;  61:01:0600007:1777;  61:01:0600007:1816; 61:44:0082613:296 (24 шт.)</t>
  </si>
  <si>
    <t>Установка приборов учета для присоединения ВРУ 0,22 кВ жилых домов, расположенных по адресу: Р.О., Азовский р-н)» (2 шт.)</t>
  </si>
  <si>
    <t>Установка прибора учета для присоединения жилого дома Кудрина Н.А., расположенного по адресу: РО, Багаевский район, х. Елкин, ул. Григорьева, д. 99, к.н. 61:03:0030109:47 (1 шт)</t>
  </si>
  <si>
    <t>Установка приборов учета для присоединения магазина Голбан А.А. и квартиры Оганнисян М.А., расположенных по адресу: РО, Багаевский район, х. Ажинов, ул. Буденовская, д. 24-а, к.н., д. 31, кв. 3(2шт)</t>
  </si>
  <si>
    <t>Установка прибора учета для присоединения жилого дома Чернышевой Л.А., расположенного по адресу: РО, Багаевский район, х. Федулов, ул. Пролетарская, д. 4Б, к.н. 61:03:0010203:350 (1шт)</t>
  </si>
  <si>
    <t>Установка приборов учета для присоединения ВРУ 0,22 кВ жилого дома Агаглуян Х.В., расположенного по адресу: Р.О., Аксайский р-н, п. Янтарный, ул. Рябиновая, д. 149 к.н. 61:02:0010138:19 (1 шт).</t>
  </si>
  <si>
    <t>Установка прибора учета для присоединения жилого дома Арабаджи И. расположенного по адресу: РО, Веселовский район, х. Верхнесоленый, ул. Заречная, 79-а к.н. 61:06:0020107:194</t>
  </si>
  <si>
    <t>Установка прибора учета для присоединения жилого дома Калюжной И.А., расположенного по адресу: Ростовская область, Багаевский район, ст. Манычская, ул. Донская, д. 46, к.н. 61:03:0040120:15</t>
  </si>
  <si>
    <t>Установка прибора учета для присоединения личного подсобного хозяйства Нумановой Ш.Я., расположенного по адресу: Ростовская область, Багаевский район, х. Усьман, ул. Луговая д. 40А, к.н. 61:03:0060401:523</t>
  </si>
  <si>
    <t>Установка прибора учета для присоединения теплицы Абдуллаевой Д.А., расположенного по адресу: Ростовская область, Багаевский район, Елкинское сельское поселение, к.н. 61:03:0600002:684</t>
  </si>
  <si>
    <t>Установка прибора учета для присоединения жилого дома Рубан А.Н., расположенного по адресу: Р.О., Багаевский район, ст. Манычская, ул. Октябрьская, д. 7-б</t>
  </si>
  <si>
    <t>Установка прибора учета для присоединения нежилого помещения Пляшко Л.В., расположенного по адресу: Ростовская область, Багаевский район, п. Первомайский, ул. Молодежная, д. 14 Б</t>
  </si>
  <si>
    <t>Установка прибора учета для присоединения жилого дома Столповского О. Ю. расположенного по адресу: РО, Веселовский район, х. Красный Маныч, АО «Красный Маныч», в 5,6 км к северо-западу от х. Красный Маныч к.н. 61:06:0600014:632</t>
  </si>
  <si>
    <t>Установка прибора учета для присоединения объекта жилой дом Романчук И.А., объекта сельхоз. производства Нуриева Ф.К., жилого дома Исаевой З. П., жилого дома Чавыкалова А.Н., жилого дома Орловой Т.Г, жилого дома Антохиной Л.И., жилого дома Намазовой Д.Л., жилого дома Немченко Н.А., расположенных по адресу: г. Семикаракорск, ул. Серегина, 2-а., х. Жуков, к.н. земельного участка: 61:35:0600007:546., х. Большемечетный, в 90,70 м на север от ул. Советская, 4, к.н.: 61:35:0020101:1493., х. Слободской, ул. Сальская, д. 5., ст-ца. Задоно-Кагальницкая, ул. Набережная, д. 19а., х. Золотаревка, ул. Садовая, д. 13., х. Большемечетный, к.н.: 61:35:0020101:1708., г. Семикаракорск, ул. Заводская, д. 1-а (8 шт)</t>
  </si>
  <si>
    <t xml:space="preserve">Установка приборов учета для присоед. объектов, Ростовская обл., р-н. Аксайский, р-н. Азовский (219шт) </t>
  </si>
  <si>
    <t>Установка прибора учета для присоединения индивидуального жилого дома Кузьмичевой Т. В. расположенного по адресу: Ростовская область, Веселовский район, п. Веселый, ул. Октябрьская, 23-а к.н. 61:06:001010134:605</t>
  </si>
  <si>
    <t>Установка прибора учета для присоединения жилого дома Филипенко Т. П. расположенного по адресу: Ростовская область, Веселовский район, п. Веселый, ул. Луговая, 10 к.н. 61:06:001010138:96</t>
  </si>
  <si>
    <t>Установка прибора учета для присоединения жилого дома Митченко Е. Н. расположенного по адресу: Ростовская область, Веселовский район, п. Веселый, ул. Луговая, 14 к.н. 61:06:001010138:101</t>
  </si>
  <si>
    <t>Установка прибора учета для присоединения жилого дома Володиной И. М. расположенного по адресу: Р.О., Веселовский район, п. Веселый, ул. Строителей, 2</t>
  </si>
  <si>
    <t>Установка прибора учета для присоединения станции катодной защиты ПАО "Газпром газораспределение Ростов-на-Дону" расположенной по адресу: Ростовская область, Веселовский район, х. Верхнесоленый, х. Чаканиха, от ГРП в х. Чаканиха до газовой задвижки в х. Верхне-Соленый</t>
  </si>
  <si>
    <t>Установка прибора учета для присоединения жилых домов Зюзгинова А.Ю. расположенных по адресу: Ростовская обл., р-н Багаевский, ст. Манычская, ул. Октябрьская, д. 12А, к.н. 61:03:0040117:285, Лякиной Н.И. расположенного по адресу: х. Красный, ул. Набережная, д. 87А, к.н. 61:03:0060110:324 (2шт.)</t>
  </si>
  <si>
    <t>Установка прибора учета для присоединения ВРУ 0,4 кВ жилых домов заявителей Евлаховой Г. Ю., по адресу:, ст-ца. Задоно-Кагальницкая, к.н.: 61:35:0030101:4551, Сарвантова Р.Д., по адресу: х. Кузнецовка, к.н.: 61:35:0070101:2005</t>
  </si>
  <si>
    <t>Установка приборов учета для присоединения ВРУ 0,22 кВ магазина и жилого дома, расположенных по адресу: РО., г. Аксай, ст-ца Ольгинская, КН: 61:02:0600010:21606, 61:02:0090101:3925, (2шт.)</t>
  </si>
  <si>
    <t>Установка приборов учета для присоединения ВРУ 0,22 кВ жилых домов, расположенных по адресу: РО, р-н. Аксайский, х. Островского, р-н. Азовский, п. Красный Сад (21 шт.)</t>
  </si>
  <si>
    <t>Установка прибора учета для присоединения жилого дома заявителя Алавердян А. Ж., расположенного по адресу: Ростовская обл., Веселовский р-н, п. Веселый, ул. Думенко, 40-а к.н.:61:06:0010131:510 (1шт)</t>
  </si>
  <si>
    <t>Установка прибора учета для присоединения ВРУ 0,4 кВ жилого дома заявителя Бодровой Н.А., расположенного по адресу: Ростовская обл., Семикаракорский р-н, х. Чебачий, ул. Гагарина, 44/1, к.н.:61:35:0060201:639» (1 шт.)</t>
  </si>
  <si>
    <t>Установка приборов учета для присоединения ВРУ 0,22 кВ жилых домов, расположенных по адресу: РО., х. Большой Лог, п. Красный Сад, КН: 61:02:0600011:2689, 61:02:0600011:2690, 61:02:0600011:1064, 61:02:0600011:1063, 61:02:0600011:2687, 61:01:0130201:5499, (6шт.)</t>
  </si>
  <si>
    <t>Установка приборов учета для присоединения ВРУ 0,22 кВ жилых домов, расположенных по адресу: РО., х. Нижнетемерницкий, п. Российский, п. Темерницкий, х. Большой Лог, п. Красный Сад (5шт.)</t>
  </si>
  <si>
    <t>Установка приборов учета для присоединения ВРУ 0,22 кВ жилых домов, расположенных по адресу: РО, р-н. х. Красный Сад, ст. Ольгинская, ст. Грушевская, (4 шт.)</t>
  </si>
  <si>
    <t>Установка приборов учета для присоединения ВРУ 0,22 кВ жилых домов, расположенных по адресу: РО., г. Аксай, КН 61:02:0600010:4155, ст-ца. Грушевская, КН 61:02:0030111:10, ст-ца. Ольгинская, КН 61:02:0090103:2852 (3 шт.)</t>
  </si>
  <si>
    <t>Установка приборов учета для присоединения ВРУ 0,22 кВ малоэтажной жилой застройки и жилого дома, расположенных по адресу: РО., ст-ца Мишкинская, х. Большой Лог, КН:61:02:0600009:2828, 61:02:0600011:1082 (2шт.)</t>
  </si>
  <si>
    <t>Установка прибора учета для присоединения ВРУ 0,22 кВ жилого дома, расположенного по адресу: РО., р-н Аксайский,  КН 61:02:0600005:11409 (1 шт.)</t>
  </si>
  <si>
    <t>Установка приборов учета для присоединения ВРУ 0,22 кВ малоэтажных жилых застроек и жилого дома, расположенных по адресу: РО., п. Российский, п. Красный Сад, КН:61:02:0600010:12466, 61:02:0600010:17440, 61:02:0600010:12766, 61:02:0600010:17442, 61:02:0600010:17443, 61:01:0130201:5358, (6шт.)</t>
  </si>
  <si>
    <t>Установка прибора учета для присоединения жилого дома заявителя Лебедевой Н. В., расположенного по адресу: Ростовская обл., Веселовский район, п. Веселый, ул. Береговая, 16-а к.н.:61:06:0010108:406</t>
  </si>
  <si>
    <t>Установка приборов учета для присоединения ВРУ 0,22 кВ малоэтажных жилых застроек, расположенных по адресу: РО., п. Щепкин, п. Красный Сад, ст-ца Грушевская, п. Российский, х. Большой Лог, (8шт.)</t>
  </si>
  <si>
    <t>Установка прибора учета для присоединения  ВРУ 0,22 кВ  жилых домов, расположенных по адресу: РО., п. Красный Сад, п. Щепкин, п. Российский (12 шт.)</t>
  </si>
  <si>
    <t>Установка приборов учета для присоединения ВРУ 0,22 кВ жилых домов, расположенных по адресу: РО., р-н Аксайский, п. Опытный, КН 61:02:0507901:132, р-н. Азовский, п. Красный Сад, КН 61:01:0130201:5541 (2 шт.)</t>
  </si>
  <si>
    <t>Установка приборов учета для присоединения ВРУ 0,22 кВ малоэтажных жилых застроек, расположенных по адресу: РО., х. Алитуб, п. Октябрьский, х. Ленина, КН:61:02:0020101:697, 61:02:0600004:2795, 61:02:0600016:4461, (3шт.)</t>
  </si>
  <si>
    <t>Установка приборов учета для присоединения ВРУ 0,22 кВ жилых домов, расположенных по адресу: Аксайский, п. Российский, ул. Заповедная, д. 3-Г, п. Щепкин, ул. Крестьянская, д. 17-Б (3 шт.)</t>
  </si>
  <si>
    <t>Установка приборов учета для присоединения жилого дома заявителя Коваленко А.А. расположенного по адресу: ростовская обл. Веселовский муниципальный район, сельское поселение Верхнесоленовское, х. Маныч-Балабинка, ул. Озерная,  25в, к.н. 61:06:0040201:81 (1шт)</t>
  </si>
  <si>
    <t>«Установка системы учета для технологического присоединения «жилой дом», расположенного по адресу: 347760, РФ, Ростовская область, Целинский район, п. Новая Целина, ул. Мира, д. 2, кв. 3, к.н.з.у.:61:40:0010138:72, заявитель Нестеренко О.Н.»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</si>
  <si>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х. Бровки, СНТ «Приток», ул. садовая 8, участок 30, кадастровый номер земельного участка: 61:34:0500401:206, заявитель Толмачева Р.П.» (1 шт.)</t>
  </si>
  <si>
    <t>«Установка системы учета для технологического присоединения объекта «дачный дом», расположенного по адресу:347636 Российская Федерация, Ростовская обл., г. Сальск, снт Железнодорожник, бригада №9, участок №13, кадастровый номер земельного участка: 61:57:010977:680, заявитель Скосарева С.А.» (1 шт.)</t>
  </si>
  <si>
    <t xml:space="preserve"> «Установка системы учета для технологического присоединения объекта «Жилой лом», расположенного по адресу: 347500, РФ, Ростовская область, Орловский район, п. Красноармейский, пер. Садовый, д. 34, к.н.з.у.: 61:29:0060111:106, заявитель Столярова Н.И.  (1 шт.)» </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</si>
  <si>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х. Бровки, Сальский район, х. Бровки, тер. СНТ «Приток», ул. 24-я Садовая, земельный участок №21, кадастровый номер земельного участка: 61:34:0500401:933, заявитель Сиволапова А.А.» (1 шт.)</t>
  </si>
  <si>
    <t>«Установка системы учета для технологического присоединения объекта «жилой дом», расположенного по адресу: Российская Федерация, Ростовская обл., г. Сальск, ул. снт Железнодорожник, 1 Бригада, д. 40А, кадастровый номер земельного участка: 61:57:010977:1420, заявитель Морозко Д.В.»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</si>
  <si>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Сальский, х. Бровки, ул. Полевая, 52, кадастровый номер земельного участка: 61:34:0500801:20, заявитель Максименко М.Н.» (1 шт.)</t>
  </si>
  <si>
    <t>«Установка системы учета для технологического присоединения объекта «дачный дом», расположенного по адресу: Российская Федерация, Ростовская обл., Сальский район, СНТ № 2 «Бровки», ул. Речная, 39, кадастровый номер земельного участка: 61:34:0500801:261, заявитель Колесникова Т.Н.»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</si>
  <si>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Сальский, х. Бровки, Сальский район, СНТ №2 «Бровки», ул. Степная, 19, кадастровый номер земельного участка: 61:34:0500801:57, заявитель Капустян Д.Б.» (1 шт.)</t>
  </si>
  <si>
    <t>«Установка системы учета для технологического присоединения объекта «жилой дом», расположенного по адресу: Ростовская область, Целинский район, х. Образцовый, ул. Кирпичная, д. 3, к.н.з.у.:61:40:0030501:1, заявитель Крутьев Э.И» (1 шт.)</t>
  </si>
  <si>
    <t>«Установка системы учета для технологического присоединения объекта «жилой дом», расположенного по адресу: Ростовская область, Целинский район, х. Карла Либкнехта, ул. Прудовая, д. 1, к.н.з.у.:61:40:0091101:83, заявитель Тамаева О.М.» (1 шт.)</t>
  </si>
  <si>
    <t>«Установка системы учета для технологического присоединения объекта «квартира», расположенного по адресу: Ростовская область, Целинский район, х. Карла Либкнехта, ул. Зеленая, д. 14, кв. 4, к.н.з.у.:61:40:0091101:176, заявитель Коростий А.В.» (1 шт.)</t>
  </si>
  <si>
    <t>«Установка системы учета для технологического присоединения объекта «наружное освещение (памятник)», расположенного по адресу: Ростовская область, Целинский район, х. Новая Жизнь, ул. Степная, д. 18, к.н.з.у.:61:40:0100401:246, заявитель Администрация Хлеборобного сельского поселения Целинского района Ростовской области» (1 шт.)</t>
  </si>
  <si>
    <t xml:space="preserve">«Установка системы учета для технологического присоединения объекта «общественная территория прилегающая к амбулатории», расположенного по адресу: 347776, РФ, Ростовская область, Целинский район, с. Хлеборобное, ул. Советская, д.16, кв.3, к.н.з.у.:61:40:0100101:2566, заявитель Администрация Хлеборобного сельского поселения Целинского района Ростовской области» </t>
  </si>
  <si>
    <t>«Установка системы учета для технологического присоединения объекта «квартира», расположенного по адресу: РФ, Ростовская область, Целинский район, п. Новая Целина, ул. Ворошилова, д. 21, кв. 2, к.н.з.у.: 61:40:0000000:2405, заявитель Гришин А.А.» (1 шт.)</t>
  </si>
  <si>
    <t xml:space="preserve">«Установка системы учета для технологического присоединения объекта «квартира», расположенного по адресу: Ростовская область, Целинский район, п. Малая Роща, ул. Лазурная, д. 3, кв.1, к.н.з.у.: 61:40:0010401:46, заявитель Маркина И.Н.» </t>
  </si>
  <si>
    <t xml:space="preserve">«Установка системы учета для технологического присоединения объекта «жилой дом», расположенного по адресу: РФ, Ростовская область, Целинский район, х. Партизан, ул. Заречная, д. 1, к.н.з.у.: 61:40:0030601:13, заявитель Чибисова В.Г.» </t>
  </si>
  <si>
    <t xml:space="preserve">«Установка системы учета для технологического присоединения объекта «жилой дом», расположенного по адресу: Ростовская область, Целинский район, х. Васильевка, ул. Солнечная, д. 23, к.н.з.у.:61:40:0100201:174, заявитель Черненко С.П.» </t>
  </si>
  <si>
    <t>«Установка системы учета для технологического присоединения «жилой дом», расположенного по адресу: РФ, Ростовская область, Целинский район, с. Михайловка, ул. Молодежная, д. 8, к.н.з.у.:61:40:0050101:541, заявитель Шабанова Ф.Ю.» (1 шт.)</t>
  </si>
  <si>
    <t xml:space="preserve"> «Установка системы учета для технологического присоединения объекта «нестационарный торговый объект», расположенного по адресу: 347616, Российская Федерация, Ростовская обл., р-н., Сальский, с. Новый Егорлык, ул. Советская, д. 17 д, кадастровый номер земельного участка: 61:34:0110101:2430, заявитель Аджоян Н. Ю.» (1 шт.)</t>
  </si>
  <si>
    <t xml:space="preserve"> «Установка системы учета для технологического присоединения объекта «дом», расположенного по адресу: Российская Федерация, Ростовская обл., х. Новоселый 1-й, тер. СНТ. Колос, СНТ «Колос», линия 4, участок 6, кадастровый номер земельного участка: 61:34:0500501:448, заявитель Борисенко А.И.» (1 шт.)</t>
  </si>
  <si>
    <t xml:space="preserve"> «Установка системы учета для технологического присоединения объекта «дачный дом», расположенного по адресу: Российская Федерация, Ростовская обл., Г. Сальск, СНТ «Приток», ул. Садовая, д. 6, участок 35, кадастровый номер земельного участка: 61:34:0500401:152, заявитель Зведрис Г.В.» (1 шт.)</t>
  </si>
  <si>
    <t>«Установка системы учета для технологического присоединения объекта «жилой дом», расположенного по адресу: 347630 Российская Федерация, Ростовская обл., р-н. Сальский, х. Бровки, ул. Бодрая, д. 4, кадастровый номер земельного участка: 61:34:0500801:580, заявитель Лукинова Л.М.» (1 шт.)</t>
  </si>
  <si>
    <t>«Установка системы учета для технологического присоединения объекта «жилой дом», расположенного по адресу: Российская Федерация, Ростовская обл., Г. Сальск, СНТ Железнодорожник, 3 Бригада, д. 45, кадастровый номер земельного участка: 61:57:0010977:648, заявитель Комаров Ю.Л.» (1 шт.)</t>
  </si>
  <si>
    <t xml:space="preserve"> «Установка системы учета для технологического присоединения объекта «жилой дом», расположенного по адресу: 347628 Российская Федерация, Ростовская обл., р-н. Сальский, п. Клены, ул. Северная, д. 74, кадастровый номер земельного участка: 61:34:0010401:361, заявитель Устинова Т.В.» (1 шт.)</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</si>
  <si>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Кундрюченский, ул. Набережная, д. 5, к.н.з.у.: 61:29:0010301:1525, заявитель Копытин И.А.  (1 шт.)»</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</si>
  <si>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Быстрянский, пер. Майский, д. 4а, к.н. з. у.: 61:29:0010201:609, заявитель Кратковская Е.В. (1 шт.)»</t>
  </si>
  <si>
    <t>«Установка системы учета для технологического присоединения объекта «дачный дом», расположенного по адресу: 347630 Российская Федерация, Ростовская обл., г. Сальск, нп СНТ Приток, ул. Садовая 26, д. 22, кадастровый номер земельного участка: 61:34:0500401:624, заявитель Мединцов Г.А.» (1 шт.)</t>
  </si>
  <si>
    <t>«Установка системы учета для технологического присоединения «жилого дома», расположенного по адресу: 347619, Российская Федерация, Ростовская обл., р-н. Сальский, с. Сысоево-Александровское, ул. Молодежная, д. 15, кв./оф. 1 кадастровый номер земельного участка: 61:34:0090201:138, заявитель Жавдатова Х.И.» (1 шт.)</t>
  </si>
  <si>
    <t>Установка системы учета для технологического присоединения объекта «нежилое здание», расположенного по адресу: 347500, РФ, Ростовская область, Орловский район, п. Красноармейский, ул. Горького, д. 21, к.н. з.у.: 61:29:0060123:119, заявитель Администрация Красноармейского сельского поселения» (1 шт.)</t>
  </si>
  <si>
    <t xml:space="preserve"> «Установка системы учета для технологического присоединения объекта «жилой дом», расположенного по адресу: 347603, Российская Федерация, Ростовская обл., р-н., Сальский, п. Конезавод имени Будённого, ул. Восточная, д. 27, корп. б, кадастровый номер земельного участка: 61:34:0040101:4143, заявитель Чахаева С.И.» (1 шт.)</t>
  </si>
  <si>
    <t>«Установка системы учета для технологического присоединения объекта «жилой дом», расположенного по адресу: Российская Федерация, Ростовская обл., Г. Сальск, СНТ «Железнодорожник», бригада 6, участок 26, кадастровый номер земельного участка: 61:57:0010977:1159, заявитель Юрченко М.И.»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</si>
  <si>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х. Новоселый 1-й, тер. СНТ. Колос, СНТ «Колос», 7 линия, участок 14, кадастровый номер земельного участка: 61:34:0500501:508, заявитель Есауленко С.И.»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</si>
  <si>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х. Новоселый 1-й, тер. СНТ. Колос, СНТ «Колос», 7 линия, участок 13, кадастровый номер земельного участка: 61:34:0500501:507, заявитель Есауленко Л.В.»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</si>
  <si>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Г. Сальск, СНТ «Железнодорожник», Бригада 5, участок 16, кадастровый номер земельного участка: 61:57:0010977:187, заявитель Чехов В.А.» (1 шт.)</t>
  </si>
  <si>
    <t xml:space="preserve">«Установка системы учета для технологического присоединения «жилого дома», расположенного по адресу: Российская Федерация, Ростовская обл., р-н Сальский, х. Бровки, ул. Шоссейная, 39, кадастровый номер земельного участка: 61:34:0500801:132, заявитель Крюкова Т.А. (1 шт.)» </t>
  </si>
  <si>
    <t xml:space="preserve">«Установка системы учета для технологического присоединения «жилого дома», расположенного по адресу: 347613 Российская Федерация, Ростовская обл., р-н. Сальский, с. Ивановка, ул. Буденного, д. 131, кадастровый номер земельного участка: 61:34:0060101:671, заявитель Алейникова Ю.В.» (1 шт.) </t>
  </si>
  <si>
    <t>«Установка системы учета для технологического присоединения объекта «дачный дом», расположенного по адресу: Российская Федерация, Ростовская обл., р-н Сальский, СНТ №2 «Бровки», ул. Пролетарская, д. 21а, кадастровый номер земельного участка: 61:34:0500801:339, заявитель Момот Таиса Михайловна» (1 шт.)</t>
  </si>
  <si>
    <t>«Установка системы учета для технологического присоединения объекта «ангар», расположенного по адресу: 347612 Российская Федерация, Ростовская обл, р-н Сальский, х. Крупский, ул. Горького, д. 8, кадастровый номер земельного участка 61:34:0170201:100, заявитель ИП Елисеев А.Г.» (1 шт.)</t>
  </si>
  <si>
    <t>«Установка системы учета для технологического присоединения «жилого дома», расположенного по адресу: Российская Федерация, Ростовская обл., р-н. Сальский, СНТ Победа, Линия 6, участок 47, кадастровый номер земельного участка: 61:34:0500301:334, заявитель Резник С.А.» (1 шт.)</t>
  </si>
  <si>
    <t>«Установка системы учета для технологического присоединения «квартира», расположенного по адресу: РФ, Ростовская область, Целинский район, п. Лиманный, ул. Урожайная, д. 8, кв. 2, к.н.з.у.:61:40:0010801:31, заявитель Кузьминов В.И.» (1 шт.)</t>
  </si>
  <si>
    <t>«Установка системы учета для технологического присоединения «квартира», расположенного по адресу: РФ, Ростовская область, Целинский район, п. Коренной, ул. Абрикосовая, д. 17, кв. 3, к.н.з.у.:61:40:0010201:110, заявитель Емельянов В.П.» (1 шт.)</t>
  </si>
  <si>
    <t>«Установка системы учета для технологического присоединения «жилой дом», расположенного по адресу: РФ, Ростовская область, Целинский район, х. Северный, ул. Молодежная, д. 38, к.н.з.у.:61:40:0031101:668, заявитель Бекиров А.Х.»  (1 шт.)</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</si>
  <si>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Быстрянский, ул. Прудовая,6, к.н. з.у.: 61:29:0010201:132, заявитель Довгополая С.А. (1 шт.)</t>
  </si>
  <si>
    <t>"Установка системы учета для технологического присоединения «нестационарного торгового объекта», расположенного по адресу: Российская Федерация, Ростовская обл., р-н. Сальский, п. Манычстрой, рядом с земельным участком: 61:34:0040301:352, заявитель Сушко И.Ю. (1 шт.)"</t>
  </si>
  <si>
    <t>«Установка системы учета для технологического присоединения объекта «хоз. постройки», расположенного по адресу: 347505, РФ, Ростовская область, Орловский район, х. Каменная Балка, ул. Молодежная, д. 87, к.н. з.у.: 61:29:0040101:578, заявитель Нечепуренко Е.Н.  (1 шт.)»</t>
  </si>
  <si>
    <t>«Установка системы учета для технологического присоединения «дачного дома», расположенного по адресу: Российская Федерация, Ростовская обл., г. Сальск, СНТ «Железнодорожник», бригада 11, участок 17, кадастровый номер земельного участка: 61:57:0010977:669, заявитель Костенко Р.В. (1 шт.)»</t>
  </si>
  <si>
    <t>«Установка системы учета для технологического присоединения «нестационарного торгового объекта», расположенного по адресу: 347612 Российская Федерация, Ростовская обл., р-н. Сальский, с. Сандата, ул. Калинина, напротив земельного участка с кадастровым номером 61:34:0170101:7172, заявитель Божинский Н.Н. (1 шт.)»</t>
  </si>
  <si>
    <t>«Установка системы учета для технологического присоединения «дачного дома», расположенного по адресу: Российская Федерация, Ростовская обл., г. Сальск, СНТ «Железнодорожник», 10 бригада, участок 28, кадастровый номер земельного участка: 61:57:0010977:1130, заявитель Кирьянов С.А. (1 шт.)»</t>
  </si>
  <si>
    <t>«Установка системы учета для технологического присоединения объекта «тёлочник», расположенного по адресу: 347512, РФ, Ростовская область, Орловский район, Орловское сельское поселение, примерно в 6 км от восточной окраины п. Орловский по направлению на северо-восток, к.н. з.у.: 61:29:0600007:1920, заявитель ИП Гаджиев М.Р. глава К(Ф)Х (1шт.)»</t>
  </si>
  <si>
    <t>"Установка системы учета для технологического присоединения «жилого дома», расположенного по адресу: 347619 Российская Федерация, Ростовская обл., р-н Сальский, с. Сысоево-Александровское, ул. Восточная, д. 43, кадастровый номер земельного участка:61:34:0090201:56, заявитель Шахриев И.Р. (1 шт.)"</t>
  </si>
  <si>
    <t xml:space="preserve">"Установка системы учета для технологического присоединения объекта «Зерносклад», расположенного по адресу: 347505, РФ, Ростовская область, Орловский район, х. Греков, примерно в 300 м по направлению на восток от ориентира х. Греков, к.н. з.у.: 61:29:0600003:1435, заявитель ИП Задорожняя Н.В. глава К(Ф)Х  (1 шт.)» </t>
  </si>
  <si>
    <t xml:space="preserve">«Установка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Советская, 44-а к.н.з.у.:61:30:0050101:5404, заявитель Серов А.В.» </t>
  </si>
  <si>
    <t>«Установка системы учета для технологического присоединения «жилого дома», расположенного по адресу: 347612 Российская Федерация, Ростовская обл.,   р-н Сальский, с. Сандата, ул. Пушкина, д. 72, кадастровый номер земельного участка: 61:34:0170101:1325, заявитель Степанько А.Я.» (1 шт.)</t>
  </si>
  <si>
    <t xml:space="preserve">"Установка системы учета для технологического присоединения «жилой дом», расположенного по адресу: 347760, РФ, Ростовская область, Целинский район, п. Малая Роща, ул. Береговая, д. 10, к.н.з.у.:61:40:0010401:107, заявитель Решетняков Е.А." (1 шт.) </t>
  </si>
  <si>
    <t>«Установка системы учета для технологического присоединения «квартира», расположенного по адресу: 347770, РФ, Ростовская область, Целинский район, х. Карла Либкнехта, ул. Зеленая, д.14, кв.3, к.н.з.у.:61:40:0091101:238, заявитель Иванченко Н.В.» (1 шт.)</t>
  </si>
  <si>
    <t>«Установка системы учета для технологического присоединения «жилой дом», расположенного по адресу: 347772, РФ, Ростовская область, Целинский район, с. Михайловка, ул. Молодежная, д. 27, к.н.з.у.:61:40:0050101:946, заявитель Кушнир И.В.» (1 шт.)</t>
  </si>
  <si>
    <t>«Установка системы учета для технологического присоединения «жилого строения», расположенного по адресу: Российская Федерация, Ростовская обл., г. Сальск, СНТ Победа, линия 7, участок 3, кадастровый номер земельного участка: 61:34:0500301:341, заявитель Углова Е.Ф.» (1 шт.)</t>
  </si>
  <si>
    <t xml:space="preserve">«Установка системы учета для технологического присоединения «жилого дома», расположенного по адресу: Российская Федерация, Ростовская обл.,   р-н. Сальский, СНТ №2 «Бровки», ул. Швейная, 12, кадастровый номер земельного участка: 61:34:0500801:374, заявитель Богдан Н.Н. (1 шт.)» </t>
  </si>
  <si>
    <t>«Установка системы учета для технологического присоединения «жилого дома», расположенного по адресу: Российская Федерация, Ростовская обл., р-н Сальский, СНТ «Колос», Линия 5, участок 16, кадастровый номер земельного участка: 61:34:0500501:476, заявитель Зверев Р.А.» (1 шт.)</t>
  </si>
  <si>
    <t>«Установка системы учета для технологического присоединения «уличное освещение х. Веселый, ул. Веселая, д. 38-87», расположенного по адресу: 347763, РФ, Ростовская область, Целинский район, х. Веселый, ул. Веселая, д.38-87, к.н.з.у.:61:40:0030301, заявитель Администрация Кировского сельского поселения» (1 шт.)</t>
  </si>
  <si>
    <t>«Установка системы учета для технологического присоединения «уличное освещение х. Веселый, ул. Веселая, д.1-37», расположенного по адресу: 347763, РФ, Ростовская область, Целинский район, х. Веселый, ул. Веселая, д.1-37, к.н.з.у.:61:40:0030301, заявитель Администрация Кировского сельского поселения» (1 шт.)</t>
  </si>
  <si>
    <t>"Строительство ВЛ 0,4 кВ от опоры №2-00/9 ВЛ 0,4 кВ Л-2 КТП 10/0,4 кВ № 416 по ВЛ 10 кВ Л-1 Южная, установка системы учета для технологического присоединения – «БС №61-03028», расположенной по адресу: РФ, Ростовская область, Песчанокопский район, п. Дальнее Поле, южнее земельного участка ул. Садовая, 2/1 к.н.: 61:30:0040101:93, заявитель ПАО «МТС» (Ориентировочная протяженность ЛЭП – 0,080 км)"</t>
  </si>
  <si>
    <t>Строительство ВЛ 0,4 кВ от опоры №2-00/10 ВЛ-0,4 кВ Л-2 КТП 10/0,4 кВ № 130 по ВЛ-10 кВ Л-4 Уютная, для электроснабжения объекта – «дачный дом», расположенного по адресу: РФ, Ростовская область, Пролетарский район, ДНТ "Заречное", ул. Южная, д.273, к.н.з.у.: 61:31:0500401:27, заявитель Кириченко В.К.» (Ориентировочная протяженность ЛЭП – 0,62 км)</t>
  </si>
  <si>
    <t>Установка системы учета для технологического присоединения энергопринимающих устройств Заявителя (ИП Сыроватский Ю.В.) по адресу: Ростовская область, г. Таганрог, ул. Чехова, д. 120, к.н. 61-61-42/118/2009-180 (1 шт.)</t>
  </si>
  <si>
    <t>Установка системы учета для технологического присоединения энергопринимающих устройств Заявителя (ИП Жиляков И.В.) адресу: Ростовская область, г. Таганрог, пер. 10-й, д.125 (1 шт.)</t>
  </si>
  <si>
    <t>Установка системы учета для технологического присоединения энергопринимающих устройств Заявителя (ИП Посохов С.В.) по адресу: Ростовская область, г. Таганрог, ул. Ломоносова, д. 55, к.н. 61:58:0005138:265 (1 шт.)</t>
  </si>
  <si>
    <t>Установка системы учета для технологического присоединения энергопринимающих устройств Заявителя (Агодисян С.Х.) по адресу: Ростовская область, г. Таганрог, ул. Литейная, д. 152, к.н. 61:58:0004464:53:2 (1 шт.)</t>
  </si>
  <si>
    <t>Установка системы учета для технологического присоединения энергопринимающих устройств Заявителя (ИП Штода С.В.) по адресу: Ростовская область, г. Таганрог, ул. Лизы Чайкиной, д. 328, к.н. 61:58:00 43 81:0001:4-346-7/А:1/62027 (1 шт.)</t>
  </si>
  <si>
    <t>Установка системы учета для технологического присоединения энергопринимающих устройств Заявителя (ИП Маркосян А.А.) по адресу: Ростовская область, г. Таганрог, ул. Александровская, д. 128, к.н. 61:58:0002051:446 (1 шт.)</t>
  </si>
  <si>
    <t>Установка системы учета для технологического присоединения энергопринимающих устройств Заявителя (Карасев Д.А.)  по адресу: Ростовская область, г. Таганрог, ул. Петровская, д.76, к.н. 61:58:0001114:143 (1 шт.)</t>
  </si>
  <si>
    <t>Установка системы учета для технологического присоединения энергопринимающих устройств Заявителя (МАУ «Инфо-Радио»)  по адресу: Ростовская область, г. Таганрог, пер. 8-й Новый, 70а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</si>
  <si>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61-1-21-00611495 от 30.03.2022), Ростовской области (1 шт)</t>
  </si>
  <si>
    <t>Установка системы учета для технологического присоединения энергопринимающих устройств Заявителя (Дохнов А.В.) адресу: Ростовская область, г. Таганрог, пер. 1-й Мариупольский, 7 (1 шт.)</t>
  </si>
  <si>
    <t>Установка системы учета для технологического присоединения энергопринимающих устройств Заявителя (Шаповалова Г.Н.) адресу: Ростовская область, г. Таганрог, ул. Петлякова/ пер. 4-й Мариупольский, д. 29/25, к.н. 61:58:0005231:19 ( 1 шт.)</t>
  </si>
  <si>
    <t>Установка системы учета для технологического присоединения энергопринимающих устройств Заявителя (Лабурцев Р.В.) по адресу: Ростовская область, г. Таганрог, проезд Бакинский, д. 7, к.н. 61:58:04485:0022 (1 шт.)</t>
  </si>
  <si>
    <t>Установка системы учета для технологического присоединения энергопринимающих устройств Заявителя (Диденко Ф.В.) по адресу: Ростовская область, г. Таганрог, ул. Приморская, д. 27, к.н. 61:58:0002001:359 (1 шт.)</t>
  </si>
  <si>
    <t>Установка системы учета для технологического присоединения энергопринимающих устройств Заявителя (Хачунц Э.М) по адресу: Ростовская область, г. Таганрог, с/т «Рыбник», уч. 5, к.н 61:58:0006175:143</t>
  </si>
  <si>
    <t>Установка системы учета для технологического присоединения энергопринимающих устройств Заявителя (Шматова Л.А.) по адресу: Ростовская область, г. Таганрог, Николаевское Шоссе, д.7, ТСН «Радуга», аллея 9, участок 72, к.н. 61:58:0006054:2833 (1 шт.)</t>
  </si>
  <si>
    <t>Установка системы учета для технологического присоединения энергопринимающих устройств Заявителя (ООО «ТрейдСервис») по адресу: Ростовская область, г. Таганрог, ул. Чехова, д. 98, к.н. 61:58:0001124:587 (1 шт.)</t>
  </si>
  <si>
    <t>Установка системы учета для технологического присоединения энергопринимающих устройств Заявителя (Лазарева Г.А.) по адресу: Ростовская область, г. Таганрог, ул. Бакинская, к.н. 61:58:0004523:1005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</si>
  <si>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г. Таганрог, пер. Смирновский,  в 30 метрах от дома №43 (1 шт.)</t>
  </si>
  <si>
    <t>Установка системы учета для технологического присоединения Заявителя: ООО «Суглинки» в Мясниковском районе Ростовской области (1 шт.)</t>
  </si>
  <si>
    <t>Строительство ВЛ 0,4кВ от ВЛ 0,4кВ №4 ТП 6/0,4кВ №76 для технологического присоединения малоэтажной многоквартирной жилой застройки Заявителя (ИП Хруленко А.А.) по адресу: Ростовская обл., г. Таганрог, ул. Калинина, 4-а, к.н.:61:58:0005013:21 (ориентировочная протяженность ЛЭП 0,02 км)</t>
  </si>
  <si>
    <t>Строительство ВЛ 0,4кВ от ВЛ 0,4кВ №4 ТП 6/0,4кВ №76 для технологического присоединения малоэтажной многоквартирной жилой застройки Заявителя (ИП Хруленко А.А.) по адресу: Ростовская обл., г. Таганрог, ул. Калинина, 6-а, к.н.:61:58:0005013:22 (ориентировочная протяженность ЛЭП 0,02 км)</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</si>
  <si>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Латоново, ул. Ленина, д. 65, корп. Б, к.н. 61:21:0070101:3168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</si>
  <si>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Анастасиевка, ул. Ленина, д. 82, к.н. 61:21:0040101:2606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</si>
  <si>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Малокирсановка, ул. Кутахова, д. 18, корп. Б, к.н. 61:21:0080101:2019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</si>
  <si>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Алексеевка, ул. Ворошилова, д. 51, к.н. 61:21:0030101:1968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</si>
  <si>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х. Большая Кирсановка, ул. Хайло, д. 78, к.н. 61:21:0110101:2165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</si>
  <si>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Ряженое, ул. Ленина, д. 2, корп. а, к.н. 61:21:0020101:4874 (1 шт.)</t>
  </si>
  <si>
    <t>Установка системы учета для технологического присоединения энергопринимающих устройств Заявителя (Администрация Малокирсановского сельского поселения) по адресу: Ростовская область, М-Курганский район, с. Латоново, 1м на юг от ул. Ленина, д. 44, к.н. 61:21:0070101:3587 (1 шт.)</t>
  </si>
  <si>
    <t>Установка системы учета для технологического присоединения энергопринимающих устройств Заявителя (Кудинов А.К.) по адресу: Ростовская область, М-Курганский район, п. Матвеев Курган, ул. Юго-Восточная, д. 11 к.н. 61:21:0010138:80 (1 шт.)</t>
  </si>
  <si>
    <t>Установка системы учета для технологического присоединения энергопринимающих устройств Заявителя (Федеральное государственное казенное учреждение Росгранстрой Ростовский филиал) по адресу: Ростовская область, М-Курганский район, в 18 м на восток от ориентира ул. Пограничная 20, х. Шрамко, к.н. 61:21:0060601:79 (1 шт.)</t>
  </si>
  <si>
    <t>Установка системы учета для технологического присоединения энергопринимающих устройств Заявителя (Жуков В.В.) по адресу: Ростовская область, Неклиновский район, с. Весело-Вознесенка, ул. Приреченская, д. 1Б, к.н. 61:26:0100101:499 (1 шт.)</t>
  </si>
  <si>
    <t>Установка системы учета для технологического присоединения энергопринимающих устройств Заявителя (Колиев С.В.) по адресу: Ростовская область, Неклиновский район, с. Троицкое, ул. Мельничная, д. 14, к.н. 61:26:0010101:1311 (1 шт.)</t>
  </si>
  <si>
    <t>Установка системы учета для технологического присоединения энергопринимающих устройств Заявителя (Мялкин М.А.) по адресу: Ростовская область, Неклиновский район, с. Кошкино, ул. Береговая, д. 69, к.н. 61:26:0010501:158 (1 шт.)</t>
  </si>
  <si>
    <t>Установка системы учета для технологического присоединения энергопринимающих устройств Заявителя (Тараканова А.В.) по адресу: Ростовская область, Неклиновский район, с. Русская Слободка, ул. Пушкина, д. 14, к.н. 61:26:0070201:165 (1 шт.)</t>
  </si>
  <si>
    <t xml:space="preserve">Установка системы учета для технологического присоединения энергопринимающих устройств Заявителя (Чеканенко А.И.) по адресу: Ростовская область, Неклиновский район, с. Весело-Вознесенка, ул. Социалистическая, д. 30, к.н. 61:26:0100101:5079 (1 шт.) </t>
  </si>
  <si>
    <t>Установка системы учета для технологического присоединения энергопринимающих устройств Заявителя (Даниелян Р.М.) по адресу: Ростовская область, Неклиновский район, с. Троицкое, ул. Новая, д. 2-а, к.н. 61:26:0010101:645 (1 шт.)</t>
  </si>
  <si>
    <t xml:space="preserve">Установка системы учета для технологического присоединения энергопринимающих устройств Заявителя (Егошина Л.В.) по адресу: Ростовская область, Неклиновский район, с. Николаевка, ул. Октябрьская, д. 21, к.н. 61:26:0110101:2386 (1 шт.) </t>
  </si>
  <si>
    <t>Установка системы учета для технологического присоединения энергопринимающих устройств Заявителя (Скубарев Г.Г.) по адресу: Ростовская область, Неклиновский район, с. Новобессергеневка, ул. Космонавтов, д. 20, к.н. 61:26:0180301:1002 (1 шт.)</t>
  </si>
  <si>
    <t>Установка системы учета для технологического присоединения энергопринимающих устройств Заявителя (Миначева Н.Н.) по адресу: Ростовская область, Неклиновский район, с. Бессергеновка, ул. Луговая, д. 78-А, к.н. 61:26:0040201:679 (1 шт.)</t>
  </si>
  <si>
    <t>Установка системы учета для технологического присоединения энергопринимающих устройств Заявителя (Трегубов И.Л.) по адресу: Ростовская область, Неклиновский район, с. Лотошники, пер. Веселый, д. 14, к.н. 61:26:0090401:33 (1 шт.)</t>
  </si>
  <si>
    <t>Установка системы учета для технологического присоединения энергопринимающих устройств Заявителя (Андриенко Ю.В.) по адресу: Ростовская область, Неклиновский район, с. Николаевка, ул. Советская, д. 25-А, к.н. 61:26:0110101:9265 (1 шт.)</t>
  </si>
  <si>
    <t>Установка системы учета для технологического присоединения энергопринимающих устройств Заявителя (ИП Саркисян Г.Г.) по адресу: Ростовская область, Неклиновский район, с. Николаевка, СНТ Альбатрос, д. 279, к.н. 61:26:0514201:42 (1 шт.)</t>
  </si>
  <si>
    <t>Установка системы учета для технологического присоединения энергопринимающих устройств Заявителя (Сабитов О.Н.) по адресу: Ростовская область, Неклиновский район, х. Седых, ул. Центральная, д. 9, к.н. 61:26:0181101:5 (1 шт.)</t>
  </si>
  <si>
    <t>Установка системы учета для технологического присоединения энергопринимающих устройств Заявителя (Саргсян М.С.) по адресу: Ростовская область, Неклиновский район, с. Вареновка, ул. Партизанская, д. 87-А, к.н. 61:26:0040101:5571 (1 шт.)</t>
  </si>
  <si>
    <t>Установка системы учета для технологического присоединения энергопринимающих устройств Заявителя (ООО «Автодор») по адресу: Ростовская область, Неклиновский район, с. Натальевка, пост ГИБДД, 98 км а/д Ростов-на-Дону – Таганрог – граница Украины, к.н. 61:26:0600011:146 (1 шт.)</t>
  </si>
  <si>
    <t>Установка системы учета для технологического присоединения энергопринимающих устройств Заявителя (Мищенко Д.Г.) по адресу: Ростовская область, Неклиновский район, с. Николаевка, ул. Сигма, д. 22, к.н. 61:26:0512801:5 (1 шт.)</t>
  </si>
  <si>
    <t>Установка системы учета для технологического присоединения энергопринимающих устройств Заявителя (Уразгильдеева Н.И.) по адресу: Ростовская область, Неклиновский район, с. Гаевка, ул. Набережная, д. 34-а, к.н. 61:26:0160301:2473 (1 шт.)</t>
  </si>
  <si>
    <t>Установка системы учета для технологического присоединения энергопринимающих устройств Заявителя (Заруба Н.В.) по адресу: Ростовская область, Неклиновский район, с. Христофоровка, ул. Пушкина, д. 44, к.н. 61:26:0070301:10 (1 шт.)</t>
  </si>
  <si>
    <t>Установка системы учета для технологического присоединения энергопринимающих устройств Заявителя (Ладыгин А.Л.) по адресу: Ростовская область, Неклиновский район, п. Золотая Коса, ул. Новаторов, д. 10, к.н. 61:26:0071001:786 (1 шт.)</t>
  </si>
  <si>
    <t>Установка системы учета для технологического присоединения энергопринимающих устройств Заявителя (Сиваев А.А.) по адресу: Ростовская область, Неклиновский район, с. Носово, ул. Мира, д. 46, 
к.н. 61:26:0150101:1803 (1 шт.)</t>
  </si>
  <si>
    <t>Установка системы учета для технологического присоединения энергопринимающих устройств Заявителя (ИП Геворгян П.В.) по адресу: Ростовская область, Неклиновский район, 47км+50м а/д Ростов н/д –Таганрог, к.н. 61:26:0600015:719 (1 шт.)</t>
  </si>
  <si>
    <t>Установка системы учета для технологического присоединения энергопринимающих устройств Заявителей (Дереберя А.А) по адресу: Ростовская область, Неклиновский район с. Новобессергеневка, ул. Лескова д.3 (1 шт.)</t>
  </si>
  <si>
    <t>Установка системы учета для технологического присоединения энергопринимающих устройств Заявителя (ИП Ефремова А.И.) по адресу: Ростовская область, Неклиновский район с. Николаевка, ул. Ленина, д.160 к.н. 61:26:0110101:10038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</si>
  <si>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Федоровка, ул. Ленина, д. 42, к.н. 61:26:0140101:89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</si>
  <si>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х. Красный Десант, ул. Октябрьская, д. 13, пом. 8-11,16, к.н. 61:26:0070101:2225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</si>
  <si>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Лакедемоновка, ул. Ленина, д. 50, к.н. 61:26:0160101:2258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</si>
  <si>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 Договор № 61-1-21-00611067 от 30.03.2022),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</si>
  <si>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61-1-21-00611035 от 30.03.2022г.),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</si>
  <si>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(Договор № 61-1-21-00612145 от 05.04.2022),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</si>
  <si>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61-1-21-00611065 от 05.04.2022), Ростовской области (1 шт)</t>
  </si>
  <si>
    <t>Установка системы учета для технологического присоединения энергопринимающих устройств Заявителя (Общество с ограниченной ответственностью Специализированный Застройщик Перспектива) адресу: Ростовская область, г. Таганрог, ул. С. Шило, 265 (1 шт.)</t>
  </si>
  <si>
    <t>Установка системы учета для технологического присоединения энергопринимающих устройств Заявителя (ИП Ткачева С.В.) адресу: Ростовская область, г. Таганрог, ул. Греческая, д.58-а, к.н. 61:58:0001115:382 ( 1 шт.)</t>
  </si>
  <si>
    <t>Установка системы учета для технологического присоединения энергопринимающих устройств Заявителя (Мадатов Э.М.о.) адресу: Ростовская область, г. Таганрог, ул. Рассветная, 16/пер. 9-й Мариупольский, д. 19, к.н. 61:58:0005228:287 ( 1 шт.)</t>
  </si>
  <si>
    <t>Установка системы учета для технологического присоединения энергопринимающих устройств Заявителя (Ильина С.А.) по адресу: Ростовская область, г. Таганрог, ул. Надежды Сигиды, 1-1, ДНТ «Орешек», уч. № 91, к.н. 61:58:0007037:91 (1 шт.)</t>
  </si>
  <si>
    <t>Установка системы учета для технологического присоединения энергопринимающих устройств Заявителя (Лифарев С.В.) по адресу: Ростовская область, г. Таганрог,  ул. Надежды Сигиды, 1-1, ДНТ «Орешек», уч. № 182, к.н. 61:58:0007446:84 (1 шт.)</t>
  </si>
  <si>
    <t>Установка системы учета для технологического присоединения энергопринимающих устройств Заявителя (Меер И.В) по адресу: Ростовская область, г. Таганрог, пер. 4-й Мариупольский, д. 16, к.н. 61:58:0005216:35 (1 шт.)</t>
  </si>
  <si>
    <t>Установка системы учета для технологического присоединения энергопринимающих устройств Заявителя (ООО Лечебно-диагностический центр «Нейрон») по адресу: Ростовская область, г. Таганрог, ул. Свободы, д. 19а, к.н. 61:58:0000000:5645 (1 шт.)</t>
  </si>
  <si>
    <t>Установка системы учета для технологического присоединения энергопринимающих устройств Заявителя (Белых Л.Н.) по адресу: Ростовская область, г. Таганрог, Северо-западное Шоссе, д. 1-в,  СНТ «Дачное-3», уч. №27, к.н. 61:58:0006051:109 (1 шт.</t>
  </si>
  <si>
    <t>Установка системы учета для технологического присоединения энергопринимающих устройств Заявителя (Лядова Ю.Н.) по адресу: Ростовская область, г. Таганрог, 18-й Переулок, д. 34, к.н. 61:58:0002189:193 (1 шт.)</t>
  </si>
  <si>
    <t>Установка системы учета для технологического присоединения энергопринимающих устройств Заявителя (ИП Хруленко А.А.) по адресу: Ростовская область, г. Таганрог, ул. Энгельса, д. 134, к.н. 61:58:0001135:6 (1 шт.)</t>
  </si>
  <si>
    <t>Установка системы учета для технологического присоединения энергопринимающих устройств Заявителя (ИП Хруленко А.А.) по адресу: Ростовская область, г. Таганрог, ул. Энгельса, 10/пер. Добролюбовский, д. 40, к.н. 61:58:0001059:20 (1 шт.)</t>
  </si>
  <si>
    <t>Установка системы учета для технологического присоединения энергопринимающих устройств Заявителя (Мисюра Д.А.) по адресу: Ростовская область, г. Таганрог, около пер. 21-й Мариупольский, д. 2 (95), к.н. 61:58:0005257:95 (1 шт.)</t>
  </si>
  <si>
    <t>Установка системы учета для технологического присоединения энергопринимающих устройств Заявителя (Щусь А.В.) по адресу: Ростовская область, г. Таганрог, ул. Дачная, к.н. 61:58:0004217:302 (1 шт.)</t>
  </si>
  <si>
    <t>Установка системы учета для технологического присоединения энергопринимающих устройств Заявителя (ИП Штода С.В.) по адресу: Ростовская область, г. Таганрог, ул. Свободы, д. 20, к.н. 61:58:0002248:233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</si>
  <si>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Дзержинского (между ул. Фрунзе и Привокзальная Площадь), около ул. Дзержинского, д. 140, к.н. 61:58:0003277:1587 (1 шт.)</t>
  </si>
  <si>
    <t>«Установка системы учета для технологического присоединения энергопринимающих устройств Заявителя (ООО «ПраймТелеком Юг») по адресу: Ростовская область, г. Таганрог, около ул. Ленина, д.222а, (1 шт.)</t>
  </si>
  <si>
    <t>Установка системы учета для технологического присоединения энергопринимающих устройств Заявителя (Гришачкина М.В.) по адресу: Ростовская область, г. Таганрог, ул. Капитана Кравцова, д. 8, к.н. 61:58:0003240:34 (1 шт.)</t>
  </si>
  <si>
    <t>Установка системы учета для технологического присоединения энергопринимающих устройств Заявителя (Калюжный А.В.) по адресу: Ростовская область, г. Таганрог, ул. Ломакина, д. 35, к.н. 61:58:0001116:500, 61:58:0001116:76 (1 шт.)</t>
  </si>
  <si>
    <t>Установка системы учета для технологического присоединения энергопринимающих устройств Заявителя (ИП Егиазарян Л.Г.) по адресу: Ростовская область, г. Таганрог, ул. Осипенко, д. 66-а, к.н. 61-61-42/015/2005-645 (1 шт.)</t>
  </si>
  <si>
    <t>Установка системы учета для технологического присоединения энергопринимающих устройств Заявителя (ООО «Атлант») по адресу: Ростовская область, г. Таганрог, ул. Сызранова, д. 25 (к.н. 61:58:0005267:818)</t>
  </si>
  <si>
    <t>Установка системы учета для технологического присоединения энергопринимающих устройств Заявителя (Еременко Б.П.) по адресу: Ростовская область, г. Таганрог, ул. Дачная, к.н. 61:58:0004217:308 (1 шт.)</t>
  </si>
  <si>
    <t>Установка системы учета для технологического присоединения энергопринимающих устройств Заявителя (ГСК «Таганрогстрой») по адресу: Ростовская область, г. Таганрог, ул. Ленина, 226-2, к.н. 61:58:0003233:11 (1 шт.)</t>
  </si>
  <si>
    <t>Установка системы учета для технологического присоединения энергопринимающих устройств Заявителя (ИП Иванкович Э.В.) по адресу: Ростовская область, г. Таганрог, пер. Гоголевский, д. 29а, (к.н. 61:58:0000000:44440, 61:58:0001165:35)</t>
  </si>
  <si>
    <t>Установка системы учета для технологического присоединения энергопринимающих устройств Заявителя (Ширяева Л.И.) по адресу: Ростовская область, г. Таганрог, пер. Антона Глушко, д.27, к.н. 61:58:0001108:319 (1 шт.)</t>
  </si>
  <si>
    <t>Установка системы учета для технологического присоединения энергопринимающих устройств Заявителя (ИП Самохвалов Д.В.) по адресу: Ростовская область, г. Таганрог, ул. Антона Глушко, 32, (к.н. 61:58:0001124:469)</t>
  </si>
  <si>
    <t>Установка системы учета для технологического присоединения энергопринимающих устройств Заявителя (ИП Халилов Турал Видади Оглы) по адресу: Ростовская область, г. Таганрог, ул. Щаденко, д. 60, к.н. 61:58:0003391:35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</si>
  <si>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Морозова (между ул. Дзержинского и ул. Шаумяна), к.н. 61:58:0000000:47542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</si>
  <si>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Турубаровых, на участке от д. 95 по ул. Турубаровых до ул. Москатова, около ул. Щаденко, д. 80 (к.н. 61:58:0000000:47567)</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</si>
  <si>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участок трамвайной линии от д. 37 по ул. Морозова до д. 26 по ул. Зои Космодемьянской, около ул. Морозова, д.3 7-2, (к.н. 61:58:0000000:47533)</t>
  </si>
  <si>
    <t>Установка системы учета для технологического присоединения энергопринимающих устройств Заявителя (Свинобаев Н.Н.) по адресу: Ростовская область, г. Таганрог, территория ДНТ «Мир», участок №166, к.н. 61:58:0005189:1021, (1 шт.)</t>
  </si>
  <si>
    <t>Установка системы учета для технологического присоединения энергопринимающих устройств Заявителя (ИП Динчари З.В. ) по адресу: Ростовская область, г. Таганрог, ул. Кузнечная, 239, к.н. объекта: 61:58:0000000:43759 (1шт.)</t>
  </si>
  <si>
    <t>Установка системы учета для технологического присоединения энергопринимающих устройств Заявителя (Сидоренко Ю.В. ) по адресу: Ростовская область, г. Таганрог, пер. Донской, д. 49, к.н. земельного участка: 61:58:0001099:85 (1шт.)</t>
  </si>
  <si>
    <t>Установка системы учета для технологического присоединения энергопринимающих устройств Заявителя (Бадасян Р.Г.) по адресу: Ростовская область, Мясниковский район, х. Ленинаван, ул. Ленина, д. 3/б, к.н. 61:25:0030202:3214 (1 шт.)</t>
  </si>
  <si>
    <t>Установка системы учета для технологического присоединения энергопринимающих устройств Заявителя (Курбатов А.Л.) по адресу: Ростовская область, Мясниковский район, х. Ленинаван, ул. Октябрьская, д. 5/1, к.н. 61:25:0600401:16253 (1 шт.)</t>
  </si>
  <si>
    <t>Установка системы учета для технологического присоединения энергопринимающих устройств Заявителя (Паламарчук П.А.) по адресу: Ростовская область, Мясниковский район, с. Большие Салы, ул. Согласия, д. 12, к.н. 61:25:0600501:1749 (1 шт.)</t>
  </si>
  <si>
    <t>Установка системы учета для технологического присоединения энергопринимающих устройств Заявителя (Казакевич Е.А.) по адресу: Ростовская область, Мясниковский район, с. Крым, ул. Ленина, д. 62, к.н. 61:25:0201024:528 (1 шт.)</t>
  </si>
  <si>
    <t>Установка системы учета для технологического присоединения энергопринимающих устройств Заявителя (Хатламаджиян Т.Т.) по адресу: Ростовская область, Мясниковский район, с. Чалтырь, ул. Крестьянская, д. 24, к.н. 61:25:0600601:1328 (1 шт.)</t>
  </si>
  <si>
    <t>Установка системы учета для технологического присоединения энергопринимающих устройств Заявителя (Шишкин С.С.) по адресу: Ростовская область, Мясниковский район, х. Ленинаван, ул. Кавказская, д. 16/в, к.н. 61:25:0030202:3253 (1 шт.)</t>
  </si>
  <si>
    <t>Установка системы учета для технологического присоединения энергопринимающих устройств Заявителя (Закинян Ю.Д.) по адресу: Ростовская область, Мясниковский район, с. Чалтырь, ул. 6-я линия, д. 62/б к.н. 61:25:0101317:197 (1 шт.)</t>
  </si>
  <si>
    <t>Установка системы учета для технологического присоединения энергопринимающих устройств Заявителя (Булгурян В.Л.) по адресу: Ростовская область, Мясниковский район, с. Чалтырь, ул. Красноармейская, д. 150, к.н. 61:25:0600601:1135 (1 шт.)</t>
  </si>
  <si>
    <t xml:space="preserve">Установка системы учета для технологического присоединения энергопринимающих устройств Заявителя (Гилязов Е.Л.) по адресу: Ростовская область, Мясниковский район, х. Хапры, ул. Свободы, д. 20, к.н. 61:25:0600601:1654 (1 шт.) </t>
  </si>
  <si>
    <t>Установка системы учета для технологического присоединения энергопринимающих устройств Заявителя (Дурасанян Т.Р.) по адресу: Ростовская область, Мясниковский район, с. Большие Салы, ул. Конституции, д. 1/е, к.н. 61:25:0040101:4886 (1 шт.)</t>
  </si>
  <si>
    <t>Установка системы учета для технологического присоединения энергопринимающих устройств Заявителя (ИП Бабахов В.А.) по адресу: Ростовская область, Мясниковский район, с. Чалтырь, ул. 7-я линия, д. 27/б, к.н. 61:25:0101106:148 (1 шт.)</t>
  </si>
  <si>
    <t>Установка системы учета для технологического присоединения энергопринимающих устройств Заявителя (Алексанян С.М.) по адресу: Ростовская область, Мясниковский район, с. Крым, ул. 3-я линия, д. 5, к.н. 61:25:0201016:710 (1 шт.)</t>
  </si>
  <si>
    <t>Установка системы учета для технологического присоединения энергопринимающих устройств Заявителя (Дымкевич М.С.) по адресу: Ростовская область, Мясниковский район, с. Чалтырь, ул. Плодородная, д. 18,  к.н. 61:25:0600601:1210 (1 шт.)</t>
  </si>
  <si>
    <t>Установка системы учета для технологического присоединения энергопринимающих устройств Заявителя (Кочергина К.В.) по адресу: Ростовская область, Мясниковский район, х. Красный Крым, ул. Братьев Баян, д. 72,  к.н. 61:25:0600401:14880 (1 шт.)</t>
  </si>
  <si>
    <t>Установка системы учета для технологического присоединения энергопринимающих устройств Заявителя (Лещенко И.Ю.) по адресу: Ростовская область, Мясниковский район, с. Чалтырь, ул. Плодородная, д. 20,  к.н. 61:25:0600601:1211 (1 шт.)</t>
  </si>
  <si>
    <t>Установка системы учета для технологического присоединения энергопринимающих устройств Заявителя (Малевин В.Н.) по адресу: Ростовская область, Мясниковский район, с. Большие Салы, ул. 26 Бакинских Комиссаров, д. 11/в,  к.н. 61:25:0040101:6101 (1 шт.)</t>
  </si>
  <si>
    <t>Установка системы учета для технологического присоединения энергопринимающих устройств Заявителя (МБУЗ «ЦРБ») по адресу: Ростовская область, Мясниковский район, х. Веселый, ул. Новая, д. 5/д,  к.н. 61:25:0060101:2923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</si>
  <si>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Мясниковский район, с. Александровка 2-я, ул. Комсомольская, д. 1/а, к.н. 61:25:0080201:594 (1 шт.)</t>
  </si>
  <si>
    <t>Установка системы учета для технологического присоединения энергопринимающих устройств Заявителя (Погосян О.С.) по адресу: Ростовская область, Мясниковский район, с. Крым, ул. Октябрьская, д. 65/а,  к.н. 61:25:0201008:253 (1 шт.)</t>
  </si>
  <si>
    <t>Установка системы учета для технологического присоединения энергопринимающих устройств Заявителя (Попенко М.В.) по адресу: Ростовская область, Мясниковский район, х. Красный Крым, ул. Пушкинская, д. 63, к.н. 61:25:0600401:16370 (1 шт.)</t>
  </si>
  <si>
    <t>Установка системы учета для технологического присоединения энергопринимающих устройств Заявителя (Сайченко И.В.) по адресу: Ростовская область, Мясниковский район, с. Чалтырь, ул. Налбандяна, д. 36/б, к.н. 61:25:0101517:42 (1 шт.)</t>
  </si>
  <si>
    <t xml:space="preserve">Установка системы учета для технологического присоединения энергопринимающих устройств Заявителя (Сафарян Э.Ф.) по адресу: Ростовская область, Мясниковский район, с. Чалтырь, ул. Красноармейская, д. 80, к.н. 61:25:0101602:112 (1 шт.) </t>
  </si>
  <si>
    <t>Установка системы учета для технологического присоединения энергопринимающих устройств Заявителя (Хатламаджиян Р.С.) по адресу: Ростовская область, Мясниковский район, с. Чалтырь, ул. Мец-Чорвах, д. 116/б, к.н. 61:25:00101206:417 (1 шт.)</t>
  </si>
  <si>
    <t>Установка системы учета для технологического присоединения энергопринимающих устройств Заявителя (Хохлачёва Е.А.) по адресу: Ростовская область, Мясниковский район, х. Красный Крым, ул. Пшеничная, д. 10/а, к.н. 61:25:0600401:18632 (1 шт.)</t>
  </si>
  <si>
    <t>Установка системы учета для технологического присоединения энергопринимающих устройств Заявителя (Шаповалова Е.В.) по адресу: Ростовская область, Мясниковский район, х. Красный Крым, ул. Юбилейная, д. 26/а,  к.н. 61:25:0600401:17613 (1 шт.)</t>
  </si>
  <si>
    <t>Установка системы учета для технологического присоединения энергопринимающих устройств Заявителя (Шония Т.В.) по адресу: Ростовская область, Мясниковский район, х. Красный Крым, ул. Молодежная, д. 28/а,  к.н. 61:25:0030101:2102 (1 шт.)</t>
  </si>
  <si>
    <t xml:space="preserve">Установка системы учета для технологического присоединения энергопринимающих устройств Заявителя (Гайбарян С.Г.) по адресу: Ростовская область, Мясниковский район, с. Чалтырь, ул. Салых-Су, д. 6,  к.н. 61:25:0101509:3 (1 шт.) </t>
  </si>
  <si>
    <t>Установка системы учета для технологического присоединения энергопринимающих устройств Заявителя (Гайбарян М.Л.) по адресу: Ростовская область, Мясниковский район, с. Чалтырь, ул. Ленина, д. 46,  к.н. 61:25:0101121:49 (1 шт.)</t>
  </si>
  <si>
    <t>Установка системы учета для технологического присоединения энергопринимающих устройств Заявителя (Калугян О.А.) по адресу: Ростовская область, Мясниковский район, с. Чалтырь, ул. Тащияна, д. 138,  к.н. 61:25:0600601:1277 (1 шт.)</t>
  </si>
  <si>
    <t>Установка системы учета для технологического присоединения энергопринимающих устройств Заявителя (Пиджикян Д.С.) по адресу: Ростовская область, Мясниковский район, с. Чалтырь, ул. Тащияна, д. 48/и,  к.н. 61:25:0101602:862 (1 шт.)</t>
  </si>
  <si>
    <t>Установка системы учета для технологического присоединения энергопринимающих устройств Заявителя (Письменная Т.Б.) по адресу: Ростовская область, Мясниковский район, х. Красный Крым, ул. Юбилейная, д. 26/в, к.н. 61:25:0600401:17611 (1 шт.)</t>
  </si>
  <si>
    <t xml:space="preserve">Установка системы учета для технологического присоединения энергопринимающих устройств Заявителя (Ерохина А.А.) по адресу: Ростовская область, Мясниковский район, х. Красный Крым, ул. Звездная, д. 40,  к.н. 61:25:0600401:9353 (1 шт.) </t>
  </si>
  <si>
    <t>Установка системы учета для технологического присоединения энергопринимающих устройств Заявителя (Назаретян А.Х.) по адресу: Ростовская область, Мясниковский район, с. Крым, ул. 12-я линия, д. 5/б,  к.н. 61:25:0201012:285 (1 шт.)</t>
  </si>
  <si>
    <t xml:space="preserve">Установка системы учета для технологического присоединения энергопринимающих устройств Заявителя (Налбандян Г.Н.) по адресу: Ростовская область, Мясниковский район, х. Красный Крым, ул. 2-я Молодежная, д. 21,  к.н. 61:25:0030101:156 (1 шт.) </t>
  </si>
  <si>
    <t>Установка системы учета для технологического присоединения энергопринимающих устройств Заявителя (Пащенко Е.В.) по адресу: Ростовская область, Мясниковский район, х. Ленинаван, ул. Шаумяна, д. 25/б,  к.н. 61:25:0030202:3502 (1 шт.)</t>
  </si>
  <si>
    <t>Установка системы учета для технологического присоединения энергопринимающих устройств Заявителя (Будагян С.Р.) по адресу: Ростовская область, Мясниковский район, с. Чалтырь, ул. Западная, д. 92,  к.н. 61:25:0101602:254 (1 шт.)</t>
  </si>
  <si>
    <t>Установка системы учета для технологического присоединения энергопринимающих устройств Заявителя (Глобенко Д.Н.) по адресу: Ростовская область, Мясниковский район, х. Красный Крым,  к.н. 61:25:0600401:13201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</si>
  <si>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Мясниковский район, х. Недвиговка, ул. Ченцова, д. 7, к.н. 61:25:0070101:4203 (1 шт.)</t>
  </si>
  <si>
    <t>Установка системы учета для технологического присоединения заявителя ИП Сарибекян Аветик Володяевич по адресу: Ростовская область, Неклиновский район, с. Самбек, ул. Береговая, д. 2-г, к.н. 61:26:0020101:1181 (1шт.)</t>
  </si>
  <si>
    <t>Установка системы учета для технологического присоединения Заявителя (ИП Касьянов А.В.) по адресу: Ростовская область, Мясниковский район, х. Ленинакан, ул. Торговый проспект, д. 15, к.н. 61:25:0600401:14709. (1шт.)</t>
  </si>
  <si>
    <t>Установка системы учета для технологического присоединения Заявителя (ИП Сахаджиян Н.Г.) по адресу: Ростовская область, Мясниковский район, с. Чалтырь</t>
  </si>
  <si>
    <t>Установка системы учета для технологического присоединения Заявителя (Парфинюк Н.П.) по адресу: Ростовская область, Мясниковский район, х. Ленинакан, ул. Торговый проспект, д. 1/а, к.н. 61:25:0600401:16518. (1шт.)</t>
  </si>
  <si>
    <t>Установка системы учета для технологического присоединения энергопринимающих устройств Заявителя (ИП Мовсесян А.Б.) по адресу: Ростовская область, Мясниковский район, с. Чалтырь, ул. Гагарина, д. 40, к.н. 61:25:0101222:134 (1 шт.)</t>
  </si>
  <si>
    <t>Строительство системы учета для технологического присоединения энергопринимающих устройств Заявителей: ИП Годагарян А.Ф., Михалко И.В., ИП Малаян Р.Г.,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</si>
  <si>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Назаров Н.В., Цуркану М.В.,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</si>
  <si>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Администрация Малокирсановского сельского поселения, ИП Темирханова Е.С, Лаврухин С.Н.,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</si>
  <si>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Иващенко В.С.,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</si>
  <si>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Местная религиозная организация православный приход храма великомученика Георгия Победоносца с. Ряженое М-Курганского района Ростовской области религиозной организации "Ростовская на Дону Епархия Русской православной церкви Московский патриархат., в Матвеево Курганском районе Ростовской области</t>
  </si>
  <si>
    <t>Установка системы учета для технологического присоединения энергопринимающих устройств Заявителя: Полякова О.А., в Матвеево Курганском районе Ростовской области (1 шт)</t>
  </si>
  <si>
    <t>Установка системы учета для технологического присоединения энергопринимающих устройств Заявителей: Новацкий Н.А., Лебедь Н.С., Ничипко Д.Н., Васина Г.П. в Матвеево Курганском районе Ростовской области (4 шт)</t>
  </si>
  <si>
    <t>Установка системы учета для технологического присоединения энергопринимающих устройств Заявителей: Администрация Матвеево-Курганского района, Беджанян Л.Г.,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</si>
  <si>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Чередников С.А., в Матвеево Курганском районе Ростовской области – 1 шт.</t>
  </si>
  <si>
    <t>Строительство системы учета для технологического присоединения энергопринимающих устройств Заявителей: «Бурделя В.В., Костенко М.М.,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</si>
  <si>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Зайцев Р.С.,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</si>
  <si>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ИП Богомаз Ю.Ю., Сарычев Д.Ю.</t>
  </si>
  <si>
    <t>Строительство системы учета для технологического присоединения энергопринимающих устройств Заявителей: МУК «Большекирсановский сельский дом культуры» Большекирсановского сельского поселения Матвеево Курганского района, Моисеев С.Ю.,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</si>
  <si>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ООО «Дружба», Мукиенко В.А., ИП Юн М.Ю., 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</si>
  <si>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«Ступников Г.М., Горохова О.А., ИП Ворошнина Л.И.,в Матвеево Курганском районе Ростовской области</t>
  </si>
  <si>
    <t>Строительство системы учета для технологического присоединения энергопринимающих устройств Заявителей: ИП Кондрашов И.Л., Муниципальное бюджетное учреждение М-Курганского р-на «Центр социального обслуживания граждан пожилого возраста и инвалидов», Чуйков М.В., в Матвеево Курганском районе Ростовской области</t>
  </si>
  <si>
    <t>Установка системы учета для технологического присоединения энергопринимающих устройств Заявителей: Администрация Екатериновского сельского поселения, в Матвеево Курганском районе Ростовской области (2 шт.)</t>
  </si>
  <si>
    <t>Установка системы учета для технологического присоединения энергопринимающих устройств Заявителя: Беззубяк А.И., ИП Шиленко Е.К.,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</si>
  <si>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Бурделя В.Н.,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</si>
  <si>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Симко А.П.,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</si>
  <si>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Бугаев С.Н., в Матвеево Курганском районе Ростовской области – 1 шт.</t>
  </si>
  <si>
    <t>Строительство системы учета для технологического присоединения энергопринимающих устройств Заявителей:Головенко А.Ю., Дмитриев Ю.П., Рубан Е.Д., Чепель А.А., Близнюк Р.В., Сливина И.Г., Гежа И.В., Головнев В.Г., Земцова Е.В., Иванцов Д.Н., Ковалев В.А. в Неклиновском районе Ростовской области</t>
  </si>
  <si>
    <t>Строительство системы учета для технологического присоединения энергопринимающих устройств Заявителя Никитин Н.Н. по адресу Куйбышевский р-н, с. Куйбышево, ул. Театральная, д. 110 к. н. 61:19:0010152:25</t>
  </si>
  <si>
    <t>Строительство системы учета для технологического присоединения энергопринимающих устройств Заявителей: Сергиенко А.Ю., МБУЗ «ЦРБ» Неклиновского района, Агеенко К.Е., Кузнецов И.П., Железняк А.М., Мирошникова А.М., Клись Ю.Ю., Федорова М.К.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</si>
  <si>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Гончарова О.В., Морозов В.Н., Волченко Г.Б., Морозов Н.А., Ганжа Т.С., Пудышева А.Ю.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</si>
  <si>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Еговцова Л.М., Мирошникова О.И., Шевнина Е.Г., Рогачев А.В., Арутюнян А.В., Васильева И.С., Пермяков Д.А. в Мясниковском районе Ростовской области»</t>
  </si>
  <si>
    <t>«Строительство системы учета для технологического присоединения энергопринимающих устройств Заявителей: Аблиганец Э.Я., Гурин Н.А., Кашевская Д.А., Иванова Н.Г., ИП Супрунова Е.Е., Котельников Г.А.  в Неклиновском районе Ростовской области»</t>
  </si>
  <si>
    <t>Строительство системы учета для технологического присоединения энергопринимающих устройств Заявителя: Лысинский В.В. в г. Таганроге, Ростовской области</t>
  </si>
  <si>
    <t>Строительство системы учета для технологического присоединения энергопринимающих устройств Заявителя: ООО «ПраймТелеком Юг» в г.Таганроге, Ростовской области</t>
  </si>
  <si>
    <t>Строительство системы учета для технологического присоединения энергопринимающих устройств Заявителей: Долгошеева Е.Ю., Уздемиров И.В., ИП Капуста А.Д., Лаптева Т.М., Едуш А.Н., Дергачев А.Е., Галицкий С.И., Бойко А.С., Бабкина И.А., Закарая Д.Т., Соболев А.В., Сердюкова И.Н., Бадаев В.В.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</si>
  <si>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ООО «ГЕРМЕС-ТЕЛЕКОМ», Гасанов А.А.О. в г.Таганроге, Ростовской области</t>
  </si>
  <si>
    <t>Строительство системы учета для технологического присоединения энергопринимающих устройств Заявителей: Ташлыкова М.В., Нелепова З.В., Ливашова О.С., Грушко Я.Г., Сементин В.И., Тарасюк Р.А.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</si>
  <si>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Стуканев А.Н., Соколов Г.Ю., Конутенко К.С., Литманский С.В., Донченко Ю.Н., в г.Таганроге, Ростовской области</t>
  </si>
  <si>
    <t>Строительство системы учета для технологического присоединения энергопринимающих устройств Заявителей: Волосковец Д.С., Леухин В.П., Джамалов М.С.О., Лозован В.Н., Дедух М.А., Савченко А.С.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</si>
  <si>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Кружков Т.А., Цой В.Н., Речицкий В.Д., Юрченко Г.И., Муртузалиев К.С. в Неклиновском районе Ростовской области</t>
  </si>
  <si>
    <t>Установка системы учета для технологического присоединения энергопринимающих устройств Заявителей: Мажаров С.В., Гасанов А.И., Матвеева Е.В., Гирагосян Г.К., Елатонцева Е.Н., Хошафян С.Н., Нифонтов А.В., Жмырко С.А., Федоренко В.А., Таран Д.А.  в Мясниковском районе Ростовской области (10 шт)</t>
  </si>
  <si>
    <t>Установка системы учета для технологического присоединения энергопринимающих устройств Заявителей: Назаренко И.В., Кибкало М.А., Штайнмец Р.А., Брунер В.Ю., Зиновьева М.Б., Кочарян В.А., Чебыкина Е.В. в Неклиновском районе Ростовской области (7 шт)</t>
  </si>
  <si>
    <t>Установка системы учета для технологического присоединения энергопринимающих устройств Заявителя: ИП Лыкова В.Н. в г.Таганроге, Ростовской области (1 шт)</t>
  </si>
  <si>
    <t>Строительство системы учета для технологического присоединения энергопринимающих устройств Заявителей: Итенберг Е.В., Зуев И.М., Березина Т.В., в г.Таганроге, Ростовской области</t>
  </si>
  <si>
    <t>Установка системы учета для технологического присоединения энергопринимающих устройств Заявителей: Хруленко А.А., ИП Самойлова Н.В., Олефиренко С.А., Снаговская О.Н., Петров И.А., Волошеин И.В., Гребельный А.Н., Глебов В.Е., Кистанов Е.В, Рябенко О.А., Шимаров А.Ю., Коптев А.А., Усаева Л.И., Гринжевский В.В., Усаева Л.И., Борцова И.Г., Завизион Л.А. в Неклиновском районе Ростовской области (17 шт)</t>
  </si>
  <si>
    <t>Строительство системы учета для технологического присоединения энергопринимающих устройств Заявителей: Овчарова Е.С., Гребенников А.Н., Пашкина Г.А., Чеботарева Г.А., Савчук Е.А., Зеленская Н.Я., Шмыкова Л.А. в г. Таганроге, Ростовской области</t>
  </si>
  <si>
    <t>Строительство системы учета для технологического присоединения энергопринимающих устройств Заявителя: ИП Романенко М.Б., в г. Таганроге, Ростовской области</t>
  </si>
  <si>
    <t>Установка системы учета для технологического присоединения энергопринимающих устройств Заявителей: Петраковская А.К., Хавранян А.О., Степикин В.В., Хатламаджиян Г.А., Рыжков Н.Н., Беляков В.В., Келешян К.Х., Стрельникова Т.А., Копосова Л.А., Горюнов А.А., Коновалова Ю.А., Седых С.А., Дорошенко Н.И., Кулаков А.А., Козориз Р.А., Берекчиян Х.В., Теснозуб А.А. в Мясниковском районе Ростовской области (17 шт.)</t>
  </si>
  <si>
    <t>Строительство системы учета для технологического присоединения энергопринимающих устройств Заявителей: Яновская Г.В., Малинская Н.Н., Тороп М.А., Акинина Н.А., Грищенко Т.М., в г.Таганроге, Ростовской области</t>
  </si>
  <si>
    <t>Установка системы учета для технологического присоединения энергопринимающих устройств Заявителей: Карапетян Э.С., Колянчук Т.Н., Бакаева Р.Р., Макаренко В.В., Мирзоян А.В., Крохмаленко Е.А., Немичев Н.В., Нагдалян М.О., Тикунова Е.В., Мащенко С.А., Петинская А.В., Бабиян Г.С., Сафарян А.А., Шаникова О.С., Пучков О.А., Дубинин О.П., Исраелян Э.К., Асланян Д.А., Подольский Д.О., Бабаков С. А., Солодовникова С.В., Тютюнник С.Ю., Мануйлов И.И., Арсененков С.Ю., ИП Беньяминов А.В., Песцова Г.Б., ИП Манучарян Г.А., Алексанян З.А. в Мясниковском районе Ростовской области (28 шт.)</t>
  </si>
  <si>
    <t>Установка системы учета для технологического присоединения энергопринимающих устройств Заявителя: ИП Баранников Ю.Г. в г. Таганроге, Ростовской области (1 шт)</t>
  </si>
  <si>
    <t>Установка системы учета для технологического присоединения энергопринимающих устройств Заявителя Баранов М.С. в Куйбышевском районе Ростовской области (1 шт)</t>
  </si>
  <si>
    <t>Установка системы учета для технологического присоединения энергопринимающих устройств Заявителя: Турбина Н.А. в Мясниковском районе Ростовской области (1 шт.)</t>
  </si>
  <si>
    <t>Установка системы учета для технологического присоединения энергопринимающих устройств Заявителей: ИП Кравченко С.Н. в г. Таганроге, Ростовской области (1 шт)</t>
  </si>
  <si>
    <t>Установка системы учета для технологического присоединения энергопринимающих устройств Заявителей: Пеков С.А., Атоян Р.С., Ерохина Э.В., Костюк Л.Ю., Чекрыгина М.В., Далалян Г.Э. в Мясниковском районе Ростовской области (7 шт.)</t>
  </si>
  <si>
    <t>Установка системы учета для технологического присоединения энергопринимающих устройств Заявителей: Овчаров А.В., Дивнич А.А., Едуш П.П., Потик Н.Н.  в Неклиновском районе Ростовской области (4 шт.).</t>
  </si>
  <si>
    <t>Установка системы учета для технологического присоединения энергопринимающих устройств Заявителя: ИП Абалян Д.С.  в Неклиновском районе Ростовской области (1 шт.).</t>
  </si>
  <si>
    <t>Установка системы учета для технологического присоединения энергопринимающих устройств Заявителя: ИП Диченко А.Г. в г. Таганроге, Ростовской области (1 шт)</t>
  </si>
  <si>
    <t>Установка системы учета для технологического присоединения энергопринимающих устройств Заявителей Хижняк В.С., Павлюкова С.А. в Куйбышевском районе Ростовской области (2 шт)</t>
  </si>
  <si>
    <t>Установка системы учета для технологического присоединения энергопринимающих устройств Заявителей: Ковалев В.С., Горобец В.Л., Мартиросова Ф.Л., Ткачев А.И., Русанов Д.С., Яппаров Р.И., Черняева Е.Б., Галуза А.Ю.  в Неклиновском районе Ростовской области (8 шт.).</t>
  </si>
  <si>
    <t>Установка системы учета для технологического присоединения энергопринимающих устройств Заявителей: Стулин А.Н., Айдинян А.Э., Демерджиев А.Б., Бобоев Б.Х. в Мясниковском районе Ростовской области (4 шт.)</t>
  </si>
  <si>
    <t>Установка системы учета для технологического присоединения энергопринимающих устройств Заявителей: Кошелев Р.С., Дядюра Н.А.,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</si>
  <si>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Заявителей: Таганрогский Торговый Потребительский Кооператив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</si>
  <si>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Овсянникова Т.Д., Рудаков А.И.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</si>
  <si>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ИП Волченко А.А., Хачатрян Н.Р., Бокарев Д.С.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</si>
  <si>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Дзиваян М.В., Дзиваян А.А., Акопян М.А., Бурлуцкий А.А., Крохмаленко А.М., Немцова И.Ю., Панжиев А.В., Цатурян В.А., Карапетян А.С., Павлов А.С., Губанов А.Н., Налбандян С.С., Назаретян Т.А. в Мясниковском районе Ростовской области (13 шт.)</t>
  </si>
  <si>
    <t>Установка системы учета для технологического присоединения энергопринимающих устройств Заявителя: ООО «Автограф» в Мясниковском районе Ростовской области (1 шт.)</t>
  </si>
  <si>
    <t>Установка системы учета для технологического присоединения энергопринимающих устройств Заявителя Гамова Ю.В.  в г.Таганроге, Ростовской области (1 шт)</t>
  </si>
  <si>
    <t>Установка системы учета для технологического присоединения энергопринимающих устройств Заявителя: Коваленко В.С. в г. Таганроге, Ростовской области (1 шт)</t>
  </si>
  <si>
    <t>Установка системы учета для технологического присоединения энергопринимающих устройств Заявителей: Костин Н.В., Заика Л.В., Шевчук Н.П., в Матвеево Курганском районе Ростовской области – 3 шт.</t>
  </si>
  <si>
    <t>Установка системы учета для технологического присоединения энергопринимающих устройств Заявителя: Колесник Г.В. в г. Таганроге, Ростовской области (1 шт)</t>
  </si>
  <si>
    <t>Установка системы учета для технологического присоединения энергопринимающих устройств Заявителя: ИП Черватюк В.В. в г. Таганроге, Ростовской области (1 шт)</t>
  </si>
  <si>
    <t>Установка системы учета для технологического присоединения энергопринимающих устройств Заявителя: Игитян Г.П.,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</si>
  <si>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ИП Казимиров И.В.,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</si>
  <si>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Духанин В.М. в г. Таганроге, Ростовской области (1 шт)</t>
  </si>
  <si>
    <t>Установка системы учета для технологического присоединения энергопринимающих устройств Заявителя: ООО «Проммонтаж» в Неклиновском районе Ростовской области (1 шт.).</t>
  </si>
  <si>
    <t>Установка системы учета для технологического присоединения энергопринимающих устройств Заявителя: ИП Антипов А.А. в г. Таганроге, Ростовской области (1 шт)</t>
  </si>
  <si>
    <t>Установка системы учета для технологического присоединения энергопринимающих устройств Заявителя: Червякова Л.В., Гросс Б.Л.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</si>
  <si>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ООО «Раздолье»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</si>
  <si>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ИП Панкова Е.В. в г. Таганроге, Ростовской области (1 шт)</t>
  </si>
  <si>
    <t>Установка системы учета для технологического присоединения энергопринимающих устройств Заявителей: Осадчий А.Н., Захарченко А.П.,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</si>
  <si>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Весенин А.В. в г. Таганроге, Ростовской области (1 шт)</t>
  </si>
  <si>
    <t>Установка системы учета для технологического присоединения энергопринимающих устройств Заявителя: Прокопенко И.И. в г. Таганроге, Ростовской области (1 шт)</t>
  </si>
  <si>
    <t>Установка системы учета для технологического присоединения энергопринимающих устройств Заявителей: Анцифиров В.Н., Горшков С.Ю.,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</si>
  <si>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ООО «Простая кухня» в г. Таганроге, Ростовской области (1 шт)</t>
  </si>
  <si>
    <t>Установка системы учета для технологического присоединения энергопринимающих устройств Заявителя: Камнев Сергей Владимирович в г. Таганроге,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</si>
  <si>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-(61-1-21-00591123)</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</si>
  <si>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-(61-1-21-00591621)</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</si>
  <si>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-(61-1-21-00592213)</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</si>
  <si>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-(61-1-21-00592537)</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</si>
  <si>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-(61-1-21-00592843)</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</si>
  <si>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-(61-1-21-00592845)</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</si>
  <si>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-(61-1-21-00593013)</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</si>
  <si>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 -(61-1-21-00593379)</t>
  </si>
  <si>
    <t>Установка системы учета для технологического присоединения энергопринимающих устройств Заявителей: Лялькина В.А., Урецкий О.Ю., Гречишников В.В., Маноле О.П., Асцатрян Л.С., Берекчиян М.А., Щаева Д.Д., Килафян А.А., Моисеенко Э.С., Скорикова Е.С. в Мясниковском районе Ростовской области (10 шт.)</t>
  </si>
  <si>
    <t>Строительство системы учета для технологического присоединения энергопринимающих устройств Заявителей: ООО «Авиатор», Литвинова З.Г., Думич А.А. в Неклиновском районе Ростовской области</t>
  </si>
  <si>
    <t>Строительство системы учета для технологического присоединения энергопринимающих устройств Заявителя Долгополов А.М., расположенных Ростовская обл., р-н. Куйбышевский, с. Куйбышево, ул. Калинина, д. 26</t>
  </si>
  <si>
    <t>Строительство системы учета для технологического присоединения энергопринимающих устройств Заявителей: Берекчиян В.К., Скоба С.В., Солянкин А.Н., Шахмурадян Г.В., Чубаров А.М., Черанев А.С., Вавилов А.А., Лебедев С.С., Ковалев А.В., Белый А.Ю., Прокофьева Н.Э., Ушакова Ю.А. в Мясниковском районе Ростовской области</t>
  </si>
  <si>
    <t>Строительство системы учета для технологического присоединения энергопринимающих устройств Заявителей: Галицкая Л.П., Булгакова В.П, Михалев С.Г., Пучков Д.Д., Шелист И.А., Хрипунов В.В., Грачев А.И.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</si>
  <si>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Кудашева Е.А., ИП Свиридов В.П., ИП Ващенко И.А., в г.Таганроге, Ростовской области</t>
  </si>
  <si>
    <t>Строительство системы учета для технологического присоединения энергопринимающих устройств Заявителей: Семак С.В., Аветисян Г.Р., Яковлев А.В., Коробков А.А., Лисоченко О.М., Мелихова М.Е., Тороп Д.В., Маштак Р.А., Крымов О.А., Беньяминов Д.С.  в Неклиновском районе Ростовской области</t>
  </si>
  <si>
    <t>Строительство системы учета для технологического присоединения энергопринимающих устройств Заявителей: Барыкин Е.М., Путулян Л.Л., Меликян С.К., Безменов А.А., Ковтунова В.А., Новиков С.С., Ишангалиев Ф.А., Дорошенко Н.И., Габриелян А.Г., Дзиваян М.А., Мариненков А.В., Хачатрян А.М., Парибек В.В., Пусенков А.В., Изосимова А.А., Какорина А.В., Сердюк Д.С., Микоян А.А., Крупина А.В., Кукса А.А., Арзуманян Б.М., Хантимерян К.Р., Алексанян А.А., Голубева Е.А., Хараян А.Э., Максименко Е.Е., Таран Е.И., Богданова Е.А., Серов А.В., Понимаш С.А., Абовян Г.А., Секизян С.Е., Бабиев Г.К., Магирина Л.К., Колесникова М.А.  в Мясниковском районе Ростовской области» (35 шт)</t>
  </si>
  <si>
    <t>Установка системы учета для технологического присоединения энергопринимающих устройств Заявителей: Администрация Неклиновского района, Кушнаренко Г.С. в Неклиновском районе Ростовской области (4 шт.)</t>
  </si>
  <si>
    <t>Установка системы учета для технологического присоединения энергопринимающих устройств Заявителей: Баранов В.Л., Цындра Д.А., Рожков А.В.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</si>
  <si>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Гладунова Т.В., Сорокина А.С., Братухин Д.А.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</si>
  <si>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Коржов А.Н., Пантелеева М.А.,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</si>
  <si>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Лабурцев Р.В., Татаренков А.А., ИП Черепанов О.А. в г.Таганроге, Ростовской области (3 шт)</t>
  </si>
  <si>
    <t>Установка системы учета для технологического присоединения энергопринимающих устройств Заявителей: Лещенко С.С., Глазунов А.Г., Деркачева В.В.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</si>
  <si>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ПраймТелеком ЮГ, Стеблов А.А.  в г. Таганроге, Ростовской области (2 шт)</t>
  </si>
  <si>
    <t>Установка системы учета для технологического присоединения энергопринимающих устройств Заявителей: Сыроватский В.М., Скляренко И.П., Кузнецова Т.О. в г.Таганроге, Ростовской области (3 шт)</t>
  </si>
  <si>
    <t>Установка системы учета для технологического присоединения энергопринимающих устройств Заявителей: Анохина Н.В., Кудряшов В.А. в г. Таганроге, Ростовской области (2 шт)</t>
  </si>
  <si>
    <t>Установка системы учета для технологического присоединения энергопринимающих устройств Заявителя Каркалев Н.И. в Куйбышевском районе Ростовской области (1 шт)</t>
  </si>
  <si>
    <t>Установка системы учета для технологического присоединения энергопринимающих устройств Заявителя Трушникова Н.Е. в Неклиновском районе Ростовской области (1 шт.)</t>
  </si>
  <si>
    <t>Установка системы учета для технологического присоединения энергопринимающих устройств Заявителя: ИП Бабенко Ю.И. в г. Таганроге, Ростовской области (1 шт)</t>
  </si>
  <si>
    <t>Установка системы учета для технологического присоединения энергопринимающих устройств Заявителей: Шатова И.Л., Однороб С.В., Кедыч А.В., Корбут Н.А., Латиш А., Латиш Д. Багаджиян С.В., Медведева Т.Н., Миличенко А.В., Исаков В.В., Демьянов А.О., Коновалова Т.Г., Берданова В.Н., Кузьмина Е.Ю., Арзуманян С.Г., Бадальянц С.М., Ваць М.В.  в Мясниковском районе Ростовской области (17 шт.)</t>
  </si>
  <si>
    <t>Установка системы учета для технологического присоединения энергопринимающих устройств Заявителей: Агаджанова Э.В., Биатова Е.В., ИП Коннов А.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</si>
  <si>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Алексанян Т.А., Кочарян Г.А., Ковылин Г.Н., Бочко В.В., Семенченко С.А., Адамян М.С., Соковая К.С., Дюргерян М.К., Беленков А.П., Балабанян О.В., Васильченко Ю.О.  в Мясниковском районе Ростовской области (13 шт.)</t>
  </si>
  <si>
    <t>Установка системы учета для технологического присоединения энергопринимающих устройств Заявителей: Анненко А.И., Кивик А.А., Худолеев В.В., Прудникова О.Н., Рякина А.С., Хечоян Г.А., Харахашян И.А., Скоков А.А., Авакян Г.С., Князькова Т.В., ИП Бабахов В.А., Лапотанова Л.Ю., Клименкова О.Х., Ованесов Д.К., Насибян А.А., Садовничья З.А., Климович С.Г., Кутилина А.С., Командина Е.А., Багринцев Д.А., Бардачев А.С., ТСЖ «КП Приозерье», Хачатрян С.С., Хантимерян О.А., Грекова И.А., Хочхарян О.Х., Прокопенко А.Р., Кротова А.П., Семенченко О.В., Бахарь Е.В. в Мясниковском районе Ростовской области (30 шт.)</t>
  </si>
  <si>
    <t>Установка системы учета для технологического присоединения энергопринимающих устройств Заявителей: Волкова Н.Н., Ткаченко Е.Б., Болдякова М.Н., Киракосян А.С., Кузьменко И.Ю.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</si>
  <si>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ИП Гукасян Х.Ф., Тугушев М.Р., Шевченко Л.А., Шевченко М.А., Багдасарян Р.Ц., Акопян А.А., Козаченко В.А., ИП Закинян Ю.Д., Микоян А.А., Мардян Н.А., Оланян С.О., Чориян Х.А., Сущенко Е.В., Пудова Ю.И., Хатламаджиян Г.А., Шклярская Я.В. в Мясниковском районе Ростовской области (17 шт.)</t>
  </si>
  <si>
    <t>Установка системы учета для технологического присоединения энергопринимающих устройств Заявителей: ИП Колупаев Г.А., Нимовец А.В., Смирнова Т.Г., Смирнова Т.Г., Федотова М.В., Ткачук Д.О., Миняйлов А.Г., Исаджанян А.З., Шарганов Н.Ю., Захаров М.Б., Минько В.В., Сухомлинов Н.Н., Филипенко Э.Г., Сулина Е.Г, Разинкова А.В., Короткова Ю.Н., Саркисян Н.Г. в Неклиновском районе Ростовской области (17 шт)</t>
  </si>
  <si>
    <t>Установка системы учета для технологического присоединения энергопринимающих устройств Заявителей: Кабалян А.К, Лаптев А.В., Харламенков А.С., Темирханова Н.К., Колотев Г.М.,  ООО «Аметис»,  Васильченко Н.А. в Неклиновском районе Ростовской области (7 шт)</t>
  </si>
  <si>
    <t>Установка системы учета для ТП энергопринимающих устройств: Кривова М.В., Шапошникова Е.В., Малородная В.И., Сычев В.Н.,Римский Е.П.</t>
  </si>
  <si>
    <t>Установка системы учета для технологического присоединения энергопринимающих устройств Заявителей: Панюхина Н.М, Помазанова Е.В., Колесников Г.Д., Данькина И.В., Кузьменко Е.Т., Хырмызы Н.Н. в Неклиновском районе Ростовской области (6 шт)</t>
  </si>
  <si>
    <t>Установка системы учета для технологического присоединения энергопринимающих устройств Заявителей: Петракова Н.Н., Козловский С.А., Лопаткин А.В., Швалева Н.А., Карауш Е.Ю., Лопатюк Г.В., ИП Архипенко В.В. в Неклиновском районе Ростовской области (7 шт)</t>
  </si>
  <si>
    <t>Установка системы учета для технологического присоединения энергопринимающих устройств Заявителей: Печерская И.С., Бабицкий О.В., ИП Порядин А.М., Мазуренко М.К., Бутина А.Я., Магомедова А.Т., Коротков П.А., Бондаренко Ю.С., Богатова О.Г.  в Неклиновском районе Ростовской области (9 шт)</t>
  </si>
  <si>
    <t>Установка системы учета для технологического присоединения энергопринимающих устройств Заявителей: Снисаренко Л.Н., ИП Ключко А.В., Петров А.О., Поважный А.А., Ефименко Д.П.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</si>
  <si>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Экизян З.Д., Мирзаян К.А., Исаков В.В., Тур О.Г., Беликов М.В., Пузина О.А., Париева Е.О., Пикуль Е.Н., Зубков А.А. в Мясниковском районе Ростовской области (9 шт.)</t>
  </si>
  <si>
    <t>Строительство системы учета для технологического присоединения энергопринимающих устройств Заявителей Забродний А.В., Диденко Л.А расположенных в Куйбышевском районе Ростовской области</t>
  </si>
  <si>
    <t>Строительство системы учета для технологического присоединения энергопринимающих устройств Заявителей Скилевая Т.Ю, Мелкумян В.З. в Куйбышевском районе Ростовской области</t>
  </si>
  <si>
    <t>Установка системы учета для технологического присоединения энергопринимающих устройств Заявителя Ульмасов Р.Е. в Куйбышевском районе Ростовской области (1 шт)</t>
  </si>
  <si>
    <t>Установка системы учета для технологического присоединения энергопринимающих устройств Заявителя Министерство транспорта Ростовской области в Куйбышевском районе Ростовской области (1 шт)</t>
  </si>
  <si>
    <t>Установка системы учета для технологического присоединения энергопринимающих устройств Заявителя Горохова Е.П. в Куйбышевском районе Ростовской области (1 шт)</t>
  </si>
  <si>
    <t>Установка системы учета для технологического присоединения энергопринимающих устройств Заявителей Матвиенко А.Н., Борцов П.В. в Куйбышевском районе Ростовской области (2 шт)</t>
  </si>
  <si>
    <t>Установка системы учета для технологического присоединения энергопринимающих устройств Заявителя Гречко Н.М. по адресу Ростовская обл., р-н. Куйбышевский, с. Куйбышево, ул. Театральная, д. 87 (1 шт)</t>
  </si>
  <si>
    <t>Установка системы учета для технологического присоединения энергопринимающих устройств Заявителя Литовченко Р.В. по адресу Ростовская обл., Куйбышевский район, х. Новая Надежда, ул. Новая, д. 29 (1шт)</t>
  </si>
  <si>
    <t>Установка системы учета для технологического присоединения энергопринимающих устройств Заявителя МУЗ «ЦРБ Куйбышевского района» по адресу Ростовская обл., Куйбышевский район, с. Куйбышево, ул. Миусская, д. 3 (1 шт)</t>
  </si>
  <si>
    <t>Установка системы учета для технологического присоединения энергопринимающих устройств Заявителя ИП Пикалов С.А. по адресу Ростовская обл., Куйбышевский район, с. Куйбышево, ул. Крутоярская, 13/1 (1 шт)</t>
  </si>
  <si>
    <t>Установка системы учета для технологического присоединения энергопринимающих устройств Заявителя Зинченко Н.В. по адресу Ростовская обл., Куйбышевский район, с. Куйбышево, ул. Пушкинская, д.17 (1шт)</t>
  </si>
  <si>
    <t>на выполнение проектной и рабочей документации
Установка системы учета для технологического присоединения энергопринимающих устройств Заявителя (Яковенко И.Л.) по адресу: Ростовская область, Куйбышевский район, с. Куйбышево, ул. Дьяковская, д. 2, к.н. 61:19:0010126:14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</si>
  <si>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Куйбышевский район, с. Новиковка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</si>
  <si>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Куйбышевский район, с. Русское (1 шт.)</t>
  </si>
  <si>
    <t>Установка системы учета для технологического присоединения энергопринимающих устройств Заявителя Ключиков В.В. по адресу Ростовская обл., Куйбышевский район, с. Новиковка, ул. Победы, д. 28б, к.н. 61:19:0050401:683 (1шт).</t>
  </si>
  <si>
    <t>Установка системы учета для технологического присоединения энергопринимающих устройств Заявителя (Еременко А.В.) по адресу Ростовская обл., р-н. Куйбышевский, х. Новоольховский, севернее х. Новоольховский к.н: 61:19:0600005:1555 (1шт)</t>
  </si>
  <si>
    <t>Установка системы учета для технологического присоединения энергопринимающих устройств Заявителя (Еременко О.В.) по адресу Ростовская обл., р-н. Куйбышевский, с. Куйбышево, ул. Пролетарская, д.180, к.н: 61:19:0010192:10 (1шт).</t>
  </si>
  <si>
    <t>Установка системы учета для технологического присоединения энергопринимающих устройств Заявителя (Литвинов П.В.) по адресу Ростовская обл., р-н. Куйбышевский, с. Куйбышево, ул. Театральная, д. 77-в, к.н: 61:19:0010138:282 (1шт)</t>
  </si>
  <si>
    <t>Установка системы учета для технологического присоединения энергопринимающих устройств Заявителя (Пруглова В.Д.) по адресу Ростовская обл., р-н. Куйбышевский, с. Куйбышево, ул. Мало-Садовая, д. 31, к.н: 61:19:0010147:7 (1шт)</t>
  </si>
  <si>
    <t>Установка системы учета для технологического присоединения энергопринимающих устройств Заявителя (ООО «Лека») по адресу Ростовская обл., Куйбышевский р-н, х. Ясиновский, к.н: 61:19:0600002:1148 (1шт)</t>
  </si>
  <si>
    <t>Установка системы учета для технологического присоединения энергопринимающих устройств Заявителя (Орлов В.С.) по адресу Ростовская обл., Куйбышевский р-н, с. Куйбышево, ул. Свободы, д. 7, к.н: 61:19:0010153:3 (1шт)</t>
  </si>
  <si>
    <t>на выполнение проектной и рабочей документации
Установка системы учета для технологического присоединения энергопринимающих устройств Заявителя (Чернобай Г.Д.) по адресу Ростовская обл., р-н. Куйбышевский, с. Новоспасовка, ул. Северная, д. 12, к.н: 61:19:0030401:91 (1шт)</t>
  </si>
  <si>
    <t>Установка системы учета для технологического присоединения энергопринимающих устройств Заявителя (КХ «Деметра») по адресу: Ростовская область, Куйбышевский район х. Новоивановский, к.н: 61:19:0600001:112 (1 шт.)</t>
  </si>
  <si>
    <t>Установка системы учета для технологического присоединения энергопринимающих устройств Заявителя (Семенцов С.А.) по адресу: Ростовская область, Куйбышевский район, с. Куйбышево, ул. Кузьменко, д. 38, к.н. 61:19:0010137:23 (1 шт.)</t>
  </si>
  <si>
    <t>Установка системы учета для технологического присоединения энергопринимающих устройств Заявителя (Власова И.А.) по адресу: Ростовская обл., Куйбышевский р-н., с. Куйбышево, ул. Дмитриевская, д. 93, к.н: 61:19:0010109:3 (1 шт.)</t>
  </si>
  <si>
    <t>Установка системы учета для технологического присоединения энергопринимающих устройств Заявителя (Маслова Г.В.) по адресу: Ростовская обл., Куйбышевский р-н., с. Куйбышево, ул. Дмитриевская, д. 53а, к.н: 61:19:0010109:338 (1 шт.)</t>
  </si>
  <si>
    <t>Установка системы учета для технологического присоединения энергопринимающих устройств Заявителя (АО "Почта России") по адресу: Ростовская обл., Куйбышевский р-н., с. Лысогорка, ул. Кооперативная, д. 12, к.н: 61:19:0030101:810 (1 шт.)</t>
  </si>
  <si>
    <t>Установка системы учета для технологического присоединения энергопринимающих устройств Заявителя (АО "Почта России") по адресу: Ростовская обл., Куйбышевский р-н., х. Новая Надежда, ул. Советская, д. 3 (1 шт.)</t>
  </si>
  <si>
    <t>Установка системы учета для технологического присоединения энергопринимающих устройств Заявителя (АО "Почта России") по адресу: Ростовская обл., Куйбышевский р-н., х. Кринично-Лугский, ул. Молодежная, д. 28, к.н: 61:19:0000000:556 (1 шт.)</t>
  </si>
  <si>
    <t>Установка системы учета для технологического присоединения энергопринимающих устройств Заявителя: Высоцкая Н.С., Чередникова Е.Н.,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</si>
  <si>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Заявителя: Ивлев И.И.,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</si>
  <si>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Заявителей: Михайленко А.А.,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</si>
  <si>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Заявителей: Русина М.В.,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</si>
  <si>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Заявителей: Потеенок Н.А.,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</si>
  <si>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Заявителей: Гриценко Н.А, Ткаченко А.В., в Матвеево Курганском районе Ростовской области – 2 шт. </t>
  </si>
  <si>
    <t>Установка системы учета для технологического присоединения энергопринимающих устройств Заявителя: Новичихина О.В.,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</si>
  <si>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Васильева Е.А.,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</si>
  <si>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ИП Григорян Р.С.,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</si>
  <si>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Шленчак И.В.,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</si>
  <si>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Заявителя: Годагарян А.Ф., в Матвеево Курганском районе Ростовской области – 1 шт. </t>
  </si>
  <si>
    <t>Установка системы учета для технологического присоединения энергопринимающих устройств Заявителя: Пащенко А.В.,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</si>
  <si>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Бужинский А.И.,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</si>
  <si>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Заявителя: Мкртчян С.К., в Матвеево Курганском районе Ростовской области – 1 шт. </t>
  </si>
  <si>
    <t xml:space="preserve">Установка системы учета для технологического присоединения энергопринимающих устройств Заявителя: Наумчук А.В., Гапоненко С.П., в Матвеево Курганском районе Ростовской области – 2 шт. </t>
  </si>
  <si>
    <t>Установка системы учета для технологического присоединения энергопринимающих устройств Заявителя: Высоцкий В.А,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</si>
  <si>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Заявителя: Ломтева Л.В, в Матвеево Курганском районе Ростовской области – 1 шт. </t>
  </si>
  <si>
    <t>Установка системы учета для технологического присоединения энергопринимающих устройств Заявителей: Шаповалов В.А., Засоба И.И., в Матвеево Курганском районе Ростовской области – 2 шт.</t>
  </si>
  <si>
    <t>Установка системы учета для технологического присоединения энергопринимающих устройств Заявителей: Габеев Н.В.,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</si>
  <si>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ИП Беджанян Л.Г.,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</si>
  <si>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Заявителей: ИП Кривобокова Е.В.,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</si>
  <si>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МУК «Центральная клубная система» Матвеево-Курганского сельского поселения., в Матвеево Курганском районе Ростовской области – 1 шт.</t>
  </si>
  <si>
    <t xml:space="preserve">Установка системы учета для технологического присоединения энергопринимающих устройств Заявителя: Антонова Е.Л., в Матвеево Курганском районе Ростовской области – 1 шт. </t>
  </si>
  <si>
    <t xml:space="preserve">Установка системы учета для технологического присоединения энергопринимающих устройств Заявителя: Иванченко К.П., в Матвеево Курганском районе Ростовской области – 1 шт. </t>
  </si>
  <si>
    <t xml:space="preserve">Установка системы учета для технологического присоединения энергопринимающих устройств Заявителей: Миненко А.Н., в Матвеево Курганском районе Ростовской области – 1 шт. </t>
  </si>
  <si>
    <t xml:space="preserve">Установка системы учета для технологического присоединения энергопринимающих устройств Заявителя: ООО «ДонСвязьКонструкция», в Матвеево Курганском районе Ростовской области – 1 шт. </t>
  </si>
  <si>
    <t xml:space="preserve">Установка системы учета для технологического присоединения энергопринимающих устройств Заявителя (Лебедь Е.А.) по адресу: Ростовская область, Матвеево-Курганский район, х. Криничный, ул. Садовая, д. 12, к.н. 61:21:011301:7 (1 шт.) </t>
  </si>
  <si>
    <t xml:space="preserve">Установка системы учета для технологического присоединения энергопринимающих устройств Заявителя (ООО «Миус-торг».) по адресу: Ростовская область, Матвеево-Курганский район, п. Подлесный, пер. Кувшинный, д. 4, к.н. 61:21:0030901:602 (1 шт.) </t>
  </si>
  <si>
    <t xml:space="preserve">Установка системы учета для технологического присоединения энергопринимающих устройств Заявителя (ИП Литвинова Я.А.) по адресу: Ростовская область, Матвеево-Курганский район, п. М-Курган, ул. Советская, д. 10, к.н. 61:21:0010152:57 (1 шт.) </t>
  </si>
  <si>
    <t>Установка системы учета для технологического присоединения энергопринимающих устройств Заявителя (Гогуев С.З.) по адресу: Ростовская область, Матвеево-Курганский район, х. Дараганов, ул. Подгорная, д. 41, к.н. 61:21:0010201:213 (1 шт.)</t>
  </si>
  <si>
    <t>Установка системы учета для технологического присоединения энергопринимающих устройств Заявителя (ИП Нарожний Г.П.) по адресу: Ростовская область, Матвеево-Курганский район, 330 м в восточном направлении от жилого дома №15 ул. Первомайская, с. Греково-Тимофеевка, к.н. 61:21:0600014:1305 (1 шт.)</t>
  </si>
  <si>
    <t>Установка системы учета для технологического присоединения энергопринимающих устройств Заявителя (ИП Мкрдумян Л.Ш.) по адресу: Ростовская область, Матвеево-Курганский район, п. Матвеев Курган, ул. Таганрогская, д. 33, к.н. 61:21:0019125:491 (1 шт.)</t>
  </si>
  <si>
    <t>Установка системы учета для технологического присоединения энергопринимающих устройств Заявителя (Пучка Н.И.) по адресу: Ростовская область, Матвеево-Курганский район, с. Новониколаевка,
 ул. Ленина, д. 92, к.н. 61:21:0050101:409 (1 шт.)</t>
  </si>
  <si>
    <t>Установка системы учета для технологического присоединения энергопринимающих устройств Заявителя (Турицын А.Д.) по адресу: Ростовская область, Матвеево-Курганский район, с. Марфинка, ул. Производственная, д. 24, к.н. 61:21:0040301:857 (1 шт.)</t>
  </si>
  <si>
    <t>Установка системы учета для технологического присоединения энергопринимающих устройств Заявителя (Сергеев А. А.) по адресу: Ростовская область, Матвеево-Курганский район, примерно в 6100м по направлению на юго-восток от ориентира п. Крынка, ул. Ветеранов,  д. 9, к.н. 61:21:0600021:450 (1 шт.)</t>
  </si>
  <si>
    <t xml:space="preserve">Установка системы учета для технологического присоединения энергопринимающих устройств Заявителя (ИП Игитян Г.П.) по адресу: Ростовская область, М-Курганский район, п. Матвеев Курган, ул. 1 Мая, д. 13, к.н.ЗУ: 61:21:0010145:65 (1 шт.)
 </t>
  </si>
  <si>
    <t>Установка системы учета для технологического присоединения энергопринимающих устройств Заявителя (ИП Нагерняк С.А.) по адресу: Ростовская область, Матвеево-Курганский район, 600м по направлению на север от ул. Степная, д. 36, х. Степанов, к.н. 61:21:0600003:3376 (1 шт.)</t>
  </si>
  <si>
    <t>Установка системы учета для технологического присоединения энергопринимающих устройств Заявителя (Шаповалова Е.А.) по адресу: Ростовская область, М-Курганский район, с. Анастасиевка, пер. Степной д. 14, к.н.: 61:21:040101:1260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</si>
  <si>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х. Малоекатериновка, 47.501200.38.344100.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</si>
  <si>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п. Крынка, к.н 47.611423.38.793795. (1 шт.)</t>
  </si>
  <si>
    <t xml:space="preserve">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с. Марьевка, 47.592081.39.136356. (1 шт.) </t>
  </si>
  <si>
    <t xml:space="preserve">Установка системы учета для технологического присоединения энергопринимающих устройств Заявителя (Карташев С.А.) по адресу: Ростовская область, М-Курганский район, х. Большая Кирсановка, ул. Советская, д. 78, к.н.ЗУ: 61:21:0110101:2468 (1 шт.) </t>
  </si>
  <si>
    <t>Установка системы учета для технологического присоединения энергопринимающих устройств Заявителя (Казимиров А.П.) по адресу: Ростовская область, М-Курганский район, п. Матвеев Курган, ул. Украинская, д. 7, к.н. 61:21:0010119:125 (1 шт.)</t>
  </si>
  <si>
    <t>Установка системы учета для технологического присоединения энергопринимающих устройств Заявителя (Кудряшов Н.В.) по адресу: Ростовская область, М-Курганский район, х. Большая Кирсановка, ул. Садовая, д. 2, к.н. 61:21:0110101:412 (1 шт.)</t>
  </si>
  <si>
    <t>Установка системы учета для технологического присоединения энергопринимающих устройств Заявителя (Димитров А.В.) по адресу: Ростовская область, М-Курганский район, с. Григорьевка, ул. Советская, д. 7, к.н. 61:21:0080401:410 (1 шт.)</t>
  </si>
  <si>
    <t xml:space="preserve">Установка системы учета для технологического присоединения энергопринимающих устройств Заявителя (Иванов В.В.) по адресу: Ростовская область, М-Курганский район, х. Петрополье, ул. Пудовкина, д. 33, к.н.: 61:21:0110701:326 (1 шт.) </t>
  </si>
  <si>
    <t>Установка системы учета для технологического присоединения энергопринимающих устройств Заявителя (Пак В.Б.) по адресу: Ростовская область, М-Курганский район, п. М-Курган, ул. Интернациональная, д. 27, к.н.: 61:21:0010117:70 (1 шт.)</t>
  </si>
  <si>
    <t>Установка системы учета для технологического присоединения энергопринимающих устройств Заявителя (Воронцов В.А.) по адресу: Ростовская область, М-Курганский район, х. Демидовка, ул. Подгорная, д. 35, к.н. 61:21:0030601:83 (1 шт.)</t>
  </si>
  <si>
    <t>Установка системы учета для технологического присоединения энергопринимающих устройств Заявителя (ИП Галиченко И.И.) по адресу: Ростовская область, М-Курганский район, примерно в 30 м по направлению на восток от х. Большая Кирсановка, к.н. 61:21:0600005:982 (1 шт.)</t>
  </si>
  <si>
    <t>Установка системы учета для технологического присоединения энергопринимающих устройств Заявителя (Шереверов П.В.) по адресу: Ростовская область, М-Курганский район, п. Матвеев Курган, ул. Кирова, 
д. 66, к.н. 61:21:0010110:122 (1 шт.)</t>
  </si>
  <si>
    <t>Установка системы учета для технологического присоединения энергопринимающих устройств Заявителя (Бержанский А.А.) по адресу: Ростовская область, М-Курганский район, п. Матвеев Курган, ул. Русская,
д. 43, к.н.: 61:21:0010161:187 (1 шт.)</t>
  </si>
  <si>
    <t>Установка системы учета для технологического присоединения энергопринимающих устройств Заявителя (Михайлова И.В.) по адресу: Ростовская область, М-Курганский район, п.Матвеев Курган, ул. Полевого,
д. 19, к.н. 61:21:0010103:119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</si>
  <si>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х. Лесной, примерно 10 м по направлению на юг от границы уч. 61:21:0070901:80, ул. Юбилейная 24, к.н.: 00:00:0000000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</si>
  <si>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х. Иваново-Ясиновка, примерно 21 м по направлению на юго-запад от границы участка пер. Ясиновский 2, к.н.: 00:00:0000000 (1 шт.)</t>
  </si>
  <si>
    <t>Установка системы учета для технологического присоединения энергопринимающих устройств Заявителя (ПАО «Ростелеком») по адресу: Ростовская область, М-Курганский район, х. Красная Горка, примерно 20 м по направлению на восток от границы участка ул. Школьная 2А, к.н.: 00:00:0000000 (1 шт.)</t>
  </si>
  <si>
    <t>Установка системы учета для технологического присоединения энергопринимающих устройств Заявителя (Безгласный Г.В.) по адресу: Ростовская область, М-Курганский район, с. Екатериновка, ул. Пролетарская,
д. 21а, к.н.: 61:21:0060101:1543 (1 шт.)</t>
  </si>
  <si>
    <t>Установка системы учета для технологического присоединения энергопринимающих устройств Заявителя (ИП Геворгян А.Я.) по адресу: Ростовская область, М-Курганский район, п. Матвеев Курган, 
ул. Таганрогская, д. 151, к.н.: 61:21:0010142:98 (1 шт.)</t>
  </si>
  <si>
    <t>Установка системы учета для технологического присоединения энергопринимающих устройств Заявителя (ИП Ульянов В.А.) по адресу: Ростовская область, М-Курганский район, п. Матвеев Курган, 
ул. Октябрьская, д. 42, к.н.: 61:21:0010113:477 (1 шт.)</t>
  </si>
  <si>
    <t>Установка системы учета для технологического присоединения энергопринимающих устройств Заявителя (Роменская З.В.) по адресу: Ростовская область, М-Курганский район, с. Малокирсановка,
 ул. Пролетарская, д. 31, к.н.: 61:21:0080101:2068 (1 шт.)</t>
  </si>
  <si>
    <t>Установка системы учета для технологического присоединения энергопринимающих устройств Заявителя (Ткаченко В.П.) по адресу: Ростовская область, М-Курганский район, п. Матвеев Курган, ул. Советская,
д. 27, к.н.: 61:21:0010301:713 (1 шт.)</t>
  </si>
  <si>
    <t>Установка системы учета для технологического присоединения энергопринимающих устройств Заявителя (Назаров А.В.) по адресу: Ростовская область, М-Курганский район, п. М-Курган, ул. Гагарина, д. 3, к.н. 61:21:0010146:29 (1 шт.)</t>
  </si>
  <si>
    <t>Установка системы учета для технологического присоединения энергопринимающих устройств Заявителя (Лукашова А.М.) по адресу: Ростовская область, М-Курганский район, с. Авило-Успенка, 
пер. Успенский, д. 24, к.н.: 61:21:0050201:993 (1 шт.)</t>
  </si>
  <si>
    <t>Установка системы учета для технологического присоединения энергопринимающих устройств Заявителя (Мартыненко В.Д.) по адресу: Ростовская область, М-Курганский район, с. Анастасиевка, 
пер. Степной, д. 21, к.н.: 61:21:0040101:2790 (1 шт.)</t>
  </si>
  <si>
    <t>Установка системы учета для технологического присоединения энергопринимающих устройств Заявителя (Лукашова О.А.) по адресу: Ростовская область, М-Курганский район, х. Староротовка, ул. Интернациональная, д. 26, к.н.: 61:21:0010401:467 (1 шт.)</t>
  </si>
  <si>
    <t>Установка системы учета для технологического присоединения энергопринимающих устройств Заявителя (ИП Артюхова Э.В.) по адресу: Ростовская область, М-Курганский район, с. Новониколаевка, ул. Ленина, д. 54, к.н.:61:21:0050101:422 (1 шт.)</t>
  </si>
  <si>
    <t>Установка системы учета для технологического присоединения энергопринимающих устройств Заявителя (Нефедова Н.Г.) по адресу: Ростовская область, М-Курганский район, с. Анастасиевка, ул. Ленина, д. 75, к.н.: 61:21:0040101:2577 (1шт.)»</t>
  </si>
  <si>
    <t>Установка системы учета для технологического присоединения энергопринимающих устройств Заявителя (ИП Бойченко О.Н.) по адресу: Ростовская область, М-Курганский район примыкает с южной стороны к земельному участку, по адресу: п. М-Курган, ул. Донецкая д. 49, к.н. 61:21:0600001:3555 (1 шт.)</t>
  </si>
  <si>
    <t>Установка системы учета для технологического присоединения энергопринимающих устройств Заявителя (ИП Полушкин С.А.) по адресу: Ростовская область, М-Курганский район с. Авило-Успенка, ул. Кооперативная, д.47 корп. а, к.н. 61:21:0050201:479 (1 шт.)</t>
  </si>
  <si>
    <t>Установка системы учета для технологического присоединения энергопринимающих устройств Заявителя (Хараин А.Е.) по адресу: Ростовская область, М-Курганский район, п. Гвардейский, ул. Миусская, д. 17, к.н.: 61:21:0031001:125 (1шт.)</t>
  </si>
  <si>
    <t>Установка системы учета для технологического присоединения энергопринимающих устройств Заявителя (Юров А.А.) по адресу: Ростовская область, М-Курганский район п. М-Курган, ул. 1 Мая, д. 43, к.н. 61:21:0010143:115 (1 шт.)</t>
  </si>
  <si>
    <t>Установка системы учета для технологического присоединения энергопринимающих устройств Заявителя (Кошман К.А.) по адресу: Ростовская область, М-Курганский район х. Староротовка, ул. Молодежная, д. 8, кв.2 к.н. 61:21:0010401:662 (1 шт.)</t>
  </si>
  <si>
    <t>Установка системы учета для технологического присоединения энергопринимающих устройств Заявителя (Беликова Г.М.) по адресу: Ростовская область, М-Курганский район, п. Матвеев Курган, ул. Фрунзе, д. 65, к.н. 61:21:0010110:27 (1 шт.)</t>
  </si>
  <si>
    <t>Установка системы учета для технологического присоединения энергопринимающих устройств Заявителей: Ткачева Т.А., Инасаридзе В.Ш., Конивец Д.В., Новоселова Н.В., Бомбина Т.Н.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</si>
  <si>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Трелис Е.А., Трелис Н.А.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</si>
  <si>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Заявителей: Мостовой Я.Ю., Мамченко Е.В., Зудилова Л.Ю., Руссу Л.Н. в Неклиновском районе Ростовской области 
(4 шт.). </t>
  </si>
  <si>
    <t xml:space="preserve">Установка системы учета для технологического присоединения энергопринимающих устройств Заявителей: Тарасенко И.В., Беседин Ю.П. в Неклиновском районе Ростовской области (2 шт.). </t>
  </si>
  <si>
    <t>Установка системы учета для технологического присоединения энергопринимающих устройств Заявителя: Чарыков А.В.   в Неклиновском районе Ростовской области (1 шт.).</t>
  </si>
  <si>
    <t>Установка системы учета для технологического присоединения энергопринимающих устройств Заявителя: Рудь П.С.   в Неклиновском районе Ростовской области (1 шт.).</t>
  </si>
  <si>
    <t>Установка системы учета для технологического присоединения энергопринимающих устройств Заявителя: Кравченко А.Г. в Неклиновском районе Ростовской области (1 шт.).</t>
  </si>
  <si>
    <t>Установка системы учета для технологического присоединения энергопринимающих устройств Заявителя: Николаев М.Е.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</si>
  <si>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Чучиян О.Т., Забежайло И.А.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</si>
  <si>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Заявителя: Изотов В.В.   в Неклиновском районе Ростовской области (1 шт.). </t>
  </si>
  <si>
    <t>Установка системы учета для технологического присоединения энергопринимающих устройств Заявителей: Середин И.А., Агафонова Л.А.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</si>
  <si>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Заявителей: Головань Е.Н., Боцман Д.Ф.   в Неклиновском районе Ростовской области (2 шт.). </t>
  </si>
  <si>
    <t>Установка системы учета для технологического присоединения энергопринимающих устройств Заявителей: Азизов Э.Т., Белик Л.П., Баумбах С.Р.   в Неклиновском районе Ростовской области (3 шт.).</t>
  </si>
  <si>
    <t xml:space="preserve">Установка системы учета для технологического присоединения энергопринимающих устройств Заявителя: Морозов Н.А.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</si>
  <si>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Пономарев Н.Д., Щербаков В.А., Гоголадзе Е.А.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</si>
  <si>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Заявителей: Кондакова Н.С., Мелехов Е.В., Харповицкий В.Г., Помысов Е.Н. в Неклиновском районе Ростовской области (4 шт.). </t>
  </si>
  <si>
    <t xml:space="preserve">Установка системы учета для технологического присоединения энергопринимающих устройств Заявителей: Конюхова Э.С., Иванов Р.В., Коник А.В., Кружков Т.А.   в Неклиновском районе Ростовской области (4 шт.). </t>
  </si>
  <si>
    <t>Установка системы учета для технологического присоединения энергопринимающих устройств Заявителя: Гахраманов Н.Г. Оглы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</si>
  <si>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Дедуль И.А., Бош И.А.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</si>
  <si>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Тихоненко Д.В., Белоусова И.А.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</si>
  <si>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Заявителей: Кузьменко О.В., Саргсян Ж.С., Филиппова Е.Ю., Мамаева И.А., Самойлова И.В., Любомищенко А.Н., Кузьменко О.В.  в Неклиновском районе Ростовской области (7 шт.). </t>
  </si>
  <si>
    <t>Установка системы учета для технологического присоединения энергопринимающих устройств Заявителей: Демченко С.А., Красса С.А.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</si>
  <si>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Крючкова Н.И., Виноградов К.А., Ильина А.Ю., Тищенко В.В.  в Неклиновском районе Ростовской области (4 шт.).</t>
  </si>
  <si>
    <t xml:space="preserve">Установка системы учета для технологического присоединения энергопринимающих устройств Заявителей: Кульпека Н.Е., Левин А.В., Фоменко С.В., Касаткина Т.И.  в Неклиновском районе Ростовской области (4 шт.). </t>
  </si>
  <si>
    <t>Установка системы учета для технологического присоединения энергопринимающих устройств Заявителей: Низов А.В., Антюхин А.Г., Гелдаш А.Г.  в Неклиновском районе Ростовской области (3 шт.).</t>
  </si>
  <si>
    <t>Установка системы учета для технологического присоединения энергопринимающих устройств Заявителя: Дерюга Е.В.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</si>
  <si>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ИП Терзян А.Е., Соловьев ИА.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</si>
  <si>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Синицина Е.А., Судариков С.В., Бенидзе М.А., Тороп А.В.  в Неклиновском районе Ростовской области (4шт.).</t>
  </si>
  <si>
    <t>Установка системы учета для технологического присоединения энергопринимающих устройств Заявителей: Кульпина Н.Н., Савенко О.Г., Кузнецов И.П., Демченко А.С. в Неклиновском районе Ростовской области (4 шт.)</t>
  </si>
  <si>
    <t xml:space="preserve">Установка системы учета для технологического присоединения энергопринимающих устройств Заявителей: ИП Вилонина Е.С., Муравченко А.Ю. в Неклиновском районе Ростовской области (2 шт.) </t>
  </si>
  <si>
    <t xml:space="preserve">Установка системы учета для технологического присоединения энергопринимающих устройств Заявителя: Гребенюк В.Д.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</si>
  <si>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Моисеенко Е.А., Жукова О.М.   в Неклиновском районе Ростовской области (2 шт.). </t>
  </si>
  <si>
    <t xml:space="preserve">Установка системы учета для технологического присоединения энергопринимающих устройств Заявителя: ООО «Базовые Минерал Технологии» в Неклиновском районе Ростовской области (1 шт.). </t>
  </si>
  <si>
    <t>Установка системы учета для технологического присоединения энергопринимающих устройств Заявителя: Бровкин А.Н.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</si>
  <si>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ООО «ВЕСТА-А», Воскун Р.Ю.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</si>
  <si>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Воробьева Л.А., Воропай И.Г., Манташян Н.А., Мищенко С.Л.  в Неклиновском районе Ростовской области (4 шт.).</t>
  </si>
  <si>
    <t>Установка системы учета для технологического присоединения энергопринимающих устройств Заявителей: Дидика Е.В., Раюшкина Е.В., Савицкая Н.В., Амирханян В.С., ИП Ляшова Е.А.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</si>
  <si>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Клюкин М.Н., Захаров М.Б., Волженин А.Ю., Жукова И.М., Бушуева Л.М.  в Неклиновском районе Ростовской области (5 шт.).</t>
  </si>
  <si>
    <t>Установка системы учета для технологического присоединения энергопринимающих устройств Заявителя: Назарян К.М. в Неклиновском районе Ростовской области (1 шт.).</t>
  </si>
  <si>
    <t>Установка системы учета для технологического присоединения энергопринимающих устройств Заявителей: Пушенко А.В., Скрипникова Е.О., Белиба Е.А., ООО «Связь-Информ-Сервис», Алимова И.В., Михайлов В.А., Власенко Д.В.  в Неклиновском районе Ростовской области (7 шт.).</t>
  </si>
  <si>
    <t xml:space="preserve">Установка системы учета для технологического присоединения энергопринимающих устройств Заявителя (Администрация Покровского сельского поселения)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</si>
  <si>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(Администрация Синявского с.п.)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</si>
  <si>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(Бирюкова С.В.)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</si>
  <si>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(Глушко О.Ю.)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</si>
  <si>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(Голотина Л.Н.) в г. Таганрог Ростовской области (1 шт.) </t>
  </si>
  <si>
    <t xml:space="preserve">Установка системы учета для технологического присоединения энергопринимающих устройств Заявителя (Демина О.С.)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</si>
  <si>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(ИП Саркисян Г.Г.)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</si>
  <si>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Костарева Т.А., Фоменко Н.С., Миротин В.В.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</si>
  <si>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Заявителя (Кочергин Г.Б.)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</si>
  <si>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(Курбанов Н.Т.)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</si>
  <si>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(Лысенко А.Б.)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</si>
  <si>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Заявителей: Мамонова Ю.Г.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</si>
  <si>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(Муха А.П.)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</si>
  <si>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(Надолинская И.В.)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</si>
  <si>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(Нарбеков А.А.)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</si>
  <si>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Руденков С.Б.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</si>
  <si>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(Семин Е.Г.)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</si>
  <si>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(Сербин В.Ю.)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</si>
  <si>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(Силюкова К.В.)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</si>
  <si>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(Соснов А.А.)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</si>
  <si>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(Федянина А.Г.)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</si>
  <si>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(Фомин Н.И.)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</si>
  <si>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(Мхоян С.Г.)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</si>
  <si>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(Шишкина С.Е.)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</si>
  <si>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(Шпорт Ю.А.)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</si>
  <si>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(Жилин Е.Е.)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</si>
  <si>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(Конопий С.Ю.) в Неклиновском районе Ростовской области (1 шт.) </t>
  </si>
  <si>
    <t>Установка системы учета для технологического присоединения энергопринимающих устройств Заявителя (Растегаева Е.П.)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</si>
  <si>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(Авакян Н.А.) по адресу: Ростовская область, Неклиновский район,с. Николаевка, ул. Юности, д. 14, к.н. 61:26:0110101:10012 (1 шт.) </t>
  </si>
  <si>
    <t xml:space="preserve">Установка системы учета для технологического присоединения энергопринимающих устройств Заявителя (Алленов В.Ю.) по адресу: Ростовская область, Неклиновский район, с. Новобессергеневка, ул. Морозова, д. 6-А, к.н. 61:26:0600024:2884 (1 шт.) </t>
  </si>
  <si>
    <t xml:space="preserve">Установка системы учета для технологического присоединения энергопринимающих устройств Заявителя (Архипенко А.А.)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</si>
  <si>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(Верещак А.А.) по адресу: Ростовская область, Неклиновский район, с. Боцманово, ул. Седова, д. 23, к.н. 61:26:0070801:189 (1 шт.) </t>
  </si>
  <si>
    <t xml:space="preserve">Установка системы учета для технологического присоединения энергопринимающих устройств Заявителя (Гармаш А.Б.)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</si>
  <si>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(Голощапова Е.С.)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</si>
  <si>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(Жосан В.И.) по адресу: Ростовская область, г. Таганрог, ул. Варданяна, д. 67/пер. Лавровский, д. 6, к.н. 61:58:0006027:811 (1 шт.) </t>
  </si>
  <si>
    <t xml:space="preserve">Установка системы учета для технологического присоединения энергопринимающих устройств Заявителя (ИП Батюльев С.Н.) в городе Таганрог Ростовской области (1 шт.) </t>
  </si>
  <si>
    <t xml:space="preserve">Установка системы учета для технологического присоединения энергопринимающих устройств Заявителя (Казанина И.Ф.) по адресу: Ростовская область, неклиновский район, х. Красный Десант, ул. Чкалова, д. 16, к.н. 61:26:0070101:669 (1 шт.) </t>
  </si>
  <si>
    <t xml:space="preserve">Установка системы учета для технологического присоединения энергопринимающих устройств Заявителя (Кондрашова Д.Н.) по адресу: Ростовская область, неклиновский район, с. Николаевка, ул. Гоголя, д. 34-А, к.н. 61:26:0110101:301 (1 шт.) </t>
  </si>
  <si>
    <t xml:space="preserve">Установка системы учета для технологического присоединения энергопринимающих устройств Заявителя (Кружкова Т.В.) по адресу: Ростовская область, г. Таганрог, ул. Шишкина, д. 16-б, к.н. 61:58:0006027:660 (1 шт.) </t>
  </si>
  <si>
    <t xml:space="preserve">Установка системы учета для технологического присоединения энергопринимающих устройств Заявителя (Лысенко С.А.)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</si>
  <si>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(Лысогорский В.И.) по адресу: Ростовская область, Неклиновский район, х. Русский Колодец, ул. Дзержинского, 63, к.н. 61:26:0070701:335 (1 шт.) </t>
  </si>
  <si>
    <t xml:space="preserve">Установка системы учета для технологического присоединения энергопринимающих устройств Заявителя (Макаров А.Р.) по адресу: Ростовская область, Неклиновский район,с. Николаевка, ул. Юности, д. 22, к.н. 61:26:0110101:2325 (1 шт.) </t>
  </si>
  <si>
    <t xml:space="preserve">Установка системы учета для технологического присоединения энергопринимающих устройств Заявителя (Чуприн В.В.) по адресу: Ростовская область, Неклиновский район, х. Атамановка, ул. Свободы, д. 22, к.н. 61:26:0170201:99 (1 шт.) </t>
  </si>
  <si>
    <t xml:space="preserve">Установка системы учета для технологического присоединения энергопринимающих устройств Заявителя (Антоненко С.Н.) по адресу: Ростовская область, Неклиновский район, с. Боцманово, ул. Седова, д. 24, к.н. 61:26:0070801:188 (1 шт.) </t>
  </si>
  <si>
    <t xml:space="preserve">Установка системы учета для технологического присоединения энергопринимающих устройств Заявителя (Данильченко С.А.) по адресу: Ростовская область, Неклиновский район, с. Большая Неклиновка, ул. Школьная, д. 105, к.н. 61:26:0130101:229 (1 шт.) </t>
  </si>
  <si>
    <t xml:space="preserve">Установка системы учета для технологического присоединения энергопринимающих устройств Заявителя (Казанцев Ю.С.) по адресу: Ростовская область, Неклиновский район, с. Боцманово, ул. Красного Десанта, д. 52-А, к.н. 61:26:0070801:2314 (1 шт.) </t>
  </si>
  <si>
    <t>Установка системы учета для технологического присоединения энергопринимающих устройств Заявителя (Бендеберя А.А.) по адресу: Ростовская область, Неклиновский район, с. Николаевка, ул. Юности, д. 3, к.н. 61:26:0110101:446 (1 шт.)</t>
  </si>
  <si>
    <t>Установка системы учета для технологического присоединения энергопринимающих устройств Заявителя (Бибич Л.М.) по адресу: Ростовская область, Неклиновский район, с. Петрушино, ул. Заводская, д. 1-д, к.н. 61:26:0180201:3952 (1 шт.)</t>
  </si>
  <si>
    <t>Установка системы учета для технологического присоединения энергопринимающих устройств Заявителя (Бородин С.В.) по адресу: Ростовская область, Неклиновский район, с. Николаевка, ул. Парковая, д. 91, к.н. 61:26:0110101:1105 (1 шт.)</t>
  </si>
  <si>
    <t>Установка системы учета для технологического присоединения энергопринимающих устройств Заявителя (Калинина Д.Г.) по адресу: Ростовская область, Неклиновский район, с. Покровское, ул. Маяковского, д. 20, к.н. 61:26:0050112:6 (1 шт.)</t>
  </si>
  <si>
    <t>Установка системы учета для технологического присоединения энергопринимающих устройств Заявителя (Сергеева Л.А.) по адресу: Ростовская область, Неклиновский район, х. Красный Десант, ул. Степная, д. 27, к.н. 61:26:0070101:268 (1 шт.)</t>
  </si>
  <si>
    <t>Установка системы учета для технологического присоединения энергопринимающих устройств Заявителя (Лахман Л.В.) по адресу: Ростовская область, Неклиновский р-н, х. Красный Десант, ул. Чкалова, д. 17, к.н. 61:26:0070101:684 (1 шт.)</t>
  </si>
  <si>
    <t>Установка системы учета для технологического присоединения энергопринимающих устройств Заявителя (ИП Атоян Л.С.) по адресу: Ростовская область, Неклиновский район, с. Покровское, ул. Ленина, д. 280, этаж №1, к.н. 61:26:0050124:182 (1 шт.)</t>
  </si>
  <si>
    <t>Установка системы учета для технологического присоединения энергопринимающих устройств Заявителя (ИП Дергачева Н.И.) по адресу: Ростовская область, Неклиновский район, с. Покровское, ул. Привокзальная, д. 108-Д, к.н. 61:26:0050139:226 (1 шт.)</t>
  </si>
  <si>
    <t>Установка системы учета для технологического присоединения энергопринимающих устройств Заявителя (Покашкина Л.О.) по адресу: Ростовская область, Неклиновский район, с. Новобессергеневка, ул. Горького, д. 1-е, к.н. 61:26:0180101:4715 (1 шт.)</t>
  </si>
  <si>
    <t>Установка системы учета для технологического присоединения энергопринимающих устройств Заявителя (Коваленко Н.А.) по адресу: Ростовская область, Неклиновский район, с. Покровское, пер. Горный, д. 45, к.н. 61:26:0050137:269 (1 шт.)</t>
  </si>
  <si>
    <t>Установка системы учета для технологического присоединения энергопринимающих устройств Заявителя (Кострик В.В.) по адресу: Ростовская область, Неклиновский район, с. Кошкино, ул. Береговая, д. 68-а, к.н. 61:26:0010301:15 (1 шт.)</t>
  </si>
  <si>
    <t>Установка системы учета для технологического присоединения энергопринимающих устройств Заявителя (Литвиненко Г.М.) по адресу: Ростовская область, Неклиновский район, с. Николаевка, ул. Ленина, д. 384, к.н. 61:26:0110101:6875 (1 шт.)</t>
  </si>
  <si>
    <t>Установка системы учета для технологического присоединения энергопринимающих устройств Заявителя (Меркульева Т.А.) по адресу: Ростовская область, Неклиновский район, с. Александрова Коса, ул. Набережная, д. 4-А, к.н. 61:26:0180601:1223 (1 шт.)</t>
  </si>
  <si>
    <t>Установка системы учета для технологического присоединения энергопринимающих устройств Заявителя (Лопатин А.Н.) по адресу: Ростовская область, Неклиновский район, х. Дарагановка, ул. Спортивная, д. 38, к.н. 61:26:0180701:438 (1 шт.)</t>
  </si>
  <si>
    <t>Установка системы учета для технологического присоединения энергопринимающих устройств Заявителя (Татаров М.Б.) по адресу: Ростовская область, Неклиновский район, с. Новобессергеневка, ул. Лескова, д. 30, к.н. 61:26:0600024:821 (1 шт.)</t>
  </si>
  <si>
    <t>Установка системы учета для технологического присоединения энергопринимающих устройств Заявителя (Зайцева В.А.) по адресу: Ростовская область, Неклиновский район, с. Русская Слободка, ул. Октябрьская, д. 103, к.н. 61:26:0070201:995 (1 шт.)</t>
  </si>
  <si>
    <t>Установка системы учета для технологического присоединения энергопринимающих устройств Заявителя (Савченко С.А.) по адресу: Ростовская область, Неклиновский район, с. Троицкое, ул. Новая, д. 53-А, к.н. 61:26:0010101:1380 (1 шт.)</t>
  </si>
  <si>
    <t>Установка системы учета для технологического присоединения энергопринимающих устройств Заявителя (Ерохин А.А.) по адресу: Ростовская область, Неклиновский район, с. Покровское, ул. О.Кошевого, д. 22/2, к.н. 61:26:0050137:1943 (1 шт.)</t>
  </si>
  <si>
    <t xml:space="preserve">Установка системы учета для технологического присоединения энергопринимающих устройств Заявителя (Клименко О.С.) по адресу: Ростовская область, Неклиновский район, с. Новобессергеневка, ул. Садовая, д. 71, к.н. 61:26:0180101:2120 (1 шт.) </t>
  </si>
  <si>
    <t>Установка системы учета для технологического присоединения энергопринимающих устройств Заявителя (Харитонов А.Ю.) по адресу: Ростовская область, Неклиновский район, х. Рожок, ул. Южная, д. 8, к.н. 61:26:0100401:151 (1 шт.)</t>
  </si>
  <si>
    <t>Установка системы учета для технологического присоединения энергопринимающих устройств Заявителя (ИП Григорян А.Л.) по адресу: Ростовская область, Неклиновский район, с. Николаевка, ул. Ленина, д. 309-ш, к.н. 61:26:0513501:58 (1 шт.)</t>
  </si>
  <si>
    <t>Установка системы учета для технологического присоединения энергопринимающих устройств Заявителя (Серенко П.Г.) по адресу: Ростовская область, Неклиновский район, п. Комаровка, ул. Советская, д. 1-Б, к.н. 61:26:0180301:902 (1 шт.)</t>
  </si>
  <si>
    <t>Установка системы учета для технологического присоединения энергопринимающих устройств Заявителя (Еворенко Е.Г.) по адресу: Ростовская область, Неклиновский район, с. Троицкое, ул. Кавказкая, д. 76, к.н. 61:26:0010101:1061 (1 шт.)</t>
  </si>
  <si>
    <t>Установка системы учета для технологического присоединения энергопринимающих устройств Заявителя (Лебедев Ю.И.) по адресу: Ростовская область, Неклиновский район, х. Мержаново, пер. 7-й Комсомольский, д. 8, к.н. 61:26:0060301:329 (1 шт.)</t>
  </si>
  <si>
    <t>Установка системы учета для технологического присоединения энергопринимающих устройств Заявителя (Старенко О.Ф.) по адресу: Ростовская область, Неклиновский район, с. Александрова Коса, ул. Набережная, д. 53-А, к.н. 61:26:0180601:1643 (1 шт.)</t>
  </si>
  <si>
    <t>Установка системы учета для технологического присоединения энергопринимающих устройств Заявителя (Омельчук О.Е.) по адресу: Ростовская область, Неклиновский район, с. Покровское, ул. Цветочная,       д. 31, к.н. 61:26:0050114:660 (1 шт.).</t>
  </si>
  <si>
    <t>Установка системы учета для технологического присоединения энергопринимающих устройств Заявителя (ИП Алексеенко Д.В.) по адресу: Ростовская область, Неклиновский район, с. Покровское, пер. 1-й Проезд, д. 1, к.н. 61:26:0050114:865 (1 шт.)</t>
  </si>
  <si>
    <t>Установка системы учета для технологического присоединения энергопринимающих устройств Заявителя (Карпенко О.В.) по адресу: Ростовская область, Неклиновский район, с. Золотарево, ул. Лиманная, д. 82, к.н. 61:26:0090301:25 (1 шт.)</t>
  </si>
  <si>
    <t>Установка системы учета для технологического присоединения энергопринимающих устройств Заявителя (Концевенко Д.А.) по адресу: Ростовская область, Неклиновский район, с. Лакедемоновка, ул. Зречная, д. 14, к.н. 61:26:0160101:527 (1 шт.)</t>
  </si>
  <si>
    <t>Установка системы учета для технологического присоединения энергопринимающих устройств Заявителя (Кравченко Л.В.) по адресу: Ростовская область, Неклиновский район, с. Покровское, пер. Транспортный, д. 19, к.н. 61:26:0050135:78 (1 шт.)</t>
  </si>
  <si>
    <t>Установка системы учета для технологического присоединения энергопринимающих устройств Заявителя (Буш Н.Н.) по адресу: Ростовская область, Неклиновский район, с. Вареновка, ул. Садовая, д. 20, к.н. 61:26:0040101:777 (1 шт.)</t>
  </si>
  <si>
    <t>Установка системы учета для технологического присоединения энергопринимающих устройств Заявителя (ИП Тараненко А.В.) по адресу: Ростовская область, Неклиновский район, с. Самбек, ул. Кооперативная, д. 100, к.н. 61:26:0020101:143 (1 шт.)</t>
  </si>
  <si>
    <t>Установка системы учета для технологического присоединения энергопринимающих устройств Заявителей: ИП Пудеян В.Х., ИП Иванов П.Г., в г.Таганроге Ростовской области (2 шт)</t>
  </si>
  <si>
    <t>Установка системы учета для технологического присоединения энергопринимающих устройств Заявителей: ПАО «МТС», Соколова Ю.О. в г. Таганроге, Ростовской области (2 шт)</t>
  </si>
  <si>
    <t>Установка системы учета для технологического присоединения энергопринимающих устройств Заявителей: Донченко О.Н.,   Мишекин А.А. в г. Таганроге, Ростовской области (2 шт)</t>
  </si>
  <si>
    <t>Установка системы учета для технологического присоединения энергопринимающих устройств Заявителя: ИП Шевцов А.В. в г.Таганроге, Ростовской области (1 шт)</t>
  </si>
  <si>
    <t>Установка системы учета для технологического присоединения энергопринимающих устройств Заявителей: Савин К.К. в г. Таганроге, Ростовской области (1 шт)</t>
  </si>
  <si>
    <t>Установка системы учета для технологического присоединения энергопринимающих устройств Заявителя: Мирошниченко Л.К. в г. Таганроге, Ростовской области (1 шт)</t>
  </si>
  <si>
    <t>Установка системы учета для технологического присоединения энергопринимающих устройств Заявителей: Крючек О.Б. в г. Таганроге, Ростовской области (1 шт)</t>
  </si>
  <si>
    <t>Установка системы учета для технологического присоединения энергопринимающих устройств Заявителей: ИП Пропастина Т.А. в г. Таганроге, Ростовской области (1 шт)</t>
  </si>
  <si>
    <t>Установка системы учета для технологического присоединения энергопринимающих устройств Заявителей: Шкута И.А. в г. Таганроге, Ростовской области (1 шт)</t>
  </si>
  <si>
    <t>Установка системы учета для технологического присоединения энергопринимающих устройств Заявителя: Дыба Л.Д. в г. Таганроге, Ростовской области (1 шт)</t>
  </si>
  <si>
    <t>Установка системы учета для технологического присоединения энергопринимающих устройств Заявителя: ИП Думик Ю.А. в г. Таганроге, Ростовской области (1 шт)</t>
  </si>
  <si>
    <t>Установка системы учета для технологического присоединения энергопринимающих устройств Заявителей: Давтян А.К. в г. Таганроге, Ростовской области (1 шт)</t>
  </si>
  <si>
    <t>Установка системы учета для технологического присоединения энергопринимающих устройств Заявителя: Мамченко А.Н. в г. Таганроге, Ростовской области (1 шт)</t>
  </si>
  <si>
    <t>Установка системы учета для технологического присоединения энергопринимающих устройств Заявителя: ИП Лядов К.Е. в г. Таганроге, Ростовской области (1 шт</t>
  </si>
  <si>
    <t>Установка системы учета для технологического присоединения энергопринимающих устройств Заявителя: Черняков С.В. в г. Таганроге, Ростовской области (1 шт)</t>
  </si>
  <si>
    <t>Установка системы учета для технологического присоединения энергопринимающих устройств Заявителя: Филимонов Д.В. в г. Таганроге, Ростовской области (1 шт)</t>
  </si>
  <si>
    <t>Установка системы учета для технологического присоединения энергопринимающих устройств Заявителя: Бондаренко А.А. в г. Таганроге, Ростовской области (1 шт)</t>
  </si>
  <si>
    <t>Установка системы учета для технологического присоединения энергопринимающих устройств Заявителя: ООО «СТРОЙМОНТАЖСЕРВИС-ЮГ» в г. Таганроге, Ростовской области (1 шт)</t>
  </si>
  <si>
    <t>Установка системы учета для технологического присоединения энергопринимающих устройств Заявителей: Кузьменко О.В. в г. Таганроге, Ростовской области (1 шт)</t>
  </si>
  <si>
    <t>Установка системы учета для технологического присоединения энергопринимающих устройств Заявителя: ИП Лукина К.С. в г. Таганроге, Ростовской области (1 шт)</t>
  </si>
  <si>
    <t>Установка системы учета для технологического присоединения энергопринимающих устройств Заявителя: Белый А.В. в г. Таганроге, Ростовской области (1 шт)</t>
  </si>
  <si>
    <t>Установка системы учета для технологического присоединения энергопринимающих устройств Заявителя: Андреенко Е.А. в г. Таганроге, Ростовской области (1 шт)</t>
  </si>
  <si>
    <t>Установка системы учета для технологического присоединения энергопринимающих устройств Заявителя: Пятопал Е.Е. в г. Таганроге, Ростовской области (1 шт)</t>
  </si>
  <si>
    <t>Установка системы учета для технологического присоединения энергопринимающих устройств Заявителей: Шапарчук В.П. в г. Таганроге, Ростовской области (1 шт)</t>
  </si>
  <si>
    <t>Установка системы учета для технологического присоединения энергопринимающих устройств Заявителя: Савчук М.И. в г. Таганроге, Ростовской области (1 шт)</t>
  </si>
  <si>
    <t>Установка системы учета для технологического присоединения энергопринимающих устройств Заявителя: Степаненко Д.Е. в г. Таганроге, Ростовской области (1 шт)</t>
  </si>
  <si>
    <t>Установка системы учета для технологического присоединения энергопринимающих устройств Заявителя: ООО «ПраймТелекомЮг» в г. Таганроге ул. 4-я Линия, 111, Ростовской области (1 шт)</t>
  </si>
  <si>
    <t>Установка системы учета для технологического присоединения энергопринимающих устройств Заявителя: ООО «ПраймТелекомЮг» в г. Таганроге ул. Л. Чайкиной, 42, Ростовской области (1 шт)</t>
  </si>
  <si>
    <t>Установка системы учета для технологического присоединения энергопринимающих устройств Заявителя: Морозова А.В. в г. Таганроге, Ростовской области (1 шт)</t>
  </si>
  <si>
    <t>Установка системы учета для технологического присоединения энергопринимающих устройств Заявителя: ИП Ярызько С.А. в г. Таганроге, Ростовской области (1 шт)</t>
  </si>
  <si>
    <t>Установка системы учета для технологического присоединения энергопринимающих устройств Заявителей: ИП Шумейко О.В. в г. Таганроге, Ростовской области (1 шт)</t>
  </si>
  <si>
    <t>Установка системы учета для технологического присоединения энергопринимающих устройств Заявителя: Зуев А.В. в г. Таганроге, Ростовской области (1 шт)</t>
  </si>
  <si>
    <t>Установка системы учета для технологического присоединения энергопринимающих устройств Заявителя: Синяев А.В. в г. Таганроге, Ростовской области (1 шт)</t>
  </si>
  <si>
    <t>Установка системы учета для технологического присоединения энергопринимающих устройств Заявителя: Минченко Л.В. в г. Таганроге, Ростовской области (1 шт)</t>
  </si>
  <si>
    <t>Установка системы учета для технологического присоединения энергопринимающих устройств Заявителя: Филонова Д.Б. в г. Таганроге, Ростовской области (1 шт)</t>
  </si>
  <si>
    <t>Установка системы учета для технологического присоединения энергопринимающих устройств Заявителей: Николенко С.А. в г. Таганроге, Ростовской области (1 шт)</t>
  </si>
  <si>
    <t>Установка системы учета для технологического присоединения энергопринимающих устройств Заявителей: Литвиненко М.В. в г. Таганроге, Ростовской области (1 шт)</t>
  </si>
  <si>
    <t>Установка системы учета для технологического присоединения энергопринимающих устройств Заявителей: Жиляков В.И. в г. Таганроге, Ростовской области (1 шт)</t>
  </si>
  <si>
    <t>Установка системы учета для технологического присоединения энергопринимающих устройств Заявителей: Носова И.В. в г. Таганроге, Ростовской области (1 шт)</t>
  </si>
  <si>
    <t>Установка системы учета для технологического присоединения энергопринимающих устройств Заявителей: Гончарук И.Р. в г. Таганроге, Ростовской области (1 шт)</t>
  </si>
  <si>
    <t>Установка системы учета для технологического присоединения энергопринимающих устройств Заявителя: Зыбарев А.П. в г. Таганроге, Ростовской области (1 шт)</t>
  </si>
  <si>
    <t>Установка системы учета для технологического присоединения энергопринимающих устройств Заявителя: ООО "ГЕРМЕС-ТЕЛЕКОМ" в г. Таганроге, Ростовской области (1 шт)</t>
  </si>
  <si>
    <t>Установка системы учета для технологического присоединения энергопринимающих устройств Заявителей: Лаптев И.Н. в г. Таганроге, Ростовской области (1 шт)</t>
  </si>
  <si>
    <t>Установка системы учета для технологического присоединения энергопринимающих устройств Заявителя: ООО «ЛУКОЙЛ-Югнефтепродукт» в г. Таганроге, Ростовской области (1 шт)</t>
  </si>
  <si>
    <t>Установка системы учета для технологического присоединения энергопринимающих устройств Заявителя: Яновская Анна Романовна
в г. Таганроге, Ростовской области (1 шт)</t>
  </si>
  <si>
    <t>Установка системы учета для технологического присоединения энергопринимающих устройств Заявителя: Караваев Владимир Валентинович в г. Таганроге, Ростовской области (1 шт)</t>
  </si>
  <si>
    <t>Установка системы учета для технологического присоединения энергопринимающих устройств Заявителя: Проскурин Виталий Юрьевич
в г. Таганроге, Ростовской области (1 шт)</t>
  </si>
  <si>
    <t>Установка системы учета для технологического присоединения энергопринимающих устройств Заявителя: Башмаков Михаил Станиславович
в г. Таганроге, Ростовской области (1 шт)</t>
  </si>
  <si>
    <t>Установка системы учета для технологического присоединения энергопринимающих устройств Заявителя: Индивидуальный предприниматель Думик Юрий Анатольевич в г. Таганроге, Ростовской области (1 шт)</t>
  </si>
  <si>
    <t>Установка системы учета для технологического присоединения энергопринимающих устройств Заявителей: ООО «ГЕРМЕС-ТЕЛЕКОМ», Ростовской области (1 шт)</t>
  </si>
  <si>
    <t>Установка системы учета для технологического присоединения энергопринимающих устройств Заявителей: Кубраковский Н.Н. в г.Таганроге, Ростовской области (1 шт)</t>
  </si>
  <si>
    <t>Установка системы учета для технологического присоединения энергопринимающих устройств Заявителей: Шевчук Л.Н.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</si>
  <si>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(Договор №61-1-21-00613011 от 24.11.2021) в г. Таганрог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</si>
  <si>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</si>
  <si>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61-1-21-00611491 от 30.03.2022г.),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</si>
  <si>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№61-1-21-00613009 от 24.11.2021) в г. Таганрог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</si>
  <si>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№61-1-21-00614407 от 29.11.2021) в г. Таганрог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</si>
  <si>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№61-1-21-00615585 от 08.12.2021),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</si>
  <si>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№61-1-21-00615643 от 08.12.2021), в г. Таганроге Ростовской области (1 шт)</t>
  </si>
  <si>
    <t>Установка системы учета для технологического присоединения энергопринимающих устройств Заявителей: ИП Иванова В.Ю., в г. Таганроге, Ростовской области (1 шт)</t>
  </si>
  <si>
    <t>Установка системы учета для технологического присоединения энергопринимающих устройств Заявителей: Андрейченко Н.П., Ростовской области (1 шт)</t>
  </si>
  <si>
    <t>Установка системы учета для технологического присоединения энергопринимающих устройств Заявителей: Дымковская Н.Н., Ростовской области (1 шт)</t>
  </si>
  <si>
    <t>Установка системы учета для технологического присоединения энергопринимающих устройств Заявителей: Дытченков Н.П. Ростовской области (1 шт)</t>
  </si>
  <si>
    <t>Установка системы учета для технологического присоединения энергопринимающих устройств Заявителей: Запорожан А.В. в г. Таганроге, Ростовской области (1 шт)</t>
  </si>
  <si>
    <t>Установка системы учета для технологического присоединения энергопринимающих устройств Заявителей: ИП Ларина И.А., Ростовской области (1 шт)</t>
  </si>
  <si>
    <t>Установка системы учета для технологического присоединения энергопринимающих устройств Заявителей: ИП Уразгильдеев И.Ф. Ростовской области (1 шт)</t>
  </si>
  <si>
    <t>Установка системы учета для технологического присоединения энергопринимающих устройств Заявителя: Климков Дмитрий Александрович в г. Таганроге, Ростовской области (1 шт)</t>
  </si>
  <si>
    <t>Установка системы учета для технологического присоединения энергопринимающих устройств Заявителей: ПАО «Мобильные ТелеСистемы» г. Таганрог, ул. Ветренная, 45, Ростовской области (1 шт)</t>
  </si>
  <si>
    <t>Установка системы учета для технологического присоединения энергопринимающих устройств Заявителей: ПАО «Мобильные ТелеСистемы» г. Таганрог, пер. Красный, 26,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</si>
  <si>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остановка Площадь Восстания, г. Таганрог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</si>
  <si>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№61-1-21-00588055)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</si>
  <si>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№61-1-21-00588103 от 26.07.2021 г. Таганрог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</si>
  <si>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№61-1-21-00588109)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</si>
  <si>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№61-1-21-00588111 от 26.07.2021 г. Таганрог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</si>
  <si>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№61-1-21-00588371от 26.07.2021 г. Таганрог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</si>
  <si>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№61-1-21-00588373)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</si>
  <si>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№61-1-21-00588375)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</si>
  <si>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№61-1-21-00588419)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</si>
  <si>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Ростовской области (договор №61-1-21-00588437) (1 шт)</t>
  </si>
  <si>
    <t>Установка системы учета для технологического присоединения энергопринимающих устройств Заявителя: Антипов А.А. в г. Таганроге, Ростовской области (1 шт)</t>
  </si>
  <si>
    <t>Установка системы учета для технологического присоединения энергопринимающих устройств Заявителя: Апресян Елена Александровна в г. Таганроге, Ростовской области (1 шт)</t>
  </si>
  <si>
    <t>Установка системы учета для технологического присоединения энергопринимающих устройств Заявителя: Иванов Вадим Владимирович в г. Таганроге, Ростовской области (1 шт)</t>
  </si>
  <si>
    <t>Установка системы учета для технологического присоединения энергопринимающих устройств Заявителей: Кошарный А.И. в г. Таганроге, Ростовской области (1 шт)</t>
  </si>
  <si>
    <t>Установка системы учета для технологического присоединения энергопринимающих устройств Заявителя: Шутова В.А. в г. Таганроге, Ростовской области (1 шт)</t>
  </si>
  <si>
    <t>Установка системы учета для технологического присоединения энергопринимающих устройств Заявителей: Слюченко А.В. в г. Таганроге, Ростовской области (1 шт)</t>
  </si>
  <si>
    <t xml:space="preserve">Установка системы учета для технологического присоединения энергопринимающих устройств Заявителя (Беликов А.Е) по адресу: Ростовская область, г. Таганрог, ул. Энергетическая, д. 173, к.н. 61:58:0008072:159 (1 шт.) </t>
  </si>
  <si>
    <t>Установка системы учета для технологического присоединения энергопринимающих устройств Заявителей: Иванов В.М. в г. Таганроге, Ростовской области (1 шт)</t>
  </si>
  <si>
    <t xml:space="preserve">Установка системы учета для технологического присоединения энергопринимающих устройств Заявителя (ИП Акименко В.В.) по адресу: Ростовская область, г. Таганрог, ул. Петровская, д. 88, к.н. 61:58:0001131:9 
(1 шт.) </t>
  </si>
  <si>
    <t>Установка системы учета для технологического присоединения энергопринимающих устройств Заявителей: Манджаари К.Р. в г. Таганроге, Ростовской области (1 шт)</t>
  </si>
  <si>
    <t xml:space="preserve">Установка системы учета для технологического присоединения энергопринимающих устройств Заявителя (Швецова Г.С.) по адресу: Ростовская область, г. Таганрог, ул. Тургеневский, д. 4, к.н. 61:58:0001096:332 (1 шт.) </t>
  </si>
  <si>
    <t xml:space="preserve">Установка системы учета для технологического присоединения энергопринимающих устройств Заявителя (ООО «Южный берег» по адресу: Ростовская область, г. Таганрог, ул. Ленинградская, д. 43, к.н. 61:58:0002272:173 (1 шт.) </t>
  </si>
  <si>
    <t>Установка системы учета для технологического присоединения энергопринимающих устройств Заявителя (Запорожцев И.С.) по адресу: Ростовская область, г.Таганрог, ул. Щаденко д. 43, к.н.: 61:58:0003387:28  (1 шт.)</t>
  </si>
  <si>
    <t>Установка системы учета для технологического присоединения энергопринимающих устройств Заявителя (Колесникова В.Н.) по адресу: Ростовская область, г. Таганрог, ул. Мало-Набережная, д. 61, к.н. 61:58:0003015:225 (1 шт.)</t>
  </si>
  <si>
    <t>Установка системы учета для технологического присоединения энергопринимающих устройств Заявителя (Лагутин Д.В.) по адресу: Ростовская область, г. Таганрога,  ул. 21-й Переулок/ул. Александровская, д. 27/212, кв. 10, 11, 12 к.н.: 61:58:0002203:66 (1 шт.)</t>
  </si>
  <si>
    <t>Установка системы учета для технологического присоединения энергопринимающих устройств Заявителя (Голов М.Е.) по адресу: Ростовская область, г. Таганрог,  ул. Доменская, д.25, к.н. 61:58:0003056:42 
(1 шт.)</t>
  </si>
  <si>
    <t>Установка системы учета для технологического присоединения энергопринимающих устройств Заявителя (ИП Анцыбор И.Н.)  по адресу: Ростовская область, г. Таганрог, ул. Петровская, д. 69/ пер. Антона Глушко д.6, к.н. 61:58:0001128:0:6/1(1 шт.)</t>
  </si>
  <si>
    <t>Установка системы учета для технологического присоединения энергопринимающих устройств Заявителя (ИП Бареян Г.Р.) по адресу: Ростовская область, г. Таганрог, ул. Вишневая, д. 15-1, к.н. 61:58:0005274:3007 (1 шт.)</t>
  </si>
  <si>
    <t>Установка системы учета для технологического присоединения энергопринимающих устройств Заявителя (ИП Жидков О.М.) по адресу: Ростовская область, г. Таганрог, пер. Некрасовский, д. 9-а, (1 шт.)</t>
  </si>
  <si>
    <t>Установка системы учета для технологического присоединения энергопринимающих устройств Заявителя (Мардахаев А.З.) по адресу: Ростовская область, г. Таганрог, пер. 23-й, д. 24, к.н. 61:58:0002219:3 (1 шт.)</t>
  </si>
  <si>
    <t>Установка системы учета для технологического присоединения энергопринимающих устройств Заявителя (Сушкин Н.А.) по адресу: Ростовская область, г. Таганрог, пер. 7-й Новый, д. 100-5, к.н. 61:58:0004479:85 (1 шт.)</t>
  </si>
  <si>
    <t>Установка системы учета для технологического присоединения энергопринимающих устройств Заявителя (Миков В.М.) по адресу: Ростовская область, г. Таганрог, ул. Шмидта/пер. Добролюбовский, д. 21/1, кв. 4, к.н.61:58:0001053:216 (1 шт.)</t>
  </si>
  <si>
    <t>Установка системы учета для технологического присоединения энергопринимающих устройств Заявителя (МКУ «Благоустройство») по адресу: Ростовская область, г. Таганрог, ул. М. Жукова, д.2-б , к.н. 61:58:0000000:45625 (1 шт.)</t>
  </si>
  <si>
    <t>Установка системы учета для технологического присоединения энергопринимающих устройств Заявителя (МУП «Городское хозяйство») по адресу: Ростовская область, г. Таганрог, ул. Петровская, д. 104 (1 шт.)</t>
  </si>
  <si>
    <t>Установка системы учета для технологического присоединения энергопринимающих устройств Заявителя (Тисленко А.В.) по адресу: Ростовская область, г. Таганрог, ул. Р. Люксембург, д. 32, к.н. 61:58:0001076:160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</si>
  <si>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№61-1-21-00615693 от 08.12.2021), в г. Таганроре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</si>
  <si>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№61-1-21-00615697 от 08.12.2021), в г. Таганроге Ростовской области (1 шт)</t>
  </si>
  <si>
    <t>Установка системы учета для технологического присоединения энергопринимающих устройств Заявителя (ИП Андреев А.М..) по адресу: Ростовская область, г. Таганрог, пер. 7-й Новый, д.83-1, к.н. 61:58:0004447:48 (1 шт.)</t>
  </si>
  <si>
    <t>Установка системы учета для технологического присоединения энергопринимающих устройств Заявителя (ИП Андреев А.М..) по адресу: Ростовская область, г. Таганрог, Поляковское шоссе, д.15-д, к.н. 61:58:0002500:279 (1 шт.)</t>
  </si>
  <si>
    <t>Установка системы учета для технологического присоединения энергопринимающих устройств Заявителя (ИП Шелестов Н.Ю.) по адресу: Ростовская область, г. Таганрог, пер. 1-й Новый, д.8, к.н. 61:58:0004469:59 (1 шт.)</t>
  </si>
  <si>
    <t>Установка системы учета для технологического присоединения энергопринимающих устройств Заявителя (Лисовенко С.А.) по адресу: Ростовская область, г. Таганрог, пер. 7-й Мариупольский, д.18, к.н. 61:58:0005219:11 (1 шт.)</t>
  </si>
  <si>
    <t>Установка системы учета для технологического присоединения энергопринимающих устройств Заявителя Мирзоева Е.С. в г.Таганроге, Ростовской области, ул. Вокзальная/Садовая, д. 39/2, к.н. 61:58:0004230:53
 (1 шт)</t>
  </si>
  <si>
    <t>Установка системы учета для технологического присоединения энергопринимающих устройств Заявителя (Морозов Г.А.) по адресу: Ростовская область, г. Таганрог, шс. Мариупольское, 15/а, к.н. 61:58:0005270:2836 (1 шт.)</t>
  </si>
  <si>
    <t>Установка системы учета для технологического присоединения энергопринимающих устройств Заявителя (Сычева Г.М..) по адресу: Ростовская область, г. Таганрог, ул. Дачная, д.134, к.н. 61:58:0004459:23 (1 шт.)</t>
  </si>
  <si>
    <t>Установка системы учета для технологического присоединения энергопринимающих устройств Заявителя (Чепурнова Е.В.) по адресу: Ростовская область, г. Таганрог, ул. Щаденко, д. 19-б к.н. 61:58:0003388:341 (1 шт.)</t>
  </si>
  <si>
    <t>Установка системы учета для технологического присоединения энергопринимающих устройств Заявителя (Колчина А.В.) по адресу: Ростовская область, г. Таганрог, ул. Р. Люксембург, д.264-а, к.н. 61:58:0005006:72 (1 шт.)</t>
  </si>
  <si>
    <t>Установка системы учета для технологического присоединения энергопринимающих устройств Заявителя (Скалиух А.П.) по адресу: Ростовская область, г. Таганрог, ул. 3-я Линия, д.169, к.н. 61:58:0004182:33 (1 шт.)</t>
  </si>
  <si>
    <t>Установка системы учета для технологического присоединения энергопринимающих устройств Заявителя (Архипенко А.А..) по адресу: Ростовская область, г. Таганрог, ул. Чехова, д. 121, к.н. 61:58:0001138:205 (1 шт.)</t>
  </si>
  <si>
    <t>Установка системы учета для технологического присоединения энергопринимающих устройств Заявителя (Севиян В.Х.) по адресу: Ростовская область, г. Таганрог, ул. Чехова, к.н. 61:58:0002316:285 (1 шт.)</t>
  </si>
  <si>
    <t xml:space="preserve">Установка системы учета для технологического присоединения энергопринимающих устройств Заявителя (Гуров А.Б.) по адресу: Ростовская область, г. Таганрог, ул. Больничная, д.13 (1 шт.) </t>
  </si>
  <si>
    <t>Установка системы учета для технологического присоединения энергопринимающих устройств Заявителя (Савинова Н.Г.) по адресу: Ростовская область, г. Таганрог, ул. Ватутина, д.2-б, к.н: 61:58:0005011:52 
(1 шт.)</t>
  </si>
  <si>
    <t>Установка системы учета для технологического присоединения энергопринимающих устройств Заявителя (Черная М.Д.) по адресу: Ростовская область, г. Таганрог, ул. Шевченко, д.36-в, к.н: 61:58:0001019:3
 (1 шт.)</t>
  </si>
  <si>
    <t>Установка системы учета для технологического присоединения энергопринимающих устройств Заявителя (ИП Албатова Е.Н.) по адресу: Ростовская область, г. Таганрог, ул. Морозова, д.11, к.н.: 61:58:0003279:1225 (1 шт.)</t>
  </si>
  <si>
    <t>Установка системы учета для технологического присоединения энергопринимающих устройств Заявителя (Халилов Т.В.о) по адресу: Ростовская область, г. Таганрог, ул. М. Жукова, д.2-б, к.н: 61:58:0004349:2253 (1 шт.)</t>
  </si>
  <si>
    <t>Установка системы учета для технологического присоединения энергопринимающих устройств Заявителя (Имамвердиев Э.М.о.) по адресу: Ростовская область, г. Таганрог, ул. Ломоносова, д.55, помещение №46а,63, 63а, 66-68, 70, 71, 73-76, 86, к.н. 61:58:0005138:1165 (1 шт.)</t>
  </si>
  <si>
    <t>Установка системы учета для технологического присоединения энергопринимающих устройств Заявителя (Быкадоров А.А.) по адресу: Ростовская область, г. Таганрог, пер. Каркасный, д. 9 а, к.н 61:58:0000000:8926 (1 шт.)</t>
  </si>
  <si>
    <t>Установка системы учета для технологического присоединения энергопринимающих устройств Заявителя (ИП Марков И.В.)  по адресу: Ростовская область, г. Таганрог, ул. Театральная, д. 43, к.н 61:58:0005278:8 
(1 шт.)</t>
  </si>
  <si>
    <t>Установка системы учета для технологического присоединения энергопринимающих устройств Заявителя (ИП Ткаченко П.В.) по адресу: Ростовская область, г. Таганрог, ул. С. Шило, д.167-3, 61:58:0005011:680
 (1 шт.)</t>
  </si>
  <si>
    <t>Установка системы учета для технологического присоединения энергопринимающих устройств Заявителя (ИП Самохвалов Д.В.)  по адресу: Ростовская область, г. Таганрог, пл. Северная, д. 3-2, к.н. 61:58:0002234:252 (1 шт.)</t>
  </si>
  <si>
    <t>Установка системы учета для технологического присоединения энергопринимающих устройств Заявителя (Кудашева Е.А.)  по адресу: Ростовская область, г. Таганрог, пер. 4-й Новый, к.н. 61:58:0004036:84 
(1 шт.)</t>
  </si>
  <si>
    <t>Установка системы учета для технологического присоединения энергопринимающих устройств Заявителя (Ларина И.А.) по адресу: Ростовская область, г. Таганрог, ул. Морозова, д.25, к.н. 61:58:0003484:003:3-428-7/А:1/58828 (1 шт.)</t>
  </si>
  <si>
    <t>Установка системы учета для технологического присоединения энергопринимающих устройств Заявителя (Автономная некоммерческая организация по предоставлению социально-культурных услуг «Луч Надежды» по адресу: Ростовская область, г. Таганрог, ул. Дзержинского, д.171-2 (1 шт.)</t>
  </si>
  <si>
    <t>Установка системы учета для технологического присоединения энергопринимающих устройств Заявителя (Ткаченко П.В.) по адресу: Ростовская область, г. Таганрог, ул. Петровская, д.109, к.н. 61:58:0003007:319 (1 шт.)</t>
  </si>
  <si>
    <t>Установка системы учета для технологического присоединения энергопринимающих устройств Заявителя (Хачунц Г.С.)  по адресу: Ростовская область, г. Таганрог, ул. Ленина, д. 195, к.н 61:58:0003181:9
 (1 шт.)</t>
  </si>
  <si>
    <t>Установка системы учета для технологического присоединения энергопринимающих устройств Заявителя (Закаморный В.А.) по адресу: Ростовская область, г. Таганрог, Мариупольское шоссе, д.39-1, ДНТ «Мир», уч. 16, к.н.: 61-61-42/056/2012-166 (1 шт.)</t>
  </si>
  <si>
    <t>Установка системы учета для технологического присоединения энергопринимающих устройств Заявителя (ИП Кравченко А.Г.) по адресу: Ростовская область, г. Таганрог, ул. Московская, 17, корпус А (1 шт.)</t>
  </si>
  <si>
    <t>Установка системы учета для технологического присоединения энергопринимающих устройств Заявителя (ИП Кузнецов В.А.) по адресу: Ростовская область, г. Таганрог, ул. Театральная, 18 (1 шт.)</t>
  </si>
  <si>
    <t>Установка системы учета для технологического присоединения энергопринимающих устройств Заявителя (Кафтанов А.Г.) по адресу: Ростовская область, г. Таганрог, Северо-Западное шоссе, д.3, СНТ «Дачное-2», уч. 375, к.н.: 61:58:0006028:445 (1 шт.)</t>
  </si>
  <si>
    <t>Установка системы учета для технологического присоединения энергопринимающих устройств Заявителя (ИП Лядов К.Е.) по адресу: Ростовская область, г. Таганрог, ул. Урицкого, д. 29, к.н.: 61:58:0003404:25
 (1 шт.)</t>
  </si>
  <si>
    <t>Установка системы учета для технологического присоединения энергопринимающих устройств Заявителя (Крючек М.И.) по адресу: Ростовская область, г. Таганрог, ул. 4-я Линия, д. 2/а, к.н.: 61:58:0000000:14555  (1 шт.)</t>
  </si>
  <si>
    <t>Установка системы учета для технологического присоединения энергопринимающих устройств Заявителя (Овчаренко И.А.) по адресу: Ростовская область, г. Таганрог, ул. Транспортная, д.11, к.н.: 61:58:0002306:168 (1 шт.)</t>
  </si>
  <si>
    <t>Установка системы учета для технологического присоединения энергопринимающих устройств Заявителя (ООО «Промкомплекс «Волна») по адресу: Ростовская область, г. Таганрог, ул. С. Лазо, д.1-3, к.н.: 61:58:0003438:2145 (1 шт.)</t>
  </si>
  <si>
    <t>Установка системы учета для технологического присоединения энергопринимающих устройств Заявителя (ПАО «Вымпел-Коммуникации») по адресу: Ростовская область, г. Таганрог, ул. Шаумяна, д.20-1 (1 шт.)</t>
  </si>
  <si>
    <t>Установка системы учета для технологического присоединения энергопринимающих устройств Заявителя (Рыбченков А.Н.)» по адресу: Ростовская область, г. Таганрог, ул. Поселковая, 57 г, к.н.: 61:58:0004202:73
(1 шт.)</t>
  </si>
  <si>
    <t>Установка системы учета для технологического присоединения энергопринимающих устройств Заявителя (Дереберя И.М.) по адресу: Ростовская область, г. Таганрог, переулок 9-й, д. 20, к.н.: 61:58:0002089:4
 (1 шт.)</t>
  </si>
  <si>
    <t xml:space="preserve">Установка системы учета для технологического присоединения энергопринимающих устройств Заявителя (ИП Лысенко А.Ю.) по адресу: Ростовская область, г. Таганрог, ул. Чехова, д. 98, к.н. 61:58:0001124:560
 (1 шт.) </t>
  </si>
  <si>
    <t>Установка системы учета для технологического присоединения энергопринимающих устройств Заявителя (ИП Печеный А.А.) по адресу: Ростовская область, г. Таганрог, ул. Мариупольское шоссе, д 53-а, к.н. 61:58:0005303:35 (1 шт.)</t>
  </si>
  <si>
    <t>Установка системы учета для технологического присоединения энергопринимающих устройств Заявителя (Карпенко Р.А.) по адресу: Ростовская область, г. Таганрог, ул. 3-я Линия, д. 215, к.н. 61:58:0004180:19 (1 шт.)</t>
  </si>
  <si>
    <t>Установка системы учета для технологического присоединения энергопринимающих устройств Заявителя (ИП Васильева Т.А.) по адресу: Ростовская область, г. Таганрог, ул. Петровская, 66-б, к.н.: 61:58:0001096:27 (1 шт.)</t>
  </si>
  <si>
    <t>Установка системы учета для технологического присоединения энергопринимающих устройств Заявителя (ИП Ивашин А.Э..) по адресу: Ростовская область, г. Таганрог, Николаевское шоссе, СНТ «Радуга», аллея 13, уч.47 (1 шт.)</t>
  </si>
  <si>
    <t xml:space="preserve">Установка системы учета для технологического присоединения энергопринимающих устройств Заявителя (ООО «СК Эверест») по адресу: Ростовская область, г. Таганрог, ул. Морозова, д. 11, ком. 66, 68, 69, 70, 71, 71а, 73, к.н.: 61:58:0003279:1229 (1 шт.) </t>
  </si>
  <si>
    <t>Установка системы учета для технологического присоединения энергопринимающих устройств Заявителя (Чиркова Н.В.) по адресу: Ростовская область, г. Таганрог, Мариупольское шоссе, д.12, СНТ «Зеленхоз», уч. №17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</si>
  <si>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61-1-21-00610887 от 05.04.2022), Ростовской области (1 шт)</t>
  </si>
  <si>
    <t>Установка системы учета для технологического присоединения энергопринимающих устройств Заявителя (Беликова О.И.) адресу: Ростовская область, г. Таганрог, ул. Дзержинского, 105, кв.1 (1 шт.)</t>
  </si>
  <si>
    <t>Установка системы учета для технологического присоединения энергопринимающих устройств Заявителя (ИП Манджаари К. Р.) адресу: Ростовская область, г. Таганрог, ул. Александровская, 120-а (1 шт.)</t>
  </si>
  <si>
    <t>Установка системы учета для технологического присоединения энергопринимающих устройств Заявителя (ИП Петросян Р.А.) по адресу: Ростовская область, г. Таганрог, ст. Таганрог-1, ул. Москатова, д. 2-А, 11 км. пк 7 (1 шт.)</t>
  </si>
  <si>
    <t>Установка системы учета для технологического присоединения энергопринимающих устройств Заявителя (ИП Руссель Ю.И.) по адресу: Ростовская область, г. Таганрог, пер. Спартаковский, д. 16/ул. Октябрьская, д. 18, к.н. 61:58:0003001:466 (1 шт.)</t>
  </si>
  <si>
    <t>Установка системы учета для технологического присоединения энергопринимающих устройств Заявителя (Кулик Л.Ф.) по адресу: Ростовская область, г. Таганрог, ул. Бакинская, к.н. 61:58:0004523::1007       (1 шт.)</t>
  </si>
  <si>
    <t>Установка системы учета для технологического присоединения энергопринимающих устройств Заявителя (Курилов Ю.М.) адресу: Ростовская область, г. Таганрог, ул. Энгельса, 53 (1 шт.)</t>
  </si>
  <si>
    <t>Установка системы учета для технологического присоединения энергопринимающих устройств Заявителя (Савченко Л.Е.) адресу: Ростовская область, г. Таганрог, ул. Петровская, д. 113, к.н. 61:58:0003007:327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</si>
  <si>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(Договор № 61-1-22-00640119 от 19.04.2022), Ростовской области (1 шт)</t>
  </si>
  <si>
    <t>Установка системы учета для технологического присоединения энергопринимающих устройств Заявителя (Сирота Е.Б.) адресу: Ростовская область, г. Таганрог, ул. Чехова, 324-б (1 шт.)</t>
  </si>
  <si>
    <t>Установка системы учета для технологического присоединения энергопринимающих устройств Заявителя (Скоморохова Е.В.) адресу: Ростовская область, г. Таганрог, ул. Чехова, 17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</si>
  <si>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 61-1-22-00643819 от 27.04.2022), Ростовской области г. Таганрог (1 шт)</t>
  </si>
  <si>
    <t>Установка системы учета для технологического присоединения энергопринимающих устройств Заявителя (ИП Саркисян А.В.) адресу: Ростовская область, г. Таганрог, Николаевское шоссе, 7-а (1 шт.)</t>
  </si>
  <si>
    <t>Установка системы учета для технологического присоединения энергопринимающих устройств Заявителя (ИП Греченко Е.Е.) адресу: Ростовская область, г. Таганрог, г. Таганрог, ул. Седова, д.7, к.н. 61:58:0002418:204 (1 шт.)</t>
  </si>
  <si>
    <t>Установка системы учета для технологического присоединения энергопринимающих устройств Заявителя (Рожкова И.Ю.) адресу: Ростовская область, г. Таганрог, пер. 5-й Новый, д. 112, к.н 61:58:0004522:510 (1 шт.)</t>
  </si>
  <si>
    <t>Установка системы учета для технологического присоединения энергопринимающих устройств Заявителя (Айрапетян Л.Ц.) адресу: Ростовская область, г. Таганрог, пр. 4-й Линейный, д. 52, к.н.: 61:58:0 41 92:12:4-192-12/Г:1/43698 (1 шт.)</t>
  </si>
  <si>
    <t>Установка системы учета для технологического присоединения энергопринимающих устройств Заявителя (Болмат С.Е.) адресу: Ростовская область, г. Таганрог, пер. 6-й Новый, к.н. 61:58:0004479:93 (1 шт.)</t>
  </si>
  <si>
    <t>Установка системы учета для технологического присоединения энергопринимающих устройств Заявителя (Горбанев А.А.) адресу: Ростовская область, г. Таганрог, ул. Дачная, к.н. 61:58:0004217:304 (1 шт.)</t>
  </si>
  <si>
    <t>Установка системы учета для технологического присоединения энергопринимающих устройств Заявителя (Горбанев А.А.) адресу: Ростовская область, г. Таганрог, ул. Дачная, к.н. 61:58:0004217:305 (1 шт.)</t>
  </si>
  <si>
    <t>Установка системы учета для технологического присоединения энергопринимающих устройств Заявителя (ИП Исаков Г.Д.) адресу: Ростовская область, г. Таганрог, пер. 7-й  Новый, д. 100, к.н. 61:58:4451:478 ( 1 шт.)</t>
  </si>
  <si>
    <t>Установка системы учета для технологического присоединения энергопринимающих устройств Заявителя (ИП Морозова Е.П.) адресу: Ростовская область, г. Таганрог, ул. Фрунзе, д. 62, корп. 1, кв.3, к.н. 61:58:0001130:563 ( 1 шт.)</t>
  </si>
  <si>
    <t>Установка системы учета для технологического присоединения энергопринимающих устройств Заявителя (Лавриненко И.Р.) адресу: Ростовская область, г. Таганрог, ул. Бакинская, д. 85а, к.н. 61:58:0004522:255 ( 1 шт.)</t>
  </si>
  <si>
    <t>Установка системы учета для технологического присоединения энергопринимающих устройств Заявителя (ООО «Донские рестораны») адресу: Ростовская область, г. Таганрог, г. Таганрог, ул. Р. Люксембург, д. 12, к.н. 61:58:0001061:236 ( 1 шт.)</t>
  </si>
  <si>
    <t xml:space="preserve"> Установка системы учета для технологического присоединения энергопринимающих устройств Заявителя (Куликова Н.Г.) по адресу: Ростовская область, г. Таганрог, ул. Толбухина, д.5-1 (1 шт.)</t>
  </si>
  <si>
    <t>Установка системы учета для технологического присоединения энергопринимающих устройств Заявителя (Акопджанян А.С.) по адресу: Ростовская область, г. Таганрог, ул. Бакинская, к.н. 61:58:0004523:1035 (1 шт.)</t>
  </si>
  <si>
    <t>Установка системы учета для технологического присоединения энергопринимающих устройств Заявителя (Цыбина Т.И.) по адресу: Ростовская область, г. Таганрог, ул. П.Е. Осипенко, д. 53, к.н. 61:58:0003277:1212 (1 шт.)</t>
  </si>
  <si>
    <t>Установка системы учета для технологического присоединения энергопринимающих устройств Заявителя (ИП Рындин А.В.) по адресу: Ростовская область, г. Таганрог, ул. Транспортная, д. 61, к.н. 61:58:0005259:574 (1 шт.)</t>
  </si>
  <si>
    <t>Установка системы учета для технологического присоединения энергопринимающих устройств Заявителя (ООО «Синара – Городские Транспортные Решения Таганрог») по адресу: Ростовская область, г. Таганрог, ул. Дзержинского, д. 74, к.н. 61:58:0003121:421 (1 шт.)</t>
  </si>
  <si>
    <t>Установка системы учета для технологического присоединения энергопринимающих устройств Заявителя (Корнильев В.В.) по адресу: Ростовская область, г. Таганрог, ул. Нахимова, д. 33, к.н. 61:58:0002291:160 (1 шт.)</t>
  </si>
  <si>
    <t>Установка системы учета для технологического присоединения энергопринимающих устройств Заявителя (Куликов А.Д.) по адресу: Ростовская область, г. Таганрог, ул. Ленина, д. 191-б, к.н. 61:58:0003181:41 (1 шт.)</t>
  </si>
  <si>
    <t>Установка системы учета для технологического присоединения энергопринимающих устройств Заявителей: Титаренко В.С., Ветров В.С., Бабиян Н.К., Журкина И.В., Саргсян Д.В., Шубин Э.В. в Мясниковском районе Ростовской области (6 шт.)</t>
  </si>
  <si>
    <t xml:space="preserve">Установка системы учета для технологического присоединения энергопринимающих устройств Заявителей: Дурнев Д.Д., Вартеванян С.Г., Скороход В.В., Аветисян М.С., Лыскин В.Ф., Цыганкова О.А.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</si>
  <si>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Заявителя: Узунян К.В. в Мясниковском районе Ростовской области (1 шт.) </t>
  </si>
  <si>
    <t>Установка системы учета для технологического присоединения энергопринимающих устройств Заявителей: Кашкин Е.В., Налбандян Г.К., Гирагосов М.А. в Мясниковском районе Ростовской области (3 шт.)</t>
  </si>
  <si>
    <t xml:space="preserve">Установка системы учета для технологического присоединения энергопринимающих устройств Заявителей: Лысенко А.Ф., Хавранян О.А., Забирюченко М.А., Бердечников Ю.И., Ордян О.Р., Гульянц Н.А.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</si>
  <si>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Заявителей: Аветисов К.С., Порожнякова О.О., Петрушенко В.С., Воротынцева О.В., Администрация Калининского сельского поселения в Мясниковском районе Ростовской области (5 шт.) </t>
  </si>
  <si>
    <t xml:space="preserve">Установка системы учета для технологического присоединения энергопринимающих устройств Заявителей: Молодова И.А., Тарасян М.А., Баткалова Л.А. в Мясниковском районе Ростовской области (3 шт.) </t>
  </si>
  <si>
    <t>Установка системы учета для технологического присоединения энергопринимающих устройств Заявителей: Пантюхин С.А., Шкаброва Л.И., Порожнякова Е.В., Однороб С.В. в Мясниковском районе Ростовской области (5 шт.)</t>
  </si>
  <si>
    <t>Установка системы учета для технологического присоединения энергопринимающих устройств Заявителей: Веткина Д.А., Заиченко О.С., Мнацаканян Д.А., Гарпеников Г.Г., в Мясниковском районе Ростовской области (4 шт.)</t>
  </si>
  <si>
    <t>Установка системы учета для технологического присоединения энергопринимающих устройств Заявителей: Хоруженко Е.А., Бабиян М.Ф., Пчельникова И.А., Атоян А.С., Гайбарян А.А., Ялтырян А.Б.  в Мясниковском районе Ростовской области (7 шт.)</t>
  </si>
  <si>
    <t>Установка системы учета для технологического присоединения энергопринимающих устройств Заявителей: Дулин А.Ф., Читахян Х.К., Раков А.В., Свиридов В.Г., Петренко М.С., Чуваков В.М. в Мясниковском районе Ростовской области (6 шт.)</t>
  </si>
  <si>
    <t xml:space="preserve">Установка системы учета для технологического присоединения энергопринимающих устройств Заявителей: Карташов М.С., Хрхрян Л.В., Попов А.П., Яковлева Т.Н., Поркшеян Б.О., Дзреян В.Н.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</si>
  <si>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Заявителей: Аршакян С.А., ИП Григорян С.Р., Арутюнян Л.В., Козлов И.В., Бакалова Э.А. в Мясниковском районе Ростовской области (5 шт.) </t>
  </si>
  <si>
    <t xml:space="preserve">Установка системы учета для технологического присоединения энергопринимающих устройств Заявителей: Журавлева М.Р., Ткаченко И.Н., Межевикин И.Н., Кононенко Т.М., Цыздоев А.Х., Торпуджиян Т.А. в Мясниковском районе Ростовской области (6 шт.) </t>
  </si>
  <si>
    <t>Установка системы учета для технологического присоединения энергопринимающих устройств Заявителей: Орленко В.А., Серов А.Н., Овечко А.Г. в Мясниковском районе Ростовской области (3 шт.)</t>
  </si>
  <si>
    <t xml:space="preserve">Установка системы учета для технологического присоединения энергопринимающих устройств Заявителей: Кравченко М.М., Валеев В.Р., Хочкиян М.Х., Даглдиян Г.Г., ПАО «МТС» в Мясниковском районе Ростовской области (5 шт.) </t>
  </si>
  <si>
    <t xml:space="preserve">Установка системы учета для технологического присоединения энергопринимающих устройств Заявителей: Ревуцкий Д.А., Головин М.И., Казарян Р.О., Мелконян М.К., Фурсов В.И., Кузнецов В.В.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</si>
  <si>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Заявителей: Габриелян Л.В., Тур Е.А., Гичунцева М.М, Мазниченко Е.Ю., Дорошенко Н.И., Дорошенко А.В.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</si>
  <si>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Заявителей: Иванова А.А., Кондрашин А.И., Кононенко Е.Н., Ломова В.В., Палий В.В., Чуваков В.М. в Мясниковском районе Ростовской области (6 шт.) </t>
  </si>
  <si>
    <t xml:space="preserve">Установка системы учета для технологического присоединения энергопринимающих устройств Заявителя: Терновой Д.В. в Мясниковском районе Ростовской области (1 шт.) </t>
  </si>
  <si>
    <t>Установка системы учета для технологического присоединения энергопринимающих устройств Заявителей: Фролова Н.А., Новикова А.К., Шахман А.В., Поплутин И.Ю., Куликова С.Р., Хазизян А.К. в Мясниковском районе Ростовской области (6 шт.)</t>
  </si>
  <si>
    <t>Установка системы учета для технологического присоединения энергопринимающих устройств Заявителей: Азарян А.А., Збраилова С.А., Вартанян В.Г., Бодахян К.В., Додохян Х.А., Момотов С.А., Бордачев А.М. в Мясниковском районе Ростовской области (7 шт.)</t>
  </si>
  <si>
    <t>Установка системы учета для технологического присоединения энергопринимающих устройств Заявителей: Мещеряков А.А., Минаков Н.А. в Мясниковском районе Ростовской области (2 шт.)</t>
  </si>
  <si>
    <t>Установка системы учета для технологического присоединения энергопринимающих устройств Заявителей: Абрамов В.В. в Мясниковском районе Ростовской области (1 шт.)</t>
  </si>
  <si>
    <t>Установка системы учета для технологического присоединения энергопринимающих устройств Заявителей: Аскеров С.М., Бойченко Д.В., Гуляева Е.Б., Бахлян М.М., Бабаев Л.И., Нозина Г.П., Гаврилова О.А., Даниленко Д.В. в Мясниковском районе Ростовской области (8 шт.)</t>
  </si>
  <si>
    <t>Установка системы учета для технологического присоединения энергопринимающих устройств Заявителей: Жаравина О.С., Шахбазян Г.А. в Мясниковском районе Ростовской области (2 шт.)</t>
  </si>
  <si>
    <t>Установка системы учета для технологического присоединения энергопринимающих устройств Заявителей: Куривчак И.И., Гуликян Л.Н., Килафян Н.А., Лысов С.К., Московой Д.А., Мясникова Ж.Г., Пайлеванян А.С., Лаптева С.Н., Пантюхова Е.О., Люльчук О.Н. в Мясниковском районе Ростовской области (10 шт.)</t>
  </si>
  <si>
    <t xml:space="preserve">Установка системы учета для технологического присоединения энергопринимающих устройств Заявителей: Мелохаян В.О., Саргсян Р.А., Ганоцкая Ю.В., Власов Х.А., Канарская Е.В. в Мясниковском районе Ростовской области (5 шт.) </t>
  </si>
  <si>
    <t>Установка системы учета для технологического присоединения энергопринимающих устройств Заявителей: Стамболян А.С., Акопян С.Ю. в Мясниковском районе Ростовской области (2 шт.)</t>
  </si>
  <si>
    <t xml:space="preserve">Установка системы учета для технологического присоединения энергопринимающих устройств Заявителя: Абгарян С.Р. в х. Красный Крым, ул. 2-я Молодежная, д. 14/а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</si>
  <si>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Амбарцумян А.А. в х. Красный Крым, ул. Юбилейная, д. 27/б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</si>
  <si>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Асцатрян М.С. в с. Чалтырь, ул. Крестьянская, д. 3/а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</si>
  <si>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Ачарян Р.Л. в с. Чалтырь, ул. Шаумяна, д. 122/б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</si>
  <si>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Бабиян Л.К. в с. Крым, ул. 2-я линия, д. 27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</si>
  <si>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Багдасаров Р.С. в с. Большие Салы, ул. Заводская, д. 16/д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</si>
  <si>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Барнагян С.Х. в с. Чалтырь, ул. 5-я линия, д. 48/б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</si>
  <si>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Волченко А.А. в х. Красный Крым, ул. Шаумяна, д. 14/б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</si>
  <si>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Герасименко Г.И. в х. Ленинаван, ул. Мира, д. 18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</si>
  <si>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Горпинченко С.В. в х. Ленинакан, ул. Дачная, д. 2/а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</si>
  <si>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Гуликян С.С. в х. Ленинаван, ул. Орджоникидзе, д. 8/д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</si>
  <si>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ИП Люльчук О.Н. в х. Ленинаван Мясниковского района Ростовской области (1 шт.) </t>
  </si>
  <si>
    <t xml:space="preserve">Установка системы учета для технологического присоединения энергопринимающих устройств Заявителя: Киракосян Е.Ф. в х. Калинин, ул. П.Д. Тер-Акоповой, д. 24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</si>
  <si>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Коваленко В.В. в с. Крым, ул. Пролетарская, д. 23/а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</si>
  <si>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Крячко С.А. в х. Ленинаван, ул. Ладожская, д. 13/34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</si>
  <si>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Кузнецова Л.Н. в х. Ленинаван, ул. Орджоникидзе, д. 8/1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</si>
  <si>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Линцов А.Н. в х. Ленинаван, ул. Суворова, д. 86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</si>
  <si>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Листопадов А.В. в х. Ленинаван, ул. Мясникяна, д. 31/а Мясниковского района Ростовской области. </t>
  </si>
  <si>
    <t xml:space="preserve">Установка системы учета для технологического присоединения энергопринимающих устройств Заявителя: Листопадов А.В. в х. Ленинаван Мясниковского района Ростовской области. </t>
  </si>
  <si>
    <t xml:space="preserve">Установка системы учета для технологического присоединения энергопринимающих устройств Заявителя: Мартынова О.В. в х. Мокрый Чалтырь, ул. Ленина, д. 14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</si>
  <si>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Наврузова М.В. в х. Ленинаван, ул. Центральная, д. 11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</si>
  <si>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Носова Н.С. в х. Ленинакан, ул. Васильковая, д. 15/а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</si>
  <si>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Заявителей: Оганесян В.С., Жамкочян К.М., Магомедагаева М.С., Тютюник А.Е., Игнатович А.В., Рашидов А.Г., Оланян Е.Г., в Мясниковском районе Ростовской области (7 шт.) </t>
  </si>
  <si>
    <t xml:space="preserve">Установка системы учета для технологического присоединения энергопринимающих устройств Заявителя: Осипова Л.Н. в с. Чалтырь, ул. Патканяна, д. 109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</si>
  <si>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Позднякова Л.А. в с. Крым, ул. Маршала Жукова, д. 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</si>
  <si>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Полянский Д.А. в х. Красный Крым, ул. Юбилейная, д. 27/в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</si>
  <si>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Ролдугин А.В. в х. Калинин, ул. Соборная, д. 6/а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</si>
  <si>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Сардарян В.С. в с. Чалтырь, ул. Тащияна, д. 86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</si>
  <si>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Семенова Е.К. в х. Ленинакан, ул. Дачная, д. 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</si>
  <si>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Согомонян А.А. в х. Ленинаван, ул. Дружбы, д. 19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</si>
  <si>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Стрельцов С.П. в х. Красный Крым, ул. Юбилейная, д. 27/а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</si>
  <si>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Тихонов В.В. в х. Недвиговка, ул. Набережная, д. 79/а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</si>
  <si>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Тонян М.Л. в с. Чалтырь, ул. Октябрьская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</si>
  <si>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ИП Галай А.Г. в х. Ленинакан, ул. Торговый проспект, д. 6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</si>
  <si>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Казарян А.В. в х. Калинин, ул. 1-я Кольцевая, д. 1/а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</si>
  <si>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Топчанов Л.Г. в с. Крым, ул. 6-я линия, д. 13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</si>
  <si>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Чолий О.И. в х. Ленинакан, ул. Суворова, д. 101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</si>
  <si>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Шагинов А.Л. в с. Чалтырь, ул. Урожайная, д. 28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</si>
  <si>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Шкробот А.Ю. в х. Красный Крым, ул. Пушкинская, д. 14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</si>
  <si>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Явруян А.А. в х. Ленинаван, ул. Орджоникидзе, д. 35/в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</si>
  <si>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Якина Н.Н. в х. Калинин, ул. Донская, д. 15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</si>
  <si>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(Абдуллаев Т.Р.) по адресу: Ростовская область, Мясниковский район, х. Ленинаван, ул. Абовяна, д. 7/в, к.н. 61:25:0030202:3140 (1 шт.) </t>
  </si>
  <si>
    <t xml:space="preserve">Установка системы учета для технологического присоединения энергопринимающих устройств Заявителя (Администрация Мясниковского района) по адресу: Ростовская область, Мясниковский район, с. Чалтырь, ул. 3-я линия, д. 48, к.н. 61:25:0000000:319 (1 шт.) </t>
  </si>
  <si>
    <t>Установка системы учета для технологического присоединения энергопринимающих устройств Заявителя: Айрапетян Н.Б. в с. Крым  ул. Григора Бабияна, д. 22 Мясниковского района Ростовской области – 1 шт.</t>
  </si>
  <si>
    <t xml:space="preserve">Установка системы учета для технологического присоединения энергопринимающих устройств Заявителя (Арутюнян Г.А.) по адресу: Ростовская область, Мясниковский район, с. Чалтырь, ул. Шагиняна, д. 89/2, к.н. 61:25:0600601:1364 (1 шт.) </t>
  </si>
  <si>
    <t xml:space="preserve">Установка системы учета для технологического присоединения энергопринимающих устройств Заявителя (Ачарян А.М.) по адресу: Ростовская область, Мясниковский район, с. Чалтырь, ул. Комсомольская, д. 15/б, к.н. 61:25:0101323:0071 (1 шт.) </t>
  </si>
  <si>
    <t xml:space="preserve">Установка системы учета для технологического присоединения энергопринимающих устройств Заявителя (Ачарян М.С.) по адресу: Ростовская область, Мясниковский район, с. Чалтырь, ул. Тащияна, д. 68/25, к.н. 61:25:0600601:1373 (1 шт.) </t>
  </si>
  <si>
    <t xml:space="preserve">Установка системы учета для технологического присоединения энергопринимающих устройств Заявителя: Волоха К.А. в с. Чалтырь,  ул. Мясникяна, д. 62/б Мясниковского района Ростовской области – 1 шт. </t>
  </si>
  <si>
    <t>Установка системы учета для технологического присоединения энергопринимающих устройств Заявителя: Гайбарян Л.А. в с. Крым,  ул. Маршала Жукова, д. 20 Мясниковского района Ростовской области – 1 шт.</t>
  </si>
  <si>
    <t xml:space="preserve">Установка системы учета для технологического присоединения энергопринимающих устройств Заявителя: Джемилия Г.Н. в с. Большие Салы ул. Красноармейская, д. 12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</si>
  <si>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(Дудина Н.А.) по адресу: Ростовская область, Мясниковский район, с. Чалтырь, ул. Западная, д. 141/а, к.н. 61:25:0101608:322 (1 шт.) </t>
  </si>
  <si>
    <t xml:space="preserve">Установка системы учета для технологического присоединения энергопринимающих устройств Заявителя: ИП Баграмян В.Е. в с. Чалтырь ул. Красноармейская, д. 82/б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</si>
  <si>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(ИП Григорян С.А.) по адресу: Ростовская область, Мясниковский район, с. Большие Салы, земли СПК (колхоз) «Колос», к.н. 61:25:0000000:6126 (1 шт.) </t>
  </si>
  <si>
    <t xml:space="preserve">Установка системы учета для технологического присоединения энергопринимающих устройств Заявителя (Кадиров Т.А.) по адресу: Ростовская область, Мясниковский район, х. Калинин, ул. Донская, д. 18, к.н. 61:25:0050101:1634 (1 шт.) </t>
  </si>
  <si>
    <t xml:space="preserve">Установка системы учета для технологического присоединения энергопринимающих устройств Заявителя (Козлова Л.Н.) по адресу: Ростовская область, Мясниковский район, с. Крым, ул. 25-я линия, д. 7, к.н. 61:25:0201027:65 (1 шт.) </t>
  </si>
  <si>
    <t>Установка системы учета для технологического присоединения энергопринимающих устройств Заявителя: Косенко И.А. в х. Ленинакан ул. Лукашина, д. 16/б Мясниковского района Ростовской области – 1 шт.</t>
  </si>
  <si>
    <t xml:space="preserve">Установка системы учета для технологического присоединения энергопринимающих устройств Заявителя (Кудрин Р.В.) по адресу: Ростовская область, Мясниковский район, х. Калинин, ул. 50 лет Победы, д. 45, к.н. 61:25:0050101:1323 (1 шт.) </t>
  </si>
  <si>
    <t xml:space="preserve">Установка системы учета для технологического присоединения энергопринимающих устройств Заявителя (Майкоглуян М.А.) по адресу: Ростовская область, Мясниковский район, с. Чалтырь, ул. Шаумяна, д. 55/а, к.н. 61:25:0101110:0002 (1 шт.) </t>
  </si>
  <si>
    <t xml:space="preserve">Установка системы учета для технологического присоединения энергопринимающих устройств Заявителя (Мелексетян К.С.) по адресу: Ростовская область, Мясниковский район, с. Крым, ул. Мясникяна, д. 6, к.н. 61:25:0201013:66 (1 шт.) </t>
  </si>
  <si>
    <t xml:space="preserve">Установка системы учета для технологического присоединения энергопринимающих устройств Заявителя (Мурадян А.Э.) по адресу: Ростовская область, Мясниковский район, с. Крым, ул. 10-я линия, д. 36/а, к.н. 61:25:0201003:0019 (1 шт.) </t>
  </si>
  <si>
    <t xml:space="preserve">Установка системы учета для технологического присоединения энергопринимающих устройств Заявителя (Никиша А.С.) по адресу: Ростовская область, Мясниковский район, х. Хапры, ул. Первомайская, д. 63/а, к.н. 61:25:0070201:2611 (1 шт.) </t>
  </si>
  <si>
    <t xml:space="preserve">Установка системы учета для технологического присоединения энергопринимающих устройств Заявителя (Оганисян Ж.С.) по адресу: Ростовская область, Мясниковский район, х. Ленинаван, ул. Таганрогская, д. 60, к.н. 61:25:0600401:5928 (1 шт.) </t>
  </si>
  <si>
    <t xml:space="preserve">Установка системы учета для технологического присоединения энергопринимающих устройств Заявителя: Пантелеева З.И. в с. Большие Салы  ул. 2-я Заводская, д. 9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</si>
  <si>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(Рябинин В.И.) по адресу: Ростовская область, Мясниковский район, х. Ленинакан, ул. Ростовская, д. 16/1, к.н. 61:25:0030301:1343 (1 шт.) </t>
  </si>
  <si>
    <t xml:space="preserve">Установка системы учета для технологического присоединения энергопринимающих устройств Заявителя (Саакян А.М.) по адресу: Ростовская область, Мясниковский район, с. Чалтырь, ул. Красноармейская, д. 11/а, к.н. 61:25:0000000:154 (1 шт.) </t>
  </si>
  <si>
    <t xml:space="preserve">Установка системы учета для технологического присоединения энергопринимающих устройств Заявителя (Саркисова С.А.) по адресу: Ростовская область, Мясниковский район, с. Крым, ул. Первомайская, д. 11/г, к.н. 61:25:0201016:413 (1 шт.) </t>
  </si>
  <si>
    <t xml:space="preserve">Установка системы учета для технологического присоединения энергопринимающих устройств Заявителя: Саркисьян Р.С. в с. Чалтырь  ул. Мец-Чорвах, д. 1/б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</si>
  <si>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Ленинаван, ул. Таганрогская, д. 68, к.н. 61:25:0600401:5912 (1 шт.) </t>
  </si>
  <si>
    <t xml:space="preserve">Установка системы учета для технологического присоединения энергопринимающих устройств Заявителя (Стрельникова Т.В.) по адресу: Ростовская область, Мясниковский район, с. Чалтырь, ул. Кристостуряна, д. 17, к.н. 61:25:0101422:33 (1 шт.) </t>
  </si>
  <si>
    <t>Установка системы учета для технологического присоединения энергопринимающих устройств Заявителя: Толохян И.Г. в с. Чалтырь ул. Красноармейская, д. 26/а Мясниковского района Ростовской области – 1 шт.</t>
  </si>
  <si>
    <t xml:space="preserve">Установка системы учета для технологического присоединения энергопринимающих устройств Заявителя (Хаишбашян М.С.) по адресу: Ростовская область, Мясниковский район, х. Красный Крым, ул. Туманяна, д. 20, к.н. 61:25:0030101:2380 (1 шт.) </t>
  </si>
  <si>
    <t xml:space="preserve">Установка системы учета для технологического присоединения энергопринимающих устройств Заявителя (Хачатурян Г.В.) по адресу: Ростовская область, Мясниковский район, с. Чалтырь, ул. Шагиняна, д. 73, к.н. 61:25:0600601:1827 (1 шт.) </t>
  </si>
  <si>
    <t xml:space="preserve">Установка системы учета для технологического присоединения энергопринимающих устройств Заявителя: Чебанян А.К. в с. Большие Салы, ул. Ленина, д. 5/з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</si>
  <si>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Шалунц А.А. в с. Чалтырь ул. Тащияна, д. 30 Мясниковского района Ростовской области – 1 шт. </t>
  </si>
  <si>
    <t xml:space="preserve">Установка системы учета для технологического присоединения энергопринимающих устройств Заявителя (Ярославцева О.А.) по адресу: Ростовская область, Мясниковский район, с. Крым, ул. Октябрьская, д. 32/в, к.н. 61:25:0201009:291 (1 шт.) </t>
  </si>
  <si>
    <t>Установка системы учета для технологического присоединения энергопринимающих устройств Заявителя (Егонян С.М.) по адресу: Ростовская область, Мясниковский район, с. Большие Салы, ул. Чапчахова, д. 8, к.н. 61:25:0040101:6167 (1 шт.)</t>
  </si>
  <si>
    <t>Установка системы учета для технологического присоединения энергопринимающих устройств Заявителя (Магдесян Т.И.) по адресу: Ростовская область, Мясниковский район, с. Чалтырь, ул. 50 лет Победы, д. 86, к.н. 61:25:0600601:1152 (1 шт.)</t>
  </si>
  <si>
    <t xml:space="preserve">Установка системы учета для технологического присоединения энергопринимающих устройств Заявителя (Марченко М.Н.) по адресу: Ростовская область, Мясниковский район, х. Ленинаван, ул. С. Хатламаджияна, д. 18, к.н. 61:25:0030202:856 (1 шт.) </t>
  </si>
  <si>
    <t>Установка системы учета для технологического присоединения энергопринимающих устройств Заявителя (Омельченко Е.Б.) по адресу: Ростовская область, Мясниковский район, х. Красный Крым, ул. Братьев Баян, д. 23, к.н. 61:25:0030101:86 (1 шт.)</t>
  </si>
  <si>
    <t>Установка системы учета для технологического присоединения энергопринимающих устройств Заявителя (Тихомиров И.Г.) по адресу: Ростовская область, Мясниковский район, х. Красный Крым, ул. Лермонтовская, д. 30, к.н. 61:25:0600401:17043 (1 шт.)</t>
  </si>
  <si>
    <t>Установка системы учета для технологического присоединения энергопринимающих устройств Заявителя (Трахачева Л.А.) по адресу: Ростовская область, Мясниковский район, х. Красный Крым, ул. Сатхинская, д. 3, к.н. 61:25:0600401:17268 (1 шт.)</t>
  </si>
  <si>
    <t>Установка системы учета для технологического присоединения энергопринимающих устройств Заявителя (Харитонов А.Е.) по адресу: Ростовская область, Мясниковский район, х. Ленинаван, ул. Мясникяна, д. 3, к.н. 61:25:0030202:1519 (1 шт.)</t>
  </si>
  <si>
    <t>Установка системы учета для технологического присоединения энергопринимающих устройств Заявителя (Амбарцумян Л.В.) по адресу: Ростовская область, Мясниковский район, х. Веселый, ул. Красноармейская, д. 18, к.н. 61:25:0060101:493 (1 шт.)</t>
  </si>
  <si>
    <t>Установка системы учета для технологического присоединения энергопринимающих устройств Заявителя (Барлаухян А.Р.) по адресу: Ростовская область, Мясниковский район, с. Крым, ул. Советская, д. 62, к.н. 61:25:0201018:206 (1 шт.)</t>
  </si>
  <si>
    <t>Установка системы учета для технологического присоединения энергопринимающих устройств Заявителя (ИП Дорогобедов Е.В.) по адресу: Ростовская область, Мясниковский район, х. Ленинакан, ул. Суворова, д. 115, к.н. 61:25:0600401:15398 (1 шт.)</t>
  </si>
  <si>
    <t>Установка системы учета для технологического присоединения энергопринимающих устройств Заявителя (Куценко Д.В.) по адресу: Ростовская область, Мясниковский район, х. Красный Крым, ул. Пшеничная, д. 6/а, к.н. 61:25:0600401:18677 (1 шт.)</t>
  </si>
  <si>
    <t>Установка системы учета для технологического присоединения энергопринимающих устройств Заявителя (Саргсян Г.М.) по адресу: Ростовская область, Мясниковский район, с. Крым, ул. Шаумяна, д. 59/а, к.н. 61:25:0201003:97 (1 шт.)</t>
  </si>
  <si>
    <t>Установка системы учета для технологического присоединения энергопринимающих устройств Заявителя (Толстых М.Б.) по адресу: Ростовская область, Мясниковский район, х. Красный Крым, ул. Туманяна, д. 5/а, к.н. 61:25:0030101:2388 (1 шт.)</t>
  </si>
  <si>
    <t>Установка системы учета для технологического присоединения энергопринимающих устройств Заявителя (Чибичян М.Б.) по адресу: Ростовская область, Мясниковский район, с. Чалтырь, ул. Трудовая, д. 4/а, к.н. 61:25:0101428:14 (1 шт.)</t>
  </si>
  <si>
    <t>Установка системы учета для технологического присоединения энергопринимающих устройств Заявителя (Шатверова Л.Ш.) по адресу: Ростовская область, Мясниковский район, х. Ленинаван, аллея Центральная, д. 31, к.н. 61:25:0600401:7230 (1 шт.)</t>
  </si>
  <si>
    <t>Установка системы учета для технологического присоединения энергопринимающих устройств Заявителя (Шульга Н.Д.) по адресу: Ростовская область, Мясниковский район, х. Ленинаван, ул. Таганрогская, д. 62, к.н. 61:25:0600401:5927 (1 шт.)</t>
  </si>
  <si>
    <t>Установка системы учета для технологического присоединения энергопринимающих устройств Заявителя (Баронян А.А.) по адресу: Ростовская область, Мясниковский район, с. Большие Салы, ул. Середкина, д. 2/а, к.н. 61:25:0040101:5425 (1 шт.)</t>
  </si>
  <si>
    <t>Установка системы учета для технологического присоединения энергопринимающих устройств Заявителя (Головацкая И.М.) по адресу: Ростовская область, Мясниковский район, х. Красный Крым, ул. Турмалиновая, д. 3, к.н. 61:25:0600401:4900 (1 шт.)</t>
  </si>
  <si>
    <t>Установка системы учета для технологического присоединения энергопринимающих устройств Заявителя (Рамазян В.Н.) по адресу: Ростовская область, Мясниковский район, с. Крым, ул. Шаумяна, д. 80, к.н. 61:25:0201008:44 (1 шт.)</t>
  </si>
  <si>
    <t>Установка системы учета для технологического присоединения энергопринимающих устройств Заявителя (Багрян В.Р.) по адресу: Ростовская область, Мясниковский район, с. Большие Салы, ул. Красноармейская, к.н. 61:25:0040101:6086 (1 шт.)</t>
  </si>
  <si>
    <t>Установка системы учета для технологического присоединения энергопринимающих устройств Заявителя (Байтяков А.П.) по адресу: Ростовская область, Мясниковский район, с. Чалтырь, ул. Патканяна, д. 132/а, к.н. 61:25:0600601:1903 (1 шт.)</t>
  </si>
  <si>
    <t>Установка системы учета для технологического присоединения энергопринимающих устройств Заявителя (Гукасян М.Ф.) по адресу: Ростовская область, Мясниковский район, с. Большие Салы, ул. 1-я Ленинская, д. 35/а, к.н. 61:25:0040101:6178 (1 шт.)</t>
  </si>
  <si>
    <t xml:space="preserve">Установка системы учета для технологического присоединения энергопринимающих устройств Заявителя (Джинибалаян Х.К.) по адресу: Ростовская область, Мясниковский район, с. Крым, ул. Пролетарская, д. 11/а, к.н. 61:25:0201024:546 (1 шт.) </t>
  </si>
  <si>
    <t>Установка системы учета для технологического присоединения энергопринимающих устройств Заявителя (Пешекерян О.А.) по адресу: Ростовская область, Мясниковский район, с. Чалтырь, ул. Ростовская, д. 9, к.н. 61:25:0101215:17 (1 шт.)</t>
  </si>
  <si>
    <t xml:space="preserve">Установка системы учета для технологического присоединения энергопринимающих устройств Заявителя (Саблин К.О.) по адресу: Ростовская область, Мясниковский район, х. Калинин, ул. Садовая, д. 27, к.н. 61:25:0050101:1808 (1 шт.) </t>
  </si>
  <si>
    <t>Установка системы учета для технологического присоединения энергопринимающих устройств Заявителя (Явруян Г.А.) по адресу: Ростовская область, Мясниковский район, х. Ленинаван, ул. Абовяна, д. 7/1, к.н. 61:25:0030202:4969 (1 шт.)</t>
  </si>
  <si>
    <t>Установка системы учета для технологического присоединения энергопринимающих устройств Заявителей: Ваць М.В., Фоменко Т.М., Батряк М.А., Устименко Е.Д., Минасян Г.К., Зубкова И.А., Тамаев Р.В., Булгурян Х.А., Шмакова В.В., Федоренко А.А., Гончаров С.П., Молоткина Д.А., Афонченков А.И., Павлова И.В., Колычева А.А., Гончарова А.С., Журкина И.В., Давтян Э.Р., Гайбарян С.С., Жилин В.П., Беликов М.В., Синянская Д.А.  в Мясниковском районе Ростовской области (25 шт.)</t>
  </si>
  <si>
    <t>Установка системы учета для технологического присоединения энергопринимающих устройств Заявителей: Хулаян В.К., Саркисян Г.О., Буракова К.А., Гизгизян М.М., Ширинян Д.Д., Харченко К.В., Женина Е.М., Кутулян С.А., Клюева Т.А., Руссова О.И., Осадченко Н.Т., Седченко А.С., Зубачёв Ю.Д, Мушихина Л.А.  в Мясниковском районе Ростовской области (14 шт.)</t>
  </si>
  <si>
    <t>Установка системы учета для технологического присоединения энергопринимающих устройств Заявителей: Саркисян С.А. в Мясниковском районе Ростовской области (1 шт.)</t>
  </si>
  <si>
    <t>Установка системы учета для технологического присоединения энергопринимающих устройств Заявителя: МКУ «Дом культуры Чалтырского сельского поселения» в Мясниковском районе Ростовской области (1 шт.)</t>
  </si>
  <si>
    <t>Установка системы учета для технологического присоединения энергопринимающих устройств Заявителей: Налгиров В.О., Хаспекян И.В., Пикулик П.В., Мосоян А., Чистяков С.Д., Карпоян А.С.  в Мясниковском районе Ростовской области (6 шт.)</t>
  </si>
  <si>
    <t>Установка системы учета для технологического присоединения энергопринимающих устройств Заявителей: Трегубенко А.А., Демченко А.С., Чарыков Р.В.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</si>
  <si>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Терещенко О.В., Курузян М.Т., Комиссарова Т.Н., Соболевская О.Ю., Десна В.Б., Нижниковский А.П. в Неклиновском районе Ростовской области (6 шт.).</t>
  </si>
  <si>
    <t>Установка системы учета для технологического присоединения энергопринимающих устройств Заявителей: Шерасова А.В., Спасов В.Ф., Фролова Ю.В., Рогова С.А., Зубкова А.А.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</si>
  <si>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МУП «Водоканал Неклиновского района», Письменный С.И., Дроботенко М.И., Боборыкин А.А., Токарев А.А., Шелист А.И., Шелист Л.А, Шелист Г.И, Церюта Т.В., Дегтярева С.А.  в Неклиновском районе Ростовской области (10 шт.)</t>
  </si>
  <si>
    <t>Установка системы учета для технологического присоединения энергопринимающих устройств Заявителей: ИП Плахоткин С.А., Шевченко М.И., Троянкин А.Б., Рязанова И.С.  в Неклиновском районе Ростовской области (4 шт.)</t>
  </si>
  <si>
    <t>Установка системы учета для технологического присоединения энергопринимающих устройств Заявителей: Терский А.А., Серебрякова Г.В.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</si>
  <si>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Демиденко В.Ю., Надолинская В.С., Слепченко Е.С., Яковлева И.А.   в Неклиновском районе Ростовской области (4 шт.).</t>
  </si>
  <si>
    <t>Установка системы учета для технологического присоединения энергопринимающих устройств Заявителей: Минасова В.Ф., Панкратьева Е.С., Андрианова Е.А.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</si>
  <si>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Костенко В.В., Пукало Р.Г., Титарева О.В.  в Неклиновском районе Ростовской области (3 шт.).</t>
  </si>
  <si>
    <t xml:space="preserve">Установка системы учета для технологического присоединения энергопринимающих устройств Заявителя: Осипова Е.А. в Неклиновском районе Ростовской области (1 шт.). </t>
  </si>
  <si>
    <t>Установка системы учета для технологического присоединения энергопринимающих устройств Заявителей: Емельянова И.В., Агафонова С.Л., Малышев В.А., Чернобай С.А., Мацарская К.В., Комарова Е.Л., Набиев Наби Шамстан Оглы, Костюченко Е.А., Афанасьев В.С.   в Неклиновском районе Ростовской области (9 шт.).</t>
  </si>
  <si>
    <t>Установка системы учета для технологического присоединения энергопринимающих устройств Заявителей: Бабичев А.В., Нога К.В.   в Неклиновском районе Ростовской области (2 шт.).</t>
  </si>
  <si>
    <t>Установка системы учета для технологического присоединения энергопринимающих устройств Заявителей: Белова Ю.А., Гладкая Ю.А.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</si>
  <si>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Заявителей: Бурых С.В., Морозов В.В., Васильченко В.В.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</si>
  <si>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Заявителей: Исаджанян А.З., Половинко К.В., Блинков Р.Г.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</si>
  <si>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Заявителей: Кадобкин А.С., Голикова М.Д., Молотов Р.В., Домашевский Д.А. в Неклиновском районе Ростовской области (4 шт.). </t>
  </si>
  <si>
    <t>Установка системы учета для технологического присоединения энергопринимающих устройств Заявителей: ФКУ «Управление автомобильной магистрали Москва – Волгоград Федерального дорожного агенсва», Малородная В.И., Куценко В.Н.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</si>
  <si>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Нигогосова К.В., Ефремов С.Н., Скляренко А.А.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</si>
  <si>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Марьянченко В.Н., Федоренко О.А., Шахназарян Г.Р., Кожухова М.Е., Челнокова А.И., Василенко А.В., Гронцев А.В.   в Неклиновском районе Ростовской области (7 шт.).</t>
  </si>
  <si>
    <t>Установка системы учета для технологического присоединения энергопринимающих устройств Заявителей: Кретов В.П., Полоусов И.В., Хорольский И.В.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</si>
  <si>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Камардина Е.В., Добронравов Н.Ю., Блюдов С.Е.  в Неклиновском районе Ростовской области (3 шт.).</t>
  </si>
  <si>
    <t>Установка системы учета для технологического присоединения энергопринимающих устройств Заявителя: Воронова Ю.В.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</si>
  <si>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Заявителей: Канюшник М.А., Жулина Е.И., Яковлев А.Н., Дышловая Т.Ю., Кривошапко В.В.  в Неклиновском районе Ростовской области (5 шт.). </t>
  </si>
  <si>
    <t xml:space="preserve">Установка системы учета для технологического присоединения энергопринимающих устройств Заявителя: Мамченко Е.С.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</si>
  <si>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Кокенко В.В., Исаджанян Ю.А.   в Неклиновском районе Ростовской области (2 шт.). </t>
  </si>
  <si>
    <t>Установка системы учета для технологического присоединения энергопринимающих устройств Заявителей: Миргородский В.В., Мирзебалаев М.А., Егоров А.В., Тарасенко Н.В., Рубанов К.А.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</si>
  <si>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Акопян С.А., Пашаев И.И.О., Пискунова В.Н., Шкодич А.Г., Федорова Л.Б., Тодоров П.А., Савенок И.И. в Неклиновском районе Ростовской области (7 шт.)</t>
  </si>
  <si>
    <t xml:space="preserve">Установка системы учета для технологического присоединения энергопринимающих устройств Заявителей: Омельченко С.Ю., Гаврилов А.А., Марченко С.Н.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</si>
  <si>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Заявителей: Никифоров В.Г., Азизов Э.Т. в Неклиновском районе Ростовской области (2 шт.) </t>
  </si>
  <si>
    <t>Установка системы учета для технологического присоединения энергопринимающих устройств Заявителей: ФКУ «Управление автомобильной магистрали Москва-Волгоград Федерального дорожного агентства», Олейник А.А., Путивцева С.В., Соколова Е.Ю., Лопаткин А.В., ИП Горбанева К.Д., Дорошина Е.Г., Шелестова Л.В., Печенкин И.В.  в Неклиновском районе Ростовской области (9 шт.).</t>
  </si>
  <si>
    <t xml:space="preserve">Установка системы учета для технологического присоединения энергопринимающих устройств Заявителей: Ливенцева А.А., Горобченко Е.Е., ИП Попов Г.А.   в Неклиновском районе Ростовской области (3 шт.). </t>
  </si>
  <si>
    <t xml:space="preserve">Установка системы учета для технологического присоединения энергопринимающих устройств Заявителей: Зобнев Н.В., Бова Л.П., Левин М.Е. в Неклиновском районе Ростовской области (3 шт.). </t>
  </si>
  <si>
    <t>Установка системы учета для технологического присоединения энергопринимающих устройств Заявителей: Булгакова Н.А., Задорожняя Л.А., Калиниченко Д.А.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</si>
  <si>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Минасова А.М., Рахубовская Е.И., Сушкин Д.А., Коханюк Т.Н., Самолюк Л.А.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</si>
  <si>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Куцых О.В., Копайгора З.Н., Назлуян С.Б.  в Неклиновском районе Ростовской области (3 шт.)</t>
  </si>
  <si>
    <t>Установка системы учета для технологического присоединения энергопринимающих устройств Заявителей: Мартыненко В.С., Баенко Г.А.   в Неклиновском районе Ростовской области (2 шт.).</t>
  </si>
  <si>
    <t xml:space="preserve">Установка системы учета для технологического присоединения энергопринимающих устройств Заявителя (Лаптева Л.И.)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</si>
  <si>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Заявителей: Лучин А.С., Кривошапка Н.И., Шуманов Н.М., Бойко А.Г., Парамонова Р.А.  в Неклиновском районе Ростовской области (5 шт.). </t>
  </si>
  <si>
    <t>Установка системы учета для технологического присоединения энергопринимающих устройств Заявителя (ПАО "МТС")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</si>
  <si>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(Скворцов В.Ю.) в Неклиновском районе Ростовской области (1шт.) </t>
  </si>
  <si>
    <t xml:space="preserve">Установка системы учета для технологического присоединения энергопринимающих устройств Заявителя (Ламах А.А.) в Неклиновском районе Ростовской области (1 шт.) </t>
  </si>
  <si>
    <t>Установка системы учета для технологического присоединения энергопринимающих устройств Заявителя (Бондарев Д.Ю.) в Неклиновском районе Ростовской области (1 шт.)</t>
  </si>
  <si>
    <t xml:space="preserve">Установка системы учета для технологического присоединения энергопринимающих устройств Заявителя (Администрация Неклиновского района)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</si>
  <si>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(Логинова М.В.) в Неклиновском районе Ростовской области (1 шт.) </t>
  </si>
  <si>
    <t xml:space="preserve">Установка системы учета для технологического присоединения энергопринимающих устройств Заявителя (ООО "Радиус") по адресу: Ростовская область, Неклиновский район, п. Дмитриадовка (1 шт.) </t>
  </si>
  <si>
    <t xml:space="preserve">Установка системы учета для технологического присоединения энергопринимающих устройств Заявителя (Сулина Е.Г.) по адресу: Ростовская область, Неклиновский район, с. Новобессергеневка, к.н. 61:26:0600024:4575 (1 шт.) </t>
  </si>
  <si>
    <t xml:space="preserve">Установка системы учета для технологического присоединения энергопринимающих устройств Заявителя (Хетагуров Э.И.) по адресу: Ростовская область, Неклиновский район, с. Покровское, ул. Полевая, д. 47, к.н. 61:26:0050114:699 (1 шт.) </t>
  </si>
  <si>
    <t xml:space="preserve">Установка системы учета для технологического присоединения энергопринимающих устройств Заявителя (МБУЗ «ЦРБ» НР РО) по адресу: Ростовская область, Неклиновский район, х. Рожок, ул. П.Е.Приходько, д. 23-б, к.н. 61:26:0100401:2180 (1 шт.) </t>
  </si>
  <si>
    <t xml:space="preserve">Установка системы учета для технологического присоединения энергопринимающих устройств Заявителя (МБУЗ «ЦРБ» НР РО) по адресу: Ростовская область, Неклиновский район, х. Мержаново, пер. Комсомольский 9-й, д. 8-а, к.н. 61:26:0060301:2174 (1 шт.) </t>
  </si>
  <si>
    <t xml:space="preserve">Установка системы учета для технологического присоединения энергопринимающих устройств Заявителя (МБУЗ «ЦРБ» НР РО) по адресу: Ростовская область, Неклиновский район, с. Малофедоровка, ул. Лиманная, д. 8-б, к.н. 61:26:0160201:780 (1 шт.) </t>
  </si>
  <si>
    <t xml:space="preserve">Установка системы учета для технологического присоединения энергопринимающих устройств Заявителя (МБУЗ «ЦРБ» НР РО) по адресу: Ростовская область, Неклиновский район, с. Новобессергеневка, ул. Ленина, д. 60 а, к.н. 61:26:0180101:300 (1 шт.) </t>
  </si>
  <si>
    <t xml:space="preserve">Установка системы учета для технологического присоединения энергопринимающих устройств Заявителя (Юнко Е.Н.) по адресу: Ростовская область, Неклиновский район,с. Весело-Вознесенко, ул. Пограничная, д. 40-В, к.н. 61:26:0100101:5087 (1 шт.) </t>
  </si>
  <si>
    <t>Установка системы учета для технологического присоединения энергопринимающих устройств Заявителя (Бондаренко В.В.) по адресу: Ростовская область, Неклиновский район, х. Веселый, ул. Первомайская, д. 17, к.н. 61:26:0070901:502 (1 шт.)</t>
  </si>
  <si>
    <t>Установка системы учета для технологического присоединения энергопринимающих устройств Заявителя (Гасинец Л.В.) по адресу: Ростовская область, Неклиновский район, х. Седых, ул. Центральная, д. 30-Б, к.н. 61:26:0181101:647 (1 шт.)</t>
  </si>
  <si>
    <t>Установка системы учета для технологического присоединения энергопринимающих устройств Заявителя (Кирпичев А.А.) по адресу: Ростовская область, Неклиновский р-н, с. Вареновка, ул. Партизанская, д. 2-в, к.н. 61:26:0502201:121 (1 шт.)</t>
  </si>
  <si>
    <t>Установка системы учета для технологического присоединения энергопринимающих устройств Заявителя (Богуш И.Н.) по адресу: Ростовская область, Неклиновский район, с. Николаевка, ул. Лермонтова, д. 78, к.н. 61:26:0110101:7408 (1 шт.)</t>
  </si>
  <si>
    <t>Установка системы учета для технологического присоединения энергопринимающих устройств Заявителя (Кирпичева Л.А.) по адресу: Ростовская область, Неклиновский район, с. Вареновка, ул. Партизанская, д. 2-в, к.н. 61:26:0502201:121 (1 шт.)</t>
  </si>
  <si>
    <t>Установка системы учета для технологического присоединения энергопринимающих устройств Заявителя (Назарян С.В.) по адресу: Ростовская область, Неклиновский район, с. Николаевка, ул. Парковая, д. 1-а, к.н. 61:26:0110101:9493 (1 шт.)</t>
  </si>
  <si>
    <t>Установка системы учета для технологического присоединения энергопринимающих устройств Заявителя (Ковалевская Т.А.) по адресу: Ростовская область, Неклиновский район, ст. Морская, ул. Ленина, д. 1/2-р, к.н. 61:26:0120301:177 (1 шт.)</t>
  </si>
  <si>
    <t>Установка системы учета для технологического присоединения энергопринимающих устройств Заявителя (Чалов А.В.) по адресу: Ростовская область, Неклиновский район, с. Весело-Вознесенка, к.н. 61:26:0600018:1687 (1 шт.)</t>
  </si>
  <si>
    <t>Установка системы учета для технологического присоединения энергопринимающих устройств Заявителя (ИП Юрьев А.И.) по адресу: Ростовская область, Неклиновский район, х. Копани, ул. Металлургическая, д. 32, пом. 1-24, 25-29, к.н. 61:26:0200701:304 (1 шт.)</t>
  </si>
  <si>
    <t>Обеспечение коммерческим учетом электрической энергии (мощности) в точке поставки и установки шкафа 0,4 кВ по присоединению спальных домиков Яровой О.А. и Колесниковой Н.С., расположенных по адресам: Ростовская область, г. Волгодонск, ул. Отдыха, д.3, кадастровыми номерами земельных участков 61:48:0020101:1273 и 61:48:0020101:1394</t>
  </si>
  <si>
    <t>Обеспечение коммерческим учетом электрической энергии (мощности) в точке поставки и установка шкафа 0,4 кВ по присоединению жилого дома Брагиной С.А., расположенного по адресу: Ростовская область, Волгодонской район, х. Мокросоленый, пер. Мирный, д.4а, к.н. 61:08:0010201:1290</t>
  </si>
  <si>
    <t xml:space="preserve">Обеспечение коммерческим учетом электрической энергии (мощности) в точке поставки и установка шкафа 0,4 кВ по присоединению дошкольной образовательной организации на 80 мест  Администрации Волгодонского района, расположенной по адресу: Ростовская область, Волгодонской район, х. Лагутники, ул. Степная, д. 1а, кадастровый номер земельного участка: 61:08:0000000:3423
</t>
  </si>
  <si>
    <t>Установка коммерческого учета электрической энергии (мощности) в точке поставки и установка шкафа 0,4 кВ по присоединению кафе ИП Строевой О.В., расположенного по адресу: Ростовская область, Волгодонской район, станица Романовская, ул. Ленина, д. 46, кадастровый номер земельного участка 61:08:0070106:24</t>
  </si>
  <si>
    <t>Установка  коммерческого учета  электрической энергии (мощности) в точке поставки и установка шкафа 0,4 кВ по присоединению жилого дома Помещенко О.А., расположенного по адресу: Ростовская область, Волгодонской район, станица Романовская, пер. Котова, д. 6а, кадастровый номер земельного участка 61:08:070129:840</t>
  </si>
  <si>
    <t>Установка коммерческого учета электрической энергии (мощности) в точке поставки и установка шкафа 0,4 кВ по присоединению спального дома Поповой Г.А., расположенного по адресу: Ростовская область, г. Волгодонск, ул. Отдыха, д. 5а, кадастровый номер земельного участка 61:48:0020101:1376</t>
  </si>
  <si>
    <t>Установка прибора коммерческого учета электрической энергии (мощности) в точке поставки для присоединения индивидуального жилого дома Абрамовой Н.Г., расположенного по адресу: Ростовская область, Волгодонской район, станица Романовская, ул. Одесская, д.13, кадастровый номер земельного участка: 61:08:0600601:3843</t>
  </si>
  <si>
    <t>Установка прибора коммерческого учета электрической энергии (мощности) в точке поставки для присоединения аптеки ИП Смольникова В.М., расположенной по адресу: Ростовская область, Волгодонской район, х. Потапов, ул. Комсомольская, д.36Б, кадастровый номер земельного участка: 61:08:0040110:1207</t>
  </si>
  <si>
    <t>Установка прибора коммерческого учета электрической энергии (мощности) в точке поставки для присоединения вагончика Большовой Г.И., расположенного по адресу: Ростовская область, г. Волгодонск, ул. Отдыха, д.3, к.н.з.у: 61:48:0020101:1272</t>
  </si>
  <si>
    <t>Установка прибора коммерческого учета электрической энергии (мощности) в точке поставки для присоединения складского здания ИП Демьянец Е.В., расположенного по адресу: Ростовская область, Волгодонской район, станица Романовская, ул. Соловьевых, д. 33, к.н.з.у.: 61:08:0070104:764</t>
  </si>
  <si>
    <t xml:space="preserve"> Установка прибора коммерческого учета электрической энергии (мощности) в точке поставки для присоединения индивидуального жилого дома Котелевской Г.Л., расположенного по адресу: Ростовская область, Волгодонской район, станица Романовская, ул. 75 лет Победы, д. 37, к.н.з.у.: 61:08:0600601:4594</t>
  </si>
  <si>
    <t>Установка прибора коммерческого учета электрической энергии (мощности) в точке поставки для присоединения индивидуального жилого дома Гречка О.Н., расположенного по адресу: Ростовская область, Волгодонской район, станица Романовская, ул. 75 лет Победы, д. 67, к.н.з.у.: 61:08:0600601:4623</t>
  </si>
  <si>
    <t xml:space="preserve">Установка прибора коммерческого учета электрической энергии (мощности) в точке поставки для присоединения садового дома Потогина Д.Ю., расположенного по адресу: Ростовская область, г. Волгодонск, ул. Отдыха, д. 39в42, к.н.з.у. 61:48:0020101:1582   
</t>
  </si>
  <si>
    <t>Установка прибора коммерческого учета электрической энергии (мощности) в точке поставки для присоединения магазина ИП Азаренковой Н.В., расположенного по адресу: Ростовская область, Волгодонской район, п. Краснодонский, ул. Школьная, д. 28, к.н.з.у.: 61:08:0060302:510</t>
  </si>
  <si>
    <t>Установка прибора коммерческого учета электрической энергии (мощности) в точке поставки для присоединения жилого дома Антиповой В.М., расположенного по адресу: Ростовская область, Цимлянский район, станица Красноярская, ул. Спортивная, д.3, к.н.з.у.: 61:41:0020128:74</t>
  </si>
  <si>
    <t>Установка прибора коммерческого учета электрической энергии (мощности) в точке поставки для присоединения жилого дома Загорского Е.А., расположенного по адресу: Ростовская область, Морозовский район, х. Великанов, ул. Великанова, д.35а, кадастровый номер земельного участка: 61:24:0110301:191</t>
  </si>
  <si>
    <t>Обеспечение коммерческим учетом электрической энергии (мощности) в точке поставки и установка шкафа 0,4 кВ по присоединению БС 2759  ООО "Т2 Мобайл" расположенной по адресу: РО, Цимлянский район, п. Дубравный, ул. Бушева, д.8, к.н. 61:41:0030404:294</t>
  </si>
  <si>
    <t>Установка коммерческого учета электрической энергии (мощности) в точке поставки и установка шкафа 0,4 кВ по присоединению жилого дома Влезко В.С., расположенного по адресу: Ростовская область, Цимлянский район, станица Красноярская, ул. Кумшацкая, д. 5а, Кадастровый номер земельного участка 61:41:0020117:63</t>
  </si>
  <si>
    <t>Установка коммерческого учета электрической энергии (мощности) в точке поставки и установка шкафа 0,4 кВ по присоединению скважины ИП главы К(Ф)Х Васильева А.А., расположенной по адресу:  Ростовская область, Цимлянский район, станица Камышевская, севернее станицы Камышевская, кадастровый номер земельного участка 61:41:0000000:19300</t>
  </si>
  <si>
    <t>Обеспечение коммерческим учетом электрической энергии (мощности) в точке поставки и установка шкафа 0,4 кВ по присоединению квартиры Голопяткиной Е.В., расположенной по адресу: Ростовская область, Цимлянский район, п. Сосенки, ул. Центральная, д. 1, кв./оф. 2, кадастровый номер земельного участка 61:41:030301:0063</t>
  </si>
  <si>
    <t>Установка коммерческого учета электрической энергии (мощности) в точке поставки и установка шкафа 0,4 кВ по присоединению модульного ФАП МБУЗ «ЦРБ» Морозовского района Ростовской области, расположенного по адресу: Ростовская область, Морозовский район, х. Великанов, ул. Великанова, д. 43, кадастровый номер земельного участка: 61:24:0110301:32</t>
  </si>
  <si>
    <t>Установка прибора коммерческого учета электрической энергии (мощности) в точке поставки по присоединению жилого дома Суровцевой А.Ф., расположенного по адресу: Ростовская область, Цимлянский район, х. Лозной, ул. Грушевая, д.31, кадастровый номер земельного участка 61:41:0600011:1165</t>
  </si>
  <si>
    <t>Установка прибора коммерческого учета электрической энергии (мощности) в точке поставки для присоединения жилого дома Томинец О.В., расположенного по адресу: Ростовская область, Цимлянский район, станица Красноярская, ул. Спортивная, д. 2б, корп. 3, к.н.з.у. 61:41:0020128:266</t>
  </si>
  <si>
    <t xml:space="preserve">Установка прибора коммерческого учета электрической энергии (мощности) в точке поставки для присоединения квартиры Чернышковой Е.М., расположенной по адресу: Ростовская область, Цимлянский район, п. Синий Курган, ул. Донская, д. 9, кв./оф. 1, к.н.з.у. 61:41:0040501:27 </t>
  </si>
  <si>
    <t>Установка прибора коммерческого учета электрической энергии (мощности) в точке поставки для присоединения жилого дома Скобина Н.С., расположенного по адресу: Ростовская область, Цимлянский район, х. Карнауховский, ул. Центральная, д. 10, к.н.з.у. 61:41:0060203:9</t>
  </si>
  <si>
    <t>Установка прибора коммерческого учета электрической энергии (мощности) в точке поставки для присоединения производственного здания/помещения ИП Джабирова М.А., расположенного по адресу: Ростовская область, Цимлянский район, станица Красноярская, ул. Победы, д. 110-г, к.н.з.у.: 61:41:0020108:171</t>
  </si>
  <si>
    <t>Установка прибора коммерческого учета электрической энергии (мощности) в точке поставки для присоединения жилого дома Доморощиной О.Г., расположенного по адресу: Ростовская область, Цимлянский район, станица Красноярская, ул. Социалистическая, д. 45а, к.н.з.у.: 61:41:0020125:229</t>
  </si>
  <si>
    <t>Установка прибора коммерческого учета электрической энергии (мощности) в точке поставки для присоединения жилого дома Журавлева А.И., расположенного по адресу: Ростовская область, Цимлянский район, х. Лозной, пер. Молодежный, д. 9, к.н.з.у.: 61:41:0030103:8</t>
  </si>
  <si>
    <t>Установка прибора коммерческого учета электрической энергии (мощности) в точке поставки для присоединения жилого дома Недельковича Р.П., расположенного по адресу: Ростовская область, Цимлянский район, станица Красноярская, ул. Заречная, д. 89в, к.н.з.у.: 61:41:0020126:131</t>
  </si>
  <si>
    <t>Установка прибора коммерческого учета электрической энергии (мощности) в точке поставки для присоединения жилого дома Пономарева А.И., расположенного по адресу: Ростовская область, Цимлянский район, станица Хорошевская, ул. Центральная, д. 37, к.н.з.у.: 61:41:0020202:68</t>
  </si>
  <si>
    <t>Установка прибора коммерческого учета электрической энергии (мощности) в точке поставки для присоединения жилого дома ООО «Приволье», расположенного по адресу: Ростовская область, Цимлянский район, п. Дубравный, ул. Красноярская, д. 20, к.н.з.у.: 61:41:0030401:219</t>
  </si>
  <si>
    <t>Установка прибора коммерческого учета электрической энергии (мощности) в точке поставки для присоединения жилого дома Коваль Е.В., расположенного по адресу: Ростовская область, Цимлянский район, станица Камышевская, ул. Донская, д. 19, к.н.з.у.: 61:41:0040108:27</t>
  </si>
  <si>
    <t>Установка прибора коммерческого учета электрической энергии (мощности) в точке поставки для присоединения объекта сельскохозяйственного производства ИП Алпатова С.В., расположенного по адресу: Ростовская область, Цимлянский район, в границах СПК «к-з им. Карла Маркса» МТФ-5, к.н.з.у.: 61:41:0600011:1037</t>
  </si>
  <si>
    <t>Установка прибора коммерческого учета электрической энергии (мощности) в точке поставки для присоединения жилого дома Курбановой Э.М-С., расположенного по адресу: Ростовская область, Цимлянский район, х. Черкасский, к.н.о.н.: 61:41:0600001:687</t>
  </si>
  <si>
    <t>Установка прибора коммерческого учета электрической энергии (мощности) в точке поставки для присоединения жилого дома Зарубина В.В., расположенного по адресу: Ростовская область, Цимлянский район, п. Синий Курган, Лозновское сельское поселение, на север на расстоянии 15-20 м от ЗУ с к.н. 61:41:0040501:375, к.н.з.у.: 61:41:0040501:420</t>
  </si>
  <si>
    <t>Установка прибора коммерческого учета электрической энергии (мощности) в точке поставки для присоединения модульного здания Администрации Саркеловского сельского поселения, расположенного по адресу: Ростовская область, Цимлянский район, п. Саркел,  ул. Винзаводская, д. 3-а, к.н.з.у.: 61:41:0011106:250</t>
  </si>
  <si>
    <t>Обеспечение коммерческим учетом электрической энергии (мощности) в точке поставки и установка шкафа 0,4 кВ по присоединению жилого дома Елисеева О.И., расположенного по адресу: Ростовская область, Мартыновский район, х. Малая Мартыновка, ул. Олимпийская, д. 1А, к.н. 61:20:0100201:3255</t>
  </si>
  <si>
    <t xml:space="preserve">Обеспечение коммерческим учетом электрической энергии (мощности) в точке поставки и установка шкафа 0,4 кВ по присоединению жилого дома Прудового И.В., расположенного по адресу: Ростовская область, Мартыновский район, х. Кривой Лиман, ул. Советская, д. 30, к.н. 61:20:0080401:953   
</t>
  </si>
  <si>
    <t>Установка коммерческого учета электрической энергии (мощности) в точке поставки и установка шкафа 0,4 кВ по присоединению жилого дома Воробьевой Л.Г., расположенного по адресу: Ростовская область, Мартыновский район, х. Новоселовка, пер. Мостовой, д. 11, кадастровый номер земельного участка 61:20:0070101:1216 (1 шт)</t>
  </si>
  <si>
    <t>Установка коммерческого учета электрической энергии (мощности) в точке поставки и установка шкафа 0,4 кВ по присоединению шкафа управления уличным освещением автомобильной дороги Министерства транспорта Ростовской области, расположенного по адресу: Ростовская область, Мартыновский район, х. Ильинов, х. Пробуждение – х. Ильинов – ст. Кутейниковская, кадастровый номер земельного участка 61:20:0000000:556</t>
  </si>
  <si>
    <t>Установка коммерческого учета электрической энергии (мощности) в точке поставки и установка шкафа 0,4 кВ по присоединению нежилого здания Аникиной Ю.В., расположенного по адресу: Ростовская область, Мартыновского район, п. Типчаковый, ул. Ленина, д. 19, кадастровый номер земельного участка 61:20:0080901:816</t>
  </si>
  <si>
    <t>Установка прибора коммерческого учета электрической энергии (мощности) в точке поставки по присоединению нежилого здания Мурадовой Д.С., расположенного по адресу: Ростовская область, Мартыновский район, х. Малоорловский, пер. Промышленный, д.15/1, кадастровый номер земельного участка 61:20:0060101:5259</t>
  </si>
  <si>
    <t>Установка прибора коммерческого учета электрической энергии (мощности) в точке поставки для присоединения жилого помещения Кушнира П.Ю., расположенного по адресу: Ростовская область, Мартыновский район, п. Речной, ул. Набережная, д.9, кв. 1, кадастровый номер земельного участка: 61:35:0050701:261</t>
  </si>
  <si>
    <t>Установка прибора коммерческого учета электрической энергии (мощности) в точке поставки для присоединения квартиры Ступина В.В., расположенной по адресу: Ростовская область, Мартыновский район, п. Речной, ул. Набережная, д.9, кв./оф. 2, к.н.з.у: 61:35:050701:18</t>
  </si>
  <si>
    <t>Обеспечение коммерческим учетом электрической энергии (мощности) в точке поставки и установка шкафа 0,4 кВ по присоединению квартиры Юрина П.В., расположенной по адресу: Ростовская область, Мартыновского район, х. Ильинов, ул. Молодежная, д. 15, кв./оф. 1, кадастровый номер земельного участка: 61:20:0040101:4001</t>
  </si>
  <si>
    <t>Установка прибора коммерческого учета электрической энергии (мощности) в точке поставки для присоединения квартиры Скороваровой Т.Н., расположенной по адресу: Ростовская область, Мартыновский район, п. Речной, ул. Набережная, д.11, кв./оф. 1, кадастровый номер земельного участка: 61:35:0050701:47</t>
  </si>
  <si>
    <t>Установка прибора коммерческого учета электрической энергии (мощности) в точке поставки для присоединения квартиры Житина П.А., расположенной по адресу: Ростовская область, Мартыновский район, п. Речной, ул. Набережная, д.1, кв. 2, кадастровый номер земельного участка: 61:35:0050701:287</t>
  </si>
  <si>
    <t>Установка прибора коммерческого учета электрической энергии (мощности) в точке поставки для присоединения квартиры Житиной О.И., расположенной по адресу: Ростовская область, Мартыновский район, п. Речной, ул. Набережная, д. 3, кв.1,  к.н.з.у: 61:35:50701:8</t>
  </si>
  <si>
    <t>Установка прибора коммерческого учета электрической энергии (мощности) в точке поставки для присоединения жилого дома Мамедова У.П., расположенного по адресу: Ростовская область, Мартыновский район, х. Арбузов, ул. Ковалева, д.8а, к.н.з.у.: 61:20:0080201:2628</t>
  </si>
  <si>
    <t>Установка прибора коммерческого учета электрической энергии (мощности) в точке поставки для присоединения жилого дома Иванченко С.В., расположенного по адресу: Ростовская область, Мартыновский район, х. Арбузов, ул. Краснопартизанская, д. 28а, к.н.з.у.: 61:20:0080201:2648</t>
  </si>
  <si>
    <t>Установка прибора коммерческого учета электрической энергии (мощности) в точке поставки для присоединения столовой ИП главы К(Ф)Х Химичева Ю.Н., расположенной по адресу: Ростовская область, Мартыновский район, х. Малая Мартыновка, ул. Административная, д. 8, к.н.з.у.: 61:20:0100201:515</t>
  </si>
  <si>
    <t>Установка прибора коммерческого учета электрической энергии (мощности) в точке поставки для присоединения жилого помещения Торосян Г.С., расположенного по адресу: Ростовская область, Мартыновский район, п. Речной, ул. Молодежная, д. 3, кв./оф. 1, к.н.з.у.: 61:35:0050701:258</t>
  </si>
  <si>
    <t>Установка прибора коммерческого учета электрической энергии (мощности) в точке поставки для присоединения помещения Таштанова Х.М., расположенного по адресу: Ростовская область, Мартыновский район, слобода Большая Орловка, ул. Революционная, д. 1а, к.н.з.у.: 61:20:0020101:103</t>
  </si>
  <si>
    <t>Установка прибора коммерческого учета электрической энергии (мощности) в точке поставки для присоединения нежилого помещения ИП Лещенко Н.П., расположенного по адресу: Ростовская область, Мартыновский район, слобода Большая Орловка, ул. Дорожная, д. 2/1-г, к.н.з.у.: 61:20:0020101:12977</t>
  </si>
  <si>
    <t>Установка прибора коммерческого учета электрической энергии (мощности) в точке поставки для присоединения жилого дома Булатовой М.Ю., расположенного по адресу: Ростовская область, Мартыновский район, х. Комаров, ул. Набережная, д. 74, к.н.з.у.: 61:20:0050101:3818</t>
  </si>
  <si>
    <t>Обеспечение коммерческим учетом электрической энергии (мощности) в точке поставки и установка шкафа 0,4 кВ по присоединению складских объектов  ИП главы К(Ф)Х Паныч Ю.В., расположенных по адресу: Ростовская область, Мартыновского район, х. Ильинов, ул. Ленина, д. 50, кадастровый номер земельного участка: 61:20:0040101:3852</t>
  </si>
  <si>
    <t>Установка прибора коммерческого учета электрической энергии (мощности) в точке поставки для присоединения жилого дома Бирюкова В.И., расположенного по адресу: Ростовская область, Константиновский район, х. Старозолотовский, ул. Донских казаков, д.10а, кадастровый номер земельного участка: 61:17:020501:0115</t>
  </si>
  <si>
    <t>Установка прибора коммерческого учета электрической энергии (мощности) в точке поставки для присоединения сторожки ООО «Костины Горы», расположенной по адресу: Ростовская область, Константиновский район, х. Старозолотовский, к.н.з.у.: 61:17:0600010:4007</t>
  </si>
  <si>
    <t>Установка прибора коммерческого учета электрической энергии (мощности) в точке поставки для присоединения жилого дома Вифлянцевой А.А., расположенного по адресу: Ростовская область, Константиновский район, станица Николаевская, ул. Коммунистическая, д. 46а, к.н.з.у.: 61:17:0050101:6648</t>
  </si>
  <si>
    <t>Установка прибора коммерческого учета электрической энергии (мощности) в точке поставки для присоединения жилого дома Мальковой Л.И., расположенного по адресу: Ростовская область, Константиновский район, х. Старозолотовский, ул. Атаманная, д. 6-а, к.н.з.у.: 61:17:0020501:287</t>
  </si>
  <si>
    <t xml:space="preserve">Установка прибора коммерческого учета электрической энергии (мощности) в точке поставки для присоединения квартиры Шовиковой О.В., расположенной по адресу: Ростовская область, Константиновский район, х. Ведерников, ул. Лесная, д. 43, кв. 2, к.н.з.у.: 61:17:0010501:122 </t>
  </si>
  <si>
    <t>Установка прибора коммерческого учета электрической энергии (мощности) в точке поставки для присоединения жилого дома Топилиной И.В., расположенного по адресу: Ростовская область, Константиновский район, станица Богоявленская, ул. Центральная,  д. 18, к.н.з.у.: 61:17:0030101:2544</t>
  </si>
  <si>
    <t>Установка прибора коммерческого учета электрической энергии (мощности) в точке поставки для присоединения садового домика Мамонова А.В., расположенного по адресу: Ростовская область, Константиновский район, х. Ведерников, садоводческое товарищество «Виноградарь», к.н.з.у.: 61:17:0500401:39</t>
  </si>
  <si>
    <t>Установка прибора коммерческого учета электрической энергии (мощности) в точке поставки для присоединения жилого дома Абашина А.Д., расположенного по адресу: Ростовская область, Константиновский район, п. Хрящевский, ул. Восточная, д. 1, к.н.з.у.: 61:17:0020601:0266</t>
  </si>
  <si>
    <t>Установка прибора коммерческого учета электрической энергии (мощности) в точке поставки для присоединения жилого дома Карпова В.И., расположенного по адресу: Ростовская область, Константиновский район, станица Мариинская, ул. Набережная, д. 119, к.н.з.у.: 61:17:050301:0367</t>
  </si>
  <si>
    <t>Установка прибора коммерческого учета электрической энергии (мощности) в точке поставки для присоединения жилого дома ООО «Костины Горы»., расположенного по адресу: Ростовская область, Константиновский район, х. Старозолотовский, ул. Донских казаков, д. 33, к.н.з.у.: 61:17:0020501:43</t>
  </si>
  <si>
    <t>Установка прибора коммерческого учета электрической энергии (мощности) в точке поставки для присоединения жилого дома Гордеевой Л.М., расположенного по адресу: Ростовская область, Константиновский район, станица Николаевская, ул. Ленина, д.9, кадастровый номер земельного участка: 61:17:0050101:6566</t>
  </si>
  <si>
    <t>Установка прибора коммерческого учета электрической энергии (мощности) в точке поставки для присоединения общественной территории у здания Администрации Николаевского сельского поселения, расположенной по адресу: Ростовская область, Константиновский район, станица Николаевская, ул. Центральная, д. 23, к.н.з.у.: 61:17:00501011:6896</t>
  </si>
  <si>
    <t>Установка прибора коммерческого учета электрической энергии (мощности) в точке поставки для присоединения жилого дома Бондаренко С.С., расположенного по адресу: Ростовская область, Константиновский район, х. Вифлянцев, ул. Заречная, д. 39, к.н.з.у.: 61:17:0070301:261</t>
  </si>
  <si>
    <t>Установка коммерческого учета электрической энергии (мощности)  в точке поставки и установка шкафа 0,4 кВ по присоединению жилого дома Логвинова В.А., расположенного по адресу: Ростовская область, Константиновский район, х. Трофимов, ул. Степная, д.22, кадастровый номер земельного участка 61:17:0061001:133</t>
  </si>
  <si>
    <t>Установка прибора коммерческого учета электрической энергии (мощности) в точке поставки для присоединения жилого дома Леонова А.А., расположенного по адресу: Ростовская область, Константиновский район, х. Гапкин, ул. Зеленая, д. 14, к.н.з.у.: 61:17:0040101:0481</t>
  </si>
  <si>
    <t>Установка прибора коммерческого учета электрической энергии (мощности) в точке поставки для присоединения жилого дома Вифлянцева С.Н., расположенного по адресу: Ростовская область, Константиновский район, станица Николаевская, ул. 8 Марта, д. 20, к.н.з.у.: 61:17:0050101:1374</t>
  </si>
  <si>
    <t>Установка прибора коммерческого учета электрической энергии (мощности) в точке поставки для присоединения жилого дома Лебеденко В.П., расположенного по адресу: Ростовская область, Константиновский район, х. Авилов, ул. Молодежная, д. 18, к.н.з.у.: 61:17:0020101:892</t>
  </si>
  <si>
    <t>Установка коммерческого учета электрической энергии (мощности) в точке поставки и установка шкафа 0,4 кВ по присоединению жилого дома Орловской А.В., расположенного по адресу: Ростовская область, Ремонтненский район, с. Подгорное, ул. Ленина, д.49, кадастровый номер земельного участка 61:32:127:1:52:36:49:0</t>
  </si>
  <si>
    <t>Установка прибора коммерческого учета электрической энергии (мощности) в точке поставки для присоединения жилого дома Абдуллаева М.М., расположенного по адресу: Ростовская область, Ремонтненский район, с. Валуевка, ул. Горяинова, д.88, кадастровый номер земельного участка: 61:32:0020101:238</t>
  </si>
  <si>
    <t>Установка прибора коммерческого учета электрической энергии (мощности) в точке поставки для присоединения специализированных складов ИП главы К(Ф)Х Исагаджиева М.А., расположенных по адресу: Ростовская область, Ремонтненский район, п. Денисовский, ул. Садовая, д.15а, кадастровый номер земельного участка: 61:32:0030101:1669</t>
  </si>
  <si>
    <t>Установка прибора коммерческого учета электрической энергии (мощности) в точке поставки для присоединения жилого дома Косенко В.И., расположенного по адресу: Ростовская область, Ремонтненский район, с. Первомайское, ул. Октябрьская, д.62, кадастровый номер земельного участка: 61:32:0080102:2465</t>
  </si>
  <si>
    <t>Установка  коммерческого учета электрической энергии (мощности) в точке поставки и установка шкафа 0,4 кВ по присоединению жилого дома Лысенко С.И., расположенного по адресу: Ростовская область, Ремонтненский район, с. Большое Ремонтное, ул. Заречная, д.29, кадастровый номер земельного участка 61:32:0040101:14 (1шт)</t>
  </si>
  <si>
    <t>Установка коммерческого учета электрической энергии (мощности) в точке поставки и установка шкафа 0,4 кВ по присоединению жилого дома Моргунова П.М, расположенного по адресу: Ростовская область, Ремонтненский район, с. Киевка, ул. Октябрьская, д.15, кадастровый номер земельного участка 61:32:0050101:931</t>
  </si>
  <si>
    <t>Установка прибора коммерческого учета электрической энергии (мощности) в точке поставки для присоединения жилого дома Ануфриенко Я.В., расположенного по адресу: Ростовская область, Ремонтненский район, с. Богородское, ул. Болдырева, д. 2а, к.н.з.у.: 61:32:0040201:223</t>
  </si>
  <si>
    <t>Установка прибора коммерческого учета электрической энергии (мощности) в точке поставки для присоединения жилого дома Гасанова И.М., расположенного по адресу: Ростовская область, Ремонтненский район, п. Новопривольный, ул. Степная, д. 4, к.н.з.у.: 61:32:0100201:11</t>
  </si>
  <si>
    <t>Установка прибора коммерческого учета электрической энергии (мощности) в точке поставки для присоединения жилого дома Богачева А.В., расположенного по адресу: Ростовская область, Ремонтненский район, с. Подгорное, ул. Аэродромная, д. 15, к.н.з.у.: 61:32:0090101:173</t>
  </si>
  <si>
    <t>Установка прибора коммерческого учета электрической энергии (мощности) в точке поставки для присоединения жилого дома Босенко О.Ю., расположенного по адресу: Ростовская область, Ремонтненский район, с. Киевка, ул. Ленинская, д. 72, к.н.з.у.: 61:32:0050101:226</t>
  </si>
  <si>
    <t>Установка прибора коммерческого учета электрической энергии (мощности) в точке поставки для присоединения жилого дома Дьякона Н.Д., расположенного по адресу: Ростовская область, Ремонтненский район, с. Киевка, ул. Шолохова, д. 41, к.н.з.у.: 61:32:050101:0022</t>
  </si>
  <si>
    <t>Установка прибора коммерческого учета электрической энергии (мощности) в точке поставки для присоединения жилого дома Луговенко Т.Ю., расположенного по адресу: Ростовская область, Ремонтненский район, с. Подгорное, ул. Комсомольская, д. 22, к.н.з.у.: 61:32:0090101:1731</t>
  </si>
  <si>
    <t>Установка прибора коммерческого учета электрической энергии (мощности) в точке поставки для присоединения квартиры Смирновой М.А., расположенной по адресу: Ростовская область, Ремонтненский район, п. Новопривольный, ул. Лермонтова, д. 18, кв. 1, к.н.з.у.: 61:32:0100201:78</t>
  </si>
  <si>
    <t>Установка коммерческого учета электрической энергии (мощности) в точке поставки и установка шкафа 0,4 кВ по присоединению кошары Главы К(Ф)Х Булатова М-Р.М., расположенной по адресу: Ростовская область, Ремонтненский район, Подгорненское сельское поселение примерно в 7 км по направлению на северо-восток от с. Подгорное от ориентира 41 отарный участок, расположенного в границах участка, ж/т 13, кадастровый номер земельного участка 61:32:0000000:2312  (1 шт)</t>
  </si>
  <si>
    <t>Установка  коммерческого учета электрической энергии (мощности) в точке поставки и установка шкафа 0,4 кВ по присоединению жилого дома Лозового А.В., расположенного по адресу: Ростовская область, Заветинский район, с. Федосеевка, ул. Пограничная, д. 16, к.н. 61:11:0070101:556 (1 шт)</t>
  </si>
  <si>
    <t>Установка коммерческого учета электрической энергии (мощности) в точке поставки и установка шкафа 0,4 кВ по присоединению квартиры в жилом доме Сотниковой Е.В., расположенной по адресу: Ростовская область, Заветинский район, х. Фомин, ул. Молодежная, д. 7, кв. 1, кадастровый номер земельного участка 61:11:0080101:1360</t>
  </si>
  <si>
    <t>Установка коммерческого учета электрической энергии (мощности) в точке поставки и установка шкафа 0,4 кВ по присоединению жилого дома Арсакаевой Х.Р., расположенного по адресу: Ростовская область, Заветинский район, х. Фомин, ул. Школьная, д. 32, кадастровый номер земельного участка 61:11:0080101:1232</t>
  </si>
  <si>
    <t>Установка коммерческого учета электрической энергии (мощности) в точке поставки и установка шкафа 0,4 кВ по присоединению нежилого здания ИП главы К(Ф)Х Середы Ф.Г., расположенного по адресу: Ростовская область, Заветинский район, с. Заветное, ул. Социалистическая, д.25а, кадастровый номер земельного участка 61:11:0010101:9705</t>
  </si>
  <si>
    <t>Установка прибора коммерческого учета электрической энергии (мощности) в точке поставки для присоединения квартиры Сидоришиной Н.В., расположенной по адресу: Ростовская область, Заветинский район, х. Фомин, ул. Быкадорова, д.13, кв. 1, кадастровый номер объекта: 61:61:14/202/2008:525</t>
  </si>
  <si>
    <t>Установка прибора коммерческого учета электрической энергии (мощности) в точке поставки для присоединения жилого дома Джалиева А.М., расположенного по адресу: Ростовская область, Заветинский район, п. Спорная, проезд Ковыльный, д.21, кадастровый номер объекта: 61:11:09:0000:2084/А:0/6551</t>
  </si>
  <si>
    <t>Установка прибора коммерческого учета электрической энергии (мощности) в точке поставки для присоединения жилого дома Магомедшарипова М.М., расположенного по адресу: Ростовская область, Заветинский район, с. Тюльпаны, проезд. Солнечный, д. 7,  к.н.з.у.: 61:11:0600012:532</t>
  </si>
  <si>
    <t>Установка прибора коммерческого учета электрической энергии (мощности) в точке поставки для присоединения жилого дома Карапетяна А.Е., расположенного по адресу: Ростовская область, Заветинский район, с. Кичкино, проезд Степной, д. 19, к.н.з.у.: 61:11:0600010:621</t>
  </si>
  <si>
    <t>Установка прибора коммерческого учета электрической энергии (мощности) в точке поставки для присоединения квартиры Жуковой С.А., расположенной по адресу: Ростовская область, Заветинский район, с. Тюльпаны, пер. Центральный, д. 4, кв. 1, к.н.з.у.: 61:11:0040101:66</t>
  </si>
  <si>
    <t>Установка прибора коммерческого учета электрической энергии (мощности) в точке поставки для присоединения квартиры Шамсадовой Х.А., расположенной по адресу: Ростовская область, Заветинский район, с. Кичкино, ул. Солнечная, д. 17, кв. 2, к.н.з.у.: 61:11:030101:3</t>
  </si>
  <si>
    <t>Установка прибора коммерческого учета электрической энергии (мощности) в точке поставки для присоединения столярного цеха ИП главы К(Ф)Х Годуева Р.С., расположенного по адресу: Ростовская область, Заветинский район, х. Никольский, ул. Кольцевая, д. 71, к.н.з.у.: 61:11:0050101:1499</t>
  </si>
  <si>
    <t>Установка прибора коммерческого учета электрической энергии (мощности) в точке поставки для присоединения жилого дома Бахмадова С.М., расположенного по адресу: Ростовская область, Заветинского район, п. Спорная, ул. Дружбы, д. 1, к.н.з.у.: 61:11:0050301:10</t>
  </si>
  <si>
    <t>Установка прибора коммерческого учета электрической энергии (мощности) в точке поставки для присоединения квартиры в жилом доме Мовлатова Х.Х., расположенной по адресу: Ростовская область, Заветинский район, х. Фрунзе, ул. Шоссейная, д. 3, кв. 2, к.н.з.у.: 61:11:0050401:101</t>
  </si>
  <si>
    <t>Установка прибора коммерческого учета электрической энергии (мощности) в точке поставки для присоединения нежилого помещения ИП Гнатюк Н.Б., расположенного по адресу: Ростовская область, Дубовский район, станица Жуковская, ул. Краснопартизанская,  д. 31а, к.н.з.у.: 61:09:0030101:2872</t>
  </si>
  <si>
    <t>Установка прибора коммерческого учета электрической энергии (мощности) в точке поставки для присоединения квартиры в жилом доме Муртазалиевой П.А., расположенной по адресу: Ростовская область, Дубовский район, станица Эркетиновская, ул. Первомайская, д. 2, кв. 2, к.н.з.у. 61:09:0080601:0:194</t>
  </si>
  <si>
    <t>Установка прибора коммерческого учета электрической энергии (мощности) в точке поставки для присоединения жилого дома Шутовой М.И., расположенного по адресу: Ростовская область, Дубовский район, х. Харсеев, ул. Крайняя, д. 16, к.н.з.у.: 61:09:0030401:131</t>
  </si>
  <si>
    <t>Установка прибора коммерческого учета электрической энергии (мощности) в точке поставки для присоединения квартиры Васильченко С.Е., расположенной по адресу: Ростовская область, Дубовский район, станица Баклановская, ул. Майская, д. 9, кв. 1, к.н.з.у.: 61:09:0060301:65</t>
  </si>
  <si>
    <t>Установка прибора коммерческого учета электрической энергии (мощности) в точке поставки для присоединения жилого дома Гущиной С.В., расположенного по адресу: Ростовская область, Дубовский район, х. Овчинников, пер. Восточный, д. 10, к.н.з.у.: 61:09:0030201:299</t>
  </si>
  <si>
    <t>Обеспечение коммерческим учетом электрической энергии (мощности) в точке поставки и установка шкафа 0,4 кВ по присоединению жилого дома Абрамян С.К., расположенного по адресу: Ростовская область, Зимовниковский район, х. Ленинский, ул. Мира, д.123, к.н. 61:13:0130601:445»</t>
  </si>
  <si>
    <t>Обеспечение коммерческим учетом электрической энергии (мощности) в точке поставки и установка шкафа 0,22 кВ по присоединению жилого дома Грицына А.Я., расположенного по адресу: Ростовская область, Зимовниковский район, х. Хуторской, ул. Школьная, д. 21, к.н. 61:13:060103:0029</t>
  </si>
  <si>
    <t>Установка прибора коммерческого учета электрической энергии (мощности) в точке поставки по присоединению жилого дома Искендерова Э.М.О., расположенного по адресу: Ростовская область, Зимовниковский район, с/п Верхнесеребряковское, вблизи х. Петухов, кадастровый номер земельного участка 61:13:0600001:2688</t>
  </si>
  <si>
    <t>Установка прибора коммерческого учета электрической энергии (мощности) в точке поставки для присоединения жилого дома Брылева А.С., расположенного по адресу: Ростовская область, Зимовниковский район, п. Зимовники, пер. Клубный, д. 15, к.н.з.у.: 61:13:0010336:125</t>
  </si>
  <si>
    <t>Установка прибора коммерческого учета электрической энергии (мощности) в точке поставки для присоединения жилого дома Бурова Н.С., расположенного по адресу: Ростовская область, Волгодонской район, станица Каргальская, ул. Набережная, д. 13А, к.н.з.у.: 61:08:0040501:308</t>
  </si>
  <si>
    <t>Установка прибора коммерческого учета электрической энергии (мощности) в точке поставки для присоединения жилого дома Бойко И.В., расположенного по адресу: Ростовская область, Волгодонской район, станица Романовская, ул. Почтовая, д. 1, к.н.з.у.: 61:08:0070111:454</t>
  </si>
  <si>
    <t>Установка прибора коммерческого учета электрической энергии (мощности) в точке поставки для присоединения жилого дома Горбачева Н.А., расположенного по адресу: Ростовская область, Цимлянский район, станица Красноярская, ул. 60 лет Октября, д. 4, к.н.з.у.: 61:41:0020128:43</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</si>
  <si>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Морозовский район, станица Чертковская</t>
  </si>
  <si>
    <t>Обеспечение коммерческим учетом электрической энергии (мощности) в точке поставки и установка шкафа 0,4 кВ по присоединению жилого дома Коновалова А.Н., расположенного по адресу: Ростовская область, Цимлянский район, п. Саркел, пер. Полевой, д. 5, к.н. 61:41:0011105:85</t>
  </si>
  <si>
    <t>Установка прибора коммерческого учета электрической энергии (мощности) в точке поставки для присоединения жилого дома Попова А.П., расположенного по адресу: Ростовская область, Цимлянский район, х. Лозной, пер. Победы, д. 55а, к.н.з.у.: 61:41:0030112:198</t>
  </si>
  <si>
    <t>Установка прибора коммерческого учета электрической энергии (мощности) в точке поставки для присоединения жилого дома Медянниковой Л.Н., расположенного по адресу: Ростовская область, Цимлянский район, п. Дубравный, ул. Красноярская, д. 15, к.н.з.у.: 61:41:0030401:216</t>
  </si>
  <si>
    <t>Установка прибора коммерческого учета электрической энергии (мощности) в точке поставки для присоединения жилого дома Герасименко Л.Т., расположенного по адресу: Ростовская область, Цимлянский район, станица Новоцимлянская, ул. Театральная, д. 11, к.н.з.у.: 61:41:0070112:12</t>
  </si>
  <si>
    <t>Установка прибора коммерческого учета электрической энергии (мощности) в точке поставки для присоединения жилого дома Захарова Д.В., расположенного по адресу: Ростовская область, Цимлянский район, х. Ремизов, ул. Веселая, д. 15, к.н.з.у.: 61:41:070305:0002</t>
  </si>
  <si>
    <t>Установка прибора коммерческого учета электрической энергии (мощности) в точке поставки для присоединения жилого дома Самокишева И.И., расположенного по адресу: Ростовская область, Цимлянский район, станица Красноярская, пер. Красноармейский, д. 7б, к.н.з.у.: 61:41:0020118:109</t>
  </si>
  <si>
    <t>Установка прибора коммерческого учета электрической энергии (мощности) в точке поставки для присоединения жилого дома Листратенко Р.С., расположенного по адресу: Ростовская область, Цимлянский район, станица Новоцимлянская, ул. Советская, д. 1/15,  к.н.з.у.: 61:41:0070115:8</t>
  </si>
  <si>
    <t>Установка прибора коммерческого учета электрической энергии (мощности) в точке поставки для присоединения жилого дома Биктимировой Н.В., расположенного по адресу: Ростовская область, Цимлянский район, станица Красноярская, ул. Набережная, д. 80а, к.н.з.у.: 61:41:0020113:601</t>
  </si>
  <si>
    <t>Установка прибора коммерческого учета электрической энергии (мощности) в точке поставки для присоединения жилого дома Харланова А.А., расположенного по адресу: Ростовская область, Цимлянский район, станица Красноярская, пер. Кооперативный, д. 15, к.н.з.у.: 61:41:0020124:4</t>
  </si>
  <si>
    <t>Установка прибора коммерческого учета электрической энергии (мощности) в точке поставки для присоединения квартиры Бабаян А.А., расположенной по адресу: Ростовская область, Константиновский район, х. Костино-Горский, ул. Молодежная, д. 10, кв. 1, к.н.з.у.: 61:17:0020201:602</t>
  </si>
  <si>
    <t>Установка прибора коммерческого учета электрической энергии (мощности) в точке поставки для присоединения жилого дома Гляненко Т.Н., расположенного по адресу: Ростовская область, Константиновский район, х. Крюков, ул. Школьная, д. 12, к.н.з.у.: 61:17:0060701:143</t>
  </si>
  <si>
    <t>Установка прибора коммерческого учета электрической энергии (мощности) в точке поставки для присоединения жилого дома Хабибулиной Л.В., расположенного по адресу: Ростовская область, Константиновский район, станица Николаевская, ул. Центральная, д. 36, к.н.з.у.: 61:17:050101:1029</t>
  </si>
  <si>
    <t>Установка коммерческого учета электрической энергии (мощности) в точке поставки и установка шкафа 0,4 кВ по присоединению жилого дома Зайцева В.Н., расположенного по адресу: Ростовская область, Константиновский район, х. Старая Станица, ул. Заречная, д. 20, кадастровый номер земельного участка 61:17:0050501:513</t>
  </si>
  <si>
    <t>Установка коммерческого учета электрической энергии (мощности)  в точке поставки и установка шкафа 0,4 кВ по присоединению жилого дома Гусейновой И.А., расположенного по адресу: Ростовская область, Константиновский район, станица Николаевская, ул. Крупской, д.69, кадастровый номер земельного участка 61:17:0050101:2033</t>
  </si>
  <si>
    <t>Установка прибора коммерческого учета электрической энергии (мощности) в точке поставки для присоединения жилого дома Адуевой В.Д., расположенного по адресу: Ростовская область, Константиновский район, х. Кастырский, ул. Степная, д. 8, к.н.з.у.: 61:17:0030301:397</t>
  </si>
  <si>
    <t>Установка прибора коммерческого учета электрической энергии (мощности) в точке поставки для присоединения помещения гостиницы №2 АО «Азово-Донская нерудная компания», расположенного по адресу: Ростовская область, Константиновский район, х. Верхнепотапов, ул. Молодежная, д. 5, к.н.з.у.: 61:17:060401:0150</t>
  </si>
  <si>
    <t>Установка прибора коммерческого учета электрической энергии (мощности) в точке поставки для присоединения жилого дома Борисенко И.В., расположенного по адресу: Ростовская область, Константиновский район, станица Николаевская, ул. Крупской, д. 6, к.н.з.у.: 61:17:0050101:2023</t>
  </si>
  <si>
    <t>Установка прибора коммерческого учета электрической энергии (мощности) в точке поставки для присоединения жилого дома СПК колхоза имени Николенко, расположенного по адресу: Ростовская область, Ремонтненский район, северо-западнее х. Вольный на расстоянии 13-14 км, к.н.з.у.: 61:32:0000000:2375</t>
  </si>
  <si>
    <t>Установка прибора коммерческого учета электрической энергии (мощности) в точке поставки для присоединения квартиры Махашева Л.М., расположенной по адресу: Ростовская область, Ремонтненский район, с. Валуевка, ул. Горяинова, д. 15, кв. 2, к.н.з.у.: 61:32:0020101:311</t>
  </si>
  <si>
    <t>Установка прибора коммерческого учета электрической энергии (мощности) в точке поставки для присоединения базовой станции/оборудования сотовой связи АО «Первая Башенная Компания», расположенной по адресу: Ростовская область, Зимовниковский район, х. Камышев, ул. Центральная, в 60 метрах от дома №15, номер кадастрового квартала: 61:13:0050108</t>
  </si>
  <si>
    <t>Обеспечение коммерческим учетом электрической энергии (мощности) в точке поставки и установка шкафа 0,4 кВ по присоединению магазина смешанных товаров ООО «Альфа», расположенного по адресу: Ростовская область, Волгодонской район, п. Победа, ул. Кооперативная, д. 1а, к.н. 61:08:0060104:87</t>
  </si>
  <si>
    <t>Установка прибора коммерческого учета электрической энергии (мощности) в точке поставки для присоединения наружного освещения (светодиодные светильники) и фоторадарного комплекса измерения скорости транспортных средств «Кордон-М»2 Министерства транспорта Ростовской области., расположенного по адресу: Ростовская область, Волгодонской район, от границы Мартыновского района (на северо-запад от п. Краснодонский=2 км). Конец – в 3 км на северо-запад от Волгодонска, к.н.з.у: 61:08:0000000:0:69</t>
  </si>
  <si>
    <t>Установка прибора коммерческого учета электрической энергии (мощности) в точке поставки для присоединения индивидуального жилого дома Трымбаковой В.И., расположенного по адресу: Ростовская область, Волгодонской район, станица Романовская, ул. 75 лет Победы, д. 51, к.н.з.у.: 61:08:0600601:4608</t>
  </si>
  <si>
    <t>Установка прибора коммерческого учета электрической энергии (мощности) в точке поставки для присоединения жилого дома Косогова С.И., расположенного по адресу: Ростовская область,Волгодонской район, станица Романовская, ул. 75 лет Победы, д. 29, к.н.з.у.: 61:08:0600601:4586</t>
  </si>
  <si>
    <t>Установка прибора коммерческого учета электрической энергии (мощности) в точке поставки для присоединения индивидуального жилого дома Нидзеева Г.Б., расположенного по адресу: Ростовская область, Волгодонской район, станица Романовская, ул. 75 лет Победы, д. 73, к.н.з.у.: 61:08:0600601:4629</t>
  </si>
  <si>
    <t>Установка прибора коммерческого учета электрической энергии (мощности) в точке поставки для присоединения индивидуального жилого дома Бардыкова А.П., расположенного по адресу: Ростовская область,  Волгодонской район, станица Романовская, ул. 75 лет Победы, д. 35, к.н.з.у.: 61:08:0600601:4592</t>
  </si>
  <si>
    <t>Установка прибора коммерческого учета электрической энергии (мощности) в точке поставки для присоединения садового дома Егоровой Ж.А., расположенного по адресу: Ростовская область, г. Волгодонск, ул. Отдыха, д. 39в24, к.н.з.у.: 61:48:0020101:1863</t>
  </si>
  <si>
    <t>Установка прибора коммерческого учета электрической энергии (мощности) в точке поставки для присоединения жилого дома Павловской Т.А., расположенного по адресу: Ростовская область, Волгодонской район, станица Романовская, пер. Изумрудный, д. 12, к.н.з.у.: 61:08:0070114:542</t>
  </si>
  <si>
    <t>Установка прибора коммерческого учета электрической энергии (мощности) в точке поставки для присоединения жилого дома Лосевой А.В., расположенного по адресу: Ростовская область, Волгодонской район, х. Лагутники, пер. Юбилейный, д. 10, к.н.з.у.: 61:08:0070202:87</t>
  </si>
  <si>
    <t>Установка прибора коммерческого учета электрической энергии (мощности) в точке поставки для присоединения жилого дома Криницыной М.В., расположенного по адресу: Ростовская область, Волгодонской район, станица Романовская, пер. Чкаловский, д. 6, к.н.з.у.: 61:08:0070121:86</t>
  </si>
  <si>
    <t>Установка коммерческого учета электрической энергии (мощности) в точке поставки и установка шкафа 0,4 кВ по присоединению хозяйственной постройки Ни Л.П., расположенной по адресу: Ростовская область, Волгодонской район, х. Потапов, примерно 3634 м по направлению на восток от х. Потапов, кадастровый номер земельного участка 61:08:0601501:306</t>
  </si>
  <si>
    <t>Установка прибора коммерческого учета электрической энергии (мощности) в точке поставки для присоединения жилого дома Ахадова Д.Ш.О, расположенного по адресу: Ростовская область, Волгодонской район, станица Романовская, пер. Колхозный, д. 49, к.н.з.у.: 61:08:0070131:72</t>
  </si>
  <si>
    <t>Установка прибора коммерческого учета электрической энергии (мощности) в точке поставки для присоединения индивидуального жилого дома Пушинской О.А., расположенного по адресу: Ростовская область, Волгодонской район, станица Романовская, ул. Луговая, д. 5, к.н.з.у.: 61:08:0070107:933</t>
  </si>
  <si>
    <t>Установка прибора коммерческого учета электрической энергии (мощности) в точке поставки для присоединения жилого дома Крюкова Д.В., расположенного по адресу: Ростовская область, Волгодонской район, х. Парамонов, ул. Гагарина, д. 21А, к.н.з.у. 61:08:0070301:1008</t>
  </si>
  <si>
    <t>Установка прибора коммерческого учета электрической энергии (мощности) в точке поставки для присоединения индивидуального жилого дома Горелова А.В., расположенного по адресу: Ростовская область,  Волгодонской район, станица Романовская, ул. 75 лет Победы, д. 47, к.н.з.у.: 61:08:0600601:4604</t>
  </si>
  <si>
    <t>Установка прибора коммерческого учета электрической энергии (мощности) в точке поставки для присоединения индивидуального жилого дома Олексий А.Г., расположенного по адресу: Ростовская область, Волгодонской район, станица Романовская, ул. 75 лет Победы, д. 31, к.н.з.у.: 61:08:0600601:5195</t>
  </si>
  <si>
    <t xml:space="preserve">Строительство участка ВЛИ-0,4 кВ от вновь установленной опоры вновь построенной ВЛИ-0,4 кВ (по договорам ТП №61-1-20-00521217 от 28.07.2020г, №61-1-20-00521557 от 29.07.2020г, №61-1-20-00522991 от 29.07.2020г,  №61-1-20-00521253 от 29.07.2020г, №61-1-20-00521227 от 13.08.2020г, №61-1-20-00520401 от 13.08.2020г) от вновь установленной ТП-6/0,4 кВ по ВЛ-6 кВ №1 ПС 35/6 кВ Романовская (по договорам ТП №61-1-19-00441801 от 13.05.2019г и №61-1-19-00437609 от 15.05.2019г), с установкой шкафа 0,4 кВ, и  обеспечение коммерческим учетом электрической энергии (мощности) в точке поставки по присоединению спального домика Сливнициной О.Ю., расположенного по адресу: Ростовская обл., г. Волгодонск, ул. Отдыха, д. 3, кадастровый номер земельного участка. 61:48:0020101:1254 (ориентировочная протяженность ЛЭП 0,03 км)
</t>
  </si>
  <si>
    <t>Строительство участка ВЛИ-04 кВ от вновь установленной опоры вновь построенной ВЛИ-0,4 кВ (по договорам ТП №61-1-20-00521217 от 28.07.2020г., №61-1-20-00521557 от 29.07.2020г., №61-1-20-00522991 от 29.07.2020г., №61-1-20-00521253 от 29.07.2020г) от вновь установленной ТП-6/0,4 кВ по ВЛ-6 кВ №1 ПС 35/6 кВ Романовская (по договорам ТП №61-1-19-00441801 от 13.05.2019г и №61-1-19-00437609 от 15.05.2029г), с установкой шкафов 0,4 кВ и обеспечение коммерческим учетом электрической энергии (мощности) в точках поставки по присоединению дачного домика Сержанова Н.В. и нежилого строения Бернград О.Ю., расположенных по адресам: Ростовская область, г. Волгодонск, ул. Отдыха ,д.3, кадастровыми номерами земельных участков 61:48:0020101:1352 и 61:48:0020101:1473 (ориентировочная протяженность ЛЭП 0,04 км)</t>
  </si>
  <si>
    <t>Установка прибора коммерческого учета электрической энергии (мощности) в точке поставки для присоединения модульного фельдшерско-акушерского пункта Администрации Цимлянского района., расположенного по адресу: Ростовская область, Цимлянский район, х. Черкасский, ул. Школьная, д. 2а, к.н.з.у.: 61:41:0050301:880</t>
  </si>
  <si>
    <t>Установка прибора коммерческого учета электрической энергии (мощности) в точке поставки для присоединения торгового павильона ООО «Костины Горы», расположенного по адресу: Ростовская область, Константиновский район, х. Старозолотовский, ул. Ермолова, д. 2-б, к.н.з.у.: 61:17:0600010:3686</t>
  </si>
  <si>
    <t>Установка прибора коммерческого учета электрической энергии (мощности) в точке поставки для присоединения жилого дома Репкина С.Ф., расположенного по адресу: Ростовская область, Ремонтненский район, с. Киевка, ул. Братьев Дьяченко, д. 4, к.н.о.: 61:32:0050101:1119, к.н.з.у.: 61:32:0050101:329</t>
  </si>
  <si>
    <t>Установка прибора коммерческого учета электрической энергии (мощности) в точке поставки для присоединения жилого дома Зуева В.О., расположенного по адресу: Ростовская область, Мартыновский район, х. Засальский, ул. Буденного, д. 48, к.н.з.у.: 61:20:0080301:240</t>
  </si>
  <si>
    <t>Установка прибора коммерческого учета электрической энергии (мощности) в точке поставки для присоединения жилого дома Алиева Ч.А., расположенного по адресу: Ростовская область, Дубовский район, х. Кут-Кудинов, ул. Раздольная, д. 38, к.н.з.у.: 61:09:0080301:170</t>
  </si>
  <si>
    <t>Установка прибора коммерческого учета электрической энергии (мощности) в точке поставки для присоединения жилого дома Дурдиева Х.С., расположенного по адресу: Ростовская область, Дубовский район, х. Семичный, ул. Мира, д. 17, к.н.о.: 61:09:0020101:993</t>
  </si>
  <si>
    <t>Установка прибора коммерческого учета электрической энергии (мощности) в точке поставки для присоединения жилого помещения Бахаева И.М., расположенного по адресу: Ростовская область, Дубовский район, х. Присальский, ул. Победы, д. 15, кв. 2, к.н.з.у.: 61:09:0070101:1690</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</si>
  <si>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Дубовский район, х. Овчинников</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</si>
  <si>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Дубовский район, станица Подгорненская</t>
  </si>
  <si>
    <t>Установка коммерческого учета электрической энергии (мощности) в точке поставки и установка шкафа 0,4 кВ по присоединению жилого дома Поляковой И.Н., расположенного по адресу: Ростовская область, Волгодонской район, станица Романовская, ул. Ленина, д. 133, кадастровый номер земельного участка 61:08:0070131:36</t>
  </si>
  <si>
    <t>Установка прибора коммерческого учета электрической энергии (мощности) в точке поставки для присоединения малоэтажной жилой застройки Плотниковой Е.В., расположенной по адресу: Ростовская область, Волгодонской район, станица Романовская, ул. Тюхова, д.69а, кадастровый номер земельного участка: 61:08:0070122:468</t>
  </si>
  <si>
    <t>Установка прибора коммерческого учета электрической энергии (мощности) в точке поставки для присоединения жилого дома Кузнецова А.С., расположенного по адресу: Ростовская область, Волгодонской район, станица Романовская, ул. Одесская,  д. 29, к.н.з.у.: 61:08:0600601:3854</t>
  </si>
  <si>
    <t>Установка прибора коммерческого учета электрической энергии (мощности) в точке поставки для присоединения малоэтажной жилой застройки Кравцова Р.Ю., расположенной по адресу: Ростовская область, Волгодонской район, х. Рябичев, ул. Лермонтова, д.8, кадастровый номер земельного участка: 61:08:0030101:169</t>
  </si>
  <si>
    <t>Установка прибора коммерческого учета электрической энергии (мощности) в точке поставки для присоединения индивидуального жилого дома Лукашева А.А., расположенного по адресу: Ростовская область, Волгодонской район, станица Романовская, ул. Забазновой, д. 5А, к.н.з.у.: 61:08:0070113:359</t>
  </si>
  <si>
    <t>Установка прибора коммерческого учета электрической энергии (мощности) в точке поставки для присоединения индивидуального жилого дома Панкратова П.Н., расположенного по адресу: Ростовская область, Волгодонской район, станица Романовская, ул. 75 лет Победы, д. 27, к.н.з.у.: 61:08:0600601:4584</t>
  </si>
  <si>
    <t>Установка прибора коммерческого учета электрической энергии (мощности) в точке поставки для присоединения жилого дома Зубкова А.П., расположенного по адресу: Ростовская область, Волгодонской район, станица Романовская, ул. 75 лет Победы, д. 49, к.н.з.у.: 61:08:0600601:4606</t>
  </si>
  <si>
    <t>Установка прибора коммерческого учета электрической энергии (мощности) в точке поставки для присоединения садового дома Рыжеволова В.В., расположенного по адресу: Ростовская область, г. Волгодонск, ул. Отдыха, д. 39в22, к.н.з.у.: 61:48:0020101:1864</t>
  </si>
  <si>
    <t>Установка прибора коммерческого учета электрической энергии (мощности) в точке поставки для присоединения индивидуального жилого дома Ким Р.И., расположенного по адресу: Ростовская область, Волгодонской район, станица Романовская, ул. 75 лет Победы, д. 81, к.н.з.у.: 61:08:0600601:4637</t>
  </si>
  <si>
    <t>Установка прибора коммерческого учета электрической энергии (мощности) в точке поставки для присоединения жилого дома Адильгереева А.А., расположенного по адресу: Ростовская область, Волгодонской район, станица Романовская, ул. Соловьевых, д. 57, к.н.з.у.: 61:08:0070121:55</t>
  </si>
  <si>
    <t>Установка прибора коммерческого учета электрической энергии (мощности) в точке поставки для присоединения жилого дома Делинской Т.Е., расположенного по адресу: Ростовская область, Константиновский район, станица Николаевская, ул. Победы, д.63, к.н.з.у: 61:17:0050101:2164</t>
  </si>
  <si>
    <t>Установка прибора коммерческого учета электрической энергии (мощности) в точке поставки для присоединения жилого дома Вольваки А.В., расположенного по адресу: Ростовская область, Константиновский район, х. Ведерников, ул. Октябрьская, д. 18, к.н.з.у.: 61:17:0010502:17</t>
  </si>
  <si>
    <t>Установка прибора коммерческого учета электрической энергии (мощности) в точке поставки для присоединения жилого дома Харитонова А.В., расположенного по адресу: Ростовская область, Константиновский район, станица Николаевская, ул. Победы, д. 28, к.н.з.у.: 61:17:0050101:2130</t>
  </si>
  <si>
    <t>Установка прибора коммерческого учета электрической энергии (мощности) в точке поставки для присоединения жилого дома Харитонова И.В., расположенного по адресу: Ростовская область, Константиновский район, х. Старая Станица, ул. Донская, д. 19, к.н.з.у.: 61:17:0050501:152</t>
  </si>
  <si>
    <t>Установка прибора коммерческого учета электрической энергии (мощности) в точке поставки для присоединения жилого дома Леоновой Л.А., расположенного по адресу: Ростовская область, Константиновский район, х. Гапкин, ул. Вишневая, д. 4, к.н.з.у.: 61:17:0040101:623</t>
  </si>
  <si>
    <t>Установка прибора коммерческого учета электрической энергии (мощности) в точке поставки для присоединения жилого дома Попова А.А., расположенного по адресу: Ростовская область, Константиновский район, х. Вифлянцев, ул. Октябрьская, д. 17, к.н.з.у.: 61:17:070301:0039</t>
  </si>
  <si>
    <t>Установка прибора коммерческого учета электрической энергии (мощности) в точке поставки для присоединения жилого дома Житникова В.В., расположенного по адресу: Ростовская область, Константиновский район, станица Николаевская, ул. 8 Марта, д. 54, к.н.з.у.: 61:17:0050101:1271</t>
  </si>
  <si>
    <t>Установка прибора коммерческого учета электрической энергии (мощности) в точке поставки для присоединения жилого дома Костромина А.В., расположенного по адресу: Ростовская область, Константиновский район, станица Николаевская, ул. 8 Марта, д. 16, к.н.з.у.: 61:17:0050101:1229</t>
  </si>
  <si>
    <t>Установка  коммерческого учета электрической энергии (мощности) в точке поставки и установка шкафа 0,4 кВ по присоединению столовой ООО «Стычное», расположенной по адресу: Ростовская область, Константиновский район, п. Отноженский, ул. Вербная, д. 50, кадастровый номер земельного участка 61:17:0070801:104</t>
  </si>
  <si>
    <t>Установка прибора коммерческого учета электрической энергии (мощности) в точке поставки для присоединения жилого дома Григоренко Е.Н., расположенного по адресу: Ростовская область, Зимовниковский район, х. Марченков, ул. Солнечная, д.13, кадастровый номер земельного участка: 61:13:0130703:15</t>
  </si>
  <si>
    <t>Установка прибора коммерческого учета электрической энергии (мощности) в точке поставки для присоединения жилого дома Финагеева В.В., расположенного по адресу: Ростовская область, Зимовниковский район, х. Савоськин, ул. Степная, д. 5, к.н. объекта 61-61-17/031/2007-499, к.н.з.у.: 61:13:110101:0002</t>
  </si>
  <si>
    <t>Установка прибора коммерческого учета электрической энергии (мощности) в точке поставки для присоединения жилого дома Коробкина Ю.Н., расположенного по адресу: Ростовская область, Зимовниковский район, х. Озерский, ул. Приозерная, д. 17, к.н.з.у.: 61:13:0020501:9</t>
  </si>
  <si>
    <t>Установка прибора коммерческого учета электрической энергии (мощности) в точке поставки для присоединения жилого дома Ильязова А.З., расположенного по адресу: Ростовская область, Зимовниковский район, 400 м. по направлению на восток от х. Ленинский, к.н.з.у.: 61:13:0600008:1403</t>
  </si>
  <si>
    <t>Установка прибора коммерческого учета электрической энергии (мощности) в точке поставки для присоединения жилого дома Дарминовой В.Г., расположенного по адресу: Ростовская область, Зимовниковский район, х. Савоськин, ул. Центральная, д. 39, к.н.з.у.: 61:13:0110103:4:107</t>
  </si>
  <si>
    <t>Обеспечение коммерческим учетом электрической энергии (мощности) в точке поставки по присоединению жилого дома Никифоровой Е.Г., расположенного по адресу: Ростовская область, х. Малоорловский , ул.Степная,д.7, к.н. 61:20:0060101:2104</t>
  </si>
  <si>
    <t>Установка коммерческого учета электрической энергии (мощности) в точке поставки и установка шкафа 0,4 кВ по присоединению жилого дома Гасановой Ю.И., расположенного по адресу: Ростовская область, Мартыновский район, х. Новоселовка, ул. Краснопартизанская, д. 28а, кадастровый номер земельного участка 61:20:0070101:3196</t>
  </si>
  <si>
    <t>Установка коммерческого учета электрической энергии (мощности) в точке поставки и установка шкафа 0,4 кВ по присоединению жилого дома Король А.В., расположенного по адресу: Ростовская область, Мартыновский район, х. Кривой Лиман, ул. Набережная, д. 12, кадастровый номер земельного участка 61:20:0080401:910</t>
  </si>
  <si>
    <t>Установка коммерческого учета электрической энергии (мощности) в точке поставки и установка шкафа 0,4 кВ по присоединению скважины для полива огорода Куповцовой Н.В., расположенной по адресу: Ростовская область, Мартыновский район, х. Долгий, ул. Клубная, д.26, кадастровый номер земельного участка 61:20:0060301:2130</t>
  </si>
  <si>
    <t>Установка прибора коммерческого учета электрической энергии (мощности) в точке поставки для присоединения жилого дома Гаврилицы Г.В., расположенного по адресу: Ростовская область, Дубовский район, х. Лопатин, ул. Луговая, д. 4, к.н.о.: 61:09:0120301:47</t>
  </si>
  <si>
    <t>Установка прибора коммерческого учета электрической энергии (мощности) в точке поставки для присоединения квартиры Абубакаровой М.И., расположенной по адресу: Ростовская область, Заветинский район, х. Фрунзе, ул. Центральная, д. 4, кв. 1, к.н.з.у.: 61:11:0050401:109</t>
  </si>
  <si>
    <t>Установка прибора коммерческого учета электрической энергии (мощности) в точке поставки для присоединения жилого дома Мисина А.В., расположенного по адресу: Ростовская область, Волгодонской район, станица Романовская, ул. 50 лет Победы, д. 23, к.н.з.у.: 61:08:0070106:69</t>
  </si>
  <si>
    <t>Установка коммерческого учета электрической энергии (мощности) в точке поставки и установка шкафа 0,4 кВ по присоединению магазина продовольственных товаров «Галина» ИП Хомякова Г.И., расположенного по адресу: Ростовская область, Волгодонской район, станица Романовская, ул. Соловьевых, д. 92А, кадастровый номер земельного участка 61:08:0070129:0049</t>
  </si>
  <si>
    <t>Установка прибора коммерческого учета электрической энергии (мощности) в точке поставки для присоединения жилого дома Истоминой М.В., расположенного по адресу: Ростовская область, Волгодонской район, станица Романовская, ул. Тюхова, д. 75, к.н.з.у.: 61:08:0070129:122</t>
  </si>
  <si>
    <t>Установка (Обеспечение) коммерческим учетом электрической энергии (мощности) в точке поставки и установка шкафов 0,4 кВ по присоединению жилых домов Кулягина Е.И., расположенных по адресам: Ростовская область, Волгодонской район, станица Романовская, ул. Одесская, д. 31, кадастровый номер земельного участка 61:08:0600601:4738 и ул. Одесская, д. 31А, кадастровый номер земельного участка 61:08:0600601:4737</t>
  </si>
  <si>
    <t>Установка прибора коммерческого учета электрической энергии (мощности) в точке поставки для присоединения жилого дома Букаренко Н.Н., расположенного по адресу: Ростовская область, Константиновский район, х. Почтовый, ул. Молодежная, д. 52, к.н.з.у.: 61:17:0060101:217</t>
  </si>
  <si>
    <t>Установка прибора коммерческого учета электрической энергии (мощности) в точке поставки для присоединения жилого дома Омелиянчук С.В., расположенного по адресу: Ростовская область, Константиновский район, г. Константиновск, ул. Лесная, д. 61-б,  к.н.з.у.: 61:17:0010401:67</t>
  </si>
  <si>
    <t>Установка прибора коммерческого учета электрической энергии (мощности) в точке поставки для присоединения жилого дома Гордеевой Н.С., расположенного по адресу: Ростовская область, Константиновский район, станица Николаевская, ул. Победы, д. 20 «а», к.н.з.у.: 61:17:0050101:5953</t>
  </si>
  <si>
    <t>Установка коммерческого учета электрической энергии (мощности) в точке поставки и установка шкафа 0,4 кВ по присоединению садового домика Онищенко О.В., расположенного по адресу: Ростовская область, Константиновский район, х. Старозолотовский, ул. Ермолова, д.7-а, кадастровый номер земельного участка 61:17:0020501:55</t>
  </si>
  <si>
    <t>Установка прибора коммерческого учета электрической энергии (мощности) в точке поставки для присоединения жилого дома Свистова А.Н., расположенного по адресу: Ростовская область, Константиновский район, х. Верхнепотапов, ул. Школьная, д. 9, к.н.з.у.: 61:17:0060401:317</t>
  </si>
  <si>
    <t>Установка прибора коммерческого учета электрической энергии (мощности) в точке поставки для присоединения квартиры Яковлевой С.Н., расположенной по адресу: Ростовская область, Константиновский район, х. Нижнежуравский, ул. Мира, д. 7, кв. 2, к.н.з.у.: 61:17:0020401:478</t>
  </si>
  <si>
    <t>Установка прибора коммерческого учета электрической энергии (мощности) в точке поставки для присоединения жилого дома Борзило О.И., расположенного по адресу: Ростовская область, Константиновский район, станица Николаевская, ул. Комсомольская, д.24,  к.н.з.у.: 61:17:0050101:1897</t>
  </si>
  <si>
    <t>Установка прибора коммерческого учета электрической энергии (мощности) в точке поставки для присоединения нежилого здания ИП Коваленко С.А., расположенного по адресу: Ростовская область, Зимовниковский район, х. Верхоломов, в 700 м северо-восточнее улицы Молодежная, к.н.о.: 61:13:0600002:126, к.н.з.у.: 61:13:0600002:140</t>
  </si>
  <si>
    <t>Установка прибора коммерческого учета электрической энергии (мощности) в точке поставки для присоединения жилого дома Зупаровой Ш.Я., расположенного по адресу: Ростовская область, Зимовниковский район, х. Ленинский, ул. Мира, д. 6А, к.н.з.у.: 61:13:0130602:83</t>
  </si>
  <si>
    <t>Установка прибора коммерческого учета электрической энергии (мощности) в точке поставки для присоединения нежилого здания ИП глава К(Ф)Х Бундуки М.И., расположенного по адресу: Ростовская область, Мартыновский район, слобода Большая Мартыновка, мкр. Подстанция, д. 8, к.н.з.у.: 61:20:001010101:24073</t>
  </si>
  <si>
    <t>Установка прибора коммерческого учета электрической энергии (мощности) в точке поставки для присоединения квартиры Дордюк Н.В., расположенной по адресу: Ростовская область, Мартыновский район, х. Лесной, ул. Клубная, д. 5, кв./оф. 1,к.н.з.у.: 61:20:0060401:1875</t>
  </si>
  <si>
    <t>Установка коммерческого учета электрической энергии (мощности) в точке поставки и установка шкафа 0,4 кВ по присоединению здания детского сада МБОУ ДС Теремок п. Зеленолугский, расположенного по адресу: Ростовская область, Мартыновский район, п. Зеленолугский, ул. Молодежная, д. 15, кадастровый номер земельного участка 61:20:0020401:674</t>
  </si>
  <si>
    <t>Установка прибора коммерческого учета электрической энергии (мощности) в точке поставки для присоединения магазина ИП Романенко В.А., расположенного по адресу: Ростовская область, Мартыновский район, слобода Большая Орловка, ул. Революционная, д. 57, к.н.з.у.: 61:20:0020101:7608</t>
  </si>
  <si>
    <t>Установка прибора коммерческого учета электрической энергии (мощности) в точке поставки для присоединения жилого помещения Касаткина А.Ю., расположенного по адресу: Ростовская область, Мартыновский район, х. Денисов, ул. Механизаторов, д. 8, к.н.з.у.: 61:20:0060201:3445</t>
  </si>
  <si>
    <t>Установка прибора коммерческого учета электрической энергии (мощности) в точке поставки для присоединения объекта общественного питания ИП Сейфатова М.Р., расположенного по адресу: Ростовская область, Мартыновский район, слобода Большая Орловка, ул. Дорожная, д. 1к, к.н.з.у.: 61:20:0020101:13612</t>
  </si>
  <si>
    <t>Установка коммерческого учета электрической энергии (мощности) в точке поставки и установка шкафа 0,4 кВ по присоединению нежилого здания ИП Украинцевой И.А., расположенного по адресу: Ростовская область, Мартыновский район, слобода Большая Орловка, ул. Дорожная, д. 18-б, кадастровый номер земельного участка 61:20:0020101:13031</t>
  </si>
  <si>
    <t>Установка прибора коммерческого учета электрической энергии (мощности) в точке поставки для присоединения строительной площадки Царевского В.А., расположенной по адресу: Ростовская область, Мартыновский район, п. Речной, ул. Молодежная, д. 11Б, к.н.з.у.: 61:35:0050701:305</t>
  </si>
  <si>
    <t>Установка прибора коммерческого учета электрической энергии (мощности) в точке поставки для присоединения жилого дома Цыганковой С.В., расположенного по адресу: Ростовская область, Мартыновский район, х. Московский, ул. Московская, д. 42, к.н.з.у.: 61:20:0070601:1083</t>
  </si>
  <si>
    <t>Установка прибора коммерческого учета электрической энергии (мощности) в точке поставки для присоединения жилого дома Сулиевой В.А., расположенного по адресу: Ростовская область, Мартыновский район, х. Денисов, ул. Центральная, д. 46а, к.н.з.у.: 61:20:0060201:3490</t>
  </si>
  <si>
    <t>Установка прибора коммерческого учета электрической энергии (мощности) в точке поставки для присоединения жилого дома Иванченко Л.И., расположенного по адресу: Ростовская область, Дубовский район, станица Жуковская, ул. Ленина, д. 15, к.н.з.у.: 61:09:0030101:1913</t>
  </si>
  <si>
    <t>Установка прибора коммерческого учета электрической энергии (мощности) в точке поставки для присоединения нежилого помещения ИП Акопяна А.Л., расположенного по адресу: Ростовская область, Дубовский район, х. Семичный, ул. Луговая, д.1а, к.н.з.у.: 61:09:0020101:1962</t>
  </si>
  <si>
    <t>Установка прибора коммерческого учета электрической энергии (мощности) в точке поставки для присоединения жилого дома Мотева В.Ф., расположенного по адресу: Ростовская область, Ремонтненский район, с. Первомайское, ул. Богданова, д. 139, к.н.о.: 61:32:0080102:2436, к.н.з.у.: 61:32:0080102:84</t>
  </si>
  <si>
    <t>Установка прибора коммерческого учета электрической энергии (мощности) в точке поставки для присоединения жилого дома Сикоренко А.М., расположенного по адресу: Ростовская область, Ремонтненский район, с. Первомайское, ул. Октябрьская, д. 78, к.н.о. 61:32:0080102:1837, к.н.з.у.: 61:32:0080102:317</t>
  </si>
  <si>
    <t>Установка прибора коммерческого учета электрической энергии (мощности) в точке поставки для присоединения жилого дома Бережного С.И., расположенного по адресу: Ростовская область, Ремонтненский район, с. Первомайское, ул. Богданова, д. 39, к.н.з.у.: 61:32:0080102:26</t>
  </si>
  <si>
    <t>Установка прибора коммерческого учета электрической энергии (мощности) в точке поставки для присоединения части здания магазина №16 ИП Абдуллаева Р.З., расположенного по адресу: Ростовская область, Ремонтненский район, с. Валуевка, ул. 40 лет Победы, д. 68Б, к.н.о.: 61:32:0020101:1396, к.н.з.у.: 61:32:0020101:408</t>
  </si>
  <si>
    <t>Установка прибора коммерческого учета электрической энергии (мощности) в точке поставки для присоединения нежилого помещения (магазина) ИП Дульгиер Е.В., расположенного по адресу: Ростовская область, Цимлянский район, станица Красноярская, ул. Победы, д. 112, к.н.з.у.: 61:41:0020115:3</t>
  </si>
  <si>
    <t>Установка коммерческого учета электрической энергии (мощности) в точке поставки и установка шкафа 0,4 кВ по присоединению части жилого дома Заничковского С.И., расположенного по адресу: Ростовская область, Цимлянский район, п. Сосенки, ул. Центральная, д. 1, кв./оф. 1, кадастровый номер земельного участка 61:41:030301:0062</t>
  </si>
  <si>
    <t>Установка прибора коммерческого учета электрической энергии (мощности) в точке поставки для присоединения жилого дома Щербакова Л.И., расположенного по адресу: Ростовская область, Цимлянский район, х. Крутой, пер. Кривой, д. 20, к.н.з.у.: 61:41:0020310:23</t>
  </si>
  <si>
    <t>Установка прибора коммерческого учета электрической энергии (мощности) в точке поставки для присоединения жилого дома Рочевой И.В., расположенного по адресу: Ростовская область, Цимлянский район, п. Дубравный, пер. Дружбы, д. 22, к.н.з.у.: 61:41:0030405:50</t>
  </si>
  <si>
    <t>Обеспечение коммерческим учетом электрической энергии (мощности) в точке поставки и установки шкафа 0,4 кВ по присоединению спального домика Поляковой Т.В., расположенного по адресу: Ростовская обл., г. Волгодонск, ул. Отдыха, кадастровый номер земельного участка: 61:48:0020101:1587</t>
  </si>
  <si>
    <t>Обеспечение коммерческим учетом электрической энергии (мощности) в точке поставки и установка шкафа 0,4 кВ по присоединению спального домика Глушенок А.Н., расположенного по адресу: Ростовская область, г. Волгодонск, ул. Отдыха, д. 67, к.н. 61:48:0020101:1222</t>
  </si>
  <si>
    <t>Обеспечение коммерческим учетом электрической энергии (мощности) в точке поставки и установка шкафа 0,4 кВ по присоединению спального домика Квасковой М.Ф., расположенного по адресу: Ростовская область, г. Волгодонск, ул. Отдыха, д.5а, к.н. 61:48:0020101:1381</t>
  </si>
  <si>
    <t>Строительство участка ВЛИ-0,4 кВ от вновь установленной опоры вновь построенной ВЛИ-0,4 кВ (по договорам ТП №61-20-00520889 от 27.05.2020г, №61-20-00521217 от 28.07.2020г, №61-20-00521557 от 28.07.2020г, №61-20-00521253 от 29.07.2020г, №61-20-00522991 от 29.07.2020г) от вновь установленной ТП-6/0,4 кВ по ВЛ-6 кВ №1 ПС 35/6 кВ Романовская (по договорам ТП №61-1-19-00441801 от 13.05.2029г и №61-1-19-00437609 от 15.05.2019) ,с установкой шкафа 0,4 кВ, и обеспечение коммерческим учетом электрической энергии (мощности) в точках поставки по присоединению спального домика Будко О.Г., расположенного по адресу: Ростовская обл., г. Волгодонск, ул. Отдыха, д.3, кадастровый номер земельного участка 61:48:0020101:1274 (ориентировочная протяженность ЛЭП 0,07 км)</t>
  </si>
  <si>
    <t>Обеспечение коммерческим учетом электрической энергии (мощности) в точке поставки и установка шкафа 0,4 кВ по присоединению спального домика Полякова С.Л., расположенного по адресу: Ростовская обл., г. Волгодонск, ул. Отдыха, д. 3, кадастровый номер земельного участка: 61:48:0020101:1341</t>
  </si>
  <si>
    <t>Установка прибора коммерческого учета электрической энергии (мощности) в точке поставки для присоединения индивидуального жилого дома Александрова А.Г., расположенного по адресу: Ростовская область, Волгодонской район, х. Мокросоленый, ул. Кооперативная, д.33, кадастровый номер земельного участка: 61:08:0010201:1469</t>
  </si>
  <si>
    <t>Установка прибора коммерческого учета электрической энергии (мощности) в точке поставки для присоединения нежилого помещения ИП Шевчука А.П., расположенного по адресу: Ростовская область, Волгодонской район, станица Дубенцовская, пер. Совхозный, д.22, кадастровый номер земельного участка: 61:08:0020104:380</t>
  </si>
  <si>
    <t>Установка коммерческого учета электрической энергии (мощности) в точке поставки и установка шкафа 0,4 кВ по присоединению жилого дома Щепелева А.В.., расположенного по адресу: Ростовская область, Волгодонской район, х. Калинин, ул. Школьная, д.33, кадастровый номер земельного участка 61:08:040402:0001</t>
  </si>
  <si>
    <t>Установка прибора коммерческого учета электрической энергии (мощности) в точке поставки для присоединения помещения Когай А.С., расположенного по адресу: РО, Волгодонской район, станица Романовская, ул. 40 лет Победы, д. 12, комн. 12,13,14,15,20,25, к.н.з.у. 61:08:0070109:553</t>
  </si>
  <si>
    <t>Установка прибора коммерческого учета электрической энергии (мощности) в точке поставки для присоединения жилого дома Бражкиной Т.С., расположенного по адресу: Ростовская область, Константиновский район, станица Николаевская, ул. Ленина, д. 6, к.н.з.у.: 61:17:0050101:2074</t>
  </si>
  <si>
    <t>Установка прибора коммерческого учета электрической энергии (мощности) в точке поставки для присоединения склада ИП главы К(Ф)Х Дьяконова А.Н., расположенного по адресу: Ростовская область, Константиновский район, ориентир ТОО «Знамя», бригада I,поле III (х. Почтовый), к.н.з.у.: 61:17:0600002:1114</t>
  </si>
  <si>
    <t>Установка прибора коммерческого учета электрической энергии (мощности) в точке поставки для присоединения квартиры Польникова С.Н., расположенной по адресу: Ростовская область, Константиновский район, х. Кастырский, ул. Солнечная, д. 24, кв. 1, к.н.з.у.: 61:17:0030301:376</t>
  </si>
  <si>
    <t>Установка прибора коммерческого учета электрической энергии (мощности) в точке поставки для присоединения торгового павильона «Айболит-2» ИП Губачева А.В., расположенного по адресу: Ростовская область, Константиновский район, станица Николаевская, ул. Коммунистическая, д. 4, к.н.з.у.: 61:17:0050101:1412</t>
  </si>
  <si>
    <t>Установка прибора коммерческого учета электрической энергии (мощности) в точке поставки для присоединения жилого дома Гатиловой И.В., расположенного по адресу: Ростовская область, Константиновский район, х. Ведерников, ул. Донская, д. 4, к.н.з.у.: 61:17:0010602:51</t>
  </si>
  <si>
    <t>Установка прибора коммерческого учета электрической энергии (мощности) в точке поставки для присоединения здания административно-бытового корпуса, спортивной площадки ИП Божкова С.В., расположенного по адресу: Ростовская область, Константиновский район, г. Константиновск, ул. Прибрежная, д.21-а, кадастровый номер земельного участка: 61:17:0600017:566</t>
  </si>
  <si>
    <t>Установка прибора коммерческого учета электрической энергии (мощности) в точке поставки для присоединения жилого дома Родионовой Л.И., расположенного по адресу: Ростовская область, Константиновский район, станица Николаевская, ул. Буденного, д.55, кадастровый номер земельного участка: 61:17:0050101:6439</t>
  </si>
  <si>
    <t>Установка коммерческого учета электрической энергии (мощности)  в точке поставки и установка шкафа 0,4 кВ по присоединению жилого дома Жеребкова Д.Н., расположенного по адресу: Ростовская область, Константиновский район, станица Николаевская, ул. Ермакова, д.74, кадастровый номер земельного участка 61:17:0050101:1621</t>
  </si>
  <si>
    <t>Установка прибора коммерческого учета электрической энергии (мощности) в точке поставки для присоединения жилого дома Рамалдановой Э.М., расположенного по адресу: Ростовская область, Константиновский район, станица Николаевская, ул. Кирова, д. 36, к.н.з.у.: 61:17:0050101:560</t>
  </si>
  <si>
    <t>Установка коммерческого учета электрической энергии (мощности) в точке поставки и установка шкафа 0,4 кВ по присоединению жилого дома Епихова С.Ф., расположенного по адресу: Ростовская область, Константиновский район, станица Николаевская, ул. 9 Января, д. 15, кадастровый номер земельного участка 61:17:0050101:1300</t>
  </si>
  <si>
    <t>Установка прибора коммерческого учета электрической энергии (мощности) в точке поставки для присоединения площадки для хранения сельскохозяйственной продукции ИП Коваль Т.И., расположенной по адресу: Ростовская область, Константиновский район, Константиновское городское поселение, 0,55 км восточнее х. Ведерников,  к.н.з.у.: 61:17:0600017:574</t>
  </si>
  <si>
    <t>Установка прибора коммерческого учета электрической энергии (мощности) в точке поставки для присоединения садового домика Трофимова А.Ю., расположенного по адресу: Ростовская область, Константиновский район, х. Ведерников, к.н.з.у.: 61:17:0600017:551</t>
  </si>
  <si>
    <t>Установка прибора коммерческого учета электрической энергии (мощности) в точке поставки для присоединения жилого дома ООО «Костины Горы»., расположенного по адресу: Ростовская область, Константиновский район, х. Старозолотовский, ул. Ермолова, д. 6-а, к.н.з.у.: 61:17:0020501:139</t>
  </si>
  <si>
    <t>Установка прибора коммерческого учета электрической энергии (мощности) в точке поставки для присоединения квартиры Яфитовой С.М., расположенной по адресу: Ростовская область, Зимовниковский район, х. Крылов, ул. Крылова, д. 8, кв. 3, к.н.з.у.: 61:13:0050401:17</t>
  </si>
  <si>
    <t>Установка прибора коммерческого учета электрической энергии (мощности) в точке поставки для присоединения жилого дома Главы К(Ф)Х Щикальцовой Н.Н., расположенного по адресу: Ростовская область, Зимовниковский район, вблизи х. Пенчуков, к.н.з.у.: 61:13:0600007:1473</t>
  </si>
  <si>
    <t>Установка прибора коммерческого учета электрической энергии (мощности) в точке поставки для присоединения жилого помещения главы К(Ф)Х Линника А.П, расположенного по адресу: Ростовская область, Зимовниковский район, х. Новолодин, животноводческая точка 2, к.н.з.у.: 61:13:0600006:924</t>
  </si>
  <si>
    <t>Установка прибора коммерческого учета электрической энергии (мощности) в точке поставки для присоединения квартиры Кирьяк Д.В., расположенной по адресу: Ростовская область, Зимовниковский район, х. Погорелов, ул. Стадионная, д. 1, кв./оф. 1, к.н.з.у.: 61:13:0050504:10</t>
  </si>
  <si>
    <t>Обеспечение коммерческим учетом электрической энергии (мощности) в точке поставки и установка шкафа 0,4 кВ по присоединению жилого дома Мартыненко А.В., расположенного по адресу: Ростовская область, Зимовниковский район, Ленинское сельское поселение, в близи х. Пенчуков, кадастровый номер земельного участка: 61:130:0600007:12</t>
  </si>
  <si>
    <t>Обеспечение коммерческим учетом электрической энергии (мощности) в точке поставки и установка шкафа 0,4 кВ по присоединению БС 2706 ООО «Т2 Мобайл», расположенной по адресу: Ростовская область, Зимовниковский район, х. Мокрый Гашун, ул. Молодежная, д. 2А, кадастровый номер земельного участка 61:13:0600014,ЗУ1</t>
  </si>
  <si>
    <t>Установка коммерческого учета электрической энергии (мощности) в точке поставки и установка шкафа 0,22 кВ по присоединению квартиры Кнышук О.Н., расположенной по адресу: Ростовская область, Зимовниковский район, п. Зимовники, ул. Майора Рязанцева, д. 8, кв. 3, кадастровый номер земельного участка 61:13:0010336:96</t>
  </si>
  <si>
    <t>Установка прибора коммерческого учета электрической энергии (мощности) в точке поставки для присоединения квартиры Жидкова В.А., расположенной по адресу: Ростовская область, Зимовниковский район, х. Савоськин, ул. Центральная, д. 84, кв. 2, к.н.з.у.: 61:13:110107:0036</t>
  </si>
  <si>
    <t>Установка прибора коммерческого учета электрической энергии (мощности) в точке поставки для присоединения жилого дома Кульбаева Г.И., расположенного по адресу: Ростовская область, Зимовниковский район, х. Петухов, ул. Еременко, д. 77А, к.н.з.у.: 61:13:0020602:7</t>
  </si>
  <si>
    <t>Установка прибора коммерческого учета электрической энергии (мощности) в точке поставки для присоединения жилого дома Усманова Ф.Я., расположенного по адресу: Ростовская область, Зимовниковский район, х. Ленинский, ул. Мира, д. 68,к.н.з.у.: 61:13:0130603:345</t>
  </si>
  <si>
    <t>Установка прибора коммерческого учета электрической энергии (мощности) в точке поставки для присоединения жилого дома Фаталиева А.М., расположенного по адресу: Ростовская область, Зимовниковский район, вблизи х. Николаевский, к.н.з.у.: 61:13:0000000:9281</t>
  </si>
  <si>
    <t>Установка прибора коммерческого учета электрической энергии (мощности) в точке поставки для присоединения подсобного помещения Гаджибагомедова И.А., расположенного по адресу: Ростовская область, Зимовниковский район, х. Плотников, ул. Береговая, д. 11А, к.н.з.у.: 61:13:0040104:249</t>
  </si>
  <si>
    <t>Установка прибора коммерческого учета электрической энергии (мощности) в точке поставки для присоединения жилого дома Тесленко Е.П., расположенного по адресу: Ростовская область, Зимовниковский район, х. Нижнекуберский, ул. Луговая, д.25,  к.н.з.у: 61:13:0090201:53</t>
  </si>
  <si>
    <t>Установка прибора коммерческого учета электрической энергии (мощности) в точке поставки для присоединения бригадного домика ИП Чернышова Е.В., расположенного по адресу: Ростовская область, Зимовниковский район, 5 км на восток от х. Курячий, кадастровый номер объекта: 61:13:0000000:8603</t>
  </si>
  <si>
    <t>Установка  коммерческого учета электрической энергии (мощности) в точке поставки и установка шкафа 0,4 кВ по присоединению квартиры Шарова А.А., расположенной по адресу: Ростовская область, Зимовниковский район, х. Савоськин, ул. Кирова, д. 18, кв. 1, кадастровый номер земельного участка 61:13:0110108:18</t>
  </si>
  <si>
    <t>Установка прибора коммерческого учета электрической энергии (мощности) в точке поставки для присоединения квартиры Никифорова И.А., расположенной по адресу: Ростовская область, Мартыновский район, х. Комаров, ул. Школьная, д. 42, кв. 2, к.н.з.у.: 61:20:0050101:3766</t>
  </si>
  <si>
    <t>Установка прибора коммерческого учета электрической энергии (мощности) в точке поставки для присоединения жилого дома Зайцевой В.М., расположенного по адресу: Ростовская область, Мартыновский район, п. Новомартыновский, ул. Думенко, д. 9-а, к.н.з.у.: 61:20:0080101:1442</t>
  </si>
  <si>
    <t>Установка прибора коммерческого учета электрической энергии (мощности) в точке поставки для присоединения нежилого помещения ООО «Альянс», расположенного по адресу: Ростовская область, Мартыновский район, х. Кривой Лиман, ул. Набережная, д. 52, кадастровый номер объекта: 61:20:0080401:1215, к.н.з.у. 61:20:0080401:2209</t>
  </si>
  <si>
    <t>Установка прибора коммерческого учета электрической энергии (мощности) в точке поставки для присоединения жилого дома Дадонова П.И., расположенного по адресу: Ростовская область, Дубовский район, х. Овчинников, ул. Весенняя, д. 3, к.н.з.у.: 61:09:030201:0337</t>
  </si>
  <si>
    <t>Установка прибора коммерческого учета электрической энергии (мощности) в точке поставки для присоединения жилого дома Кондратьева В.С., расположенного по адресу: Ростовская область, Цимлянский район, станица Лозновская, ул. Ильменьская, д. 11Б, к.н.з.у.: 61:41:0040204:546</t>
  </si>
  <si>
    <t>Установка прибора коммерческого учета электрической энергии (мощности) в точке поставки для присоединения квартиры Мороза Е.В., расположенной по адресу: Ростовская область, Цимлянский район, п. Саркел, ул. Комсомольская, д. 35, кв./оф. 2, к.н.з.у.: 61:41:0011104:30</t>
  </si>
  <si>
    <t>Установка прибора коммерческого учета электрической энергии (мощности) в точке поставки для присоединения жилого дома Сапрыкиной Л.Н., расположенного по адресу: Ростовская область, Цимлянский район, х. Лозной, пер. Лесной, д. 48,к.н.з.у.: 61:41:0030103:55</t>
  </si>
  <si>
    <t>Установка прибора коммерческого учета электрической энергии (мощности) в точке поставки для присоединения жилого дома Чеснокова Е.А., расположенного по адресу: Ростовская область, Цимлянский район, станица Красноярская, пер. Первомайский, д. 7, к.н.з.у.: 61:41:0020118:94</t>
  </si>
  <si>
    <t>Установка прибора коммерческого учета электрической энергии (мощности) в точке поставки для присоединения жилого помещения Педановой В.Н., расположенного по адресу: Ростовская область, Цимлянский район, станица Красноярская, ул. Набережная, д. 159А, кв./оф. 1, к.н.з.у.: 61:41:0020117:315</t>
  </si>
  <si>
    <t>Установка прибора коммерческого учета электрической энергии (мощности) в точке поставки для присоединения жилого дома Томинец О.В., расположенного по адресу: Ростовская область, Цимлянский район, станица Красноярская, ул. Спортивная, д. 2Б, строение 2, к.н.з.у.: 61:41:0020128:262</t>
  </si>
  <si>
    <t>Установка прибора коммерческого учета электрической энергии (мощности) в точке поставки для присоединения жилого дома Лазаренко В.Н., расположенного по адресу: Ростовская область, Цимлянский район, п. Дубравный, пер. Дружбы, д. 14, к.н.з.у.: 61:41:0030405:47</t>
  </si>
  <si>
    <t>Установка прибора коммерческого учета электрической энергии (мощности) в точке поставки для присоединения жилого дома Грозы Ю.И., расположенного по адресу: Ростовская область, Цимлянский район, п. Сосенки, ул. Новая, д. 10, к.н.з.у.: 61:41:0030302:56</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</si>
  <si>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Цимлянский район, станица Терновская</t>
  </si>
  <si>
    <t>Установка прибора коммерческого учета электрической энергии (мощности) в точке поставки для присоединения базовой станции/оборудования сотовой связи ООО «ТехноСтройГрупп», расположенной по адресу: Ростовская область, Цимлянский район, станица Красноярская, ул. Набережная, на расстоянии 10 м на юго-восток от земельного участка с кадастровым номером 61:41:0020113:115</t>
  </si>
  <si>
    <t>Установка прибора коммерческого учета электрической энергии (мощности) в точке поставки для присоединения индивидуального жилого дома Позова Л.С., расположенного по адресу: Ростовская область, Цимлянский район, станица Красноярская, пер. Рабочий, д. 6, к.н.з.у.: 61:41:0020126:129</t>
  </si>
  <si>
    <t>Установка прибора коммерческого учета электрической энергии (мощности) в точке поставки для присоединения жилого дома Непринцева В.А., расположенного по адресу: Ростовская область, Цимлянский район, станица Калининская, ул. Вербная, д. 13, к.н.з.у.: 61:41:0060109:28</t>
  </si>
  <si>
    <t>Установка прибора коммерческого учета электрической энергии (мощности) в точке поставки для присоединения жилого дома Алексеева В.А., расположенного по адресу: Ростовская область, Волгодонской район, станица Романовская, ул. Жемчужная, д. 34/2, к.н.з.у.: 61:08:0070114:1023</t>
  </si>
  <si>
    <t>Установка прибора коммерческого учета электрической энергии (мощности) в точке поставки для присоединения жилого дома Баджах О.В., расположенного по адресу: Ростовская область, Волгодонской район, станица Романовская, пер. Чкаловский, д.94, к.н.з.у.: 61:08:0070125:425</t>
  </si>
  <si>
    <t>Установка прибора коммерческого учета электрической энергии (мощности) в точке поставки для присоединения жилого дома Басацкого А.В., расположенного по адресу: Ростовская область, Волгодонской район, станица Романовская, ул. Одесская, д.21, к.н.з.у.: 61:08:0600601:3847</t>
  </si>
  <si>
    <t>Установка прибора коммерческого учета электрической энергии (мощности) в точке поставки для присоединения малоэтажной жилой застройки Бессарабова С.В., расположенной по адресу: Ростовская область, г. Волгодонск, ул. Отдыха, д.39в39, к.н.з.у.: 61:48:0020101:1556</t>
  </si>
  <si>
    <t>Установка прибора коммерческого учета электрической энергии (мощности) в точке поставки для присоединения жилого дома Болдырева А.В., расположенного по адресу: Ростовская область, Волгодонской район, станица Большовская, ул. Ясина, д. 15А, к.н.з.у.: 61:08:0030202:89</t>
  </si>
  <si>
    <t>Установка прибора коммерческого учета электрической энергии (мощности) в точке поставки для присоединения дома молитвы Религиозной организации Объединения церквей евангельских христиан-Баптистов Ростовской области и республики Калмыкия, расположенного по адресу: Ростовская область, Волгодонской район, х. Рябичев, пер. Калинин, д. 1-в, к.н.з.у.: 61:08:0000000:216</t>
  </si>
  <si>
    <t>Установка прибора коммерческого учета электрической энергии (мощности) в точке поставки для присоединения жилого дома Зуфарова Р.Н., расположенного по адресу: Ростовская область, Волгодонской район, станица Романовская, пер. Ясина, д. 4а, к.н.з.у.: 61:08:0070130:755</t>
  </si>
  <si>
    <t>Установка прибора коммерческого учета электрической энергии (мощности) в точке поставки для присоединения малоэтажной жилой застройки Калугина В.В., расположенной по адресу: Ростовская область, г. Волгодонск, ул. Отдыха, д. 39в12, к.н.з.у.: 61:48:0020101:1571</t>
  </si>
  <si>
    <t>Установка прибора коммерческого учета электрической энергии (мощности) в точке поставки для присоединения жилого дома Кашенцевой Л.В., расположенного по адресу: Ростовская область, г.  Волгодонск, СНТ Машиностроитель, д. 74 др, к.н.з.у.: 61:48:0020704:532</t>
  </si>
  <si>
    <t>Установка прибора коммерческого учета электрической энергии (мощности) в точке поставки для присоединения индивидуального жилого дома Кошельниковой Е.Ю., расположенного по адресу: Ростовская обл., р-н. Волгодонской, х. Лагутники, ул. Молодежная, д. 35б, кадастровый номер земельного участка: 61:08:0070206:118</t>
  </si>
  <si>
    <t>Установка прибора коммерческого учета электрической энергии (мощности) в точке поставки для присоединения жилого дома Крымского И.А., расположенного по адресу: Ростовская область, г. Волгодонск, ул. Отдыха, д. 39в14, к.н.з.у.: 61:48:0020101:1570</t>
  </si>
  <si>
    <t>Установка прибора коммерческого учета электрической энергии (мощности) в точке поставки для присоединения жилого дома Курцина И.Ю., расположенного по адресу: Ростовская область, Волгодонской район, станица Романовская, ул. Тюхова, д. 100, к.н.з.у.: 61:08:070128:0141</t>
  </si>
  <si>
    <t>Установка прибора коммерческого учета электрической энергии (мощности) в точке поставки для присоединения квартиры Назарченко С.Ф., расположенной по адресу: Ростовская область, Волгодонской район, х. Потапов, ул. Комсомольская, д.100, кв. 1, к.н.з.у.: 61:08:0040104:108</t>
  </si>
  <si>
    <t>Установка прибора коммерческого учета электрической энергии (мощности) в точке поставки для присоединения индивидуального жилого дома Настенко И.В., расположенного по адресу: Ростовская область, Волгодонской район, станица Романовская, ул. 75 лет Победы, д. 75, к.н.з.у.: 61:08:0600601:4631</t>
  </si>
  <si>
    <t>Установка прибора коммерческого учета электрической энергии (мощности) в точке поставки для присоединения малоэтажной жилой застройки Палкина Д.В., расположенной по адресу: Ростовская область, Волгодонской район, станица Романовская, ул. Лесная, д.30, к.н.з.у.: 61:08:0070114:202</t>
  </si>
  <si>
    <t>Установка прибора коммерческого учета электрической энергии (мощности) в точке поставки для присоединения жилого дома Рожкова С.В., расположенного по адресу: Ростовская область, Волгодонской район, станица Романовская, ул. Чибисова, д.66А, к.н.з.у.: 61:08:0070123:401</t>
  </si>
  <si>
    <t>Установка прибора коммерческого учета электрической энергии (мощности) в точке поставки для присоединения жилого дома Самсанидзе С.Б., расположенного по адресу: Ростовская область, Волгодонской район, станица Романовская, ул. Шмутовой, д. 2В, к.н.з.у.: 61:08:0070130:751</t>
  </si>
  <si>
    <t>Установка прибора коммерческого учета электрической энергии (мощности) в точке поставки для присоединения индивидуального жилого дома Сарнавского В.И., расположенного по адресу: Ростовская область, Волгодонской район, станица Романовская,  ул. Береговая, д.15, к.н.з.у.: 61:08:0070104:722</t>
  </si>
  <si>
    <t>Установка прибора коммерческого учета электрической энергии (мощности) в точке поставки для присоединения садового домика Сацкого С.Е., расположенного по адресу: Ростовская область, г. Волгодонск, ул. Отдыха, д. 3, к.н.з.у.: 61:48:0020101:1286</t>
  </si>
  <si>
    <t>Установка прибора коммерческого учета электрической энергии (мощности) в точке поставки для присоединения индивидуального жилого дома Шахзадаева А.Р., расположенного по адресу: Ростовская область, Волгодонской район, п. Донской, ул. Центральная, д. 7, к.н.з.у.: 61:08:0060201:159</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</si>
  <si>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Константиновский район, х. Верхнепотапов</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</si>
  <si>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Константиновский район, х. Белянский</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</si>
  <si>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Константиновский район, х. Ермилов</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</si>
  <si>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Константиновский район, х. Крюков</t>
  </si>
  <si>
    <t>Установка прибора коммерческого учета электрической энергии (мощности) в точке поставки для присоединения жилого дома Мостового С.В., расположенного по адресу: Ростовская область, Константиновский район, станица Богоявленская, ул. Парковая, д. 17, к.н.з.у.: 61:17:0030101:694</t>
  </si>
  <si>
    <t>Установка прибора коммерческого учета электрической энергии (мощности) в точке поставки для присоединения зерносклада ИП главы К(Ф)Х Морозова А.В., расположенного по адресу: Ростовская область, Константиновский район, в 300 м южнее х. Кременской, к.н.з.у.: 61:17:0600002:1877</t>
  </si>
  <si>
    <t>Установка прибора коммерческого учета электрической энергии (мощности) в точке поставки для присоединения жилого дома Спинко А.Е., расположенного по адресу: Ростовская область, Константиновский район, станица Николаевская, ул. Ленина, д. 12, к.н.з.у.: 61:17:0050101:2058»</t>
  </si>
  <si>
    <t>Установка прибора коммерческого учета электрической энергии (мощности) в точке поставки для присоединения квартиры Лисициной Т.Н., расположенной по адресу: Ростовская область, Константиновский район, станица Богоявленская, ул. Парковая, д. 5, к.н.з.у.: 61:17:0030101:1324</t>
  </si>
  <si>
    <t>Установка прибора коммерческого учета электрической энергии (мощности) в точке поставки для присоединения жилого дома Афанасьевой Т.Е., расположенного по адресу: Ростовская область, Константиновский район, станица Николаевская, ул. Гагарина, д. 67, к.н.з.у.: 61:17:0050101:1506</t>
  </si>
  <si>
    <t>Установка прибора коммерческого учета электрической энергии (мощности) в точке поставки для присоединения жилого дома Стародубцевой А.Н., расположенного по адресу: Ростовская область, Константиновский район, х. Ведерников, ул. Октябрьская, д. 22, к.н.з.у.: 61:17:0010502:1</t>
  </si>
  <si>
    <t>Установка прибора коммерческого учета электрической энергии (мощности) в точке поставки для присоединения жилого дома Роскошного А.В., расположенного по адресу: Ростовская область, Константиновский район, станица Мариинская, ул. Набережная, д. 33-а, к.н.з.у.: 61:17:0050301:455</t>
  </si>
  <si>
    <t>Установка прибора коммерческого учета электрической энергии (мощности) в точке поставки для присоединения жилого дома Мерзуна И.С., расположенного по адресу: Ростовская область, Константиновский район, станица Николаевская, ул. 9 Января, д. 11, к.н.з.у.: 61:17:0050101:6893</t>
  </si>
  <si>
    <t xml:space="preserve">Установка прибора коммерческого учета электрической энергии (мощности) в точке поставки для присоединения нежилого здания Ждановой Т.С., расположенного по адресу: Ростовская область, Зимовниковский район, п. Зимовники, ул. Магистральная, д. 65А, к.н. 61:13:0010125:114 </t>
  </si>
  <si>
    <t>Установка прибора коммерческого учета электрической энергии (мощности) в точке поставки для присоединения квартиры Даибовой А.Х., расположенной по адресу: Ростовская область, Зимовниковский район, х. Хуторской, ул. Рабочая, д. 30, кв. 2, к.н.з.у.: 61:13:0060106:319</t>
  </si>
  <si>
    <t>Обеспечение коммерческим учетом электрической энергии (мощности) в точке поставки и установка шкафа 0,4 кВ по присоединению базы ИП Брылева А.С., расположенной по адресу: Ростовская область, Зимовниковский район, Савоськинское сельское поселение, вблизи х. Савоськин, кадастровый номер земельного участка 61:13:0600017:1423</t>
  </si>
  <si>
    <t>Установка прибора коммерческого учета электрической энергии (мощности) в точке поставки для присоединения жилого дома Салпиева Х.К., расположенного по адресу: Ростовская область, Зимовниковский район, х. Петухов, ул. Еременко, д. 33, к.н.з.у.: 61:13:020601:0013</t>
  </si>
  <si>
    <t>Установка  коммерческого учета электрической энергии (мощности) в точке поставки и установка шкафа 0,4 кВ по присоединению жилого дома Ржевского И.И., расположенного по адресу: Ростовская область, Зимовниковский район, станица Кутейниковская, ул. Восточная, д. 2А, кадастровый номер земельного участка 61:13:070101:0100</t>
  </si>
  <si>
    <t>Обеспечение коммерческим учетом электрической энергии (мощности) в точке поставки и установка шкафа 0,4 кВ по присоединению здания магазина Разаковой П.А., расположенного по адресу: Ростовская область, Зимовниковский район, х. Глубокий, ул. Южная, д. 8А, кадастровый номер земельного участка: 61:13:0040403:61</t>
  </si>
  <si>
    <t>Установка  коммерческого учета электрической энергии (мощности) в точке поставки и установка шкафа 0,4 кВ по присоединению квартиры Воронцовой Г.А., расположенной по адресу: Ростовская область, Зимовниковский район, х. Хуторской, ул. Спортивная, д. 5, кв. 2, кадастровый номер земельного участка 61:13:0060103:20</t>
  </si>
  <si>
    <t>Установка прибора коммерческого учета электрической энергии (мощности) в точке поставки для присоединения квартиры Городничего А.Е., расположенной по адресу: Ростовская область, Зимовниковский район, х. Хуторской, ул. Магистральная, д. 1, кв. 1, к.н.з.у.: 61:13:0060106:76</t>
  </si>
  <si>
    <t>Установка прибора коммерческого учета электрической энергии (мощности) в точке поставки для присоединения нежилого здания ИП главы К(Ф)Х Ромашенко А.В., расположенного по адресу: Ростовская область, Мартыновский район, х. Комаров, участок находится примерно в 1,3 км по направлению на юг от ориентира х. Комаров, кадастровый номер земельного участка: 61:20:0600014:917</t>
  </si>
  <si>
    <t>Установка прибора коммерческого учета электрической энергии (мощности) в точке поставки для присоединения здания Кузьмич Е.В., расположенного по адресу: Ростовская область, Мартыновский район, станица Большая Орловка, ул. Базарная, д. 2-а, к.н.з.у.: 61:20:0020101:13037</t>
  </si>
  <si>
    <t>Установка прибора коммерческого учета электрической энергии (мощности) в точке поставки для присоединения жилого дома Абдулкеримовой Р.С., расположенной по адресу:Ростовская обл., Дубовский район, станица Андреевская, ул. Восточная,  д. 47, к.н.з.у.: 61:09:0600011:186</t>
  </si>
  <si>
    <t>Установка прибора коммерческого учета электрической энергии (мощности) в точке поставки для присоединения жилого дома Кузнецова А.В., расположенного по адресу: Ростовская область, Дубовский район, х. Присальский, ул. Молодежная д. 9, к.н.з.у.: 61:09:070101:0200</t>
  </si>
  <si>
    <t>Установка прибора коммерческого учета электрической энергии (мощности) в точке поставки для присоединения квартиры Павловой Г.П., расположенной по адресу: Ростовская обл., р-н. Дубовский, х. Овчинников, ул. Зеленая, д. 5/1, к.н.о.: 61:09:030201:0000:886</t>
  </si>
  <si>
    <t>Установка прибора коммерческого учета электрической энергии (мощности) в точке поставки для присоединения квартиры Маркова В.И., расположенной по адресу: Ростовская область, Дубовский район, х. Присальский, ул. Молодежная,  д. 6,  кв. 2, к.н.з.у.: 61:09:0070101:2044</t>
  </si>
  <si>
    <t>Установка прибора коммерческого учета электрической энергии (мощности) в точке поставки для присоединения жилого дома Ядрец А.Н., расположенного по адресу: Ростовская область, Ремонтненский район, с. Подгорное, ул. Пушкинская, д. 34, к.н.о.: 61:32:0090101:1551, к.н.з.у.: 61:32:0090101:327</t>
  </si>
  <si>
    <t>Установка прибора коммерческого учета электрической энергии (мощности) в точке поставки для присоединения квартиры Филькина А.С., расположенной по адресу: Ростовская область, Ремонтненский район, х. Раздольный, ул. Центральная, д. 13, кв.1, к.н.з.у.: 61:32:0050201:51</t>
  </si>
  <si>
    <t>Установка прибора коммерческого учета электрической энергии (мощности) в точке поставки для присоединения квартиры Магомедгаджиева М.М., расположенной по адресу: Ростовская область, Ремонтненский район, п. Новопривольный, ул. Лермонтова, д. 16, кв. 1, к.н.о. 61:32:0100201:904, к.н.з.у.: 61:32:0100201:76</t>
  </si>
  <si>
    <t>Установка прибора коммерческого учета электрической энергии (мощности) в точке поставки для присоединения жилого дома Савченко Д.А., расположенного по адресу: Ростовская область, Ремонтненский район, с. Киевка, ул. Ленинская, д. 25, к.н.о.: 61:32:0050101:1241, к.н.з.у.: 61:32:0050101:175</t>
  </si>
  <si>
    <t>Установка прибора коммерческого учета электрической энергии (мощности) в точке поставки для присоединения жилого дома Пшеничного А.В., расположенного по адресу: Ростовская область, Ремонтненский район, с. Подгорное, ул. Набережная, д. 17, к.н.о.: 61:32:0090101:233:19, к.н.з.у.: 61:32:0090101:233</t>
  </si>
  <si>
    <t>Установка прибора коммерческого учёта электрической энергии (мощности) в точке поставки для присоединения квартиры Лемешко В.А., расположенного по адресу:Ростовская область,Ремонтненский район, х.Раздольный,ул.Центральная,д.15, кв.2; к.з.н.у.:61:32:0050201:127</t>
  </si>
  <si>
    <t>Установка прибора коммерческого учёта электрической энергии (мощности) в точке поставки для присоединения нежилого помещения АО "Почта России", расположенного по адресу:Ростовская область,Ремонтненский район, с.Подгорное,ул.Советская,д.48, к.з.н.у.:61:32:0090101:1494:</t>
  </si>
  <si>
    <t>Установка прибора коммерческого учета электрической энергии (мощности) в точке поставки для присоединения жилого дома Рарова В.В., расположенного по адресу: Ростовская область, Ремонтненский район, с. Подгорное, ул. Набережная, д. 13А, к.н.о.: 61:32:0090101:1539, к.н.з.у.: 61:32:0090101:235</t>
  </si>
  <si>
    <t>Установка прибора коммерческого учета электрической энергии (мощности) в точке поставки для присоединения квартиры Орловского В.М., расположенной по адресу: Ростовская область, Ремонтненский район, с. Подгорное, ул. Молодежная, д. 7, кв. 1, к.н.о.: 61:32:0090101:0:9/2, к.н.з.у.: 61:32:0090101:201</t>
  </si>
  <si>
    <t>Установка прибора коммерческого учета электрической энергии (мощности) в точке поставки для присоединения жилого дома Абрамцева Ф.Ф., расположенного по адресу: Ростовская область, Ремонтненский район, с. Подгорное, ул. Пушкинская, д. 23, к.н.о.: 61:32:127:1:319:93:А, к.н.з.у.: 61:32:127:1:319</t>
  </si>
  <si>
    <t>Установка прибора коммерческого учета электрической энергии (мощности) в точке поставки для присоединения жилого дома Абрамцевой Л.И., расположенного по адресу: Ростовская область, Ремонтненский район, с. Подгорное, ул. Пушкинская, д. 16, к.н.о.: 61:32:0090101:1533, к.н.з.у.: 61:32:0090101:335</t>
  </si>
  <si>
    <t>Установка прибора коммерческого учета электрической энергии (мощности) в точке поставки для присоединения жилого дома Орловского А.В., расположенного по адресу: Ростовская область, Ремонтненский район, с. Подгорное, ул. Ленина, д. 48, к.н.о.: 61:32:0090101:777, к.н.з.у.: 61:32:0090101:51</t>
  </si>
  <si>
    <t>Установка прибора коммерческого учета электрической энергии (мощности) в точке поставки для присоединения жилого дома Коскина И.А., расположенного по адресу: Ростовская область, Ремонтненский район, с. Первомайское, ул. Октябрьская, д. 10, к.н.з.о.: 61:32:124:2:350:135А, к.н.з.у.: 61:32:124:2:350</t>
  </si>
  <si>
    <t>Установка прибора коммерческого учета электрической энергии (мощности) в точке поставки для присоединения жилого дома Косенко А.Н., расположенного по адресу: Ростовская область, Ремонтненский район, с. Первомайское, ул. Богданова, д. 45, к.н.о.: 61:32:0080102:1983, к.н.з.у.: 61:32:0080102:29</t>
  </si>
  <si>
    <t>Установка прибора коммерческого учета электрической энергии (мощности) в точке поставки для присоединения жилого дома Инбулаева А.В., расположенного по адресу: Ростовская область, Ремонтненский район, с. Подгорное, ул. Южная, д. 27, к.н.о.: 61:32:0090101:1036, к.н.з.у.: 61:32:0090101:374</t>
  </si>
  <si>
    <t>Установка прибора коммерческого учета электрической энергии (мощности) в точке поставки для присоединения жилого дома Москалёва П.С., расположенного по адресу: Ростовская область, Ремонтненский район, с. Подгорное, ул. Комсомольская, д. 28, к.н.о.: 61:32:0090101:1531, к.н.з.у.: 61:32:0090101:99</t>
  </si>
  <si>
    <t>Установка прибора коммерческого учета электрической энергии (мощности) в точке поставки для присоединения жилого дома Ищенко В.А., расположенного по адресу: Ростовская область,  Цимлянский район, х. Рынок-Каргальский, ул. Полевая, д. 15, к.н.з.у.: 61:41:0040401:11</t>
  </si>
  <si>
    <t>Установка прибора коммерческого учета электрической энергии (мощности) в точке поставки для присоединения жилого дома Потехиной Г.К., расположенного по адресу: Ростовская область, Цимлянский район, х. Рынок-Каргальский, ул. Полевая, д. 6, к.н.з.у.: 61:41:0040401:7</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</si>
  <si>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Следневой О.О., расположенной по адресу: Ростовская область, Цимлянский район, станица Красноярская, ул. 60 лет Октября, д. 2Г, к.н.з.у.: 61:41:0020128:541</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</si>
  <si>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Следневой О.О., расположенной по адресу: Ростовская область, Цимлянский район, станица Красноярская, ул. 60 лет Октября, д. 2В, к.н.з.у.: 61:41:0020128:540</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</si>
  <si>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Следневой О.О., расположенного по адресу: Ростовская область, Цимлянский район, х. Лозной, ул. Абрикосовая, д. 2Б, к.н.з.у.: 61:41:0600011:2013</t>
  </si>
  <si>
    <t>Установка прибора коммерческого учета электрической энергии (мощности) в точке поставки для присоединения жилого дома Маркиной Н.А., расположенного по адресу: Ростовская область, Цимлянский район, станица Калининская, ул. Вербная, д. 23в, к.н.з.у.: 61:41:0060109:364"</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</si>
  <si>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Величко Н.И., расположенной по адресу: Ростовская область, Цимлянский район, станица Калининская, ул. Центральная, д. 71, к.н.о.н.: 61:41:0060103:53:177"</t>
  </si>
  <si>
    <t>Установка прибора коммерческого учета электрической энергии (мощности) в точке поставки для присоединения жилого дома Матвеева Ю.Н., расположенного по адресу: Ростовская область, Цимлянский район, станица Красноярская, ул. Победы, д.4, кадастровый номер объекта: 61:41:0020101:4</t>
  </si>
  <si>
    <t>Установка прибора коммерческого учета электрической энергии (мощности) в точке поставки для присоединения склада ИП главы К(Ф)Х Магомедшарипова М.М., расположенного по адресу: Ростовская область, Заветинский район, с. Тюльпаны, ул. Магистральная, д. 22, к.н.о.: 61:11:0600012:551</t>
  </si>
  <si>
    <t>Установка прибора коммерческого учета электрической энергии (мощности) в точке поставки для присоединения административного здания ИП главы К(Ф)Х Аникеева В.А., расположенного по адресу: Ростовская область, Заветинский район, х. Крылов, ул. Степная, д. 3а, к.н.о.: 61:11:0090201:294</t>
  </si>
  <si>
    <t>Установка прибора коммерческого учета электрической энергии (мощности) в точке поставки для присоединения зернохранилища СПК «Родина», расположенного по адресу: Ростовская область, Заветинский район, с. Заветное, ул. Социалистическая, д. 23-а, к.н.з.у.: 61:11:0010101:10047</t>
  </si>
  <si>
    <t>Установка прибора коммерческого учета электрической энергии (мощности) в точке поставки для присоединения артезианской скважины Администрации Заветинского района Ростовской области, расположенной по адресу: Ростовская область, Заветинский район, х. Савдя,  ул. Буденновская, д. 52-а, к.н.з.у. 61:11:0600011:1332</t>
  </si>
  <si>
    <t>Установка приборов коммерческого учета электрической энергии (мощности) в точках поставки для присоединения жилого дома Дадаевой Х.Х., расположенного по адресу: Ростовская область, Заветинский район, с. Кичкино, ул. Речная, д. 16, к.н.о.: 61:11:0030101:1357</t>
  </si>
  <si>
    <t>Установка прибора коммерческого учета электрической энергии (мощности) в точке поставки для присоединения квартиры Лисицкого Ю.В., расположенной по адресу: Ростовская область, Заветинский район, х. Фомин, ул. Быкадорова, д. 11, кв. 1, к.н.з.у.: 61:11:080101:0770</t>
  </si>
  <si>
    <t>Установка приборов коммерческого учета электрической энергии (мощности) в точках поставки для присоединения квартиры Ивахненко Л.Г., расположенной по адресу: Ростовская область, Заветинский район, с. Тюльпаны, ул. Магистральная, д. 6, кв. 2, к.н.з.у.: 61:61:14/017/2009:320</t>
  </si>
  <si>
    <t>Установка прибора коммерческого учета электрической энергии (мощности) в точке поставки для присоединения индивидуального жилого дома Щебелева С.Н., расположенного по адресу: Ростовская область, Волгодонской район, станица Романовская, ул. 75 лет Победы, д. 38, к.н.з.у.: 61:08:0600601:4595</t>
  </si>
  <si>
    <t>Установка прибора коммерческого учета электрической энергии (мощности) в точке поставки для присоединения садового дома Малышевой Л.А., расположенного по адресу: Ростовская область, г. Волгодонск, ул. Отдыха, д. 3, к.н.з.у.: 61:48:0020101:1275</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</si>
  <si>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Петрова М.А., расположенной по адресу: Ростовская область, г. Волгодонск, СНТ «Машиностроитель», д. 517 ндр, к.н.з.у.: 61:48:0020702:422</t>
  </si>
  <si>
    <t>Установка прибора коммерческого учета электрической энергии (мощности) в точке поставки для присоединения малоэтажной жилой застройки Стремедловской А.В., расположенной по адресу: Ростовская область, г. Волгодонск, СНТ Машиностроитель, №521 ндр, к.н.з.у.: 61:48:0020702:426</t>
  </si>
  <si>
    <t>Установка  коммерческого учета электрической энергии (мощности) в точке поставки и установка шкафа 0,4 кВ по присоединению жилого дома Чабанова Ю.А., расположенного по адресу: Ростовская область, Волгодонской район, х. Погожев, ул. Школьная, д. 2и, кадастровый номер объекта 61:08:0070401:209:402</t>
  </si>
  <si>
    <t>Установка прибора коммерческого учета электрической энергии (мощности) в точке поставки для присоединения индивидуального жилого дома Сотниковой В.П., расположенного по адресу: Ростовская область, Волгодонской район, станица Романовская, ул. 75 лет Победы, д.33, к.н.з.у.: 61:08:0600601:4590</t>
  </si>
  <si>
    <t>Установка прибора коммерческого учета электрической энергии (мощности) в точке поставки для присоединения объектов наружного освещения ИП Усова А.А., расположенных по адресу: Ростовская область, г. Волгодонск, ул. Отдыха, к.н.з.у.: 61:48:0020101:1542</t>
  </si>
  <si>
    <t>Установка прибора коммерческого учета электрической энергии (мощности) в точке поставки для присоединения индивидуального жилого дома Меркулова Д.С., расположенного по адресу: Ростовская область, Волгодонской район, станица Романовская, ул. 75 лет Победы, д. 41, к.н.з.у.: 61:08:0600601:4598</t>
  </si>
  <si>
    <t>Установка прибора коммерческого учета электрической энергии (мощности) в точке поставки для присоединения здания спального домика АО «Почта России», расположенного по адресу: Ростовская область, г. Волгодонск, ул. Отдыха, д. 1, к.н.з.у.: 61:48:0020101:1</t>
  </si>
  <si>
    <t>Установка прибора коммерческого учета электрической энергии (мощности) в точке поставки для присоединения здание физической культуры и спорта Родник, расположенного по адресу: Ростовская обл., Волгодонской р-н, х.Морозов, пер.Почтовый, д.19а., к.н.з.у.: 61:08:0020203:558</t>
  </si>
  <si>
    <t>Установка прибора коммерческого учета электрической энергии (мощности) в точке поставки для присоединения дачного дома Мацнева В.С., расположенного по адресу: Ростовская область, г. Волгодонск, ул. Отдыха, д. 39в6, к.н.з.у.: 61:48:0020101:1527</t>
  </si>
  <si>
    <t>Установка прибора коммерческого учета электрической энергии (мощности) в точке поставки для присоединения квартиры Решетняк В.И., расположенной по адресу: Ростовская область, Волгодонской район, х. Семенкин, ул. Центральная, д. 12, кв. 1, к.н.з.у.: 61:08:0070502:5</t>
  </si>
  <si>
    <t>Установка прибора коммерческого учета электрической энергии (мощности) в точке поставки для присоединения индивидуального жилого дома Видановой Е.В., расположенного по адресу: Ростовская область, Волгодонской район, станица Романовская, ул. 75 лет Победы, д. 40, к.н.з.у.: 61:08:0600601:4597</t>
  </si>
  <si>
    <t>Установка прибора коммерческого учета электрической энергии (мощности) в точке поставки для присоединения индивидуального жилого дома Колесникова А.А., расположенного по адресу: Ростовская область, Волгодонской район, станица Романовская, ул. 75 лет Победы, д. 44, к.н.з.у.: 61:08:0600601:4601</t>
  </si>
  <si>
    <t>Установка прибора коммерческого учета электрической энергии (мощности) в точке поставки для присоединения производственного здания ИП Буренок В.А., расположенного по адресу: Ростовская область, г. Волгодонск, ул. Промышленная, д. 3, к.н.з.у.: 61:48:0080104:35</t>
  </si>
  <si>
    <t>Установка прибора коммерческого учета электрической энергии (мощности) в точке поставки для присоединения малоэтажной жилой застройки Апанасенко А.В., расположенной по адресу: Ростовская область, Волгодонской район, станица Романовская, ул. Язева, д. 19, к.н.з.у.: 61:08:0600601:3830</t>
  </si>
  <si>
    <t>Установка прибора коммерческого учета электрической энергии (мощности) в точке поставки для присоединения склада и подвала ООО «Надежда»., расположенных по адресу: Ростовская область, Константиновский район, х. Упраздно-Кагальницкий, ул. Солнечная, д. 5, к.н.з.у.: 61:17:0030401:436 и д. 5-а, к.н.з.у.: 61:17:0030401:437</t>
  </si>
  <si>
    <t>Установка прибора коммерческого учета электрической энергии (мощности) в точке поставки для присоединения здания телятника-профилактория ИП главы К(Ф)Х Забуруннова В.П., расположенного по адресу: Ростовская область, Константиновский район, х. Кременской, 230 м юго-восточнее х. Кременской, к.н.з.у.: 61:17:0600002:1874</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</si>
  <si>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347470, Ростовская область, Зимовниковский район, ст-ца Кутейниковская, ул. Школьная, д. 30, комнаты 21,22</t>
  </si>
  <si>
    <t>Установка прибора коммерческого учета электрической энергии (мощности) в точке поставки для присоединения базы ИП Романовской Т.Ю., расположенной по адресу: Ростовская область, Зимовниковский район, 100 метров на восток от сл. Верхнесеребряковка, к.н.з.у.: 61:13:0600001:2628</t>
  </si>
  <si>
    <t>Установка прибора коммерческого учета электрической энергии (мощности) в точке поставки для присоединения автомобильной мойки ИП Умарова Э.Т., расположенной по адресу: Ростовская область, Зимовниковский район, х. Гашун, ул. Магистральная, д. 1Б, к.н.з.у.: 61:13:000000:9527</t>
  </si>
  <si>
    <t>Установка прибора коммерческого учета электрической энергии (мощности) в точке поставки для присоединения квартиры Медной Н.А., расположенной по адресу: Ростовская область, Зимовниковский район, х. Савоськин, ул. Кирова, д. 47, кв. 2, к.н.з.у.: 61:13:110106:0042</t>
  </si>
  <si>
    <t>Установка прибора коммерческого учета электрической энергии (мощности) в точке поставки для присоединения жилого дома Сакаевой А.А., расположенного по адресу: Ростовская область, Зимовниковский район, х. Грушевка, ул. Центральная, д. 45, к.н.з.у.: 61:13:0000000:9232</t>
  </si>
  <si>
    <t>Установка прибора коммерческого учета электрической энергии (мощности) в точке поставки и монтаж ответвления от ВЛ к вводу для присоединения рыбцеха ИП Нагибина С.П., расположенного по адресу: Ростовская область, Дубовский район, станица Жуковская, ул. Молодежная, д. 2а, к.н.з.у.: 61:09:0030101:2582</t>
  </si>
  <si>
    <t>Установка приборов коммерческого учета электрической энергии (мощности) в точках поставки для присоединения жилого дома Биннатова С.А.о., расположенного по адресу: Ростовская область, Дубовский район, станица Жуковская, ул. Степная, д. 4, к.н.з.у.: 61:09:140092008:194</t>
  </si>
  <si>
    <t>Установка прибора коммерческого учета электрической энергии (мощности) в точке поставки для присоединения ПТО бригады 1 ИП главы К(Ф)Х Нетребина В.Ю., расположенного по адресу: Ростовская область, Ремонтненский район, п. Привольный, ул. Тюльпанная, д. 19, к.н.о.: 61:32:0600001:4327, к.н.з.у.: 61:32:0600001:4405</t>
  </si>
  <si>
    <t>Установка прибора коммерческого учета электрической энергии (мощности) в точке поставки для присоединения городской среды Администрации Кичкинского сельского поселения, расположенной по адресу: Ростовская область, Заветинский район, с. Кичкино, ул. Школьная, д. 12-б, к.н.з.у.: 61:11:0030101:1799</t>
  </si>
  <si>
    <t>Установка прибора коммерческого учета электрической энергии (мощности) в точке поставки для присоединения жилого дома Яндаровой З.А., расположенного по адресу: Ростовская обл., р-н. Заветинский, х. Фомин, ул. Школьная, д. 99, кадастровый номер объекта 61:11:0080101:1363</t>
  </si>
  <si>
    <t>Установка прибора коммерческого учета электрической энергии (мощности) в точке поставки для присоединения малоэтажной жилой застройки Шукалюк Е.В., расположенной по адресу: Ростовская область, г. Волгодонск, СНТ «Машиностроитель» улица 6-я линия участок 49А, к.н.з.у.: 61:48:0020704:501</t>
  </si>
  <si>
    <t>Установка коммерческого учета электрической энергии (мощности) в точке поставки и установка шкафа 0,4 кВ по присоединению дачного домика Банькина Д.С., расположенного по адресу: Ростовская область, Волгодонской район, сдт. Юбилейное, кадастровый номер земельного участка 61:08:0601901:1002</t>
  </si>
  <si>
    <t>Установка прибора коммерческого учета электрической энергии (мощности) в точке поставки для присоединения объекта туристической отрасли Белобородовой Л.С., расположенного по адресу: Ростовская область, г. Волгодонск, ул. Отдыха, д. 3, к.н.з.у.: 61:48:0020101:1263</t>
  </si>
  <si>
    <t>Установка прибора коммерческого учета электрической энергии (мощности) в точке поставки для присоединения объекта туристической отрасли Дорощак В.Б., расположенного по адресу: Ростовская область, г. Волгодонск, ул. Отдыха, д. 3, к.н.з.у.: 61:48:0020101:1256</t>
  </si>
  <si>
    <t>Установка прибора коммерческого учета электрической энергии (мощности) в точке поставки для присоединения объекта туристической отрасли Дорощак Т.А., расположенного по адресу: Ростовская область, г. Волгодонск, ул. Отдыха, д. 3, к.н.з.у.: 61:48:0020101:1290</t>
  </si>
  <si>
    <t>Установка прибора коммерческого учета электрической энергии (мощности) в точке поставки для присоединения нежилой застройки ИП Хохловой А.И., расположенной по адресу: Ростовская область, г. Волгодонск, ул. Отдыха, д. 5а, к.н.з.у.: 61:48:0020101:1386</t>
  </si>
  <si>
    <t>Установка прибора коммерческого учета электрической энергии (мощности) в точке поставки для присоединения жилого дома Лызова А.С., расположенного по адресу: Ростовская область, Волгодонской район, станица Романовская, пер. Котова, д. 65, к.н.з.у.: 61:08:0070127:30</t>
  </si>
  <si>
    <t>Установка прибора коммерческого учета электрической энергии (мощности) в точке поставки для присоединения дачного дома Пальмер М.В., расположенного по адресу: Ростовская область, г. Волгодонск, Садоводство «Машиностроитель» уч. 491 ндр, к.н.з.у.: 61:48:0020702:28</t>
  </si>
  <si>
    <t>Обеспечение коммерческим учетом электрической энергии (мощности) в точке поставки и установка шкафа 0,4 кВ по присоединению спального домика Новоселова Д.С., расположенного по адресу: Ростовская область,г. Волгодонск, ул. Отдыха, кадастровый номер земельного участка: 61:48:0020101:1429</t>
  </si>
  <si>
    <t>Установка прибора коммерческого учета электрической энергии (мощности) в точке поставки для присоединения жилого дома Семакиной Ж.Ю., расположенного по адресу: Ростовская область, Волгодонской район, х. Погожев, ул. Гладкова, д. 2, к.н.з.у.: 61:08:0070401:766</t>
  </si>
  <si>
    <t>Установка прибора коммерческого учета электрической энергии (мощности) в точке поставки для присоединения жилого дома Скобелевой Т.А., расположенного по адресу: Ростовская область, Волгодонской район, станица Романовская, ул. Одесская, д. 9, к.н.з.у.: 61:08:0600601:3841</t>
  </si>
  <si>
    <t>Установка прибора коммерческого учета электрической энергии (мощности) в точке поставки для присоединения строительной площадки Стремедловского П.А., расположенной по адресу: Ростовская область, г. Волгодонск, СНТ «Машиностроитель», ул. 39-я линия, д. 190, к.н.з.у.: 61:48:0020703:211</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</si>
  <si>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Удачиной И.Л., расположенной по адресу: Ростовская область, г. Волгодонск, СНТ «Машиностроитель», участок №563 «а» НДР, к.н.з.у.: 61:48:0020702:446</t>
  </si>
  <si>
    <t>Установка прибора коммерческого учета электрической энергии (мощности) в точке поставки для присоединения жилого дома Украинской К.С., расположенного по адресу: Ростовская область, Волгодонской район, станица Романовская, пер. Октябрьский, д. 97, к.н.з.у.: 61:08:0070117:611</t>
  </si>
  <si>
    <t>Установка прибора коммерческого учета электрической энергии (мощности) в точке поставки для присоединения индивидуального жилого дома Рыжкиной В.В., расположенного по адресу: Ростовская область, Константиновский район, станица Николаевская, ул. Степана Разина, д. 11, к.н.з.у.: 61:17:0050101:211</t>
  </si>
  <si>
    <t>Установка прибора коммерческого учета электрической энергии (мощности) в точке поставки для присоединения жилого дома Окара А.В., расположенного по адресу: Ростовская область, Константиновский район, х. Старая Станица, ул. Заречная, д. 12а, к.н.з.у.: 61:17:0050501:510</t>
  </si>
  <si>
    <t>Установка прибора коммерческого учета электрической энергии (мощности) в точке поставки для присоединения жилого дома Масловой Н.В., расположенного по адресу: Ростовская область, Константиновский район, ст. Николаевская, ул. Победы, д. 92, к.н.з.у.: 61:17:0050101:5900</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</si>
  <si>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Крецу Е.С., расположенного по адресу: Ростовская область, Константиновский район, х. Трофимов, пер. Ильинский, д. 2а, к.н.о.: 61:17:0061001:2</t>
  </si>
  <si>
    <t>Установка прибора коммерческого учета электрической энергии (мощности) в точке поставки для присоединения жилого дома Сергиенко В.Н., расположенного по адресу: Ростовская область, Константиновский район, станица Николаевская, ул. Центральная, д. 71, к.н.з.у.: 61:17:0050101:96</t>
  </si>
  <si>
    <t>Установка прибора коммерческого учета электрической энергии (мощности) в точке поставки для нежилого помещения АО «Почта России», расположенного по адресу: Ростовская область, Константиновский район, х. Ведерников, ул. Центральная, д. 7, к.н.з.у.: 61:17:0010501:204</t>
  </si>
  <si>
    <t>Установка прибора коммерческого учета электрической энергии (мощности) в точке поставки для присоединения административного/офисного здания АО «Почта России», расположенного по адресу: Ростовская область, Константиновский район, станица Николаевская, ул. Центральная, д. 27, к.н.о.н.: 61:17:0050101:6255</t>
  </si>
  <si>
    <t>Установка прибора коммерческого учета электрической энергии (мощности) в точке поставки для присоединения квартиры Глушко В.А., расположенной по адресу: Ростовская область, Зимовниковский район, х. Савоськин, ул. Набережная, д. 31, кв. 2, к.н.з.у.: 61:13:0110111:26</t>
  </si>
  <si>
    <t>Установка прибора коммерческого учета электрической энергии (мощности) в точке поставки для присоединения жилого дома Андрющенко В.С., расположенного по адресу: Ростовская область, Зимовниковский район, х. Савоськин, ул. Центральная, д. 69А, к.н.з.у.: 61:13:0110104:93</t>
  </si>
  <si>
    <t>Установка прибора коммерческого учета электрической энергии (мощности) в точке поставки для присоединения квартиры Калашникова М.В., расположенной по адресу: Ростовская область, Зимовниковский район, х. Хуторской, ул. Школьная, д. 24, кв. 1, к.н.з.у.: 61:13:0060103:48</t>
  </si>
  <si>
    <t>Установка прибора коммерческого учета электрической энергии (мощности) в точке поставки для присоединения квартиры Науменко М.О., расположенного по адресу: 347463 Российская Федерация, Ростовская обл., р-н. Зимовниковский, п. Лагунный, ул. Макарчука, д. 45, кв./оф. 1, кадастровый номер земельного участка: 61:13:0080103:32</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</si>
  <si>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Ростовская область, Мартыновский район, х. Кривой Лиман, ул. Школьная, д. 38, к.н.з.у.: 61:20:0080401:1266</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</si>
  <si>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Ростовская область, Мартыновский район, х. Ильинов, ул. Школьная, д. 15в, к.н.з.у.: 61:20:0040101:2505</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</si>
  <si>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Ростовская область, Мартыновский район, п. Новоберезовка, ул. Школьная, д. 20, кв. 2, к.н.о.: 61:20:0090101:910</t>
  </si>
  <si>
    <t>Установка прибора коммерческого учета электрической энергии (мощности) в точке поставки и монтаж ответвлений от ВЛ к вводу для присоединения базовой станции/оборудования сотовой связи ПАО "Ростелеком"расположенного по адресу: Ростовская область, Мартыновский район, 40 м севернее участка с кадастровым номером 61:20:0070601:201</t>
  </si>
  <si>
    <t>Установка прибора коммерческого учета электрической энергии (мощности) в точке поставки и монтаж ответвления от ВЛ к вводу для присоединения базовой станции сотовой связи №001127 ООО «Т2 Мобайл»., расположенной по адресу: Ростовская область, Мартыновский район, слобода Большая Орловка, пер. Лиманский, к.н.з.у.: 61:20:0020101</t>
  </si>
  <si>
    <t>Установка прибора коммерческого учета электрической энергии (мощности) в точке поставки для присоединения здания ремонтной станции ИП главы К(Ф)Х Медведева Д.К., расположенного по адресу: Ростовская область, Мартыновский район, п. Крутоярский, ул. Центральная, д. 28Г, к.н.з.у.: 61:20:0090401:2191</t>
  </si>
  <si>
    <t>Установка прибора коммерческого учета электрической энергии (мощности) в точке поставки для присоединения хозяйственной постройки Шевченко Н.П., расположенной по адресу: Ростовская область, Мартыновский район, х. Арбузов, ул. Сальская, д. 5в, к.н.з.у.: 61:20:0080201:3052</t>
  </si>
  <si>
    <t>Установка прибора коммерческого учета электрической энергии (мощности) в точке поставки для присоединения закусочной Зандарова К.У., расположенной по адресу: Ростовская область, Мартыновский район, слобода Большая Орловка, ул. Советская, д. 18б, к.н.з.у.: 61:20:0020101:13629</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</si>
  <si>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помещения Ивановой  И.В., расположенного по адресу: Ростовская область, Дубовский район, х. Романов, пер. Школьный, д. 4, кв. 2, к.н.о.: 61:09:0010101:218</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</si>
  <si>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Евсеевой О.И., расположенного по адресу: Ростовская область, Ремонтненский район, с. Валуевка, ул. Горяинова, д. 64, к.н.о.: 61:32:0020101:1327 (1 шт)</t>
  </si>
  <si>
    <t>Установка прибора коммерческого учета электрической энергии (мощности) в точке поставки для присоединения сети уличного освещения Администрации Красноярского сельского поселения, расположенного по адресу: Ростовская область, Цимлянский район, станица Красноярская, западнее земельного участка с к.н.: 61:41:0020126:140 (по улице Полевая), к.н.з.у.: 61:41:0020127:1167</t>
  </si>
  <si>
    <t>Обеспечение коммерческим учетом электрической энергии (мощности) в точке поставки и установка шкафа 0,4 кВ по присоединению БС 1618  ООО "Т2 Мобайл" расположенной по адресу: РО, Цимлянский район, х. Лозной, ул. Советская, к.н. 61:41:0030104:100</t>
  </si>
  <si>
    <t>Установка прибора коммерческого учета электрической энергии (мощности) в точке поставки для присоединения базовой станции ООО «Т2 Мобайл», расположенной по адресу: Ростовская область, Цимлянский район, станица Лозновская, ул. Центральная, д. 30б, кадастровый номер земельного участка: 61:41:0040205:444</t>
  </si>
  <si>
    <t>Установка прибора коммерческого учета электрической энергии (мощности) в точке поставки для присоединения жилого дома Беридзе Н.Ш., расположенного по адресу: Ростовская область, Цимлянский район, станица Красноярская, пер. Речной, д. 6, к.н.о.: 61:41:0020126:597, к.н.з.у.: 61:41:0020126:146</t>
  </si>
  <si>
    <t>Установка прибора коммерческого учета электрической энергии (мощности) в точке поставки для присоединения жилого дома Рыбакова С.В., расположенного по адресу: Ростовская область, Цимлянский район, х. Лозной, пер. Победы, д. 31, к.н.з.у.: 61:41:0030111:86</t>
  </si>
  <si>
    <t>Установка прибора коммерческого учета электрической энергии (мощности) в точке поставки для присоединения жилого дома Клоченок А.П., расположенного по адресу: Ростовская область, Цимлянский район, п.Дубравный, ул.Красноярская, д. 7/3, к.н.з.у.: 61:41:0030401:210</t>
  </si>
  <si>
    <t>Установка прибора коммерческого учета электрической энергии (мощности) в точке поставки для присоединения жилого дома Андреева С.А., расположенного по адресу: Ростовская область, Цимлянский район, х. Лозной, пер. Лесной, д. 13, корп. а, к.н.з.у.: 61:41:0030103:317</t>
  </si>
  <si>
    <t>Установка прибора коммерческого учета электрической энергии (мощности) в точке поставки для присоединения жилого дома Переверзевой Е.М., расположенного по адресу: Ростовская область, Цимлянский район, х. Лозной, ул. Мира, д. 16, к.н.з.у.: 61:41:0030102:17</t>
  </si>
  <si>
    <t>Установка прибора коммерческого учета электрической энергии (мощности) в точке поставки для присоединения дачного дома Борисовой К.Ю., расположенного по адресу: Ростовская область, Цимлянский район, г. Цимлянск, СОНТ "Винзавод", участок 85, к.н.з.у.: 61:41:0010402:273</t>
  </si>
  <si>
    <t>Установка прибора коммерческого учета электрической энергии (мощности) в точке поставки для присоединения жилого дома Негрей Е.В., расположенного по адресу: Ростовская область, Цимлянский район, х. Лозной, ул. Абрикосовая, д. 70, к.н.з.у.: 61:41:0600011:1076</t>
  </si>
  <si>
    <t>Установка прибора коммерческого учета электрической энергии (мощности) в точке поставки для присоединения жилого дома Домарацкой А.Н., расположенного по адресу: Ростовская область, Цимлянский район, станица Камышевская, ул. Большая Садовая, д. 21, к.н.з.у.: 61:41:040110:0012</t>
  </si>
  <si>
    <t>Установка прибора коммерческого учета электрической энергии (мощности) в точке поставки для присоединения жилого дома Войтенок С.Ф., расположенного по адресу: Ростовская область, Цимлянский район, станица Красноярская, ул. Гагарина, д. 27, к.н.з.у.: 61:41:0020122:58</t>
  </si>
  <si>
    <t>Установка прибора коммерческого учета электрической энергии (мощности) в точке поставки для присоединения жилого дома Мамонова Е.В., расположенного по адресу: Ростовская область, Цимлянский район, п. Дубравный, ул. Красноярская, д. 22, к.н.з.у.: 61:41:0030401:220</t>
  </si>
  <si>
    <t>Установка прибора коммерческого учета электрической энергии (мощности) в точке поставки для присоединения жилого дома Косиновой Л.Е., расположенного по адресу: Ростовская область, Цимлянский район, станица Красноярская, пер. Развильный, д. 3, к.н.з.у.: 61:41:0020105:1</t>
  </si>
  <si>
    <t>Установка прибора коммерческого учета электрической энергии (мощности) в точке поставки для присоединения малоэтажной жилой застройки Мян В.А., расположенной по адресу: Ростовская область, Волгодонской район, станица Романовская, ул. Лесная, д. 10а, к.н.з.у.: 61:48:0070114:551</t>
  </si>
  <si>
    <t xml:space="preserve">Установка прибора коммерческого учета электрической энергии (мощности) в точке поставки для присоединения индивидуального жилого дома Городиловой С.К., расположенного по адресу: Ростовская область, Волгодонской район, станица Романовская, ул. 75 лет Победы, д. 43, к.н.з.у.: 61:08:0600601:4600
</t>
  </si>
  <si>
    <t xml:space="preserve">
Установка прибора коммерческого учета электрической энергии (мощности) в точке поставки для присоединения индивидуального жилого дома Букреевой И.И., расположенного по адресу: Ростовская область, Волгодонской район, станица Романовская, ул. 75 лет Победы, д. 63, к.н.з.у.: 61:08:0600601:4557
</t>
  </si>
  <si>
    <t>Установка прибора коммерческого учета электрической энергии (мощности) в точке поставки для присоединения жилого дома Цехановского В.В., расположенного по адресу: Ростовская область, Волгодонской район, станица Каргальская, ул. Центральная, д. 57, к.н.з.у.: 61:08:0040501:12</t>
  </si>
  <si>
    <t>Установка прибора коммерческого учета электрической энергии (мощности) в точке поставки для присоединения строительной площадки Шелудько А.Г., расположенной по адресу: Ростовская область, г. Волгодонск, СНТ Машиностроитель, д. 188 ндр, к.н.з.у.: 61:48:0000000:119</t>
  </si>
  <si>
    <t>Установка прибора коммерческого учета электрической энергии (мощности) в точке поставки для присоединения садового дома Безматьева Н.С., расположенного по адресу: Ростовская область, г. Волгодонск, ул. Отдыха, д. 39в36, к.н.з.у.: 61:48:0020101:1561</t>
  </si>
  <si>
    <t>Установка прибора коммерческого учета электрической энергии (мощности) в точке поставки для присоединения малоэтажной жилой застройки Чуприна С.М., расположенной по адресу: Ростовская область, Волгодонской район, станица Романовская, ул. Лесная, д. 23, к.н.з.у.: 61:08:0070114:30</t>
  </si>
  <si>
    <t>Установка прибора коммерческого учета электрической энергии (мощности) в точке поставки для присоединения малоэтажной жилой застройки Аникеенко Е.В., расположенной по адресу: Ростовская область, Волгодонской район, станица Романовская, ул. Мелиораторов, д. 30, к.н.з.у.: 61:08:0070111:13</t>
  </si>
  <si>
    <t>Установка прибора коммерческого учета электрической энергии (мощности) в точке поставки для присоединения объекта торговли ИП Белоиваненко В.И., расположенного по адресу: Ростовская область, Волгодонской район, х. Потапов, ул. Комсомольская, д. 40а, к.н.з.у.: 61:08:0040110:1423</t>
  </si>
  <si>
    <t>Установка прибора коммерческого учета электрической энергии (мощности) в точке поставки для присоединения жилого дома Сафронова Г.Н., расположенного по адресу: Ростовская обл, Волгодонской р-н,  ст. Романовская, ул. Береговая, д.22.,  к.н. з.у. 61:08:0070104:712 (1 шт)</t>
  </si>
  <si>
    <t>Установка прибора коммерческого учета электрической энергии (мощности) в точке поставки для присоединения жилого дома Сафронова Г.Н., расположенного по адресу: Ростовская обл, Волгодонской р-н,  ст. Романовская, ул. Береговая, д.18.,  к.н. з.у. 61:08:0070104:714 (1 шт)</t>
  </si>
  <si>
    <t>Установка прибора коммерческого учета электрической энергии (мощности) в точке поставки для присоединения жилого дома Павлова А.А., расположенного по адресу: Ростовская обл, Волгодонской р-н,  ст. Романовская, ул. Береговая, д.20., к.н. з.у. 61:08:0070104:713 (1 шт)</t>
  </si>
  <si>
    <t>Установка прибора коммерческого учета электрической энергии (мощности) в точке поставки для присоединения малоэтажной жилой застройки Преснякова А.М., расположенного по адресу: Ростовская обл, Волгодонской р-н, ст. Романовская, ул. 75 лет Победы, д.87, 61:08:0600601:4643</t>
  </si>
  <si>
    <t>Установка прибора коммерческого учета электрической энергии (мощности) в точке поставки для присоединения дошкольной образовательной организации на 80 мест Администрации Волгодонского района, расположенной по адресу: Ростовская область, Волгодонской район, х. Лагутники, ул. Степной, д. 1а, к.н.з.у.: 61:08:0000000:3423</t>
  </si>
  <si>
    <t>Установка прибора коммерческого учета электрической энергии (мощности) в точке поставки для присоединения индивидуального жилого дома Матвеева А.В., расположенного по адресу: Ростовская область, Волгодонской район, станица Романовская, ул. 75 лет Победы, д. 34, к.н.з.у. 61:08:0600601:4591</t>
  </si>
  <si>
    <t>Установка прибора коммерческого учета электрической энергии (мощности) в точке поставки для присоединения индивидуального жилого дома Кружилиной А.И., расположенного по адресу: Ростовская область, Волгодонской район, станица Романовская, ул. 75 лет Победы, д. 42, к.н.з.у.: 61:08:0600601:4599</t>
  </si>
  <si>
    <t>Установка коммерческого учета электрической энергии (мощности) в точке поставки и установка шкафа 0,4 кВ по присоединению жилого дома Битюковой Л.В., расположенного по адресу: Ростовская область, г. Волгодонск, ул. Отдыха, д. 39в2, кадастровый номер земельного участка 61:48:0020101:1525</t>
  </si>
  <si>
    <t>Установка приборов коммерческого учета электрической энергии (мощности) в точках поставки для присоединения жилых домов Яценко О.Ф. и Шамиловой А.В., расположенных по адресу: Ростовская область, Волгодонской район, х. Сухая Балка, ул. Новоселов, д.13А, к.н.з.у: 61:08:0010401:550 и д.8, к.н.з.у: 61:08:0010401:9 (количество приборов учета  - 2 шт)</t>
  </si>
  <si>
    <t>Установка прибора коммерческого учета электрической энергии (мощности) в точке поставки для присоединения жилого дома Глаубец А.С., расположенного по адресу: Ростовская область, Волгодонской район, станица Романовская, ул. 75 лет Победы, д. 53, к.н.з.у.: 61:08:0600601:4610</t>
  </si>
  <si>
    <t>Установка прибора коммерческого учета электрической энергии (мощности) в точке поставки для присоединения БС 71280 ПАО «Вымпел-Коммуникации», расположенной по адресу: Ростовская область, г. Волгодонск, ш. Цимлянское, д. 10, к.н.з.у.: 61:48:0010204:491</t>
  </si>
  <si>
    <t>Установка прибора коммерческого учета электрической энергии (мощности) в точке поставки для присоединения малоэтажной жилой застройки Галилеева А.Ю., расположенной по адресу: Ростовская обл., р-н. Волгодонской, ст. Романовская, ул. 75 лет Победы, д. 52, к.н.з.у.: 61:08:0600601:4609</t>
  </si>
  <si>
    <t>Установка прибора коммерческого учета электрической энергии (мощности) в точке поставки для присоединения объекта торговли ИП Казымова Б.В.о., расположенного по адресу: Ростовская область, х. Потапов, ул. Комсомольская, д. 49ж, к.н.з.у.: 61:08:0040106:636</t>
  </si>
  <si>
    <t>Установка прибора коммерческого учета электрической энергии (мощности) в точке поставки для присоединения садового домика Трофимова А.Ю., расположенного по адресу: Ростовская область, Константиновский район, х. Ведерников, Константиновское городское поселение, 230 м восточнее х. Ведерников, к.н.з.у.: 61:17:0600017:839</t>
  </si>
  <si>
    <t>Установка прибора коммерческого учета электрической энергии (мощности) в точке поставки для присоединения жилого дома Кротова А.В., расположенного по адресу: Ростовская область, Константиновский район, ст. Николаевская, ул. Победы, д. 92, к.н.з.у.: 61:17:0050101:5900</t>
  </si>
  <si>
    <t>Установка прибора коммерческого учета электрической энергии (мощности) в точке поставки для присоединения индивидуального жилого дома Калининой Е.Л., расположенного по адресу: Ростовская область, Константиновский район, станица Николаевская, ул. Коммунистическая, д. 41, к.н.з.у.: 61:17:0050101:1852</t>
  </si>
  <si>
    <t>Установка прибора коммерческого учета электрической энергии (мощности) в точке поставки и монтаж ответвления от ВЛ к вводу для присоединения индивидуального жилого дома Долгалева А.В., расположенного по адресу: Ростовская область, Константиновский район, х. Кондаков, ул. Степная, д. 25, к.н.з.у.: 61:17:0070503:1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</si>
  <si>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(индивидуального жилого дома/садового/дачного дома) Золотовой Н.В., расположенной по адресу: Ростовская область, Константиновский район, ст. Николаевская, ул. Комсомольская, д. 57, к.н.з.у.: 61:17:0050101:33</t>
  </si>
  <si>
    <t>Установка прибора коммерческого учета электрической энергии (мощности) в точке поставки для присоединения объекта сельскохозяйственного производства Крестьянского хозяйства "Коцарева", расположенного по адресу: Ростовская область, Мартыновский район, п. Новоберезовка, ул. Школьная, д.1г, к.н.з.у. 61:20:009010101:103</t>
  </si>
  <si>
    <t>Установка прибора коммерческого учета электрической энергии (мощности) в точке поставки в точке поставки и монтаж ответвления от ВЛИ к вводу для присоединения магазина ИП Мурадова Б.Н., расположенного по адресу: Ростовская область, Мартыновский район, слобода Большая Орловка, ул. Революционная д. 55, к.н.о.: 61:20:0020101:13295</t>
  </si>
  <si>
    <t>Установка прибора коммерческого учета электрической энергии (мощности) в точке поставки для малоэтажной жилой застройки Кепти Г.К., расположенного по адресу: Ростовская область, Дубовский район, хутор Гуреев, ул. Заречная, д. 2 кв.2, к.н.з.у.: 61:09:0120101:1514 (1 шт)</t>
  </si>
  <si>
    <t>Установка прибора коммерческого учета электрической энергии (мощности) в точке поставки для квартиры Устарханова Р.А., расположенного по адресу: Ростовская область, Дубовский район, хутор Присальский, ул. Энергетиков, д. 5, кв. 1, к.н.з.у.: 61:09:07010100:50 (1 шт)</t>
  </si>
  <si>
    <t>Установка прибора коммерческого учета электрической энергии (мощности) в точке поставки для присоединения склада ИП главы К(Ф)Х Донченко Р.А., расположенного по адресу: Ростовская область, Ремонтненский район, с. Ремонтное, 2 км на северо-запад от с. Ремонтное, к.н.о.: 61:32:0000000:2831, к.н.з.у.: 61:32:0600006:2615</t>
  </si>
  <si>
    <t>Установка прибора коммерческого учета электрической энергии (мощности) в точке поставки для присоединения квартиры Власенко В.И., расположенной по адресу: Ростовская область, Ремонтненский район, с. Киевка, ул. Октябрьская, д. 49, кв. 1, к.н.о.: 61:32:0050101:1340, к.н.з.у.: 61:32:0050101:244</t>
  </si>
  <si>
    <t>Установка прибора коммерческого учета электрической энергии (мощности) в точке поставки и монтаж ответвления от ВЛ к вводу  для присоединения базовой сианции/оборудования сотовой связи ООО "ДонСвязьКонструкция", расположенной по адресу: Ростовская область, Ремонтненский район,с. Богородское,  8 м. западнее домовладения по ул. Гагарина  д 72.,  к.н.з.у. :61:32:0040201</t>
  </si>
  <si>
    <t>Установка прибора коммерческого учета электрической энергии (мощности) в точке поставки для присоединения наружного освещения автомобильной дороги Администрации Ремонтненского района Ростовской области, расположенного по адресу: Ростовская область, Ремонтненский район, с. Валуевка, ул. 40 лет Победы, (от домовладения №1 до домовладения №19а), к.н.з.у.: 61:32:0000000:3057</t>
  </si>
  <si>
    <t>Установка прибора коммерческого учета электрической энергии (мощности) в точке поставки и монтажа ответвления от ВЛ к вводу для присоединения МТМ ИП Главы КФХ Липаева С.И., расположенные по адресу: Ростовская область, Ремонтненский район, с. Большое Ремонтное , ул. Ленина,д. 29д,  к.н.о.:61:32:0040101:1447, к.н.з.у.: 61:32:0040101:1463</t>
  </si>
  <si>
    <t>Установка прибора коммерческого учета электрической энергии(мощности) в точке поставки и монтаж ответвления от ВЛ к вводу для присоединения гаража для грузовых автомашин ИП Главы КФХ Липаева С.И., расположенного по адресу: Ростовская область, Ремонтненский район, с. Большое Ремонтное, ул. Ленина, д. 29д, к.н.о.: 61:32:0040101:1446, к.н.з.у.: 61:32:0040101:1465</t>
  </si>
  <si>
    <t>Установка прибора коммерческого учетаэлектрической энергии мощности) в точке поставки имонтаж ответвления отВЛИк вводу для присоединения квартиры Абдуллаева И.А, расположенной по.адресу: Ростовская область, Заветинский район, с. Кичкино, ул. Солнечная, д.19, кв.lоф. 4, к.н.з.у.:61:11:0030101:1543 (1 шт)</t>
  </si>
  <si>
    <t>Установка прибора коммерческого учета электрической энергии (мощности) в точке поставки для присоединения нежилого помещения АО «Почта России», расположенного по адресу: Ростовская область, Заветинский район, с. Кичкино, ул. Школьная, д. 6а, к.н.о.: 61:11:0030101:920</t>
  </si>
  <si>
    <t>Установка прибора коммерческого учета электрической энергии (мощности) в точке поставки для присоединения административного/офисного здания АО «ПочтаРоссии», расположенного по адресу: Ростовская область, Цимлянский район, х. Лозной, ул. Мира, д.  65, к.н.з.у.: 61:41:0030110:503</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</si>
  <si>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Цимлянский район, п. Саркел, ул. Винзаводская, д. 6, кв./оф. 1,2,3, к.н.о.н.: 61:41:0011106:198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</si>
  <si>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Воблая Т.М., расположенной по адресу: Ростовская область, г. Волгодонск, ул. Отдыха, д. 39в38, к.н.з.у.: 61:48:0020101:1827</t>
  </si>
  <si>
    <t>Установка прибора коммерческого учета электрической энергии (мощности) в точке поставки для присоединения малоэтажной жилой застройки Корсунова А.В., расположенной по адресу: Ростовская область, Волгодонской район, станица Романовская, ул. 75 лет Победы, д. 54, к.н.з.у.: 61:08:0600601:4611</t>
  </si>
  <si>
    <t>Установка прибора коммерческого учета электрической энергии (мощности) в точке поставки для присоединения малоэтажной жилой застройки Кривошеина Р.С., расположенной по адресу: Ростовская область, станица Романовская, ул. Мелиораторов, д. 12, кв. 2, к.н.з.у.: 61:08:0070111:447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</si>
  <si>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Рыкова С.Н., расположенного по адресу: Ростовская обл, Волгодонской р-н, ст. Романовская, ул. 75 лет Победы, д.85, к.н.з.у.:61:08:0600601:4641</t>
  </si>
  <si>
    <t>Строительство участка ВЛИ-0,4 кВ от опоры №1/8 ВЛИ-0,4 кВ №2 КТП 8560 ВЛ 6 кВ №1 ПС 35 кВ НС-12 и установка прибора коммерческого учета электрической энергии (мощности) в точке поставки для присоединения жилого дома Страхова О.С., расположенного по адресу: Ростовская область, Волгодонской район, х. Семенкин, кадастровый номер объекта: 61:08:0601901:1595, к.н.з.у. 61:08:0601901:1590 (ориентировочная протяженность ЛЭП 0,03 км)</t>
  </si>
  <si>
    <t>Установка прибора коммерческого учета электрической энергии (мощности) в точке поставки для присоединения жилого дома Трояновой Н.В., расположенного по адресу: Ростовская область, Волгодонской район, станица Романовская, ул. Одесская, д. 7, к.н.з.у.: 61:08:0600601:3840</t>
  </si>
  <si>
    <t>Установка прибора коммерческого учета электрической энергии (мощности) в точке поставки для присоединения малоэтажной жилой застройки Шпаковой О.Е., расположенного по адресу: Ростовская область, Волгодонской район, станица Романовская, ул. 75-лет Победы, д. 48, к.н.з.у.: 61:08:0600601:4605</t>
  </si>
  <si>
    <t>Установка прибора коммерческого учета электрической энергии (мощности) в точке поставки для присоединения административного/офисного здания АО «Почта России», расположенного по адресу: Ростовская обл., Волгодонской р-н, п. Донской, ул. Ленина, д.19, кв. 1,2,3, к.н.з.у.61:08:0060201:309</t>
  </si>
  <si>
    <t>Установка прибора коммерческого учета электрической энергии (мощности) в точке поставки для присоединения административного/офисного здания АО «Почта России», расположенного по адресу: Ростовская обл., Волгодонской р-н., п. Победа, ул. Кооперативная , д.3, кв. 7,8, к.н.з.у.61:08:0060104:15</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</si>
  <si>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Гурьев А.И., расположенного по адресу: Ростовская обл, Волгодонской р-н, ст. Романовская, ул. 70 лет Октября, д. 47а, к.н.61:08:0070112:459</t>
  </si>
  <si>
    <t>Установка прибора коммерческого учета электрической энергии (мощности) в точке поставки для присоединения садового дома Первиловой Л.Г., расположенного по адресу: Ростовская область, г.Волгодонск, ул. Отдыха, д. 37б7, к.н.з.у.: 61:48:0020101:184</t>
  </si>
  <si>
    <t>Установка прибора коммерческого учета электрической энергии (мощности) в точке поставки для присоединения садового дома Мартынюк С.В., расположенного по адресу: Ростовская область, г.Волгодонск, ул. Отдыха, д. 37а, к.н.з.у.: 61:48:0020101:1858</t>
  </si>
  <si>
    <t>Установка прибора коммерческого учета электрической энергии (мощности) в точке поставки для присоединения объекта туристической отрасли Чикина А.М., расположенного по адресу: Ростовская область, г. Волгодонск, ул. Отдыха, д. 3, к.н.з.у.: 61:48:0020101:1277</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</si>
  <si>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наружного освещения Министерства транспорта Ростовской области, расположенного по адресу: Ростовская область, Константиновский район, Начало объекта – на км 0+000, соответствует местоположению точки, расположенной на расстоянии 30 м в прямом направлении от оси а/д «г. Шахты – г. Цимлянск» на км 100+430. Конец объекта – в х. Гапкин, мост на км 6+466+334 (х. Савельев), к.н.з.у.: 61:17:0000000:7468</t>
  </si>
  <si>
    <t>Установка прибора коммерческого учета электрической энергии (мощности) в точке поставки для присоединения базовой станции/оборудования сотовой связи АО «Первая Башенная Компания», расположенной по адресу: Ростовская область, Зимовниковский район, п. Мокрый Гашун, ул. Парковая, участок в 35 м от дома №1, к.н.з.у.: 61:13:0090105</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</si>
  <si>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Горькова В.В., расположенной по адресу: Ростовская область, Зимовниковский район, станица Кутейниковская, ул. Школьная, д. 19, кв. 1, к.н.з.у.: 61:13:0070102:85</t>
  </si>
  <si>
    <t>Установка прибора коммерческого учета электрической энергии (мощности) в точке поставки для присоединения жилого дома Мурадова Ю.К., расположенного по адресу: Ростовская область, Мартыновский район, х. Московский, ул. Московская, д. 63, к.н.з.у.: 61:20:0070601:424</t>
  </si>
  <si>
    <t>Установка прибора коммерческого учета электрической энергии (мощности) в точке поставки для присоединения магазина №37 Большовского потребительского общества, расположенного по адресу: Ростовская область, Мартыновский район, х. Пробуждение, ул. Юбилейная, д. 55, к.н.з.у.: 61:20:60080701:220</t>
  </si>
  <si>
    <t>Установка прибора коммерческого учета электрической энергии (мощности) в точке поставки для присоединения скважины для полива огорода Лоладзе Г.М., расположенной по адресу: Ростовская область, Мартыновский район, слобода Большая Орловка, ул. Берестова, д. 109-а, к.н.з.у.: 61:20:0020101:13339</t>
  </si>
  <si>
    <t xml:space="preserve">Обеспечение коммерческим учетом электрической энергии (мощности) в точке поставки и установка шкафа 0,4 кВ по присоединению базовой станции сотовой связи БС 2683 ООО «Т2 Мобайл», расположенной по адресу: Ростовская область, Мартыновский район, п. Крутобережный, пер. Речной, д. 1б, к.н. 61:20:0020501:2925 </t>
  </si>
  <si>
    <t>Установка прибора коммерческого учета электрической энергии (мощности) в точке поставки для присоединения производственной базы ООО «Новоселовское», расположенной по адресу: Ростовская область, Мартыновский район, х. Новоселовка, ул. Кировская, д. 29, к.н.з.у.: 61:20:0070101:122</t>
  </si>
  <si>
    <t>Установка прибора коммерческого учета электрической энергии (мощности) в точке поставки для присоединения скважины для полива огорода Стаценко В.Г., расположенной по адресу: Ростовская область, Мартыновский район, слобода Большая Орловка, ул. Красноармейская, д.155, к.н.з.у. :61:20:020101:0609</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</si>
  <si>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Ивашкова Ю.А., расположенного по адресу Ростовская область, Мартыновский район, х. Несмеяновка, ул. Несмеяновская, д. 49, к.н. 61:20:0070701:1435</t>
  </si>
  <si>
    <t>Установка прибора коммерческого учета электрической энергии (мощности) в точке поставки для присоединения квартиры Умарова Х.А., расположенной по адресу: Ростовская область, Дубовский район, х. Присальский, ул. Энергетиков, д. 4, кв. 2, к.н.з.у.: 61:09:0070101:66</t>
  </si>
  <si>
    <t>Установка прибора коммерческого учета электрической энергии (мощности) в точке поставки для присоединения КТП/С 16 кВА 10/0,4 кВ ПАО «Газпром», расположенного по адресу: Ростовская область, Зимовниковский район, х. Петухов, в Зимовниковском районе Ростовской области на 24,9 км проектируемой перемыки, к.н.з.у.: 61:13:0600001:499 (количество приборов - 1 шт)</t>
  </si>
  <si>
    <t>Установка прибора коммерческого учета электрической энергии (мощности) в точке поставки и монтаж ответвления от ВЛИ к вводу для квартиры Булыгина М.И., расположенной по адресу: Ростовская область, Дубовский район, х.Присальский, ул. Степная, д.3, кв. 1, к.н.з.у.: 61:09:0070101:106</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</si>
  <si>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объектов жилищно-коммунального хозяйства Администрации Дубовского района Ростовской области, расположенных по адресу: Ростовская область, Дубовский район, станица Малая Лучка, в границах кадастрового квартала 61:09:0060101, к.н.з.у.: 61:09:0060101:890</t>
  </si>
  <si>
    <t>Установка прибора коммерческого учета электрической энергии (мощности) в точке поставки для присоединения жилого дома Отрезенко А.Д., расположенного по адресу: Ростовская область, Ремонтненский район, х. Раздольный, ул. Центральная, д. 7, к.н.з.у.: 61:32:0050201:469</t>
  </si>
  <si>
    <t>Установка прибора коммерческого учета электрической энергии (мощности) в точке поставки для присоединения жилого дома Крамаревой С.Н., расположенного по адресу: Ростовская область, Ремонтненский район, х. Раздольный, ул. Центральная, д. 11, к.н.з.у.: 61:32:0050201:118</t>
  </si>
  <si>
    <t xml:space="preserve"> Установка прибора коммерческого учета электрической энергии (мощности) в точке поставки для присоединения жилого дома Журавлева Н.С., расположенного по адресу: Ростовская область, Ремонтненский район, х. Развильный, ул. Победы, д. 3, к.н.о.: 61:32:0050201:97:12, к.н.з.у.: 61:32:0050201:97 </t>
  </si>
  <si>
    <t>Установка прибора коммерческого учета электрической энергии (мощности) в точке поставки для присоединения жилого дома Голиковой О.О., расположенного по адресу: Ростовская область, Ремонтненский район, х. Раздольный, ул. Центральная, д. 28, к.н.о.:61:32:0050201:248, к.н.з.у.: 61:32:0050201:70</t>
  </si>
  <si>
    <t>Установка прибора коммерческого учета электрической энергии (мощности) в точке поставки для присоединения жилого дома Волкодав Ю.В., расположенного по адресу: Ростовская область, Ремонтненский район, х. Раздольный, ул. Центральная, д. 9, к.н.о.: 61:32:005201:244, к.н.з.у.: 61:32:005201:52</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</si>
  <si>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прочее) ИП Бунина Р.Г., расположенного по адресу: Ростовская область, Цимлянский район, станица Красноярская, ул. Победы, д.110,   корп. в, к.н.з.у.: 61:41:0020108:57</t>
  </si>
  <si>
    <t>Установка прибора коммерческого учета электрической энергии(мощности) в точке поставки и монтаж ответвления от ВЛ к вводу для присоединения общеобразовательной организации (учреждения) Администрации Цимлянского района, расположенной по адресу: Ростовская область,  Цимлянский район, Красноярское сельское поселение, станица Красноярская, ул. Ленина, 2б, к.н.з.у.:    61:41:0020128:320</t>
  </si>
  <si>
    <t>Установка прибора коммерческого учета электрической энергии (мощности) в точке поставки для присоединения части жилого дома Лысовой Е.М., расположенной по адресу: Ростовская область, Цимлянский район, п. Саркел, ул. Набережная, д. 4, кв./оф. 2, к.н.з.у.: 61:41:0011107:64</t>
  </si>
  <si>
    <t>Установка прибора коммерческого учета электрической энергии (мощности) в точке поставки для присоединения квартиры Кучеренко С.В., расположенной по адресу: Ростовская область, Цимлянский район, п. Саркел, пер. Виноградный, д. 5, кв./оф. 6, к.н.з.у.: 61:41:0011104:0072</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</si>
  <si>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Колесникова Г.В., расположенной по адресу: Ростовская область, Цимлянский район, х. Лозной, ул. Советская, д.125, к.н.з.у.: 61:41:0030110:132</t>
  </si>
  <si>
    <t xml:space="preserve"> Установка прибора коммерческого учета электрической энергии (мощности) в точке поставки для присоединения жилого дома Корченко В.В., расположенного по адресу: Ростовская область, Цимлянский район, станица Красноярская, пер. Красноармейский, д. 28, к.н.з.у. 61:41:0020118:79</t>
  </si>
  <si>
    <t>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Молчановой Д.Д., расположенной по адресу: Ростовская область, Волгодонской район, п. Краснодонский, ул. Южная, д. 9а, к.н.з.у.: 61:08:0600901:296</t>
  </si>
  <si>
    <t xml:space="preserve"> Установка прибора коммерческого учета электрической энергии (мощности) в точке поставки для присоединения малоэтажной жилой застройки Мироненко А.М., расположенной по адресу: Ростовская область, Волгодонской район, станица Романовская, пер. Октябрьский, д. 41, к.н.з.у.: 61:08:0070118:118</t>
  </si>
  <si>
    <t>Установка прибора учета для присоединения жилого дома Литвинова С.В., расположенного по адресу: Ростовская область, Октябрьский район, с/т «Электровозостроитель», 27, КН ЗУ: 61:28:0502501:365</t>
  </si>
  <si>
    <t>Установка прибора учета для присоединения базовой станции/ оборудования сотовой связи ПАО «Ростелеком», расположенной по адресу: Ростовская область, Родионово-Несветайский район, х. Большой Должик»</t>
  </si>
  <si>
    <t>Установка прибора учета для присоединения базовой станции/оборудования сотовой связи ПАО «Ростелеком», расположенной по адресу: Ростовская область, Октябрьский район, п. Равнинный, КН ЗУ:  61:28:000000:00</t>
  </si>
  <si>
    <t>Установка прибора учета для присоединения базовой станции/оборудования сотовой связи ПАО «Ростелеком», расположенной по адресу: Ростовская область, Усть-Донецкий район, х. Коныгин, КН ЗУ:  61:39:000000:00</t>
  </si>
  <si>
    <t>Установка прибора учета для присоединения базовой станции/оборудования сотовой связи ПАО «Ростелеком», расположенной по адресу: Ростовская область, Усть-Донецкий район, х. Ольховский, КН ЗУ:  61:39:000000:00</t>
  </si>
  <si>
    <t>Установка прибора учета для присоединения базовой станции сотовой связи ПАО «Ростелеком», расположенной по адресу: Ростовская область, Октябрьский район, х. Ягодинка</t>
  </si>
  <si>
    <t>Установка прибора учета для присоединения базовой станции сотовой связи ПАО «Ростелеком», расположенной по адресу: Ростовская область, Октябрьский район, х. Шевченко</t>
  </si>
  <si>
    <t>Установка прибора учета для присоединения базовой станции сотовой связи ПАО «Ростелеком», расположенной по адресу: Ростовская область, Октябрьский район, х. Марьевка</t>
  </si>
  <si>
    <t>Установка прибора учета для присоединения базовой станции сотовой связи ПАО «Ростелеком», расположенной по адресу: Ростовская область, Октябрьский район, х. Калиновка</t>
  </si>
  <si>
    <t>Установка прибора учета для присоединения базовой станции/оборудования сотовой связи ПАО междугородной и международной электрической связи «Ростелеком», расположенной по адресу: Ростовская область, Красносулинский район, х. Новоровенецкий</t>
  </si>
  <si>
    <t xml:space="preserve"> Установка прибора учета для присоединения «нежилого здания» ФГКУ «ПУ ФСБ РФ по РО» расположенной по адресу: р-н. Родионово-Несветайский, сл. Алексеево-Тузловка, ул. Садовая, д. 14 к.н.з.у. 61:33:0051001:827</t>
  </si>
  <si>
    <t>Установка прибора учета для присоединения объекта «Малоэтажная жилая застройка (Индивидуальный жилой дом/Садовый/Дачный дом)» Двужиловой С.Н., расположенного по адресу: Ростовская область, Родионово-Несветайский район, сл. Большекрепинская, ул. Новоселовская, д. 1, КН ЗУ: 61:33:0060101:370</t>
  </si>
  <si>
    <t xml:space="preserve"> Установка прибора учета для присоединения объекта торговли (магазин, торговый центр, прочее) ИП Белоусова В.А., расположенного по адресу: Ростовская область, Родионово-Несветайский район, сл. Барило-Крепинская, ул. Ленина, д. 17, КН ЗУ: 61:33:0050101:539</t>
  </si>
  <si>
    <t>Установка прибора учета для присоединения объекта Малоэтажная жилая застройка (Индивидуальный жилой дом/Садовый/Дачный дом) Мартиросян С.К., расположенной по адресу: Ростовская область,  Родионово-Несветайский район, х. Каменный Брод, ул. Курсантов РАУ,  д. 31/1, КН ЗУ: 61:33:0030501:2167</t>
  </si>
  <si>
    <t>Установка прибора учета для присоединения Базовой станции/ оборудования сотовой связи АО «ПБК», расположенной примерно в 20 м по направлению на восток от дома по адресу: Ростовская область, Родионово-Несветайский район, х. Нагорно-Тузловка, ул. Красноармейская, д. 51, в пределах кадастрового квартала 61:33:0051201, территориально расположенного в зоне Ж1</t>
  </si>
  <si>
    <t>Установка прибора учета для присоединения квартиры Титовой Н.М., расположенной по адресу: Ростовская область, Аксайский район, х. Горизонт, ул. Центральная, д. 5, кв. 2, КН ЗУ: 61:02:0030701:3</t>
  </si>
  <si>
    <t>Установка прибора учета для присоединения склада запчастей ИП главы КФХ Шепилова В.А., расположенного по адресу: Ростовская область, Октябрьский район, х. Керчик-Савров, ул. Алейникова, д.9, КН ЗУ: 61:28:0050101:1655</t>
  </si>
  <si>
    <t>Установка прибора учета для присоединения малоэтажной жилой застройки Тихоновой О.Л., расположенной по адресу: Ростовская область, Октябрьский район, х. Керчик-Савров, ул. Колхозная, д. 25, КН ЗУ: 61:28:0050101:403</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</si>
  <si>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Красногорняцкий, ул. Короткая д. 2 (Лысаковский А.В.) (1 шт.)</t>
  </si>
  <si>
    <t xml:space="preserve"> Установка прибора учета для присоединения жилого дома Слепкова Е.А., расположенного по адресу: Ростовская область, Октябрьский район, ст-ца Кривянская, ул. Декабристов, д. 24а, КН ЗУ: 61:28:0040124:84</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</si>
  <si>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Червяковой А.А., расположенного по адресу: Ростовская область, Октябрьский район, садоводческое товарищество «Электровозостроитель», уч. №22, к.н.з.у.: 61:28:0502501</t>
  </si>
  <si>
    <t>Установка прибора учета для присоединения жилого дома Гришневой Н.В., расположенного по адресу: Ростовская область, Красносулинский район, х. Лихой, ул. Советская, д.29, КН ЗУ: 61:18:0070107:1</t>
  </si>
  <si>
    <t xml:space="preserve"> Строительство ВЛИ-0,4 кВ от конечной опоры ВЛИ-0,4 кВ, строящейся по договору ТП №61-1-21-00555897 от 25.01.2021г с Азарянсковым В.В. от оп. №1 ВЛ-0,4 кВ №1 КТП №474 ВЛ-6 кВ Кривянка ПС Ш-40, для электроснабжения жилого дома Поповой А.А. по адресу: Октябрьский р-н, ст. Кривянская, ул. Декабристов, д.81 (ориентировочная протяженность ЛЭП – 0,24 км)</t>
  </si>
  <si>
    <t>Строительство ВЛИ 0,4 кВ от ВЛ 0,4 кВ №2 КТП 320 ВЛ 10 кВ Пухляковка ПС Ш34 для электроснабжения ВРУ-0.4кВ дачного дома Архангельского А.С. по адресу: Усть-Донецкий район, х. Пухляковский, ул. Механизаторов 35, КН ЗУ 61:39:0090103:124 (ориентировочная протяженность ЛЭП – 0,210 км)</t>
  </si>
  <si>
    <t xml:space="preserve"> Установка прибора учета для присоединения садового дома Кокошниковой Л.Л., расположенного по адресу: Ростовская область, Октябрьский район, садоводческое товарищество «Электровозостроитель», уч. 62, КН ЗУ: 61:28:0502501:287</t>
  </si>
  <si>
    <t xml:space="preserve"> Установка прибора учета для присоединения малоэтажной жилой застройки Махотенко П.В., расположенной по адресу: Ростовская область, Октябрьский район, х. Калинин, с/т «Дон» уч-к №470, КН ЗУ: 61:28:0504201:523</t>
  </si>
  <si>
    <t>Установка прибора учета для присоединения жилого дома Попова Е.В., расположенного по адресу: Ростовская область, Октябрьский район, п. Новозарянский, ул. Калинина, д.5, КН ЗУ: 61:28:100101:0010</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</si>
  <si>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ст. Раздорская, ул. Коныгинская, д. 8 (Крылов Г.В.) (1 шт.)</t>
  </si>
  <si>
    <t xml:space="preserve"> Установка прибора учета для присоединения ВРУ-0,4кВ жилого дома Алексеевой Н.И., расположенного по адресу: Ростовская область, Усть-Донецкий район, х. Апаринский, ул. Социалистическая,  д. 20, к.н.з.у: 61:39:0050101:152</t>
  </si>
  <si>
    <t>Обеспечение коммерческим учетом электрической энергии (мощности) в точке поставки по присоединению объекта заявителя. Российская Федерация, Ростовская обл., р-н Усть-Донецкий, п. Донские Зори, ул. Дачная, д. 3В (Андреещева А.Н.) (1 шт.)</t>
  </si>
  <si>
    <t>Установка прибора учета для присоединения ВРУ-0,4кВ жилого дома Левченкова С.Л., расположенного по адресу: Ростовская область, Усть-Донецкий район, х. Апаринский, ул. Степная,  д. 3, к.н.з.у.: 61:39:050101:0129</t>
  </si>
  <si>
    <t>Установка прибора учета для присоединения ВРУ-0,4кВ жилого дома Леоновой И.А., расположенного по адресу: Ростовская область, Усть-Донецкий район, п. Огиб, ул. Новая,  д. 11, к.н.з.у.: 61:39:0060601:82</t>
  </si>
  <si>
    <t>Обеспечение коммерческим учетом электрической энергии (мощности) в точке поставки по присоединению объекта заявителя. Ростовская обл., р-н Усть-Донецкий, с.т. "Горняк" №337 (Луковская Л.А.) (1 шт.)</t>
  </si>
  <si>
    <t xml:space="preserve"> Строительство ВЛИ-0,4 кВ от ВЛ 0,4 кВ № 2 КТП 14 ВЛ 10 кВ Кундрючий ПС Ш32 с коммерческим учетом электрической энергии (мощности) в точке поставки для электроснабжения нежилого здания ИП Климович В.В., в ст. Нижнекундрюченская, Усть-Донецкого р-на, (ориентировочная протяженность ЛЭП 0,065 км)</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</si>
  <si>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ВРУ-0,4 кВ жилого дома Заявителя Бурда О.А., расположенного по адресу: Ростовская область, Красносулинский район, г. Красный Сулин, ул. Виноградная, д. 63, к.н.з.у.: 61:18:0140101:17</t>
  </si>
  <si>
    <t xml:space="preserve"> Установка прибора учета для присоединения модульного ФАП Муниципального Бюджетного Учреждения Здравоохранения «Районная больница г. Красного Сулина и Красносулинского района Ростовской области», расположенного по адресу: Ростовская область, Красносулинский район, Пролетарское сельское поселение, пос. Донлесхоз, ул. Лесная, б/н, КН ЗУ: 61:18:0080202:410</t>
  </si>
  <si>
    <t>Установка прибора учета для присоединения нестационарного торгового павильона Бугрименко О.Г., расположенного по адресу: Ростовская область, Красносулинский район, х. Малое Зверево, ул. Колхозная, д. б/н</t>
  </si>
  <si>
    <t xml:space="preserve"> Обеспечение коммерческим учетом электрической энергии (мощности) в точке поставки по присоединению объекта заявителя. Ростовская область р-н. земельный участок находится примерно в 172 м по направлению на восток от дома № 1 по ул. Заречная, х. Новопрохоровка (Алещенко А.П.) (1 шт.)</t>
  </si>
  <si>
    <t>Установка прибора учета для присоединения храма Местной религиозной организации православного Прихода храма Покрова Пресвятой Богородицы сл. Большекрепинская Родионово-Несветайского района Ростовской области Шахтинской Епархии Русской Православной Церкви (Московский патриарх), расположенного по адресу: Ростовская область, Родионово-Несветайский район, сл. Большекрепинская, ул. Стахановская, д. 17, КН ЗУ: 61:33:006101:2886</t>
  </si>
  <si>
    <t>Обеспечение коммерческим учетом электрической энергии (мощности) в точке поставки по присоединению объекта заявителя. Ростовская область, Родионово-Несветайский район, х. Веселый, ул. Центральная, д. 8 (Соколова В.В.) (1 шт.)</t>
  </si>
  <si>
    <t>Обеспечение коммерческим учетом электрической энергии (мощности) в точке поставки по присоединению объекта заявителя. Ростовская область, Родионово-Несветайский район, х. Большой Должик, ул. Октября, д. 5 (Сыроватский Н.П.) (1 шт.)</t>
  </si>
  <si>
    <t xml:space="preserve"> 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сл. Аграфеновка, участок находиться примерно в 55м по направлению на юг от ориентира земельного участка, расположенного по адресу: Ростовская область, Родионово-Несветайский район, сл. Аграфеновка, ул. Гагарина,62 (ООО «Т2 Мобайл») (1 шт.)</t>
  </si>
  <si>
    <t>Установка прибора учета для присоединения жилого дома Щербаха В.С., расположенного по адресу: Ростовская область, Родионово-Несветайский район,  сл. Большекрепинская, ул. Красноармейская,  д. 9, КН ЗУ: 61:33:0060101:1103</t>
  </si>
  <si>
    <t xml:space="preserve"> Строительство ВЛИ-0,4 кВ от оп.1 по ВЛ-0,4кВ № 1 от КТП 10/0,4кВ № 524 по ВЛ-10кВ «Память Кирова» ПС Н-9 для электроснабжения «свинарник-откормочник» ИП Саргсян С.А. по адресу: Ориентир от дороги Родионово-Несветайская-Дарьевка. участок находится примерно в 120 м от ориентира по на правлению на северо-запад (ориентировочная протяженность ЛЭП – 0,210км)</t>
  </si>
  <si>
    <t>Установка прибора учета для присоединения жилого дома Сафронова С.А., расположенного по адресу: Ростовская область, Красносулинский район, с. Киселево, ул. Луговая, д.17</t>
  </si>
  <si>
    <t>Установка прибора учета для присоединения нежилой застройки Сулименко И.Н., расположенной по адресу: Ростовская область, Красносулинский район, х. Садки, 150 метров на северо-восток от дома № 23 по ул. Маркина, КН ЗУ: 61:18:0090107:432</t>
  </si>
  <si>
    <t>Установка прибора учета для присоединения нежилого здания (корпуса для откорма КРС) Колесникова М.А., расположенного по адресу: Ростовская область, Красносулинский район, примерно в 90 м., по направлению на юго-восток от х. Нижняя Ковалевка, КН ЗУ: 61:18:0600001:491</t>
  </si>
  <si>
    <t>Установка прибора учета для присоединения объекта «Малоэтажная жилая застройка (Индивидуальный жилой дом/Садовый/Дачный дом)» Абрамова М.С., расположенного по адресу: Ростовская область, Родионово-Несветайский район, х. Каменный Брод, ул. Калининская,  д. 14а, КН ЗУ: 61:33:0030501:1940</t>
  </si>
  <si>
    <t>Установка прибора учета для присоединения нежилого здания (общежития) ООО «Агрокомплекс Ростовский», расположенного по адресу: Ростовская область, Родионово-Несветайский район, сл. Большекрепинская, ул. Ленина, д. 13, к.н.з.у.: 61:33:0060101:1197</t>
  </si>
  <si>
    <t>Установка прибора учета для присоединения объекта «Малоэтажная жилая застройка (Индивидуальный жилой дом/Садовый/Дачный дом)» Ермашова А.С., расположенного по адресу: Ростовская область, Родионово-Несветайский район, х. Веселый, ул. Новая, д. 26А, КН ЗУ: 61:33:0040701:1376</t>
  </si>
  <si>
    <t>Установка прибора учета для присоединения объекта «Малоэтажная жилая застройка (Индивидуальный жилой дом/Садовый/Дачный дом)» Есипенко С.И., расположенного по адресу: Ростовская область, Родионово-Несветайский район, сл. Аграфеновка, ул. Просвещения, д. 144, КН ЗУ: 61:33:0010101:353</t>
  </si>
  <si>
    <t>Установка прибора учета для присоединения объекта Малоэтажная жилая застройка (Индивидуальный жилой дом/Садовый/Дачный дом) Ивановой Ю.А., расположенного по адресу: Ростовская область,  Родионово-Несветайский район, сл. Большекрепинская, ул. Советская,  д. 10, КН ЗУ: 61:33:0060101:680</t>
  </si>
  <si>
    <t>Установка прибора учета для присоединения объекта «Малоэтажная жилая застройка (Индивидуальный жилой дом/Садовый/Дачный дом)» Коваленко А.А., расположенного по адресу: Ростовская область, Родионово-Несветайский район, сл. Аграфеновка, ул. Просвещения, д. 54, КН ЗУ: 61:33:0010101:249</t>
  </si>
  <si>
    <t>Установка прибора учета для присоединения жилого дома Лорей М.В., расположенного по адресу: Ростовская область, Родионово-Несветайский район, сл. Родионово-Несветайская, ул. Челюскина, д. 23, КН ЗУ: 61:33:0600010:3114</t>
  </si>
  <si>
    <t>Установка прибора учета для присоединения жилого дома Котовой К.А., расположенного по адресу: Ростовская область, Родионово-Несветайский район, сл. Родионово-Несветайская, ул. Абрикосовая, д. 21, КН ЗУ: 61:33:0040123:212</t>
  </si>
  <si>
    <t>Установка прибора учета для присоединения жилого дома Маркина С.Е., расположенного по адресу: Ростовская область, Родионово-Несветайский район, х. Каменный Брод, ул. Курсантов РАУ, д. 2б, КН ЗУ: 61:33:0030501:1796</t>
  </si>
  <si>
    <t>Установка прибора учета для присоединения объекта «Малоэтажная жилая застройка (Индивидуальный жилой дом/Садовый/Дачный дом)» Небыкова Н.И., расположенного по адресу: Ростовская область, Родионово-Несветайский район, сл. Кутейниково, ул. Румянова, д. 26, КН ЗУ: 61:33:0030101:435</t>
  </si>
  <si>
    <t>Установка прибора учета для присоединения жилого дома Петрова К.В,. расположенного по адресу: Ростовская область, Родионово-Несветайский район, сл. Барило-Крепинская, ул. Гончарова, д. 5, КН ЗУ: 61:33:0050101:269</t>
  </si>
  <si>
    <t>Установка прибора учета для присоединения жилого дома Рудь Д.В., расположенного по адресу: Ростовская область, Родионово-Несветайский район, сл. Родионово-Несветайская, ул. Вишневая, д. 1, КН ЗУ: 61:33:0040123:530</t>
  </si>
  <si>
    <t>Установка прибора учета для присоединения объекта «Малоэтажная жилая застройка (Индивидуальный жилой дом/Садовый/Дачный дом)» Сыроваткина А.Н., расположенного по адресу: Ростовская область, Родионово-Несветайский район, сл. Большекрепинская, ул. Октябрьская, д. 13, КН ЗУ: 61:33:0060101:733</t>
  </si>
  <si>
    <t>Установка прибора учета для присоединения объекта Малоэтажная жилая застройка (Индивидуальный жилой дом/Садовый/Дачный дом) Туроверовой В.П., расположенного по адресу: Ростовская область, Родионово-Несветайский район, х. Веселый, ул. Дачная,  д. 8, КН ЗУ: 61:33:0040701:864</t>
  </si>
  <si>
    <t xml:space="preserve"> Установка прибора учета  для присоединения жилого дома Баранова Д.В., расположенного по адресу: Ростовская область, Октябрьский район, ст-ца Заплавская, ул. Виноградная, д.1Б, к.н.з.у.: 61:28:0030101:1554</t>
  </si>
  <si>
    <t xml:space="preserve"> Установка прибора учета для присоединения объекта общественного питания ООО «АльфаТрансСервис», расположенного по адресу: Ростовская область, Октябрьский район, п. Интернациональный, ул. Харьковская, д. 55-б, КН ЗУ: 61:28:0600014:1881</t>
  </si>
  <si>
    <t xml:space="preserve"> Установка прибора учета для присоединения индивидуального жилого дома Бийц И.В., расположенного по адресу: Ростовская область, Октябрьский район, сл. Красюковская, пер. Советский 3-й, д. 3, КН ЗУ: 61:28:0070101:1781</t>
  </si>
  <si>
    <t>Установка прибора учета для присоединения жилого дома Короткой Т.Г., расположенного по адресу: Ростовская область, Октябрьский район, х. Калинин, ул. Донская, д. 14а, КН ЗУ: 61:28:0030201:1307</t>
  </si>
  <si>
    <t>Установка прибора учета для присоединения базовой станции сотовой связи ПАО «Вымпел-Коммуникации», расположенной по адресу: Ростовская область, Октябрьский район, ст-ца Кривянская, ул. Тузлова, д.50, КН ЗУ: 61:28:0040110:42</t>
  </si>
  <si>
    <t>Установка прибора учета для присоединения Малоэтажной жилой застройки (Индивидуального жилого дома/Садового/Дачного дома) Еременко М.В., расположенной по адресу: Ростовская область, Октябрьский район, х. Маркин, ул. Транспортная, д.9, КН ЗУ: 61:28:0100701:314</t>
  </si>
  <si>
    <t xml:space="preserve"> Установка прибора учета для присоединения объекта торговли (магазина, торгового центра, прочего) ИП Морозова А.А., расположенного по адресу: Ростовская область, Октябрьский район, ст-ца Кривянская, ул. Мостовая, д. 4а</t>
  </si>
  <si>
    <t>Установка прибора учета для присоединения садового дома Калашниковой А.С., расположенного по адресу: Ростовская область, Октябрьский район, садоводческое товарищество «Электровозостроитель», уч. 216, КН ЗУ: 61:28:0502501:416</t>
  </si>
  <si>
    <t>Установка прибора учета для присоединения садового дома Качаловского А.Г., расположенного по адресу: Ростовская область, Октябрьский район, с/т «Электровозостроитель», уч. 58, КН ЗУ: 61:28:0502501:297</t>
  </si>
  <si>
    <t>Установка прибора учета для присоединения жилого дома Кондратовой Л.В., расположенного по адресу: Ростовская область, Октябрьский район, садоводческое товарищество «Электровозостроитель», зем.уч. 73, КН ЗУ: 61:28:0502501:264</t>
  </si>
  <si>
    <t>Установка прибора учета для присоединения жилого дома Макарян Г.С., расположенного по адресу: Ростовская область, Красносулинский район, х. Гривенный, ул. Победы, д.43, КН ЗУ: 61:18:0100301:59</t>
  </si>
  <si>
    <t>Установка прибора учета для присоединения объектов наружного освещения Министерства транспорта Ростовской области, расположенных по адресу: Ростовская область, Октябрьский район, г. Новочеркасск – п. Багаевский на участке км 16+500, КН ЗУ: 61:28:0000000:323</t>
  </si>
  <si>
    <t>Установка прибора учета для присоединения садового дома Пильчук Л.В., расположенного по адресу: Ростовская область, Октябрьский район, с/т «Электровозостроитель», уч. №37, КН ЗУ: 61:28:0502501:344</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</si>
  <si>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п. Верхнегрушевский, ул. Молодежная д.13 (Ромазанов М.М.) (1 шт.)</t>
  </si>
  <si>
    <t>Установка прибора учета для присоединения жилого дома Швачка В.А., расположенного по адресу: Ростовская область, Октябрьский район, х. Калинин, ул. Донская, д.89, КН ЗУ: 61:28:0030201:621</t>
  </si>
  <si>
    <t>Установка прибора учета для присоединения жилого дома Богдановой А.С., расположенного по адресу: Ростовская область, Октябрьский район, ст-ца Кривянская, ул. Некрасова, д. 17А, КН ЗУ: 61:28:0040107:580</t>
  </si>
  <si>
    <t>Установка прибора учета для присоединения садового дома Гаврилова А.Ю., расположенного по адресу: Ростовская область, Октябрьский район, садоводческое товарищество «Электровозостроитель», уч. 119, КН ЗУ: 61:28:0502501:628</t>
  </si>
  <si>
    <t>Установка прибора учета для присоединения жилого дома Гасайниевой В.Б., расположенного по адресу: Ростовская область, Октябрьский район, ст-ца Бессергеневская, ул. Семисохина, д. 54, КН ЗУ: 61:28:0030301:419</t>
  </si>
  <si>
    <t>Установка прибора учета для присоединения колбасного цеха ИП Рубцова Д.В., расположенного по адресу: Ростовская область, Октябрьский район, п. Новоперсиановка, ул. Советская, д. 12, КН здания: 61:28:0600012:1294</t>
  </si>
  <si>
    <t>Установка прибора учета для присоединения для электроснабжения жилого дома Касимова С.А., расположенного по адресу: Ростовская область, Октябрьский район, х. Яново-Грушевский, ул. Речная, д. 3-а, КН ЗУ: 61:28:0070201:2340</t>
  </si>
  <si>
    <t>Установка прибора учета для присоединения садового дома Клейменова А.Б., расположенного по адресу: Ростовская область, Октябрьский район, с/т «Электровозостроитель», уч. №113, КН ЗУ: 61:28:0502501:641</t>
  </si>
  <si>
    <t>Установка прибора учета для присоединения жилого дома Коноплева А.К., расположенного по адресу: Ростовская область, Октябрьский район, х. Калинин, ул. Центральная, д.235, КН ЗУ: 61:28:0030201:687</t>
  </si>
  <si>
    <t>Установка прибора учета для присоединения садового дома Коноплева А.М., расположенного по адресу: Ростовская область, Октябрьский район, садоводческое товарищество «Электровозостроитель», уч. 107, КН ЗУ: 61:28:0502501:654</t>
  </si>
  <si>
    <t>Установка прибора учета для присоединения магазина ИП Лямзиной С.М., расположенного по адресу: Ростовская область, Октябрьский район, п. Персиановский, ул. Школьная, д. 39, помещение 4,5, КН ЗУ: 61:28:0110101:5878</t>
  </si>
  <si>
    <t>Установка прибора учета для присоединения садового дома Махнач Н.А., расположенного по адресу: Ростовская область, Октябрьский район, х. Калинин, садоводческое товарищество «Дон», садовый участок №58, КН ЗУ: 61:28:0504201:41</t>
  </si>
  <si>
    <t>Установка прибора учета для присоединения индивидуального жилого дома Мироненко А.И., расположенного по адресу: Ростовская область, Октябрьский район, ст-ца Кривянская, ул. Ленина, д. 129, КН ЗУ: 61:28:0040113:89</t>
  </si>
  <si>
    <t>Установка прибора учета для присоединения жилого дома Шляхтина В.А., расположенного по адресу: Ростовская область, Октябрьский район, п. Новозарянский, ул. Калинина, д.2, КН ЗУ: 61:28:0100101:146</t>
  </si>
  <si>
    <t>Установка прибора учета для присоединения малоэтажной жилой застройки Дементьевой Л.В., расположенной по адресу: Ростовская область, Октябрьский район, с/т «Электровозостроитель», уч. 60, КН ЗУ: 61:28:0502501:292</t>
  </si>
  <si>
    <t>Установка прибора учета для присоединения малоэтажной жилой застройки Комиссаровой Р.П., расположенной по адресу: Ростовская область, Октябрьский район, п. Красногорняцкий, ул. Борзик, д.11, КН ЗУ: 61:28:0090501:97</t>
  </si>
  <si>
    <t>Установка прибора учета для присоединения малоэтажной жилой застройки Киракосян И.В., расположенной по адресу: Ростовская область, Октябрьский район, садоводческое товарищество «Электровозостроитель», уч. №64, КН ЗУ: 61:28:0502501:284</t>
  </si>
  <si>
    <t>Установка прибора учета  для присоединения физкультурно-оздоровительного комплекса МБОУ СОШ №43, расположенного по адресу: Ростовская область, Октябрьский район, х. Ильичевка, ул. Заречная, д. 46а, к.н.з.у.: 61:28:0010207:178</t>
  </si>
  <si>
    <t>Установка прибора учета  для присоединения садового дома Высоцкого А.П., расположенного по адресу: Ростовская область, Октябрьский район, х. Яново-Грушевский, сад. Электровозостроитель, д.2, к.н.з.у.: 61:28:0502501:451</t>
  </si>
  <si>
    <t>Установка прибора учета для присоединения садового дома Рыбалко А.В., расположенного по адресу: Ростовская область, Октябрьский район, х. Яново-Грушевский, сад. Электровозостроитель, д. 32, к.н.з.у.: 61:28:0502501:354</t>
  </si>
  <si>
    <t>Установка прибора учета для присоединения Малоэтажной жилой застройки Хуноян Д.А., расположенной по адресу: Ростовская область, Октябрьский район, рп. Каменоломни, ул. Королевой, д. 7, КН ЗУ: 61:28:0600020:586</t>
  </si>
  <si>
    <t>Установка прибора учета для присоединения жилого дома Артемова Н.В., расположенного по адресу: Ростовская область, Октябрьский район, х. Калинин, ТСН СНТ «Дон» участок №108 А, КН ЗУ: 61:28:0030201:3481</t>
  </si>
  <si>
    <t>Установка прибора учета для присоединения жилого дома Илларионова В.П., расположенного по адресу: Ростовская область, Усть-Донецкий район, ст-ца Усть-Быстрянская, ул. Гагарина, д. 8, КН ЗУ: 61:39:0080101:1054</t>
  </si>
  <si>
    <t>Установка прибора учета для присоединения учебно-спортивного здания ПОУ Усть-Донецкого учебного центра РО ООГО "Добровольное общество содействия армии, авиации и флоту России" Ростовской области, расположенного по адресу: Ростовская область, Усть-Донецкий район, р.п. Усть-Донецкий, ул. Промышленная, д. 11, КН ЗУ: 61:39:0010106:90</t>
  </si>
  <si>
    <t>Установка прибора учета для присоединения объекта «Малоэтажная жилая застройка (Индивидуальный жилой дом/Садовый/Дачный дом)» Алексаньян Т.В., расположенного по адресу: Аксайский район, х. Горизонт, ул. Центральная, д. 14, КН ЗУ: 61:02:0600002:2392</t>
  </si>
  <si>
    <t>Обеспечение коммерческим учетом электрической энергии (мощности) в точке поставки по присоединению объектов заявителей. Ростовская область, Родионово-Несветайский район, с. Генеральское, ул. Звездова, д. 14 (Белау И.Э.) (1 шт.)</t>
  </si>
  <si>
    <t>Установка прибора учета для присоединения объекта Малоэтажная жилая застройка (Индивидуальный жилой дом/Садовый/Дачный дом) Богдан В.В., расположенного по адресу: Ростовская область, Родионово-Несветайский район, х. Октябрьский, СНТ Электромонтажник, участок 235, КН ЗУ: 61:33:00500201:431</t>
  </si>
  <si>
    <t>Установка прибора учета для присоединения коровника 4-х рядного ИП Главы КФХ Глущенко С.И., расположенного по адресу: Ростовская область, Родионово-Несветайский район, с. Плато-Ивановка, участок находится примерно 110 м на юг от земельного участка, ул. Советская, 26, КН ЗУ: 61:33:0600005:478</t>
  </si>
  <si>
    <t>Установка прибора учета для присоединения объекта «Малоэтажная жилая застройка (Индивидуальный жилой дом/Садовый/Дачный дом)» Гнилицкого С.М., расположенного по адресу: Ростовская область, Родионово-Несветайский район, х. Дарьевка, ул. Молодежная,  д. 1-З, КН ЗУ: 61:33:0020701:968</t>
  </si>
  <si>
    <t>Установка прибора учета для присоединения объекта «Малоэтажная жилая застройка (Индивидуальный жилой дом/Садовый/Дачный дом)» Ельниковой Н.А., расположенного по адресу: Ростовская область, Родионово-Несветайский район, х. Октябрьский, СНТ Электромонтажник, уч. 105а, КН ЗУ: 61:33:0500201:383</t>
  </si>
  <si>
    <t>Установка прибора учета для присоединения жилого дома Ерофеевой Т.В., расположенного по адресу: Ростовская область, Родионово-Несветайский район, х. Октябрьский, ул. Клубная,  д. 16, к.н.з.у.: 61:33:0030401:756</t>
  </si>
  <si>
    <t>Установка прибора учета  для присоединения жилого дома Желенковой В.В., расположенного по адресу: Ростовская область, Родионово-Несветайский район, х. Волошино, ул. Северная,  д. 10а, к.н.з.у.: 61:33:0070101:473</t>
  </si>
  <si>
    <t>Установка прибора учета для присоединения жилого дома Жилиной А.Л., расположенного по адресу: Ростовская область, Родионово-Несветайский район,  с. Генеральское, ул. Ворошилова,  д. 18, КН ЗУ: 61:33:0070601:318</t>
  </si>
  <si>
    <t>Установка прибора учета для присоединения объекта Малоэтажная жилая застройка (Индивидуальный жилой дом/Садовый/Дачный дом) Клокова Р.С., расположенного по адресу:  Ростовская область,  Родионово-Несветайский район, х. Глинки, ул. Степная,  д. 9, КН ЗУ: 61:33:0070401:67</t>
  </si>
  <si>
    <t>Установка прибора учета для присоединения объекта «Малоэтажная жилая застройка (Индивидуальный жилой дом/Садовый/Дачный дом)» Лукашевич А.А., расположенного по адресу: Ростовская область, Аксайский район, х. Горизонт, ул. Центральная, д. 22, КН ЗУ: 61:02:0600002:2372</t>
  </si>
  <si>
    <t>Обеспечение коммерческим учетом электрической энергии (мощности) в точке поставки по присоединению объекта заявителя. Ростовская область р-н. примерно в 50 м по направлению на север от х. Красильников (Матвеева Н.И.) (1 шт.)</t>
  </si>
  <si>
    <t>Обеспечение коммерческим учетом электрической энергии (мощности) в точке поставки по присоединению объекта заявителя. Ростовская область р-н. Родионово-Несветайский, х. Каменный Брод, ул. Курсантов РАУ, д. 6 (Мирзаханян Т.И.) (1 шт.)</t>
  </si>
  <si>
    <t>Обеспечение коммерческим учетом электрической энергии (мощности) в точке поставки по присоединению объектов заявителей. Ростовская область, Родионово-Несветайский район, с.Генеральское пер. Школьный, д. 12, (Плотников А.Г.) (1 шт.)</t>
  </si>
  <si>
    <t>Установка прибора учета для присоединения объекта Малоэтажная жилая застройка (Индивидуальный жилой дом/Садовый/Дачный дом) Симутенковой О.М., расположенного по адресу: Ростовская область, Родионово-Несветайский район, х. Гребцово, ул. Степная, д. 20А, КН ЗУ: 61:33:0030201:82</t>
  </si>
  <si>
    <t>Установка прибора учета для присоединения объекта «Малоэтажная жилая застройка (Индивидуальный жилой дом/Садовый/Дачный дом)» Шараповой О.Л., расположенного по адресу: Ростовская область, Родионово-Несветайский район, СНТ Электромонтажник, уч. 306, КН ЗУ: 61:33:0500201:137</t>
  </si>
  <si>
    <t>Установка прибора учета для присоединения «Малоэтажная жилая застройка (Индивидуальный жилой дом/Садовый/Дачный дом)» Шевченко С.В. расположенного по адресу: р-н. Родионово-Несветайский СНТ Электромонтажник участок 343 к.н.з.у. 61:33:0500201:312</t>
  </si>
  <si>
    <t>Установка прибора учета для присоединения жилого дома Шматкова И.Я., расположенного по адресу: Ростовская область, Октябрьский район, сл. Красюковская, ул. Делегатская, д. 76-а, КН ЗУ: 61:28:0070101:7395</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</si>
  <si>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Мокрый Лог, ул. Рослова д. 52а, ул. Рослова д. 20А (Жилин Т.О., Муниципальное образование "Мокрологское сельское поселение")</t>
  </si>
  <si>
    <t xml:space="preserve"> Строительство ВЛИ-0,4 кВ от оп. №16/9 ВЛ-0,4 кВ №3 МТП №220 ВЛ-6 кВ Рыбхоз ПС Ш-41 для электроснабжения жилого дома Козлова М.И.  по адресу: Октябрьский р-н, ст. Бессергеневская, ул. Школьная, д.1-Д (ориентировочная протяженность ЛЭП – 0,15 км)</t>
  </si>
  <si>
    <t xml:space="preserve"> Установка прибора учета для присоединения объекта ВРУ-0.4кВ автомагазина ИП Горбункова А.А., расположенного по адресу: Ростовская область, Усть-Донецкий район, х. Кривая Лука, ул. Донская, д. 2-а</t>
  </si>
  <si>
    <t>Установка прибора учета для присоединения дачного домика Луговского А.Н., расположенного по адресу: Ростовская область, Красносулинский район, г. Красный Сулин, ул. Урожайная, д. 67, КН ЗУ: 61:18:0140104:20</t>
  </si>
  <si>
    <t>Установка прибора учета для присоединения жилого дома Аллахвердян Т.А., расположенного по адресу: Ростовская область, Красносулинский район, ст-ца Владимировская, ул. Мира, д.20, КН ЗУ: 61:18:0020103:64</t>
  </si>
  <si>
    <t>Установка прибора учета для присоединения малоэтажной жилой застройки Богатыревой К.Н., расположенной по адресу: Ростовская область, Красносулинский район, х. Садки, ул. Садовая, д.12, КН ЗУ: 61:18:0090105:38</t>
  </si>
  <si>
    <t>Установка прибора учета для присоединения частного домовладения Исаевой С.А., расположенного по адресу: Ростовская область, Красносулинский район, п.Донлесхоз, ул. Пионерская, б/н, к.н.з.у.: 61:18:0080201:110</t>
  </si>
  <si>
    <t>Установка прибора учета для присоединения базовой станции сотовой связи ПАО «МТС», расположенной по адресу: Ростовская область, Октябрьский район, п. Мокрый Лог, ул. Рослова, д.52а</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</si>
  <si>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базовой станции сотовой связи ПАО «МТС», расположенного по адресу: Ростовская область, Октябрьский район, х. Верхняя Кадамовка, ул. Галенко, д. 6, к.н.з.у.: 61:28:0020701:122</t>
  </si>
  <si>
    <t>Установка прибора учета для присоединения парковой зоны, расположенной по адресу: Ростовская область, Октябрьский район, п. Новоперсиановка, вблизи СДК по ул. Советская, 12,КН ЗУ: 61:28:0070801:446</t>
  </si>
  <si>
    <t>Установка прибора учета для присоединения малоэтажной жилой застройки Антипиной С.В., расположенной по адресу: Ростовская область, Октябрьский район, ст. Красюковская, пер. Школьный, д.9а, КН ЗУ: 61:28:0070101:7945</t>
  </si>
  <si>
    <t>Установка прибора учета для присоединения малоэтажной жилой застройки Арутюнян В.В., расположенной по адресу: Ростовская область, Октябрьский район, х. Маркин, ул. Транспортная, д.13-а, КН ЗУ: 61:28:0100701:2284</t>
  </si>
  <si>
    <t>Установка прибора учета для присоединения малоэтажной жилой застройки Воронина С.А., расположенной по адресу: Ростовская область, Октябрьский район, с/т «Электровозостроитель», уч. 65, КН ЗУ: 61:28:0502501:282</t>
  </si>
  <si>
    <t>Установка прибора учета для присоединения жилого дома Гень Т.А., расположенного по адресу: Ростовская область, Октябрьский район, ст-ца Бессергеневская, ул. Аксайская, д. 1А, КН ЗУ: 61:28:030301:0002</t>
  </si>
  <si>
    <t>Установка прибора учета для присоединения малоэтажной жилой застройки Жуковой Ю.Б., расположенной по адресу: Ростовская область, Октябрьский район, сл. Красюковская, пер. Западный, д.18-а, КН ЗУ: 61:28:0070101:7677</t>
  </si>
  <si>
    <t>Обеспечение коммерческим учетом электрической энергии (мощности) в точке поставки по присоединению объектов заявителей. Ростовская область, Октябрьский район, х. Калинин, ул. Центральная д. 107-В; ул. Донская д. 113-Д (Иванченко Н.А.; Ковалев В.В.)</t>
  </si>
  <si>
    <t>Установка прибора учета для присоединения малоэтажной жилой застройки Лазарева Е.А., расположенной по адресу: Ростовская область, Октябрьский район, ст-ца Кривянская, ул. Кирпичная, д.99, КН ЗУ: 61:28:0040104:52</t>
  </si>
  <si>
    <t>Установка прибора учета для присоединения жилого дома Москового Н.Н., расположенного по адресу: Ростовская область, Октябрьский район, п. Персиановский, ул. Университетская, д. 10, КН ЗУ: 61:28:0110101:1027</t>
  </si>
  <si>
    <t xml:space="preserve"> Установка прибора учета для присоединения жилого дома Панченко М.С., расположенного по адресу: Ростовская область, Октябрьский район, п. Мокрый Лог, ул. Комарова, д. 2, КН ЗУ: 61:28:0100601:8</t>
  </si>
  <si>
    <t>Установка прибора учета для присоединения садового дома Пасека О.Л., расположенного по адресу: Ростовская область, Октябрьский район, с/т «Электровозостроитель», участок №74, КН ЗУ: 61:28:0502501:261</t>
  </si>
  <si>
    <t>Установка прибора учета для присоединения жилого дома Пометун Е.А., расположенного по адресу: Ростовская область, Октябрьский район, ст-ца Бессергеневская, ул. Аксайская, д. 3, КН ЗУ: 61:28:0030301:2988</t>
  </si>
  <si>
    <t>Установка прибора учета для присоединения жилого дома Поповой О.С., расположенного по адресу: Ростовская область, Октябрьский район, сл. Красюковская, ул. Московская, д. 41, КН ЗУ: 61:28:0070101:1117</t>
  </si>
  <si>
    <t>Установка прибора учета для присоединения малоэтажной жилой застройки Салтуриной О.А., расположенной по адресу: Ростовская область, Октябрьский район, ст-ца Бессергеневская, ул. 2-я Аксайская, КН ЗУ: 61:28:0030301:3370</t>
  </si>
  <si>
    <t>Установка прибора учета для присоединения малоэтажной жилой застройки Сукачевой Н.Л., расположенной по адресу: Ростовская область, Октябрьский район, ст-ца Кривянская, ул. Большая, д.114, КН ЗУ: 61:28:0040113:1156</t>
  </si>
  <si>
    <t>Установка прибора учета для присоединения объекта торговли ИП Хачатрян В.Р., расположенного по адресу: Ростовская область, Октябрьский район, ст-ца Кривянская, ул. Мостовая, возле №204, КН ЗУ: 61:28:0060022:990</t>
  </si>
  <si>
    <t>Установка прибора учета для присоединения жилого дома Грибачева В.С., расположенного по адресу: Ростовская область, Октябрьский район, п. Красногорняцкий, пер. Школьный, д. 4, КН ЗУ: 61:28:0090501:2790</t>
  </si>
  <si>
    <t>Установка прибора учета для присоединения жилого дома Зуевой А.И., расположенного по адресу: Ростовская область, Октябрьский район, ст. Кривянская, ул. Мостовая, д. 74, КН ЗУ: 61:28:0040118:35</t>
  </si>
  <si>
    <t>Установка прибора учета для присоединения малоэтажной жилой застройки Зунникова Г.Г., расположенной по адресу: Ростовская область, Октябрьский район, п. Красногорняцкий, ул. Кудаченко, д. 6, КН ЗУ: 61:28:0600020:351</t>
  </si>
  <si>
    <t>Установка прибора учета для присоединения жилого дома Карпенко Н.Н., расположенного по адресу: Ростовская область, Октябрьский район, ст-ца Кривянская, ул. Октябрьская, д. 4А, КН ЗУ: 61:28:0040127:1394</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</si>
  <si>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садового домика Кияновой В.В., расположенного по адресу: Ростовская область, Октябрьский район, садоводческое товарищество «Электровозостроитель», уч. №72, к.н.з.у.: 61:28:0502501:266</t>
  </si>
  <si>
    <t>Установка прибора учета для присоединения жилого дома Крисько М.В., расположенного по адресу: Ростовская область, Октябрьский район, сл. Красюковская, ул. Советская, д. 101-в/1, КН ЗУ: 61:28:0070101:79</t>
  </si>
  <si>
    <t>Установка прибора учета для присоединения малоэтажной жилой застройки Кузьмина А.Н., расположенной по адресу: Ростовская область, Октябрьский район, ст-ца Кривянская, ул. Большая, д. 73Б, КН ЗУ: 61:28:0040122:984</t>
  </si>
  <si>
    <t>Установка прибора учета для присоединения малоэтажной жилой застройки Меркулова А.А., расположенной по адресу: Ростовская область, Октябрьский район, х. Калинин, ул. Донская, д. 129, КН ЗУ: 61:28:0030201:3295</t>
  </si>
  <si>
    <t>Установка  прибора  учета  для  присоединения жилого дома Мироненко Л.Ф., расположенного по адресу: Ростовская область, Октябрьский район, ст-ца Кривянская, ул. Большая, д. 73 В, КН ЗУ: 61:28:0040122:985</t>
  </si>
  <si>
    <t>Установка прибора учета для присоединения малоэтажной жилой застройки Молоковой М.Е., расположенной по адресу: Ростовская область, Октябрьский район, ст-ца Бессергеневская, ул. 2-я Аксайская, КН ЗУ: 61:28:0030301:3369</t>
  </si>
  <si>
    <t>Установка прибора учета для присоединения жилого дома Обозненко И.С., расположенного по адресу: Ростовская область, Октябрьский район, х. Красный Луч, ул. Центральная, д. 75, КН ЗУ: 61:28:0060101:220</t>
  </si>
  <si>
    <t>Установка прибора учета для присоединения жилого дома Пеленис Н.Ю., расположенного по адресу: Ростовская область, Октябрьский район, х. Ягодинка, ул. Есенина, д.15, КН ЗУ: 61:28:0060201:47</t>
  </si>
  <si>
    <t>Установка прибора учета для присоединения малоэтажной жилой застройки Петровой В.С., расположенной по адресу: Ростовская область, Октябрьский район, п. Каменоломни, ул. Пролератская, уч. 78, КН ЗУ: 61:28:0600020:225</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</si>
  <si>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садового дома Соколовой Н.Н., расположенного по адресу: Ростовская область, Октябрьский район, садоводческое товарищество «Электровозостроитель», уч. №62, к.н.з.у.: 61:28:0502501:288</t>
  </si>
  <si>
    <t xml:space="preserve"> Установка прибора учета для присоединения малоэтажной жилой застройки Хачикян С.Ш., расположенного по адресу: Ростовская область, Октябрьский район, п.Красногорняцкий, ул. Королевой, д. 3, КН ЗУ: 61:28:0600020:583</t>
  </si>
  <si>
    <t>Установка прибора учета для присоединения малоэтажной жилой застройки Хохловой Р.В., расположенного по адресу: Ростовская область, Октябрьский район, п. Красногорняцкий, ул. Парковая, д. 6, КН ЗУ: 61:28:0600020:270</t>
  </si>
  <si>
    <t>Установка прибора учета для присоединения малоэтажной жилой застройки Ятчук П.В., расположенной по адресу: Ростовская область, Октябрьский район, сл. Красюковская, ул. Набережная, д. 71а, КН ЗУ: 61:28:0070101:8207</t>
  </si>
  <si>
    <t>Установка прибора учета для присоединения малоэтажной жилой застройки Белова С.А., расположенной по адресу: Ростовская область, Октябрьский район, х. Калинин, пер. Зоологический, д.6-А, КН ЗУ: 61:28:0030201:3360</t>
  </si>
  <si>
    <t>Установка прибора учета для присоединения малоэтажной жилой застройки Венглярской Е.Ю., расположенной по адресу: Ростовская область, Октябрьский район, х. Яново-Грушевский, ул. Подгорная, д.30, КН ЗУ: 61:28:0070201:507</t>
  </si>
  <si>
    <t>Установка прибора учета для присоединения базовой станции сотовой связи ПАО «МТС», расположенного по адресу: Ростовская область, Октябрьский район, ст-ца. Кривянская, ул. Некрасова, д. 3</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</si>
  <si>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административного/офисного здания ГКУ РО «Противопожарная служба Ростовской области», расположенного по адресу: Ростовская область, Октябрьский район,  ст-ца. Заплавская, ул. Клубная, д. 20А, КН ЗУ: 61:28:0030101:4995</t>
  </si>
  <si>
    <t>Установка прибора учета для присоединения малоэтажной жилой застройки Бошняк А.В., расположенной по адресу: Ростовская область, Октябрьский район, с/т «Электровозостроитель», уч. 66, КН ЗУ: 61:28:0502501:280</t>
  </si>
  <si>
    <t>Установка прибора учета для присоединения малоэтажная жилая застройка Власенко Е.В., расположенного по адресу: Ростовская область, Октябрьский район, садоводческое товарищество «Электровозостроитель», д. 84, КН ЗУ: 61:28:0502501:239</t>
  </si>
  <si>
    <t>Установка прибора учета для присоединения жилого дома Володиной Ю.А., расположенного по адресу: Ростовская область, Октябрьский район, х. Красный Луч, ул. Центральная, д.119, КН ЗУ: 61:28:0060101:140</t>
  </si>
  <si>
    <t>Установка прибора учета для присоединения малоэтажной жилой застройки Павловой О.В., расположенного по адресу: Ростовская область, Октябрьский район, садоводческое товарищество «Электровозостроитель», д. 85, КН ЗУ: 61:28:0502501:237</t>
  </si>
  <si>
    <t xml:space="preserve"> Установка прибора учета для присоединения малоэтажной жилой застройки Панкратовой Р.Е., расположенной по адресу: Ростовская область, Октябрьский район, п. Новосветловский, ул. Мелиховская, д.13, КН ЗУ: 61:28:0090205:276</t>
  </si>
  <si>
    <t>Установка прибора учета для присоединения малоэтажной жилой застройки Путченко А.В., расположенной по адресу: Ростовская область, Октябрьский район, х. Калинин, ул. Донская, д.48, КН ЗУ: 61:28:0030201:1227</t>
  </si>
  <si>
    <t>Установка прибора учета для присоединения малоэтажной жилой застройки Рассолова Е.В., расположенного по адресу: Ростовская область, Октябрьский район, с/т «Электровозостроитель», уч. 156, КН ЗУ: 61:28:0502501:546</t>
  </si>
  <si>
    <t>Установка прибора учета для присоединения Модульного ФАП МБУЗ «Районная больница г. Красного Сулина и Красносулинского района Ростовской области», расположенного по адресу: Ростовская область, Красносулинский район, х. Гривенный, Табунщиковское сельское поселение, в 50 м на восток от земельного участка №21 по ул. Победы, КН ЗУ: 61:18:0100301:360</t>
  </si>
  <si>
    <t>Строительство участка ВЛИ-0,4 кВ от  РУ-0,4 кВ КТП – 10/0,4 кВ  № 188 по ВЛ – 10 кВ «Завод-1» ПС С-5, с установкой на границе земельного участка заявителя прибора учета для объектов дорожного хозяйства Министерства транспорта, Российская Федерация, Ростовская область, Красносулинский район, ст-ца Владимировская, автомобильная дорога г. Шахты-ст. Владимирская (до магистрали «Дон»), К.Н З.М: 61:00:0000000:870.(ориентировочная протяженность ЛЭП – 0,03 км.)</t>
  </si>
  <si>
    <t xml:space="preserve"> Установка прибора учета для присоединения жилого дома Акимовой О.А., расположенного по адресу: Ростовская область, Красносулинский район, х. Пролетарка, пер. Степной, д. 28, КН ЗУ: 61:18:0080102:1052</t>
  </si>
  <si>
    <t>Установка прибора учета для присоединения малоэтажной жилой застройки (Индивидуальный жилой дом/ Садовый/ Дачный дом) Кайсын Л.А., расположенной по адресу: Ростовская область, Красносулинский район, х. Пролетарка, пер. Мостовой, д. 1б, КН ЗУ: 61:28:0080102:1265</t>
  </si>
  <si>
    <t>Установка прибора учета для присоединения жилого дома Щедрина Н.В.. расположенной по адресу: Ростовская область, Красносулинский район, с. Киселево, ул. Нахичевань, д. 1, КН ЗУ: 61:18:0050105:57 (1 шт.)</t>
  </si>
  <si>
    <t>Установка прибора учета для присоединения объекта «Малоэтажная жилая застройка (Индивидуальный жилой дом/ Садовый/ Дачный дом)» Дудкиной И.Н., расположенного по адресу: Ростовская область, Красносулинский район, х. Платово, пер. Орловский, д. 19</t>
  </si>
  <si>
    <t>Установка прибора учета для присоединения объекта ВРУ-0.4кВ гаража Кузьминский Н.А., расположенного по адресу: Ростовская обл., р-н. Усть-Донецкий, п. Керчикский, примерно 18 метров по направлению на юг от земельного участка с к.н. 61:39:0020301:174, кадастровый номер земельного участка: 61:39:0020301:1303 (1 шт.)</t>
  </si>
  <si>
    <t>Установка прибора учета для присоединения квартиры  Костиной В.В., расположенной по адресу: Ростовская область, Усть-Донецкий район, ст-ца Мелиховская, пер. 19-й,  д. 8,  кв./оф. 1, КН ЗУ:  61:39:0020101:275</t>
  </si>
  <si>
    <t>Установка прибора учета для присоединения объекта ВРУ-0.4кВ малоэтажной жилой застройки Яхновец Д.А., расположенного по адресу: Ростовская обл., р-н. Усть-Донецкий, ст-ца. Раздорская, ул. Кошевого, д. 5, кадастровый номер земельного участка: 61:39:00830102:86</t>
  </si>
  <si>
    <t>Установка прибора учета для присоединения объекта ВРУ-0.4кВ объектов наружного освещения Муниципального бюджетного учреждения культуры "Культурный центр Раздорского сельского поселения", расположенного по адресу: Ростовская обл., р-н. Усть-Донецкий, ст-ца. Раздорская, ул. Ленина, сквер (станичный парк), кадастровый номер земельного участка: 61:39:0030102:1438 (1 шт.)</t>
  </si>
  <si>
    <t>Установка прибора учета для присоединения объекта ВРУ-0.4кВ квартиры  Вещевайловой С.Н., расположенного по адресу: Ростовская область, Усть-Донецкий район, ст. Мелиховская, пер. 20-й,  д. 6,  кв. 1</t>
  </si>
  <si>
    <t>Установка приборов учета для присоединения объектов заявителей: Волкова С.А., Волковой А.В., расположенных по адресу: Ростовская область, Родионово-Несветайский район, х. Каменный Брод, ул. Смирнова (2 шт.)</t>
  </si>
  <si>
    <t>Установка прибора учета для присоединения объекта «Малоэтажная жилая застройка (Индивидуальный жилой дом/Садовый/Дачный дом)» Дроздовой К.В., расположенного по адресу: Ростовская область, Родионово-Несветайский район, х. Юдино, ул. Лермонтова, д. 18А, КН ЗУ: 61:33:0070201:620</t>
  </si>
  <si>
    <t>Установка прибора учета для присоединения Малоэтажной жилой застройки (Индивидуальный жилой дом/Садовый/Дачный дом) Ичираули И.Н., расположенной по адресу: Ростовская область, Родионово-Несветайский район,  х. Юдино, ул. Лермонтова,  д. 10В, КН ЗУ: 61:33:0070201:189</t>
  </si>
  <si>
    <t>Установка прибора учета для освещения автомобильной дороги общего пользования Министерства транспорта Ростовской области, расположенной по адресу: Ростовская область, Родионово-Несветайский район, сл. Родионово-Несветайская, КН ЗУ: 61:33:0000000:33</t>
  </si>
  <si>
    <t>Установка прибора учета для присоединения Малоэтажной жилой застройки (Индивидуальный жилой дом/Садовый/Дачный дом) Михайленко Т.В., расположенной по адресу: Ростовская область, Родионово- Несветайский район,  х. Каменный Брод, ул. Каменка,  д. 37, КН ЗУ: 61:33:0030501:569</t>
  </si>
  <si>
    <t>Установка прибора учета для присоединения Малоэтажной жилой застройки (Индивидуальный жилой дом/Садовый/Дачный дом) Сырова В.Е., расположенной по адресу: Ростовская область, Родионово-Несветайский,  сл. Родионово-Несветайская, ул. Садовая,  д. 44, КН ЗУ: 61:33:0040123:150</t>
  </si>
  <si>
    <t>Строительство ВЛИ-0,4 кВ от оп.3 по ВЛ 0,4кВ № 1 от КТП № 512 ВЛ-10 кВ «Каменный Брод» ПС АС-12 для электроснабжения «Малоэтажная жилая застройка (Индивидуальный жилой дом/Садовый/Дачный дом)» Милен А.С., Золоторева А.Л. по адресу: Ростовская обл., р-н. Родионово-Несветайский, р-н. Родионово-Несветайский, СНТ "Комбайностроитель", участок 3-353,3-352 (ориентировочная протяженность ЛЭП – 0,07 км)</t>
  </si>
  <si>
    <t>Установка прибора учета для присоединения малоэтажной жилой застройки (Индивидуальный жилой дом/Садовый/Дачный дом) Кудрявцева О.Е., расположенной по адресу: Ростовская область, Родионово-Несветайский район, х. Павленков, ул. Центральная, д. 2А, КН ЗУ: 61:33:0040201:551</t>
  </si>
  <si>
    <t>Установка прибора учета для присоединения Малоэтажной жилой застройки (Индивидуальный жилой дом/Садовый/Дачный дом) Жильцова М.В., расположенной по адресу: Ростовская область, Родионово-Несветайский район, х. Греково-Балка, ул. Центральная,  д. 2"А", КН ЗУ: 61:33:0060401:631</t>
  </si>
  <si>
    <t>Установка прибора учета для присоединения Малоэтажной жилой застройки (Индивидуальный жилой дом/Садовый/Дачный дом) Крупенко Е.Н., расположенной по адресу: Ростовская область,  Родионово-Несветайский район, х. Дарьевка, ул. Центральная,  д. 47/2, КН ЗУ: 61:33:0020701:172</t>
  </si>
  <si>
    <t xml:space="preserve"> Установка прибора учета для присоединения квартиры Кишкиновой В.И., расположенной по адресу: Ростовская область, Красносулинский район, г. Красный Сулин, ул. Виноградная  д. 8, кв./оф. 3</t>
  </si>
  <si>
    <t>Установка прибора учета для присоединения жилого дома Новиковой Л.И. расположенного по адресу: Ростовская область, Красносулинский район, п. Пригородный ул. 47-й Гвардейской Стрелковой Дивизии д. 80. (1 шт.)</t>
  </si>
  <si>
    <t xml:space="preserve"> Установка прибора учета для присоединения жилого дома Тарик В.А. расположенной по адресу: Ростовская область, Красносулинский район, х. Васецкий, ул. Колхозная, д. 30, КН ЗУ: 61:18:0030202:32</t>
  </si>
  <si>
    <t>Установка прибора учета для присоединения жилого дома Иванковой Л.Ю., расположенного по адресу: Ростовская область, Красносулинский район, г. Красный Сулин, ул. Прибрежная, д. б/н, КН ЗУ: 61:53:0000351:299</t>
  </si>
  <si>
    <t>Установка прибора учета для присоединения объектов наружного освещения, расположенного по адресу: Ростовская область, Родионово-Несветайский район, сл. Большекрепинская, автомобиьная дорога общего пользования межмуниципального значения пос.Матвеев Курган-сл.Большекрепинская- сл.Родионово-Несветайская на участках км 44+500-км 48+700, км55+700-км57+800 в Родионово-Несветайском районе, КН ЗУ 61:33:0000000:56</t>
  </si>
  <si>
    <t>Установка прибора учета для присоединения объектов наружного освещения, расположенного по адресу: Ростовская область, Родионово-Несветайский район, сл. Аграфеновка, начало объекта-место стыка с осью автомобильной дороги с.Куйбышево-сл.Алексеево-Тузловка-сл.Родионово-Несветайская, точка стыка расположена в 850 м юго-восточнее сл.Барило-Крепинская Родионово-Несветайского района Ростовской области. Конец объекта-северо-восточная окраина сл.Большекрепинская Родионово-Несветайского района Ростовской области на участке км 7+350 км 9+000 в Родионово-Несветайском районе,КН ЗУ: 61:33:0000000:0:7</t>
  </si>
  <si>
    <t>Установка прибора учета для присоединения объектов наружного освещения, расположенного по адресу: Ростовская область, Родионово-Несветайский район, с. Каршенно-Анненка, автомобильная дорога общего пользования регионального значения с. Самбек - пос. Матвеев-Курган - с. Куйбышево - г. Снежное (до границы Украины) - с. Новиковка - с. Лысогорка - с. Каршенно-Анненка на участке км 30+000 - км 31+344 в Родионово-Несветайском районе, КН ЗУ: 61:33:0000000:57</t>
  </si>
  <si>
    <t>"Установка прибора учета для присоединения Малоэтажной жилой застройки (Индивидуальный жилой дом/Садовый/Дачный дом) Семисотовой Н.Е., расположенного по адресу: Ростовская область, Родионово-Несветайский район, х. Гребцово, ул. Космонавтов, д. 7, КН ЗУ: 61:33:0030201:591"</t>
  </si>
  <si>
    <t>Установка прибора учета для присоединения объектов наружного освещения, расположенного по адресу: Ростовская область, Родионово-Несветайский район, сл. Родионово-Несветайская, участок автомобильной дороги общего пользования межмуниципального значения сл.Родионово-Несветайская-г.Новочеркасск на км 0+000-км 15+240(км0+000-км6+155) в Родионово-Несветайском районе", КН ЗУ: 61:33:0000000:115</t>
  </si>
  <si>
    <t>Установка прибора учета для присоединения объекта торговли (магазин) Янченко Н.М., расположенного по адресу: Ростовская область, Октябрьский район, ст. Бессергеневская, ул. Кооперативная, д. 23Б, КН ЗУ: 61:28:0030301:3131</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</si>
  <si>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ВРУ-0,4 кВ объекта зернотока ИП Голубева Н.В., расположенного по адресу: Ростовская область, Красносулинский район, Киселевское с/п, с. Киселево. к.н.з.у.: 61:18:0600011:1304 (1 шт.)</t>
  </si>
  <si>
    <t>Установка прибора учета для присоединения жилого дома Бадина Виталия Александровича, расположенного по адресу: Ростовская область, Красносулинский район,  х. Васецкий. ул. Колхозная, д.20, кадастровый номер земельного участка: 61:18:0030202:37 (1 шт.)</t>
  </si>
  <si>
    <t>Установка прибора учета для присоединения жилого дома Гутор Марины Александровны расположенного по адресу: Ростовская область, Красносулинский район,  х.Васецкий, ул. Колхозная д.1-а,кадастровый номер земельного участка: 61:18:030203:0021 (1 шт.)</t>
  </si>
  <si>
    <t>Установка прибора учета для присоединения здания закусочной Мнацаканян Максима Мовсесовича, расположенного по адресу: Ростовская область, Красносулинский р-н, п. Тополевый, ул. Советская, д. 10-а, кадастровый номер земельного участка: нет. (1 шт.)</t>
  </si>
  <si>
    <t>Установка прибора учета для присоединения жилого дома Чекунова Владимира Александровича расположенного по адресу: Ростовская область, Красносулинский район,  х. Платово, ул. Молодежная, д.6, кадастровый номер земельного участка: 61:18:0060109:36 (1 шт.)</t>
  </si>
  <si>
    <t>Установка прибора учета для присоединения жилого дома Шангина Сергея Николаевича расположенного по адресу: Ростовская область, Красносулинский район,  х. Большая Федоровка, ул. Октябрьская д.8, кадастровый номер земельного участка: 61:18:0020203:60 (1 шт.)</t>
  </si>
  <si>
    <t>Установка прибора учета для присоединения жилого дома Маймур А.А. расположенной по адресу: Ростовская область, Красносулинский район, ст-ца. Владимировская, ул. Октябрьская, д. 26, КН ЗУ: 61:18:0020102:39 (1 шт.)</t>
  </si>
  <si>
    <t>Установка прибора учета для присоединения Малоэтажной жилой застройки (Индивидуальный жилой дом/Садовый/Дачный дом) Ефимовой Е.В., расположенного по адресу: Ростовская область, Родионово-Несветайский район, сл. Родионово-Несветайская, ул. Вишневая, д.28, КН ЗУ: 61:33:040123:178</t>
  </si>
  <si>
    <t>Установка прибора учета для присоединения Малоэтажной жилой застройки (Индивидуальный жилой дом/Садовый/Дачный дом) Скориковой А.С., расположенного по адресу: Ростовская область, Родионово-Несветайский район х. Кирбитово, ул. Степная, д.6, КН ЗУ: 61:33:0030301:31</t>
  </si>
  <si>
    <t>Установка прибора учета для присоединения Малоэтажной жилой застройки (Индивидуальный жилой дом/Садовый/Дачный дом) Мошкарина А.А., расположенного по адресу: Ростовская область, Родионово-Несветайский район, садовое некоммерческое товарищество "Электромонтажник" участок №297, КН ЗУ: 61:33:0500201:188</t>
  </si>
  <si>
    <t>Установка прибора учета для присоединения Малоэтажной жилой застройки (Индивидуальный жилой дом/Садовый/Дачный дом) Каплина С.А., расположенного по адресу: Ростовская область, Родионово-Несветайский район х. Каменный Брод, ул. Калининская, д.31а, КН ЗУ: 61:33:0030501:1813</t>
  </si>
  <si>
    <t>Установка прибора учета для присоединения Малоэтажной жилой застройки (Индивидуальный жилой дом/Садовый/Дачный дом) Соботюк А.А., расположенного по адресу: Ростовская область, Родионово-Несветайский район, х. Веселый, ул. Дачная, д. 1Д, КН ЗУ 61:33:0040701:986</t>
  </si>
  <si>
    <t>Установка прибора учета для присоединения Малоэтажной жилой застройки (Индивидуальный жилой дом/Садовый/Дачный дом) Пруцакова Д.В., расположенного по адресу: Ростовская область, Родионово-Несветайский район, х. Юдино, ул. Победы, д. 2, КН ЗУ 61:33:0070201:98</t>
  </si>
  <si>
    <t>Установка прибора учета для присоединения Малоэтажной жилой застройки (Индивидуальный жилой дом/Садовый/Дачный дом) Агишевой Е.Ш., расположенного по адресу: Ростовская область, Родионово-Несветайский район, х. Октябрьский, ул. Заречная, д. 19, КН ЗУ 61:33:0030401:349</t>
  </si>
  <si>
    <t>Установка прибора учета для присоединения Малоэтажной жилой застройки (Индивидуальный жилой дом/Садовый/Дачный дом) Рамазанова С.Р., расположенного по адресу: Ростовская область, Родионово-Несветайский район, х. Волошино, ул. Новоселов, д. 15, КН ЗУ:  61:33:0070101:384</t>
  </si>
  <si>
    <t>Установка прибора учета для присоединения Малоэтажной жилой застройки (Индивидуальный жилой дом/Садовый/Дачный дом) Косенко В.В.., расположенного по адресу: Ростовская область, Родионово-Несветайский район, х. Краснознаменка, ул. Центральная, д. 43, КН ЗУ: 61:33:0020601:71</t>
  </si>
  <si>
    <t>Установка прибора учета для присоединения (Индивидуальный жилого дома Савченко О.В., расположенного по адресу: Ростовская область, Родионово-Несветайский район, с. Генеральское, ул. Набережная, д. 2, КН ЗУ: 61:33:0070601:307</t>
  </si>
  <si>
    <t>Установка прибора учета для присоединения малоэтажной жилой застройки Иващенко М.А., расположенной по адресу: Ростовская область, Октябрьский район, п. Верхнегрушевский, ул.Южная, д.1А, КН ЗУ: 61:28:0090101:743</t>
  </si>
  <si>
    <t xml:space="preserve"> Установка прибора учета для присоединения нежилой застройки ИП Абасова Р.А., расположенной по адресу: Ростовская область, Октябрьский район, х. Яново-Грушевский, ул. Огородняя, д. 27, КН ЗУ: 61:28:0070201:2499</t>
  </si>
  <si>
    <t>Установка прибора учета для присоединения малоэтажной жилой застройки Колесникова А.П., расположенной по адресу: Ростовская область, Октябрьский район, п. Верхнегрушевский, ул. Полевая, д.26, КН ЗУ: 61:28:0090105:15</t>
  </si>
  <si>
    <t>Установка прибора учета для присоединения жилого дома Подсвирова В. Е., расположенного по адресу: Ростовская область, Октябрьский район, ст-ца. Бессергеневская, ул. Подгорная, д.8а, КН ЗУ: 61:28:0030301:2669</t>
  </si>
  <si>
    <t>Установка прибора учета для присоединения жилого дома Сергеева И.С., расположенного по адресу: Ростовская область, Октябрьский район, сл. Красюковская, ул. Вишневая, д.29, КН ЗУ: 61:28:0070101:6601 (1 шт.)</t>
  </si>
  <si>
    <t>Установка прибора учета для присоединения малоэтажной жилой застройки Серикова А.Ю., расположенной по адресу: Ростовская область, Октябрьский район, х. Яново-Грушевский, сад. Электровозостроитель, д. 83, КН ЗУ: 61:28:0502501:241</t>
  </si>
  <si>
    <t>Установка прибора учета для присоединения малоэтажной жилой застройки Чайковского А.М., расположенной по адресу: Ростовская область, Октябрьский район, х. Красный Кут, ул. Социалистическая, д. 33</t>
  </si>
  <si>
    <t xml:space="preserve"> Строительство ЛЭП-0,4 кВ от РУ 0,4 кВ КТП № 152 по ВЛ 6 кВ «Пролетарка» ПС С2, с установкой прибора учета на границе земельного участка заявителя для нежилой застройки (хозяйственная постройка, нежилое здание), Ткачев Эдуард Анатольевич, Ростовская обл., Красносулинский район, с. Прохоровка, с/п Пролетарское, К.Н З.М: 61:18:0000000:7103. (ориентировочная протяженность ЛЭП – 0,410 км.)</t>
  </si>
  <si>
    <t>Установка прибора учета для присоединения объекта малоэтажной жилой застройки Гудкова С.В., расположенного по адресу: Ростовская область, р-н. Усть-Донецкий, ст-ца. Мелиховская, ул. Донская, д. Коммунистическая, д. 15</t>
  </si>
  <si>
    <t>Установка прибора учета для присоединения объекта малоэтажной жилой застройки Супруна Р.П., расположенного по адресу: Ростовская область, р-н. Усть-Донецкий, ст-ца. Раздорская, ул. Донская, д. 92, корп. А</t>
  </si>
  <si>
    <t>Установка прибора учета для присоединения малоэтажной жилой застройки Беляйкиной З.Л., расположенной по адресу: Ростовская область, Октябрьский район, сл. Красюковская, ул. М.Горького, д.112, КН ЗУ: 61:28:070101:0254</t>
  </si>
  <si>
    <t>Установка прибора учета для присоединения малоэтажной жилой застройки Забейворота М.Л., расположенной по адресу: Ростовская область, Октябрьский район, п. Красногорняцкий, ул. Дружелюбная, д. 25, КН ЗУ: 61:28:090501:0009</t>
  </si>
  <si>
    <t>Установка прибора учета для присоединения жилого дома Крылова А.Ф., расположенного по адресу: Ростовская область, Октябрьский район, рп. Каменоломни, ул. Дружелюбная, д. 18, КН ЗУ: 61:28:0090501:2857</t>
  </si>
  <si>
    <t>Установка прибора учета для присоединения жилого дома Мовсисян Т.Э., расположенной по адресу: Ростовская область, Октябрьский район, ст-ца Кривянская, ул. Кирпичная, д.24, КН ЗУ: 61:28:0040123:435</t>
  </si>
  <si>
    <t>Установка прибора учета для присоединения малоэтажной жилой застройки Пудова В.А., расположенной по адресу: Ростовская область, Октябрьский район, ст-ца Кривянская, ул. Кирпичная, д.22, КН ЗУ: 61:28:0040123:41</t>
  </si>
  <si>
    <t>Установка прибора учета для присоединения малоэтажной жилой застройки Расторгуева Р.О., расположенной по адресу: Ростовская область, Октябрьский район, ст-ца Кривянская, ул. Кирпичная, д.26, КН ЗУ: 61:28:0040123:45</t>
  </si>
  <si>
    <t>Установка прибора учета для присоединения малоэтажной жилой застройки Саратовского В.И., расположенной по адресу: Ростовская область, Октябрьский район, ст-ца Кривянская, ул. Кирпичная, д.25, КН ЗУ: 61:28:0040123:44</t>
  </si>
  <si>
    <t>Установка прибора учета для присоединения малоэтажной жилой застройки Сорочинской М.А., расположеннй по адресу: Ростовская область, Октябрьский район, п. Красногорняцкий, ул. Маграждановой, д.8, КН ЗУ: 61:28:0600020:272</t>
  </si>
  <si>
    <t>Установка прибора учета для присоединения квартиры Торховой С.Г., расположенной по адресу: Ростовская область, Октябрьский район, п. Верхнегрушевский, ул. Железнодорожная, д.8, кв.2, КН ЗУ: 61:28:0090103:83</t>
  </si>
  <si>
    <t>Установка прибора учета для присоединения малоэтажной жилой застройки Черезовой Н.Г., расположенной по адресу: Ростовская область, Октябрьский район, х. Керчик-Савров, ул. Советская, д.20, КН ЗУ: 61:28:0050101:337</t>
  </si>
  <si>
    <t>Установка прибора учета для присоединения жилого дома Юрченко В.Н., расположенного по адресу: Ростовская область, Октябрьский район, с. Алексеевка, ул. Школьная, д. 4, КН ЗУ: 61:28:0010105:9</t>
  </si>
  <si>
    <t>Установка прибора учета для присоединения малоэтажной жилой застройки Якуниной О.А., расположенной по адресу: Ростовская область, Октябрьский район, ст-ца Заплавская, ул. Виноградная, д. 2-б, КН ЗУ: 61:28:0030101:4437</t>
  </si>
  <si>
    <t>Установка прибора учета для присоединения сооружения связи ООО «Дон Связь Конструкция», расположенного по адресу: Ростовская область, Октябрьский район, ст-ца. Кривянская, ул. Кирпичная, д.88, КН ЗУ: 61:28:0040104</t>
  </si>
  <si>
    <t>Установка прибора учета для присоединения нежилого здания, расположенной по адресу: Ростовская область, г. Шахты, ул. Дачная (Барсуков С.С.)"</t>
  </si>
  <si>
    <t>Установка прибора учета для присоединения объекта малоэтажной жилой застройки Сарвилина А.В., расположенного по адресу: Ростовская область, Октябрьский р-н, х. Киреевка, ул. Набережная, д. 11</t>
  </si>
  <si>
    <t>Установка прибора учета для присоединения объекта малоэтажной жилой застройки Стахарновой А.Е., расположенного по адресу: Ростовская область, Октябрьский р-н, х. Калинин, пер. Первый, д. 8а</t>
  </si>
  <si>
    <t>Строительство ВЛИ-0,4 кВ от конечной опоры ВЛИ-0,4кВ, строящейся по договору №61-1-20-00519625 от 14.07.2020 с Арутюновой В.К. от оп. №7 ВЛИ-0,4 кВ №2 КТП №654 ВЛ-10 кВ Совхоз ПС Ш-16 для электроснабжения блокированного жилого дома ИП Козиной Т.В. (ориентировочная протяженность ЛЭП – 0,04 км)</t>
  </si>
  <si>
    <t>Установка прибора учета для присоединения Административное/офисное здание АО «Почта России», расположенного по адресу: Ростовская обл., р-н. Родионово-Несветайский, сл. Кутейниково, ул. Булановой, д. 34</t>
  </si>
  <si>
    <t>Установка прибора учета для присоединения Административное/офисное здание АО «Почта России», расположенного по адресу: Ростовская обл., р-н. Родионово-Несветайский, сл. Барило-Крепинская, ул. Ленина, д. 15, КН ЗУ: 61:33:0050101:46</t>
  </si>
  <si>
    <t>Установка прибора учета для присоединения объекта малоэтажной жилой застройки Новикова Е.А., расположенного по адресу: Ростовская область, р-н. Усть-Донецкий, ст-ца. Раздорская, ул. Донская, д. 76, корп. Б</t>
  </si>
  <si>
    <t>Установка прибора учета для присоединения объекта малоэтажной жилой застройки Дудину Ю.М., расположенного по адресу: Ростовская область, Усть-Донецкий район, ст-ца. Мелиховская, ул. Интернациональная, д. 7, КН ЗУ: 61:39:0020104:390</t>
  </si>
  <si>
    <t>Установка прибора учета для присоединения объекта набережной хутора Пухляковский «Пухляковского культурно-просветительского-спортивного комплекса», расположенного по адресу: Ростовская область, р-н. Усть-Донецкий, х. Пухляковский, ул. Набережная</t>
  </si>
  <si>
    <t>Установка прибора учета для присоединения объекта отделения почтовой связи, расположенного по адресу: Ростовская область, р-н. Октябрьский, п. Нижнедонской, ул. Ленина, д.13, КН ЗУ: 61:28:0060301:592</t>
  </si>
  <si>
    <t>Установка прибора учета для присоединения объекта отделения почтовой связи, расположенного по адресу: Ростовская область, р-н. Усть-Донецкий, ст-ца. Усть-Быстрянская, ул. Центральная, д. 31, КН ЗУ: 61:39:0080101:420</t>
  </si>
  <si>
    <t>Установка прибора учета для присоединения объекта отделения почтовой связи, расположенного по адресу: Ростовская область, р-н. Усть-Донецкий, х. Апаринский, ул. Комсомольская, д. 3, КН ЗУ: 61:39:0050102:791</t>
  </si>
  <si>
    <t>Установка прибора учета для присоединения объекта отделения почтовой связи, расположенного по адресу: Ростовская область, р-н. Усть-Донецкий, ст-ца. Нижнекундрюченская, ул. Советская, д. 14, КН ЗУ: 61:39:0060105:83</t>
  </si>
  <si>
    <t>Установка прибора учета для присоединения объекта отделения почтовой связи, расположенного по адресу: Ростовская область, р-н. Семикаракорский, ст. Кочетовская, ул. Набережная, д.46, КН ЗУ: 61:35:0080101:3656</t>
  </si>
  <si>
    <t xml:space="preserve">Установка прибора учета для присоединения объекта отделения почтовой связи, расположенного по адресу: Ростовская область, р-н. Усть-Донецкий, ст-ца. Мелиховская, пер. 6-й, д. 15, КН ЗУ: 61:39:0020105:648 </t>
  </si>
  <si>
    <t>Установка прибора учета для присоединения нежилого помещения, расположенного по адресу: Ростовская область, Октябрьский р-н, п. Верхнегрушевский, ул. Школьная, д.13 (АО «Почта России»)</t>
  </si>
  <si>
    <t>Установка прибора учета для присоединения нежилого помещения, расположенного по адресу: Ростовская область, Октябрьский р-н, х. Керчик-Савров, ул. Советская, д.38 (АО «Почта России»)</t>
  </si>
  <si>
    <t>Установка прибора учета для присоединения нежилого помещения, расположенного по адресу: Ростовская область, Октябрьский р-н, х. Красный Кут, ул. Калинина, д. 2-а (АО «Почта России»)</t>
  </si>
  <si>
    <t>Установка прибора учета для присоединения базовой станции сотовой связи, расположенной по адресу: Ростовская область, Октябрьский р-н, х. Веселая Бахмутовка, адресные ориентиры: примерно 14м по направлению на запад от границы участка с к.н. 61:28:0050201:23 по адресу: ул. Дородная, №8 (ПАО «Ростелеком»)</t>
  </si>
  <si>
    <t>Установка прибора учета для присоединения нежилой застройки, ИП Сактанов О.И., расположенной по адресу: Ростовская область, Родионово-Несветайский район, х. Октябрьский, в 2000м на северо-запад от х. Октябрьский, КН ЗУ: 61:33:0600014:871</t>
  </si>
  <si>
    <t>Установка прибора учета для присоединения объекта торговли, ИП Абаева Б.Б., расположенной по адресу: Ростовская область, Родионово-Несветайский район, х. Юдино, ул. Лермонтова, д. 3Б КН 61:33:0070201:546</t>
  </si>
  <si>
    <t>Установка прибора учета для присоединения жилого дома, расположенного по адресу: Ростовская обл., Родионово-Несветайский р-н., с. Генеральское, ул. Советская, д. 29Б кадастровый номер 61:33:0070601:2484</t>
  </si>
  <si>
    <t>Установка прибора учета для присоединения нежилой застройки(ИП Обаян С.А.), расположенного по адресу: Ростовская область, Родионово-Несветайский р-он, примерно 2200 м на северо-запад от сл. Родионово-Несветайской КН ЗУ 61:33:0600010:3127</t>
  </si>
  <si>
    <t>Установка прибора учета для присоединения объекта туристической отрасли (ООО «Окна-Профиль), расположенного по адресу: Ростовская область, Родионово-Несветайский р-он, х. Волошино, ул. Заречная, д.26 КН ЗУ 61:33:0070101:1774</t>
  </si>
  <si>
    <t>Установка прибора учета для присоединения объектов наружного освещения, расположенного по адресу: Ростовская область, Родионово-Несветайский район, сл. Алексеево-Тузловка, автомобильная дорога общего пользования регионального значения с. Куйбышево – сл. Алексеево-Тузловка – сл. Родионово-Несветайская на участке км 37+400– км 42+880 в Родионово-Несветайском районе, кадастровый номер 61:33:0000000:0:2</t>
  </si>
  <si>
    <t>Установка прибора учета для присоединения объектов наружного освещения, расположенного по адресу: Ростовская обл., р-н. Родионово-Несветайский, х. Тимский, автомобильная дорога общего пользования регионального значения с. Куйбышево – сл. Алексеево-Тузловка – сл. Родионово-Несветайская на участке км 37+400– км 42+880 в Родионово-Несветайском районе, кадастровый номер 61:33:0000000:0:2</t>
  </si>
  <si>
    <t>Техперевооружение КТП 6/0,4 кВ № 46 ВЛ 6 кВ Правда ПС 35 кВ Г6 для электроснабжения производственного здания ИП Ильин В.В. в г.Зверево, ул.Макаренко, д.3т. (предполагаемая мощность трансформатора 630 кВА)</t>
  </si>
  <si>
    <t>Установка прибора учета для присоединения жилого дома Демьянова В.В., расположенного по адресу: Ростовская область, Красносулинский район, х. Коминтерн, ул. Черемушки, д. 13</t>
  </si>
  <si>
    <t>Установка прибора учета для присоединения базовая станция/оборудование сотовой связи Ростелеком, расположенного по адресу: Ростовская область, Красносулинский район, х. Богненко, примерно 73 м по направлению на запад от границ участка по ул. Центральная, 29</t>
  </si>
  <si>
    <t>Установка прибора учета для присоединения административного/офисного здания АО «Почты России», расположенного по адресу: Ростовская область, Красносулинский район, п. Тополёвый, пер. Пушкино, д. 9</t>
  </si>
  <si>
    <t>Установка прибора учета для присоединения административного/офисного здания АО «Почты России», расположенного по адресу: Ростовская область, Красносулинский район, х. Божковка, ул. Советская, д. 5.</t>
  </si>
  <si>
    <t>Установка прибора учета для присоединения административного/офисного здания АО «Почты России», расположенного по адресу: Ростовская область, Красносулинский район, х. Лихой, ул. Ленина, д. 64.</t>
  </si>
  <si>
    <t>Установка прибора учета для присоединения административного/офисного здания АО «Почты России», расположенного по адресу: Ростовская область, Красносулинский район, х. Садки, ул. Чистова, д. 11</t>
  </si>
  <si>
    <t>Установка прибора учета для присоединения офисного здания Главы К(Ф)Х Альшенко Александра Николаевича, расположенного по адресу: Ростовская область, Красносулинский район, х. Малая Гнилуша, кадастровый номер земельного участка: 61:18:0600013:970 (1шт.)</t>
  </si>
  <si>
    <t>Установка прибора учета для присоединения жилого дома Нарышкина Алексея Александровича, расположенного по адресу: Ростовская область, Красносулинский район, п. Пригородный, ул. Степная д.2, кадастровый номер земельного участка: 61:18:0110105:45 (1 шт.)</t>
  </si>
  <si>
    <t>Установка прибора учета для присоединения жилого дома Шмыкова Александра Николаевича расположенного по адресу: Ростовская область, г. Шахты, ул. Крупской д.8. (1 шт.)</t>
  </si>
  <si>
    <t>Установка прибора учета для присоединения торгового ларька Шумилина Бориса Афанасьевича, расположенного по адресу: Ростовская область, Красносулинский район,  х. Пролетарка, СПК "Русь", кадастровый номер земельного участка: 61:18:0600013:968 (1 шт.)</t>
  </si>
  <si>
    <t>Установка прибора учета для присоединения объекта малоэтажной жилой застройки Выштейн В.Н., расположенного по адресу: Ростовская область, Октябрьский р-н, х. Калинин с/т «Дон», уч. №173</t>
  </si>
  <si>
    <t>Установка прибора учета для присоединения нежилого помещения, расположенного по адресу: Ростовская область, Октябрьский р-н, сл. Красюковская, ул. Советская, д.14 (АО «Почта России»)</t>
  </si>
  <si>
    <t>Установка прибора учета для присоединения нежилого помещения, расположенного по адресу: Ростовская область, Октябрьский р-н, ст. Бессергеневская, ул. Советская, д.38, пом. №12,13,14,15 (АО «Почта России»)</t>
  </si>
  <si>
    <t>Установка прибора учета для присоединения нежилого помещения, расположенного по адресу: Ростовская область, Октябрьский р-н, х. Маркин, ул. Школьная, д. 52 (АО «Почта России»)</t>
  </si>
  <si>
    <t>Установка прибора учета для присоединения базовой станции, расположенной по адресу: Ростовская область, Октябрьский р-н, п.Заозерье, адресные ориентиры: примерно 26м по направлению на северо-запад от границы участка с к.н. 61:28:0050201:23 (ПАО «Ростелеком»)</t>
  </si>
  <si>
    <t>Установка прибора учета для присоединения объекта малоэтажной жилой застройки Авакяна А.В., расположенного по адресу: Ростовская область, Октябрьский р-н, х. Маркин, ул. Школьная, д. 28»</t>
  </si>
  <si>
    <t>Установка прибора учета для присоединения объекта малоэтажной жилой застройки Андреева А.В., расположенного по адресу: Ростовская область, Красносулинский р-н, с. Табунщиково, ул. Школьная, д. 25</t>
  </si>
  <si>
    <t>Установка прибора учета для присоединения объекта магазин ИП Денисенко М.Ю., расположенного по адресу: Ростовская область, Октябрьский р-н, п. Красногорняцкий, ул. Комарова, д. 25</t>
  </si>
  <si>
    <t>Установка прибора учета для присоединения объекта жилой дом Кандыба В.В., расположенного по адресу: Ростовская область, Октябрьский р-н, х. Калинин, ул. Центральная, д. 142а</t>
  </si>
  <si>
    <t>Установка прибора учета для присоединения объекта малоэтажной жилой застройки Мирошниченко Л.В., расположенного по адресу: Ростовская область, Октябрьский р-н, х. Яново-Грушевский, с/т «Электровозостроитель», уч. №87</t>
  </si>
  <si>
    <t>Установка прибора учета для присоединения объекта малоэтажной жилой застройки Османовой Б.К., расположенного по адресу: Ростовская область, Октябрьский р-н, с/т «Электровозостроитель», уч. №55/1</t>
  </si>
  <si>
    <t>Установка прибора учета для присоединения объекта жилой дом Приймак Г.А., расположенного по адресу: Ростовская область, Октябрьский р-н, х. Калинин, ул. Донская, д. 83г</t>
  </si>
  <si>
    <t>троительство ВЛИ 0,4 кВ от ВЛИ 0,4кВ КТП 228 ВЛ 10кВ Каныгин ПС 110/10 Ш37 для электроснабжения ВРУ-0.4кВ Объекта сельскохозяйственного производства Манаева Э.Ю. по адресу: Ростовская область, Усть-Донецкий район, х. Коныгин, примерно 1м на запад от земельного участка с КН 61:39:0600011:26, КН ЗУ 61:39:0600011:358 (ориентировочная протяженность ЛЭП – 0,075 км)</t>
  </si>
  <si>
    <t>Установка прибора учета для присоединения объекта малоэтажной жилой застройки Чубовскова А.А., расположенного по адресу: Ростовская область, р-н. Усть-Донецкий, ст-ца. Мелиховская, ул. Крючкова, д. 2б, КН ЗУ: 61:39:0020105:222</t>
  </si>
  <si>
    <t>Установка прибора учета для присоединения объекта крестьянско-фермерского хозяйства ИП Бахмадова А.Х, расположенного по адресу: Ростовская область, р-н. Усть-Донецкий, ст.Нижнекундрюченская, примерно в 1 км на северо-восток от ст. Нижнекундрюченской, КН ЗУ: 61:39:0600005:168</t>
  </si>
  <si>
    <t>Установка прибора учета для присоединения объекта ВРУ-0.4кВ малоэтажной жилой застройки Саркисян Э.В., расположенного по адресу: Ростовская область, Усть-Донецкий район, ст-ца. Раздорская, ул. Набережная, д. 30, корп. в, КН ЗУ: 61:39:0030101:880</t>
  </si>
  <si>
    <t>Установка прибора учета для присоединения объекта жилого дома Дворниковой И.А., расположенного по адресу: Ростовская область, р-н. Семикаракорский, ст-ца. Кочетовская, пер. Тупиковый 9-й, д. 4</t>
  </si>
  <si>
    <t>Установка прибора учета для присоединения объекта малоэтажной жилой застройки Дорофеева В.В., расположенного по адресу: Ростовская область, Усть-Донецкий район, х. Апаринский, ул. Дачная, д. 124, КН ЗУ: 61:39:0600009:522</t>
  </si>
  <si>
    <t>Установка прибора учета для присоединения объекта малоэтажной жилой застройки Куркова И.А., расположенного по адресу: Ростовская область, р-н. Усть-Донецкий, ст. Раздорская, ул. Калинина, д. 93 КН ЗУ: 61:39:0030102:447</t>
  </si>
  <si>
    <t>Установка прибора учета для присоединения объекта малоэтажной жилой застройки Пономаренко А.А., расположенного по адресу: Ростовская область, Усть-Донецкий район, п. Огиб, ул. Новая, д. 20, КН ЗУ: 61:39:0600005:225</t>
  </si>
  <si>
    <t>Установка прибора учета для присоединения объекта ВРУ-0,4 кВ жилого дома Яковенко П.А., расположенного по адресу: Ростовская область, р-н. Усть-Донецкий, х. Листопадов, ул. Садовая, д. 39</t>
  </si>
  <si>
    <t>Строительство ВЛИ-0,4 кВ от оп. №5 ВЛ-0,4 кВ №1 КТП №180 по ВЛ-10 Красюковка ПС 35 кВ Ш-39 для присоединения малоэтажной жилой застройки Ятчук Т.В. по адресу: Ростовская область, Октябрьский район, сл. Красюковская, ул. Агролесная, д.47 (ориентировочная протяженность ЛЭП 0,045 км)</t>
  </si>
  <si>
    <t>Установка прибора учета для присоединения объекта малоэтажная жилая застройка Бакайкина А.П., расположенного по адресу: Ростовская область, Октябрьский р-н, ст. Заплавская, ул. Северная, д. 5</t>
  </si>
  <si>
    <t>Установка прибора учета для присоединения объекта малоэтажная жилая застройка Богучарова В.Ю., расположенного по адресу: Ростовская область, Октябрьский р-н, х. Калинин, пер. Садовый, д.4Б</t>
  </si>
  <si>
    <t>Установка прибора учета для присоединения объекта малоэтажная жилая застройка Брездина В.Г., расположенного по адресу: Ростовская область, Октябрьский р-н, ст-ца. Кривянская, ул. Октябрьская, д. 23</t>
  </si>
  <si>
    <t>Установка прибора учета для присоединения объекта малоэтажная жилая застройка Грибова С.А., расположенного по адресу: Ростовская область, Октябрьский р-н, ст. Заплавская, ул. Виноградная, д. 48</t>
  </si>
  <si>
    <t>Установка прибора учета для присоединения объекта малоэтажная жилая застройка Черепахиной Н.А., расположенного по адресу: Ростовская область, Октябрьский р-н, ст. Заплавская, ул. Школьная, д. 8</t>
  </si>
  <si>
    <t>Установка прибора учета для присоединения объекта садовый дом Лысенко С.А., расположенного по адресу: Ростовская область, Октябрьский р-н, с/т «Электровозостроитель», уч. №71</t>
  </si>
  <si>
    <t>Установка прибора учета для присоединения объекта малоэтажная жилая застройка Борисовой О.М., расположенного по адресу: Ростовская область, Октябрьский р-н, с/т «Электровозостроитель», уч. №170</t>
  </si>
  <si>
    <t>Установка прибора учета для присоединения объекта малоэтажная жилая застройка Смышляковой А.А., расположенного по адресу: Ростовская область, Октябрьский р-н, х. Красный Кут, ул. Калинина, д. 19</t>
  </si>
  <si>
    <t>Установка прибора учета для присоединения объекта жилой дом Бурковой А.А., расположенного по адресу: Ростовская область, Октябрьский р-н, рп. Каменоломни, ул. Свердлова, д. 115</t>
  </si>
  <si>
    <t>Установка прибора коммерческого учёта электрической энергии, для присоединения жилого дома Кудиновой Н.Д., расположенного по адресу: Ростовская область, Тарасовский р-н, х. Каюковка, ул. Калинина, д.5, к.н. 61:37:0030501:221 (прибор учёта электроэнергии - 1шт)</t>
  </si>
  <si>
    <t>Обеспечение коммерческим учетом электрической энергиив точке поставки, по присоединению ВРУ-0,4 кВ жилого дома Конак А.А., расположенного по адресу: Ростовская область, Тацинский район, п. Быстрогорский, ул. Погудина, 53, К.Н.З.У. 61:38:0040141:10 (прибор учёта электроэнергии - 1шт).</t>
  </si>
  <si>
    <t>Обеспечение коммерческим учетом электрической энергии в точке поставки, по присоединению ВРУ-0,4 кВ жилого дома Банько А.П., расположенного по адресу: Ростовская область, Тацинский район, х. Зазерский, ул. Центральная, д. 33, КН ЗУ 61:38:09010160033 (прибор учёта электроэнергии - 1шт).</t>
  </si>
  <si>
    <t>Установка прибора коммерческого учёта электрической энергии для присоединения ВРУ-0,4 кВ базовой станции ПАО «Ростелеком», расположенной по адресу: Ростовская область, Обливский район, хутор Кривов (прибор учёта электроэнергии - 1шт.)</t>
  </si>
  <si>
    <t>Установка прибора коммерческого учёта электрической энергии, для присоединения ВРУ-0,4 кВ «базовая станция» ПАО «Ростелеком», расположенного по адресу: Ростовская область, Обливский район,  х. Караичев, к.н.з.у. 00:00:000000:00 (прибор учёта электроэнергии - 1шт.)</t>
  </si>
  <si>
    <t>Установка прибора коммерческого учёта электрической энергии,  для присоединения ВРУ-0,4 кВ «базовая станция» ПАО «Ростелеком», расположенного по адресу: Ростовская область, Обливский район, х. Нестеркин, к.н.з.у. 00:00:000000:00 (прибор учёта электроэнергии-1шт.)</t>
  </si>
  <si>
    <t>Установка прибора коммерческого учёта электрической энергии, для присоединения ВРУ-0,4 кВ маслоцеха  ИП Алексеенко А.Ю., расположенного по адресу: Ростовская область, Тацинский район, х. Качалин, примерно в 0,1 км на восток, к.н. 61:38:0600001:2 (прибор учёта электроэнергии - 1шт.)</t>
  </si>
  <si>
    <t>Установка прибора коммерческого учёта электрической энергии, для присоединения ВРУ-0,4 кВ склада Игнатовой Я.С., расположенного по адресу: Ростовская область, Тацинский район, п. Новосуховый, примерно в 0,27 км на северо-восток от ул. Административная, 8, к.н. 61:38:0600012:1571 (прибор учёта электроэнергии - 1шт.)</t>
  </si>
  <si>
    <t>Обеспечение коммерческим учетом электрической энергии  в точке поставки, по присоединению жилого жома Пономарева В.В., расположенного по адресу: Ростовская область, Морозовский район, х. Донской, ул. Донская, д. 46 к.н. 61:24:0080302:83(прибор учёта электроэнергии - 1шт)</t>
  </si>
  <si>
    <t>Установка прибора коммерческого учёта электрической энергии для присоединения жилого дома Романченко Д.В., расположенного по адресу: Ростовская область, Морозовский р-н, х. Скачки-Малюгин, д. 48, к.н. 61:24:0020601:150 (прибор учёта электроэнергии - 1шт)</t>
  </si>
  <si>
    <t>Установка прибора коммерческого учёта электрической энергии, для присоединения ВРУ-0,4 кВ жилого дома Кречетова П.В., расположенного по адресу: Ростовская область, Обливский район, хутор Машинский, улица Береговая, д. 14, к.н. 61:27:0020201:67(прибор учёта электроэнергии - 1шт.)</t>
  </si>
  <si>
    <t>Установка прибора коммерческого учёта электрической энергии, для присоединения ВРУ-0,4 кВ «жилой дом» Бондарева С.С., расположенного по адресу: Ростовская область, Обливский район, х. Алексеевский, ул. Новая, д. 10, к.н. 61:27:0020101:313 (прибор учёта электроэнергии - 1шт.)</t>
  </si>
  <si>
    <t>Обеспечение коммерческим учетом электрической энергии в точке поставки, по присоединению жилого дома Зарубина В.А., расположенного по адресу: Ростовская область, Советский район, с. Чистяково, ул. Гагарина, д.15, к.н. 61:36:0020101:229 (прибор учета электроэнергии – 1шт).</t>
  </si>
  <si>
    <t>Обеспечение коммерческим учетом электрической энергии в точке поставки, по присоединению жилого дома Пагосян Х.С., расположенного по адресу: Ростовская область, Советский район, ст. Советская, ул. Орджоникидзе, д. 31, к.н.з.у. 61:36:0010101:180(прибор учета электроэнергии – 1шт)</t>
  </si>
  <si>
    <t>Установка прибора коммерческого учёта электрической энергии  для присоединения жилого дома Артюковского А.В., расположенного по адресу: Ростовская область, Советский район, ст. Советская, ул. Кирова, д.76, к.н. 61:36:0010101:48 (прибор учета электроэнергии – 1шт)</t>
  </si>
  <si>
    <t>'Установка прибора коммерческого учёта электрической энергии для присоединения квартиры Попова В.В., расположенного по адресу: Ростовская область, Советский район, п. Малые Озера, ул. Озерная, д. 3, кв./оф. 1, к.н. 61:36:0030401:37(прибор учета электроэнергии – 1шт).</t>
  </si>
  <si>
    <t>Установка прибора коммерческого учёта электрической энергии, для присоединения строящегося жилого дома Кравченко М.А.., расположенного по адресу: Ростовская область, Белокалитвинский р-н, п. Сосны, ул. Зеленая, д. 7, к.н. 61:04:0150414:98 (прибор учёта электроэнергии - 1шт)</t>
  </si>
  <si>
    <t>Установка прибора коммерческого учёта электрической энергии, для присоединения строящегося жилого дома Шкондина Н.Г., расположенного по адресу: Ростовская область, Белокалитвинский р-н, п. Сосны, ул. Сиреневая,     д. 21, к.н. 61:04:0150404:149 (прибор учёта электроэнергии - 1шт)</t>
  </si>
  <si>
    <t>Установка прибора коммерческого учёта электрической энергии для присоединения жилого дома Коноваловой А.А., расположенного по адресу: Ростовская область, Милютинский район, х. Терновой, пер. Тенистый, д. № 6, к.н. 61:23:0030601:18 (прибор учёта электроэнергии - 1шт).</t>
  </si>
  <si>
    <t>Установка прибора коммерческого учёта электрической энергии, для присоединения ВРУ-0,4 кВ гаража Жиговца В.Б., расположенного по адресу: Ростовская область, Милютинский район, х. Орлов, в 200 м юго-восточнее х. Орлов, к.н. 61:23:0600015:430 (прибор учёта электроэнергии 15 кВт - 1шт.)</t>
  </si>
  <si>
    <t>Установка прибора коммерческого учёта электрической энергии, для присоединения ВРУ-0,4 кВ жилого дома Чернушкина С.Н., расположенного по адресу: Ростовская обл., Милютинский р-н,   х. Семёновка, ул. Сибирская, д. 20, к.н.з.у. 61:23:0020801:40 (прибор учёта электроэнергии 15 кВт - 1шт.)</t>
  </si>
  <si>
    <t>Установка прибора коммерческого учёта электрической энергии, для присоединения ВРУ-0,4 кВ квартиры Замаевской О.В., расположенной по адресу: Ростовская область, Милютинский р-н, п. Полесье, ул. Сосновая, д. 2, кв.2, к.н. 61:23:0080301:147 (прибор учёта электроэнергии - 1шт)</t>
  </si>
  <si>
    <t>Установка прибора коммерческого учёта электрической энергии, для присоединения ВРУ-0,4 кВ жилого дома Симикина С.В., расположенного по адресу: Ростовская область, Обливский район, х. Лобачев,  ул. Магистральная, д. 19, к.н. 61:27:0070301:105 (прибор учёта электроэнергии - 1шт.)</t>
  </si>
  <si>
    <t>Установка прибора коммерческого учёта электрической энергии, для присоединения ВРУ-0,4 кВ «квартира» Черничкина Е.В., расположенного по адресу: Ростовская область, Обливский район, поселок Каштановский, переулок Вишневый, д. 2, кв.1 к.н. 61:27:0030101:1127 (прибор учёта электроэнергии - 1шт.)</t>
  </si>
  <si>
    <t>Установка прибора коммерческого учёта электрической энергии, для присоединения ВРУ-0,4 кВ «базовая станция» ПАО «Ростелеком», расположенного по адресу: Ростовская область, Обливский район,   п. Сосновый, к.н.з.у. 00:00:000000:00 (прибор учёта электроэнергии - 1шт.)</t>
  </si>
  <si>
    <t>Обеспечение коммерческим учетом электрической энергии в точке поставки, по присоединению освещения общественной территории Муниципального образования «Митякинское сельское поселение», расположенного по адресу: Ростовская область, Тарасовский район, ст. Митякинская, ул. Дюбина, д. 96, к.н. 61:37:0100101:1359 (прибор учёта электроэнергии - 1шт)</t>
  </si>
  <si>
    <t>Обеспечение коммерческим учетом электрической энергии в точке поставки, по присоединению жилого дома Пивоваровой Г.Н., расположенного по адресу: Ростовская область, Тарасовский район, сл. Колушкино, ул. Советская, д. 36, к.н. 61:37:090101:0035 (прибор учёта электроэнергии - 1шт)</t>
  </si>
  <si>
    <t>Установка прибора коммерческого учёта электрической энергии для присоединения жилого дома Талалаевой Т.Н., расположенного по адресу: Ростовская область, Тарасовский район,  х. Дубы, ул. Речная, д. 17, к.н. 61:37:0100201:474 (прибор учёта электроэнергии - 1шт).</t>
  </si>
  <si>
    <t>Обеспечение коммерческим учетом электрической энергии в точке поставки, по присоединению жилого дома Мирнова В.А., расположенного по адресу: Ростовская область, Тарасовский район, сл. Ефремово-Степановка, ул. Ленина, д. 25, к.н. 61:37:0080101:7(прибор учета электроэнергии – 1шт)</t>
  </si>
  <si>
    <t>Установка прибора коммерческого учёта электрической энергии для присоединения жилого дома Хохлова А.С., расположенного по адресу: Ростовская область, Тарасовский район,  х. Васильевка, ул. Вишневая, д. 14, к.н. 61:37:0030301:92 (прибор учета электроэнергии – 1шт).</t>
  </si>
  <si>
    <t>Установка прибора коммерческого учёта электрической энергии  для присоединения зерносклада ИП главы К(Ф)Х Артюшенко С.П., расположенного по адресу: Ростовская область, Тарасовский район,  х. Дубы, к.н. 61:37:0600019:1260 (прибор учета электроэнергии- 1шт)</t>
  </si>
  <si>
    <t>Установка прибора коммерческого учёта электрической энергии, для присоединения строящегося складского помещения ООО «Лето», расположенного по адресу: Ростовская область, Тарасовский р-н,х. Мокроталовка, к.н. 61:37:0600012:1909 (прибор учёта электроэнергии - 1шт)</t>
  </si>
  <si>
    <t>Установка прибора коммерческого учёта электрической энергии, для присоединения жилого дома Яковлева М.В., расположенного по адресу: Ростовская область, Белокалитвинский р-н, х. Западный, ул. Садовая, д. 26, к.н. 61:04:0080301:73, (прибор учёта электроэнергии 15 кВт - 1шт)</t>
  </si>
  <si>
    <t>Установка прибора коммерческого учёта электрической энергии, для присоединения жилого дома Рябова В.Н., расположенного по адресу: Ростовская область, Белокалитвинский р-н, х. Ильинка, ул. Советская, д. 10, к.н. 61:04:0140107:218 (прибор учёта электроэнергии - 1шт)</t>
  </si>
  <si>
    <t>Установка прибора коммерческого учёта электрической энергии, для присоединения магазина Репкина М.П., расположенного по адресу: Ростовская область, Белокалитвинский р-н, ст. Краснодонецкая, ул. Центральная, д. 32, к.н. 61:04:0080105:90 (прибор учёта электроэнергии - 1шт)</t>
  </si>
  <si>
    <t>Установка прибора коммерческого учёта электрической энергии, для присоединения строящегося жилого дома Парамоновой Т.Г., расположенного по адресу: Ростовская область, Белокалитвинский р-н, п. Сосны, ул. Зеленая, д. 37, к.н. 61:04:0150413:265 (прибор учёта электроэнергии - 1шт)</t>
  </si>
  <si>
    <t>Установка прибора коммерческого учёта электрической энергии, для присоединения административного/офисного здания «Противопожарная служба Ростовской области» в лице начальника Кравцова В.В., расположенного по адресу: Ростовская область, Белокалитвинский район, ст. Краснодонецкая, ул. Екатериновская, д. 3 б, к.н. 61:04:0080103:505 (прибор учёта электроэнергии - 1шт)</t>
  </si>
  <si>
    <t>Установка прибора коммерческого учёта электрической энергии, для присоединения жилого дома Мельниковой Е.В., расположенного по адресу: Ростовская область, Белокалитвинский р-н, ст. Краснодонецкая, пер. Зеленый, д. 20, к.н. 61:04:0080104:157 (прибор учёта электроэнергии - 1шт)</t>
  </si>
  <si>
    <t>Установка прибора коммерческого учёта электрической энергии, для присоединения жилого дома Пузанова А.В., расположенного по адресу: Ростовская область, Белокалитвинский р-н, х. Поцелуев, ул. Газодобытчиков, д. 15, к.н. 61:04:0050104:57 (прибор учёта электроэнергии - 1шт)</t>
  </si>
  <si>
    <t>Установка прибора коммерческого учёта электрической энергии, для присоединения жилого дома Синицкого А.В., расположенного по адресу: Ростовская область, Белокалитвинский р-н, х. Головка, ул. Центральная, д. 35, к.н. 61:04:0090101:102 (прибор учёта электроэнергии - 1шт)</t>
  </si>
  <si>
    <t>Установка прибора коммерческого учёта электрической энергии, для присоединения нежилого здания Минихматова С.С., расположенного по адресу: Ростовская область, Белокалитвинский р-н, п. Сосны, ул. Центральная, д. 80 а, к.н. 61:04:0150416:762 (прибор учёта электроэнергии - 1шт)</t>
  </si>
  <si>
    <t>Установка прибора коммерческого учёта электрической энергии, для присоединения строящегося жилого дома Венглярского А.С., расположенного по адресу: Ростовская область, Белокалитвинский р-н, п. Сосны, ул. Зеленая, д. 5, к.н. 61:04:0150414:100 (прибор учёта электроэнергии - 1шт)</t>
  </si>
  <si>
    <t>Установка прибора коммерческого учёта электрической энергии, для присоединения ВРУ-0,4 кВ жилого дома Магницкого И.Л., расположенного по адресу: Ростовская обл., Милютинский р-н, х. Николовка, ул. Торговая, д. 1, к.н.з.у. 61:23:0040301:143 (прибор учёта электроэнергии - 1шт)</t>
  </si>
  <si>
    <t>Установка прибора коммерческого учёта электрической энергии, для присоединения ВРУ-0,4 кВ Административного здания №2 Куфты Н.Ю., расположенного по адресу: Ростовская обл., Милютинский    р-н, х. Николовка, ул. Центральная, д. 9, к.н.з.у. 61:23:0040301:656 (прибор учёта электроэнергии - 1шт.)</t>
  </si>
  <si>
    <t>Установка прибора коммерческого учёта электрической энергии, для присоединения ВРУ-0,4 кВ квартиры Марченко А.И., расположенного по адресу: Ростовская область, Милютинский р-н, х. Решетников, ул. Речная, д. 6, к.н. 61:23:0020301:40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</si>
  <si>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Милютинский р-н, х. Николовка, ул. Торговая, д. 21 А, местоположение широта 48.680042, долгота 41.423489, к.н. 61:23:0040301 (прибор учёта электроэнергии - 1шт.)</t>
  </si>
  <si>
    <t>Установка прибора коммерческого учёта электрической энергии, для присоединения объекта для производства сельскохозяйственной продукции Кнышова И.И., расположенного по адресу: Ростовская обл., Милютинский р-н, х. Нижнепетровский, ул. Промышленная, д. 9, к.н.з.у. 61:23:0020901:532 (прибор учёта электроэнергии - 1шт)</t>
  </si>
  <si>
    <t>Установка прибора коммерческого учёта электрической энергии, для подключения ВРУ-0,4 кВ Базовой станции ПАО «Ростелеком», расположенной по адресу: Ростовская область, Милютинский район,  х. Нижнепетровский, ул. Мира, д. 3 А, местоположение широта 48.735023, долгота 41.546571, к.н. 61:23:0020901 (прибор учёта электроэнергии - 1шт)</t>
  </si>
  <si>
    <t>Установка прибора коммерческого учёта электрической энергии,  для присоединения жилого дома Дейнекина Д.А., расположенного по адресу: Ростовская обл., Милютинский р-н, х. Верхнепетровский, ул. Фатеева, д. 1, к.н.з.у. 61:23:0020701:245 (прибор учёта электроэнергии - 1шт)</t>
  </si>
  <si>
    <t>Установка прибора коммерческого учёта электрической энергии,для присоединения жилого дома Багаевой Е.А. расположенной по адресу: Ростовская обл., Милютинский р-н, сл. Маньково-Берёзовская, ул. Рожок, д. 7, к.н.з.у. 61:23:0020501:273 (прибор учёта электроэнергии - 1шт)</t>
  </si>
  <si>
    <t>Установка прибора коммерческого учёта электрической энергии, для присоединения жилого дома Борисенко Т.А., расположенного по адресу: Ростовская обл., Милютинский р-н, ст. Селивановская, ул. Садовая, д.12, к.н.з.у. 61:23:0080101:454 (прибор учёта электроэнергии - 1шт)</t>
  </si>
  <si>
    <t>Установка прибора коммерческого учёта электрической энергии, для присоединения жилого дома Незнамовой О.Ю., расположенного по адресу: Ростовская обл., Милютинский р-н, п. Светоч, ул. Южная, д.13/2, к.н.з.у. 61:23:0070101:37 (прибор учёта электроэнергии - 1шт)</t>
  </si>
  <si>
    <t>Установка прибора коммерческого учёта электрической энергии, для присоединения жилого дома Рельке В.В., расположенного по адресу: Ростовская обл., Милютинский р-н, х. Севостьянов, ул. Россошанская, д. 52, к.н.з.у. (прибор учёта электроэнергии - 1шт)</t>
  </si>
  <si>
    <t>Обеспечение коммерческим учетом электрической энергии в точке поставки, по присоединению жилого дома Павленко Е.В., расположенного по адресу: Ростовская область, Морозовский р-н, х. Новопроциков, ул. Речная,  д. 22, к.н. 61:24:0020301:131 (прибор учёта электроэнергии - 1шт).</t>
  </si>
  <si>
    <t>Установка прибора коммерческого учёта электрической энергии  для присоединения жилого дома Остривного А.А., расположенного по адресу: Ростовская область, Морозовский р-н,  х. Беляев, ул. Степная, д. 31, к.н. 61:24:0070105:44 (прибор учёта электроэнергии - 1шт)</t>
  </si>
  <si>
    <t>Установка прибора коммерческого учёта электрической энергии, для присоединения жилого дома Малаховой Н.Г., расположенного по адресу: Ростовская область, Морозовский р-н, х. Покровский, ул. Покровская, д. 49, к.н. 61:24:080501:0135 (прибор учёта электроэнергии - 1шт)</t>
  </si>
  <si>
    <t>Установка прибора коммерческого учёта электрической энергии, для присоединения складского здания ИП Борка Д.Д., расположенного по адресу: Ростовская область, Морозовский р-н, х. Вознесенский, ул. Школьная, д. 1 е, к.н. 61:24:0600006:293 (прибор учёта электроэнергии 15 кВт - 1шт)</t>
  </si>
  <si>
    <t>Установка прибора коммерческого учёта электрической энергии, для присоединения жилого дома Латышевой Т.Я., расположенного по адресу: Ростовская область, Морозовский р-н, х. Грузинов, ул. Абрикосовая, д. 23, к.н. 61:24:0050306:120 (прибор учёта электроэнергии - 1шт.)</t>
  </si>
  <si>
    <t>Установка прибора коммерческого учёта электрической энергии, для присоединения жилого дома Узаировой М.И., расположенного по адресу: Ростовская область, Морозовский р-н, х. Сибирьки, ул. Большая Садовая, д. 46, к.н. 61:24:0060601:179 (прибор учёта электроэнергии - 1шт.).</t>
  </si>
  <si>
    <t>Установка прибора коммерческого учёта электрической энергии, для присоединения здания фермы ООО «Ермак», расположенного по адресу: Ростовская область, Морозовский р-н, п. Табунный, д. 47, к.н. 61:24:0090301:117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</si>
  <si>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Беляев,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</si>
  <si>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жилого дома Золотовской М.В., расположенного по адресу: Ростовская область, Обливский район, хутор Рябовский, улица Сосновая, дом 44, к.н. 61:27:0070201:211 (прибор учёта электроэнергии 15 кВт - 1шт)</t>
  </si>
  <si>
    <t>Установка прибора коммерческого учёта электрической энергии, для присоединения жилого дома Обуховой Н.В., расположенного по адресу: Ростовская область, Обливский р-н, п. Средний Чир, пер. Куйбышева, д. 8, кв./оф. 2, к.н.з.у. 61:27:070602:0134 (прибор учёта электроэнергии 15 кВт - 1шт)</t>
  </si>
  <si>
    <t>Установка прибора коммерческого учёта электрической энергии, для присоединения жилого дома Бирюковой Оксаны Сергеевны расположенного по адресу: Ростовская область, Обливский район, хутор Ковыленский, улица Лазоревая, дом 9, к.н. 61:27:0071101:17 (прибор учёта электроэнергии - 1шт)</t>
  </si>
  <si>
    <t>Установка прибора коммерческого учёта электрической энергии, для присоединения жилого дома Былич А.С., расположенного по адресу: Ростовская область, Обливский район, хутор Караичев, улица Солнечная, дом 3, к.н. 61:27:0040104:71 (прибор учёта электроэнергии - 1шт)</t>
  </si>
  <si>
    <t>Установка прибора коммерческого учёта электрической энергии, для присоединения жилого дома Еременко А.В., расположенного по адресу: Ростовская область, Обливский район, хутор Сеньшин, улица Березовая, дом 57, к.н. 61:27:0000000:1575 (прибор учёта электроэнергии - 1шт)</t>
  </si>
  <si>
    <t>Установка прибора коммерческого учёта электрической энергии, для присоединения жилого дома Мариева С.А., расположенного по адресу: Ростовская область, Обливский район, хутор Караичев, улица Солнечная, дом 5, к.н. 61:27:0040104:85 (прибор учёта электроэнергии - 1шт)</t>
  </si>
  <si>
    <t>Установка прибора коммерческого учёта электрической энергии, для присоединения ВРУ-0,4 кВ «модульное здание фельдшерско-акушерского пункта» Муниципального бюджетного учреждения здравохранения «Центральная районная больница» Обливского района Ростовской области, расположенного по адресу: Ростовская область, Обливский район, поселок Сосновый, улица Молодежная, дом 1а, к.н. 61:27:0040401:946 (прибор учёта электроэнергии - 1шт.)</t>
  </si>
  <si>
    <t>Установка прибора коммерческого учёта электрической энергии, для присоединения ВРУ-0,4 кВ жилого дома Орловой Е.А., расположенного по адресу: Ростовская область, Обливский район, поселок Сосновый, улица Жуланова, д. 23, к.н. 61:27:0040401:249(прибор учёта электроэнергии - 1шт.).</t>
  </si>
  <si>
    <t>Установка прибора коммерческого учёта электрической энергии для присоединения жилого дома Попова В.В., расположенного по адресу: Ростовская область, Советский район, ст. Советская, ул. 40 лет Октября, д.21 к.н. 61:36:0010101:351 (прибор учета электроэнергии – 1шт)</t>
  </si>
  <si>
    <t>Установка прибора коммерческого учёта электрической энергии, для присоединения квартиры Псёл Виктор Иванович, расположенного по адресу: Ростовская область, Советский р-н, п. Чирский, ул. Садовая, д. 16, кв./оф.2, к.н. 61:36:0030101:247 (прибор учёта электроэнергии - 1шт)</t>
  </si>
  <si>
    <t>Установка прибора коммерческого учёта электрической энергии, для присоединения жилого дома Лысенко Сергея Ивановича, расположенного по адресу: Ростовская область, Советский  р-н, слобода Петрово, ул. Любимая, д. 19, к.н. 61:36:0040301:177 (прибор учёта электроэнергии - 1шт)</t>
  </si>
  <si>
    <t>Установка прибора коммерческого учёта электрической энергии, для присоединения жилого дома Картушин А.В., расположенного по адресу: Ростовская область, Советский р-н, ст. Советская, ул. Ю.Горева, д. 26, к.н. 61:36:0010101:603 (прибор учёта электроэнергии - 1шт)</t>
  </si>
  <si>
    <t>Установка прибора коммерческого учёта электрической энергии, для присоединения жилого дома Чекункова С.М., расположенного по адресу: Ростовская область, Советский р-н, слобода Чистяково, ул. Гагарина, д. 27, к.н. 61:36:0020101:1352 (прибор учёта электроэнергии - 1шт)</t>
  </si>
  <si>
    <t>Установка прибора коммерческого учёта электрической энергии, для присоединения жилого дома Нордгеймер Т.Б., расположенного по адресу: Ростовская область, Тарасовский р-н, х. Дубы, ул. Центральная, д. № 62, к.н.з.у. 61:37:0100201:238 (прибор учёта электроэнергии 15 кВт - 1шт)</t>
  </si>
  <si>
    <t>Установка прибора коммерческого учёта электрической энергии, для присоединения ВРУ-0,4 кВ жилого дома Близнюковой Л.В., расположенного по адресу: Ростовская область, Тацинский район, х. Пролетарский ул. Песчаная, д. 23, к.н. 61:38:061001:0075 (прибор учёта электроэнергии - 1шт.)</t>
  </si>
  <si>
    <t>Установка прибора коммерческого учёта электрической энергии, для присоединения ВРУ-0,4 кВ строящегося здания ИП Солошенко С.Ф., расположенного по адресу: Ростовская область, Тацинский район, ст. Тацинская, примерно в 150 м на юг от ул. Ковалева, д. 18, к.н. 61:38:0600009:1358 (прибор учёта электроэнергии - 1шт.)</t>
  </si>
  <si>
    <t>Установка прибора коммерческого учёта электрической энергии, для присоединения ВРУ-0,4 кВ уличного освещения автодороги А-280 (М-21) км 271+226-км 272+000, расположенного по адресу: Ростовская область, Тацинский район, х. Михайлов, автодорога А-280 (М-21) км 271+226-км 272+000, к.н.отсутствует  (прибор учёта электроэнергии - 1шт.)</t>
  </si>
  <si>
    <t>Установка прибора коммерческого учёта электрической энергии, для присоединения ВРУ-0,4 кВ жилого дома Дудниковой И.П., расположенного по адресу: Ростовская область, Тацинский район, х. Качалин, ул. Харченко, д. 25, кв. 1, к.н. 61:38:0070501:16. (прибор учёта электроэнергии - 1шт.)</t>
  </si>
  <si>
    <t>Установка прибора коммерческого учёта электрической энергии, для присоединения ВРУ-0,4 кВ жилого дома Птицына М.В., расположенного по адресу: Ростовская область, Тацинский район, х. Новороссошанский, ул. Молодёжная, д. 79, к.н. 61:38:0080401:1(прибор учёта электроэнергии - 1шт.)</t>
  </si>
  <si>
    <t>Установка прибора коммерческого учёта электрической энергии, для присоединения жилого дома Агеева С.А., расположенного по адресу: Ростовская область, Тацинский район, х. Крюков, ул. Школьная, д. 21, к.н. 61:38:0060701:38 (прибор учёта электроэнергии - 1шт.)</t>
  </si>
  <si>
    <t>Установка прибора коммерческого учёта электрической энергии, для присоединения жилого дома Резниковой Л.Г., расположенного по адресу: Ростовская область, Тацинский район, п. Новосуховый, ул. Клубная, д. 8, к.н. 61:38:100101:0016. (прибор учёта электроэнергии - 1шт.)</t>
  </si>
  <si>
    <t>Установка прибора коммерческого учёта электрической энергии, для присоединения строящегося здания ИП Ткачук Г.Ф., расположенного по адресу: Ростовская область, Тацинский район, п. Быстрогорский, пер. Кооперативный, д. 20, к.н. 61:38:0600008:1699 (прибор учёта электроэнергии - 1шт.)</t>
  </si>
  <si>
    <t>Установка прибора коммерческого учёта электрической энергии для присоединения ВРУ-0,4 кВ базовой станции сотовой связи Ростовского филиала ПАО «Ростелеком», расположенной по адресу: Ростовская область, Тацинский район, х. Араканцев, к.н. 61:38:0090201. (прибор учёта электроэнергии - 1шт.)</t>
  </si>
  <si>
    <t>Установка прибора коммерческого учёта электрической энергии, для присоединения ВРУ-0,4 кВ жилого дома Калашникова А.Н., расположенного по адресу: Ростовская область, Тацинский район, х. Верхнеобливский, пер. Веселый, д. 7, к.н. 61:38:0070101:242 (прибор учёта электроэнергии - 1шт.)</t>
  </si>
  <si>
    <t>Установка прибора коммерческого учёта электрической энергии, для присоединения ВРУ-0,4 кВ жилого дома Кибенко А.Н., расположенного по адресу: Ростовская область, Тацинский район, п. Быстрогорский, ул. Социалистическая, д. 29, к.н. 61:38:0040114:53. (прибор учёта электроэнергии - 1шт.)</t>
  </si>
  <si>
    <t>Установка прибора коммерческого учёта электрической энергии, для присоединения ВРУ-0,4 кВ нежилого здания Мищенко А.Н., расположенного по адресу: Ростовская область, Тацинский район, х. Качалин, примерно в 2,3 км по направлению на запад, к.н. 00:00:0000:000. (прибор учёта электроэнергии - 1шт.)</t>
  </si>
  <si>
    <t>Установка прибора коммерческого учёта электрической энергии, для присоединения ВРУ-0,4 кВ базовой станции сотовой связи Ростовского филиала ПАО «Ростелеком», расположенной по адресу: Ростовская область, Тацинский район, х. Качалин, к.н. 61:38:0070501.(прибор учёта электроэнергии - 1шт.)</t>
  </si>
  <si>
    <t>Установка прибора коммерческого учёта электрической энергии, для присоединения ВРУ-0,4 кВ базовой станции сотовой связи Ростовского филиала ПАО «Ростелеком», расположенной по адресу: Ростовская область, Тацинский район, х. Луговой, ул. Мира, д.2, к.н. 61:38:0110401 (прибор учёта электроэнергии - 1шт.)</t>
  </si>
  <si>
    <t>Установка прибора коммерческого учёта электрической энергии, для присоединения ВРУ-0,4 кВ здания магазина ООО «Адамас», расположенного по адресу: Ростовская область, Тацинский район, х. Михайлов, ул. Ленина, д. 128, к.н. 61:38:030122:0028 (прибор учёта электроэнергии - 1шт.)</t>
  </si>
  <si>
    <t>Установка прибора коммерческого учёта электрической энергии, для присоединения жилого дома Шмариной Т.В., расположенного по адресу: Ростовская область, Каменский район, х. Старая Станица,  ул. Восточная, д. № 13, к.н.з.у. 61:15:030105:445  (прибор учёта электроэнергии - 1шт.)</t>
  </si>
  <si>
    <t>Установка прибора коммерческого учёта электрической энергии, для присоединения жилого дома Яцковой Е.В., расположенного по адресу: Ростовская область, Каменский район, х. Старая Станица, пер. Молодежный, д. № 70, корп. А, к.н. 61:15:0130104:186 (прибор учёта электроэнергии - 1шт.)</t>
  </si>
  <si>
    <t>Установка прибора коммерческого учёта электрической энергии, для присоединения жилого дома Сапельникова В.А., расположенного по адресу: Ростовская обл., Каменский р-н, х. Астахов, пер. Шолохова, д. 1, корп. А, к.н.з.у. 61:15:0020201:13 (прибор учёта электроэнергии - 1шт)</t>
  </si>
  <si>
    <t>Установка прибора коммерческого учёта электрической энергии, для присоединения жилого дома Дорошевой Татьяны Алексеевны, расположенного по адресу: Ростовская область, Каменский район,   х. Волченский, ул. Садовая, дом № 86, к.н.з.у. 61:15:0040101:381 (прибор учёта электроэнергии - 1шт.)</t>
  </si>
  <si>
    <t>Установка прибора коммерческого учёта электрической энергии, для присоединения жилого дома Чернышовой А.С., расположенного по адресу: Ростовская область, Каменский район, х. Старая Станица,  ул. Еланская, д. 27, к.н. 61:15:0130101:2835 (прибор учёта электроэнергии - 1шт)</t>
  </si>
  <si>
    <t>Установка прибора коммерческого учёта электрической энергии, для присоединения жилого дома Ярцева А.А., расположенного по адресу: Ростовская  область,  Каменский район,  х. Старая Станица,  ул.  Гагарина,  дом № 9, к.н.з.у. 61:15:0130101:736 (прибор учёта электроэнергии  - 1шт.)</t>
  </si>
  <si>
    <t>Обеспечение коммерческим учетом электрической энергии  в точке поставки, по присоединению жилого дома Харламовой Н.Г., расположенного по адресу: Ростовская область, Тарасовский район,  х. Васильевка, ул. Лесная, д. 3, к.н. 61:37:0030301:103 (прибор учета электроэнергии – 1шт).</t>
  </si>
  <si>
    <t>Установка прибора коммерческого учёта электрической энергии, для присоединения жилого дома Ванеева А.Е., расположенного по адресу: Ростовская область, Тарасовский р-н, х. Васильевка, ул. Вишневая, д. 8, к.н. 61:37:0030301:85 (прибор учёта электроэнергии - 1шт)</t>
  </si>
  <si>
    <t>Установка прибора коммерческого учёта электрической энергии, для присоединения ВРУ-0,4 кВ «квартира» Олейниковой Л.А., расположенного по адресу: Ростовская область, Обливский район, хутор Солонецкий, улица 40 лет Победы, дом 12 кв.2 к.н. 61:27:0060102:276 (прибор учёта электроэнергии - 1шт.).</t>
  </si>
  <si>
    <t>Установка прибора коммерческого учёта электрической энергии, для присоединения ВРУ-0,4кВ «квартира» Татарова Д.Н., расположенного по адресу: Ростовская область, Обливский район, поселок Каштановский, улица Школьная, дом 1, кв.2, к.н. 61:27:030101:0011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</si>
  <si>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Общий, кадастровый номер земельного участка: 00:00:000000:00 (прибор учёта электроэнергии - 1шт.)</t>
  </si>
  <si>
    <t>Обеспечение коммерческим учетом электрической энергии  в точке поставки, по присоединению жилого дома Помазкова В.И., расположенного по адресу: Ростовская область, Белокалитвинский район, х. Грушевка, ул. Учительская, д. № 24, к.н. 61:04:0110102:134 (прибор учета электроэнергии – 1шт)</t>
  </si>
  <si>
    <t>Установка прибора коммерческого учёта электрической энергии, для присоединения жилого помещения Ярыгиной А.С., расположенного по адресу: Ростовская область, Белокалитвинский р-н, х. Крутинский, пер. Овражный, д. 2, к.н. 61:04:0130102:289, (прибор учёта электроэнергии 15 кВт - 1шт)</t>
  </si>
  <si>
    <t>Установка прибора коммерческого учёта электрической энергии, для присоединения жилого дома Рубашкина А.Ф., расположенного по адресу: Ростовская область, Белокалитвинский р-н, с. Литвиновка, ул. Центральная, д. 103., к.н. 61:04:0060109:113,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</si>
  <si>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расположенного по адресу: Ростовская область, Белокалитвинский р-н, х. Марьевка, пер. Ленина, д. 1, к.н.з.у. 00:00:000000:000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</si>
  <si>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расположенного по адресу: Ростовская область, Белокалитвинский р-н, х. Насонтов, ул. Центральная, д. 1, к.н.з.у. 00:00:000000:000 (прибор учёта электроэнергии - 1шт)</t>
  </si>
  <si>
    <t>Установка прибора коммерческого учёта электрической энергии, для жилого дома Костюченко Н.Ф., расположенного по адресу: Ростовская область, Белокалитвинский р-н, х. Ильинка, ул, Новая, д. 6, к.н. 61:04:0140107:91 (прибор учёта электроэнергии - 1шт)</t>
  </si>
  <si>
    <t>Установка прибора коммерческого учёта электрической энергии, для жилого дома Курилкиной Н.И., расположенного по адресу: Ростовская область, Белокалитвинский р-н, х. Поцелуев, ул, Есенина, д. 19, кв.1, к.н. 61:04:0060102:214 (прибор учёта электроэнергии - 1шт)</t>
  </si>
  <si>
    <t>Установка прибора коммерческого учёта электрической энергии, для жилого дома Свинарёвой Н.М., расположенного по адресу: Ростовская область, Белокалитвинский р-н, х. Ленина, ул. Набережная, д. 9, к.н. 61:04:100113:94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</si>
  <si>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 Белокалитвинский р-н, х. Головка.  к.н.з.у. 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</si>
  <si>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 Белокалитвинский р-н, х. Семимаячный.  к.н.з.у 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</si>
  <si>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 Белокалитвинский р-н, х. Чернышев.  к.н.з.у. 00:00:00000:000 (прибор учёта электроэнергии - 1шт)</t>
  </si>
  <si>
    <t>Установка прибора коммерческого учёта электрической энергии, для присоединения жилого дома Лариной Л.Н., расположенного по адресу: Ростовская область, Морозовский р-н, п. Знаменка, ул. Безменова, д. 36, к.н. 61:24:0090102:5 (прибор учёта электроэнергии - 1шт.)</t>
  </si>
  <si>
    <t>Установка прибора коммерческого учёта электрической энергии, для присоединения жилого дома Львовой Н.Б., расположенного по адресу: Ростовская область, Морозовский р-н, х. Беляев, ул. Чумакова, 13, к.н. 61:24:0070106:32 (прибор учёта электроэнергии - 1шт.)</t>
  </si>
  <si>
    <t>Установка прибора коммерческого учёта электрической энергии, для присоединения жилого дома Маковникова В.В., расположенного по адресу: Ростовская область, Морозовский р-н, х. Вознесенский, ул. Заречная, д. 32, к.н. 00:00:000000:00 (прибор учёта электроэнергии - 1шт.)</t>
  </si>
  <si>
    <t>Установка прибора коммерческого учёта электрической энергии, для присоединения жилого дома Неменова В.В., расположенного по адресу: Ростовская область, Морозовский р-н, х. Грузинов, ул. Центральная, д. 102, к.н. 61:24:0050302:32 (прибор учёта электроэнергии - 1шт.)</t>
  </si>
  <si>
    <t>Установка прибора коммерческого учёта электрической энергии, для присоединения жилого дома Сарипова Ю.У., расположенного по адресу: Ростовская область, Морозовский р-н, х. Чекалов, ул. Молодежная, д 25, к.н. 61:24:070505:0017 (прибор учёта электроэнергии - 1шт.)</t>
  </si>
  <si>
    <t>Установка прибора коммерческого учёта электрической энергии, для присоединения жилого дома Ляпуновой Н.С., расположенного по адресу: Ростовская область, Морозовский р-н, х. Грузинов, пер. Сиреневый, д. 2, к.н. 61:24:0050308:61 (прибор учёта электроэнергии - 1шт.)</t>
  </si>
  <si>
    <t>Установка прибора коммерческого учёта электрической энергии, для присоединения жилого дома Усагалиева А.С., расположенного по адресу: Ростовская область, Морозовский р-н, х п. Комсомольский, ул. Мира, д. 34, кадастровый номер земельного участка: 61:24:0040508:28 (прибор учёта электроэнергии - 1шт.)</t>
  </si>
  <si>
    <t>Установка прибора коммерческого учёта электрической энергии, для присоединения квартиры Пшеничниковой Л.В., расположенной по адресу: Ростовская область, Морозовский р-н, х. Костино-Быстрянский,  ул. Первомайская, д. 1, кв. 1, к.н. 61:24:020107:0056 (прибор учёта электроэнергии - 1шт.)</t>
  </si>
  <si>
    <t>Установка прибора коммерческого учёта электрической энергии, для присоединения жилого дома Пашалиева М., расположенного по адресу: Ростовская область, Морозовский р-н, х. Сибирьки, ул. Большая Садовая, д. 40, кадастровый номер земельного участка: 61:24:0060601:186 (прибор учёта электроэнергии - 1шт.)</t>
  </si>
  <si>
    <t>Установка прибора коммерческого учёта электрической энергии, для присоединения нежилого здания (склада) Святогорова А.В., расположенного по адресу: Ростовская область, Морозовский р-н, 65 метров на запад от ул. Центральная, 114, к.н. 61:24:0600013:522 (прибор учёта электроэнергии - 1шт.)</t>
  </si>
  <si>
    <t>Установка прибора коммерческого учёта электрической энергии, для присоединения конторы ИП Алеткиной А.В., расположенного по адресу: Ростовская область, Морозовский р-н, х. Трофименков, ул. Садовая, д. 12, кадастровый номер земельного участка: 61:24:0020501:173 (прибор учёта электроэнергии - 1шт.)</t>
  </si>
  <si>
    <t>Установка прибора коммерческого учёта электрической энергии, для присоединения магазина ИП Золотущенко Л.Н., расположенного по адресу: Ростовская область, Морозовский р-н, ст-ца. Вольно-Донская, ул. Первомайская, д. 3, кадастровый номер земельного участка: 00:00:000000:000 (прибор учёта электроэнергии - 1шт.)</t>
  </si>
  <si>
    <t>Установка прибора коммерческого учёта электрической энергии, для присоединения жилого дома Алешковой Е.Ю., расположенного по адресу: Ростовская область, Морозовский р-н, х. Вознесенский, ул. Степная, д. 27, кадастровый номер земельного участка: 61:24:0030510:19 (прибор учёта электроэнергии - 1шт.)</t>
  </si>
  <si>
    <t>Установка прибора коммерческого учёта электрической энергии, для присоединения жилого дома Кузьминой М.Л., расположенного по адресу: Ростовская область, Морозовский р-н, п. Знаменка, ул. Степная, д. 3, кадастровый номер земельного участка: 61:24:0090107:162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</si>
  <si>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Вишневка,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</si>
  <si>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Здания пилорамы Сидакова Р.Ю., расположенного по адресу: Ростовская область, Морозовский р-н, х. Костино-Быстрянский, ул. Интернациональная, д. 25 а, кадастровый номер присоединяемого объекта: 61:24:0020103:401 (прибор учёта электроэнергии - 1шт.)</t>
  </si>
  <si>
    <t>Установка прибора коммерческого учёта электрической энергии, для присоединения ВРУ-0,4 кВ здание зернохранилища  Касумова Ш.Г., расположенного по адресу: Ростовская область, Обливский район, п. Пухов, в 162 метрах на север от п. Пухов к.н. 61:27:0600001:797 (прибор учёта электроэнергии - 1шт.)</t>
  </si>
  <si>
    <t>Установка прибора коммерческого учёта электрической энергии, для присоединения жилого дома Тимофей Е.В., расположенного по адресу: Ростовская обл., Обливский р-н, ст. Обливская, пер. Калиманова, д. 10 б, к.н.з.у.: 61:27:0070143:441 (прибор учёта электроэнергии - 1шт.)</t>
  </si>
  <si>
    <t>Установка прибора коммерческого учёта электрической энергии, для присоединения ВРУ-0,4 кВ жилого дома Мишина С.Ю., расположенного по адресу: Ростовская область, Советский район, слобода Чистяково,ул. 1 Мая, д. 15, к.н. 61:36:0020101:28 (прибор учёта электроэнергии - 1шт.)</t>
  </si>
  <si>
    <t>Установка прибора коммерческого учёта электрической энергии, для присоединения ВРУ-0,4 кВ жилого дома Поповой Т.В., расположенного по адресу: Ростовская область, Советский район, поселок Чирский, ул. Речная, д. 20, к.н. 61:36:0030101:223(прибор учёта электроэнергии - 1шт.).</t>
  </si>
  <si>
    <t>Установка прибора коммерческого учёта электрической энергии, для присоединения жилого дома Васюкова Л.В., расположенного по адресу: Ростовская область, Советский  район, слобода Чистяково, ул. Гагарина, д. 18, к.н. 61:36:0020101:232(прибор учёта электроэнергии - 1шт.)</t>
  </si>
  <si>
    <t>Установка прибора коммерческого учёта электрической энергии, для присоединения жилого дома Шаповалова М.Г., расположенного по адресу: Ростовская область, Советский  район, х. Усть-Грязновский, ул. Саманная, д. 2, к.н. 61:36:0030901:543 (прибор учёта электроэнергии - 1шт.)</t>
  </si>
  <si>
    <t>Установка прибора коммерческого учёта электрической энергии, для присоединения квартиры Куликова А.Г., расположенного по адресу: Ростовская область, Советский р-н, х. Осиновский, ул. Центральная, д. 24, кв.2, к.н. 61:36:030701:0124 (прибор учёта электроэнергии - 1шт)</t>
  </si>
  <si>
    <t>Установка прибора коммерческого учёта электрической энергии для присоединения жилого дома Завгороднего С.П., расположенного по адресу: Ростовская область, Тарасовский район,  х. Красновка, ул. 13 Героев, д. 14, к.н. 61:37:00060301:246 (прибор учёта электроэнергии - 1шт).</t>
  </si>
  <si>
    <t>Установка прибора коммерческого учёта электрической энергии, для присоединения жилого дома Доника Ю.Н., расположенного по адресу: Ростовская область, Тарасовский р-н, сл. Колушкино, ул. Мира, д. 17, к.н. 61:37:0090101:111 (прибор учёта электроэнергии 15 кВт - 1шт)</t>
  </si>
  <si>
    <t>Установка прибора коммерческого учёта электрической энергии, для присоединения жилого дома Бондаренко С.В., расположенного по адресу: Ростовская область, Тарасовский р-н, сл. Колушкино, ул. Молодежная, д. 1, к.н. 61:37:0090101:91 (прибор учёта электроэнергии - 1шт)</t>
  </si>
  <si>
    <t>Установка прибора коммерческого учёта электрической энергии, для присоединения жилого дома Слабченко Д.Т., расположенного по адресу: Ростовская область, Тарасовский р-н, сл. Александровка, ул. Автомагистральная, д. 27, к.н. 61:37:080201:0193 (прибор учёта электроэнергии - 1шт)</t>
  </si>
  <si>
    <t>Установка прибора коммерческого учёта электрической энергии, для присоединения ¼  доли жилого дома Кибаловой Т.С., расположенного по адресу: Ростовская область, Тарасовский р-н,  х.Можаевка, ул.Заречная, д.43, к.н. 61:37:0110101:565 (прибор учёта электроэнергии - 1шт)</t>
  </si>
  <si>
    <t>Установка прибора коммерческого учёта электрической энергии, для присоединения жилого дома Вербицкого С.Г., расположенного по адресу: Ростовская область, Тарасовский р-н, п. Весенний, ул. Молодежная, д 1, к.н. 61:37:0040101:761 (прибор учёта электроэнергии - 1шт.)</t>
  </si>
  <si>
    <t>Установка прибора коммерческого учёта электрической энергии, для присоединения жилого дома Кононова Н.Ф., расположенного по адресу: Ростовская область, Тарасовский р-н,  сл. Большинка, ул. Буденного, д.44, к.н. 61:37:0120101:3739 (прибор учёта электроэнергии - 1шт)</t>
  </si>
  <si>
    <t>Установка прибора коммерческого учёта электрической энергии, для присоединения жилого дома Никишиной Г.Ф., расположенного по адресу: Ростовская область, Тарасовский р-н, х. Васильевка, ул. Железнодорожная, д. 28, к.н. 61:37:0030301:28 (прибор учёта электроэнергии - 1шт)</t>
  </si>
  <si>
    <t>Установка прибора коммерческого учёта электрической энергии, для присоединения жилого дома Попович Н.Н., расположенного по адресу: Ростовская область, Тарасовский р-н, х. Елань, ул. Школьная, д 42, к.н. 61:37:0110401:44 (прибор учёта электроэнергии - 1шт.)</t>
  </si>
  <si>
    <t>Установка прибора коммерческого учёта электрической энергии, для присоединения жилого дома Попович Н.Н., расположенного по адресу: Ростовская область, Тарасовский р-н, х. Елань, ул. Школьная, д 58, к.н. 61:37:0110401:28 (прибор учёта электроэнергии - 1шт.)</t>
  </si>
  <si>
    <t>Установка прибора коммерческого учёта электрической энергии, для присоединения строящегося объекта придорожного сервиса (магазин) Курносова А.А., расположенного по адресу: Ростовская область, Тарасовский р-н, 30 м на северо-запад от сл. Колушкино , к.н. 61:37:0600016:503 (прибор учёта электроэнергии - 1шт)</t>
  </si>
  <si>
    <t>Установка прибора коммерческого учёта электрической энергии, для присоединения строящегося объекта придорожного сервиса (магазин) Курносова А.А., расположенного по адресу: Ростовская область, Тарасовский р-н, х. Верхний Митякин, ул. Центральная, д 121, к.н. 61:37:0060101:1799 (прибор учёта электроэнергии - 1шт.)</t>
  </si>
  <si>
    <t>Установка прибора коммерческого учёта электрической энергии, для присоединения жилого дома Гайворона М.П., расположенного по адресу: Ростовская область, Тарасовский р-н, х. Липовка, ул. Пролетарская, д.119, к.н. 61:37:0020301:56 (прибор учёта электроэнергии - 1шт)</t>
  </si>
  <si>
    <t>Установка прибора коммерческого учёта электрической энергии, для присоединения жилого дома Очиченко Т.В., расположенного по адресу: Ростовская область, Тарасовский р-н, х. Красновка, ул. 13 Героев, д 8, к.н. 61:37:0060301:249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</si>
  <si>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 х. Егоро-Калитвенский, к.н.з.у. 00:00:000000:00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</si>
  <si>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р-н,п. Изумрудный, к.н.з.у. 00:00:000000:00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</si>
  <si>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 х. Красновка,  к.н.з.у. 00:00:000000:00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</si>
  <si>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 п. Войково,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</si>
  <si>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«МТС», расположенной по адресу: Ростовская область, Тарасовский р-н,  х. Россошь, к.н. 61:37:0600005 :ЗУ1 (прибор учёта электроэнергии - 1шт)»</t>
  </si>
  <si>
    <t>Установка прибора коммерческого учёта электрической энергии, для присоединения жилого дома Григорян М.Г., расположенного по адресу: Ростовская область, Тарасовский р-н, п. Тарасовский, ул. Чапаева, д. 65 (прибор учёта электроэнергии - 1шт)</t>
  </si>
  <si>
    <t>Установка прибора коммерческого учёта электрической энергии, для присоединения жилого дома Ревенко С В., расположенного по адресу: Ростовская область, Тарасовский р-н, сл. Колушкино, ул. Советская, д. 40, к.н.з.у. 61:37:0090101:40 (прибор учёта электроэнергии - 1шт)</t>
  </si>
  <si>
    <t>Установка прибора коммерческого учёта электрической энергии, для присоединения ВРУ-0,4 кВ жилого дома Близнюковой А.Н., расположенного по адресу: Ростовская область, Тацинский район, х. Надежёвка ул. Дудыкина, д. 3, к.н. 61:38:0060901:172 (прибор учёта электроэнергии - 1шт.)</t>
  </si>
  <si>
    <t>Установка прибора коммерческого учёта электрической энергии, для присоединения магазина «Весна» ИП Богачева О.Г., расположенного по адресу: Ростовская область, Тацинский район, х. Михайлов, ул. Кирова, д. 4, к.н. 61:38:0030115:25 (прибор учёта электроэнергии - 1шт.)</t>
  </si>
  <si>
    <t>Установка прибора коммерческого учёта электрической энергии, для присоединения ВРУ-0,4 кВ жилого дома Соколовой Т.В., расположенного по адресу: Ростовская обл., Тацинский р-н, х. Пролетарский, ул.  Пролетарская, д. 22, к.н.з.у. 61:38:0061001:35 (прибор учёта электроэнергии - 1шт.)</t>
  </si>
  <si>
    <t>Установка прибора коммерческого учёта электрической энергии, для присоединения нежилой застройки Изудиновой Е.И., расположенного по адресу: Ростовская область, Белокалитвинский р-н, п.Сосны, ул, Заречная, д. 21, к.н. 61:04:150406:0244 (прибор учёта электроэнергии - 1шт)</t>
  </si>
  <si>
    <t>Установка прибора коммерческого учёта электрической энергии, для присоединения жилого дома Диченскова И.М., расположенного по адресу: Ростовская область, Каменский район, х. Астахов, ул. Советская, д. № 86, к.н.з.у. 61:15:0020201:400 (прибор учёта электроэнергии 15 кВт- 1шт.)</t>
  </si>
  <si>
    <t>Установка прибора коммерческого учёта электрической энергии, для присоединения жилого дома Богданова А.Н., расположенного по адресу: Ростовская область, Каменский район, х. Груцинов, ул. Вишневая, д. № 18, к.н.з.у. 61:15:0050101:293 (прибор учёта электроэнергии - 1шт.)</t>
  </si>
  <si>
    <t>Установка прибора коммерческого учёта электрической энергии, для присоединения жилого дома Болдыревой З.В., расположенного по адресу: Ростовская область, Морозовский р-н, ст. Вольно-Донская, ул. Стадионная, д. 15, кв.2, к.н.з.у. 61:24:0060104:59 (прибор учёта электроэнергии - 1шт.)</t>
  </si>
  <si>
    <t>Установка прибора коммерческого учёта электрической энергии, для присоединения ВРУ-0,4 кВ жилого дома Доброквашиной А.А., расположенного по адресу: Ростовская область, Советский р-н, ст. Советская, ул. Лесхозная, д. 10, к.н. 61:36:0010101:138 (прибор учёта электроэнергии - 1шт.)</t>
  </si>
  <si>
    <t>Установка прибора коммерческого учёта электрической энергии, для присоединения ВРУ-0,4 кВ жилого дома Чумакова И.Т., расположенного по адресу: Ростовская обл., Советский р-н, ст. Советская, ул. Мартыненко, д. 37, к.н. 61:36:0010101:0005 (прибор учёта электроэнергии трёхфазный - 1шт.)</t>
  </si>
  <si>
    <t>Установка прибора коммерческого учёта электрической энергии, для присоединения ВРУ-0,4 кВ нежилого здания Герасимовой А.В., расположенного по адресу: Ростовская область, Советский р-н, п. Чирский, ул. Кирпичная, д. 1, к.н. 61:36:0030101:309 (прибор учёта электроэнергии - 1шт.)</t>
  </si>
  <si>
    <t>Установка прибора коммерческого учёта электрической энергии,для присоединения ВРУ-0,4 кВ строящегося жилого дома Желтухина В.В., расположенного по адресу: Ростовская область, Советский р-н, сл. Калач-Куртлак, ул. Веселая, д. 14, к.н. 61:36:0040101:1566 (прибор учёта электроэнергии - 1шт.)</t>
  </si>
  <si>
    <t>Установка прибора коммерческого учёта электрической энергии, для присоединения ½ доли жилого дома Шишкалова А.Н., расположенного по адресу: Ростовская область, Тарасовский р-н, сл. Большинка, ул. Ленина, д. 33, к.н. 61:37:120101:0273 (прибор учёта электроэнергии - 1шт)</t>
  </si>
  <si>
    <t>Установка прибора коммерческого учёта электрической энергии, для присоединения  жилого дома Торяник Е.А., расположенного по адресу: Ростовская область, Тарасовский р-н, сл. Колушкино, ул. Советская, д. 116, к.н. 61:37:0090101:534 (прибор учёта электроэнергии - 1шт)</t>
  </si>
  <si>
    <t>Установка прибора коммерческого учёта электрической энергии, для присоединения жилого дома Зареченского Н.А., расположенного по адресу: Ростовская область, Тарасовский р-н, п. Весенний, ул. Ленина, д. 6, к.н. 61:37:0040101:176 (прибор учёта электроэнергии - 1шт)</t>
  </si>
  <si>
    <t>Установка прибора коммерческого учёта электрической энергии, для присоединения жилого дома Панченко А.И., расположенного по адресу: Ростовская область, Тарасовский р-н, сл. Колушкино, ул. Лесная, д. 19, к.н. 61:37:0090101:141 (прибор учёта электроэнергии - 1шт)</t>
  </si>
  <si>
    <t>Установка прибора коммерческого учёта электрической энергии для присоединения строящегося жилого дома Павлова А.Н., расположенного по адресу: Ростовская область, Белокалитвинский р-н, п. Сосны,  ул. Октябрьская, дом. 41а, к.н.з.у.: 61:04:0000000:5746 (прибор учёта электроэнергии - 1шт.)</t>
  </si>
  <si>
    <t>Установка прибора коммерческого учёта электрической энергии, для магазина Пузанова А.П., расположенного по адресу: Ростовская область, Белокалитвинский р-н, п. Сосны, ул. Зеленая, д.1, к.н. 61:04:0150414:191 (прибор учёта электроэнергии - 1шт)</t>
  </si>
  <si>
    <t>Установка прибора коммерческого учёта электрической энергии, для подключения жилого дома Мигулина Ю.И., расположенного по адресу: Ростовская область, Белокалитвинский р-н, с. Литвиновка, ул. Молодежная, д. 11, кв. 2, к.н. 61:04:0060108:106 (прибор учёта электроэнергии - 1шт)</t>
  </si>
  <si>
    <t>Обеспечение коммерческим учетом электрической энергии  в точке поставки, по присоединению квартиры Кульковой И.А., расположенного по адресу: Ростовская область, Каменский район,  х. Красновка, ул. Мичурина, д. № 32, кв. №2, к.н. 61:15:0000000:5170(прибор учета электроэнергии – 1шт).</t>
  </si>
  <si>
    <t>Обеспечение коммерческим учетом электрической энергии  в точке поставки, по присоединению жилого дома Лахман Н.В., расположенного по адресу: Ростовская область, Каменский район,  х. Верхний Пиховкин, ул. Клубная, д. № 4, к.н. 61:15:120101:0042(прибор учета электроэнергии – 1шт).</t>
  </si>
  <si>
    <t>Установка прибора коммерческого учёта электрической энергии для присоединения жилого дома Зейлик В.В., расположенного по адресу: Ростовская область, Каменский район,  х. Первомайский, ул. Центральная, д. № 2, к.н. 61:15:0050601:91:12 (прибор учёта электроэнергии - 1шт).</t>
  </si>
  <si>
    <t>Установка прибора коммерческого учёта электрической энергии, для присоединения жилого дома Лисянской И.А., расположенного по адресу: Ростовская область, Каменский район, х. Старая Станица, ул. Чапаева, д. № 26, корп. б, к.н. 61:15:0130105:614 (прибор учёта электроэнергии 15 кВт- 1шт)</t>
  </si>
  <si>
    <t>Установка прибора коммерческого учёта электрической энергии, для присоединения жилого дома Королевой Н.В., расположенного по адресу: Ростовская обл., Каменский р-н, х. Старая Станица, ул. Восточная, д. 17, к.н.з.у. 31:15:0130105:99 (прибор учёта электроэнергии 15 кВт- 1шт)</t>
  </si>
  <si>
    <t>Установка прибора коммерческого учёта электрической энергии, для присоединения жилого дома Угленко Г.В., расположенного по адресу: Ростовская область, Каменский район, х. Малая Каменка, ул. Тупикина, д. № 4, к.н.з.у. 61:15:090101:0753 (прибор учёта электроэнергии 15 кВт- 1шт.)</t>
  </si>
  <si>
    <t>Установка прибора коммерческого учёта электрической энергии, для присоединения объекта жилого дома Кундрюцкова В.В., расположенного по адресу: Ростовская область, Каменский район, х. Диченский, ул. Левитана, д. № 42, корп. В, к.н.з.у. 61:15:0130301:1946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</si>
  <si>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«Вымпел-Коммуникации», расположенной по адресу: Ростовская область, Каменский район, х. Красновка, ул. Октябрьская, дом № 80, корп. В. к.н.з.у. 61:15:0080107:1049 (прибор учёта электроэнергии  - 1шт.)</t>
  </si>
  <si>
    <t>Установка прибора коммерческого учёта электрической энергии, для присоединения ВРУ-0,4 кВ Базовой станции/оборудование сотовой связи, расположенной по адресу: Ростовская область, Милютинский район,  х. Новодмитриевский, (прибор учёта электроэнергии - 1 шт.)</t>
  </si>
  <si>
    <t>Установка прибора коммерческого учёта электрической энергии для присоединения ВРУ-0,4 кВ квартиры Куциной О.И., расположенной по адресу: Ростовская область, Милютинский район, х. Юдин, ул. Береговая, д. 28/1, кв.1, к.н.з.у. 61:23:0030101:1788 (прибор учёта электроэнергии - 1 шт.)</t>
  </si>
  <si>
    <t>Установка прибора коммерческого учёта электрической энергии для присоединения жилого дома Коржовой Ю.С, расположенного по адресу: Ростовская область, Милютинский район, п. Аграрный, ул. Черемушки, д. № 31, к.н.з.у. 61:23:0010401:166 (прибор учёта электроэнергии - 1 шт.)</t>
  </si>
  <si>
    <t>Установка прибора коммерческого учёта электрической энергии для присоединения жилого дома Курилиной Т.Ф., расположенного по адресу: Ростовская область, Милютинский район, х. Николовка, пер. Школьный,  д. № 7, кв.1, к.н.з.у. 61:23:040301:11 (прибор учёта электроэнергии - 1 шт.)</t>
  </si>
  <si>
    <t>Установка прибора коммерческого учёта электрической энергии, для присоединения ВРУ-0,4 кВ жилого дома Малика А.В., расположенного по адресу: Ростовская обл., Милютинский р-н, ст. Милютинская, ул. Северная,        д. 45, к.н.з.у. 61:23:030324:0023:689 (прибор учёта электроэнергии – 1 шт.)</t>
  </si>
  <si>
    <t>Установка прибора коммерческого учёта электрической энергии, для присоединения жилого дома Чекулаева М.В., расположенного по адресу: Ростовская область, Милютинский район, х. Сулинский, пер. Кузнечный, д.10/17, к.н. 61:23:0010101:67 (прибор учёта электроэнергии – 1 шт.)</t>
  </si>
  <si>
    <t>Установка прибора коммерческого учёта электрической энергии, для присоединения базовой станции/оборудование сотовой связи ПАО «Ростелеком»., расположенного по адресу: Ростовская область, Тацинский район, х. Калмыков, к.н. 61:38:0070401 (прибор учёта электроэнергии –  1 шт.)</t>
  </si>
  <si>
    <t>Установка прибора коммерческого учёта электрической энергии, для присоединения малоэтажной жилой застройки Гуреевой Н.И., расположенной по адресу: Ростовская область, Белокалитвинский район, г. Белая Калитва, СТД Дружный, уч. 66 д, к.н. 61:47:0010220:230 (прибор учёта электроэнергии - 1шт.)</t>
  </si>
  <si>
    <t>Установка прибора коммерческого учёта электрической энергии для присоединения жилого дома Дмитриевой Е.В., расположенного по адресу: Ростовская область, Белокалитвинский р-н, х. Богураев, ул. Набережная, дом. 46, к.н.з.у.: 61:04:0080201:1135 (прибор учёта электроэнергии - 1шт.)</t>
  </si>
  <si>
    <t>Установка прибора коммерческого учёта электрической энергии для присоединения строящегося жилого дома Баранова И.И., расположенного по адресу: Ростовская область, Белокалитвинский р-н, п. Сосны,  ул. Новая, дом. 5, к.н.з.у.: 61:04:0150405:44 (прибор учёта электроэнергии - 1шт.)</t>
  </si>
  <si>
    <t>Установка прибора коммерческого учёта электрической энергии, для Строящегося жилого дома Таракановой Н.Н., расположенного по адресу: Ростовская область, Белокалитвинский р-н, п. Сосны, ул, Новая, д.21, к.н.з.у. 61:04:0150405:501 (прибор учёта электроэнергии - 1шт)</t>
  </si>
  <si>
    <t>Установка прибора коммерческого учёта электрической энергии, для жилого дома Хорошева Е.А., расположенного по адресу: Ростовская область, Белокалитвинский р-н, х. Богатов, ул, Станкевского, д.2, к.н. 61:04:0080201:116 (прибор учёта электроэнергии - 1шт)</t>
  </si>
  <si>
    <t>Установка прибора коммерческого учёта электрической энергии, для присоединения жилого дома Данилова Г.А., расположенного по адресу: Ростовская область, Белокалитвинский р-н, п. Сосны, ул. Заречная, д. 7а, к.н.з.у.: 61:04:0150406:114 (прибор учёта электроэнергии - 1шт.)</t>
  </si>
  <si>
    <t>Установка прибора коммерческого учёта электрической энергии для присоединения жилого дома Тареевой О.И., расположенного по адресу: Ростовская область, Белокалитвинский р-н, х. Поцелуев, ул. Солнечная, дом. 1, к.н.з.у. 61:04:0050101:337 (прибор учёта электроэнергии - 1шт.)</t>
  </si>
  <si>
    <t>Установка прибора коммерческого учёта электрической энергии для присоединения жилого дома Толстенко Е.А., расположенного по адресу: Ростовская область, Белокалитвинский р-н, х. Ильинка, ул. Советская, дом. 31, к.н.з.у. 61:04:140106:0045 (прибор учёта электроэнергии - 1шт.)</t>
  </si>
  <si>
    <t>Установка прибора коммерческого учёта электрической энергии для присоединения жилого дома Чувашловой А.С., расположенного по адресу: Ростовская область, Белокалитвинский р-н, х. Верхнепопов, ул. Казачья, дом. 5 а, к.н.з.у.: 61:04:0150101:331 (прибор учёта электроэнергии - 1шт.)</t>
  </si>
  <si>
    <t>Установка прибора коммерческого учёта электрической энергии, для присоединения строящегося жилого дома Корниенко С.А., расположенного по адресу: Ростовская область, Белокалитвинский р-н, п. Сосны, ул. Заречная, д. 19, к.н.з.у.: 61:04:0150406:282 (прибор учёта электроэнергии - 1шт.)</t>
  </si>
  <si>
    <t>Установка прибора коммерческого учёта электрической энергии, для присоединения нежилого здания Казаковой Н.В., расположенного по адресу: Ростовская область, г. Белая Калитва, СДТ «Дружный», уч. № 63, к.н.з.у.: 61:47:00100220:239 (прибор учёта электроэнергии – 1 шт.)</t>
  </si>
  <si>
    <t>Установка прибора коммерческого учёта электрической энергии, для жилого дома Картовицкого А.А., расположенного по адресу: Ростовская область, Белокалитвинский р-н, х. Богураев, ул, Центральная, д.62, к.н. 61:04:0160108:409 (прибор учёта электроэнергии - 1шт)</t>
  </si>
  <si>
    <t>Установка прибора коммерческого учёта электрической энергии, для подключения жилого дома Шведчикова Н.М., расположенного по адресу: Ростовская область, Белокалитвинский р-н, ст. Краснодонецкая, ул. Рыновская, д.11, к.н. 61:04:080511:6463 (прибор учёта электроэнергии - 1шт)</t>
  </si>
  <si>
    <t>Установка прибора коммерческого учёта электрической энергии, для подключения строящегося жилого дома Верёвкина В.С, расположенного по адресу: Ростовская обл., Белокалитвинский р-н, п. Сосны, ул, Сиреневая, д.5, к.н. 61:04:0150404:144 (прибор учёта электроэнергии - 1шт)</t>
  </si>
  <si>
    <t>Установка прибора коммерческого учёта электрической энергии, для присоединения Строящегося жилого дома Назаровой В.Т., расположенного по адресу: Ростовская область, Белокалитвинский р-н, х. Дубовой, ул. Степная, д. 75а, к.н.: 61:04:0110502:442 (прибор учёта электроэнергии – 1 шт.)</t>
  </si>
  <si>
    <t>Установка прибора коммерческого учёта электрической энергии, для присоединения нежилого здания Индивидуального предпринимателя Зайцева С.А., расположенного по адресу: Ростовская область, Белокалитвинский р-н, х. Ильинка, к.н.з.у.: 61:04:0600002:414 (прибор учёта электроэнергии – 1 шт.)</t>
  </si>
  <si>
    <t>Установка прибора коммерческого учёта электрической энергии, для присоединения ВРУ -0,4 кВ базовой станции сотовой связи Ростовского филиала ПАО «Ростелеком», расположенного по адресу: Ростовская обл., Каменский р-н, х. Груцинов, к.н.з.у. 00:00:000000 (прибор учёта электроэнергии - 1 шт.)</t>
  </si>
  <si>
    <t>Установка прибора коммерческого учёта электрической энергии, для присоединения ВРУ -0,4 кВ базовой станции сотовой связи Ростовского филиала ПАО «Ростелеком», расположенного по адресу: Ростовская обл., Каменский р-н, х. Плешаков, к.н.з.у. 00:00:000000 (прибор учёта электроэнергии - 1 шт.)</t>
  </si>
  <si>
    <t>Установка прибора коммерческого учёта электрической энергии, для присоединения базовой станции сотовой связи Ростовского филиала ПАО «Ростелеком», расположенного по адресу: Ростовская обл., Каменский р-н, х. Данилов, к.н.з.у. 00:00:000000 (прибор учёта электроэнергии - 1 шт.)</t>
  </si>
  <si>
    <t>Установка прибора коммерческого учёта электрической энергии, для присоединения базовой станции сотовой связи Ростовского филиала ПАО «Ростелеком», расположенного по адресу: Ростовская обл., Каменский р-н, х. Нижнеерохин, к.н.з.у. 00:00:000000 (прибор учёта электроэнергии - 1 шт.)</t>
  </si>
  <si>
    <t>Установка прибора коммерческого учёта электрической энергии, для присоединения жилого дома Чепелева В.Н., расположенного по адресу: Ростовская область, Каменский район, х. Старая Станица, ул. Буденного, дом № 64, к.н.з.у. 61:15:0130102:817(прибор учёта электроэнергии - 1 шт.)</t>
  </si>
  <si>
    <t>Установка прибора коммерческого учёта электрической энергии, для присоединения ВРУ-0,4 кВ жилого дома Мащёнского А.С., расположенной по адресу: Ростовская обл., Милютинский р-н,х. Старокузнецов, пер. Подгорный, д. 8/7, к.н.з.у. 61:23:0030201:125 (прибор учёта электроэнергии - 1шт)</t>
  </si>
  <si>
    <t>Установка прибора коммерческого учёта электрической энергии для присоединения базовой станции АО «Первая Башенная Компания», расположенной по адресу: Ростовская область, Милютинский район,   п. Светоч, ул. Победы, участок в 80 м от д. № 17/13, к.н.з.у. 61:23:0600017 (прибор учёта электроэнергии - 1 шт.)</t>
  </si>
  <si>
    <t>Установка прибора коммерческого учёта электрической энергии для присоединения ВРУ-0,4 кВ жилого дома Шуляковой Н.А., расположенного по адресу: Ростовская область, Милютинский район, х. Юдин, ул. Заречная, д. 40, к.н.з.у. 61:23:0030101:1182 (прибор учёта электроэнергии - 1 шт.)</t>
  </si>
  <si>
    <t>Установка прибора коммерческого учёта электрической энергии для присоединения жилого дома Коржова В.А., расположенного по адресу: Ростовская область, Милютинский район, п. Аграрный, ул. Черемушки, д. № 29, к.н.з.у. 61:23:0010401:86 (прибор учёта электроэнергии - 1 шт.)</t>
  </si>
  <si>
    <t>Установка прибора коммерческого учёта электрической энергии, для присоединения ВРУ-0,4 кВ жилого дома Багамаева М.М, расположенного по адресу: Ростовская область, Милютинский район,  х. Приходько-Придченский, ул. Петровка, д. 9, к.н.з.у. 61:23:0040201:4 (прибор учёта электроэнергии – 1 шт.)</t>
  </si>
  <si>
    <t>Установка прибора коммерческого учёта электрической энергии, для присоединения ВРУ-0,4 кВ жилого дома Бакуна Н.А., расположенного по адресу: Ростовская обл., Милютинский р-н, х. Павловка, ул. Теневая, д. 35, к.н.з.у. 61:23:0021001:169 (прибор учёта электроэнергии – 1 шт.)</t>
  </si>
  <si>
    <t>Установка прибора коммерческого учёта электрической энергии, для присоединения ВРУ-0,4 кВ жилого дома Борисенко А.В., расположенного по адресу: Ростовская обл., Милютинский р-н, ст. Селивановская, ул. Черёмушки, д. 9, к.н.з.у. 61:23:0080101:592 (прибор учёта электроэнергии – 1 шт.)</t>
  </si>
  <si>
    <t>Установка прибора коммерческого учёта электрической энергии, для присоединения ВРУ-0,4 кВ жилого дома Исаевой Л.М., расположенного по адресу: Ростовская обл., Милютинский р-н, х. Новодмитровский, ул. Агеевка,  д. 15, к.н.з.у. 61:23:0150401:147 (прибор учёта электроэнергии – 1 шт.)</t>
  </si>
  <si>
    <t>Установка прибора коммерческого учёта электрической энергии, для присоединения ВРУ-0,4 кВ жилого дома Куфты С.В., расположенного по адресу: Ростовская область, Милютинский район, х. Ивановский, ул. Южная, д. 16, к.н.з.у. 61:23:0040601:100 (прибор учёта электроэнергии - 1 шт.)</t>
  </si>
  <si>
    <t>Установка прибора коммерческого учета, электрической энергии для присоединения жилого дома Ивахненко Т.В., расположенного по адресу: Ростовская область, Милютинский район, ст-ца Селивановская, улица Черемушки, дом № 18, к.н.з.у 61:23:0080101:1454 (прибор учета электроэнергии 1 шт.)</t>
  </si>
  <si>
    <t>Установка прибора коммерческого учёта электрической энергии,для присоединения жилого дома Нерсесяна В.Н., расположенного по адресу: Ростовская область, Морозовский р-н, х. Новопроциков, ул. Речная, д. 4, к.н.з.у.: 61:24:0020301:4 (прибор учёта электроэнергии - 1шт.)</t>
  </si>
  <si>
    <t>Установка прибора коммерческого учёта электрической энергии, для присоединения ВРУ-0,4 кВ «магазин» Черноморовой М.Н., расположенного по адресу: Ростовская область, Обливский район, хутор Кривов, улица Центральная, д. 35а, к.н. 61:27:05:04:02:0093(прибор учёта электроэнергии - 1шт.)</t>
  </si>
  <si>
    <t>Установка прибора коммерческого учёта электрической энергии, для присоединения ВРУ-0,4 кВ «буровая на воду скважина № 9647»   ООО «Обливское МТП», расположенного по адресу: Ростовская  область, район Обливский, в 13 м на запад от п. Шаповаловка, к.н. 61:27:0600003:636 (прибор учёта электроэнергии - 1шт.)</t>
  </si>
  <si>
    <t>Установка прибора коммерческого учёта электрической энергии, для присоединения ВРУ-0,4 кВ «водопроводные сети водоснабжения» Администрации Обливского района, расположенного по адресу: Ростовская область, Обливский район, поселок Северный, к.н.з.у. 61:27:0600011:2124 (прибор учёта электроэнергии - 1шт.)</t>
  </si>
  <si>
    <t>Установка прибора коммерческого учета электрической энергии, для присоединения ВРУ-0,4кВ «квартира» Будариной Н.М., расположенной по адресу: Ростовская область, Обливский район, хутор Ковыленский, улица Полевая, дом 5 кв.1, к.н.з.у.:61:27:0071103:38 (прибор учета электроэнергии -   1 шт.)</t>
  </si>
  <si>
    <t>Установка прибора коммерческого учёта электрической энергии, для  присоединения ВРУ-0,4 кВ «квартира» Чхетиани Н.З., расположенного по адресу: Ростовская область, Обливский район, х. Сеньшин, ул. Березовая, д. 58, кв. 1, к.н.з.у.: 61:27:0070805:47 (прибор учёта электроэнергии - 1шт.)</t>
  </si>
  <si>
    <t>Установка прибора коммерческого учета электрической энергии, для присоединения жилого дома Агекян А.Р., расположенного по адресу: Ростовская область, Обливский район, хутор Алексеевский, улица Зеленая, дом 5, к.н.з.у.:61:27:0020101:441 (прибор учета электроэнергии - 1 шт.)</t>
  </si>
  <si>
    <t>Установка прибора коммерческого учета электрической энергии, для присоединения жилого дома Ашурилаева Ш.А., расположенного по адресу: Ростовская область, Обливский район, хутор Серебряковский, улица Степная, дом 6, к.н.з.у.:61:27:0600007:793 (прибор учета электроэнергии - 1 шт.)</t>
  </si>
  <si>
    <t>Установка прибора коммерческого учета электрической энергии, для присоединения жилого дома Рамазанова М.Т., расположенного по адресу: Ростовская область, Обливский район, поселок Запрудный, улица Центральная, дом 81, к.н.з.у.:61:27:0030201:67 (прибор учета электроэнергии - 1 шт.)</t>
  </si>
  <si>
    <t>Установка прибора коммерческого учета электрической энергии, для присоединения жилого дома Чернышковой Н.И., расположенного по адресу: Ростовская область, Обливский район, хутор Караичев, улица Школьная, дом 22, к.н.з.у.:61:27:0040105:3 (прибор учета электроэнергии - 1 шт.)</t>
  </si>
  <si>
    <t>Установка прибора коммерческого учёта, электрической энергии для присоединения ВРУ-0,4 кВ «комплекс складских помещений» Косикова Н.В., расположенного по адресу: Ростовская область, Обливский район, станица Обливская, к.н.з.у. 61:27:0600011:2130 (прибор учёта электроэнергии - 1шт.)</t>
  </si>
  <si>
    <t>Установка прибора коммерческого учета электрической энергии, для присоединения ВРУ- 0,4 кВ благоустройства участка улицы М. Горького Муниципального образования «Советское сельское поселение», расположенной по адресу: Ростовская область, Советский р-н,  ст. Советская, участок ул. М. Горького от ул. 40 лет Октября до ул. Лесхозная, КНЗУ 61:36:0010101:5239 (прибор учёта электроэнергии - 1шт)</t>
  </si>
  <si>
    <t>Установка прибора коммерческого учета электрической энергии, для присоединения ВРУ-0,4 кВ строящегося нежилого здания Щепелева А.В., расположенного по адресу: Ростовская область, Советский район, примерно 0,15 км на юго-запад от ориентира хутора Наумов, к.н.з.у.:61:36:0600004:150 (прибор учета электроэнергии - 1 шт.)</t>
  </si>
  <si>
    <t>Установка прибора коммерческого учета электрической энергии, для присоединения ВРУ- 0,4 кВ жилого дома Кириленко С.И., расположенного по адресу: Ростовская область, Советский р-н, ст-ца. Советская, ул. Колхозная, дом № 3, К.Н. 61:36:0010101:548 (прибор учёта электроэнергии - 1шт)</t>
  </si>
  <si>
    <t>Установка прибора коммерческого учета электрической энергии, для присоединения ВРУ- 0,4 кВ жилого дома Герасимова И.В. расположенного по адресу: Ростовская область, Советский р-н, слобода Чистяково, ул. Западная, д.15, кв.3 К.Н 61:36:0020101:1375 (прибор учёта электроэнергии - 1шт)</t>
  </si>
  <si>
    <t>Установка прибора коммерческого учета электрической энергии, для присоединения ВРУ- 0,4 кВ жилого дома Курдуманова В.И., расположенного по адресу: Ростовская область, Советский р-н, ст-ца Советская, ул. Лесхозная, д. 49 К.Н 61:36:0010101:816 (прибор учёта электроэнергии - 1шт)</t>
  </si>
  <si>
    <t>Установка прибора комерческого учета электрической энергии, для присоединения ВРУ- 0,4 кВ жилого дома Куликова Г. А., расположенного по адресу: Ростовская область, Советский р-н, х. Аржановский, ул. Береговая, дом № 35, К.Н. 61:36:0030801:30 (прибор учёта электроэнергии - 1шт)</t>
  </si>
  <si>
    <t>Установка прибора комерческого учета электрической энергии, для присоединения ВРУ- 0,4 кВ жилого дома Уса В.В., расположенного по адресу: Ростовская область, Советский р-н, ст-ца Советская,  ул. Пушкина, д. 25 К.Н 61:36:0010101:999 (прибор учёта электроэнергии - 1шт)</t>
  </si>
  <si>
    <t>Установка прибора коммерческого учёта электрической энергии, для присоединения базовой станции сотовой связи ООО «Т2 Мобайл», расположенного по адресу: Ростовская область, Тарасовский р-н, ст. Митякинская, 57 м на юго-запад от здания № 9 по ул. Луначарского, к.н. 61:37:0100101:4332 (прибор учёта электроэнергии - 1шт)</t>
  </si>
  <si>
    <t>Установка прибора коммерческого учёта электрической энергии, для присоединения: склада № 1, склада № 2 и склада № 3 ИП главы К(Ф)Х Ткачева Н.И., расположенных по адресу: Ростовская область, Тарасовский район, х. Егоро-Калитвенский: склад № 1 и склад № 2 (ул. Молодежная, д. 19,  к.н.з.у. № 61:37:0600022:1184 и № 61:37:0600022:1183); склад № 3 (земельный участок № 1/1, к.н.з.у. № 61:37:0600022:1200),(прибор учёта электроэнергии - 1шт)</t>
  </si>
  <si>
    <t>Установка прибора коммерческого учёта электрической энергии для присоединения жилого дома Ковалевой Н.П., расположенного по адресу: Ростовская область, Тарасовский р-н, сл. Колушкино, ул. Советская, д.66, к.н.з.у.: 61:37:090101:0069 (прибор учёта электроэнергии - 1шт.)</t>
  </si>
  <si>
    <t>Установка прибора коммерческого учёта электрической энергии, для присоединения жилого дома Малышева С.Г., расположенного по адресу: Ростовская область, Тарасовский р-н, сл. Колушкино, ул. Садовая, д. 39, к.н.з.у. 61:37:0090101:1273 (прибор учёта электроэнергии - 1шт)</t>
  </si>
  <si>
    <t>Установка прибора коммерческого учёта электрической энергии, для присоединения строящегося склада Петровского В.П., расположенного по адресу: Ростовская область, Тарасовский р-н, х. Рыновка,  ул. Донская, к.н.з.у. 61:37:0050801:56 (прибор учёта электроэнергии - 1шт)</t>
  </si>
  <si>
    <t>Установка прибора коммерческого учёта электрической энергии, для присоединения ВРУ-0,4 кВ жилого дома Сайкиной Н.П., расположенного по адресу: Ростовская область, Тацинский район, х. Верхнеобливский, пер. Центральный, д. 8, к.н. 00:00:0000:000 (прибор учёта электроэнергии - 1шт.)</t>
  </si>
  <si>
    <t>Установка прибора коммерческого учёта электрической энергии, для присоединения ВРУ-0,4 кВ жилого дома Шанаурова В.И., расположенного по адресу: Ростовская область, Тацинский район, х. Крюков, ул. Ленина, д. 31, к.н. 61:38:060701:17. (прибор учёта электроэнергии - 1шт.)</t>
  </si>
  <si>
    <t>Установка прибора коммерческого учёта электрической энергии, для присоединения ВРУ-0,4 кВ строящегося здания Шипелова Д.А., расположенного по адресу: Ростовская область, Тацинский район, х. Ковылкин, ул. Студенческая, д. 14, кв./оф. 1, к.н. 61:38:0110101:22. (прибор учёта электроэнергии - 1шт.)</t>
  </si>
  <si>
    <t>Установка прибора коммерческого учёта электрической энергии, для присоединения ВРУ-0,4кВ жилого дома Гунькина А.Д., расположенного по адресу: Ростовская область, Тацинский район, ст-ца. Ермаковская, ул. Попова, д. 102, к.н. 61:38:0080101:84 (прибор учёта электроэнергии –  1 шт.)</t>
  </si>
  <si>
    <t>Установка прибора коммерческого учёта электрической энергии, для присоединения ВРУ-0,4кВ жилого дома Пономаренко И.И., расположенного по адресу: Ростовская область, Тацинский район, х. Пролетарский, ул. Степная, д. 10, кв./оф.2,  к.н. 61:38:0061001:9 (прибор учёта электроэнергии –  1 шт.)</t>
  </si>
  <si>
    <t>Установка прибора коммерческого учёта электрической энергии, для присоединения ВРУ-0,4 кВ жилого дома Семеновой Е.К., расположенного по адресу: Ростовская область, Тацинский район, х. Пролетарский, ул. Колхозная, д. 4, к.н.з.у. 61:38:0061001:110 (прибор учёта электроэнергии - 1шт.)</t>
  </si>
  <si>
    <t>Установка прибора коммерческого учёта электрической энергии, для присоединения ВРУ-0,4 кВ здания склада Чикова Г.Ф., расположенного по адресу: Ростовская область, Тацинский район, х. Коминтерн, примерно в 0,5 км на север от ул. Молодежная, д. 25, к.н. 61:15:0600007:1130 (прибор учёта электроэнергии - 1шт.)</t>
  </si>
  <si>
    <t>Установка прибора коммерческого учёта электрической энергии, для присоединения ВРУ-0,4 кВ жилого дома Голотова В.А., расположенного по адресу: Ростовская область, Тацинский район, х. Качалин, ул. Харченко, д. 25, кв./оф. 2, к.н. 61:38:0070501:17. (прибор учёта электроэнергии - 1шт.)</t>
  </si>
  <si>
    <t>Установка прибора коммерческого учёта электрической энергии, для присоединения ВРУ-0,4 кВ жилого дома Ливанды Е.В., расположенного по адресу: Ростовская область, Тацинский район, х. Зазерский, ул. Кольцевая, д. 10, к.н. 61:38:0090101:70. (прибор учёта электроэнергии - 1шт.)</t>
  </si>
  <si>
    <t>Установка прибора коммерческого учёта электрической энергии, для присоединения ВРУ-0,4 кВ жилого дома Петухова В.А., расположенного по адресу: Ростовская область, Тацинский район, п. Новосуховый, ул. Колодезная, д. 22, к.н.з.у. 61:38:0100101:177 (прибор учёта электроэнергии - 1шт.)</t>
  </si>
  <si>
    <t>Установка прибора коммерческого учёта электрической энергии, для присоединения ВРУ-0,4 кВ жилого дома Свибовича А.А., расположенного по адресу: Ростовская область, Тацинский район, х. Захаро-Обливский, д. 51, к.н. 61:38:0060501:114. (прибор учёта электроэнергии - 1шт.)</t>
  </si>
  <si>
    <t>Установка прибора коммерческого учёта электрической энергии, для присоединения ВРУ-0,4 кВ жилого дома Скляровой Н.Н., расположенного по адресу: Ростовская область, Тацинский район, х. Качалин, ул. Свободы, д. 16, к.н. 61:15:0070501:62. (прибор учёта электроэнергии - 1шт.)</t>
  </si>
  <si>
    <t>Установка прибора коммерческого учёта электрической энергии для присоединения ВРУ-0,4 кВ здания зерносклада ИП Красноперов П.Ф., расположенного по адресу: Ростовская область, Тацинский район,  х. Верхнекольцов, примерно в 0,7 км на север от ул. Мира, д. 6,  к.н. 61:15:0600015:400 (прибор учёта электроэнергии - 1шт.)</t>
  </si>
  <si>
    <t>Установка прибора коммерческого учёта электрической энергии, для присоединения ВРУ-0,4 кВ здание свинарника-маточника Солошенко А.С., расположенного по адресу: Ростовская область, Тацинский район, посёлок Жирнов, примерно в 1,4 км на север,  к.н.з.у.: 61:38:600008:1157 (прибор учёта электроэнергии - 1шт.)</t>
  </si>
  <si>
    <t>Установка прибора коммерческого учёта электрической энергии, для присоединения ВРУ-0,4 кВ здание склада ИП Сальниковой О.П., расположенного по адресу: Ростовская область, Тацинский район, х. Михайлов, примерно в 76 м на северо-восток от х. Михайлов, к.н. 61:15:600006:0226. (прибор учёта электроэнергии - 1шт.)</t>
  </si>
  <si>
    <t>Установка прибора коммерческого учёта электрической энергии, для присоединения ВРУ-0,4 кВ квартиры Акиншина П.И., расположенной по адресу: Ростовская область, Тацинский район, п. Быстрогорский, пер. Торговый, д. 8, кв./оф. 1, к.н. 61:38:040127:0010. (прибор учёта электроэнергии - 1шт.)</t>
  </si>
  <si>
    <t>Установка прибора коммерческого учёта электрической энергии, для присоединения ВРУ-0,4 кВ строящегося здания ИП Романова Р.В., расположенного по адресу: Ростовская область, Тацинский район, х. Крюков, в 1300 м на северо-запад от пер. Речной, д. 3, к.н. 61:38:0600005:934. (прибор учёта электроэнергии - 1шт.)</t>
  </si>
  <si>
    <t>Установка прибора коммерческого учёта электрической энергии, для присоединения ВРУ-0,4 кВ строящегося здания Кудашева М.В., расположенного по адресу: Ростовская область, Тацинский р-н, х. Михайловка, ул. Луговая, д. 29, корп. б, к.н. 61:15:0060801:414. (прибор учёта электроэнергии - 1шт.)</t>
  </si>
  <si>
    <t>Установка прибора коммерческого учёта электрической энергии, для присоединения ВРУ-0,4 кВ нежилого здания ИП Забродина В.В., расположенного по адресу: Ростовская область, Тацинский район, х. Качалин, ул. Свободы, д. 1, корп. в, к.н. 61:15:0070501:870 (прибор учёта электроэнергии - 1шт.)</t>
  </si>
  <si>
    <t>Установка прибора коммерческого учёта электрической энергии,  для присоединения ВРУ-0,4 кВ строящегося здания Лымарева В.А., расположенного по адресу: Ростовская область, Тацинский район,  ст. Тацинская, ул. Пролетарская, д. 186, к.н. 61:38:0010247:48. (прибор учёта электроэнергии - 1шт.)</t>
  </si>
  <si>
    <t>Установка прибора коммерческого учёта электрической энергии, для присоединения ВРУ-0,4 кВ строящегося здания Мисникова Н.В., расположенного по адресу: Ростовская область, Тацинский район,   х. Верхнекольцов, в 0,2 км на юго-запад от ул. Мира, д. 3, к.н.з.у. 61:38:0600015:444. (прибор учёта электроэнергии - 1шт.)</t>
  </si>
  <si>
    <t>Установка прибора коммерческого учёта электрической энергии, для присоединения ВРУ-0,4 кВ строящегося здания Шитова А.А., расположенного по адресу: Ростовская область, Тацинский р-н, п. Сухая Балка, в 0,5 км на северо-восток от ул. Черёмушки, д. 17, к.н.з.у. 61:38:0600012:1561 (прибор учёта электроэнергии - 1шт.)</t>
  </si>
  <si>
    <t>Установка прибора коммерческого учёта электрической энергии для присоединения ЛЭП-0,4 кВ зернотока ИП Небоженко С.А., расположенного по адресу: Ростовская область, Тацинский район,  п. Новосуховский, примерно в 0,3 км по направлению на северо-восток от ул. Административная, д. 8, к.н. 61:38:0600012:1368 (прибор учёта электроэнергии - 1шт.)</t>
  </si>
  <si>
    <t>Установка прибора коммерческого учёта электрической энергии, для присоединения Административного здания Акционерного общества АО «Почта России» расположенного по адресу: Ростовская область, Белокалитвинский р-н, х. Нижнепопов, ул. Молодежная, д. 10, кадастровый номер земельного участка: 61:04:01500203:448 (прибор учёта электроэнергии – 1 шт.)</t>
  </si>
  <si>
    <t>Установка прибора коммерческого учёта электрической энергии, для присоединения Административного здания Акционерного общества АО «Почта России»., расположенного по адресу: Ростовская область, Белокалитвинский р-н, х. Голубинка, ул. Центральная, д. 24, к.н.з.у.: 61:04:0110201:330 (прибор учёта электроэнергии – 1 шт.)</t>
  </si>
  <si>
    <t>Установка прибора коммерческого учёта электрической энергии, для присоединения Административного здания Акционерного общества АО «Почта России»., расположенного по адресу: Ростовская область, Белокалитвинский р-н, х. Ленина, ул. Комарова, д. 36, кадастровый номер земельного участка: 61:04:0100104:145 (прибор учёта электроэнергии – 1 шт.)</t>
  </si>
  <si>
    <t>Установка прибора коммерческого учёта электрической энергии, для присоединения жилого дома Павлова А.А., расположенного по адресу: Ростовская область, Белокалитвинский р-н,  п. Сосны, ул. Лазоревская, д. 2, к.н.з.у.: 61:04:0150409:102 (прибор учёта электроэнергии – 1 шт.)</t>
  </si>
  <si>
    <t>Установка прибора коммерческого учета, электрической энергии для присоединения Административного/офисного здания АО «Почта России», расположенного по адресу: Ростовская область, Милютинский район,  ст-ца Селивановская, ул. Титова, дом 16/3. к.н.з.у 61:23:0080101:2025  (прибор учета электроэнергии 1 шт.)</t>
  </si>
  <si>
    <t>Установка прибора коммерческого учёта электрической энергии,для присоединения ВРУ-0,4 кВ объекта сельскохозяйственного назначения Шканыбина Н.В., расположенного по адресу: Ростовская обл., Милютинский р-н, х. Севостьянов, ул. Девятинская, д. 28, стр. 2, к.н.з.у. 61:23:0080401:730 (прибор учёта электроэнергии – 1 шт.)</t>
  </si>
  <si>
    <t>Установка прибора коммерческого учёта электрической энергии, для присоединения ВРУ-0,4 кВ Складского здания (помещения) Исаева Н.П., расположенного по адресу: Ростовская обл., Милютинский р-н, х. Новодмитровский, примерно в 2,1 км от ориентира х. Новодмитровский по направлению на юг, к.н.з.у. 61:23:0600001:758 (прибор учёта электроэнергии – 1 шт.)</t>
  </si>
  <si>
    <t>Установка прибора коммерческого учета, электрической энергии для присоединения жилого дома Куфты А.Н., расположенного по адресу: Ростовская область, Милютинский район, хутор Николовка, улица Новая,  дом 16, к.н.з.у 61:23:0040301:191 (прибор учета электроэнергии 1 шт.)</t>
  </si>
  <si>
    <t>Установка прибора коммерческого учета, электрической энергии для присоединения жилого дома Бутенко Н.А., расположенного по адресу: Ростовская область, Милютинский район, хутор Коньков, улица Луговая,  дом 31, к.н.з.у 61:23:0080201:31 (прибор учета электроэнергии 1 шт.)</t>
  </si>
  <si>
    <t>Установка прибора коммерческого учета, электрической энергии для присоединения жилого дома Севостьяновой Ю.С., расположенного по адресу: Ростовская область, Милютинский район, хутор Старокузнецов, улица Центральная, дом 59. к.н.з.у 61:23:0070143:441 (прибор учета электроэнергии 1 шт.)</t>
  </si>
  <si>
    <t>Установка прибора коммерческого учета, электрической энергии для присоединения нежилой застройки Шепелева А.С., расположенного по адресу: Ростовская область, Милютинский район, хутор Новодмитриевский, примерно в 0,6 км от ориентира в х. Новодмитриевском по направлению на Северо-Восток, к.н.з.у 61:23:0000000:1337 (прибор учета электроэнергии 1 шт.)</t>
  </si>
  <si>
    <t>Установка прибора коммерческого учета электрической энергии, для присоединения ВРУ-0,4кВ «вагончик» Корсуновой И.А., расположенного по адресу: Ростовская область, Обливский район, поселок Новополеевский, улица Центральная, к.н.з.у.:61:27:0060301:384 (прибор учета электроэнергии -  1 шт.)</t>
  </si>
  <si>
    <t>Установка прибора коммерческого учета электрической энергии, для присоединения жилого дома Дусинязова Р.С., расположенного по адресу: Ростовская область, Обливский район, поселок Новополеевский, улица Центральная, дом 3, к.н.з.у.:61:27:0060301:259 (прибор учета электроэнергии - 1 шт.)</t>
  </si>
  <si>
    <t>Установка прибора коммерческого учета электрической энергии, для присоединения ВРУ-0,4кВ «квартира» Моторкиной О.В., расположенного по адресу: Ростовская область, Обливский район, поселок Сосновый, улица Жуланова, дом 17, кв.2, к.н.з.у.:61:27:0040401:243 (прибор учета электроэнергии - 1 шт.)</t>
  </si>
  <si>
    <t>Установка прибора коммерческого учета электрической энергии, для присоединения жилого дома Бублик Е.В., расположенного по адресу: Ростовская область, Обливский район, хутор Рябовский, улица 50 лет Победы, дом 51, к.н.з.у.:61:27:0070201:20 (прибор учета электроэнергии - 1 шт.)</t>
  </si>
  <si>
    <t>Установка прибора коммерческого учета электрической энергии, для присоединения жилого дома Захарова А.В., расположенного по адресу: Ростовская область, Обливский район, Садоводческое товарищество «Дачное», улица Лесодачная, дом 25 к.н.з.у.:61:27:500101:254 (прибор учета электроэнергии - 1шт.)</t>
  </si>
  <si>
    <t>Установка прибора коммерческого учета электрической энергии, для присоединения жилого дома Зубковой Е.С., расположенного по адресу: Ростовская область, Обливский район, хутор Рябовский, улица Шолохова,  дом 32, к.н.з.у.:61:27:0070201:271 (прибор учета электроэнергии - 1 шт.)</t>
  </si>
  <si>
    <t>Установка прибора коммерческого учета электрической энергии, для присоединения жилого дома Николаева В.П., расположенного по адресу: Ростовская область, Обливский район, станица Обливская, поселок Мехлесхоз, дом 25, к.н.з.у.:61:27:0070146:37 (прибор учета электроэнергии -   1 шт.)</t>
  </si>
  <si>
    <t>Установка прибора коммерческого учета электрической энергии, для присоединения жилого дома Рекуданова А.А., расположенного по адресу: Ростовская область, Обливский район, хутор Трухин, улица Овражная, дом 12, к.н.з.у.:61:27:0050701:19 (прибор учета электроэнергии - 1 шт.)</t>
  </si>
  <si>
    <t>Установка прибора коммерческого учета электрической энергии, для присоединения жилого дома Скобелевой Л.С., расположенного по адресу: Ростовская область, Обливский район, хутор Трухин, улица Овражная, дом 11, к.н.з.у.:61:27:0050701:22 (прибор учета электроэнергии - 1 шт.)</t>
  </si>
  <si>
    <t>Установка прибора коммерческого учёта, электрической энергии для присоединения ВРУ-0,4 кВ «строящийся жилой дом» Овчинниковой Н.Н., расположенного по адресу: Ростовская область, Обливский район, станица Обливская, п. Мехлесоз, д.31, к.н.з.у. 61:27:0070146:445 (прибор учёта электроэнергии - 1шт.)</t>
  </si>
  <si>
    <t>Установка прибора коммерческого учета электрической энергии для присоединения ВРУ- 0,4 кВ здания клуба, расположенной по адресу:Ростовская область, Советский р-н, сл. Калач-Куртлак, ул. Центральная, д. 20, К.Н 61:36:0040101:345 (прибор учёта электроэнергии - 1шт)</t>
  </si>
  <si>
    <t>Установка прибора коммерческого учёта электрической энергии, для присоединения ВРУ-0,4кВ административного/офисного здания АО «Почта России» расположенного по адресу: Ростовская область, Тацинский район, х. Ковылкин, ул. Мира, д. 14,  к.н. 61:38:0110101:1037 (прибор учёта электроэнергии –  1 шт.)</t>
  </si>
  <si>
    <t>Установка прибора коммерческого учёта электрической энергии для присоединения модульного здания Дома Культуры на 100 мест, расположенного по адресу: Ростовская область, Каменский р-н, х. Гусев, примыкает к земельному участку по ул. Центральная, 21 к.н.з.у. 61:15:0060101:1388 (прибор учёта электроэнергии - 1шт.)</t>
  </si>
  <si>
    <t>Установка прибора коммерческого учёта электрической энергии, для присоединения ВРУ-0,4кВ жилого дома Данченковой Н.А., расположенного по адресу: Ростовская область, Каменский район, х. Старая Станица, ул. Сосновая, д. 28, к.н. 61:15:0130101:618 (прибор учёта электроэнергии –  1 шт.)</t>
  </si>
  <si>
    <t>Установка прибора коммерческого учета электрической энергии (мощности) на границе земельного участка, подключенного от опоры №183-4 ВЛ-0,4 №1 от КТП-183 по ВЛ-10 313 ПС 35 кВ КГ3, для электроснабжения объекта офисного здания заявителя ИП Адиханян А.А., Ростовская обл., р-н. Кагальницкий, ст-ца. Кировская, ул. Кирова, д. 12Г (1 шт.)</t>
  </si>
  <si>
    <t>Строительство ВЛИ - 0,4 кВ от опор №135-45 ВЛ-0,4 кВ №1 от ТП-135 по ВЛ-10 805 ПС 110 БОС и установка коммерческого учета электрической энергии (мощности) для электроснабжения объекта торговли Заявителя ИП Андреянов В.В., Ростовская область, Кагальницкий р-н, п. Мокрый Батай, ул. 40 лет Победы д.13 (ориентировочная протяженность ЛЭП– 0,03 км</t>
  </si>
  <si>
    <t>Установка прибора коммерческого учета электрической энергии (мощности) на границе земельного участка, подключенного от опоры № 51-26 ВЛ 0,4 №2 КТП-51 ВЛ-10 1006 ПС 110 кВ Полячки для технологического присоединения энергопринимающих устройств базовой станции Заявителя ПАО «Ростелеком», Ростовская область, Кагальницкий р-н, х. Родники, N46.57413 E40.13157 (1 шт.)</t>
  </si>
  <si>
    <t>Установка прибора коммерческого учета электрической энергии (мощности) на границе земельного участка, подключенного от опоры №128-103 ВЛ 0,4 №1 КТП-128 ВЛ-10 313 ПС 35 кВ КГ3 для технологического присоединения энергопринимающих устройств жилого дома Заявителя Квартины С.А., Ростовская область, Кагальницкий р-н, ст. Кировская, ул. Менделеева д.16 (1 шт.)</t>
  </si>
  <si>
    <t>Установка прибора коммерческого учета электрической энергии (мощности) на границе земельного участка, подключенного от опоры №130-78 ВЛ 0,4 №3 КТП-130 ВЛ-10 1813 ПС 35 кВ ЗР18 для технологического присоединения энергопринимающих устройств жилого дома Заявителя Сохакян А. Л., Ростовская обл., р-н. Зерноградский, г. Зерноград, ул. Российская,  д. 14 (1 шт.)</t>
  </si>
  <si>
    <t>Установка прибора коммерческого учета электрической энергии (мощности) на границе земельного участка, подключенного от опоры №13-22 ВЛ 0,4 №1 КТП-13 ВЛ-10 612 ПС 35 кВ КГ6 для технологического присоединения энергопринимающих устройств жилого дома Заявителя Бондаренко А.А., Ростовская область, Кагальницкий р-н, с. Новобатайск, ул. Ленина д.8А (1 шт.</t>
  </si>
  <si>
    <t>Установка прибора коммерческого учета электрической энергии (мощности) на границе земельного участка, подключенного от опоры №218-50 ВЛ 0,4 №2 КТП-218 ВЛ-10 605 ПС 35 кВ КГ6 для технологического присоединения энергопринимающих устройств ЛПХ Заявителя Сабуренко Н.Т., Ростовская область, Кагальницкий р-н, с. Новобатайск, пер. Братский д.2А (1 шт.)</t>
  </si>
  <si>
    <t>Установка прибора коммерческого учета электрической энергии (мощности) на границе земельного участка, подключенного от опоры №55-77 ВЛ 0,4 №2 КТП-55 ВЛ-10 1107 ПС 35 кВ ЗР11 для технологического присоединения энергопринимающих устройств ЛПХ Заявителя Васильевой Т.А., Ростовская область, Зерноградский р-н, с. Новоивановка, ул. Школьная д.43 (1 шт.)</t>
  </si>
  <si>
    <t>Установка прибора коммерческого учета электрической энергии (мощности) на границе земельного участка, подключенного от опоры №84-48 ВЛ 0,4 №2 КТП-84 ВЛ-10 415 ПС 35 кВ КГ4 для технологического присоединения энергопринимающих устройств жилого дома Заявителя Дудла Л.П., Ростовская область, Кагальницкий р-н, х. Черниговский, пер. Донской д.19 (1 шт.)</t>
  </si>
  <si>
    <t>Установка прибора коммерческого учета электрической энергии (мощности) на границе земельного участка, подключенного от опоры №96-142 ВЛ 0,4 №5 КТП-96 ВЛ-10 501 ПС 35 кВ ЗР5 для технологического присоединения энергопринимающих устройств жилого дома Заявителя Кишенко Т.Ф., Ростовская область, Зерноградский р-н, х. Гуляй-Борисовка, ул. Есенина д.7 (1 шт.)</t>
  </si>
  <si>
    <t>Установка прибора коммерческого учета электрической энергии (мощности) на границе земельного участка, подключенного от опоры №99-40 ВЛ 0,4 №2 КТП-99 ВЛ-10 114 ПС 220 кВ Зерновая для технологического присоединения энергопринимающих устройств ЛПХ Заявителя Михайлова-Крым А.А., Ростовская область, Зерноградский р-н, в 0,035км от восточной окраины г. Зерноград уч.40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</si>
  <si>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проектируемой ТП от оп. № 6-29 по ВЛ-10 1508 от ПС 110 кВ ЗР15 для технологического присоединения энергопринимающих устройств базовой станции Заявителя ПАО «Ростелеком», Ростовская область, Зерноградский р-н, п. Прудовой, N46.793383 E40.235364 (1 шт.)</t>
  </si>
  <si>
    <t>Установка прибора коммерческого учета электрической энергии (мощности) на трансформаторной подстанции, подключенного от РУ-0,4 от КТП-40 ВЛ-10 103 ПС 35 кВ Звонкая для технологического присоединения энергопринимающих устройств базовой станции Заявителя ПАО «Ростелеком», Ростовская область, Кагальницкий р-н, п. Березовая Роща, N47.0200 E39.58374 (1 шт.)</t>
  </si>
  <si>
    <t>Установка коммерческого учета электрической энергии (мощности) на границе земельного участка, подключенного от оп. №78-70 ВЛ-0,4 кВ №3 КТП 10/0,4 кВ №78 по ВЛ-10 кВ №613 ПС 35/10 кВ "А-6", для электроснабжения жилого дома заявителя Богатыревой Т.И., с. Новомаргаритово, Азовский р-он,  Ростовская область</t>
  </si>
  <si>
    <t>Установка прибора коммерческого учета электрической энергии (мощности) на границе земельного участка, подключенного от опоры №44-19 ВЛ-0,4 кВ №1 КТП 10/0,4кВ №44 ВЛ-10кВ №3125 ПС 110/35/10 кВ «А-31» для технологического присоединения энергопринимающих устройств жилого дома Заявителя Акушевич Е.Н., с. Пешково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</si>
  <si>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Заявителя Министерство транспорта Ростовской области, Азовский район Ростовская область (3 шт.)</t>
  </si>
  <si>
    <t>Установка приборов коммерческого учета электрической энергии (мощности) на границе земельного участка, подключенного от опоры №192-9 ВЛ-0,4 кВ №2 КТП 10/0,4кВ №192 ВЛ-10кВ №1020 ПС 110/35/10 кВ «Самарская» для технологического присоединения энергопринимающих устройств жилого дома Заявителя Гаспарян Н.А., с. Самарское,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</si>
  <si>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опоры №32-47 ВЛ-0,4 кВ №2 КТП 10/0,4кВ №32 ВЛ-10кВ №2907 РП-29 ПС 35/10 кВ «А-18» для технологического присоединения энергопринимающих устройств жилого дома Заявителя Сазоновой В.И., х. Коса, Азовский район Ростовская область (1 шт.)</t>
  </si>
  <si>
    <t>Установка прибора коммерческого учета электрической энергии (мощности) для технологического присоединения жилого дома Заявителя Аксененко Е.П., Азовский район Ростовская область х. Казачий Ерик, ул. Степная, д. 18 А (1 шт.)</t>
  </si>
  <si>
    <t>Установка прибора коммерческого учета электрической энергии (мощности) на границе земельного участка, подключенного от опоры №б/н ВЛ-0,4кВ (бесхозная) КТП-6/0,4 кВ №101 по ВЛ-6кВ №10701 ПС 110/35/6 кВ «А-1» для технологического присоединения энергопринимающих устройств жилого дома Заявителя Дьяченко Т.В.., г. Азов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</si>
  <si>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№7-1 ВЛ-0,4 кВ №1 КТП 10/0,4кВ №7 ВЛ-10кВ №802 ПС 35/10 кВ «А-8» для технологического присоединения энергопринимающих устройств жилого дома Заявителя Золотухина С.С., х. Павло-Очаково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</si>
  <si>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№1-30 ВЛ-0,4 кВ №3 КТП 10/0,4кВ №1 ВЛ-10кВ №302Н ПС 110/35/6/10 кВ «НС-3» для технологического присоединения энергопринимающих устройств жилого дома Заявителя Симониной Е.Н., х. Еремеевка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</si>
  <si>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№188-79 ВЛ 0,4 кВ №1 КТП 10/0,4кВ №188 ВЛ 10кВ №307Н ПС 110/35/10 кВ НС-3 для технологического присоединения энергопринимающих устройств нежилой застройки Заявителя Коваленко Е.В., х. Еремеевка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</si>
  <si>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№214-53 ВЛ-0,4 кВ №3 КТП-10/0,4 кВ №214 по ВЛ-10 кВ №910 ПС 35/10 кВ «А-9» для технологического присоединения энергопринимающих устройств жилого дома Заявителя Куринной Г. А., Ростовская область. г. Азов, ДНТ «Звездное» (1 шт.)</t>
  </si>
  <si>
    <t>Установка прибора коммерческого учета электрической энергии (мощности) на границе земельного участка, подключенного от опоры №257-90 ВЛ 0,4кВ №3 КТП 6/0,4 кВ №257 ВЛ 6кВ №10701 ПС 110/35/6 кВ А-1 для технологического присоединения энергопринимающих устройств жилого дома Заявителя Лобачева С.А., г. Азов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</si>
  <si>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№27-2 ВЛ-0,4 кВ №1 КТП 10/0,4кВ №27 ВЛ-10кВ №1815 ПС 35/10 кВ «А-18» для технологического присоединения энергопринимающих устройств жилого дома Заявителя Балюнис Л.Е.,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</si>
  <si>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№32-10 ВЛ-0,4 кВ №1 КТП 10/0,4кВ №32 ВЛ-10кВ №2907 РП-29 ПС 35/10 кВ «А-18» для технологического присоединения энергопринимающих устройств жилого дома Заявителя Щепиной Н.С., х. Коса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</si>
  <si>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№34-34 ВЛ 0,4 кВ №1 КТП 10/0,4кВ №34 ВЛ 10кВ №2907 РП-29 ПС 35/10 кВ А-18 для технологического присоединения энергопринимающих устройств жилого дома Заявителя Ткачевой Н.Н., ст-ца. Елизаветинская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</si>
  <si>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№50-15 ВЛ 0,4 кВ №1 КТП 10/0,4кВ №50 ВЛ 10кВ №3017 ПС 220/110//10 кВ А-30 для технологического присоединения энергопринимающих устройств жилого дома Заявителя Вареновой К.В., с. Кугей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</si>
  <si>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КТП 10/0,4 кВ №279 (балансовая принадлежность ИП Усачев В.И. (п. Беловодье) по ВЛ 10кВ №1815 ПС 35/10 кВ А-18 для технологического присоединения энергопринимающих устройств жилого дома Заявителя Жилина А.Н.,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</si>
  <si>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ВЛ-0,4кВ КТП 10/0,4 кВ №279 (балансовая принадлежность ИП Усачев В.И. (п. Беловодье) по ВЛ 10кВ №1815 ПС 35/10 кВ А-18 для технологического присоединения энергопринимающих устройств жилого дома Заявителя Кравцова А.Г.,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</si>
  <si>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 кВ КТП 10/0,4кВ №336 (балансовая принадлежность ВЛ-0,4, КТП 10/0,4 кВ №336 Котиева Т.М.) ВЛ-10кВ №211 ПС 35/10 кВ «А-2» для технологического присоединения энергопринимающих устройств жилого дома Заявителя Кило А.Г.,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</si>
  <si>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№105-18 ВЛ 0,4 кВ №1 КТП 10/0,4кВ №105 ВЛ 10кВ №1913 РП-19 ПС 110/35/10 кВ Самарская для технологического присоединения энергопринимающих устройств жилого дома Заявителя Игнатовой Р.М., х. Степнянский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</si>
  <si>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№111-76 ВЛ 0,4 кВ №3 КТП 10/0,4кВ №111 ВЛ 10кВ №3113 ПС 110/35/10 кВ А-31 для технологического присоединения энергопринимающих устройств жилого дома Заявителя Воробьева К.В., с. Пешково, ул. Вишневая, д. 106 Б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</si>
  <si>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№111-76 ВЛ 0,4 кВ №3 КТП 10/0,4кВ №111 ВЛ 10кВ №3113 ПС 110/35/10 кВ А-31 для технологического присоединения энергопринимающих устройств жилого дома Заявителя Воробьева К.В., с. Пешково, ул. Вишневая, д. 106 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</si>
  <si>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№148-33/1 ВЛ 0,4 кВ №2 КТП 10/0,4кВ №148 ВЛ 10кВ №1019 ПС 110/35/10 кВ Самарская для технологического присоединения энергопринимающих устройств жилого дома Заявителя Гончаровой Т.С.,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</si>
  <si>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№182-11 ВЛ 0,4 кВ №1 КТП 10/0,4кВ №182 ВЛ 10кВ №3127 ПС 110/35/10 кВ А-31 для технологического присоединения энергопринимающих устройств жилого дома Заявителя Лепило Н.В.,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</si>
  <si>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№18-80 ВЛ-0,4 кВ №3 КТП 10/0,4 кВ №18 по ВЛ 10 кВ №3113 ПС 110/35/10 кВ А-31 для технологического присоединения энергопринимающих устройств жилого дома Заявителя Байтякова П.Д.,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</si>
  <si>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№18-83 ВЛ 0,4 кВ №3 КТП 10/0,4кВ №18 ВЛ 10кВ №3113 ПС 110/35/10 кВ А-31 для технологического присоединения энергопринимающих устройств жилого дома Заявителя Хамайко А.В.,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</si>
  <si>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№201-60 ВЛ 0,4 кВ №2 КТП 10/0,4кВ №201 ВЛ 10кВ №1019 ПС 110/35/10 кВ Самарская для технологического присоединения энергопринимающих устройств жилого дома Заявителя Ивановой Е.Ю.,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</si>
  <si>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№311-1/1 ВЛ 0,4 кВ №3 КТП 10/0,4кВ №311 ВЛ 10кВ №106Н ПС 110/6/10 кВ НС-1 для технологического присоединения энергопринимающих устройств жилого дома Заявителя Хуршидова Х.Б.,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</si>
  <si>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№315-20 ВЛ 0,4 кВ №1 КТП 10/0,4кВ №315 ВЛ 10кВ №2608 ПС 110/10 кВ А-26 для технологического присоединения энергопринимающих устройств жилого дома Заявителя Эммануэль Марк Эно,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</si>
  <si>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№35-40 ВЛ 0,4 кВ №1 КТП 10/0,4кВ №35 ВЛ 10кВ №1904 РП-19 ПС 110/35/10 кВ Самарская для технологического присоединения энергопринимающих устройств жилого дома Заявителя Саргсян А.А., с. 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</si>
  <si>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№58-11 ВЛ 0,4 кВ №1 КТП 10/0,4кВ №58 ВЛ 10кВ №2412 ПС 35/10 кВ А-24 для технологического присоединения энергопринимающих устройств жилого дома Заявителя Баздикян Я. А.,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</si>
  <si>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№6-2 ВЛ 0,4 кВ №1 КТП 10/0,4кВ №6 ВЛ 10кВ №3113 ПС 110/35/10 кВ А-31 для технологического присоединения энергопринимающих устройств нежилого здания Заявителя ИП Никитенко А.А.,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</si>
  <si>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№69-80 ВЛ 0,4 кВ №2 КТП 10/0,4кВ №69 ВЛ 10кВ №307Н ПС 110/35/6/10 кВ НС-3 для технологического присоединения энергопринимающих устройств жилого дома Заявителя Биналиевой Ф.И., с. Васильево-Петровское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</si>
  <si>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№71-103 ВЛ 0,4 кВ №2 КТП 10/0,4кВ №71 ВЛ 10кВ №105Н ПС 110/6/10 кВ НС-1 для технологического присоединения энергопринимающих устройств гаража Заявителя Барабанова О.В., х. Усть-Койсуг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</si>
  <si>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№93-14 ВЛ 0,4 кВ №1 КТП 10/0,4кВ №93 ВЛ 10кВ №202Н ПС 110/6/10 кВ НС-2 для технологического присоединения энергопринимающих устройств жилого дома Заявителя Казарян Т.А.,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</si>
  <si>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№418-44 ВЛ 0,4 кВ №2 КТП-418 ВЛ-10кВ №612 ПС 35 кВ Е-6 для технологического присоединения энергопринимающих устройств жилого дома Заявителя Вартанян М.С., х.Шаумяновский Егорлыкский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</si>
  <si>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подключенногона оп. № 172-57 ВЛ-0,4 № 2 КТП-172 ВЛ-10  904  ПС 110 кВ Балко-Грузская., для электроснабжения жилого дома заявителя Слепухина А.Ф., х. Балко-Грузский, ул. Заречная,  д. 143, Егорлыкский р-он Ростовская область (1шт)</t>
  </si>
  <si>
    <t>Строительство участка ВЛИ 0,4кВ от опоры № 135-155 ВЛ-0,4 №4 от КТП-135 по ВЛ-10 805 ПС 110 кВ БОС и системы учета электрической энергии (мощности) на границе земельного участка для электроснабжения ЛПХ заявителя Тохиян А.С., Ростовская область, Кагальницкий р-н, п. Мокрый Батай, ул. Юбилейная д.43 (ориентировочная протяженность ЛЭП – 0,1 км)</t>
  </si>
  <si>
    <t>Установка коммерческого учета электрической энергии (мощности) на границе земельного участка, подключенного от оп. № 42-91 ВЛ-0,4 кВ №1 КТП-10/0,4 кВ №91 по ВЛ-10 кВ №415 ПС 35/10 кВ «КГ-4», для электроснабжения ЛПХ заявителя Степаненко И.Н., х. Лугань, Кагальницкий р-он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</si>
  <si>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№29-49 ВЛ 0,4 №2 КТП-29 ВЛ-10 605 ПС 35 кВ КГ6 для технологического присоединения энергопринимающих устройств ЛПХ Заявителя Мегеры К.Л., Ростовская область, Кагальницкий р-н, с. Новобатайск, ул. Илларионова д.50Б (1 шт.)</t>
  </si>
  <si>
    <t>Установка прибора коммерческого учета электрической энергии (мощности) на границе земельного участка, подключенного от опоры №31-7 ВЛ 0,4 №1 КТП-31 ВЛ-10 313 ПС 35 кВ КГ3 для технологического присоединения энергопринимающих устройств ЛПХ Заявителя Парапоновой Е.А., Ростовская область, Кагальницкий р-н, ст. Кировская, ул. Московская д.75 (1 шт.)</t>
  </si>
  <si>
    <t>Установка прибора коммерческого учета электрической энергии (мощности) на границе земельного участка, подключенного от опоры №3-94 ВЛ 0,4 №2 КТП-3 ВЛ-10 114 ПС 220 кВ Зерновая для технологического присоединения энергопринимающих устройств нежилого помещения Заявителя Хачатурян К.Г., Ростовская область, Зерноградский р-н, п. Кленовый, ул. Кошевого д.4-К (1 шт)</t>
  </si>
  <si>
    <t>Установка прибора коммерческого учета электрической энергии (мощности) на границе земельного участка, подключенного от опоры №72-19 ВЛ 0,4 №1 КТП-72 ВЛ-10 801 ПС 35 кВ ЗР8 для технологического присоединения энергопринимающих устройств жилого дома Заявителя Шепель А.Н. , Ростовская область, Зерноградский р-н, х. Цветной, ул. Солнечная д.31 б (1 шт.)</t>
  </si>
  <si>
    <t>Строительство системы учета для технологического присоединения энергопринимающих устройств Заявителей: Корниенко Д.В., Стрельцова В.В., Азовский р-он, Ростовская область</t>
  </si>
  <si>
    <t>Строительство участка ВЛИ 0,4кВ от опоры № 104-15 ВЛ 0,4 кВ №2 КТП 10/0,4 кВ №104 ВЛ 10кВ №3113 ПС 110/35/10 кВ А-31 и системы учета электрической энергии (мощности) на границе земельного участка для электроснабжения жилого дома заявителя Чертова А.П., с. Пешково, Азовский район, Ростовская область (ориентировочная протяженность ЛЭП – 0,170 км)</t>
  </si>
  <si>
    <t>Установка прибора коммерческого учета электрической энергии (мощности) на границе земельного участка, подключенного от опоры №311-17 ВЛ-0,4 кВ №3 КТП-10/0,4 кВ №311 по ВЛ-10 кВ №106Н ПС 110/6/10 кВ «НС-1» для технологического присоединения энергопринимающих устройств жилого дома Заявителя Согомонян С.Г., Кулешовское сельское поселение, ТСН «СНТ Белгорос»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</si>
  <si>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Безсонова Д.С., Ким Р.Н., Скокова В.В.,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</si>
  <si>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№108-21 ВЛ-0,4 кВ №1 КТП 10/0,4кВ №108 ВЛ-10кВ №1908 РП-19 ПС 110/35/10 кВ «Самарская» для технологического присоединения энергопринимающих устройств жилого дома Заявителя Бабоян Л.В., х. Большевик Азовский район, Ростовская область (1 шт.)</t>
  </si>
  <si>
    <t>Строительство участка ВЛИ 0,4кВ от опоры №160-18 ВЛ-0,4 кВ №1 КТП 10/0,4 кВ №160 ВЛ-10кВ №1904 РП-19 ПС 110/35/10 кВ «Самарская» и системы учета электрической энергии (мощности) на границе земельного участка для электроснабжения здания заявителя Ткачевой Е.А., с. Новотроицкое, Азовский район, Ростовская область (ориентировочная протяженность ЛЭП – 0,100 км)</t>
  </si>
  <si>
    <t>Строительство участка ВЛИ 0,4кВ от опоры №42-71 ВЛ-0,4 кВ №2 КТП 10/0,4 кВ №42 ВЛ-10кВ №1802 ПС 35/10 кВ «А-18» и системы учета электрической энергии (мощности) на границе земельного участка для электроснабжения жилого дома заявителя Касич М.М., х. Рогожкино, Азовский район, Ростовская область (ориентировочная протяженность ЛЭП – 0,04 км)</t>
  </si>
  <si>
    <t>Установка прибора коммерческого учета электрической энергии (мощности) на границе земельного участка, подключенного от опоры №144-45 ВЛ 0,4 кВ №2 КТП 10/0,4кВ №144 ВЛ 10кВ №1107 ПС 35/10 кВ А-11 для технологического присоединения энергопринимающих устройств жилого дома Заявителя Колтаковой О.М.,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</si>
  <si>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 №342-6 ВЛ-0,4 кВ №1 КТП-10/0,4 кВ №342 по ВЛ-10 кВ №107Н ПС 110/6/10 кВ «НС-1» для технологического присоединения энергопринимающих устройств жилого дома Заявителя Мищенко Н.В., ДНТ "Задонье", Азовский район Ростовская область (1 шт.)</t>
  </si>
  <si>
    <t>Строительство участка ВЛИ 0,4кВ от опоры №98-42 ВЛ 0,4 кВ №2 КТП 10/0,4 кВ №98 ВЛ 10 кВ 3127 ПС 110/35/10 кВ А-31 и системы учета электрической энергии (мощности) на границе земельного участка для электроснабжения жилого дома заявителя Курленко О.И., с. Займо-Обрыв, Азовский район, Ростовская область (ориентировочная протяженность ЛЭП – 0,050 км)</t>
  </si>
  <si>
    <t>Установка прибора коммерческого учета электрической энергии (мощности) на границе земельного участка, подключенного от опоры №144-49 ВЛ-0,4 кВ №2 КТП-10/0,4 кВ №144 по ВЛ-10 кВ № 1107 ПС 35/10 кВ «А-11» для технологического присоединения энергопринимающих устройств жилого дома Заявителя Смешко М.Н.,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</si>
  <si>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№174-20 ВЛ 0,4 кВ №2 КТП 10/0,4кВ №174 ВЛ 10кВ №902 ПС 35/10 кВ А-9 для технологического присоединения энергопринимающих устройств жилого дома Заявителя Медовой И.А., х. Павловка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</si>
  <si>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№182-20 ВЛ-0,4 кВ №1 КТП-10/0,4 кВ №182 по ВЛ-10 кВ №3127 ПС 110/35/10 кВ «А-31» для технологического присоединения энергопринимающих устройств жилого дома Заявителя Рыбалко Е.К.,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</si>
  <si>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№228-8 ВЛ 0,4 кВ №1 КТП 10/0,4кВ №228 ВЛ 10кВ №106Н ПС 110/6/10 кВ НС-1 для технологического присоединения энергопринимающих устройств жилого дома Заявителя Тищенко С.В., п. Овощной,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</si>
  <si>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Министерство транспорта РО, Шевченко А.А., Старовойтова А.М., Азовский район Ростовская область (3 шт.)</t>
  </si>
  <si>
    <t>Установка приборов коммерческого учета электрической энергии (мощности) на границе земельного участка, подключенного от оп. №99-6 ВЛ-0,4 кВ №1 КТП-10/0,4 кВ №99 по ВЛ-10 кВ №106Н ПС 110/6/10 кВ «НС-1» для технологического присоединения энергопринимающих устройств жилого дома Заявителя Шадрина В.А.,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</si>
  <si>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№14-33 ВЛ 0,4 кВ №2 КТП 10/0,4кВ №14 ВЛ 10кВ №3125 ПС 110/35/10 кВ А-31 для технологического присоединения энергопринимающих устройств жилого дома Заявителя Якобишина М.Ю., с. 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</si>
  <si>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№165-8 ВЛ 0,4 кВ №1 КТП 10/0,4кВ №165 ВЛ 10кВ №1107 ПС 35/10 кВ А-11 для технологического присоединения энергопринимающих устройств жилого дома Заявителя Жигулина Э.С., х. Узяк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</si>
  <si>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№21-55 ВЛ 0,4 кВ №2 КТП 10/0,4кВ №21 ВЛ 10кВ №1411 РП-14 ПС 110/35/10 кВ А-32 для технологического присоединения энергопринимающих устройств объектов наружного освещения Заявителя Министерство транспорта Ростовской области, с. 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</si>
  <si>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№217-33 ВЛ 0,4 кВ №2 КТП 10/0,4кВ №217 ВЛ 10кВ №1107 ПС 35/10 кВ А-11 для технологического присоединения энергопринимающих устройств жилого дома Заявителя Царевой Н.Н.,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</si>
  <si>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№311-1/6 ВЛ 0,4 кВ №3 КТП 10/0,4кВ №311 ВЛ 10кВ №106Н ПС 110/6/10 кВ НС-1 для технологического присоединения энергопринимающих устройств жилого дома Заявителя Короченской Т.А.,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</si>
  <si>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№14-72/1 ВЛ 0,4 кВ №3 КТП 10/0,4кВ №14 ВЛ 10кВ №106Н ПС 110/6/10 кВ НС-1 для технологического присоединения энергопринимающих устройств жилого дома Заявителя Дорошенко Е.И.,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</si>
  <si>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№239-138 ВЛ 0,4 кВ №3 КТП 10/0,4кВ №239 ВЛ 10кВ №106Н ПС 110/6/10 кВ НС-1 для технологического присоединения энергопринимающих устройств жилого дома Заявителя Кулаковой О.А.,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</si>
  <si>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№240-145 ВЛ 0,4 кВ №3 КТП 10/0,4кВ №240 ВЛ 10кВ №106Н ПС 110/6/10 кВ НС-1 для технологического присоединения энергопринимающих устройств жилого дома Заявителя Заблоцкого В.А.,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</si>
  <si>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№148П (балансовая принадлежность Шацкого Ю.В.)  ВЛ 10кВ №106Н ПС 110/6/10 кВ НС-1 для технологического присоединения энергопринимающих устройств жилого дома Заявителя Бежковой Н.В., п. Овощной Азовский район, Ростовская область (1 шт.)</t>
  </si>
  <si>
    <t>Установка прибора коммерческого учета электрической энергии (мощности), подключенного на оп. №335-31 ВЛ-0,4 № 2 КТП-335 ВЛ-10 217 ПС 110 кВ Егорлыкская, для электроснабжения базовой станции заявителя ПАО «Ростелеком», х. Ютин, № 46.631842  40.633208, Егорлыкский р-он, Ростовская область (1шт)</t>
  </si>
  <si>
    <t>Установка прибора коммерческого учета электрической энергии (мощности), подключенного на оп. №39-2 ВЛ-0,4 № 1 КТП-39 ВЛ-10 203 ПС 110 кВ Егорлыкская, для электроснабжения базовой станции заявителя ПАО «Ростелеком», х. Заря, Егорлыкский р-он, Ростовская область (1шт)</t>
  </si>
  <si>
    <t>Установка прибора коммерческого учета электрической энергии (мощности) на границе земельного участка, подключенного от опоры №212-7 ВЛ 0,4 кВ №1 КТП-212 ВЛ-10кВ №612 ПС 35 кВ Е-6 для технологического присоединения энергопринимающих устройств жилой летней кухни Заявителя Авакян А.А., х. Шаумяновский, Егорлыкский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</si>
  <si>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 211-100 ВЛ-0,4 № 3 КТП-211 ВЛ-10 612   ПС 35кВ Е-6 для технологического присоединения энергопринимающих устройств жилого дома Заявителя Аванесян А.Г., х.Шаумяновский Егорлыкский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</si>
  <si>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 103-7 ВЛ-0,4 № 1 КТП-103 ВЛ-10 702 ПС 35 кВ Е-7 для технологического присоединения энергопринимающих устройств нежилого здания (склад) Заявителя ИП Воробьевой М.В., х.Таганрогский, Егорлыкский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</si>
  <si>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 167-6 ВЛ-0,4 № 1 КТП-167 ВЛ-10 908 ПС 110 кВ Балко-Грузская для технологического присоединения энергопринимающих устройств нежилого здания (склад) Заявителя ИП Димитренко Г.Р., х.Мирный, Егорлыкский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</si>
  <si>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 292-1 ВЛ-0,4 № 1 КТП-292 ВЛ-10 908 ПС 110 кВ Балко-Грузская для технологического присоединения энергопринимающих устройств магазина Заявителя ИП Иванченко И.В., х.Мирный, Егорлыкский район, Ростовская область (1 шт.)</t>
  </si>
  <si>
    <t>Строительство участка ВЛИ 0,4кВ от опоры № 55-9 ВЛ-0,4 №2 от КТП-55 по ВЛ-10 1209 ПС 110 кВ Манычская и системы учета электрической энергии (мощности) на границе земельного участка для электроснабжения ангара заявителя главы крестьянского (фермерского) хозяйства Юнкиной И.В., Ростовская область, Зерноградский р-н, п. Междупольный, в 3,322км на северо-запад от северо-западной его окраины (ориентировочная протяженность ЛЭП – 0,15 км)</t>
  </si>
  <si>
    <t>Строительство участка ВЛИ 0,4кВ от опоры № 85-34 ВЛ-0,4 №2 от КТП-85 по ВЛ-10 119 ПС 220 кВ Зерновая и системы учета электрической энергии (мощности) на границе земельного участка для электроснабжения ЛПХ заявителя Горстка В.Н., Ростовская область, Зерноградский р-н, п. Дубки, ул. Коптева д.7 (ориентировочная протяженность ЛЭП – 0,05 км)</t>
  </si>
  <si>
    <t>Строительство участка ВЛИ 0,4кВ от опоры №134-2 ВЛ-0,4 №1 от КТП-134 по ВЛ-10 101 ПС 220 кВ Зерновая и системы учета электрической энергии (мощности) на границе земельного участка для электроснабжения жилого дома заявителя Бардачевой В.И., Ростовская область г. Зерноград ул. Аксайская д.10 (ориентировочная протяженность ЛЭП – 0,04 км)</t>
  </si>
  <si>
    <t>Строительство участка ВЛИ-0,4кВ от опоры №132-66 ВЛ-0,4 кВ №1 КТП-132 по ВЛ-10 кВ № 506 ПС 35/10 кВ Е-5 и установка системы учета электрической энергии (мощности) на границе земельного участка для электроснабжения жилого дома заявителя Мурадова К.С., х.Объединенный, Егорлыкский р-он, Ростовская область (ориентировочная протяженность ЛЭП – 0,030 км)</t>
  </si>
  <si>
    <t>Строительство участка ВЛИ 0,4кВ от оп.67-14 ВЛ-0,4 №1 от КТП-67 по ВЛ-10 1319 ПС 35 кВ ЗР13 и системы учета электрической энергии (мощности) на границе земельного участка для электроснабжения жилого дома заявителя Погорелова М.Н., Ростовская область, Зерноградский р-н, х. Лесхоз, ул. Лесная д.12 (ориентировочная протяженность ВЛИ-0,4  – 0,21 км)</t>
  </si>
  <si>
    <t>Установка прибора коммерческого учета электрической энергии (мощности) на границе земельного участка, подключенного от опоры №4-70 ВЛ 0,4 №2 КТП-4 ВЛ-10 305 ПС 35 кВ КГ3 для технологического присоединения энергопринимающих устройств ЛПХ Заявителя Адиханян А.А., Ростовская область, Кагальницкий р-н, ст. Кировская, ул. Садовая д.61 (1 шт.)</t>
  </si>
  <si>
    <t>Установка прибора коммерческого учета электрической энергии (мощности) на границе земельного участка, подключенного от опоры №29-54 ВЛ 0,4 №4 КТП-29 ВЛ-10 605 ПС 35 кВ КГ6 для технологического присоединения энергопринимающих устройств ЛПХ Заявителя Грибенюк Н.И., Ростовская область, Кагальницкий р-н, с. Новобатайск, ул. Илларионова д.58 (1 шт.)</t>
  </si>
  <si>
    <t>Установка прибора коммерческого учета электрической энергии (мощности) на границе земельного участка, подключенного от опоры №29-36 ВЛ 0,4 №2 КТП-29 ВЛ-10 605 ПС 35 кВ КГ6 для технологического присоединения энергопринимающих устройств жилого дома Заявителя Дрозд С.И., к.н: 61:14:0040123:5 ,Ростовская область, Кагальницкий р-н, с. Новобатайск (1 шт)</t>
  </si>
  <si>
    <t>Установка прибора коммерческого учета электрической энергии (мощности) на границе земельного участка, подключенного от опоры №72-33 ВЛ 0,4 №1 КТП-72 ВЛ-10 413 ПС 35 кВ КГ4 для технологического присоединения энергопринимающих устройств ЛПХ Заявителя Жолоб Н.В., Ростовская область, Кагальницкий р-н, х. Федоровка, ул. Луговая д.11 (1 шт.)</t>
  </si>
  <si>
    <t>Установка прибора коммерческого учета электрической энергии (мощности) на границе земельного участка, подключенного от опоры №202-5 ВЛ 0,4 №1 КТП-202 ВЛ-10 319 ПС 35 кВ КГ3 для технологического присоединения энергопринимающих устройств ЛПХ Заявителя Козубов В.И., Ростовская область, Кагальницкий р-н, п. Мокрый Батай, ул. Солнечная д.61 (1 шт.)</t>
  </si>
  <si>
    <t>Установка прибора коммерческого учета электрической энергии (мощности) на границе земельного участка, подключенного от опоры №208-43 ВЛ 0,4 №3 КТП-208 ВЛ-10 612 ПС 35 кВ КГ6 для технологического присоединения энергопринимающих устройств ЛПХ Заявителя Рыбасов Р.С., Ростовская область, Кагальницкий р-н, с. Новобатайск, ул. Садовая д.25А (1 шт.)</t>
  </si>
  <si>
    <t>Установка прибора коммерческого учета электрической энергии (мощности) на границе земельного участка, подключенного от опоры №117-3 ВЛ 0,4 №1 КТП-117 ВЛ-10 805 ПС 110 кВ БОС для технологического присоединения энергопринимающих устройств ЛПХ Заявителя Шелестенко О.Г., к.н: 61:14:0060106:12, Ростовская область, Кагальницкий р-н, п. Мокрый Батай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</si>
  <si>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Копиной Н.М., Старцевой А.С., Погорелова Д.В., Азовский р-он Ростовская область (3 шт.)</t>
  </si>
  <si>
    <t>Строительство участка ВЛИ 0,4кВ от опоры № 56-1 ВЛ 0,4 кВ №1 КТП 10/0,4 кВ №56 ВЛ 10кВ №3127 ПС 110/35/10 кВ «А-31» и системы учета электрической энергии (мощности) на границе земельного участка для электроснабжения жилого дома заявителя Кваша Е.А., х. Береговой, Азовский район, Ростовская область (ориентировочная протяженность ЛЭП – 0,05 км)</t>
  </si>
  <si>
    <t>Строительство участка ВЛИ 0,4кВ от опоры № 10-7 ВЛ-0,4 кВ №1 КТП 10/0,4 кВ №10 ВЛ-10кВ №3202 ПС 110/35/10 кВ «А-32» и системы учета электрической энергии (мощности) на границе земельного участка для электроснабжения жилого дома заявителя Курина М.П., с.Александровка, Азовский район, Ростовская область (ориентировочная протяженность ЛЭП – 0,035 км)</t>
  </si>
  <si>
    <t>Установка прибора коммерческого учета электрической энергии (мощности) на границе земельного участка, подключенного от опоры №113-2 ВЛ-0,4 кВ №1 КТП 10/0,4кВ №113 ВЛ-10кВ №3113 ПС 110/35/10 кВ «А-31» для технологического присоединения энергопринимающих устройств жилого дома Заявителя Дудник Н.Ф., с. Пешково Азовский район, Ростовская область (1 шт.</t>
  </si>
  <si>
    <t>Строительство участка ВЛИ 0,4кВ от опоры № 181-22 ВЛ-0,4 кВ №1 КТП 10/0,4 кВ №181 ВЛ-10кВ №3113 ПС 110/35/10 кВ «А-31» и системы учета электрической энергии (мощности) на границе земельного участка для электроснабжения жилого дома заявителя Лопатина А.В., с. Пешково, Азовский район, Ростовская область (ориентировочная протяженность ЛЭП – 0,03 км)</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</si>
  <si>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Тарабанова П.В., Евдокимова О.Г., Карпинской Э.В.,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</si>
  <si>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№14-144 ВЛ 0,4 кВ №4 КТП 10/0,4кВ №14 ВЛ 10кВ №106Н ПС 110/6/10 кВ НС-1 для технологического присоединения энергопринимающих устройств жилого дома Заявителя Алешиной Е.В.,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</si>
  <si>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№31-166 ВЛ 0,4 кВ №2 КТП 10/0,4кВ №31 ВЛ 10кВ №2907 РП-29 ПС 35/10 кВ А-18 для технологического присоединения энергопринимающих устройств жилого дома Заявителя Рукина А.В., ст-ца. Елизаветинская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</si>
  <si>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Саламатина А.А., Куницыной И.А.,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</si>
  <si>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Подушко С.Е., Ярмаркиной И.А., Азовский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</si>
  <si>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№56-29 ВЛ-0,4 кВ №1 КТП 10/0,4кВ №56 ВЛ-10кВ №3127 ПС 110/35/10 кВ «А-31» для технологического присоединения энергопринимающих устройств жилого дома Заявителя Чесноковой И.В., х. Береговой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</si>
  <si>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№115-6 ВЛ 0,4 кВ №1 КТП 10/0,4кВ №115 ВЛ-10кВ №3125 ПС 110/35/10 кВ «А-31» для технологического присоединения энергопринимающих устройств жилого дома Заявителя Мазепа А.М.,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</si>
  <si>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№358-15 ВЛ 0,4 кВ №2 КТП 10/0,4кВ №358 ВЛ 10кВ №202Н ПС 110/6/10 кВ НС-2 для технологического присоединения энергопринимающих устройств жилого дома Заявителя Джелауховой С.А., ЗАО «Обильное», поля 86-88, 1 км от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</si>
  <si>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№381-41 ВЛ-0,4кВ №1 КТП 10/0,4 кВ №381 ВЛ-10кВ №106Н ПС 110/6/10 кВ НС-1 для технологического присоединения энергопринимающих устройств жилого дома Заявителя Чукариной Г.И., тер. ДНТ СН «Кулешовка-2», Азовский район, Ростовская область (1 шт.)</t>
  </si>
  <si>
    <t>Строительство участка ВЛИ 0,4кВ от опоры №10-18 ВЛ-0,4 кВ №1 КТП 10/0,4 кВ №10 ВЛ-10 кВ 3125 ПС 110/35/10 кВ А-31 и системы учета электрической энергии (мощности) на границе земельного участка для электроснабжения жилого дома заявителя Григорьевой О.И., с. Пешково, Азовский район, Ростовская область (ориентировочная протяженность ЛЭП – 0,080 км)</t>
  </si>
  <si>
    <t>Строительство участка ВЛИ 0,4кВ от опоры №334-22 ВЛ-0,4 кВ №1 КТП 10/0,4 кВ №334 ВЛ-10 кВ №202Н ПС 110/6/10 кВ НС-2 и системы учета электрической энергии (мощности) на границе земельного участка для электроснабжения жилого дома заявителя Кисловой Л.Ф., ЗАО Обильное, поля 86-88, 1 км от с. Кулешовка, Азовский район, Ростовская область (ориентировочная протяженность ЛЭП – 0,03 км)</t>
  </si>
  <si>
    <t>Строительство участка ВЛИ 0,4кВ от опоры №311-16 ВЛ-0,4 кВ №2 МТП 10/0,4 кВ №311 ВЛ-10 кВ №106Н ПС 110/6/10 кВ НС-1 и системы учета электрической энергии (мощности) на границе земельного участка для электроснабжения строительной площадки заявителя Наконечной А.Е., СХА «Кулешовское» поле III о, Азовский район, Ростовская область (ориентировочная протяженность ЛЭП – 0,03 км)</t>
  </si>
  <si>
    <t>Строительство участка ВЛИ 0,4кВ от опоры №51-46 ВЛ 0,4 кВ №1 КТП 10/0,4 кВ №51 ВЛ 10 кВ №211 ПС 35/10 кВ А-2 и системы учета электрической энергии (мощности) на границе земельного участка для электроснабжения жилого дома заявителя Алексеева Р.Ю., х.Новоалександровка, Азовский район, Ростовская область (ориентировочная протяженность ЛЭП – 0,05 км)</t>
  </si>
  <si>
    <t>Строительство участка ВЛИ 0,4кВ от опоры №329-46 ВЛ 0,4 кВ №2 ТП 10/0,4 кВ №329 ВЛ 10 кВ №106Н ПС 110/6/10 кВ НС-1 и системы учета электрической энергии (мощности) на границе земельного участка для электроснабжения жилого дома заявителя Терешковой Е.В., ТСН «Белгорос», Азовский район, Ростовская область (ориентировочная протяженность ЛЭП – 0,030 км)</t>
  </si>
  <si>
    <t>Установка прибора коммерческого учета электрической энергии (мощности) на границе земельного участка, подключенного от опоры №31-12 ВЛ 0,4 кВ №1 КТП 10/0,4кВ №31 ВЛ 10кВ №2907 РП-29 ПС 35/10 кВ А-18 для технологического присоединения энергопринимающих устройств жилого дома Заявителя Токаревой Е.И., ст-ца. Елизаветинская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</si>
  <si>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№23-4 ВЛ-0,4 кВ № 1 ТП-10/0,4 кВ №23 ВЛ-10 кВ №1507 от ПС 110/10 кВ «ЗР-15», для электроснабжения склада заявителя Белого В.И., Ростовская область, Зерноградский р-н, г. Зерноград, ул. им. Самохвалова д.23х ( 1 шт.)</t>
  </si>
  <si>
    <t>Строительство участка ВЛИ 0,4кВ от РУ-0,4 от КТП-25 по ВЛ-10 1009 ПС 110 кВ ЗР10 и системы учета электрической энергии (мощности) на границе земельного участка для электроснабжения скважины заявителя Администрация Зерноградского городского поселения, Ростовская область, Зерноградский р-н, г. Зерноград, ул. Строителей в 0,4км на запад от дома 40 (ориентировочная протяженность ВЛИ-0,4  – 0,09 км)</t>
  </si>
  <si>
    <t>Строительство ВЛИ- 0,4 кВ от РУ-0,4 кВ КТП-159 по ВЛ-10 1508  ПС 110 кВ ЗР15, совместным подвесом с ВЛ-10 1508 ПС 110 кВ ЗР-15 и системы учета электрической энергии (мощности) на границе земельного участка для электроснабжения скважины заявителя Администрация Зерноградского городского поселения, Ростовская область, Зерноградский, п. Прудовой, в 0,47км на север от северо-западной его окраины, кадастровый номер земельного участка: 61:12:0601401:504. (ориентировочная протяженность ВЛИ-0,4 кВ – 0,18 км)</t>
  </si>
  <si>
    <t>Строительство участка ВЛИ 0,4кВ от оп. №97-1 ВЛ-0,4 №1 от КТП-97 по ВЛ-10 805 ПС 110 кВ БОС и системы учета электрической энергии (мощности) на границе земельного участка для электроснабжения станции технического обслуживания заявителя Тан С.С., Ростовская область, Кагальницкий р-н, п. Мокрый Батай, ул. Зеленая д.1-М (ориентировочная протяженность ВЛИ-0,4 – 0,07 км)</t>
  </si>
  <si>
    <t>Строительство участка ВЛИ 0,4кВ от РУ 0,4 кВ КТП 10/0,4 кВ №192 ВЛ 10кВ 1020 ПС 110/35/10 кВ Самарская и системы учета электрической энергии (мощности) на границе земельного участка для электроснабжения жилого дома заявителя Ковальчук Т.Г., с. Самарское, Азовский район Ростовская область (ориентировочная протяженность ЛЭП – 0,200км)</t>
  </si>
  <si>
    <t>Установка прибора коммерческого учета электрической энергии (мощности) на границе земельного участка, подключенного от опоры №117-34 ВЛ-0,4 кВ №2 КТП-10/0,4 кВ №117 по ВЛ-10 кВ №3127 ПС 110/35/10 кВ «А-31» для технологического присоединения энергопринимающих устройств жилого дома Заявителя Шинкевич Н.А., с. 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</si>
  <si>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№48-22 ВЛ-0,4 кВ №2 КТП 10/0,4кВ №48 ВЛ-10кВ №1815 ПС 35/10 кВ «А-18» для технологического присоединения энергопринимающих устройств жилого дома Заявителя Ковтун А.И., Рыболовецкий колхоз им. Ленина Азовский район, Ростовская область (1 шт.)</t>
  </si>
  <si>
    <t>Строительство участка ВЛИ 0,4кВ от проектируемой ВЛ 0,4 кВ (по договору ТП № 61-1-20-00533517 от 28.09.2020 г.) КТП 10/0,4 кВ №329 ВЛ 10кВ 106Н ПС 110/6/10 кВ «НС-1» и системы учета электрической энергии (мощности) на границе земельного участка для электроснабжения жилых домов заявителей Джемакулова И.Д., Кургинян А.Г., Рамазановой О.В., ДНТ «Виктория», Азовский район, Ростовская область (ориентировочная протяженность ЛЭП – 0,160 км)</t>
  </si>
  <si>
    <t>Строительство участка ВЛИ 0,4кВ от оп. №145-26 ВЛ-0,4 кВ №2 КТП 10/0,4 кВ №145 ВЛ-10 кВ №3125 от ПС 110/35/10 кВ А-31 и системы учета электрической энергии (мощности) на границе земельного участка для электроснабжения жилого дома заявителя Глушпак Г.И., с. Пешково, Азовский район, Ростовская область (ориентировочная протяженность ЛЭП – 0,130 км)</t>
  </si>
  <si>
    <t>Строительство участка ВЛИ 0,4кВ от оп. № 164-51 ВЛ-0,4 кВ №3 КТП 10/0,4 кВ №164 ВЛ-10 кВ №1101 от ПС 35/10 кВ А-11 и системы учета электрической энергии (мощности) на границе земельного участка для электроснабжения жилого дома заявителя Курбацкого П.П., с. Кагальник, Азовский район, Ростовская область (ориентировочная протяженность ЛЭП – 0,065 км)</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</si>
  <si>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Белоусовой Т.Н., Комаровой А.Т., Жаркова С.В.,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</si>
  <si>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№40-51 ВЛ-0,4 кВ №2 КТП 10/0,4кВ №40 ВЛ-10кВ №1802 ПС 35/10 кВ «А-18» для технологического присоединения энергопринимающих устройств жилого дома Заявителя Остапенко Д.С.,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</si>
  <si>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№32-72 ВЛ 0,4 кВ №3 КТП 10/0,4кВ №32 ВЛ 10кВ №2907 РП-29 ПС 35/10 кВ А-18 для технологического присоединения энергопринимающих устройств жилого дома Заявителя Татариновой О.А., х. Коса, сад. СТ «Экран»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</si>
  <si>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№187-13 ВЛ-0,4кВ №4 КТП 10/0,4 кВ №187 ВЛ-10кВ №106Н ПС 110/6/10 кВ НС-1 для технологического присоединения энергопринимающих устройств жилого дома Заявителя Круглякова С.В., территория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</si>
  <si>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№42-102 ВЛ-0,4 кВ №1 КТП 10/0,4кВ №42 ВЛ-10кВ №1802 ПС 35/10 кВ «А-18» для технологического присоединения энергопринимающих устройств жилого дома Заявителя Копылова С.В.,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</si>
  <si>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оп. №316-4 ВЛ-0,4кВ №1 МТП 10/0,4 кВ №316 ВЛ-10кВ №211 ПС 35/10 кВ А-2 для технологического присоединения энергопринимающих устройств жилого дома Заявителя Семергей Е. А.,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</si>
  <si>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№120-44 ВЛ 0,4 кВ №1 КТП 10/0,4кВ №120 ВЛ 10кВ №1107 ПС 35/10 кВ А-11 для технологического присоединения энергопринимающих устройств жилого дома Заявителя Павлова А.А.,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</si>
  <si>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№27-81 ВЛ 0,4 кВ №3 КТП 10/0,4кВ №27 ВЛ 10кВ №1815 ПС 35/10 кВ А-18 для технологического присоединения энергопринимающих устройств жилого дома Заявителя Клих Ф.Р.,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</si>
  <si>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№6 (на балансе Администрации Александровского сельского поселения) ВЛ 10кВ №1606 ПС 35/10 кВ А-16 для технологического присоединения энергопринимающих устройств жилого дома Заявителя Колтунова А.А., п. Ленинский Лесхоз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</si>
  <si>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№105-85 ВЛ 0,4 кВ №1 КТП 10/0,4кВ №105 ВЛ 10кВ №2608 ПС 110/10 кВ А-26 для технологического присоединения энергопринимающих устройств жилого дома Заявителя Пименовой Т.П.,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</si>
  <si>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№112-29/1 ВЛ 0,4 кВ №1 КТП 10/0,4кВ №112 ВЛ 10кВ №3113 ПС 110/35/10 кВ А-31 для технологического присоединения энергопринимающих устройств жилого дома Заявителя Духопельниковой И.Л.,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</si>
  <si>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№14-80 ВЛ 0,4 кВ №3 КТП 10/0,4кВ №14 ВЛ 10кВ №3125 ПС 110/35/10 кВ А-31 для технологического присоединения энергопринимающих устройств жилого дома Заявителя Манченко С.В., с. Головатовка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</si>
  <si>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№334-23 ВЛ 0,4 кВ №1 КТП 10/0,4кВ №334 ВЛ 10кВ №202Н ПС 110/6/10 кВ НС-2 для технологического присоединения энергопринимающих устройств жилого дома Заявителя Назаретян Л.В., ЗАО «Обильное», поля 86-88, 1 км от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</si>
  <si>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№46-13 ВЛ 0,4 кВ №1 КТП 10/0,4кВ №46 ВЛ 10кВ №1106 ПС 35/10 кВ А-11 для технологического присоединения энергопринимающих устройств павильона розничной торговли Заявителя ИП Тагировой Г.А., г. Азов, по ул. Победы,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</si>
  <si>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№48-22 ВЛ 0,4 кВ №2 КТП 10/0,4кВ №48 ВЛ 10кВ №1815 ПС 35/10 кВ А-18 для технологического присоединения энергопринимающих устройств жилого дома Заявителя Ткаченко Е.П., на территории Елизаветинского СП от ПТ "Пять братьев" 800 м на северо-восток,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</si>
  <si>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№5-1 ВЛ 0,4 кВ №1 КТП 10/0,4кВ №5 (балансовая принадлежность Руденец Л.А.) ВЛ 10кВ №1802 ПС 35/10 кВ А-18 для технологического присоединения энергопринимающих устройств жилого дома Заявителя Агеева И.И.,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</si>
  <si>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№58-84 ВЛ 0,4 кВ №3 КТП 10/0,4кВ №58 ВЛ 10кВ №2204 РП-22 ПС 110/35/10 кВ Самарская для технологического присоединения энергопринимающих устройств жилого дома Заявителя Тимченко Г.В., х. Левобережный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</si>
  <si>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№75-38 ВЛ-0,4 кВ №2 КТП 10/0,4 кВ №75 по ВЛ 10 кВ №3125 ПС 110/35/10 кВ А-31 для технологического присоединения энергопринимающих устройств жилого дома Заявителя Ткаченко Е.А.,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</si>
  <si>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№75-50 ВЛ 0,4 кВ №2 КТП 10/0,4кВ №75 ВЛ 10кВ №606 ПС 35/10 кВ А-6 для технологического присоединения энергопринимающих устройств жилого дома Заявителя Мороз Н.И., с. Порт-Катон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</si>
  <si>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№82-61 ВЛ 0,4 кВ №2 КТП 10/0,4кВ №82 ВЛ 10кВ №3127 ПС 110/35/10 кВ А-31 для технологического присоединения энергопринимающих устройств жилого дома Заявителя Крупеня Л.С.,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</si>
  <si>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№8-62 ВЛ 0,4 кВ №2 КТП 10/0,4кВ №8 ВЛ 10кВ №1515 ПС 35/10 кВ А-15 для технологического присоединения энергопринимающих устройств базовой станции сотовой связи Заявителя ПАО "Ростелеком", х. Харьковский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</si>
  <si>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№88-6 ВЛ 0,4 кВ №1 КТП 10/0,4кВ №88 ВЛ 10кВ №3127 ПС 110/35/10 кВ А-31 для технологического присоединения энергопринимающих устройств жилого дома Заявителя Черкашиной С.Г.,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</si>
  <si>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 кВ КТП 10/0,4кВ №35 (балансовая принадлежность Администрация Елизаветинского с/п) ВЛ-10кВ №1814 ПС 35/10 кВ «А-18» для технологического присоединения энергопринимающих устройств жилого дома Заявителя Анишина М.М., х. Дугино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</si>
  <si>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(по договору ТП №61-1-20-00580815 от 08.06.2020г.) ТП 10/0,4 кВ №311 ВЛ-10кВ №106Н ПС 110/6/10 кВ «НС-1» для технологического присоединения энергопринимающих устройств жилого дома Заявителя Попилишко С.В.,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</si>
  <si>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(по договору ТП №61-1-21-00559767 от 16.02.2021г.) ТП 10/0,4 кВ №311 ВЛ-10кВ №106Н ПС 110/6/10 кВ «НС-1» для технологического присоединения энергопринимающих устройств жилого дома Заявителя Пучка И.В., СХА "Кулешовское" поле III о Азовский район, Ростовская область (1 шт.)</t>
  </si>
  <si>
    <t>Строительство ВЛИ 0,4 кВ от РУ 0,4кВ КТП 10/0,4кВ №100 ВЛ 10кВ №2412 ПС 35/10 кВ А-24 и установка коммерческого учета электрической энергии (мощности) на границе земельного участка для электроснабжения жилого дома заявителя Гелета В.А., х. Лагутник, Азовский р-он Ростовская область (ориентировочная протяженность ЛЭП – 0,130 км)</t>
  </si>
  <si>
    <t>Строительство ВЛ - 0,4 кВ от РУ 0,4кВ КТП 10/0,4кВ №174 ВЛ 10кВ 1011 ПС 110/35/10 кВ «Самарская» и установка коммерческого учета электрической энергии (мощности) на границе земельного участка для электроснабжения жилого дома заявителя Шрамко А.А., Ростовская обл.  р-н. Азовский, с. Самарское в границах землепользования бывшего ТОО «Самарское» (ориентировочная протяженность ЛЭП – 0,08 км)</t>
  </si>
  <si>
    <t>Строительство ВЛ 0,4 кВ от №172-10 ВЛ 0,4 кВ №1 КТП 10/0,4 кВ №172 ВЛ 10 кВ №1702 ПС 35/10 кВ А-17 и установка коммерческого учета электрической энергии (мощности) на границе земельного участка для электроснабжения жилого дома заявителя Петрикова М.В., Ростовская обл.  р-н. Азовский, с. Стефанидинодар (ориентировочная протяженность ЛЭП – 0,035 км)</t>
  </si>
  <si>
    <t>Строительство ВЛ 0,4 кВ от №3-106 ВЛ 0,4кВ №3 КТП 10/0,4 кВ №3 ВЛ 10кВ №2903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Керенцева В.Н., х. Обуховка, Азовский район, Ростовская область (ориентировочная протяженность ЛЭП – 0,05 км)</t>
  </si>
  <si>
    <t>Строительство ВЛ 0,4 кВ от проектируемой ВЛ 0,4 кВ (по договору ТП № 61-1-21-00580815 от 08.06.2021г.) МТП 10/0,4 кВ №311 ВЛ-10 кВ №106Н ПС 110/6/10 кВ НС-1 и установка коммерческого учета электрической энергии (мощности) на границе земельных участков для электроснабжения жилого дома заявителя Соломиной А.В., ТСН «СНТ Белгорос», Азовский р-он Ростовская область (ориентировочная протяженность ЛЭП – 0,05 км</t>
  </si>
  <si>
    <t>Строительство участка ВЛИ 0,4кВ от оп. №6-5 ВЛ-0,4 кВ №1 КТП 10/0,4 кВ №6 ВЛ-10 кВ №3113 ПС 110/35/10 кВ А-31 и системы учета электрической энергии (мощности) на границе земельного участка для электроснабжения нежилого здания заявителя Мухонько Д.А., с. Пешково, Азовский район, Ростовская область (ориентировочная протяженность ЛЭП – 0,125 км)</t>
  </si>
  <si>
    <t>Строительство ВЛ 0,4 кВ от №102-56 ВЛ 0,4 кВ №1 КТП 10/0,4 кВ №102 ВЛ 10кВ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Елисеенко А.В., х. Обуховка, Азовский район, Ростовская область (ориентировочная протяженность ЛЭП – 0,045 км)</t>
  </si>
  <si>
    <t>Установка коммерческого учета электрической энергии (мощности) на границе земельного участка, подключенного от оп. №25-16 ВЛ-0,4 кВ №1 КТП-10/0,4 кВ №25 по ВЛ-10 кВ № 1815 ПС 35/10 кВ «А-18», для электроснабжения магазина заявителя ИП Поляковой С.В., х. Колузаево, Азовский р-он Ростовская область</t>
  </si>
  <si>
    <t>Установка приборов коммерческого учета электрической энергии (мощности) на границе земельного участка, подключенного от опоры №18-12 ВЛ-0,4кВ №1 КТП-10/0,4 кВ №18 ВЛ-10кВ №1815 ПС 35/10 кВ «А-18» для технологического присоединения энергопринимающих устройств гаража Заявителя Дереза О.В., х. Курган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</si>
  <si>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№51-6 ВЛ 0,4 кВ №1 КТП 10/0,4кВ №51 ВЛ 10кВ №1815 ПС 35/10 кВ А-18 для технологического присоединения энергопринимающих устройств жилого дома Заявителя Карелидзе М. Н., х. Обуховка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</si>
  <si>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опоры №16-27 ВЛ-0,4 кВ №1 КТП 10/0,4кВ №16 ВЛ-10кВ №2608 ПС 110/10 кВ «А-26» для технологического присоединения энергопринимающих устройств жилого дома Заявителя Башковой С.А.,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</si>
  <si>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№69-23 технически перевооружаемой ВЛИ-0,4 кВ КТП 10/0,4 кВ №69 ВЛ-10 кВ 1509 ПС 35/10 кВ А-15 для технологического присоединения энергопринимающих устройств жилого дома Заявителя Кочубеева Д.М., х. Марков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</si>
  <si>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Гапонова А.А., ООО «ДонАвтономГаз»,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</si>
  <si>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Журавкова Е.В., Захарченко Е.М.,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</si>
  <si>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Сараханова А.А., Зайцевой Ю.А., Николаевой О.М.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</si>
  <si>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Шлыковой В.М., Басова А.Г., Цай Е.Ю.,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</si>
  <si>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Савченко А.В., Алексишвили М.З., Азовский район Ростовская область (2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</si>
  <si>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Карзакова Р.Ю., Кириченко Л.В., Жадина И.И.,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</si>
  <si>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Давыдова С.А., Литвинова В.В., Азовский район Ростовская область (2 шт.)</t>
  </si>
  <si>
    <t>Установка прибора коммерческого учета электрической энергии (мощности) на границе земельного участка, подключенного от опоры № 217-44 ВЛ-0,4  № 1 КТП-217  ВЛ-10  405   ПС 35кВ Е-4 для технологического присоединения энергопринимающих устройств квартиры Заявителя Асланова Х.П., Ростовская область, Егорлыкский р-н,  х.Ильинский к.н. 61:10:0050301:901 (1 шт.)</t>
  </si>
  <si>
    <t>Установка прибора коммерческого учета электрической энергии (мощности) на границе земельного участка, подключенного от опоры № 72-10 ВЛ-0,4 № 1 КТП-72 ВЛ-10 707   ПС 35кВ Е-7 для технологического присоединения энергопринимающих устройств нежилого здания(склад), заявителя Сафроновой Г.А., Ростовская область, Егорлыкский р-н, х. Войнов, к.н. 61:10:0030101:1489 (1 шт.)</t>
  </si>
  <si>
    <t>Установка прибора коммерческого учета электрической энергии (мощности) на границе земельного участка, подключенного от опоры № 211-97 ВЛ-0,4 № 3 КТП-211 ВЛ-10 612 ПС 35кВ Е-6 для технологического присоединения энергопринимающих устройств квартиры Заявителя Тумасян И.А., Ростовская область, Егорлыкский р-н, х. Шаумяновский, к.н. 61:10:0090101:826 (1 шт.)</t>
  </si>
  <si>
    <t>Установка прибора коммерческого учета электрической энергии (мощности) на границе земельного участка, подключенного от опоры № 363-7   ВЛ-0,4 № 1 КТП-363 ВЛ-10  801  ПС 110кВ Роговская для технологического присоединения энергопринимающих устройств жилого дома Заявителя Горковец В.Н., Ростовская область, Егорлыкский р-н, п.Роговский, к.н. 61:10:110101:0110 (1 шт.)</t>
  </si>
  <si>
    <t>Установка прибора коммерческого учета электрической энергии (мощности) на границе земельного участка, подключенного от опоры  № 39-58 ВЛ-0,4  № 2 КТП-39  ВЛ-10  203   ПС 110кВ Егорлыкская для технологического присоединения энергопринимающих устройств здания коровника Заявителя ИП Воробьева С.А., Ростовская область, Егорлыкский р-н, х. Заря, к.н. 61:10:600014:1086 (1 шт.)</t>
  </si>
  <si>
    <t>Установка прибора коммерческого учета электрической энергии (мощности) на границе земельного участка, подключенного от опоры  № 408-26   ВЛ-0,4 № 1 КТП-408 ВЛ-10  612  ПС 35 кВ Е-6 для технологического присоединения энергопринимающих устройств жилого дома Заявителя Каспарян Г.С., Ростовская область, Егорлыкский  р-н, х. Шаумяновский,  к.н. земельного участка: 61:10:0090101:43 (1 шт.)</t>
  </si>
  <si>
    <t>Установка коммерческого учета электрической энергии (мощности) на границе земельного участка, подключенного от опоры №187-55 ВЛ- 0,4 кВ №2 КТП 10/0,4 кВ №187 по ВЛ-10 кВ №106Н ПС 110/6/10 кВ "НС-1", для электроснабжения жилого дома заявителя Крюкова А.А., ДНТ "Кулешовка", Ростовская область</t>
  </si>
  <si>
    <t>Установка коммерческого учета электрической энергии (мощности) на границе земельного участка, подключенного от опоры №205-20 ВЛ-0,4 кВ №2 КТП-10/0,4 кВ №205 по ВЛ-10 кВ №3127 ПС 110/35/10 кВ "А-31", для электроснабжения жилого дома заявителя Кашириной И.Е., х.Береговой, Ростовская область</t>
  </si>
  <si>
    <t>Установка коммерческого учета электрической энергии (мощности) на границе земельного участка, подключенного от опоры №350-57/10 ВЛ-0,4 кВ №2 КТП-6/0,4 кВ №350 по ВЛ-6 кВ №207Н ПС 110/6/10 кВ "НС-2", для электроснабжения жилого дома заявителя Евдокимовой В.В.,СНТ "Квант",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</si>
  <si>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№46-92 ВЛ-0,4 кВ №3 КТП-10/0,4 кВ №46 по ВЛ-10 кВ № 3207 ПС 110/35/10 кВ «А-32», для электроснабжения жилого дома заявителя Папка С.С., с. Александровка,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</si>
  <si>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№140-33 ВЛ-0,4 кВ №1 КТП-10/0,4 кВ №140 по ВЛ-10 кВ №3202 ПС 110/35/10 кВ "А-32", для электроснабжения жилого дома заявителя Саньковой М.М., с. Александровка,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</si>
  <si>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№1-93 ВЛ-0,4 кВ №1 КТП 10/0,4 кВ №1 по ВЛ-10 кВ 1310 ПС 35/10 кВ "А-13", для электроснабжения жилого дома заявителя Чугуй В.В., с. Елизаветовка, Азовский р-он,  Ростовская область</t>
  </si>
  <si>
    <t>Установка коммерческого учета электрической энергии (мощности) на границе земельного участка, подключенного от РУ-0,4 кВ КТП-10/0,4 кВ №178 (балансовая принадлежность Негреевой О.Н.) по ВЛ-10 кВ №3113 ПС 110/35/10 кВ "А-31", для электроснабжения БС №61-0268 заявителя ПАО "МТС", с. Пешково, Азовский р-он  Ростовская область</t>
  </si>
  <si>
    <t>Установка коммерческого учета электрической энергии (мощности) на границе земельного участка, подключенного от оп. №173-89 ВЛ-0,4 кВ №2 КТП-10/0,4 кВ №173 по ВЛ-10 кВ № 902 ПС 35/10 кВ «А-9», для электроснабжения жилого дома заявителя Скударновой О.Н., х. Павловка, Азовский р-он Ростовская область</t>
  </si>
  <si>
    <t>Установка коммерческого учета электрической энергии (мощности) на границе земельного участка, подключенного от оп. №350-62 ВЛ-0,4 кВ №3 КТП-6/0,4 кВ №350 по ВЛ-6 кВ № 207Н ПС 110/6/10 кВ «НС-2», для электроснабжения участка заявителя Король П.П., СНТ «Квант», Азовский р-он Ростовская область</t>
  </si>
  <si>
    <t>Установка коммерческого учета электрической энергии (мощности) на границе земельного участка, подключенного от оп. №350-62/2 ВЛ-0,4 кВ №3 КТП-6/0,4 кВ №350 по ВЛ-6 кВ № 207Н ПС 110/6/10 кВ «НС-2», для электроснабжения участка заявителя Будниковой З.В., СНТ «Квант», Азовский р-он Ростовская область</t>
  </si>
  <si>
    <t>Строительство системы учета для технологического присоединения энергопринимающих устройств Заявителей: ИП Цай Т.Б., Финенко С.А., Сорокиной В.Л., Боровского В.А., Шабанова А.С., Бабковой Н.Н., Пузыренко О.А., Свирюковой М.В., Азовский р-он Ростовская область</t>
  </si>
  <si>
    <t>Установка коммерческого учета электрической энергии (мощности) на границе земельного участка, подключенного от опоры №144-1 ВЛ 0,4 кВ №1 КТП 10/0,4 кВ №144 по ВЛ 10 кВ № 1019 ПС 110/35/10 кВ «Самарская», для электроснабжения складского помещения заявителя Половинко В.В., х. Победа, Азовский район Ростовская область (1шт)</t>
  </si>
  <si>
    <t>Установка прибора коммерческого учета электрической энергии (мощности) на границе земельного участка, подключенного от опоры №22-4 ВЛ-0,4 кВ №1 КТП 10/0,4кВ №22 ВЛ-10кВ №505 ПС 35/10 кВ «А-5» для технологического присоединения энергопринимающих устройств жилого дома Заявителя Пономаренко В.И., с. Отрадовка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</si>
  <si>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Морозова В.С., Зозуля И.Г., Шароян О.В.,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</si>
  <si>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Олейник А.Н., Духова С.В., Пугачевой А.В.,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</si>
  <si>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№316-12 ВЛ 0,4 кВ №1 КТП 10/0,4кВ №316 ВЛ 10кВ №211 ПС 35/10 кВ А-2 для технологического присоединения энергопринимающих устройств жилого дома Заявителя Завгородней С.В., 2,9 км на восток от пункта ГГС "Красногоровка"Азовский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</si>
  <si>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№152-94 ВЛ-0,4 кВ №3 КТП 10/0,4кВ №152 ВЛ-10кВ №3207 ПС 110/35/10 кВ «А-32» для технологического присоединения энергопринимающих устройств жилого дома Прозвонковой И.П., с. 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</si>
  <si>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№329-42 ВЛ 0,4 кВ №2 КТП 10/0,4кВ №329 ВЛ 10кВ №106Н ПС 110/6/10 кВ НС-1 для технологического присоединения энергопринимающих устройств жилого дома Заявителя Сейранова А.А., Кулешовское сельское поселение, ДНТ «Виктория»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</si>
  <si>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№351-6 ВЛ 0,4 кВ №2 КТП 10/0,4кВ №351 ВЛ 10кВ №207Н ПС 110/6/10 кВ НС-2 для технологического присоединения энергопринимающих устройств нежилой застройки Заявителя Смышляева А.Г., СТ «Квант»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</si>
  <si>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№18-6 ВЛ 0,4 кВ №1 КТП 10/0,4кВ №18 ВЛ 10кВ №1815 ПС 35/10 кВ А-18 для технологического присоединения энергопринимающих устройств жилого дома Судаковой Т.В., х. Курган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</si>
  <si>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№211-257/7 ВЛ-0,4 кВ №5 КТП 10/0,4кВ №211 ВЛ-10кВ №910 ПС 35/10 кВ «А-9» для технологического присоединения энергопринимающих устройств дачи Заявителя Сухорада В.В. ДНТ «Южное»,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</si>
  <si>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№381-59 ВЛ 0,4 кВ №1 КТП 10/0,4кВ №381 ВЛ 10кВ №106Н ПС 110/6/10 кВ НС-1 для технологического присоединения энергопринимающих устройств жилого дома Заявителя Чукариной Т.Т.,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</si>
  <si>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№381-60 ВЛ-0,4 кВ №1 КТП 10/0,4кВ №381 ВЛ-10кВ №106Н ПС 110/6/10 кВ «НС-1» для технологического присоединения энергопринимающих устройств жилого дома Заявителя Асеева А.Е.,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</si>
  <si>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№42-89 ВЛ-0,4 кВ №2 КТП 10/0,4кВ №42 ВЛ-10кВ №1802 ПС 35/10 кВ «А-18» для технологического присоединения энергопринимающих устройств жилого дома Заявителя Вегеря Е.В.,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</si>
  <si>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№100-180 ВЛ-0,4 кВ №1 КТП 10/0,4кВ №100 ВЛ-10кВ №2412 ПС 35/10 кВ «А-24» для технологического присоединения энергопринимающих устройств нежилой застройки Заявителя Сакевич Д.В., х. Лагутник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</si>
  <si>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№21-5 ВЛ-0,4 кВ №1 КТП 10/0,4кВ №21 ВЛ-10кВ №1815 ПС 35/10 кВ «А-18» для технологического присоединения энергопринимающих устройств жилого дома Заявителя Санина Р.А.,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</si>
  <si>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№228-6 ВЛ-0,4 кВ №1 КТП 10/0,4кВ №228 ВЛ-10кВ №106Н ПС 110/6/10 кВ «НС-1» для технологического присоединения энергопринимающих устройств жилого дома Заявителя Семиугловой О.А.,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</si>
  <si>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№185-10 ВЛ 0,4 кВ №1 КТП 10/0,4кВ №185 ВЛ 10кВ №106Н ПС 110/6/10 кВ НС-1 для технологического присоединения энергопринимающих устройств жилого дома Заявителя Турянской Н.В.,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</si>
  <si>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№122-18 ВЛ 0,4 кВ №1 КТП 10/0,4кВ №122 ВЛ 10кВ №1101 ПС 35/10 кВ А-11 для технологического присоединения энергопринимающих устройств базовой станции сотовой связи Заявителя ПАО "Вымпел-Коммуникации",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</si>
  <si>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№223-57 ВЛ 0,4 кВ №3 КТП 10/0,4кВ №223 ВЛ-10кВ №901 ПС 35/10 кВ А-9 для технологического присоединения энергопринимающих устройств жилого дома Заявителя Султанова Э.И., с. Высочино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</si>
  <si>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№228-11 ВЛ 0,4 кВ №1 КТП 10/0,4кВ №228 ВЛ 10кВ №106Н ПС 110/6/10 кВ НС-1 для технологического присоединения энергопринимающих устройств жилого дома Заявителя Жуковой А.Ю.,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</si>
  <si>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№311-15 ВЛ 0,4 кВ №1 КТП 10/0,4кВ №311 ВЛ 10кВ №106Н ПС 110/6/10 кВ НС-1 для технологического присоединения энергопринимающих устройств жилого дома Заявителя Акташ Т.С.,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</si>
  <si>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№42-35 ВЛ 0,4 кВ №1 КТП 10/0,4кВ №42 ВЛ 10кВ №1802 ПС 35/10 кВ А-18 для технологического присоединения энергопринимающих устройств жилого дома Заявителя ООО «161 Эксперт», х. Рогожкино,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</si>
  <si>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№44-42 ВЛ 0,4 кВ №3 КТП 10/0,4кВ №44 ВЛ 10кВ №1107 ПС 35/10 кВ А-11 для технологического присоединения энергопринимающих устройств нежилой застройки Заявителя Рыжевского Е.В.,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</si>
  <si>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№44-6 ВЛ 0,4 кВ №3 КТП 10/0,4кВ №44 ВЛ 10кВ №1107 ПС 35/10 кВ А-11 для технологического присоединения энергопринимающих устройств жилого дома Заявителя Борцовой Н.В.,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</si>
  <si>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№71-18 ВЛ 0,4 кВ №1 КТП 10/0,4кВ №71 ВЛ 10кВ №105Н ПС 110/6/10 кВ НС-1 для технологического присоединения энергопринимающих устройств жилого дома Заявителя Киргинцева В.В., х. Усть-Койсуг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</si>
  <si>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№98-107 ВЛ 0,4 кВ №3 КТП 10/0,4кВ №98 ВЛ 10кВ №1815 ПС 35/10 кВ А-18 для технологического присоединения энергопринимающих устройств жилого дома Заявителя Микитюк И.П., х. Колузаево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</si>
  <si>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№102-4 ВЛ 0,4 кВ №1 КТП 10/0,4 кВ №102 по ВЛ 10 кВ № 2907 РП-29 ПС 35/10 кВ «А-18» для технологического присоединения энергопринимающих устройств жилого дома Заявителя Рудакова П.М.,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</si>
  <si>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№103-20 ВЛ 0,4 кВ №1 КТП 10/0,4кВ №103 ВЛ 10кВ №2608 ПС 110/10 кВ А-26 для технологического присоединения энергопринимающих устройств жилого дома Заявителя Папояна А.Г.,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</si>
  <si>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№108-39 ВЛ-0,4 кВ №3 КТП-10/0,4 кВ №108 по ВЛ-10 кВ № 1107 ПС 35/10 кВ «А-11» для технологического присоединения энергопринимающих устройств базовой станции сотовой связи Заявителя ПАО "Вымпел-Коммуникации",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</si>
  <si>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№18-2 ВЛ 0,4 кВ №1 КТП 10/0,4кВ №18 ВЛ 10кВ №1815 ПС 35/10 кВ А-18 для технологического присоединения энергопринимающих устройств жилого дома Заявителя Давыденко В.В., х. Курган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</si>
  <si>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№8-11 ВЛ 0,4 кВ №1 КТП 10/0,4кВ №8 ВЛ 10кВ №1014 ПС 110/35/10 кВ «Самарская» для технологического присоединения энергопринимающих устройств нежилого здания Заявителя ООО "Объединенный оператор", КМ 1103 автомагистрали М-4 "Дон"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</si>
  <si>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 №311-3/4 ВЛ-0,4 кВ №2 КТП-10/0,4 кВ №311 по ВЛ-10 кВ №106Н ПС 110/6/10 кВ «НС-1»для технологического присоединения энергопринимающих устройств жилого дома Заявителя Алексанян В.Г., Азовский район Ростовская область (1 шт.)</t>
  </si>
  <si>
    <t>Установка приборов коммерческого учета электрической энергии (мощности) на границе земельного участка, подключенного от оп. №381-23 ВЛ-0,4 кВ №1 КТП 10/0,4кВ №381 ВЛ-10кВ №106Н ПС 110/6/10 кВ «НС-1» для технологического присоединения энергопринимающих устройств жилого дома Заявителя Овсепян А.Ф.,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</si>
  <si>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№10-61 ВЛ 0,4 кВ №3 КТП 10/0,4кВ №10 ВЛ 10кВ №3125 ПС 110/35/10 кВ А-31 для технологического присоединения энергопринимающих устройств жилого дома Заявителя Сидорова Г.И.,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</si>
  <si>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№156-33 ВЛ 0,4 кВ №1 КТП 10/0,4кВ №156 ВЛ 10кВ №910 ПС 35/10 кВ А-9 для технологического присоединения энергопринимающих устройств жилого дома Заявителя Пешкова П.В., х. Павловка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</si>
  <si>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№185-7 ВЛ 0,4 кВ №1 КТП 10/0,4кВ №185 ВЛ-10кВ №106Н ПС 110/6/10 кВ НС-1 для технологического присоединения энергопринимающих устройств жилого дома Заявителя Коваленко С.А.,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</si>
  <si>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№187-14 ВЛ 0,4 кВ №3 КТП 10/0,4кВ №187 ВЛ 10кВ №106Н ПС 110/6/10 кВ НС-1 для технологического присоединения энергопринимающих устройств жилого дома Заявителя Ткаченко В.С.,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</si>
  <si>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№21-6 ВЛ 0,4 кВ №1 КТП 10/0,4кВ №21 ВЛ 10кВ №1702 ПС 35/10 кВ А-17 для технологического присоединения энергопринимающих устройств жилого дома Заявителя Клюевой С.В.,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</si>
  <si>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№24-4 ВЛ 0,4 кВ №1 ЗТП 10/0,4кВ №24 КЛ 10кВ №1205 ПС 110/10 кВ А-12 для технологического присоединения энергопринимающих устройств жилого дома Заявителя Прядько Я.С.,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</si>
  <si>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№27-101 ВЛ 0,4 кВ №3 КТП 10/0,4кВ №27 ВЛ 10кВ №1701 ПС 35/10 кВ А-17 для технологического присоединения энергопринимающих устройств жилого дома Заявителя Талпа С.Б.,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</si>
  <si>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№27-65 ВЛ 0,4 кВ №3 КТП 10/0,4кВ №27 ВЛ 10кВ №1701 ПС 35/10 кВ А-17 для технологического присоединения энергопринимающих устройств жилого дома Заявителя Бутко А.И.,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</si>
  <si>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№315-20 ВЛ 0,4 кВ №1 КТП 10/0,4кВ №315 ВЛ 10кВ №2608 ПС 110/10 кВ А-26 для технологического присоединения энергопринимающих устройств жилого дома Заявителя Кудряшова Е.В.,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</si>
  <si>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№329-8 ВЛ 0,4 кВ №1 КТП 10/0,4кВ №329 ВЛ 10кВ №106Н ПС 110/6/10 кВ НС-1 для технологического присоединения энергопринимающих устройств жилого дома Заявителя Супрунюк Н.В., СХА(К) Кулешовское поле III 0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</si>
  <si>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№41-92 ВЛ 0,4 кВ №3 ЗТП 10/0,4кВ №41 (бесхозная) ВЛ 10кВ №2608 ПС 110/10 кВ А-26 для технологического присоединения энергопринимающих устройств жилого дома Заявителя Сидуловой Е.П.,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</si>
  <si>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(по договору ТП №61-1-20-00543967 от 10.11.2020г.) ТП 10/0,4кВ №311 ВЛ 10кВ №106Н ПС 110/6/10 кВ НС-1 для технологического присоединения энергопринимающих устройств жилого дома Заявителя Береза С.С., СХА "Кулешовское" поле III 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</si>
  <si>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№100-11 ВЛ 0,4 кВ №1 КТП 10/0,4кВ №100 ВЛ 10кВ №1708 ПС 35/10 кВ А-17 для технологического присоединения энергопринимающих устройств жилого дома Заявителя Демидченко И.В.,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</si>
  <si>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№10-64 ВЛ 0,4 кВ №2 КТП 10/0,4кВ №10 ВЛ 10кВ №3202 ПС 110/35/10 кВ А-32 для технологического присоединения энергопринимающих устройств жилого дома Заявителя Мурадова Г.Б., с. 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</si>
  <si>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№14-137 ВЛ 0,4 кВ №4 КТП 10/0,4кВ №14 ВЛ 10кВ №106Н ПС 110/6/10 кВ НС-1 для технологического присоединения энергопринимающих устройств жилого дома Заявителя Захарян О.В.,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</si>
  <si>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№148-6 ВЛ 0,4 кВ №1 КТП 10/0,4кВ №148 ВЛ 10кВ №1019 ПС 110/35/10 кВ Самарская для технологического присоединения энергопринимающих устройств жилого дома Заявителя Котляровой О.Б.,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</si>
  <si>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№156-63 ВЛ 0,4 кВ №3 КТП 10/0,4кВ №156 ВЛ 10кВ №1701 ПС 35/10 кВ А-17 для технологического присоединения энергопринимающих устройств жилого дома Заявителя Горской Е.В.,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</si>
  <si>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№160-20/1 ВЛ 0,4 кВ №1 КТП 10/0,4кВ №160 ВЛ 10кВ №1101 ПС 35/10 кВ А-11 для технологического присоединения энергопринимающих устройств жилого дома Заявителя Огурной О.В.,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</si>
  <si>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№240-48 ВЛ 0,4 кВ №2 КТП 10/0,4кВ №240 ВЛ 10кВ №106Н ПС 110/6/10 кВ НС-1 для технологического присоединения энергопринимающих устройств жилого дома Заявителя Жлуктенко А.А.,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</si>
  <si>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№329-28/3 ВЛ 0,4 кВ №2 КТП 10/0,4кВ №329 ВЛ 10кВ №106Н ПС 110/6/10 кВ НС-1 для технологического присоединения энергопринимающих устройств жилого дома Заявителя Егиазаряна А.П., ДНТ «Виктория»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</si>
  <si>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№45-28 ВЛ 0,4 кВ №1 ЗТП 10/0,4кВ №45 ВЛ 10кВ №211 ПС 35/10 кВ А-2 для технологического присоединения энергопринимающих устройств жилого дома Заявителя Зубова И.В.,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</si>
  <si>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№48-25 ВЛ 0,4 кВ №2 КТП 10/0,4кВ №48 ВЛ 10кВ №1815 ПС 35/10 кВ А-18 для технологического присоединения энергопринимающих устройств жилого дома Заявителя Головина О.В., на территории Елизаветинского СП от ПТ "Пять братьев" 800 м на северо-восток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</si>
  <si>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№48-26 ВЛ 0,4 кВ №2 КТП 10/0,4кВ №48 ВЛ 10кВ №1815 ПС 35/10 кВ А-18 для технологического присоединения энергопринимающих устройств жилого дома Заявителя Заблоцкой Н.И., на территории Елизаветинского СП от ПТ "Пять братьев" 800 м на северо-восток, Азовский район, Ростовская область (1 шт.)</t>
  </si>
  <si>
    <t xml:space="preserve">Установка прибора коммерческого учета электрической энергии (мощности) на границе земельного участка, подключенного от опоры №48-28 ВЛ 0,4 кВ №2 КТП 10/0,4кВ №48 ВЛ 10кВ №1815 ПС 35/10 кВ А-18 для технологического присоединения энергопринимающих устройств жилого дома Заявителя Лызганова М.С., Рыболовецкий колхоз им.Ленина,в границах квартала 61:01:0600002 на территории Елизаветинского СП от ПТ "Пять братьев" 800 м на северо-восток Азовский район, Ростовская область (1 шт.)
</t>
  </si>
  <si>
    <t>Установка прибора коммерческого учета электрической энергии (мощности) на границе земельного участка, подключенного от опоры №49-13 ВЛ 0,4кВ №1 КТП 10/0,4 кВ №49 ВЛ 10кВ №2608 ПС 110/10 кВ А-26 для технологического присоединения энергопринимающих устройств объекта торговли Заявителя ИП Кутровской Н.В.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</si>
  <si>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№59-73 ВЛ 0,4кВ №2 КТП 10/0,4 кВ 59 ВЛ 10кВ №2608 ПС 110/10 кВ А-26 для технологического присоединения энергопринимающих устройств хозяйственной постройки Гусейновой Э.Э.,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</si>
  <si>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№82-57 ВЛ 0,4 кВ №3 КТП 10/0,4кВ №82 ВЛ 10кВ №3127 ПС 110/35/10 кВ А-31 для технологического присоединения энергопринимающих устройств жилого дома Заявителя Абдразакова Р.А.,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</si>
  <si>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№8-27 ВЛ 0,4 кВ №1 КТП 10/0,4кВ №8 ВЛ 10кВ №502 ПС 35/10 кВ А-5 для технологического присоединения энергопринимающих устройств жилого дома Заявителя Ельниковой И.В., с. Отрадовка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</si>
  <si>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№85-53 ВЛ 0,4 кВ №3 КТП 10/0,4кВ №85 ВЛ 10кВ №2608 ПС 110/10 кВ А-26 для технологического присоединения энергопринимающих устройств гаража Заявителя Зыкова И.П.,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</si>
  <si>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№9-43 ВЛ 0,4 кВ КТП 10/0,4кВ №9 (балансовая принадлежность ООО «Рыбколхоз им. Ленина) ВЛ 10кВ №1815 ПС 35/10 кВ А-18 для технологического присоединения энергопринимающих устройств жилого дома Заявителя Миронова И.И.,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</si>
  <si>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ВЛИ-0,4 кВ (по договору ТП №61-1-20-00561587 от 01.03.2021г.) КТП 10/0,4 кВ №166 ВЛ 10кВ №1701 ПС 35/10 кВ А-17 для технологического присоединения энергопринимающих устройств жилого дома Заявителя Зигаева Д.Ю.,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</si>
  <si>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№111-75 ВЛ-0,4 кВ №3 КТП 10/0,4 кВ №111 по ВЛ 10 кВ №3113 ПС 110/35/10 кВ А-31 для технологического присоединения энергопринимающих устройств жилого дома Заявителя Богданова М.С.,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</si>
  <si>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№48-21 ВЛ 0,4 кВ №2 КТП 10/0,4кВ №48 ВЛ 10кВ №1815 ПС 35/10 кВ А-18 для технологического присоединения энергопринимающих устройств жилого дома Заявителя Ильченко В.В., на территории Елизаветинского СП от ПТ "Пять братьев" 800 м на северо-восток, Азовский район, Ростовская область (1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</si>
  <si>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Высавского Ю.Ф., Трунова В.А., Коломийцева В.В. Азовский район Ростовская область (3 шт.)</t>
  </si>
  <si>
    <t>Установка приборов коммерческого учета электрической энергии (мощности) для технологического присоединения энергопринимающих устройств Заявителей: Скляровой А.Г., Табунщиковой Н.И., Шевченко А.В. Азовский район Ростовская область (3 шт.)</t>
  </si>
  <si>
    <t>Установка прибора коммерческого учета электрической энергии (мощности) на границе земельного участка, подключенного от опоры №81-78 ВЛ 0,4 №3 КТП-81 ВЛ-10 501 ПС 35 кВ ЗР5 для технологического присоединения энергопринимающих устройств нежилого здания Заявителя Борового Г.А., Ростовская область, Зерноградский р-н, х. Гуляй-Борисовка, пер. 50 лет ВЛКСМ 9А/62 (1 шт.)</t>
  </si>
  <si>
    <t>Установка прибора коммерческого учета электрической энергии (мощности) на границе земельного участка, подключенного от опоры №15-5 ВЛ-0,4 кВ №2 ТП 10/0,4 кВ №15 по ВЛ 10 кВ №106Н ПС 110/10/6 кВ НС-1 для технологического присоединения энергопринимающих устройств складского здания/помещения Заявителя ИП Стрельцов В.Н.,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</si>
  <si>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№99-10 ВЛ 0,4 №1 КТП-99 ВЛ-10 114 ПС 220 кВ Зерновая для технологического присоединения энергопринимающих устройств дачного дома Заявителя Бжеленко С.Н., Ростовская область, Зерноградский р-н, в 0,035 км от восточной окраины г. Зерноград, уч.10 (1 шт.)</t>
  </si>
  <si>
    <t>Установка прибора коммерческого учета электрической энергии (мощности) на границе земельного участка, подключенного от опоры №51-40 ВЛ 0,4 №2 КТП-51 ВЛ-10 318 ПС 35 кВ КГ3 для технологического присоединения энергопринимающих устройств магазина Заявителя Вакуленко М.А., Ростовская область, Кагальницкий р-н, ст. Кировская, ул. Кирова д.1В (1 шт.)</t>
  </si>
  <si>
    <t>Установка прибора коммерческого учета электрической энергии (мощности) на границе земельного участка, подключенного от опоры №17-8 ВЛ-0,4 кВ №1 КТП 10/0,4 кВ №17 по ВЛ 10 кВ №107Н ПС 110/6/10 кВ НС-1 для технологического присоединения энергопринимающих устройств нежилой застройки дома Заявителя ИП Калашник И.Н., п. Овощной, Азовский район, Ростовская область, к.н. 61:01:0130101:4975 (1 шт.)</t>
  </si>
  <si>
    <t>Установка прибора коммерческого учета электрической энергии (мощности) на границе земельного участка, подключенного от опоры №28-253 ВЛ-0,4 №3 ЗТП-28 ВЛ-10 313 ПС 35 кВ КГ3 для технологического присоединения  энергопринимающих устройств ЛПХ Заявителя Лузина Е.Ф. Ростовская область, Кагальницкий р-н, ст. Кировская, ул. Новостройки д.33 к.н. 61:14:0050126:260 (1 шт.)</t>
  </si>
  <si>
    <t>Установка прибора коммерческого учета электрической энергии (мощности) на границе земельного участка, подключенного от опоры №9-56 ВЛ-0,4 №2 КТП-9 ВЛ-10 501 ПС 35 кВ ЗР5 для технологического присоединения  энергопринимающих устройств ЛПХ Заявителя Игнатенко А.С. Ростовская область, Зерноградский р-н, х. Гуляй-Борисовская, ул. Николаенко д.6 кв.2 к.н. 61:12:0011225:63 (1 шт.)</t>
  </si>
  <si>
    <t>Установка прибора коммерческого учета электрической энергии (мощности) на границе земельного участка, подключенного от опоры №135-94 ВЛ-0,4 №3 КТП-135 ВЛ-10 805 ПС 110 кВ БОС для технологического присоединения  энергопринимающих устройств жилого дома Заявителя Пархоменко Д.Н. Ростовская область, Кагальницкий р-н, п. Мокрый Батай, ул. Майская, д.7 к.н. 61:14:0060107:653 (1 шт.)</t>
  </si>
  <si>
    <t>Установка прибора коммерческого учета электрической энергии (мощности) на границе земельного участка, подключенного от опоры №52-35 ВЛ-0,4 №3 КТП-52 ВЛ-10 319 ПС 35 кВ КГ3 для технологического присоединения  энергопринимающих устройств ЛПХ Заявителя Адиханян М.А. Ростовская область, Кагальницкий р-н, ст. Кировская, ул. Ленина д.106А к.н. 61:14:0050138:75 (1 шт.</t>
  </si>
  <si>
    <t>Установка прибора коммерческого учета электрической энергии (мощности) на границе земельного участка, подключенного от опоры №27-69 ВЛ-0,4 №2 КТП-27 ВЛ-10 605 ПС 35 кВ КГ6 для технологического присоединения  энергопринимающих устройств ЛПХ Заявителя Епатко В.В. Ростовская область, Кагальницкий р-н, с. Новобатайск, ул. Илларионова д.50А к.н. 61:14:0040143:140 (1 шт.)</t>
  </si>
  <si>
    <t>Установка прибора коммерческого учета электрической энергии (мощности) на границе земельного участка, подключенного от опоры №7-21 ВЛ-0,4 №2 КТП-7 ВЛ-10 501 ПС 35 кВ ЗР5 для технологического присоединения  энергопринимающих устройств ЛПХ Заявителя Болохова К.Л.,  Ростовская область, Зерноградский р-н. х. Гуляй-Борисовка, ул. 60 лет СССР д.15А к.н. 61:12:0011217:106 (1 шт.)</t>
  </si>
  <si>
    <t>Установка прибора коммерческого учета электрической энергии (мощности) на границе земельного участка, подключенного от опоры №31-7 ВЛ-0,4 №4 КТП-31 ВЛ-10 1402 от ПС 35 кВ ЗР14 для технологического присоединения энергопринимающих устройств объекта сельскохозяйственного производства Заявителя Болдинова Н.В., Ростовская обл., Зерноградский р-н,к.н. 61:12:0020201:1651 (1шт)</t>
  </si>
  <si>
    <t>Установка прибора коммерческого учета электрической энергии (мощности) на границе земельного участка, подключенного от опоры №109-47 ВЛ-0,4 №2 КТП-109 ВЛ-10 805 ПС 110 кВ БОС для технологического присоединения  энергопринимающих устройств ЛПХ Заявителя Белоусова Н.В. Ростовская область, Кагальницкий р-н, п. Мокрый Батай, ул. Строителей д.2А к.н. 61:14:0060108:1043 (1 шт.)</t>
  </si>
  <si>
    <t>Установка прибора коммерческого учета электрической энергии (мощности) на границе земельного участка, подключенного от опоры №18-57 ВЛ-0,4 №1 КТП-18 ВЛ-10 605 от ПС 35 кВ КГ4 для технологического присоединения энергопринимающих устройств нежилого здания заявителя  ИП Заргаряан В.Р., Ростовская обл., Кагальницкий р-н., с. Новобатайск к.н. 61:14:0040113:55 (1 шт.)</t>
  </si>
  <si>
    <t>Установка прибора коммерческого учета электрической энергии (мощности) на границе земельного участка, подключенного от опоры №27-25 ВЛ-0,4 №1 КТП-27 ВЛ-10 605 ПС 35 кВ КГ6 для технологического присоединения  энергопринимающих устройств жилого дома Заявителя Согомонян К.С. Ростовская область, Кагальницкий р-н, с. Новобатайск, пер. Калининский д.13А к.н. 61:14:0040144:160 (1 шт.)</t>
  </si>
  <si>
    <t>Установка прибора коммерческого учета электрической энергии (мощности) на границе земельного участка, подключенного от опоры №188-4 ВЛ-0,4 №1 КТП-188 ВЛ-10 319 ПС 35 кВ КГ3 для технологического присоединения  энергопринимающих устройств жилого дома Заявителя Лисунова В.Г. Ростовская область, Кагальницкий р-н, ст. Кировская, ул. Полевая д.11А к.н. 61:14:0050116:167 (1 шт.)</t>
  </si>
  <si>
    <t>Установка прибора коммерческого учета электрической энергии (мощности) на границе земельного участка, подключенного от опоры №30-39 ВЛ-0,4 №2 КТП-30 ВЛ-10 605 от ПС 35 кВ КГ6 для технологического присоединения энергопринимающих устройств жилого дома Заявителя Шульги О.В., Ростовская обл., Кагальницкий р-н., с. Новобатайск, к.н. 61:14:0040156:14 (1 шт)</t>
  </si>
  <si>
    <t>Установка прибора коммерческого учета электрической энергии (мощности) на границе земельного участка, подключенного от опоры №15-52   ВЛ-0,4 №3 КТП-15 ВЛ-10 605  ПС 35 кВ КГ6 для технологического присоединения энергопринимающих устройств жилого дома Заявителя Холод А.О., Ростовская область, Кагальницкий  р-н, с. Новобатайск, ул. Мичуринская д.32  к.н. 61:14:0000000:00 (1 шт.)</t>
  </si>
  <si>
    <t>Установка прибора коммерческого учета электрической энергии (мощности) на границе земельного участка, подключенного от опоры №42-19 ВЛ-0,4 №1 КТП-42 ВЛ-10 505 от ПС 35 кВ ЗР5 для технологического присоединения энергопринимающих устройств объекта дорожного хозяйства заявителя Министерство транспорта Ростовской области, Ростовская обл., Зерноградский р-н., ст-ца. Мечетинская-с. Гуляй-Борисовка-п. Нижнекугоейский, к.н. 61:12:0000000:61 (1 шт.)</t>
  </si>
  <si>
    <t>Установка прибора коммерческого учета электрической энергии (мощности) на границе земельного участка, подключенного от опоры №10-40 ВЛ-0,4 кВ №3 КТП 10/0,4 кВ №10 по ВЛ 10 кВ №3125 ПС 110/35/10 кВ А-31 для технологического присоединения энергопринимающих устройств жилого дома Заявителя Резниковой Е.А.,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</si>
  <si>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№162-13 ВЛ 0,4 кВ №2 КТП 10/0,4кВ №162 ВЛ 10кВ №1101 ПС 35/10 кВ А-11 для технологического присоединения энергопринимающих устройств жилого дома Заявителя Фисенко П.В.,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</si>
  <si>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№187-12 ВЛ 0,4кВ №4 КТП 10/0,4 кВ №187 ВЛ 10кВ №106Н ПС 110/6/10 кВ НС-1 для технологического присоединения энергопринимающих устройств жилого дома Заявителя Терещенко И.О.,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</si>
  <si>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№211-266 ВЛ 0,4 кВ №5 КТП 10/0,4кВ №211 ВЛ 10кВ №910 ПС 35/10 кВ А-9 для технологического присоединения энергопринимающих устройств жилого дома Заявителя Квиринг К.В., ДНТ «Южное»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</si>
  <si>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№27-6 ВЛ 0,4 кВ №1 КТП 10/0,4кВ №27 ВЛ 10кВ №1815 ПС 35/10 кВ А-18 для технологического присоединения энергопринимающих устройств жилого дома Заявителя Скрипникова Б.А.,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</si>
  <si>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№329-9 ВЛ 0,4 кВ №1 КТП 10/0,4кВ №329 ВЛ 10кВ №106Н ПС 110/6/10 кВ НС-1 для технологического присоединения энергопринимающих устройств жилого дома Заявителя Файзуллоева Б.Н., СХА(К) Кулешовское поле III 0,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</si>
  <si>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№329-9 ВЛ 0,4 кВ №1 КТП 10/0,4кВ №329 ВЛ 10кВ №106Н ПС 110/6/10 кВ НС-1 для технологического присоединения энергопринимающих устройств жилого дома Заявителя Пушкаренко Д.А., ТСН «СНТ Белгорос»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</si>
  <si>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№381-31 ВЛ 0,4кВ №1 КТП 10/0,4 кВ №381 ВЛ 10кВ №106Н ПС 110/6/10 кВ НС-1 для технологического присоединения энергопринимающих устройств жилого дома Заявителя Казарян Л.К., ДНТ СН «Кулешовка-2»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</si>
  <si>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№38-49 ВЛ 0,4 кВ №1 КТП 10/0,4кВ №38 ВЛ 10кВ №106Н ПС 110/6/10 кВ НС-1 для технологического присоединения энергопринимающих устройств жилого дома Заявителя Тимофеева В.И.,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</si>
  <si>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КТП 10/0,4 кВ №279 (балансовая принадлежность ИП Усачев В.И. (п. Беловодье) по ВЛ-10кВ №1815 ПС 35/10 кВ А-18 для технологического присоединения энергопринимающих устройств жилого дома Заявителя Скорой Л.В.,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</si>
  <si>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№239-58 ВЛ 0,4 кВ №2 КТП 10/0,4кВ №239 ВЛ 10кВ №106Н ПС 110/6/10 кВ НС-1 для технологического присоединения энергопринимающих устройств жилого дома Заявителя Богдановой Я.А., п.Овощной,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</si>
  <si>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№212-92 ВЛ 0,4 кВ №4 КТП 10/0,4кВ №212 ВЛ 10кВ №910 ПС 35/10 кВ А-9 для технологического присоединения энергопринимающих устройств жилого дома Заявителя Гагуновой Л.В., СНТ «Южное»,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</si>
  <si>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№33-32 ВЛ 0,4 кВ №2 КТП 10/0,4кВ №33 ВЛ 10кВ №2907 РП-29 ПС 35/10 кВ А-18 для технологического присоединения энергопринимающих устройств жилого дома Заявителя Ирхиной Н.А., х. Коса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</si>
  <si>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№105-86 ВЛ 0,4 кВ №1 КТП 10/0,4кВ №105 ВЛ 10кВ №2608 ПС 110/10 кВ А-26 для технологического присоединения энергопринимающих устройств жилого дома Заявителя Каримова Р.Р.,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</si>
  <si>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№66-37 ВЛ 0,4 кВ №2 КТП 10/0,4кВ №66 ВЛ 10кВ №307Н ПС 110/35/6/10 кВ НС-3 для технологического присоединения энергопринимающих устройств жилого дома Заявителя Кийко Р.И., х. Зеленый Мыс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</si>
  <si>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№97-36 ВЛ 0,4 кВ №2 КТП 10/0,4кВ №97 ВЛ 10кВ №1101 ПС 35/10 кВ А-11 для технологического присоединения энергопринимающих устройств жилого дома Заявителя Колесникова И.Н.,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</si>
  <si>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№239-111 ВЛ-0,4 кВ №4 КТП 10/0,4кВ №239 ВЛ-10кВ №106Н ПС 110/6/10 кВ НС-1 для технологического присоединения энергопринимающих устройств жилого дома Заявителя Кривонос Д.В., п.Овощной,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</si>
  <si>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№184-32 ВЛ-0,4 кВ №3 КТП 10/0,4 кВ №184 по ВЛ 10 кВ №3113 ПС 110/35/10 кВ А-31 для технологического присоединения энергопринимающих устройств жилого дома Заявителя Кузьменко В.Ю., с.Пешково, Азовский район, Ростовская область (1 шт.) (по дог.ТП 61-1-21-00622995 от 29.12.2021)</t>
  </si>
  <si>
    <t>Установка прибора коммерческого учета электрической энергии (мощности) на границе земельного участка, подключенного от опоры №184-32 ВЛ-0,4 кВ №3 КТП 10/0,4 кВ №184 по ВЛ 10 кВ №3113 ПС 110/35/10 кВ А-31 для технологического присоединения энергопринимающих устройств жилого дома Заявителя Кузьменко В.Ю., с.Пешково, Азовский район, Ростовская область (1 шт.) (по дог.ТП 61-1-21-00623007 от 29.12.2021)</t>
  </si>
  <si>
    <t>Установка прибора коммерческого учета электрической энергии (мощности) на границе земельного участка, подключенного от опоры №89-65 ВЛ 0,4 кВ №1 КТП 10/0,4кВ №89 ВЛ 10кВ №1014 ПС 110/35/10 кВ Самарская для технологического присоединения энергопринимающих устройств жилого дома Заявителя Лавруковой Ю.С., х. Ельбузд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</si>
  <si>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№358-15 ВЛ 0,4 кВ №2 КТП 10/0,4кВ №358 ВЛ 10кВ №202Н ПС 110/6/10 кВ НС-2 для технологического присоединения энергопринимающих устройств жилого дома Заявителя Лаптевой А.А., ЗАО Обильное,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</si>
  <si>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№27-22 ВЛ 0,4 кВ №1 КТП 10/0,4кВ №27 ВЛ 10кВ №1815 ПС 35/10 кВ А-18 для технологического присоединения энергопринимающих устройств жилого дома Заявителя Личкановской Н.Л., х.Городище,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</si>
  <si>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№36-40 ВЛ-0,4 кВ №2 КТП 10/0,4 кВ №36 по ВЛ 10 кВ №1702 ПС 35/10 кВ А-17 для технологического присоединения энергопринимающих устройств жилого дома Заявителя Макарова А.А., с. Стефанидинодар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</si>
  <si>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№185-62/24 ВЛ-0,4кВ №4 КТП 10/0,4 кВ №185 ВЛ-10кВ №106Н ПС 110/6/10 кВ НС-1 для технологического присоединения энергопринимающих устройств жилого дома Заявителя Пантелеевой Н.В., ДНТ «Эдем»,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</si>
  <si>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№334-26 ВЛ-0,4 кВ №1 КТП 10/0,4 кВ №334 по ВЛ 10 кВ №202Н ПС 110/6/10 кВ НС-2 для технологического присоединения энергопринимающих устройств жилого дома Заявителя Пелевец Н.А., ЗАО Обильное,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</si>
  <si>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№316-8 ВЛ 0,4 кВ №1 МТП 10/0,4кВ №316 ВЛ 10кВ №211 ПС 35/10 кВ А-2 для технологического присоединения энергопринимающих устройств жилого дома Заявителя Рыбак М.В., 2,9 км на восток от пункта ГГС "Красногоровка" (СХКА им ХХ Партсъезда поле №8,9),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</si>
  <si>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№111-73 ВЛ-0,4 кВ №3 КТП 10/0,4 кВ №111 по ВЛ 10 кВ №3113 ПС 110/35/10 кВ А-31 для технологического присоединения энергопринимающих устройств жилого дома Заявителя Рыжаковой Ю.Н.,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</si>
  <si>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№185-43 ВЛ-0,4 кВ №2 КТП 10/0,4 кВ №185 по ВЛ 10 кВ №3125 ПС 110/35/10 кВ А-31 для технологического присоединения энергопринимающих устройств жилого дома Заявителя Таранова В.В.,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</si>
  <si>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№97-38 ВЛ 0,4 кВ №2 КТП 10/0,4кВ №97 ВЛ 10кВ №1101 ПС 35/10 кВ А-11 для технологического присоединения энергопринимающих устройств жилого дома Заявителя Чайкиной М.П.,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</si>
  <si>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№71-8 ВЛ 0,4 кВ №1 КТП 10/0,4кВ №71 ВЛ 10кВ №105Н ПС 110/6/10 кВ НС-1 для технологического присоединения энергопринимающих устройств жилого дома Заявителя Шаповал Н.В., х. Усть-Койсуг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</si>
  <si>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№175-6 ВЛ 0,4 кВ №1 КТП 10/0,4кВ №175 ВЛ 10кВ №3105 ПС 110/35/10 кВ А-31 для технологического присоединения энергопринимающих устройств жилого дома Заявителя Шерозия В.Д., с.Займо-Обрыв,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</si>
  <si>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№20-2 ВЛ-0,4 №1 КТП-20 ВЛ-10 803 ПС 35 кВ ЗР8 для технологического присоединения энергопринимающих устройств магазина Заявителя ИП Ширай В.А., Ростовская область, Зерноградский р-н, х. Донской, ул. Цветной Бульвар, д. 30А (1 шт.)</t>
  </si>
  <si>
    <t>Установка прибора коммерческого учета электрической энергии (мощности) на границе земельного участка, подключенного от опоры №92-20 ВЛ 0,4 №1 КТП-92 ВЛ-10 415 ПС 35 кВ КГ4 для технологического присоединения энергопринимающих устройств жилого дома Заявителя Ивченко В.А., Ростовская область, Кагальницкий р-н, с.Иваново-Шамшево, к.н: 61:14:030305:0001 (1 шт.)</t>
  </si>
  <si>
    <t xml:space="preserve">Установка прибора коммерческого учета электрической энергии (мощности) на границе земельного участка, подключенного от опоры №28-126 ВЛ 0,4 №4 от ЗТП10 /0,4 №28 ВЛ-10 №313 ПС 35/10 кВ КГ3 для технологического присоединения энергопринимающих устройств объекта торговли Заявителя ИП Бондарь В.С., Ростовская область, Кагальницкий р-н, ст. Кировская, к.н: 61:14:0050130:86  (1 шт.)
</t>
  </si>
  <si>
    <t xml:space="preserve">Установка прибора коммерческого учета электрической энергии (мощности) на границе земельного участка, подключенного от оп. №1-18 ВЛ-10 1507 от ПС 110 кВ ЗР15 (принадлежностью филиала ПАО «Россети Юг»-«Ростовэнерго»); КТП, ВЛ-0,4 (принадлежность ИП Харьковская А.А.; ООО «Ремстрой») для технологического присоединения энергопринимающих устройств складского здания Заявителя ООО «Амида», Ростовская обл., Зерноградский р-н, г. Зерноград к.н. 61:12:0040102:771 (1 шт.)
</t>
  </si>
  <si>
    <t>Установка прибора коммерческого учета электрической энергии (мощности) на границе земельного участка, подключенного от опоры №32-16 ВЛ-0,4 №1 КТП-32 ВЛ-10 1402 ПС 35 кВ ЗР14 для технологического присоединения  энергопринимающих устройств ремонтной мастерской Заявителя Быстрова Л.А. Ростовская область, Зерноградский р-н, с. Светлоречное, ул. Мира д.18Б к.н. 61:12:0020201:1404 (1 шт.)</t>
  </si>
  <si>
    <t>Установка прибора коммерческого учета электрической энергии (мощности) на границе земельного участка, подключенного от опоры №52-68 ВЛ-0,4 №2 КТП-52 ВЛ-10 319 от ПС 35 кВ КГ3 для технологического присоединения энергопринимающих устройств жилого дома Заявителя Веевник Е.Н., Ростовская обл., Кагальницкий, ст. Кировская к.н. 61:14:0050138:62 (1 шт.)</t>
  </si>
  <si>
    <t>Установка прибора коммерческого учета электрической энергии (мощности) на границе земельного участка, подключенного от опоры №162-36 ВЛ-0,4 №2 КТП-162 ВЛ-10 605 ПС 35 кВ КГ6 для технологического присоединения  энергопринимающих устройств жилого дома Заявителя Веселов А.В. Ростовская область, Кагальницкий р-н, с. Новобатайск, ул. Ленина д.92А к.н. 61:14:0040122:338 (1 шт.)</t>
  </si>
  <si>
    <t>Установка прибора коммерческого учета электрической энергии (мощности) на границе земельного участка, подключенного от опоры №66-35   ВЛ-0,4 № 1 КТП-66 ВЛ-10 319  ПС 35 кВ КГ3 для технологического присоединения энергопринимающих устройств жилого дома Заявителя Головачева А.В., Ростовская область, Кагальницкий   р-н, п. Малодубравный пер. Победный д.2 ,  к.н. земельного участка: 61:14:0600019:3291(1 шт.)</t>
  </si>
  <si>
    <t>Установка прибора коммерческого учета электрической энергии (мощности) на границе земельного участка, подключенного от опоры №8-34   ВЛ-0,4 №1 КТП-8 ВЛ-10 305  ПС 35 кВ КГ3 для технологического присоединения энергопринимающих устройств нежилой застройки Заявителя Зайцев А.П., Ростовская область, Кагальницкий   р-н, п. Глубокий Яр  к.н.: 61:14:0050301:216 (1 шт.)</t>
  </si>
  <si>
    <t>Установка прибора коммерческого учета электрической энергии (мощности) на границе земельного участка, подключенного от опоры №18-5 ВЛ-0,4 №1 КТП-18 ВЛ-10 605 ПС 35 кВ КГ6 для технологического присоединения  энергопринимающих устройств нежилой застройки Заявителя Клименко В.М. Ростовская область, Кагальницкий р-н, с. Новобатайск, ул. Ленина д.66А к.н. 61:14:0040158:6 (1 шт.)</t>
  </si>
  <si>
    <t>Установка прибора коммерческого учета электрической энергии (мощности) на границе земельного участка, подключенного от опоры №128-18 ВЛ-0,4 №1 КТП-128 ВЛ-10 313 ПС 35 кВ КГ3 для технологического присоединения  энергопринимающих устройств жилого дома Заявителя Кольцов С.А. Ростовская область, Кагальницкий р-н, ст. Кировская, ул. Павлова д.8А к.н. 61:14:0050106:327 (1 шт.)</t>
  </si>
  <si>
    <t>Установка прибора коммерческого учета электрической энергии (мощности) на границе земельного участка, подключенного от опоры №148-17 ВЛ-0,4 №1 КТП-148 ВЛ-10 202 ПС 110 кВ Краснолучинская для технологического присоединения  энергопринимающих устройств ЛПХ Заявителя Лебедев В.В. Ростовская область, Зерноградский р-н, с. Новокузнецовка, ул. Свободы д.8 к.н. 61:12:0080101:8 (1 шт.)</t>
  </si>
  <si>
    <t>Установка прибора коммерческого учета электрической энергии (мощности) на границе земельного участка, подключенного от опоры №42-13   ВЛ-0,4 № 1 КТП-42 ВЛ-10 515  ПС 35 кВ ЗР5 для технологического присоединения  энергопринимающих устройств фоторадарного комплекса Заявителя Министрство транспорта РО.,  Ростовская область, Зерноградский р-н. х. Гуляй-Борисовка –п. Нижнекугоейский,  к.н. земельного участка: 61:12:0000000:1355 (1 шт.)</t>
  </si>
  <si>
    <t>Установка прибора коммерческого учета электрической энергии (мощности) на границе земельного участка, подключенного от опоры №218-40 ВЛ-0,4 №2 КТП-218 ВЛ-10 605 ПС 35 кВ КГ6 для технологического присоединения  энергопринимающих устройств жилого дома Заявителя Мисько А.П. Ростовская область, Кагальницкий р-н, с. Новобатайск, пер. Лермонтова д.7 к.н. 61:14:0040110:104 (1 шт.)</t>
  </si>
  <si>
    <t>Установка прибора коммерческого учета электрической энергии (мощности) на границе земельного участка, подключенного от опоры №18-19 ВЛ-0,4 №2 КТП-18 ВЛ-10 605 ПС 35 кВ КГ6 для технологического присоединения  энергопринимающих устройств ЛПХ Заявителя Павленко С.П. Ростовская область, Кагальницкий р-н, с. Новобатайск, ул. Ленина д.34 к.н. 61:14:0040128:16 (1 шт.)</t>
  </si>
  <si>
    <t>Установка прибора коммерческого учета электрической энергии (мощности) на границе земельного участка, подключенного от опоры №59-2 ВЛ-0,4 №1 КТП-59 ВЛ-10 319 ПС 35 кВ КГ3 для технологического присоединения  энергопринимающих устройств жилого дома Заявителя Паладий А.П. Ростовская область, Кагальницкий р-н, х. Дачный, ул. Речная д.60 к.н. 61:14:0050401:29 (1 шт.)</t>
  </si>
  <si>
    <t>Установка прибора коммерческого учета электрической энергии (мощности) на границе земельного участка, подключенного от опоры №183-4 ВЛ-0,4 №1 КТП-183 ВЛ-10 313 ПС 35 кВ КГ3 для технологического присоединения  энергопринимающих устройств жилого дома Заявителя Попхадзе Ю.И. Ростовская область, Кагальницкий р-н, ст. Кировская, ул. Кирова д.16 к.н. 61:14:0050126:8 (1 шт.)</t>
  </si>
  <si>
    <t>Установка прибора коммерческого учета электрической энергии (мощности) на границе земельного участка, подключенного от опоры  №28-250 ВЛ-0,4  № 1 ЗТП-28  ВЛ-10  313   ПС 35 кВ КГ3 для технологического присоединения энергопринимающих устройств жилого дома Заявителя Присяжнюк А.И. Ростовская область,ст. Кировская ул. Центральная д.17 к.н. 61:14:0050126:498 (1 шт.)</t>
  </si>
  <si>
    <t>Установка прибора коммерческого учета электрической энергии (мощности) на границе земельного участка, подключенного от проектируемой опоры ВЛ 0,4 №1 КТП-41 ВЛ-10 801 ПС 35 кВ ЗР8 для технологического присоединения энергопринимающих устройств базовой станции Заявителя ПАО "Ростелеком", Ростовская обл., р-н. Зерноградский, х. Пишванов (1 шт.)</t>
  </si>
  <si>
    <t>Установка прибора коммерческого учета электрической энергии (мощности) на границе земельного участка, подключенного от опоры №3-91 ВЛ-0,4 №3 КТП-3 ВЛ-10 305 ПС 35 кВ КГ3 для технологического присоединения  энергопринимающих устройств нежилой застройки Заявителя Пухир К.Н. Ростовская область, Кагальницкий р-н, ст. Кировская, ул. Транспортная д.6 к.н. 61:14:0600020:2446 (1 шт.)</t>
  </si>
  <si>
    <t>Установка прибора коммерческого учета электрической энергии (мощности) на границе земельного участка, подключенного от опоры  №89-18 ВЛ-0,4  № 1 КТП-89  ВЛ-10  319   ПС 35 кВ КГ3 для технологического присоединения энергопринимающих устройств жилого дома Заявителя Радченко Н.И. Ростовская область, ст. Кировская ул. Рабочая д.15 к.н. 61:14:0050112:345 (1 шт.)</t>
  </si>
  <si>
    <t>Установка прибора коммерческого учета электрической энергии (мощности) на границе земельного участка, подключенного от опоры №28-219 ВЛ-0,4 №1 ЗТП-28 ВЛ-10 313 ПС 35 кВ КГ3 для технологического присоединения энергопринимающих устройств ЛПХ Заявителя Саносян В.Н. Ростовская область, Кагальницкий р-н, ст. Кировская, ул. Новостройки д.33А к.н. 61:14:0050126:507 (1 шт.)</t>
  </si>
  <si>
    <t>Установка прибора коммерческого учета электрической энергии (мощности) на границе земельного участка, подключенного от опоры №204-57 ВЛ-0,4 №2 КТП-204 ВЛ-10 605 ПС 35 кВ КГ6 для технологического присоединения  энергопринимающих устройств жилого дома Заявителя Световой Р.Н. Ростовская область, Кагальницкий р-н, с. Новобатайск, ул. Набережная д.17 к.н. 61:14:0040128:37 (1 шт.)</t>
  </si>
  <si>
    <t>Установка прибора коммерческого учета электрической энергии (мощности) на границе земельного участка, подключенного от опоры №183-4 ВЛ-0,4 №1 КТП-183 ВЛ-10 313 ПС 35 кВ КГ3 для технологического присоединения  энергопринимающих устройств жилого дома Заявителя Чапидзе Т.Д. Ростовская область, Кагальницкий р-н, ст. Кировская, ул. Кирова д.14 к.н. 61:14:0050126:133 (1 шт.)</t>
  </si>
  <si>
    <t>Установка прибора коммерческого учета электрической энергии (мощности) на границе земельного участка, подключенного от опоры №18-61 ВЛ-0,4 №3 КТП-18 ВЛ-10 104 ПС 110 кВ Звонкая для технологического присоединения  энергопринимающих устройств жилого дома Заявителя Шило М.А. Ростовская область, Кагальницкий р-н, ст. Хомутовская, ул. Верхне-Набережная д.11Б к.н. 61:14:0000000:00 (1 шт.)</t>
  </si>
  <si>
    <t>Установка прибора коммерческого учета электрической энергии (мощности) на границе земельного участка, подключенного от опоры № 99-30   ВЛ-0,4 № 2 КТП-99 ВЛ-10  114  ПС 220 кВ Зерновая для технологического присоединения энергопринимающих устройств садового дома Заявителя Штраус А.А., Ростовская область, г. Зерноград , к.н. 61:12:0600801:931 (1 шт.)</t>
  </si>
  <si>
    <t>Установка прибора коммерческого учета электрической энергии (мощности) на границе земельного участка, подключенного от опоры №28-225 ВЛ-0,4 №3 ЗТП-28 ВЛ-10 313 ПС 35 кВ КГ3 для технологического присоединения  энергопринимающих устройств жилого дома Заявителя Шульженко Н.В. Ростовская область, Кагальницкий р-н, ст. Кировская, ул. Жукова д.2А к.н. 61:14:0050129:620 (1 шт.)</t>
  </si>
  <si>
    <t>Установка прибора коммерческого учета электрической энергии (мощности) на границе земельного участка, подключенного от опоры №60-42 ВЛ-0,4 №3 КТП-60 ВЛ-10 318 ПС 35 кВ КГ3 для технологического присоединения  энергопринимающих устройств жилого дома Заявителя Айрапетян И.Э. Ростовская область, Кагальницкий р-н, х. Николаевский, ул. Луговая д.165 к.н. 61:14:0050702:106 (1 шт.)</t>
  </si>
  <si>
    <t>Установка прибора коммерческого учета электрической энергии (мощности) на границе земельного участка, подключенного от опоры№28-30 ВЛ-0,4 №1 ЗТП-28 ВЛ-10 313 ПС 35 кВ КГ3 для технологического присоединения  энергопринимающих устройств жилого дома Заявителя Авдалян Г.Э. Ростовская область, Кагальницкий р-н, ст. Кировская, ул. Космонавтов д.30 к.н. 61:14:0050126:12 (1 шт.)</t>
  </si>
  <si>
    <t>Установка прибора коммерческого учета электрической энергии (мощности) на границе земельного участка, подключенного от опоры №99-37   ВЛ-0,4 № 2 КТП-99 ВЛ-10 114  ПС 220 кВ Зерновая для технологического присоединения  энергопринимающих устройств для садового дома Заявителя Арутюнова В.О.,  Ростовская область, Зерноградский р-н. г. Зерноград,  к.н. земельного участка: 61:12:0600801:839 (1 шт.)</t>
  </si>
  <si>
    <t>Установка прибора коммерческого учета электрической энергии (мощности) на границе земельного участка, подключенного от опоры №99-37  ВЛ-0,4 №2 КТП-99 ВЛ-10 114  ПС 220 кВ Зерновая для технологического присоединения  энергопринимающих устройств садового дома Заявителя Арутюнова В.К. Ростовская область, г. Зерноград, к.н. земельного участка: 61:12:0600801:838(1 шт.)</t>
  </si>
  <si>
    <t>Установка прибора коммерческого учета электрической энергии (мощности) на границе земельного участка, подключенного от опоры №28-252 ВЛ-0,4 №1 ЗТП-28 ВЛ-10 313 ПС 35 кВ КГ3 для технологического присоединения  энергопринимающих устройств жилого дома Заявителя Аристакесян А.А. Ростовская область, Кагальницкий р-н, ст. Кировская, ул. Новостройки д.14А к.н. 61:14:0050126:505 (1 шт.)</t>
  </si>
  <si>
    <t>Установка прибора коммерческого учета электрической энергии (мощности) на границе земельного участка, подключенного от опоры №28-287 ВЛ-0,4 №1 ЗТП-28 ВЛ-10 313 ПС 35 кВ КГ3 для технологического присоединения  энергопринимающих устройств ЛПХ Заявителя Аристакесян С.А. Ростовская область, Кагальницкий р-н, ст. Кировская, ул. Космонавтов д.34 к.н. 61:14:0050126:497 (1 шт.)</t>
  </si>
  <si>
    <t>Установка прибора коммерческого учета электрической энергии (мощности) на границе земельного участка, подключенного от опоры №29-33 ВЛ-0,4 №2 КТП-29 ВЛ-10 605 ПС 35 кВ КГ6 для технологического присоединения  энергопринимающих устройств жилого дома Заявителя Баженов А.В. Ростовская область, Кагальницкий р-н, с. Новобатайск, пер. Свердлова д.51 кв.2 к.н. 61:14:0040139:85 (1 шт.)</t>
  </si>
  <si>
    <t>Установка прибора коммерческого учета электрической энергии (мощности) на границе земельного участка, подключенного от опоры №204-62 ВЛ-0,4 №2 КТП-204 ВЛ-10 605 ПС 35 кВ КГ6 для технологического присоединения  энергопринимающих устройств жилого дома Заявителя Быков Б.А. Ростовская область, Кагальницкий р-н, с. Новобатайск, ул. Набережная д.5 к.н. 61:14:0040128:3 (1 шт.)</t>
  </si>
  <si>
    <t>Установка прибора коммерческого учета электрической энергии (мощности) на границе земельного участка, подключенного от опоры  № 290-9 ВЛ-0,4  № 1 КТП-290  ВЛ-10  908   ПС 110кВ Балко-Грузская для технологического присоединения энергопринимающих устройств жилого дома Заявителя Горбенко Г.Л., Ростовская область, Егорлыкский  р-н, х. Мирный,  к.н. земельного участка: 61:10:0020301:3258 (1 шт.)</t>
  </si>
  <si>
    <t>Установка прибора коммерческого учета электрической энергии (мощности) на границе земельного участка, подключенного от опоры  № 172-22   ВЛ-0,4 № 1 КТП-172 ВЛ-10  904  ПС 110 кВ Балко-Грузская для технологического присоединения энергопринимающих устройств жилого дома Заявителя Бойченко В.А., Ростовская область, Егорлыкский  р-н, х. Балко-Грузский,  к.н. земельного участка: 61:10:0020101:785 (1 шт.)</t>
  </si>
  <si>
    <t>Установка прибора коммерческого учета электрической энергии (мощности) на границе земельного участка, подключенного от опоры № 114-47   ВЛ-0,4 № 1 КТП-114 ВЛ-10  801  ПС 110 кВ Роговская для технологического присоединения  энергопринимающих устройств административного/офисного здания Заявителя АО «Почта России» Ростовская область, Егорлыкский  р-н, п. Роговский, ул. Им Сергея Пешеходько, д. 29,  к.н. земельного участка: 61:10:0110101:1355 (1 шт.)</t>
  </si>
  <si>
    <t>Установка прибора коммерческого учета электрической энергии (мощности) на границе земельного участка, подключенного от опоры № 290-38  ВЛ-0,4 № 4 КТП-290 ВЛ-10  908  ПС 110 кВ Балко-Грузская для технологического присоединения  энергопринимающих устройств административного/офисного здания Заявителя АО «Почта России» Ростовская область, Егорлыкский  р-н, х. Мирный, ул. Почтовая,  д. 10, к.н. земельного участка: 61:10:0020301:1482 (1 шт.)</t>
  </si>
  <si>
    <t>Установка прибора коммерческого учета электрической энергии (мощности) на границе земельного участка, подключенного от опоры  № 432-12   ВЛ-0,4 № 1 КТП-432 ВЛ-10  605  ПС 35 кВ Е-6 для технологического присоединения  энергопринимающих устройств административного/офисного здания Заявителя АО «Почта России» Ростовская область, Егорлыкский  р-н, х. Кавалерский, ул. Ленина,  д. 33 , кадастровый номер земельного участка: 61:10:0060101:3182 (1 шт)</t>
  </si>
  <si>
    <t>Установка прибора коммерческого учета электрической энергии (мощности) на границе земельного участка, подключенного от опоры № 73-40  ВЛ-0,4 № 3 КТП-73 ВЛ-10  405  ПС 35 кВ Е-4для технологического присоединения  энергопринимающих устройств административного/офисного здания Заявителя АО «Почта России» Ростовская область, Егорлыкский  р-н, х. Кугейский, ул. Октябрьская,  д. 31, кадастровый номер земельного участка: 61:10:0050101:1436 (1 шт)</t>
  </si>
  <si>
    <t>Установка прибора коммерческого учета электрической энергии (мощности) на границе земельного участка, подключенного от опоры №16-61 ВЛ 0,4кВ №2 КТП 10/0,4 кВ №16 ВЛ 10кВ №2608 ПС 110/10 кВ А-26 для технологического присоединения энергопринимающих устройств жилого дома Заявителя Ольшанского С.В.,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</si>
  <si>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№240-167 ВЛ-0,4 кВ №3 КТП 10/0,4кВ №240 ВЛ-10кВ №106Н ПС 110/6/10 кВ НС-1 для технологического присоединения энергопринимающих устройств жилого дома Заявителя Немашкало К.Г., п. 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</si>
  <si>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№17-92 ВЛ-0,4 кВ №3 КТП 10/0,4 кВ №17 по ВЛ 10 кВ №107Н ПС 110/6/10 кВ НС-1 для технологического присоединения энергопринимающих устройств жилого дома Заявителя Авдеевой И.В., п.Овощной,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</si>
  <si>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№34-49 ВЛ 0,4 кВ №3 КТП 10/0,4кВ №34 ВЛ 10кВ №1904 РП-19 ПС 110/35/10 кВ Самарская для технологического присоединения энергопринимающих устройств жилого дома Заявителя Варданяна А.Л., с. 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</si>
  <si>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№105-9 ВЛ 0,4 кВ №1 КТП 10/0,4кВ №105 ВЛ 10кВ №2608 ПС 110/10 кВ А-26 для технологического присоединения энергопринимающих устройств жилого дома Заявителя Даргис Г.В.,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</si>
  <si>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№219-24 ВЛ-0,4 кВ №1 КТП 10/0,4 кВ №219 по ВЛ 10 кВ №901 ПС 35/10 кВ А-9 для технологического присоединения энергопринимающих устройств жилого дома Заявителя Иванова С.Н., с. Высочино,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</si>
  <si>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№49-13 ВЛ-0,4 кВ №1 КТП 10/0,4 кВ №49 по ВЛ 10 кВ №2608 ПС 110/10 кВ А-26 для технологического присоединения энергопринимающих устройств объекта торговли Заявителя ИП Кутровская Н.В.,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</si>
  <si>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№157-21 ВЛ 0,4 кВ №2 КТП 10/0,4кВ №157 ВЛ 10кВ №301Н ПС 110/6/10 кВ НС-3 для технологического присоединения энергопринимающих устройств жилого дома Заявителя Мустафаева А.Ш., х. Песчаный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</si>
  <si>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№34-31 ВЛ 0,4 кВ №3 КТП 10/0,4кВ №34 ВЛ 10кВ №1904 РП-19 ПС 110/35/10 кВ Самарская для технологического присоединения энергопринимающих устройств жилого дома Заявителя Осиповой Г.А., с. Новотроицкое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</si>
  <si>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№55-60 ВЛ 0,4 кВ №3 КТП 10/0,4кВ №55 ВЛ 10кВ №1019 ПС 110/35/10 кВ Самарская для технологического присоединения энергопринимающих устройств жилого дома Заявителя Пя Л.А., х. Победа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</si>
  <si>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№358-3 ВЛ-0,4 кВ №1 КТП 10/0,4 кВ №358 по ВЛ 10 кВ №202Н ПС 110/6/10 кВ НС-2 для технологического присоединения энергопринимающих устройств жилого дома Заявителя Фадеева В.Е., ЗАО «Обильное»,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</si>
  <si>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№40-77 ВЛ 0,4 кВ №1 КТП 10/0,4кВ №40 ВЛ 10кВ №1802 ПС 35/10 кВ А-18 для технологического присоединения энергопринимающих устройств жилого дома Заявителя Барсуковой М.И., х.Рогожкино, Азовский район, Ростовская область, кадастровый (условный) номер объекта: 61:01:0160101:1451(1 шт.)</t>
  </si>
  <si>
    <t>Установка прибора коммерческого учета электрической энергии (мощности) на границе земельного участка, подключенного от опоры №212-93 ВЛ 0,4 кВ №4 КТП 10/0,4кВ №212 ВЛ 10кВ №910 ПС 35/10 кВ А-9 для технологического присоединения энергопринимающих устройств жилого дома Заявителя Дорошенко Р.В., г.Азов, Ростовская область, кадастровый (условный) номер объекта: 61:45:0000380:479 (1 шт.)</t>
  </si>
  <si>
    <t>Установка прибора коммерческого учета электрической энергии (мощности) на границе земельного участка, подключенного от опоры №151-15 ВЛ 0,4 кВ №1 КТП 10/0,4кВ №151 ВЛ 10кВ №505 ПС 35/10 кВ А-5 для технологического присоединения энергопринимающих устройств жилого дома Заявителя Котова В.И., с. Отрадовка, Азовский район, Ростовская область, к.н. 61:01:0120101:284:97 (1 шт.)</t>
  </si>
  <si>
    <t>Установка прибора коммерческого учета электрической энергии (мощности) на границе земельного участка, подключенного от опоры №311-3/8 ВЛ 0,4 кВ №2 КТП 10/0,4кВ №311 ВЛ 10кВ №106Н ПС 110/6/10 кВ НС-1 для технологического присоединения энергопринимающих устройств жилого дома Заявителя Мулоабдуева А.Ф., ТСН «СНТ Белгорос», Азовский район, Ростовская область, к.н. 61:01:0600006:4965 (1 шт.)</t>
  </si>
  <si>
    <t>Установка прибора коммерческого учета электрической энергии (мощности) на границе земельного участка, подключенного от опоры №103-33 ВЛ 0,4 кВ №2 КТП 10/0,4кВ №103 ВЛ 10кВ №2608 ПС 110/10 кВ А-26 для технологического присоединения энергопринимающих устройств жилого дома Заявителя Романенко Д.В., с. Кулешовка, Азовский район, Ростовская область, к.н. 61:01:0090102:2158 (1 шт.)</t>
  </si>
  <si>
    <t>Установка прибора коммерческого учета электрической энергии (мощности) на границе земельного участка, подключенного от опоры №74-65 ВЛ 0,4 №3 КТП-74 ВЛ-10 1107 ПС 35 кВ ЗР11 для технологического присоединения энергопринимающих устройств жилого дома Заявителя Кривощековой Н.В., Ростовская область, Зерноградский р-н, с. Новоивановка, к.н: 61:12:010801:0081 (1 шт.)</t>
  </si>
  <si>
    <t>Установка прибора коммерческого учета электрической энергии (мощности) на границе земельного участка, подключенного от опоры №30-31 ВЛ-0,4 №1 КТП-30 ВЛ-10 205 ПС 35кВ КГ2 для технологического присоединения энергопринимающих устройств ЛПХ Заявителя Богданенко С.Ф., Ростовская обл. Кагальницкий р-н. п. Светлый Яр, ул. Речная  д.3 к.н. 61:14:0020301:52 (1 шт.)</t>
  </si>
  <si>
    <t>Установка прибора коммерческого учета электрической энергии (мощности) на границе земельного участка, подключенного от РУ-0,4 ЗТП-36 ВЛ-10 803 ПС 35 кВ ЗР8 для технологического присоединения энергопринимающих устройств административного здания Заявителя АО «Почта России», Ростовская область, Зерноградский р-н, х. Донской, ул. Цветной Бульвар, д.26 к.н. 61:12:0080207:330 (1 шт.)</t>
  </si>
  <si>
    <t>Установка прибора коммерческого учета электрической энергии (мощности) на границе земельного участка, подключенного опоры №5-40 ВЛ-0,4 №3 КТП-5 ВЛ-10 602 ПС 35 кВ ЗР6 для технологического присоединения энергопринимающих устройств административного здания Заявителя АО «Почта России», Ростовская область, Зерноградский р-н, х. Чернышевка, ул. Торговая д.7 п.1 к.н. 61:12:0090114:474 (1 шт.)</t>
  </si>
  <si>
    <t>Установка прибора коммерческого учета электрической энергии (мощности) на границе земельного участка, подключенного от опоры №41-8 ВЛ-0,4 №1 КТП-41 ВЛ-10 801 от ПС 35 кВ ЗР8 для технологического присоединения энергопринимающих устройств ЛПХ Заявителя Бережной Е.В., Ростовская обл., Зерноградский р-н, х. Пишванов к.н. 61:12:0080302:93 (1 шт.)</t>
  </si>
  <si>
    <t>Установка прибора коммерческого учета электрической энергии (мощности) на границе земельного участка, подключенного от опоры №83-175 ВЛ-0,4 №2 КТП-83 ВЛ-10 415 ПС 35 кВ КГ4 для технологического присоединения  энергопринимающих устройств жилого дома Заявителя Гриненко А.Н. Ростовская область, Кагальницкий р-н, с. Васильево-Шамшево, ул. Специалистов д.9 к.н. 61:14:0030104:26 (1 шт.)</t>
  </si>
  <si>
    <t>Установка прибора коммерческого учета электрической энергии (мощности) на границе земельного участка, подключенного от опоры №29-33 ВЛ-0,4 №2 КТП-29 ВЛ-10 605 ПС 35 кВ КГ6 для технологического присоединения  энергопринимающих устройств жилого дома Заявителя Елфимова Д.В. Ростовская область, Кагальницкий р-н, с. Новобатайск, ул. Северная д.4 к.н. 61:14:0000000:00 (1 шт.)</t>
  </si>
  <si>
    <t>Установка прибора коммерческого учета электрической энергии (мощности) на границе земельного участка, подключенного от опоры №126-6 ВЛ-0,4 №1 КТП-126 ВЛ-10 1608 ПС 35 кВ ЗР16 для технологического присоединения энергопринимающих устройств жилого дома Заявителя Жиляев М.А. Ростовская область, Зерноградский р-н, х. 1-й Россошинский, ул. Садовая д.50А к.н. 61:12:030308:2 (1 шт.)</t>
  </si>
  <si>
    <t>Установка прибора коммерческого учета электрической энергии (мощности) на границе земельного участка, подключенного от опоры №18-5 ВЛ-0,4 №1 КТП-18 ВЛ-10 605 ПС 35 кВ КГ6 для технологического присоединения  энергопринимающих устройств магазина Заявителя ИП Клименко В.В.,  Ростовская область, Кагальницкий р-н, с. Новобатайск, ул. Ленина д.66 к.н.: 61:14:0040124:4 (1 шт.)</t>
  </si>
  <si>
    <t>Установка прибора коммерческого учета электрической энергии (мощности) на границе земельного участка, подключенного от опоры №56-13 ВЛ-0,4 №1 КТП-56 ВЛ-10 1205 от ПС 110 кВ Манычская для технологического присоединения энергопринимающих устройств ЛПХ Заявителя  Кушнаревой А.Е., Ростовская обл., Зерноградский р-н., х. Булочкин, к.н. 1:12:0060601:19 (1 шт.)</t>
  </si>
  <si>
    <t>Установка прибора коммерческого учета электрической энергии (мощности) на границе земельного участка, подключенного от опоры № 85-67 ВЛ-0,4 №1 КТП-85 ВЛ-10 415 от ПС 35 кВ КГ4 для технологического присоединения энергопринимающих устройств жилого дома Заявителя Назырова М. Р., Ростовская обл., Кагальницкий р-н, х. Кагальничек, к.н. 61:14:0030401:116 (1 шт)</t>
  </si>
  <si>
    <t>Установка прибора коммерческого учета электрической энергии (мощности) на границе земельного участка, подключенного от опоры №117-18   ВЛ-0,4 № 1 КТП-117 ВЛ-10 805  ПС 110 кВ БОС для технологического присоединения энергопринимающих устройств нежилой постройки Заявителя Нарицына В.В., Ростовская область, Кагальницкий   р-н, п. Мокрый Батай ул. Садовая д.28Б,  к.н. земельного участка: 61:14:0060105:880(1 шт.)</t>
  </si>
  <si>
    <t>Установка прибора коммерческого учета электрической энергии (мощности) на границе земельного участка, подключенного от опоры №31-7 ВЛ-0,4 №4 КТП-31 ВЛ-10 1402 ПС 35 кВ ЗР14 для технологического присоединения  энергопринимающих устройств ЛПХ Заявителя Оганьян Г.А. Ростовская область, Кагальницкий р-н, ст. Кировская, ул. Кривошлыкова д.76 к.н. 61:14:0050150:80 (1 шт.)</t>
  </si>
  <si>
    <t>Установка прибора коммерческого учета электрической энергии (мощности) на границе земельного участка, подключенного от опоры №17-32   ВЛ-0,4 № 1 КТП-17 ВЛ-10 1608  ПС 35 кВ ЗР16 для технологического присоединения энергопринимающих устройств жилого дома Заявителя Пироженко Е.С., Ростовская область, Зерноградский   р-н, х. 1-й Россошиннский, ул. Заречная д. 5 к.н. земельного участка: 61:12:00666149:5(1 шт.)</t>
  </si>
  <si>
    <t>Установка прибора коммерческого учета электрической энергии (мощности) на границе земельного участка, подключенного от опоры  № 109-37 ВЛ-0,4  №2  КТП-109  ВЛ-10 805   ПС 110 кВ БОС для технологического присоединения энергопринимающих устройств жилого дома Заявителя Самойлов С.В. Ростовская область, Кагальницкий р-н. п. Мокрый Батай ул. Строителей д.25 к.н. 61:14:0060110:13 (1 шт.)</t>
  </si>
  <si>
    <t>Установка прибора коммерческого учета электрической энергии (мощности) на границе земельного участка, подключенного от опоры №122-105 ВЛ-0,4 №4 КТП-122 ВЛ-10 313 от ПС 35 кВ КГ3 для технологического присоединения энергопринимающих устройств садового дома Заявителя Селивестренко Ю.А., Ростовская обл., Аксайский р-н., СНТ «Железнодорожник», к.н. 61:02:0504801:1048 (1 шт.)</t>
  </si>
  <si>
    <t>Установка прибора коммерческого учета электрической энергии (мощности) на границе земельного участка, подключенного от опоры №96-76 ВЛ-0,4 №3 КТП-96 ВЛ-10 501 от ПС 35 кВ ЗР5 для технологического присоединения энергопринимающих устройств ЛПХ Заявителя Сухановой Н.Н., Ростовская обл., Зерноградский р-н, х. Гуляй-Борисовка к.н. 61:12:0011216:34 (1 шт.)</t>
  </si>
  <si>
    <t>Установка прибора коммерческого учета электрической энергии (мощности) на границе земельного участка, подключенного от опоры №14-16 ВЛ-0,4 №1 КТП-14 ВЛ-10 603  ПС 35 кВ ЗР6 для технологического присоединения энергопринимающих устройств малоэтажной жилой застройки Заявителя Харитонов Д.Е., Ростовская область, Зерноградский р-н, х. Чернышевка, пер. Березовый д.4  к.н. 61:12:0090110:232(1 шт.)</t>
  </si>
  <si>
    <t>Установка прибора коммерческого учета электрической энергии (мощности) на границе земельного участка, подключенного от опоры №137-63 ВЛ-0,4 №3 КТП-137 ВЛ-10 801 от ПС 35 кВ ЗР8 для технологического присоединения энергопринимающих устройств ЛПХ Заявителя Шаламова В.В., Ростовская обл., Зерноградский р-н, х. Пишванов, к.н. 61:12:0080302:105 (1 шт.)</t>
  </si>
  <si>
    <t>Установка прибора коммерческого учета электрической энергии (мощности) на границе земельного участка, подключенного от опоры №19-32 ВЛ-0,4 №2 КТП-19 ВЛ-10 612  ПС 35 кВ КГ6 для технологического присоединения энергопринимающих устройств малоэтажной жилой застройки Заявителя Шикуля Г.В. , Ростовская область, Кагальницкий р-н, с. Новобатайск , пер. Братский д.34  к.н. 61:14:0040108:64(1 шт.)</t>
  </si>
  <si>
    <t>Установка прибора коммерческого учета электрической энергии (мощности) на границе земельного участка, подключенного от проектируемой ВЛИ-0,4 кВ проектируемой ТП 10/0,4 кВ (по договору ТП №61-1-21-00601903 от 15.09.2021г.) ВЛ 10кВ №2412 ПС 35/10 кВ А-24 для технологического присоединения энергопринимающих устройств жилого дома Заявителя Еременко С.А., х. Полушкин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</si>
  <si>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№27-4 ВЛ 0,4 кВ №1 КТП 10/0,4 кВ №27 ВЛ-10кВ №1815 ПС 35/10 кВ А-18 для технологического присоединения энергопринимающих устройств базовой станции сотовой связи Заявителя ПАО «Ростелеком» х. Городище, Азовский район Ростовская область (1 шт.)</t>
  </si>
  <si>
    <t>Установка коммерческого учета электрической энергии (мощности) на границе балансовой принадлежности, подключенного от опоры №16-99 ВЛ-10 кВ №805 ПС 110 кВ БОС, для электроснабжения объекта производственное здание заявителя АО «Кагальницкий мясокостный завод», Ростовская область, Кагальницкий р-н, 1.5 км северо-западнее п. Мокрый Батай (1 шт)</t>
  </si>
  <si>
    <t>Установка прибора коммерческого учета электрической энергии (мощности) на границе земельного участка, подключенного от опоры №11-23 ВЛ 0,4 кВ №2 КТП 10/0,4кВ №11 ВЛ 10кВ №202Н ПС 110/6/10 кВ НС-2 для технологического присоединения энергопринимающих устройств нежилого помещения Заявителя Подлесных В.В., п. Тимирязевский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</si>
  <si>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№8-107 ВЛ 0,4 кВ №4 КТП 10/0,4кВ №8 ВЛ 10кВ №3125 ПС 110/35/10 кВ А-31 для технологического присоединения энергопринимающих устройств магазина Заявителя Бугаенко С.А., с. Пешково Азовский район, Ростовская область (1 шт.)</t>
  </si>
  <si>
    <t>Строительство ВЛ 0,4 кВ от проектируемой ВЛ 0,4 кВ (по договору ТП № 61-1-21-00580815 от 08.06.2021г.) МТП 10/0,4 кВ №311 ВЛ-10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Губиной С.О., ТСН «СНТ Белгорос» Азовский район, Ростовская область (ориентировочная протяженность ЛЭП – 0,025 км)</t>
  </si>
  <si>
    <t>Установка прибора коммерческого учета электрической энергии (мощности) на границе земельного участка, подключенного от опоры №127-21 тех.перевооружаемой ВЛ 0,4 кВ №1 КТП 10/0,4кВ №127 ВЛ 10кВ №1310 ПС 35/10 кВ А-13 для технологического присоединения энергопринимающих устройств жилого дома Заявителя Дуюн С.В., с.Елизаветовка, Азовский район, Ростовская область, кадастровый (условный) номер объекта: 61-61-03/023/2008-237(1 шт.)</t>
  </si>
  <si>
    <t>Установка прибора коммерческого учета электрической энергии (мощности) на границе земельного участка, подключенного от опоры № 24-126 ВЛ-0,4 № 3 КТП-24  ВЛ-10 807 ПС 110кВ Роговская для технологического присоединения энергопринимающих устройств нежилого помещения № 8 Заявителя МБУ ЕР "ЦСОГПВиИ", ст.Новороговская, Егорлыкский район, Ростовская область, к.н. 61:10:0070101:797 (1 шт.)</t>
  </si>
  <si>
    <t>Установка прибора коммерческого учета электрической энергии (мощности) на границе земельного участка, подключенного от опоры №121-14 ВЛ-0,4 №1 КТП-121 ВЛ-10 122 от ПС 220 кВ Зерновая для технологического присоединения энергопринимающих устройств садового дома Заявителя Денисенко А.И., Ростовская обл., Зерноградский р-н, х. Ракитный, СО «Селекционер» к.н.61:12:06000901:671 (1 шт.)</t>
  </si>
  <si>
    <t>Установка прибора коммерческого учета электрической энергии (мощности) на границе земельного участка, подключенного от опоры №74-77 ВЛ-0,4 №1 КТП-74 ВЛ-10 1209 от ПС 110 кВ Манычская для технологического присоединения энергопринимающих устройств жилого дома Заявителя Степанова А.А., Ростовская обл., Зерноградский р-н, п. Междупольный, к.н. 61:12:0060701:118 (1 шт.)</t>
  </si>
  <si>
    <t>Установка прибора коммерческого учета электрической энергии (мощности) на границе земельного участка, подключенного от опоры №8-7  ВЛ-0,4 № 1 КТП-8 ВЛ-10 305  ПС 35 кВ КГ3 для технологического присоединения  энергопринимающих устройств жилого дома Заявителя Шапаренко И.А. Ростовская область, п. Глубокий Яр, ул. Кленовая д.14 кв.1 , к.н. земельного участка: 61:14:0050301:43(1 шт.)</t>
  </si>
  <si>
    <t>Установка прибора коммерческого учета электрической энергии (мощности) на границе земельного участка, подключенного от опоры  № 3-48 ВЛ-0,4  №1  КТП-3  ВЛ-10 305   ПС 35 кВ КГ3 для технологического присоединения энергопринимающих устройств жилого дома Заявителя Лякина В.В. Ростовская область, Кагальницкий р-н. ст. Кировская ул. Подтелкова д.41  к.н. 61:14:0050148:358 (1 шт.)</t>
  </si>
  <si>
    <t>Установка прибора коммерческого учета электрической энергии (мощности) на границе земельного участка, подключенного от опоры №28-156   ВЛ-0,4 № 4 ЗТП-28 ВЛ-10 313  ПС 35 кВ КГЗ для технологического присоединения энергопринимающих устройств жилого дома Заявителя Синогиной О.В., Ростовская область, Кагальницкий   р-н, ст. Кировская ул. Спортивная д.5А,  к.н. земельного участка: 61:14:0050144:244(1 шт.</t>
  </si>
  <si>
    <t>Установка прибора коммерческого учета электрической энергии (мощности) на границе земельного участка, подключенного от опоры         №64-2 ВЛ-0,4 №1 КТП-64 ВЛ-10 319 ПС 35кВ КГ3 для технологического присоединения энергопринимающих устройств жилого дома Заявителя Бондаренко А.Н., Ростовская обл. Кавгальницкий р-н. п. Новоракитный ул. Климова д.4 кв.1 к.н. 61:14:18026208:350(1 шт.)</t>
  </si>
  <si>
    <t>Установка прибора коммерческого учета электрической энергии (мощности) на границе земельного участка, подключенного от опоры  №121-77 ВЛ-0,4  №1  КТП-121  ВЛ-10 313 ПС 35 кВ КГ3 для технологического присоединения энергопринимающих устройств жилого дома Заявителя Бучнева А.С. Ростовская область, Аксайский р-н, х.0Истомино СНТ «Железноророжник»  к.н. 61:02:0504801:1615 (1 шт.)</t>
  </si>
  <si>
    <t>Установка прибора коммерческого учета электрической энергии (мощности) на границе земельного участка, подключенного от опоры  №5-20 ВЛ-0,4  №1  КТП-5  ВЛ-10 1407   ПС 35 кВ ЗР14 для технологического присоединения энергопринимающих устройств жилого дома Заявителя Иванова И.И. Ростовская область, х. Гуляй-Борисовка ул. Заречная д.30  к.н. 61:12:0011228:1 (1 шт.)</t>
  </si>
  <si>
    <t>Установка прибора коммерческого учета электрической энергии (мощности) на границе земельного участка, подключенного от опоры №141-28  ВЛ-0,4 № 1 КТП-141 ВЛ-10 141  ПС 35 кВ КГ3 для технологического присоединения энергопринимающих устройств жилого дома Заявителя Соловьев В.Н., Ростовская область, Кагальницкий   р-н, ст. Кагальницкая п. Малиновка ул. Специалистов д.6а,  к.н. земельного участка: 61:14:0010302:876(1 шт.)</t>
  </si>
  <si>
    <t>Установка прибора коммерческого учета электрической энергии (мощности) на границе земельного участка, подключенного от опоры №141-28  ВЛ-0,4 № 1 КТП-141 ВЛ-10 141  ПС 35 кВ КГ3 для технологического присоединения энергопринимающих устройств жилого дома Заявителя Соловьев В.Н., Ростовская область, Кагальницкий   р-н, ст. Кагальницкая п. Малиновка ул. Специалистов д.6в,  к.н. земельного участка: 61:14:0010302:875(1 шт.)</t>
  </si>
  <si>
    <t>Установка прибора коммерческого учета электрической энергии     (мощности) на границе земельного участка, подключенного от опоры №141-28  ВЛ-0,4 № 1 КТП-141 ВЛ-10 141  ПС 35 кВ КГ3 для технологического присоединения энергопринимающих устройств жилого дома Заявителя Соловьев В.Н., Ростовская область, Кагальницкий   р-н, ст. Кагальницкая п. Малиновка ул. Специалистов д.6б,  к.н. земельного участка: 61:14:0010302:877(1 шт.)</t>
  </si>
  <si>
    <t>Установка прибора коммерческого учета электрической энергии (мощности) на границе земельного участка, подключенного от опоры №1 ВЛ 0,4 кВ №1 КТП 10/0,4кВ №5 ВЛ 10кВ №114 ПС 220/110/35/10 кВ Зерновая для технологического присоединения энергопринимающих устройств производственного здания Заявителя СППК «Донской Маяк», Ростовская область, Зерноградский район, п. Кленовый, к.н.61:12:0600801:1228 (1 шт)</t>
  </si>
  <si>
    <t>Установка прибора коммерческого учета электрической энергии (мощности) на границе земельного участка, подключенного от 157-78   ВЛ-0,4 № 3 КТП-157 ВЛ-10  807  ПС 110 кВ Роговская для технологического присоединения энергопринимающих устройств жилого дома Заявителя Даниелян В.А., Ростовская область, Егорлыкский р-он, ст.Новороговская, к.н. 61:10:0070101:650 (1 шт)</t>
  </si>
  <si>
    <t>Установка прибора коммерческого учета электрической энергии (мощности) на границе земельного участка, подключенного от № 115-51   ВЛ-0,4 № 2 КТП-115 ВЛ-10  801  ПС 110 кВ Роговская для технологического присоединения энергопринимающих устройств жилого дома Заявителя Коробка С.А., Ростовская область, Егорлыкский р-он, п.Роговский, к.н. 61:10:0110101:889 (1 шт)</t>
  </si>
  <si>
    <t>Установка прибора коммерческого учета электрической энергии (мощности) на границе земельного участка, подключенного от опоры № 62-7   ВЛ-0,4 № 1 КТП-62 ВЛ-10  405  ПС 35 кВ Е-4 для технологического присоединения энергопринимающих устройств жилого дома Заявителя Башатова Н.З., х.Ильинский, Егорлыкский район, Ростовская область, к.н. 61:10:0050301:115 (1 шт.)</t>
  </si>
  <si>
    <t xml:space="preserve">Установка прибора коммерческого учета электрической энергии (мощности) на границе земельного участка, подключенного от опоры №14-31 ВЛ-0,4 кВ №1 КТП 10/0,4 кВ №14 по ВЛ 10 кВ №106Н ПС 35/10 кВ НС-1 для технологического присоединения энергопринимающих устройств административного здания Заявителя Акционерное общество «Почта России».,п. Овощной, Азовский район, Ростовская область, к.н. 61:01:0130101:3648 (1 шт) </t>
  </si>
  <si>
    <t xml:space="preserve">Установка прибора коммерческого учета электрической энергии (мощности) на границе земельного участка, подключенного от опоры №27-23 ВЛ-0,4 кВ №1 КТП 10/0,4 кВ №27 по ВЛ 10 кВ №1701 ПС 35/10 кВ А-17 для технологического присоединения энергопринимающих устройств административного здания Заявителя Акционерное общество «Почта России»., с. Круглое, Азовский район, Ростовская область, к.н. 61:01:0070101:4723 (1 шт) </t>
  </si>
  <si>
    <t xml:space="preserve">Установка прибора коммерческого учета электрической энергии (мощности) на границе земельного участка, подключенного от опоры №74-105 ВЛ-0,4 кВ №3 КТП 10/0,4 кВ №74 по ВЛ 10 кВ №613 ПС 35/10 кВ А-6 для технологического присоединения энергопринимающих устройств жилого дома Заявителя Борисова А.Д., с. Новомаргаритово, Азовский район, Ростовская область, к.н. 61:01:0100201:1749 (1 шт) </t>
  </si>
  <si>
    <t>Установка прибора коммерческого учета электрической энергии (мощности) на границе земельного участка, подключенного от опоры №160-33 ВЛ-0,4 кВ №1 КТП 10/0,4 кВ №160 по ВЛ 10 кВ №1101 ПС 35/10 кВ А-11 для технологического присоединения энергопринимающих устройств жилого дома Заявителя Волобуева Н.В., с. Кагальник, Азовский район, Ростовская область, к.н. 61:01:0060101:12663 (1 шт)</t>
  </si>
  <si>
    <t xml:space="preserve">Установка прибора коммерческого учета электрической энергии (мощности) на границе земельного участка, подключенного от опоры №64-27 ВЛ-0,4 кВ №1 КТП 10/0,4 кВ №64 по ВЛ 10 кВ №606 ПС 35/10 кВ А-6 для технологического присоединения энергопринимающих устройств жилого дома Заявителя Подсвирова К.И., с. Порт-Катон, Азовский район, Ростовская область, к.н. 61:01:0100301:645 (1 шт) (код объекта строительства 612001213439), </t>
  </si>
  <si>
    <t xml:space="preserve">Установка прибора коммерческого учета электрической энергии (мощности) на границе земельного участка, подключенного от опоры №66-12 ВЛ-0,4 кВ №1 КТП 10/0,4 кВ №66 по ВЛ 10 кВ №307Н ПС 110/35/10 кВ НС-3 для технологического присоединения энергопринимающих устройств объекта крестьянского хозяйства Заявителя Общество с Огранической Ответственностью «Фермерское хозяйства Лозовое»., Азовский район, Ростовская область, к.н. 61:01:0600013:2358 (1 шт) </t>
  </si>
  <si>
    <t xml:space="preserve">Установка прибора коммерческого учета электрической энергии (мощности) на границе земельного участка, подключенного от опоры №85-4 ВЛ-0,4 кВ №1 КТП 10/0,4 кВ №85 по ВЛ 10 кВ №2608 ПС 110/10 кВ А-26 для технологического присоединения энергопринимающих устройств жилого дома Заявителя Прочухан В.В., с. Кулешовка, Азовский район, Ростовская область, к.н. 61:01:0090102:287 (1 шт) </t>
  </si>
  <si>
    <t xml:space="preserve">Установка прибора коммерческого учета электрической энергии (мощности) на границе земельного участка, подключенного от опоры №61-13 ВЛ-0,4 кВ №1 КТП 10/0,4 кВ №61 по ВЛ 10 кВ №3127 ПС 110/35/10 кВ А-31 для технологического присоединения энергопринимающих устройств жилого дома Заявителя Фадеевой И.Л., с. Круглое, Азовский район, Ростовская область, к.н. 61:01:0070101:2444 (1 шт) </t>
  </si>
  <si>
    <t>Установка прибора коммерческого учета электрической энергии (мощности) на границе земельного участка, подключенного от опоры №182-10 ВЛ-0,4 кВ №1 КТП 10/0,4кВ №182 ВЛ-10кВ №3127 ПС 110/35/10 кВ А-31 для технологического присоединения энергопринимающих устройств строительной площадки Заявителя Егоркиной Т.М., с. Круглое, Азовский район, Ростовская область, к.н. 61:01:0070101:369 (1 шт.)</t>
  </si>
  <si>
    <t xml:space="preserve">Установка прибора коммерческого учета электрической энергии (мощности) на границе земельного участка, подключенного от опоры №8-44 ВЛ-0,4 кВ №2 КТП 10/0,4 кВ №8 по ВЛ 10 кВ №3125 ПС 110/35/10 кВ  А-31 для технологического присоединения энергопринимающих  устройств жилого дома Заявителя Горлановой В.Е., с. Пешково, Азовский район, Ростовская область,  к.н. 61:01:0140101:8774 (1 шт) </t>
  </si>
  <si>
    <t xml:space="preserve">Установка прибора коммерческого учета электрической энергии (мощности) на границе земельного участка, подключенного от опоры №172-14 ВЛ-0,4 кВ №1 КТП 10/0,4 кВ №172 по ВЛ 10 кВ №1702 ПС 35/10 кВ А-17 для технологического присоединения энергопринимающих устройств жилого дома Заявителя Самсоновой Е.А., с. Стефанидинодар, Азовский район, Ростовская область, к.н. 61:01:0070201:1389 (1 шт) </t>
  </si>
  <si>
    <t xml:space="preserve">Установка прибора коммерческого учета электрической энергии (мощности) на границе земельного участка, подключенного от опоры №48-13 ВЛ 0,4 кВ №1 КТП 10/0,4кВ №48 ВЛ 10кВ №1815 ПС 35/10 кВ А-18 для технологического присоединения энергопринимающих устройств объекта жилого дома Заявителя Сусоева А.И., х. Береговой, Азовский район, Ростовская область, к.н. 61:01:0600002:2549 (1 шт.)  </t>
  </si>
  <si>
    <t>Установка прибора коммерческого учета электрической энергии (мощности) на границе земельного участка, подключенного от опоры №358-11 ВЛ 0,4 кВ №2 КТП 10/0,4кВ №358 ВЛ 10кВ №202Н ПС 110/6/10 кВ НС-2 для технологического присоединения энергопринимающих устройств объекта жилого дома Заявителя Барушевой Л.Н., ЗАО «Обильное», Азовский район, Ростовская область, к.н. 61:01:0600006:7327 (1 шт.)</t>
  </si>
  <si>
    <t xml:space="preserve">Установка прибора коммерческого учета электрической энергии (мощности) на границе земельного участка, подключенного от опоры №106-5 ВЛ-0,4 кВ №1 КТП 10/0,4 кВ №106 по ВЛ 10 кВ №105Н ПС 110/6/10 кВ НС-1 для технологического присоединения энергопринимающих устройств жилого дома Заявителя Дзыс В.А., х. Усть-Койсуг, Азовский район, Ростовская область, к.н. 61-61-03/057/2006-226 (1 шт) </t>
  </si>
  <si>
    <t xml:space="preserve">Установка прибора коммерческого учета электрической энергии (мощности) на границе земельного участка, подключенного от опоры №64-61 ВЛ 0,4 кВ №3 КТП 10/0,4кВ №64 ВЛ 10кВ №606 ПС 35/10 кВ А-6 для технологического присоединения энергопринимающих устройств объекта жилого дома Заявителя Полтавцевой Е.В., с. Порт-Катон, Азовский район, Ростовская область, к.н. 61:01:0100301:4147 (1 шт.) </t>
  </si>
  <si>
    <t xml:space="preserve">Установка прибора коммерческого учета электрической энергии (мощности) на границе земельного участка, подключенного от опоры №48-70 ВЛ-0,4 кВ №1 КТП 10/0,4 кВ №48 по ВЛ 10 кВ №1815 ПС 35/10 кВ А-18 для технологического присоединения энергопринимающих устройств жилого дома Заявителя Родионовой Т.В., Рыболовецкий колхоз им.Ленина, Азовский район, Ростовская область, к.н. 61:01:0600002:3200 (1 шт) </t>
  </si>
  <si>
    <t xml:space="preserve">Установка прибора коммерческого учета электрической энергии (мощности) на границе земельного участка, подключенного от опоры №34-69 ВЛ 0,4 кВ №2 КТП 10/0,4кВ №34 ВЛ 10кВ №1707 ПС 35/10 кВ А-17 для технологического присоединения энергопринимающих устройств объекта жилого дома Заявителя Исоченко Л.Ш., с. Круглое, Азовский район, Ростовская область, к.н. 61:01:0070101:1587 (1 шт.) </t>
  </si>
  <si>
    <t xml:space="preserve">Установка прибора коммерческого учета электрической энергии (мощности) на границе земельного участка, подключенного от опоры №111-88 ВЛ 0,4 кВ №3 КТП 10/0,4кВ №111 ВЛ 10кВ №3113 ПС 110/35/10 кВ А-31 для технологического присоединения энергопринимающих устройств объекта жилого дома Заявителя Зворыкиной И.В., с. Пешково, Азовский район, Ростовская область, к.н. 61:01:0140101:2173 (1 шт.) </t>
  </si>
  <si>
    <t>Установка прибора коммерческого учета электрической энергии (мощности) на границе земельного участка, подключенного от опоры №48-6 ВЛ 0,4 кВ №1 КТП 10/0,4кВ №48 ВЛ 10кВ №1815 ПС 35/10 кВ А-18 для технологического присоединения энергопринимающих устройств объекта жилого дома Заявителя Холупенко Е.В., Рыболовецкий колхоз им.Ленина, Азовский район, Ростовская область, к.н. 61:01:0600002:2464 (1 шт.)</t>
  </si>
  <si>
    <t xml:space="preserve">Установка прибора коммерческого учета электрической энергии (мощности) на границе земельного участка, подключенного от опоры №27-53 ВЛ 0,4 кВ №1 КТП 10/0,4кВ №27 ВЛ 10кВ №1815 ПС 35/10 кВ А-18 для технологического присоединения энергопринимающих устройств объекта жилого дома и солнечных батарей Заявителя Желтобрюхова С.А., х. Городище, Азовский район, Ростовская область, к.н. 61:01:0600006:2076 (1 шт.) </t>
  </si>
  <si>
    <t xml:space="preserve">Установка прибора коммерческого учета электрической энергии (мощности) на границе земельного участка, подключенного от опоры №20-6 ВЛ 0,4 кВ №1 КТП 10/0,4кВ №20 ВЛ 10кВ №3127 ПС 110/35/10 кВ А-31 для технологического присоединения энергопринимающих устройств объекта административного здания Заявителя Акционерное общество «Почта России», с. Займо-Обрыв, Азовский район, Ростовская область, к.н. 61:01:0140401:17 (1 шт.) </t>
  </si>
  <si>
    <t xml:space="preserve">Установка прибора коммерческого учета электрической энергии (мощности) на границе земельного участка, подключенного от опоры №122-40 ВЛ 0,4 кВ №2 КТП 10/0,4кВ №122 ВЛ 10кВ №3017 ПС 220/110/10 кВ А-30 для технологического присоединения энергопринимающих устройств объекта административного здания Заявителя Акционерное общество «Почта России», с. Кугей, Азовский район, Ростовская область, к.н. 61:01:0080101:1373 (1 шт.) </t>
  </si>
  <si>
    <t>Установка прибора коммерческого учета электрической энергии (мощности) на границе земельного участка, подключенного от опоры №64-2 ВЛ 0,4 кВ №1 КТП 10/0,4кВ №64 ВЛ 10кВ №606 ПС 35/10 кВ А-6 для технологического присоединения энергопринимающих устройств объекта административного здания Заявителя Акционерное общество «Почта России», с. Порт-Катон, Азовский район, Ростовская область, к.н. 61:01:0100301:1564 (1 шт.)</t>
  </si>
  <si>
    <t>Установка прибора коммерческого учета электрической энергии (мощности) на границе земельного участка, подключенного от опоры №92-70 ВЛ 0,4 кВ №2 КТП 10/0,4кВ №92 ВЛ 10кВ №803 ПС 35/10 кВ А-8 для технологического присоединения энергопринимающих устройств объекта административного здания Заявителя Акционерное общество «Почта России», с. Семибалки, Азовский район, Ростовская область, к.н. 61:01:0180101:1533 (1 шт.)</t>
  </si>
  <si>
    <t xml:space="preserve">Установка прибора коммерческого учета электрической энергии (мощности) на границе земельного участка, подключенного от опоры №206-25 ВЛ-0,4кВ №2 КТП 10/0,4 кВ №206 ВЛ-10кВ №3113 ПС 110/35/10 кВ «А-31» для технологического присоединения энергопринимающих устройств жилого дома Заявителя Афониной Э.А., с. Пешково, Азовский район, Ростовская область, к.н. 61:01:0140101:8121 (1 шт.) </t>
  </si>
  <si>
    <t xml:space="preserve">Установка прибора коммерческого учета электрической энергии (мощности) на границе земельного участка, подключенного от опоры №111-31 ВЛ 0,4 кВ №2 КТП 10/0,4кВ №111 ВЛ 10кВ №3113 ПС 110/35/10 кВ А-31 для технологического присоединения энергопринимающих устройств жилого дома Заявителя Филимоновой О.И., с. Пешково, Азовский район, Ростовская область, к.н. 61:01:0140101:9131 (1 шт.) </t>
  </si>
  <si>
    <t xml:space="preserve">Установка прибора коммерческого учета электрической энергии (мощности) на границе земельного участка, подключенного от опоры №35-43 ВЛ-0,4 кВ №1 КТП 10/0,4кВ №35 ВЛ-10кВ №1904 РП-19 ПС 110/35/10 кВ Самарская для технологического присоединения энергопринимающих устройств жилого дома Заявителя Ведута С.Н., с. Новотроицкое, Азовский район, Ростовская область, к.н. 61:01:0040801:27 (1 шт.) </t>
  </si>
  <si>
    <t xml:space="preserve">«Установка прибора коммерческого учета электрической энергии (мощности) на границе земельного участка, подключенного от опоры №175-26 ВЛ 0,4 кВ №1 КТП 10/0,4кВ №175 ВЛ 10кВ №3105 ПС 110/35/10 кВ А-31 для технологического присоединения энергопринимающих устройств объекта жилого дома Заявителя Баландина А.Н., Азовский район, Ростовская область, к.н. 61:01:0140401:1081 (1 шт.) </t>
  </si>
  <si>
    <t>Установка прибора коммерческого учета электрической энергии (мощности) на границе земельного участка, подключенного от опоры №28-8 ВЛ 0,4 кВ №1 КТП 10/0,4кВ №28 ВЛ 10кВ №1411 ПС 110/35/10 кВ А-32 для технологического присоединения энергопринимающих устройств объекта жилого дома Заявителя Прохоров И.В., х. Полтава 1-я, Азовский район, Ростовская область, к.н. 61:01:0080201:1128 (1 шт.)</t>
  </si>
  <si>
    <t xml:space="preserve">Установка прибора коммерческого учета электрической энергии (мощности) на границе земельного участка, подключенного от опоры №б/н ВЛ 0,4 кВ КТП 10/0,4кВ №6 (на балансе Администрации Александровского сельского поселения) ВЛ 10кВ №1513 ПС 35/10 кВ А-15 для технологического присоединения энергопринимающих устройств объекта базовой станции сотовой связи Заявителя ПАО «Ростелеком»., п. Ленинский Лесхоз, Азовский район, Ростовская область, к.н. 61:01:0010401 (1 шт.) </t>
  </si>
  <si>
    <t xml:space="preserve">Установка прибора коммерческого учета электрической энергии (мощности) на границе земельного участка, подключенного от опоры №31-110 ВЛ 0,4 кВ №2 КТП 10/0,4кВ №31 ВЛ 10кВ №2907 РП-29 ПС 35/10 кВ А-18 для технологического присоединения энергопринимающих устройств объекта жилого дома Заявителя Степаненко М.Ю., х. Коса, Азовский район, Ростовская область, к.н. 61:01:0030601:7000 (1 шт.)  </t>
  </si>
  <si>
    <t xml:space="preserve">Установка прибора коммерческого учета электрической энергии (мощности) на границе земельного участка, подключенного от опоры №144-23 ВЛ 0,4 кВ №2 КТП 10/0,4кВ №144 ВЛ 10кВ №1107 ПС 35/10 кВ А-11 для технологического присоединения энергопринимающих устройств жилого дома Заявителя Рубанова А.П., с.Кагальник, Азовский район, Ростовская область, кадастровый (условный) номер объекта: 61:01:0060101:2894(1 шт.) </t>
  </si>
  <si>
    <t xml:space="preserve">Установка прибора коммерческого учета электрической энергии (мощности) на границе земельного участка, подключенного от опоры №32-7 ВЛ-0,4 кВ №1 КТП 10/0,4 кВ №32 по ВЛ 10 кВ №2907 РП-29 ПС 35/10 кВ А-18 для технологического присоединения энергопринимающих устройств магазина Заявителя Дергачева Д.В., х.Коса, Азовский район, Ростовская область, к.н. 61:01:0030601:7241 (1 шт.) </t>
  </si>
  <si>
    <t xml:space="preserve">Установка прибора коммерческого учета электрической энергии (мощности) на границе земельного участка, подключенного от опоры №36-85 ВЛ-0,4 кВ №3 КТП 10/0,4 кВ №36 по ВЛ 10 кВ №1702 ПС 35/10 кВ А-17 для технологического присоединения энергопринимающих устройств жилого дома Заявителя Перегудова В.В., с.Стефанидинодар, Азовский район, Ростовская область, к.н. 61:01:0070201:4404 (1 шт.) </t>
  </si>
  <si>
    <t xml:space="preserve">Установка прибора коммерческого учета электрической энергии (мощности) на границе земельного участка, подключенного от опоры №45-56 ВЛ-0,4 кВ №3 КТП 10/0,4 кВ №45 по ВЛ 10 кВ №2907 РП-29 ПС 35/10 кВ А-18 для технологического присоединения энергопринимающих устройств жилого дома Заявителя Сивцовой С.Р., х.Курган, Азовский район, Ростовская область, к.н. 61:01:0030701:1348 (1 шт.) </t>
  </si>
  <si>
    <t>Установка прибора коммерческого учета электрической энергии (мощности) на границе земельного участка, подключенного от опоры №14-132 ВЛ-0,4 кВ №4 КТП 10/0,4 кВ №14 по ВЛ 10 кВ №106Н ПС 110/6/10 кВ НС-1 для технологического присоединения энергопринимающих устройств хозяйственной постройки Заявителя Барсегян Г.А., п. Овощной, Азовский район, Ростовская область, к.н. 61:01:0130101:4067 (1 шт)</t>
  </si>
  <si>
    <t xml:space="preserve">Установка прибора коммерческого учета электрической энергии (мощности) на границе земельного участка, подключенного от опоры №29-30 ВЛ-0,4 кВ №1 КТП 10/0,4 кВ №29 по ВЛ 10 кВ №3113 ПС 110/35/10 кВ А-31 для технологического присоединения энергопринимающих устройств жилого дома Заявителя Зублева Е.А., с. Головатовка, Азовский район, Ростовская область, к.н. 61:01:0140301:2815 (1 шт) </t>
  </si>
  <si>
    <t xml:space="preserve">Установка прибора коммерческого учета электрической энергии (мощности) на границе земельного участка, подключенного от опоры №44-110 ВЛ-0,4 кВ №3 КТП 10/0,4 кВ №44 по ВЛ 10 кВ №803 ПС 35/10 кВ А-8 для технологического присоединения энергопринимающих устройств жилого дома Заявителя Селищевой С.Е., с. Семибалки, Азовский район, Ростовская область, к.н. 61:01:0180101:4741 (1 шт) , </t>
  </si>
  <si>
    <t xml:space="preserve">Установка прибора коммерческого учета электрической энергии (мощности) на границе земельного участка, подключенного от опоры №184-34 ВЛ-0,4 кВ №3 КТП 10/0,4 кВ №184 по ВЛ 10 кВ №3113 ПС 110/35/10 кВ А-31 для технологического присоединения энергопринимающих устройств жилого дома Заявителя Шерстобитова Е.А., с. Пешково, Азовский район, Ростовская область, к.н. 61:01:0140101:8817 (1 шт) </t>
  </si>
  <si>
    <t xml:space="preserve">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61-1-22-00624829 от 26.01.2022г. с заявителем Сониной Л.В.) КТП 10/0,4 кВ №10 ВЛ 10кВ №3125 ПС 110/35/10 кВ А-31 для технологического присоединения энергопринимающих устройств жилого дома Заявителя Григорьевой О.С., Ростовская область, Азовский район, с.Пешково, к.н. 61:01:0140101:8686 (1 шт.) </t>
  </si>
  <si>
    <t xml:space="preserve">Установка прибора коммерческого учета электрической энергии (мощности) на границе земельного участка, подключенного от опоры №7-55 ВЛ-0,4 кВ №2 КТП 10/0,4 кВ №7 по ВЛ 10 кВ №3125 ПС 110/35/10 кВ А-31 для технологического присоединения энергопринимающих устройств жилого дома Заявителя Гладкий А.В., с. Пешково, Азовский район, Ростовская область, к.н. 61:01:0140101:8259 (1 шт) </t>
  </si>
  <si>
    <t xml:space="preserve">Установка прибора коммерческого учета электрической энергии (мощности) на границе земельного участка, подключенного от опоры №43-16 ВЛ-0,4 кВ №1 КТП 10/0,4 кВ №43 по ВЛ 10 кВ №105Н ПС 110/6/10 кВ НС-1 для технологического присоединения энергопринимающих устройств жилого дома Заявителя Посиделовой Н.Н., х. Шмат, Азовский район, Ростовская область, к.н. 61:01:0031001:38 (1 шт) </t>
  </si>
  <si>
    <t>Установка прибора коммерческого учета электрической энергии (мощности) на границе земельного участка, подключенного от опоры №111-94 ВЛ-0,4 кВ №3 КТП 10/0,4 кВ №111 по ВЛ 10 кВ №3113 ПС 110/35/10 кВ А-31 для технологического присоединения энергопринимающих устройств жилого дома Заявителя Чебанова И.С., с. Пешково, Азовский район, Ростовская область, к.н. 61:01:0140101:7497 (1 шт)</t>
  </si>
  <si>
    <t xml:space="preserve">Установка прибора коммерческого учета электрической энергии (мощности) на границе земельного участка, подключенного от опоры №14-85 ВЛ-0,4 кВ №3 КТП 10/0,4 кВ №14 по ВЛ 10 кВ №106Н ПС 110/6/10 кВ НС-1 для технологического присоединения энергопринимающих устройств жилого дома Заявителя Степанцова Я.А., п. Овощной, Азовский район, Ростовская область, к.н. 61:01:0130101:4707 (1 шт) </t>
  </si>
  <si>
    <t xml:space="preserve">Установка прибора коммерческого учета электрической энергии (мощности) на границе земельного участка, подключенного от опоры №162-1 ВЛ-0,4 кВ №1 КТП 10/0,4 кВ №162 по ВЛ 10 кВ №1101 ПС 35/10 кВ А-11 для технологического присоединения энергопринимающих устройств сквера Заявителя Администрации Кагальницкого сельского поселения., с. Кагальник, Азовский район, Ростовская область, к.н. 61:01:0060101:9148 (1 шт) </t>
  </si>
  <si>
    <t>Установка прибора коммерческого учета электрической энергии (мощности) на границе земельного участка, подключенного от опоры №б/н ВЛ-0,4 кВ КТП 10/0,4 кВ №279 (балансовая принадлежность ИП Усачев В.И. (п. Беловодье) по ВЛ 10 кВ №1815 ПС 35/10 кВ А-18 для технологического присоединения энергопринимающих устройств жилого дома Заявителя Глазырина И.Л., х. Обуховка, Азовский район, Ростовская область, к.н. 61:01:0600002:3212 (1 шт)</t>
  </si>
  <si>
    <t>Установка прибора коммерческого учета электрической энергии (мощности) на границе земельного участка, подключенного от опоры №б/н ВЛ-0,4 кВ КТП 10/0,4 кВ №279 (балансовая принадлежность ИП Усачев В.И. (п. Беловодье) по ВЛ 10 кВ №1815 ПС 35/10 кВ А-18 для технологического присоединения энергопринимающих устройств жилого дома Заявителя Глазырина И.Л., х. Обуховка, Азовский район, Ростовская область, к.н. 61:01:0600002:3285 (1 шт)</t>
  </si>
  <si>
    <t>Установка прибора коммерческого учета электрической энергии (мощности) на границе земельного участка, подключенного от опоры №б/н ВЛ-0,4 кВ КТП 10/0,4 кВ №279 (балансовая принадлежность ИП Усачев В.И. (п. Беловодье) по ВЛ 10 кВ №1815 ПС 35/10 кВ А-18 для технологического присоединения энергопринимающих устройств жилого дома Заявителя Глазырина И.Л., х. Обуховка, Азовский район, Ростовская область, к.н. 61:01:0600002:3286 (1 шт)</t>
  </si>
  <si>
    <t>Установка прибора коммерческого учета электрической энергии (мощности) на границе земельного участка, подключенного от опоры №167-11 ВЛ-0,4 кВ №1 КТП 10/0,4 кВ №167 по ВЛ 10 кВ №106Н ПС 110/6/10 кВ НС-1 для технологического присоединения энергопринимающих устройств жилого дома Заявителя Переходько Н.Н., ДНТ «Кулешовка», Азовский район, Ростовская область, к.н. 61:01:0600006:1487 (1 шт)</t>
  </si>
  <si>
    <t xml:space="preserve">Установка прибора коммерческого учета электрической энергии (мощности) на границе земельного участка, подключенного от опоры №233-21 ВЛ-0,4 кВ №1 КТП 10/0,4 кВ №233 по ВЛ 10 кВ №1815 ПС 35/10 кВ А-18 для технологического присоединения энергопринимающих устройств жилого дома Заявителя Чернявской А.Ю., СТ «Надежда-4», Азовский район, Ростовская область, к.н. 61:01:0500301:235 (1 шт) </t>
  </si>
  <si>
    <t xml:space="preserve">Установка прибора коммерческого учета электрической энергии (мощности) на границе земельного участка, подключенного от опоры №187-1 ВЛ-0,4 кВ №1 КТП 10/0,4 кВ №187 по ВЛ 10 кВ №106Н ПС 110/6/10 кВ НС-1 для технологического присоединения энергопринимающих устройств жилого дома Заявителя Давидюк Т.М., ДНТ «Кулешовка», Азовский район, Ростовская область, к.н. 61:01:0600006:1644 (1 шт) </t>
  </si>
  <si>
    <t xml:space="preserve">Установка прибора коммерческого учета электрической энергии (мощности) на границе земельного участка, подключенного от опоры №18-6 ВЛ-0,4 кВ №1 КТП 10/0,4 кВ №18 по ВЛ 10 кВ №107Н ПС 110/6/10 кВ НС-1 для технологического присоединения энергопринимающих устройств нежилого здания Заявителя Перковой А.И., Азовский район, Ростовская область, к.н. 61:01:0600006:3487 (1 шт)  </t>
  </si>
  <si>
    <t xml:space="preserve">Установка прибора коммерческого учета электрической энергии (мощности) на границе земельного участка, подключенного от опоры №186-24 ВЛ-0,4 кВ №1 КТП 10/0,4 кВ №186 по ВЛ 10 кВ №3113 ПС 110/35/10 кВ А-31 для технологического присоединения энергопринимающих устройств жилого дома Заявителя Исаевой Е.А., с. Пешково, Азовский район, Ростовская область, к.н. 61:01:0140101:6897 (1 шт) </t>
  </si>
  <si>
    <t>Установка прибора коммерческого учета электрической энергии (мощности) на границе земельного участка, подключенного от опоры №21-72 ВЛ-0,4 кВ №2 КТП 10/0,4 кВ №21 по ВЛ 10 кВ №1411 ПС 110/35/10 кВ А-32 для технологического присоединения энергопринимающих устройств жилого дома Заявителя Свириденко А.М., х. Полтава 1-я, Азовский район, Ростовская область, к.н. 61:01:0080201:1440 (1 шт)</t>
  </si>
  <si>
    <t xml:space="preserve">Установка прибора коммерческого учета электрической энергии (мощности) на границе земельного участка, подключенного от опоры №213-23 ВЛ-0,4 кВ №1 КТП 10/0,4 кВ №213 по ВЛ 10 кВ №910 ПС 35/10 кВ А-9 для технологического присоединения энергопринимающих устройств жилого дома Заявителя Гусакова Д.В., СНТ «Южное», Азовский район, Ростовская область, к.н. 61:01:0000380:262 (1 шт) </t>
  </si>
  <si>
    <t xml:space="preserve">Установка прибора коммерческого учета электрической энергии (мощности) на границе земельного участка, подключенного от опоры №213-23 ВЛ-0,4 кВ №1 КТП 10/0,4 кВ №213 по ВЛ 10 кВ №910 ПС 35/10 кВ А-9 для технологического присоединения энергопринимающих устройств жилого дома Заявителя Юрковой Е.В., СНТ «Южное», Азовский район, Ростовская область, к.н. 61:45:0000380:263 (1 шт) </t>
  </si>
  <si>
    <t>Установка прибора коммерческого учета электрической энергии (мощности) на границе земельного участка, подключенного от опоры №212-29 ВЛ-0,4 кВ №2 КТП 10/0,4 кВ №212 по ВЛ 10 кВ №910 ПС 35/10 кВ А-9 для технологического присоединения энергопринимающих устройств жилого дома Заявителя Ефименко Е.С., СНТ «Южное», Азовский район, Ростовская область, к.н. 61:45:0000380:46 (1 шт)</t>
  </si>
  <si>
    <t>Установка прибора коммерческого учета электрической энергии (мощности) на границе земельного участка, подключенного от опоры №111-1 ВЛ-0,4 кВ №1 КТП 10/0,4 кВ №111 по ВЛ 10 кВ №801 ПС 35/10 кВ А-8 для технологического присоединения энергопринимающих устройств закусочной летнего типа Заявителя Зубарева П.Е., Павло-Очаковская коса, Азовский район, Ростовская область, к.н. 61:01:0600010:69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</si>
  <si>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61-1-21-00601851 от 20.09.2021г. с заявителем Ионовой А.В.) КТП 10/0,4 кВ №334 ВЛ 10кВ №202Н ПС 110/6/10 кВ НС-2 для технологического присоединения энергопринимающих устройств жилого дома Заявителя Айтекова А.К., Ростовская область, Азовский район, ЗАО «Обильное», к.н. 61:01:0600006:6819 (1 шт.)</t>
  </si>
  <si>
    <t>Установка прибора коммерческого учета электрической энергии (мощности) на границе земельного участка, подключенного от опоры №17-33 ВЛ-0,4 №1 КТП-17 ВЛ-10 1608  ПС 35 кВ ЗР16 для технологического присоединения энергопринимающих устройств нежилого помещения Заявителя АО «Почта России», Ростовская область, Зерноградский р-н, х. 1-й Россошинский, ул. Заречная д.4 кв.1  к.н. 61:12:0030306:128 (1 шт.)</t>
  </si>
  <si>
    <t>Установка прибора коммерческого учета электрической энергии (мощности) на границе земельного участка, подключенного от опоры  №141-29 ВЛ-0,4  №2  КТП-141 ВЛ-10 215 ПС 35 кВ КГ2 для технологического присоединения энергопринимающих устройств малоэтажной жилой застройки Заявителя Арутюнов О.В. Ростовская область, Кагальницкий р-н, п. Малиновка, ул. Специалистов д.6Г к.н. 61:14:001302:882 (1 шт.)</t>
  </si>
  <si>
    <t>Установка прибора коммерческого учета электрической энергии (мощности) на границе земельного участка, подключенного от опоры  № 74-15 ВЛ-0,4  №1  КТП-74  ВЛ-10 801 ПС 35 кВ ЗР8 для технологического присоединения энергопринимающих устройств малоэтажной жилой застройки Заявителя Деменин А.В. Ростовская область, Зерноградский р-н, х. Клюев, ул. Восточная д.1А к.н. 61:12:0090601:1259 (1 шт.)</t>
  </si>
  <si>
    <t>Установка прибора коммерческого учета электрической энергии (мощности) на границе земельного участка, подключенного от опоры  № 121-4 ВЛ-0,4  №1  КТП-121  ВЛ-10 122 ПС 220 кВ Зерновая для технологического присоединения энергопринимающих устройств малоэтажной жилой застройки Заявителя Денисенко А.И. Ростовская область, Зерноградский р-н, х. Ракитный, ул. Заречная д.28 к.н. 61:12:0051001:857 (1 шт.)</t>
  </si>
  <si>
    <t>Установка прибора коммерческого учета электрической энергии (мощности) на границе земельного участка, подключенного от опоры №80-16   ВЛ-0,4 № 1 КТП-80 ВЛ-10 501  ПС 35 кВ ЗР5 для технологического присоединения энергопринимающих устройств жилого дома Заявителя Железняк И.А., Ростовская область, Кагальницкий   р-н, х. Болдиновка ул. Пушкина д.79 ,  к.н. земельного участка: 61:12:0011101:8(1 шт.)</t>
  </si>
  <si>
    <t>Установка прибора коммерческого учета электрической энергии (мощности) на границе земельного участка, подключенного от опоры  №44-45 ВЛ-0,4  №3 МТП-44  ВЛ-10  1002   ПС 110 кВ ЗР10 для технологического присоединения энергопринимающих устройств жилого дома Заявителя Занина А.С. Ростовская область, Зерноградский р-н, г. Зерноград, ул. Пшеничная д.2А к.н. 61:12:0040105:768 (1 шт.)</t>
  </si>
  <si>
    <t>Установка прибора коммерческого учета электрической энергии (мощности) на границе земельного участка, подключенного от опоры №36-23 ВЛ-0,4  №1  КТП-36 ВЛ-10 313 ПС 35 кВ КГ3 для технологического присоединения энергопринимающих устройств малоэтажной жилой застройки Заявителя Иванченко В.А. Ростовская область, Кагальницкий р-н, ст. Кировская, ул. Кирова д. 119 к.н. 61:14:0050111:131 (1 шт.)</t>
  </si>
  <si>
    <t>Установка прибора коммерческого учета электрической энергии (мощности) на границе земельного участка, подключенного от опоры №61-128   ВЛ-0,4 №2 КТП-128 ВЛ-10 313  ПС 35 кВ КГ3 для технологического присоединения энергопринимающих устройств магазина Заявителя ИП Воронина С.В., Ростовская область, Кагальницкий   р-н, ст. Кировская ул. Кирова д.84В,  к.н.: 61:14:0050109:98(1 шт.)</t>
  </si>
  <si>
    <t>Установка прибора коммерческого учета электрической энергии (мощности) на границе земельного участка, подключенного от опоры №28-264  ВЛ-0,4 №3 ЗТП-28 ВЛ-10 313  ПС 35 кВ КГ3 для технологического присоединения  энергопринимающих устройств объекта торговли Заявителя ИП Адиханян А.А. Ростовская область, Кагальницкий р-н, ст. Кировская, ул. Кирова д.2С к.н.: 61:14:0050130:85 (1 шт.)</t>
  </si>
  <si>
    <t>Установка прибора коммерческого учета электрической энергии (мощности) на границе земельного участка, подключенного от опоры №194-5  ВЛ-0,4 №1 КТП-194 ВЛ-10 313  ПС 35 кВ КГ3 для технологического присоединения  энергопринимающих устройств нежилой застройки Заявителя ИП Адиханян А.А. Ростовская область, Кагальницкий р-н, ст. Кировская, ул. Кирова д.8Г к.н.: 61:14:0050129:390(1 шт.)</t>
  </si>
  <si>
    <t>Установка прибора коммерческого учета электрической энергии (мощности) на границе земельного участка, подключенного от опоры №90-85 ВЛ-0,4 №3 КТП-90 ВЛ-10 413  ПС 35 кВ КГ4 для технологического присоединения энергопринимающих устройств нежилой застройки Заявителя ИП Лиходедов В.Н., Ростовская область, Кагальницкий   р-н, с. Иваново-Шамшево, ул. Ростовская д.2А  к.н.: 61:14:0030301:48 (1 шт.)</t>
  </si>
  <si>
    <t>Установка прибора коммерческого учета электрической энергии (мощности) на границе земельного участка, подключенного от опоры № 18-24 ВЛ-0,4  №1  КТП-18  ВЛ-10 605 ПС 35 кВ КГ3 для технологического присоединения энергопринимающих устройств нежилой застройки Заявителя ИП Петров Л.В. Ростовская область, р-н. Кагальницкий с. Новобатайск ул. Ленина  д.15А к.н. 61:14:00672413:305 (1 шт.)</t>
  </si>
  <si>
    <t>Установка прибора коммерческого учета электрической энергии (мощности) на границе земельного участка, подключенного от опоры №22-50 ВЛ-0,4 №1 КТП-22 ВЛ-10 1006  ПС 110 кВ Полячки для технологического присоединения энергопринимающих устройств малоэтажной жилой застройки Заявителя ИП Соломко В.Т.,  Ростовская область, Кагальницкий р-н, х. Красный Яр, ул. Ветеранов д.3  к.н.: 61:14:0080301:1 (1 шт.)</t>
  </si>
  <si>
    <t>Установка прибора коммерческого учета электрической энергии (мощности) на границе земельного участка, подключенного от опоры №196-16 ВЛ-0,4 №1 КТП-196 ВЛ-10 606  ПС 35 кВ КГ6 для технологического присоединения энергопринимающих устройств малоэтажной жилой застройки Заявителя Исаков Е.Ю., Ростовская область, Кагальницкий р-н, с. Новобатайск, пер. Дачный д.35  к.н. 61:14:0040117:164 (1 шт.)</t>
  </si>
  <si>
    <t>Установка прибора коммерческого учета электрической энергии (мощности) на границе земельного участка, подключенного от опоры  № 135-161 ВЛ-0,4  №4  КТП-135  ВЛ-10 805 ПС 110 кВ БОС для технологического присоединения энергопринимающих устройств малоэтажной жилой застройки Заявителя Калиенко О.В. Ростовская область, Кагальницкий р-н, п. Мокрый Батай, ул. Майская д.3А к.н. 61:14:0060107:683 (1 шт.)</t>
  </si>
  <si>
    <t>Установка прибора коммерческого учета электрической энергии (мощности) на границе земельного участка, подключенного от опоры №80-52 ВЛ-0,4 №2 КТП-80 ВЛ-10 501  ПС 35 кВ ЗР5 для технологического присоединения энергопринимающих устройств нежилой застройки Заявителя Коношенко С.А., Ростовская область, Зерноградский р-н, х. Болдиновка , ул. Пушкина  д.41 к.н. 61:12:0011101:125 (1 шт.)</t>
  </si>
  <si>
    <t>Установка прибора коммерческого учета электрической энергии (мощности) на границе земельного участка, подключенного от опоры №23-18 ВЛ-0,4 №5 КТП-23 ВЛ-10 1507  ПС 110 кВ ЗР15 для технологического присоединения энергопринимающих устройств нежилой застройки Заявителя Кулешов А.А., Ростовская область, Зерноградский р-н, г. Зерноград, ул. им. Самохвалова д.23К  к.н. 61:12:0040102:786 (1 шт.)</t>
  </si>
  <si>
    <t>Установка прибора коммерческого учета электрической энергии (мощности) на границе земельного участка, подключенного от опоры №44-51 ВЛ-0,4 №3 КТП-44 ВЛ-10 1002 ПС 110 кВ ЗР10 для технологического присоединения  энергопринимающих устройств жилого дома Заявителя Левченко В.А. Ростовская область, Зерноградский р-н, ул. Пшеничная д.12 к.н. 61:14:0040105:518 (1 шт.)</t>
  </si>
  <si>
    <t>Установка прибора коммерческого учета электрической энергии (мощности) на границе земельного участка, подключенного от опоры  №4-97 ВЛ-0,4  №3  КТП-97 ВЛ-10 805 ПС 110 кВ БОС для технологического присоединения энергопринимающих устройств нежилой застройки Заявителя Марченко Н.А. Ростовская область, Кагальницкий р-н, п. Мокрый Батай, ул. Зеленая д.1-Д  к.н. 61:14:0060101:2531 (1 шт.)</t>
  </si>
  <si>
    <t>Установка прибора коммерческого учета электрической энергии (мощности) на границе земельного участка, подключенного от опоры №9-18 ВЛ-0,4 №2 КТП-9 ВЛ-10 612 ПС 35 кВ КГ6 для технологического присоединения  энергопринимающих устройств жилого дома Заявителя Новосельцев А.И. Ростовская область, Кагальницкий р-н, с. Новобатайск, ул. Садовая д.12 кв.1 к.н. 61:14:0040103:286 (1 шт.)</t>
  </si>
  <si>
    <t>Установка прибора коммерческого учета электрической энергии (мощности) на границе земельного участка, подключенного от опоры №1-14  ВЛ-0,4 №1 КТП-1 ВЛ-10 612  ПС 35 кВ КГ6 для технологического присоединения энергопринимающих устройств малоэтажной жилой застройки Заявителя Падалица А.Г., Ростовская область, Кагальницкий   р-н, с. Новобатайск,  ул. Октябрьская д.3 к.н.: 61:14:0040101:52(1 шт.)</t>
  </si>
  <si>
    <t>Установка прибора коммерческого учета электрической энергии (мощности) на границе земельного участка, подключенного от опоры  № 80-10 ВЛ-0,4  №1  КТП-80  ВЛ-10 501 ПС 35 кВ ЗР85для технологического присоединения энергопринимающих устройств малоэтажной жилой застройки Заявителя Степаненко В.П. Ростовская область, Зерноградский р-н, х. Болдиновка , ул. Пушкина  д.75 к.н. 61:12:0011101:897 (1 шт.)</t>
  </si>
  <si>
    <t>Установка прибора коммерческого учета электрической энергии (мощности) на границе земельного участка, подключенного от проектируемой опоры ВЛ 0,4 №1 КТП-65 ВЛ-10 1205 ПС 110 кВ Манычская для технологического присоединения энергопринимающих устройств базовой станции Заявителя ПАО "Ростелеком", Ростовская обл., р-н. Зерноградский, х. Средние Хороли (1 шт.)</t>
  </si>
  <si>
    <t>Установка прибора коммерческого учета электрической энергии (мощности) на границе земельного участка, подключенного от проектируемой опоры ВЛ 0,4 №1 КТП-163 ВЛ-10 202 ПС 110 кВ Краснолучинская для технологического присоединения энергопринимающих устройств базовой станции Заявителя ПАО"Ростелеком",  Ростовская обл., р-н. Зерноградский, х. Попов (1 шт.)</t>
  </si>
  <si>
    <t>Установка прибора коммерческого учета электрической энергии (мощности) на границе земельного участка, подключенного от проектируемой опоры ВЛ 0,4 №1 КТП-40 ВЛ-10 1706 ПС 35 кВ ЗР17 для технологического присоединения энергопринимающих устройств базовой станции Заявителя ПАО "Ростелеком", Ростовская обл., р-н. Зерноградский, х. Краснюков (1 шт.)</t>
  </si>
  <si>
    <t>Установка прибора коммерческого учета электрической энергии (мощности) на границе земельного участка, подключенного от проектируемой опоры №1 ВЛ 0,4 №1 КТП-83 ВЛ-10 1501 ПС 110 кВ ЗР15 для технологического присоединения энергопринимающих устройств базовой станции Заявителя ПАО "Ростелеком", Ростовская обл., р-н. Зерноградский, х. Каменный (1 шт.)</t>
  </si>
  <si>
    <t>Установка прибора коммерческого учета электрической энергии (мощности) на границе земельного участка, подключенного от проектируемой опоры ВЛ 0,4 №1 КТП-36 ВЛ-10 1704 ПС 35 кВ ЗР17 для технологического присоединения энергопринимающих устройств базовой станции Заявителя ПАО "Ростелеком", Ростовская обл., р-н. Зерноградский, х. Голубовка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</si>
  <si>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Стрелец Т.В., расположенного по адресу: Ростовская область, Чертковский  район, х. Ястребиновский, ул. Ясная, д.15, кв. 2,  к.н.з.у. 61:42:0040501:45</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</si>
  <si>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ВРУ-0,4 кВ для строительства МТФ №1, заявителя, ИП Глава К(Ф)Х Фомин В. В., расположенного по адресу: Ростовская область, Чертковский район, х. Ходаков, ул. Молодежная, д. 29, к.н.з.у. 61:42:0170301:105</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</si>
  <si>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ИП Коваленко О.Н., расположенного по адресу: Ростовская область, Чертковский район, с. Алексеево-Лозовское, ул. Лисичкина, д. 22-Г, к.н.з.у. 61:42:0010101:4487</t>
  </si>
  <si>
    <t>Установка прибора учета электрической энергии (мощности) в точке поставки и установка шкафа 0,4 кВ с коммутационным аппаратом для электроснабжения объекта туристической отрасли (гостиница), заявителя, ИП Курьянов С.В., расположенного по адресу: Ростовская область, Чертковский район х. Нагибин, ул. Молодежная, д. 60, к.н.з.у. 61:42:0100201:1132</t>
  </si>
  <si>
    <t>Установка прибора учета электрической энергии (мощности) в точке поставки и установка шкафа 0,4кВ с коммутационным аппаратом для электроснабжения квартиры заявителя Богатых Э.М., расположенного по адресу: Ростовская область, Шолоховский  район,ст.Базковская ,ул.Калинина д.62,кв.3 к.н.з.у. 61:43:0010102:1414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</si>
  <si>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Ермилина А.К., расположенного по адресу: Ростовская область, Шолоховский район, х. Лебяженский, ул. Плоткина, д. 13, к.н.з.у. 61:43:0020501:156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</si>
  <si>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Путрина В.Н., расположенного по адресу: Ростовская область, Миллеровский  район, х. Екатериновка, ул. Юбилейная, д. 82, к.н.з.у. 61:22:0050401:217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</si>
  <si>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Шалакина Н.М., расположенного по адресу: Ростовская область, Миллеровский  район, х. Малотокмацкий, ул. Степная, д. 6, к.н.з.у. 61:22:0120101:88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</si>
  <si>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Тончинского С.А., расположенного по адресу: Ростовская область, Миллеровский  район, сл. Волошино, ул. Межевая, д. 13, (61:22:0020101:189)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</si>
  <si>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Ващук Д.В., расположенного по адресу: Ростовская область, Миллеровский  район, сл. Волошино, ул. Межевая, д. 14, (61:22:0020101:777)</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</si>
  <si>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Садового А.Н., расположенного по адресу: Ростовская область, Миллеровский район, х. Сулин, ул. Набережная, д. 25, к.н.з.у. 61:22:140101:0161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</si>
  <si>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Гирина В.А., расположенного по адресу: Ростовская область, Миллеровский район, х. Треневка, ул. Восточная, д.23, к.н.з.у. 61:22:0061101:186»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</si>
  <si>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Омельченко Е.Г., расположенного по адресу: Ростовская область, Миллеровский район, сл. Поповка, ул. Жигулевская, д. 5, к.н.з.у. 61:22:0071001:39»</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</si>
  <si>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Мамедова С.А., расположенной по адресу: Ростовская область, Миллеровский район, х. Красная Заря, ул. Полевая, д. 8, кв, 1 к.н.з.у. 61:22:0010501:14»</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</si>
  <si>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Черенковой Г.Г., расположенного по адресу: Ростовская область, Миллеровский район, х. Кринички, Треневское сельское поселение, к.н.з.у. 61:22:0060701:328»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</si>
  <si>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Бабенко А.А., расположенного по адресу: Ростовская область, Миллеровский  район, с.Зеленая Роща  ул.Центральная  д.24 к.н.з.у. 61:22:0070501:63»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</si>
  <si>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Савченко В.И., расположенного по адресу: Ростовская область, Миллеровский  район, сл.Волошино ул.Северная  д.32 к.н.з.у. 61:22:0020101:762»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</si>
  <si>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Савченко Н.П, расположенного по адресу: Ростовская область, Миллеровский  район, сл.Волошино ул.Северная  д.27 к.н.з.у. 61:22:0020101:788»</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</si>
  <si>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Папченко В.Г., расположенной по адресу: Ростовская область, Миллеровский район, сл. Никольская, ул. Молодежная, д. 8, кв./оф. 3, к.н.з.у. 61:22:0100101:222»</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</si>
  <si>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Хилько И.А., расположенного по адресу: Ростовская область, Миллеровский район, сл. Позднеевка, ул. Комсомольская, д. 3, к.н.з.у. 61:22:0050801:919»</t>
  </si>
  <si>
    <t>«Установка прибора учета электрической энергии (мощности) в точке поставки и установка шкафа 0,4 кВ с коммутационным аппаратом для электроснабжения нежилого здания заявителя, ООО "Поливенко", расположенного по адресу: Ростовская область, Миллеровский  район, х. Малотокмацкий, ул. Школьная, д. 9, корп. а,  к.н.з.у. 61:22:0020101:592»</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</si>
  <si>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Датченко О.Ю., расположенного по адресу: Ростовская область, Миллеровский район,  х. Каменка, ул. Школьная, к.н.з.у. 61:22:0100401:652»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</si>
  <si>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Ганжина А.Н., расположенного по адресу: Ростовская область, Миллеровский район, х. Малотокмацкий, пер. Северный, д.2, к.н.з.у. 61:22:0120101:143»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</si>
  <si>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Леонтьева В.И., расположенного по адресу: Ростовская область, Миллеровский  район, х. Треневка, ул. Заречная, д. 19,»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</si>
  <si>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Головченко И.М., расположенного по адресу: Ростовская область,Кашарский  район, х. Лененский, ул. Заветная, д.7, к.н.з.у. 61:16:0170401:179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</si>
  <si>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Арабаджиевой Л.А., расположенного по адресу: Ростовская область,Кашарский  район, с. Верхнекалиновка, ул. Центральная, д.30, к.н.з.у. 61:16:0100301:242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</si>
  <si>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Примакова А.Н., расположенного по адресу: Ростовская область, Боковский район, х. Дуленков, ул. Огородная, д. 18, к.н.з.у. 61:05:0000000:209»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</si>
  <si>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Ишмахометовой Г.А., расположенного по адресу: Ростовская область, Боковский район, х. Коньков, ул. Коньковская, д. 71, к.н.з.у. 61:05:0040502:51»</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</si>
  <si>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Конкиной С.Д., расположенной по адресу: Ростовская область, Боковский район, х. Дуленков, ул. Песчаная, д. 34-а, кв. 3, к.н.з.у. 61:05:0010603:251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</si>
  <si>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Шевцова А.В., расположенного по адресу: Ростовская область, Боковский район, ст. Боковская, ул. Совхозная, д. 7Б, к.н.з.у. 61:05:0010104:1205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</si>
  <si>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метеостанции заявителя, ФГБУ «Северо-Кавказское управление по гидрометеорологии и мониторингу окружающей среды», расположенной по адресу: Ростовская область, Боковский район, ст. Боковская, пер. Виноградный, д. 34, к.н.з.у. 61:05:0600004:337»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</si>
  <si>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Лошадкина Н.П., расположенного по адресу: Ростовская область, Боковский район, х. Климовка, ул. Заречная, д. 17, к.н.з.у. 61:05:0040402:31»</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</si>
  <si>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Попова В.А., расположенного по адресу: Ростовская область, Боковский  район, х. Попов, ул. Заречная, д. 4,  к.н.з.у. 61:05:0040703:2»</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</si>
  <si>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Ступникова М.М., расположенной по адресу: Ростовская область, Боковский район, х. Большенаполовский, ул. Школьная, д. 105, кв. 2, к.н.з.у. 61:05:0020205:74»</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</si>
  <si>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Тарасова В.Г., расположенного по адресу: Ростовская область, Боковский район, ст. Каргинская, ул. Соловьева, д. 24, к.н.з.у. 61:05:0040106:9»,</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</si>
  <si>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Пятиков Н.Ю., расположенного по адресу: Ростовская область, Боковский район, х.Вислогузов, ул. Вислогузовская, д. 26 В, к.н.з.у. 61:05:0000000:5819»</t>
  </si>
  <si>
    <t>«Установка прибора учета электрической энергии (мощности) в точке поставки и установка шкафа 0,4 кВ с коммутационным аппаратом (1 шт.), для электроснабжения уличного освещения Заявителя, Администрация Кашарского сельского поселения., расположенного по адресу: Ростовская область, Кашарский район, сл. Кашары, ул. Красноармейская, к.н.з.у. 61:16:00000003353»</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</si>
  <si>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Хаверев В.И., расположенной по адресу: Ростовская область, Кашарский район, х. Сычевка, ул. Новая, д. 4, кв. 1 к.н.з.у. 61:16:0060301:25»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</si>
  <si>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Коваленко Е.Е., расположенного по адресу: Ростовская область, Кашарский район, с. Первомайское, ул. Почтовая, д. 16, к.н.з.у. 61:16:0110105:76»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</si>
  <si>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Кошиковского Н.И., расположенного по адресу: Ростовская область, Кашарский район, с. Первомайское, ул. Советская, д. 12, к.н.з.у. 61:16:0110102:314»</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</si>
  <si>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Закарлюка Т.А., расположенного по адресу: Ростовская область, Кашарский район, х. Краснояровка, ул. Центральная, д. 20, к.н.з.у. 61:16:0140301:108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</si>
  <si>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Борисова Н.И., расположенного по адресу: Ростовская область, Кашарский район, с. Первомайское, ул. Калинина, д. 67, к.н.з.у. 61:16:0110102:673»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</si>
  <si>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Бреславец Е.Ф., расположенного по адресу: Ростовская область, Кашарский район, с. Первомайское, ул. Набережная, д. 3, к.н.з.у. 61:16:0110102:377»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</si>
  <si>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Иванкова Т.Г., расположенного по адресу: Ростовская область, Кашарский район, с. Верхнекалиновка, ул. Центральная, д. 42, к.н.з.у. 61:16:0100301:580»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</si>
  <si>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Лазаревой Р.И., расположенного по адресу: Ростовская область, Кашарский район, с. Россошь, ул. Центральная, 16, к.н.з.у. 61:16:0140101:149»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</si>
  <si>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Сысоева А.П., расположенного по адресу: Ростовская область, Шолоховский район, х. Кружилинский, ул. Садовая, д.21, к.н.з.у. 61:43:0070101:332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</si>
  <si>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Чернуха С.В., расположенного по адресу: Ростовская область, Кашарский район, сл. Верхнемакеевка, ул. Октябрьская, д. 100, к.н.з.у. 61:16:0030105:110»</t>
  </si>
  <si>
    <t>«Установка прибора учета электрической энергии (мощности) в точке поставки и установка шкафа 0,4 кВ с коммутационным аппаратом (1 шт.), для электроснабжения ВРУ 0,4 кВ базовой станции х. Вишневка, заявитель, ПАО «Ростелеком», расположенного по адресу: Ростовская область, Кашарский район, х. Вишневка к.н.з.у. 00:00:00000»</t>
  </si>
  <si>
    <t>«Установка прибора учета электрической энергии (мощности) в точке поставки и установка шкафа 0,4 кВ с коммутационным аппаратом (1 шт.), для электроснабжения ВРУ 0,4 кВ базовой станции с. Новопавловка, заявитель, ПАО «Ростелеком», расположенного по адресу: Ростовская область, Кашарский район, с. Новопавловка к.н.з.у. 00:00:00000»</t>
  </si>
  <si>
    <t>«Установка прибора учета электрической энергии (мощности) в точке поставки и установка шкафа 0,4 кВ с коммутационным аппаратом (1 шт.), для электроснабжения ВРУ 0,4 кВ базовой станции п. Теплые Ключи, заявитель, ПАО «Ростелеком», расположенного по адресу: Ростовская область, Кашарский район, п. Теплые Ключи к.н.з.у. 00:00:00000»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</si>
  <si>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Саналатий Н.П., расположенного по адресу: Ростовская область, Кашарский район, пер. Школьный д.8 кв.1, ул. к.н.з.у. 61:16:0130105:112»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</si>
  <si>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Печерской Е.В., расположенного по адресу: Ростовская область, Миллеровский район, х. Зеленая Роща, ул. Школьная, д. 21, к.н.з.у. 61:22:0070501:60</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</si>
  <si>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Козырева К.А., расположенного по адресу: Ростовская область, Миллеровский район, х. Новоталовка, ул. Солнечная, д. 3, к.н.з.у. 61:22:0011001:31»</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</si>
  <si>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Грищенко А.Ф., расположенной по адресу: Ростовская область, Миллеровский район, сл. Никольская, ул. Центральная, д. 22, кв. 2, к.н.з.у. 61:22:0100101:202»</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</si>
  <si>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Ростовская область, Миллеровский район, х. Зеленая Роща,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</si>
  <si>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Ростовская область, Миллеровский район, сл. Нижнекамышинка,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</si>
  <si>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Ростовская область, Миллеровский район, п. Ярский,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</si>
  <si>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Хрипко А.С., расположенного по адресу: Ростовская область, Миллеровский район, сл. Терновая, ул. Молодежная, д. 4, к.н.з.у. 61:22:0110501:1007»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</si>
  <si>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Симонова И.И., расположенного по адресу: Ростовская область, Кашарский район, с. Новопавловка, ул. Южная, д. 6, к.н.з.у. 61:16:010303:0078»</t>
  </si>
  <si>
    <t>Установка прибора учета для технологического присоединения магазина № 61 заявителя, ИП Курдюмов В.П., расположенного по адресу: Ростовская область, Кашарский район, х. Пономарев, ул. Центральная, д. 5, к.н.з.у. 00:00:000000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</si>
  <si>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Соколовой Н.Б., расположенного по адресу: Ростовская область, Кашарский район, сл. Верхнемакеевка, ул. Октябрьская, д. 113, к.н.з.у. 61:16:0030105:28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</si>
  <si>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Агуреев А.И., расположенного по адресу: Ростовская область, Кашарский район, сл. Верхнемакеевка ул Советская д. 26, к.н.з.у. 61:16:0030101:131</t>
  </si>
  <si>
    <t>Установка прибора учета электрической энергии (мощности) в точке поставки и установка шкафа 0,4 кВ с коммутационным аппаратом для электроснабжения пожарного депо на 2 автомобиля заявителя, ИП Глава КФХ Левина Н.А., расположенного по адресу: Ростовская область, Боковский район, ст. Краснокутская, ул. Социалистическая, д. 67,  к.н.з.у. 61:05:0060105:23</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</si>
  <si>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ООО "Союз-А", расположенного по адресу: Ростовская область, Боковский район, ст. Краснокутская, ул. Социалистическая, д. 35, к.н.з.у. 61:05:00600106:44</t>
  </si>
  <si>
    <t>Установка прибора учета электрической энергии (мощности) в точке поставки и установка шкафа 0,4 кВ с коммутационным аппаратом для электроснабжения ЗАВа-20 заявителя, ИП (Глава КФХ) Сутуловой Н.И., расположенного по адресу: Ростовская область, Боковский район, х. Земцов, ул. Центральная, д. 53 а, к.н.з.у. 61:05:0070502:141</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</si>
  <si>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346181 Российская Федерация, Ростовская обл., р-н. Верхнедонской, х. Казанская Лопатина ориентир №49.933030; Е41.241054,  кадастровый квартал 61:07:0020101</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</si>
  <si>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346184 Российская Федерация, Ростовская обл., р-н. Верхнедонской, х. Быковский, ориентир №49.87402494; Е41.48465781, кадастровый квартал 61:07:0070101</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</si>
  <si>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расположенного по адресу: 346166 Российская Федерация, Ростовская обл., р-н. Верхнедонской, х. Алексеевский, ориентир №49.452639-Е41.128167, кадастровый квартал 61:07:012070</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</si>
  <si>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расположенного по адресу: 346166 Российская Федерация, Ростовская обл., р-н. Верхнедонской, х. Солонцовский, ориентир №49.788424; Е41.318429, кадастровый квартал 61:07:0060401</t>
  </si>
  <si>
    <t>Установка прибора учета электрической энергии (мощности)в точке поставки и установка шкафа 0,4 кВ с коммутационным аппаратом для электроснабжения Базовой станции сотовой связи (БС-2758) заявителя Общество с ограниченной ответственностью "Т2 Мобайл", расположенной по адресу: 346163 Российская Федерация, Ростовская обл., р-н. Верхнедонской, х. Мещеряковский, ул. Садовая, д. 27 б, кадастровый квартал 61:07:0120201</t>
  </si>
  <si>
    <t>Установка прибора учета для технологического присоединения жилого дома заявителя, Сысоева А.А., расположенного по адресу: Ростовская область, Шолоховский район, х. Кружилинский, ул. Садовая, д. 21а, к.н.з.у. 61:43:0070101:2616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</si>
  <si>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Иванченко Р.А., расположенной по адресу: Ростовская область, Шолоховский  район, х. Дубровский, пер. Школьный, д 11, кв. 1, к.н.з.у. 61:43:0030101:497»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</si>
  <si>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Ушакова Н.П., расположенного по адресу: Ростовская область, Шолоховский район, х. Нижнекривской, ул. Родниковая, д. 93, к.н.з.у. 61:43:0050401:34»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</si>
  <si>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Казьминой О.В., расположенного по адресу: Ростовская область, Шолоховский  район, х. Дударевский, ул. Набережная, д. 5, к.н.з.у. 61:43:0040101:567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</si>
  <si>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Благородовой Л.В., расположенного по адресу: Ростовская область, Шолоховский  район, х. Дубровский, ул. Центральная, д. 40, к.н.з.у. 61:43:0030101:320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</si>
  <si>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Топольскова С.В., расположенного по адресу: Ростовская область, Шолоховский  район, х. Дударевский, ул. Южная, д. 2, к.н.з.у. 61:43:0040101:242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</si>
  <si>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Айгубова Р.М., расположенного по адресу: Ростовская область, Шолоховский район, х. Максаевский, ул. Южная, д.49, к.н.з.у. 61:43:0070301:116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</si>
  <si>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Токина В.М., расположенного по адресу: Ростовская область, Шолоховский район, х. Гороховский, ул. Северная, д. 9, к.н.з.у. 61:43:0060401:78»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</si>
  <si>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Бирюлиной Л.И., расположенного по адресу: Ростовская область, Шолоховский район, х. Дубровский, пер. Грибной, д. 4, к.н.з.у. 61:43:0030101:548»</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</si>
  <si>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Глазуновой Н.В., расположенной по адресу: Ростовская область, Шолоховский  район, х. Кружилинский, ул. Молодежная, д 7, кв. 1, к.н.з.у. 61:43:0070101:851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</si>
  <si>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Рябчикова А.В., расположенного по адресу: Ростовская область, Шолоховский  район, ст. Базковская, ул. Зотьева, д. 6, к.н.з.у. 61:43:0010102:1479</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</si>
  <si>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Афанасьева Р.А., расположенной по адресу: Ростовская область, Шолоховский район, х. Дубровский, пер. Школьный, д. 7, кв. 2, к.н.з.у. 61:43:0030101:0062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</si>
  <si>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Галиловой Р.Д., расположенного по адресу: Ростовская область, Шолоховский  район, х. Пигаревский, ул. Красноселовская, д. 20, к.н.з.у. 61:43:0020602:81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</si>
  <si>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Кривцова С.И., расположенного по адресу: Ростовская область, Шолоховский район, х. Альшанский, пер. Панский, д. 3, к.н.з.у. 61:43:0010201:282</t>
  </si>
  <si>
    <t>Установка прибора учета электрической энергии (мощности) в точке поставки и установка шкафа 0,4 кВ с коммутационным аппаратом для электроснабжения склада Заявителя, ООО "Миллеровский Торговый Комплекс", расположенного по адресу: Ростовская область, Миллеровский район, г. Миллерово, к.н.з.у. 61:54:0050001:227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</si>
  <si>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Глущенко Т.Ф., расположенного по адресу: Ростовская область, Миллеровский район, сл. Нижнекамышинка, ул. Центральная, д. 19, к.н.з.у. 61:22:0020601:104</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</si>
  <si>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Головятенко С.В., расположенного по адресу: Ростовская область, Миллеровский район, Дегтевское сельское поселение, к.н.з.у. 61:22:0030101:2333</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</si>
  <si>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Коршунова А.В., расположенного по адресу: Ростовская область, Верхнедонской  район, х. Макаровский, ул. Макаровская, д. 19, к.н.з.у. 61:07:0100101:67"</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</si>
  <si>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Соколова Ф.Б., расположенного по адресу: Ростовская область, Верхнедонской  район, х. Поповка, ул. Атаманская, д. 31, к.н.з.у. 61:07:0040401:601"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</si>
  <si>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Гурова М.В., расположенного по адресу: Ростовская область, Шолоховский  район, х. Затонский, ул. Центральная, д. 21, к.н.з.у. 61:43:0080401:111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</si>
  <si>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Браташевой Н.В., расположенного по адресу: Ростовская область,Кашарский  район, х. Калашников, ул. Береговая, д. 28, к.н.з.у. 61:16:0040601:152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</si>
  <si>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Радченко В.Ф., расположенного по адресу: Ростовская область, Чертковский  район, х. Могилянский, ул. Мира, д.18, к.н.з.у. 61:42:0040201:142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</si>
  <si>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Горбачева В.Н., расположенного по адресу: Ростовская область,Кашарский  район, х. Талловеров, ул. Киевская, д.52, к.н.з.у. 61:16:00000003470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</si>
  <si>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Скарга А.И., расположенного по адресу: Ростовская область,Кашарский  район, х. Федоровка, ул. Восточная, д.43, к.н.з.у. 61:16:0160501:37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</si>
  <si>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Аникиной Н.А., расположенного по адресу: Ростовская область, Верхнедонской  район, ст. Мешковская, ул. Тихая, д. 2, к.н.з.у. 61:07:0110501:44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</si>
  <si>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Еровенко А.В., расположенной по адресу: Ростовская область,Кашарский  район, п. Индустриальный, ул. Ждановская, д. 21, к.н.з.у. 61:16:060101:594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</si>
  <si>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Бочкова А.И., расположенного по адресу: Ростовская область, Чертковский  район, с. Ольховчик, ул. Советская, д. 7, к.н.з.у. 61:42:110101:0103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</si>
  <si>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Погребан И.В., расположенного по адресу: Ростовская область,Кашарский  район, х. Талловеров, ул. Украдыженко, д.143, к.н.з.у. 61:16:0160101:487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</si>
  <si>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Северинова П.В., расположенного по адресу: Ростовская область, Чертковский  район, х. Петровский, ул. Мира, д. 74, к.н.з.у. 61:42:01110201:145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</si>
  <si>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Сердиченко Т.Г., расположенного по адресу: Ростовская область, Боковский  район, х. Попов, ул. Заречная, д. 8, к.н.з.у. 61:05:0040703:8</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</si>
  <si>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Киреевой И.П., расположенной по адресу: Ростовская область, Верхнедонской район, п. Придонский, ул. Придонская, д. 5, кв. 1, к.н.з.у. 61:07:0090101:57</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</si>
  <si>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Бондаренко В.А., расположенной по адресу: Ростовская область,Кашарский  район, п. Красный Колос, ул. Пушкинская, д. 2, кв.1, к.н.з.у. 61:16:0080101:192 (1шт.)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</si>
  <si>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Ганеевой Н.И., расположенного по адресу: Ростовская область,Кашарский  район, с. Верхнегреково, ул. Центральная, д.17, к.н.з.у. 61:16:0020102:216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</si>
  <si>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Дьякова В.Н., расположенной по адресу: Ростовская область, Шолоховский  район, х. Дударевский, ул. Асфальтная, д 7, кв. 2, к.н.з.у. 61:43:0040101:714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</si>
  <si>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Василенко Г.Н., расположенного по адресу: Ростовская область,Кашарский  район, с. Усть- Мечетка, ул. Вербовая, д. 45, к.н.з.у. 61:16:160401:0154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</si>
  <si>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Никишина Н.В., расположенного по адресу: Ростовская область, Чертковский  район, с. Маньково- Калитвенское, ул. Садовая, д.50, к.н.з.у. 61:42:0080128:40</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</si>
  <si>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ИП Любченко А.С., расположенного по адресу: Ростовская область,Кашарский  район, с. Первомайское, ул. Калинина, 23, к.н.з.у. 61:16:0110102:715</t>
  </si>
  <si>
    <t xml:space="preserve">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станции/оборудование сотовой связи заявителя, ООО "ТехноСтройГрупп"., расположенного по адресу: Ростовская область, Боковский  район, ст. Каргинская, ул. Совхозная, </t>
  </si>
  <si>
    <t xml:space="preserve">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сотовой связи заявителя, ООО "ТехноСтройГрупп"., расположенного по адресу: Ростовская область, Верхнедонской  район, х. Новониколаевский, ул. Новая, 11, к.н.з.у. 61:07:0010301 </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</si>
  <si>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Черкасовой С.А., расположенного по адресу: Ростовская область, Кашарский район, с. Первомайское, ул. Кирова, д. 4, к.н.з.у. 61:16:0110102:648</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</si>
  <si>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Пугач Л.Г., расположенной по адресу: Ростовская область, Кашарский район, с. Первомайское, ул. Лермонтова, д. 18, кв. 4, к.н.з.у. 61:16:0110102:494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</si>
  <si>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Абакумова А.И., расположенного по адресу: Ростовская область, Шолоховский район, х. Дударевский, ул. Набережная, д. 10, к.н.з.у. 61:43:0040101:577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</si>
  <si>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Бортниковой С.А., расположенного по адресу: Ростовская область, Чертковский район, с. Греково-Степановка, ул. Дружбы, д. 39, к.н.з.у. 61:42:0040101:31»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</si>
  <si>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Куркчи Г.В., расположенного по адресу: Ростовская область, Боковский район, ст. Каргинская, ул. Архиповская, д.9, к.н.з.у. 61:05:0040101:11»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</si>
  <si>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Власенко Н.Н., расположенного по адресу: Ростовская область, Кашарский район, п. Дибровый, ул. Центральная, д. 7, к.н.з.у. 61:16:0130303:97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</si>
  <si>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Лобанова Ю.В., расположенного по адресу: Ростовская область, Боковский район, х. Грачев, ул. Заречная, д. 34, к.н.з.у. 61:05:00301110:30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</si>
  <si>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Кошелева А.В., расположенного по адресу: Ростовская область, Шолоховский район, х. Андроповский, ул. Агеева, д. 24, к.н.з.у. 61:43:0020201:220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</si>
  <si>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Кружилиной Н.Г., расположенного по адресу: Ростовская область, Шолоховский район, х. Кривской, ул. Кривская, д. 16, к.н.з.у. 61:43:0040201:45</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</si>
  <si>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Лопаткина А.С., расположенной по адресу: Ростовская область, Чертковский район, с. Маньково-Калитвенское, ул. Юбилейная, д. 9, кв. 2, к.н.з.у. 61:42:0080119:51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</si>
  <si>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Стоколосова А.Н., расположенного по адресу: Ростовская область, Чертковский район, с. Греково-Степановка, ул. Подгорная, 17, к.н.з.у. 61:42:0040101:196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</si>
  <si>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Гришиной А.М., расположенного по адресу: Ростовская область, Шолоховский район, х. Гороховский, ул. Асфальтная, д. 84, к.н.з.у. 61:43:0060401:631</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</si>
  <si>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Ярмакович Т.Г., расположенного по адресу: Ростовская область, Боковский район, х. Дуленков, ул. Песчаная, д. 30, кв. 1, к.н.з.у. 61:05:0010603:58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</si>
  <si>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Колундаева С.Н., расположенного по адресу: Ростовская область, Боковский район, х. Грачев, ул. Заречная, д. 5, к.н.з.у. 61:05:0030109:102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</si>
  <si>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Авраменко А.А., расположенного по адресу: Ростовская область, Боковский район, х. Верхнечирский, ул. Мира, д. 91, к.н.з.у. 61:05:0000000:5823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</si>
  <si>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Бирюлина А.В., расположенной по адресу: Ростовская область, Боковский район, х. Грачев, ул. Молодежная, д. 19, кв. 2, к.н.з.у. 61:05:0030108:29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</si>
  <si>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Буханцова Н.Н., расположенного по адресу: Ростовская область, Боковский район, ст. Каргинская, пер. Козырина, д.3, к.н.з.у. 61:05:0040104:76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</si>
  <si>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Гуляченко А.Н., расположенного по адресу: Ростовская область, Кашарский район, п. Индустриальный, ул. Школьная, д.10, к.н.з.у. 61:16:060101:274,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</si>
  <si>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Токиной А.О., расположенного по адресу: Ростовская область, Боковский район, ст. Боковская, пер. Чкалова, д. 67, к.н.з.у. 61:05:0010102:691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</si>
  <si>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Кривошлыковой Л.И., расположенного по адресу: Ростовская область, Боковский район, х. Каменка, ул. Песчаная, д. 6, к.н.з.у. 61:05:0060301:3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</si>
  <si>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Турилина Р.Ф., расположенного по адресу: Ростовская область, Шолоховский район, х. Дударевский, ул. Школьная, д. 4, к.н.з.у. 61:43:0040101:402</t>
  </si>
  <si>
    <t>Установка прибора учета электрической энергии (мощности) в очке поставки и установка шкафа 0,4 кВ с коммутационным аппаратом для электроснабжения жилого дома заявителя, Авраменко А.А., расположенного по адресу: Ростовская область, Боковский район, х. Верхнечирский, ул. Мира, д. 79, к.н.з.у. 61:05:02 7(08 02):0009</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</si>
  <si>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Вошанова Н.М., расположенной по адресу: Ростовская область, Кашарский район, п. Дибровый, ул. Дружбы, д. 52, кв. 2,  к.н.з.у. 61:16:0130301:222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</si>
  <si>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Егорова С.Г., расположенного по адресу: Ростовская область, Кашарский район, сл. Верхнемакеевка, ул. Горная, д. 1, к.н.з.у. 61:16:0030101:578</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</si>
  <si>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Вдовиченко Г.В., расположенной по адресу: Ростовская область,  Кашарский район, х. Вяжа, ул. Центральная, д. 19, кв.2, к.н.з.у. 61:16:0050102:138</t>
  </si>
  <si>
    <t>Установка прибора учета электрической энергии (мощности) в точке поставки и установка шкафа 0,4 кВ с коммутационным аппаратом для электроснабжения гаража, Заявителя Гордиенко В.А., расположенного по адресу: Ростовская область, Чертковский район, с. Маньково-Калитвенское, пер. Луначарского, д. 30, к.н.з.у. 61:42:0080116:37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</si>
  <si>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Писковатсковой В.А., расположенного по адресу: Ростовская область, Шолоховский район,              х. Громковский, ул. Почтовая, д. 425, к.н.з.у. 61:43:0010501:1173</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</si>
  <si>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Осичкина Н.И., расположенной по адресу: Ростовская область, Верхнедонской район, х. Мещеряковский, ул. Больничная, д. 2, кв. 1, к.н.з.у. 61:07:0120201:0:27:2</t>
  </si>
  <si>
    <t>Установка прибора учета электрической энергии (мощности) в точке поставки и установка шкафа 0,4 кВ с коммутационным аппаратом для электроснабжения земельного участка для сельскохозяйственного производства заявителя, ИП Лысенко Р.В., расположенного по адресу: Ростовская область, Кашарский район, с. Первомайское, примерно 1 км. от здания Первомайского сельского поселения на северо-восток, к.н.з.у. 61:16:0600020:737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</si>
  <si>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Саенко С.А., расположенного по адресу: Ростовская область, Кашарский район, с. Первомайское, ул. Калинина, д. 53, к.н.з.у. 61:16:0110102:685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</si>
  <si>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Ряснова С.А., расположенного по адресу: Ростовская область, Чертковский район, с. Осиково, ул. Садовая д. 20, к.н.з.у. 61:42:0190101:529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</si>
  <si>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Зубчик К.А., расположенного по адресу: Ростовская область, Чертковский район, с. Маньково-Калитвенское, ул. Заречная, д. 18, к.н.з.у. 61:42:0080125:10</t>
  </si>
  <si>
    <t>Установка прибора учета электрической энергии (мощности) в точке поставки и установка шкафа 0,4 кВ с коммутационным аппаратом для технологического присоединения наружного освещения заявителя, Министерство транспорта Ростовской области, расположенного по адресу: Ростовская область, Кашарский р-н, с. Первомайское, участок автодороги 2+760, 3+620, к.н.з.у. 61:16:0110104:203</t>
  </si>
  <si>
    <t>Установка прибора учета электрической энергии (мощности) в точке поставки и установка шкафа 0,4 кВ с коммутационным аппаратом для технологического присоединения наружного освещения заявителя, Министерство транспорта Ростовской области, расположенного по адресу: Ростовская область, Кашарский р-н, с. Первомайское, участок автодороги 3+650, 4+415, к.н.з.у. 61:16:0110104:203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</si>
  <si>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Ветчинкина А.А., расположенного по адресу: Ростовская область, Шолоховский район, х. Дударевский, ул. Центральная, д. 18, к.н.з.у. 61:43:0040101:443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</si>
  <si>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Кравцова И.Н., расположенного по адресу: Ростовская область, Боковский район, ст. Боковская, пер. Абрикосовый, д. 1, к.н.з.у. 61:05:0600004:300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</si>
  <si>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Данченко Н.И., расположенного по адресу: Ростовская область, Кашарский район, с. Россошь, ул. Лесная, д. 7, к.н.з.у. 61:16:0140101:218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</si>
  <si>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Евсеенко П.П., расположенного по адресу: Ростовская область, Кашарский район, с. Первомайское, ул. Советская, д. 33, к.н.з.у. 61:16:0110102:290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</si>
  <si>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Грицаева В.Н., расположенного по адресу: Ростовская область, Кашарский район, с. Первомайское, ул. Лермонтова, д. 55, к.н.з.у. 61:16:0110102:454</t>
  </si>
  <si>
    <t>Установка прибора учета электрической энергии (мощности) в точке поставки и установка шкафа 0,4 кВ с коммутационным аппаратом для электроснабжения земельного участка заявителя, ИП Полякова Н.В., расположенного по адресу: Ростовская область, Кашарский район, п. Теплые Ключи, ул. Прудная к.н.з.у. 61:16:0090101:586</t>
  </si>
  <si>
    <t>Установка прибора учета для технологического присоединения строящегося жилого дома заявителя, Гулян А.Н., расположенного по адресу: Ростовская область, Чертковский район, с. Маньково-Калитвенское, пер. Почтовый, д.14, к.н.з.у. 61:42:0080110:32</t>
  </si>
  <si>
    <t>Установка прибора учета для технологического присоединения дома охотника заявителя, Военно-охотничье общество Северо-Кавказского военного округа, межрегиональная спортивная общественная организация, расположенного по адресу: Ростовская область, Кашарский район, х. Ольховый, ул. Лесная, д. 33, к.н.з.у. 61:16:050302:0035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</si>
  <si>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Шаповалова А.И., расположенного по адресу: Ростовская область, Миллеровский район, х. Луки, ул. Лесная, д. 26, к.н.з.у. 61:22:0100501:16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</si>
  <si>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Лазаревой Е.М., расположенного по адресу: Ростовская область, Шолоховский район, х. Гороховский, ул. Северная, д. 1, к.н.з.у. 61:43:0060401:322</t>
  </si>
  <si>
    <t>Установка прибора учета электрической энергии (мощности) в точке поставки и установка шкафа 0,4 кВ с коммутационным аппаратом для электроснабжения земельного участка заявителя, Рудько А.М., расположенного по адресу: Ростовская область, Кашарский район, с. Верхнесвечниково, ул. Набережная, д. 10, к.н.з.у. 61:16:0040102:57</t>
  </si>
  <si>
    <t>Установка прибора учета для технологического присоединения жилого дома заявителя, Алексеев В.В., расположенного по адресу: Ростовская область, Верхнедонской район, х. Раскольный, ул. Раскольная, д. 5, к.н.з.у. 61:07:0010401:81</t>
  </si>
  <si>
    <t>Установка прибора учета для технологического присоединения земельного участка заявителя, Баглаев А.А., расположенного по адресу: Ростовская область, Верхнедонской район, х. Кукуевский, ул. Октябрьская, д. 5 А, к.н.з.у. 61:07:0040501:945</t>
  </si>
  <si>
    <t>Установка прибора учета для технологического присоединения нежилого помещения заявителя, ИП Грищенко Е.Г., расположенного по адресу: Ростовская область, Миллеровский район, г. Миллерово, ул. Котовского, д. 33, корп. б, к.н.з.у. 61:54:0050001:493</t>
  </si>
  <si>
    <t>Установка прибора учета для технологического присоединения жилого дома заявителя, Юркин В.А., расположенного по адресу: Ростовская область, Верхнедонской район, х. Мещеряковский, ул. Заречная, д. 16, к.н.з.у. 61:07:0120201:617</t>
  </si>
  <si>
    <t>Установка прибора учета для технологического присоединения объектов наружного освещения заявителя, Администрация муниципального образования «Алексеево-Лозовское сельское поселение», расположенного по адресу: Ростовская область, Чертковский район, с. Греково-Степановка, ул. Центральная, ул. Дружбы, ул. Веселая</t>
  </si>
  <si>
    <t>Установка прибора учета для технологического присоединения строящегося жилого дома заявителя, Ковалев А.С., расположенного по адресу: Ростовская область, Боковский район, ст. Каргинская, ул. Архиповская, д.48а, к.н.з.у. 61:05:0040110:171</t>
  </si>
  <si>
    <t>Установка прибора учета для технологического присоединения жилого дома заявителя, Опашко С.П., расположенного по адресу: Ростовская область, Чертковский район, с. Алексеево-Лозовское, ул. Кирова, д.70/2, к.н.з.у. 61:42:0010101:4804</t>
  </si>
  <si>
    <t>Установка прибора учета для технологического присоединения квартиры заявителя, Закиев А.Р., расположенной по адресу: Ростовская область, Боковский район, х. Попов, ул. Заречная, д.5, кв. 1, к.н.з.у. 61:05:0040703:4</t>
  </si>
  <si>
    <t>Установка прибора учета для технологического присоединения складского здания заявителя, ООО «Поповское», расположенного по адресу: Ростовская область, Верхнедонской район, х. Поповка, ул. Петровского, д. 55-а, к.н.з.у. 61:07:0040401:1140</t>
  </si>
  <si>
    <t>Установка прибора учета для технологического присоединения здания заявителя, ООО «Поповское», расположенного по адресу: Ростовская область, Верхнедонской район, х. Поповка, ул. Шолохова, д. 15, к.н.з.у. 61:07:0040401:715</t>
  </si>
  <si>
    <t>Установка прибора учета для технологического присоединения строящегося жилого дома, Заявителя Колесников М.П., расположенного по адресу: Ростовская область, Чертковский район, с. Маньково-Калитвенское, ул. Кирова, д.47, к.н.з.у. 61:42:0080112:79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</si>
  <si>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Трофименко О.А., расположенной по адресу: Ростовская область, Кашарский район, с. Россошь, ул. Центральная, д. 45, к.н.з.у. 61:16:0140101:166</t>
  </si>
  <si>
    <t>Установка прибора учета для технологического присоединения жилого дома заявителя, Степчихин Я.А., расположенного по адресу: Ростовская область, Верхнедонской район, х. Быковский, ул. Быковская, д. 10, к.н.з.у. 61:07:0070101:81</t>
  </si>
  <si>
    <t>Установка прибора учета для технологического присоединения жилого дома заявителя Потапова И.С., расположенного по адресу: Ростовская область, Боковский район, х. Климовка, ул. Заречная, д. 9, к.н.з.у. 61:05:0040402:23</t>
  </si>
  <si>
    <t>Установка прибора учета для технологического присоединения жилого помещения заявителя, Коновалов В.А., расположенного по адресу: Ростовская область, Верхнедонской район, х. Верхняковский, ул. Квартал Новый, д. 6, кв. 1, к.н.з.у. 61:07:0100501:433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</si>
  <si>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Варивода Ю.А., расположенной по адресу: Ростовская область, Кашарский район, х. Сычевка, ул. Средняя, д. 6, к.н.з.у. 61:16:060301:7</t>
  </si>
  <si>
    <t>Установка прибора учета для технологического присоединения строящегося жилого дома заявителя, Ковалев Д.С., расположенного по адресу: Ростовская область, Боковский район, ст. Каргинская, ул. Чирская, д.14, к.н.з.у. 61:05:0040102:130</t>
  </si>
  <si>
    <t>Установка прибора учета для технологического присоединения жилого дома заявителя, Аксенов А.И., расположенной по адресу: Ростовская область, Боковский район, х. Вислогузов, ул. Вислогузовская, д. 10, к.н.з.у. 61:05:0040201:83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</si>
  <si>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Фоменко А.Л., расположенной по адресу: Ростовская область, Кашарский район, с. Первомайское, ул. Почтовая, д. 7, к.н.з.у. 61:16:0110102:360</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</si>
  <si>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Дмитриченко Е.А., расположенной по адресу: Ростовская область, Кашарский район, х. Драчевка, ул. Маслозаводская, д. 55, кв. 2 к.н.з.у. 61:16:0110202:147</t>
  </si>
  <si>
    <t>Установка прибора учета для технологического присоединения здания отделения почтовой связи заявителя, АО «Почта России», расположенного по адресу: Ростовская область, Боковский район, х. Грачев, ул. Школьная, д. 2, к.н.з.у. 61:05:0030108:85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</si>
  <si>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Апанасенко Н.С., расположенной по адресу: Ростовская область, Кашарский район, х. Драчевка, ул. Маслозаводская, д. 63, к.н.з.у. 61:16:0110202:118</t>
  </si>
  <si>
    <t>Установка прибора учета для технологического присоединения жилого дома заявителя, Бедрин В.А., расположенного по адресу: Ростовская область, Чертковский район, с. Сохрановка, ул. Школьная, д.14, к.н.з.у. 61:42:0150101:217</t>
  </si>
  <si>
    <t>Установка прибора учета для технологического присоединения жилого дома заявителя, Ромащенко В.А., расположенного по адресу: Ростовская область, Миллеровский район, х. Банниково-Александровский, ул. Студенческая, д. 56, к.н.з.у. 61:22:01020:0127</t>
  </si>
  <si>
    <t>Установка прибора учета для технологического присоединения жилого дома заявителя, Гераськин А.С., расположенного по адресу: Ростовская область, Миллеровский район, сл. Дегтево, ул. Лесная, д. 29, к.н.з.у. 61:22:0030101:501</t>
  </si>
  <si>
    <t>Установка прибора учета для технологического присоединения жилого дома заявителя, Назаренко Ю.Н., расположенного по адресу: Ростовская область, Миллеровский район, х. Хмызов, ул. Шолохова, д. 77, к.н.з.у. 61:22:0080101:245</t>
  </si>
  <si>
    <t>Установка прибора учета для технологического присоединения жилого дома заявителя, Тончинская Т.В., расположенного по адресу: Ростовская область, Миллеровский район, сл. Волошино, ул. Украинская, д.14, к.н.з.у. 00:00:000000:0000</t>
  </si>
  <si>
    <t>Установка прибора учета для технологического присоединения здания правления заявителя, ООО «Агро-Союз», расположенного по адресу: Ростовская область, Чертковский район, с. Тихая Журавка, ул. Широкая, д.27, стр. 2, к.н.з.у. 61:42:0100101:1864</t>
  </si>
  <si>
    <t>Установка прибора учета для технологического присоединения жилого дома заявителя, Мокаев А.К., расположенного по адресу: Ростовская область, Чертковский район, с. Михайлово-Александровка, ул. Большевистская, д.30, к.н.з.у. 61:42:0090101:317</t>
  </si>
  <si>
    <t>Установка прибора учета для технологического присоединения жилого дома заявителя, Шевцов В.И., расположенного по адресу: Ростовская область, Миллеровский район, сл. Дегтево, ул. Степная, д. 29, к.н.з.у. 61:22:0030101:9</t>
  </si>
  <si>
    <t>Установка прибора учета для технологического присоединения личного подсобного хозяйства заявителя, Чертоева Т.Ф., расположенного по адресу: Ростовская область, Миллеровский район, х. Банниково-Александровский, пер. Новый, д. 8, к.н.з.у. 61:22:0010201:225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</si>
  <si>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Сливина А.И., расположенного по адресу: Ростовская область, Миллеровский район, с. Сулин, ул. Набережная, д. 29, к.н.з.у. 00:00:000000:00 (1 шт.)</t>
  </si>
  <si>
    <t>Установка прибора учета для технологического присоединения жилого дома заявителя, Усманова Я.Х., расположенного по адресу: Ростовская область, Боковский район, п.Стожки, ул. Вишневая, д. 6, к.н.з.у. 61:05:0600009:204</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</si>
  <si>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Федорова А.С., расположенной по адресу: Ростовская область, Кашарский район, с. Первомайское, ул. Калинина, д. 4, к.н.з.у. 61:16:0110102:700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</si>
  <si>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Глущенко А.И., расположенной по адресу: Ростовская область, Кашарский район, х. Драчевка, ул. Маслозаводская, д. 42, к.н.з.у. 61:16:0110202:0017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</si>
  <si>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Кадыковой Е.А., расположенного по адресу: Ростовская область, Боковский район,ст.Боковская пер.Коньковский д.13-а,к.н.з.у. 61:05:0010104:1202</t>
  </si>
  <si>
    <t>Установка прибора учета электрической энергии (мощности) в точке поставки и установка шкафа 0,4 кВ с коммутационным аппаратом для электроснабжения личного подсобного хозяйства заявителя Бородиной Е.П., расположенного по адресу: Ростовская область, Верхнедонской  район ст.Мигулинская,ул.Пушкина д.9. 61:07:0090201:608</t>
  </si>
  <si>
    <t>Установка прибора учета электрической энергии (мощности) в точке поставки и установка шкафа 0,4 кВ с коммутационным аппаратом для электроснабжения ШНО-1 х. Коноваловский, линии наружного освещения подъезда от автодороги "Магистраль Дон"- ст. Мешковская- ст.Казанская к х. Мещеряковский на участке км 4+730-км 6+235 заявителя, Министерство транспорта Ростовской области, расположенного по адресу: Ростовская область, Верхнедонской  район, х. Коноваловский, кв. к.н.з.у. 61:07:0000000:339</t>
  </si>
  <si>
    <t>Установка прибора учета электрической энергии (мощности) в точке поставки и установка шкафа 0,4 кВ с коммутационным аппаратом для электроснабжения Административного здания заявителя, Администрация Мещеряковского сельского поселения., расположенного по адресу: Ростовская область, Верхнедонской район, х. Мещеряковский, ул. Плешакова, д. 10 к.н.з.у. 61:07:0120201:921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</si>
  <si>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Колесниченко Е.И., расположенного по адресу: Ростовская область, Шолоховский район, х. Гороховский, ул. Северная, д. 2, к.н.з.у. 61:43:0060401:316 (1 шт.)</t>
  </si>
  <si>
    <t>Установка прибора учета для технологического присоединения Административного здания заявителя, ИП Гирун Н.А., расположенного по адресу: Ростовская область, Верхнедонской район, х. Павловский, ул. Павловская, д. 72, к.н.з.у. 61:07:0100401:103</t>
  </si>
  <si>
    <t>Установка прибора учета для технологического присоединения жилого дома, заявителя Колесникова Т.Г., расположенного по адресу: Ростовская область, Чертковский район, с. Маньково-Калитвенское, ул. Садовая, д. 46, к.н.з.у. 61:42:080128:0042</t>
  </si>
  <si>
    <t>Установка прибора учета для технологического присоединения базовой станции заявителя, ПАО "Ростелеком", расположенного по адресу: Ростовская область, Верхнедонской район, х. Колодезный, к.н.з.у. 61:07:0020301</t>
  </si>
  <si>
    <t>Установка прибора учета для технологического присоединения базовой станции заявителя, ПАО "Ростелеком", расположенного по адресу: Ростовская область, Верхнедонской район, х. Макаровский, к.н.з.у. 61:07:0100101:252</t>
  </si>
  <si>
    <t>Установка прибора учета для технологического присоединения базовой станции заявителя, ПАО "Ростелеком", расположенного по адресу: Ростовская область, Верхнедонской район, х. Михайловский, к.н.з.у. 61:07:0100203</t>
  </si>
  <si>
    <t>Установка прибора учета для технологического присоединения жилого дома заявителя, Сетракова Н.И., расположенного по адресу: Ростовская область, Верхнедонской район, ст. Мешковская, пер. Зеленый, д. 9, к.н.з.у. 61:07:0110501:29</t>
  </si>
  <si>
    <t>Установка прибора учета для технологического присоединения Административного здания заявителя АО «Почта России», расположенного по адресу: Ростовская область, Верхнедонской район, ст. Мешковская, пр-кт Победы, д. 21, к.н.з.у. 61:07:0110501:1832 (1 шт.)</t>
  </si>
  <si>
    <t>«Установка прибора учета для технологического присоединения здания МБУК Донского сельского поселения заявителя Донское сельское поселение, расположенного по адресу: Ростовская область, Чертковский район, х. Артамошкин, ул. Центральная, д. 6, к.н.з.у. 61:42:0050101:822»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</si>
  <si>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Рогозина Р.А., расположенного по адресу: Ростовская область,Кашарский  район, с. Первомайское, ул. Ленина, д.5, к.н.з.у. 61:16:0110104:211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</si>
  <si>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Федориненко В.М., расположенного по адресу: Ростовская область, Кашарский район, с. Новопавловка, ул. Октябрьская, д. 2, к.н.з.у. 61:16:0010301:154</t>
  </si>
  <si>
    <t>Установка прибора учета для технологического присоединения жилого дома заявителя, Плужникова Л.И., расположенного по адресу: Ростовская область, Миллеровский район, сл. Дегтево, ул. Школьная, д. 17, к.н.з.у. 61:22:0030101:171</t>
  </si>
  <si>
    <t>Установка прибора учета для технологического присоединения объектов наружного освещения заявителя, Министерство транспорта Ростовской области, расположенных по адресу: Ростовская область, Кашарский район, автомобильная дорога с. Усть-Мечетка - х. Талловеров - с. Верхнесвечниково, на участке км 9+388-км 12+250  к.н.з.у. 61:16:0160101:1088</t>
  </si>
  <si>
    <t>Установка прибора учета для технологического присоединения личного подсобного хозяйства заявителя, Дегтярев И.А., расположенного по адресу: Ростовская область, Миллеровский район, х. Ореховка, ул. Терновая, д. 13, корп. а, к.н.з.у. 61:22:0120901:159</t>
  </si>
  <si>
    <t>Установка прибора учета для технологического присоединения жилого дома заявителя, Гришкова Н.В., расположенного по адресу: Ростовская область, Кашарский район, х. Ленинский, ул. Заветная, д.11, к.н.з.у. 00:16:0170401:174</t>
  </si>
  <si>
    <t>Установка прибора учета для технологического присоединения жилого дома заявителя, Колычев В.Н., расположенного по адресу: Ростовская область, Кашарский район, х. Вяжа, ул. Садовая, д. 50, к.н.з.у. 00:16:0050103:23</t>
  </si>
  <si>
    <t>Установка прибора учета для технологического присоединения жилого дома заявителя, Гриценко А.П., расположенного по адресу: Ростовская область, Миллеровский район, ст. Мальчевская, ул. Октябрьская, д.91, к.н.з.у. 61:22:0070101:1334</t>
  </si>
  <si>
    <t>Установка прибора учета для технологического присоединения жилого дома заявителя, Бережной А.А., расположенного по адресу: Ростовская область, Миллеровский район, сл. Кудиновка, ул. Мира, д.3, к.н.з.у. 00:00:000000:00</t>
  </si>
  <si>
    <t>«Установка прибора учета для технологического присоединения Свято-Никольского храма заявителя, Местная религиозная организация православный Приход Никольского храма сл. Кашары Ростовской области Шахтинской Епархии Русской Православной Церкви (Московский Патриархат) расположенного по адресу: Ростовская область, Кашарский район, сл. Кашары, ул. Антона Байдака, д. 16. к.н.з.у. 00:00:000000»</t>
  </si>
  <si>
    <t>Обеспечение коммерческим учетом электрической энергии (мощности) в точке поставки и установка шкафа 0,4 кВ с коммутационным аппаратом, для электроснабжения жилого дома заявителя, Кузнецова А.В., расположенного по адресу: Ростовская область, Боковский  район, х. Большенаполовский, ул. Школьная,  д. 135,  к.н.з.у. 61:05:0020207:11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</si>
  <si>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Лебедева Ю.Н., расположенного по адресу: Ростовская область, Чертковский  район, х. Терновский, ул. Мира, д.59, к.н.з.у. 61:42:0000000:2851</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</si>
  <si>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Дахновой Т.А., расположенного по адресу: Ростовская область, Боковский  район, ст. Боковская, ул. Ленина, д. 145, к.н.з.у. 61:05:0010101:99</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</si>
  <si>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ВРУ-0,4 кВ, строительство автодороги по ул. Ленина от пер. Земцовский до а/д "ст. Обливская - ст. Советская -ст. Боковская - ст. Каргинская" в ст. Боковская, заявителя, Администрация Боковского района, расположенного по адресу: Ростовская область, Боковский  район, ст. Боковская, ул.Ленина</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</si>
  <si>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Соболькова Д.С., расположенной по адресу: Ростовская область, Шолоховский  район, х. Кружилинский, ул. Центральная, д. 52, кв. 1, к.н.з.у. 61:43:0070101:705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</si>
  <si>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Ковалевой В.Т., расположенного по адресу: Ростовская область, Шолоховский район, х. Дубровский, ул. Ольховая, д. 6, к.н.з.у. 61:43:0030101:435</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</si>
  <si>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Козловой Н.С., расположенной по адресу: Ростовская область, Шолоховский район, х. Верхнетокинский, ул. им. Анны Рассказовой, д. 16, кв. 2, к.н.з.у. 61:43:0010401:98»</t>
  </si>
  <si>
    <t>«Установка прибора учета электрической энергии (мощности) в точке поставки и установка шкафа 0,4 кВ с коммутационным аппаратом для электроснабжения нежилого здания Заявителя, Лиховидова И.А., расположенного по адресу: Ростовская область, Боковский район, х. Грачев, ул. Рожнова, д. 42, к.н.з.у. 61:05:0030102:403»</t>
  </si>
  <si>
    <t>«Установка прибора учета электрической энергии (мощности) в точке поставки и установка шкафа 0,4 кВ с коммутационным аппаратом для электроснабжения Базовой станции Заявителя, ПАО «Ростелеком», расположенной по адресу: Ростовская область, Чертковский район, х. Новостепановский,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</si>
  <si>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сквера Заявителя, Администрация Первомайского сельского поселения., расположенного по адресу: Ростовская область, Кашарский район, с. Первомайское, ул. Мира, к.н.з.у. 61:16:0110104:272</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</si>
  <si>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Рабочей Н.Н., расположенного по адресу: Ростовская область, Миллеровский район, сл. Кудиновка, ул. Победы, д. 22, к.н.з.у. 61:22:0040401:1283</t>
  </si>
  <si>
    <t>Установка прибора учета электрической энергии (мощности) в точке поставки и установка шкафа 0,4 кВ с коммутационным аппаратом для электроснабжения склада, заявителя, ООО «Вектор-1», расположенного по адресу: Ростовская область, Чертковский район, х. Сетраки, ул. Подгорная, д. 27б, к.н.з.у. 61:42:0140101:2420</t>
  </si>
  <si>
    <t>«Установка прибора учета электрической энергии (мощности) в точке поставки и установка шкафа 0,4 кВ с коммутационным аппаратом для электроснабжения объекта незавершенного строительства заявителя, Лиховидовой С.В., расположенного по адресу: Ростовская область, Кашарский район, сл. Кашары, ул. Степана Товстика, д. 6, к.н.з.у. 61:16:0010104:64,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</si>
  <si>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нежилого здания (коровника) заявителя, ИП Глава К(Ф)Х Губарев В.В., расположенного по адресу: Ростовская область, Чертковский район, 750 м. на восток от х. Шевченковский, к.н.з.у. 61:42:0600007:1065</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</si>
  <si>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Осипова Н.Н., расположенного по адресу: Ростовская область, Кашарский район, х. Вишневка, ул. Заречная, д. 2, к.н.з.у. 61:16:140202:0022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</si>
  <si>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Морозова Д.И., расположенного по адресу: Ростовская область, Шолоховский район, х. Дубровский, ул. Центральная, д. 8, к.н.з.у. 61:43:0030101:0169</t>
  </si>
  <si>
    <t>Установка прибора учета для технологического присоединения жилого дома заявителя, Ткаченко О.А., расположенного по адресу: Ростовская область, Боковский район, ст. Боковская, пер. Виноградный, д. 27, к.н.з.у. 61:05:0000000:5502</t>
  </si>
  <si>
    <t>Установка прибора учета для технологического присоединения жилого дома заявителя, Сапрыкин Ю.А., расположенного по адресу: Ростовская область, Шолоховский район, х. Дударевский, ул. Луговая, д. 14, к.н.з.у. 61:43:0040101:632</t>
  </si>
  <si>
    <t>Установка прибора учета для технологического присоединения жилого дома заявителя, Кайдалов В.В., расположенного по адресу: Ростовская область, Шолоховский район, х. Дударевский, ул. Восточная, д. 7, к.н.з.у. 61:43:0040101:679</t>
  </si>
  <si>
    <t>Установка прибора учета для технологического присоединения зарядной станции электромобилей заявителя, ИП Апонович К.С., расположенной по адресу: Ростовская область, Чертковский район, с. Алексеево-Лозовское, в 20 м на юг от границ земельного участка с кадастровым номером 61:42:0010101:3156, к.н.з.у. 61:42:0010101:4464</t>
  </si>
  <si>
    <t>Установка прибора учета для технологического присоединения квартиры заявителя, Негода И.А., расположенной по адресу: Ростовская область, Кашарский район, п. Дибровый, ул. Дружбы, д. 40, кв. 2, к.н.з.у. 61:16:0130301:235</t>
  </si>
  <si>
    <t>Установка прибора учета для технологического присоединения жилого дома заявителя, Вислогузов Г.И., расположенной по адресу: Ростовская обл, Боковский район, х. Попов, ул. Заречная, д. 20, к.н.з.у. 61:05:0040703:13</t>
  </si>
  <si>
    <t>Установка прибора учета для технологического присоединения жилого дома заявителя, Копачев С.Е., расположенного по адресу: Ростовская область, Боковский район, х. Попов, ул. Садовая, д.3, к.н.з.у. 61:05:0040701:8</t>
  </si>
  <si>
    <t>«Установка прибора учета для технологического присоединения жилого дома заявителя, Бадаева Н.М., расположенного по адресу: Ростовская область, Шолоховский район, х. Колундаевский, ул. Школьная, д. 39, к.н.з.у. 61:43:0060101:101» (1 шт.),</t>
  </si>
  <si>
    <t>«Установка прибора учета для технологического присоединения административного здания, Заявителя ГКУ РО «Противопожарная служба Ростовской области», расположенного по адресу: Ростовская область, Чертковский район, с. Михайлово-Александровка, ул. Большевистская, д.38, к.н.з.у. 61:42:0090101:267 (1 шт.)»</t>
  </si>
  <si>
    <t>«Установка прибора учета для технологического присоединения жилого дома заявителя, Сапельников В.В., расположенного по адресу: Ростовская область, Боковский район, ст. Боковская, ул. Виноградная, д.4, к.н.з.у. 61:05:0010104:871»</t>
  </si>
  <si>
    <t>Установка прибора учета для технологического присоединения жилого дома заявителя, Бородаенко Н.Н., расположенного по адресу: Ростовская область, Кашарский район, п. Красный Колос, ул. Пушкинская, д. 8. к.н.з.у. 61:16:0080101:183</t>
  </si>
  <si>
    <t>"Установка прибора учета для технологического присоединения жилого дома заявителя Решетникова А А,расположенного по адресу: Ростовская область,Миллеровский район,сл.Титовка,ул.Колхозная д.2,к.н.з.у.61:22:0150101:320(1 шт.)</t>
  </si>
  <si>
    <t>"Установка прибора учета для технологического присоединения административного здания АО "Почта России",расположенного по адресу:Ростовская область,Миллеровский район,сл.Волошино,ул.Ленина д.26,к.н.з.у. 61:22:0020101:1101(1шт.)</t>
  </si>
  <si>
    <t>«Установка прибора учета для технологического присоединения административного здания заявителя, АО «Почта России», расположенного по адресу: Ростовская область, Шолоховский район, х. Меркуловский, пер. Победы, д. 7, к.н.з.у. 61:43:0080101:2973 (1 шт.)»</t>
  </si>
  <si>
    <t>«Установка прибора учета для технологического присоединения жилого дома заявителя, Корвякова В.Е., расположенного по адресу: Ростовская область, Миллеровский район, х. Туроверово-Глубокинский, ул. Береговая, д. 7, к.н.з.у. 61:22:0011401:51 (1 шт.)»</t>
  </si>
  <si>
    <t>«Установка прибора учета для технологического присоединения административного здания заявителя, АО «Почта России», расположенного по адресу: Ростовская область, Кашарский район, с. Первомайское, ул. Мира, д. 12, к.н.з.у. 61:16:0110104:253 (1 шт.)»</t>
  </si>
  <si>
    <t>Установка прибора учета для технологического присоединения ВРУ-0,4 кВ строящегося жилого дома заявителя, Мигуля О.В., расположенного по адресу: Ростовская область, Чертковский район, с. Маньково-Калитвенское, пер. Почтовый, д. 66а, к.н.з.у. 61:42:0080113:174 (1шт.)</t>
  </si>
  <si>
    <t>Установка прибора учета для технологического присоединения жилого дома заявителя Мурадбекова Р.А., расположенного по адресу: Ростовская область, Чертковский район, х. Артамошкин, ул. Ивановская, д. 1а, к.н.з.у. 61:42:0600020:473 (1шт.)</t>
  </si>
  <si>
    <t>«Установка прибора учета для технологического присоединения земельного участка под личное подсобное хозяйство заявителя, Думчев П.П., расположенного по адресу: Ростовская область, Кашарский район, п. Индустриальный, ул. Советская, 12, к.н.з.у. 61:16:00601:331 (1 шт.)»</t>
  </si>
  <si>
    <t>Установка прибора учета для технологического присоединения жилого дома заявителя, Бурмистров В.П., расположенного по адресу: Ростовская область, Миллеровский район, х. Новоандреевка, ул. Донецкая, д. 1, к.н.з.у. 61:22:0010801:376 (1 шт.)</t>
  </si>
  <si>
    <t>«Установка прибора учета для технологического присоединения жилого дома заявителя, Голубенко В.Н., расположенного по адресу: Ростовская область, Миллеровский район, х. Кринички, ул. Родниковая, д. 26, к.н.з.у. 61:22:060701:19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</si>
  <si>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ЩРУ-0,4 кВ на земельном участке, для ведения личного подсобного хозяйства заявителя, Гончарова Н.А., расположенного по адресу: Ростовская область, Кашарский  район, с. Каменка, ул. Песчаная, д. 23, к.н.з.у. 61:16:0130401:438</t>
  </si>
  <si>
    <t>Установка прибора учета электрической энергии (мощности) в точке поставки и установка шкафа 0,4 кВ с коммутационным аппаратом для электроснабжения ШНО-3 х. Мещеряковсий, линии наружного освещения подъезда от автодороги "Магистраль Дон"- ст. Мешковская- ст.Казанская к х. Мещеряковский на участке км 13+680-км 14+522 заявителя, Министерство транспорта Ростовской области, расположенного по адресу: Ростовская область, Верхнедонской  район, х. Мещеряковский, кв. к.н.з.у. 61:07:0000000:339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</si>
  <si>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Галушко В.В., расположенного по адресу: Ростовская область, Чертковский  район, с. Осиково, ул. Садовая, д. 51, к.н.з.у. 61:42:0190101:110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</si>
  <si>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Гончаровой Т.Н., расположенного по адресу: Ростовская область, Кашарский район, с. Каменка, ул. Песчаная, д. 15 А, к.н.з.у. 61:16:0130402:150</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</si>
  <si>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Жидковой В.Н., расположенного по адресу: Ростовская область,Кашарский  район, с. Первомайское, ул. Кирова, д.8, к.н.з.у. 61:16:0110102:644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</si>
  <si>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Сабадина Н.В., расположенного по адресу: Ростовская область, Боковский  район, ст. Каргинская, ул. Соловьева, д. 38, к.н.з.у. 61:05:040107:0002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</si>
  <si>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ИП Зозуля Т.В., расположенного по адресу: Ростовская область, Чертковский  район, х. Тихая Журавка, ул. Широкая, д. 5 а,  к.н.з.у. 61:42:0100101:1879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</si>
  <si>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ШНО-4 х. Мрыховский, линии наружного освещения подъезда от автодороги "Магистраль Дон" - ст. Мешковская - ст. Казанская к х. Мещеряковский на участке км 12+500-км 12+800 заявителя, Министерство транспорта Ростовской области, расположенного по адресу: Ростовская область, Верхнедонской район, х. Мрыховский, ул. Мрыховская. к.н.з.у. 61:07:0000000:339</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</si>
  <si>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Калмыкова Н.В., расположенного по адресу: Ростовская область, Шолоховский район, х. Громковский, ул. Почтовая, д. 373, к.н.з.у. 61:43:0010501:349</t>
  </si>
  <si>
    <t>Установка прибора учета электрической энергии (мощности) в точке поставки и установка шкафа 0,4 кВ с коммутационным аппаратом для электроснабжения объектов оптовой и розничной торговли заявителя, ИП Репетунова А.С., расположенных по адресу: Ростовская область, Чертковский  район, с. Маньково- Калитвенское, ул. Кирова, д.10, к.н.з.у. 61:42:0080116:68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</si>
  <si>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Полякова М.И., расположенного по адресу: Ростовская область, Шолоховский район, х. Колундаевский, ул. Школьная, д. 22, к.н.з.у. 61:43:0060101:285»</t>
  </si>
  <si>
    <t>«Установка прибора учета электрической энергии (мощности) в точке поставки и установка шкафа 0,4 кВ с коммутационным аппаратом для электроснабжения магазина Заявителя, ИП Марущенко С.Ш., расположенного по адресу: Ростовская область, Чертковский район, с. Алексеево-Лозовское, ул. Лисичкина, 22/1а, к.н.з.у. 61:42:0010101:4739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</si>
  <si>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Ковалева А.С., расположенного по адресу: Ростовская область, Боковский район, ст. Каргинская, ул. Архиповская, д.50, к.н.з.у. 61:05:040110:0050</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</si>
  <si>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Антонюк М.П., расположенной по адресу: Ростовская область, Боковский район, х. Попов, ул. Школьная, д. 29, кв. 1, к.н.з.у. 61:05:0040701:34</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</si>
  <si>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 0,4 кВ базовой станции х. Верхнечирский, заявитель, ПАО «Ростелеком», расположенной по адресу: Ростовская область, Боковский район, х. Верхнечирский, (№49.411890; Е41.324040) Ростовская область, Боковский район, х. Верхнечирский, (№49.411890; Е41.324040)</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</si>
  <si>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 0,4 кВ базовой станции х. Белавин, заявитель, ПАО «Ростелеком», расположенной по адресу: Ростовская область, Боковский район, х. Белавин, (№49.304124; Е42.005336)</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</si>
  <si>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 0,4 кВ базовой станции с. Пономаревка, заявитель, ПАО «Ростелеком», расположенной по адресу: Ростовская область, Боковский район, с. Пономаревка, (№49.191866; Е41.710339)</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</si>
  <si>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 0,4 кВ базовой станции х. Попов, заявитель, ПАО «Ростелеком», расположенной по адресу: Ростовская область, Боковский район, х. Попов, д.65, (№49.298790; Е41.793080)</t>
  </si>
  <si>
    <t>Установка прибора учета электрической энергии (мощности) в точке поставки и установка шкафа 0,4 кВ с коммутационным аппаратом для электроснабжения ВРУ-0,4 кВ для электроснабжения коровника, заявителя, ИП Глава К(Ф)Х Гайдамакина Е.Е., расположенного по адресу: Ростовская область, Чертковский район, с. Шептуховка, ул. Центральная, д. 59, к.н.з.у. 61:42:0600017:968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</si>
  <si>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Баранова А.Н., расположенного по адресу: Ростовская область, Боковский район, х. Дуленков, ул. Заречная, д. 17, к.н.з.у. 61:05:0010606:18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</si>
  <si>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Тамарадзе М.И., расположенного по адресу: Ростовская область, Чертковский район, с. Маньково-Калитвенское, пер. Почтовый, д. 7, к.н.з.у. 61:42:0080115:6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</si>
  <si>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Быковой О.В., расположенного по адресу: Ростовская область, Боковский район, х. Илларионов, ул. Мигрицкого А.В., д. 31, к.н.з.у. 61-61-21/014/2009-172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</si>
  <si>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Афанасьевой Е.А., расположенного по адресу: Ростовская область, Боковский район, ст. Боковская, ул. Гагарина, д. 15, к.н.з.у. 61:05:0010101:21</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</si>
  <si>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Калюжного В.А., расположенной по адресу: Ростовская область, Шолоховский район, х. Дударевский, ул. Молодежная, д. 14, кв. 2, к.н.з.у. 61:43:0040101:612</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</si>
  <si>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Сухоручко С.А., расположенной по адресу: Ростовская область, Боковский район, х. Попов, ул. Школьная, д. 25, кв. 2, к.н.з.у. 61:05:0040701:457</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</si>
  <si>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Глушковой Е.Н., расположенного по адресу: Ростовская область, Боковский район, х. Дуленков, ул. Песчаная, д. 82, к.н.з.у. 61:05:0010604:333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</si>
  <si>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Кучеренко О.С., расположенного по адресу: Ростовская область, Чертковский район, с. Маньково-Калитвенское, ул. Ленина, д. 30, к.н.з.у. 61:42:0080133:63</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</si>
  <si>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Вишнякова Р.Ю., расположенного по адресу: Ростовская область, Боковский район, ст. Боковская, пер. Вольный, д. 7, к.н.з.у. 61:05:0010101:244</t>
  </si>
  <si>
    <t>Установка прибора учета для технологического присоединения квартиры заявителя, Стародымов Л.А., расположенной по адресу: Ростовская область, Боковский район, ст. Боковская, ул. Совхозная, д. 14, кв. 2, к.н. 61:05:0010101:0:265/2 (1 шт.)</t>
  </si>
  <si>
    <t>Установка прибора учета для технологического присоединения жилого дома заявителя, Дьяченко Л.И., расположенного по адресу: Ростовская область, Шолоховский район, х. Гороховский, ул. Школьная, д. 9, к.н.з.у. 61:43:060401:0580 (1 шт.)</t>
  </si>
  <si>
    <t>Установка прибора учета для технологического присоединения здания бани заявителя, ИП Козлов Е.И., расположенного по адресу: Ростовская область, Шолоховский район, х. Меркуловский, ул. Шолохова, д. 5, к.н.з.у. 61:43:0080101:1635 (1 шт.)</t>
  </si>
  <si>
    <t>Установка прибора учета для технологического присоединения жилого дома заявителя, Доронина Л.С., расположенного по адресу: Ростовская область, Шолоховский район, х. Рубежинский, ул. Береговая, д. 33, к.н.з.у. 61:43:0060501:72 (1 шт.)</t>
  </si>
  <si>
    <t>Установка прибора учета для технологического присоединения жилого дома заявителя, Шведов Н.М., расположенного по адресу: Ростовская область, Боковский район, х. Верхнечирский, ул. Мира, д. 105, к.н.з.у. 61:05:0020102:47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</si>
  <si>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Кирилова С.Н., расположенного по адресу: Ростовская область, Боковский район, х. Земцов, ул. Луговая, д.61, к.н.з.у. 61:05:0070503:301 (1 шт.)</t>
  </si>
  <si>
    <t>Установка прибора учета для технологического присоединения жилого дома заявителя, Тисленко В.И., расположенного по адресу: Ростовская обл, Шолоховский район, х. Меркуловский, пер. Донской, д. 29, к.н.з.у. 61:43:080101:0625 (1 шт.)</t>
  </si>
  <si>
    <t>Установка прибора учета для технологического присоединения жилого дома заявителя, Семеновой Е.Н., расположенного по адресу: Ростовская область, Боковский район, ст. Боковская, пер. Строительный, д.1В, к.н.з.у. 61:05:0010104:1130 (1 шт.)</t>
  </si>
  <si>
    <t>Установка прибора учета для технологического присоединения строящегося склада заявителя, ИП Конак С.В., расположенного по адресу: Ростовская область, Боковский район, х. Малаховский, ул. Центральная, д. 1, кв. 2, к.н.з.у. 61:05:0600013:511 (1 шт.)</t>
  </si>
  <si>
    <t>Установка прибора учета для технологического присоединения квартиры заявителя, Симоновой О.А., расположенной по адресу: Ростовская область, Боковский район, ст. Боковская, ул. Совхозная, д. 7, кв. 1, к.н.з.у. 61:05:0010104:1026 (1 шт.)</t>
  </si>
  <si>
    <t>Установка прибора учета для технологического присоединения жилого дома заявителя, Савина М.П., расположенного по адресу: Ростовская область, Боковский район, х. Коньков, ул. Комунная, д.3, к.н.з.у. 61:05:0040501:3 (1 шт.)</t>
  </si>
  <si>
    <t>Установка прибора учета для технологического присоединения жилого дома заявителя, Линник А.И., расположенного по адресу: Ростовская область, Боковский район, ст. Боковская, пер. Виноградный, д.19, к.н.з.у. 61:05:0600004:229 (1 шт.)</t>
  </si>
  <si>
    <t>Установка прибора учета для технологического присоединения жилого дома заявителя, Антиповой С.Е., расположенного по адресу: Ростовская область, Шолоховский район, х. Кружилинский, ул. Шолохова, д. 39, к.н.з.у. 61:43:0070101:599 (1 шт.)</t>
  </si>
  <si>
    <t>Установка прибора учета для технологического присоединения гаража-склада, производственного здания заявителя, ООО «ТК Феникс», расположенного по адресу: Ростовская область, Миллеровский район, х. Новоспасовка, ул. Лесная, д. 49, к.н.з.у. 61:22:0120701:385( 1 шт)</t>
  </si>
  <si>
    <t>Установка прибора учета для технологического присоединения квартиры заявителя Жаркова В.А., расположенной по адресу: Ростовская область, Верхнедонской район, х. Новониколаевский, ул. Овражная, д. 1, корп.4 кв. 4, (1 шт.)</t>
  </si>
  <si>
    <t>Установка прибора учета для технологического присоединения нежилого помещения заявителя, АО «Почта России», расположенного по адресу: Ростовская область, Кашарский район, сл. Поповка, ул. Центральная, д. 24, к.н.з.у. 61:16:0130105:139 (1 шт.)</t>
  </si>
  <si>
    <t>Установка прибора учета для технологического присоединения жилого дома заявителя Кушнарева М.В., расположенного по адресу: Ростовская область, Кашарский район, х. Краснояровка, ул. Школьная, д. 6, к.н.з.у. 61:16:0140301:149 (1 шт.)</t>
  </si>
  <si>
    <t>Установка прибора учета электрической энергии (мощности) в точке поставки и установка шкафа 0,4 кВ с коммутационным аппаратом для электроснабжения склада тракторной бригады №5 заявителя, ИП Глава КФХ Лукьянцев А.Ю., расположенного по адресу: Ростовская область, Чертковский  район, с. Михайлово-Александровка, ул. Коммунарская, б/н,  к.н.з.у. 61:42:0600021:698</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</si>
  <si>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Полиенко Е.М., расположенного по адресу: Ростовская область, Миллеровский  район, сл. Волошино, ул. Партизанская, д. 54, к.н.з.у. 61:22:0020101:592</t>
  </si>
  <si>
    <t>Установка прибора учета электрической энергии (мощности) в точке поставки и установка шкафа 0,4 кВ с коммутационным аппаратом для электроснабжения квартиры заявителя, Даденко Г.П., расположенной по адресу: Ростовская область, Кашарский район, х. Вишневка, ул. Молодежная, д. 3, кв. 1, к.н.з.у. 61:16:0170101:165</t>
  </si>
  <si>
    <t>Установка прибора учета электрической энергии (мощности) в точке поставки и установка шкафа 0,4 кВ с коммутационным аппаратом для электроснабжения объектов наружного освещения Заявителя, Администрация муниципального образования «Донское сельское поселение», расположенных по адресу: Ростовская область, Чертковский район, х. Артамошкин, ул. Безымянная, ул. Песчаная, к.н.з.у. 61:16:0110104:272</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</si>
  <si>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Буханцовой Н.В., расположенного по адресу: Ростовская область, Боковский район, ст. Каргинская, ул. Соловьева, д.52, к.н.з.у. 61:05:0040107:16</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</si>
  <si>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Калинкиной В.М., расположенного по адресу: Ростовская область, Боковский район, ст. Краснокутская, ул. Школьная, д. 48, к.н.з.у. 61:05:0060102:17</t>
  </si>
  <si>
    <t>Установка прибора учета для технологического присоединения строящегося жилого дома заявителя, Черноусов А.Г., расположенного по адресу: Ростовская область, Боковский район, ст. Боковская, ул. Энергетиков, д.1, к.н.з.у. 61:05:010101:217</t>
  </si>
  <si>
    <t>Установка прибора учета для технологического присоединения ВРУ 0,4 кВ ПТО заявителя, Мельников А.Н., расположенного по адресу: Ростовская область, Боковский район, х. Земцов, ул. Школьная, д.57 а, к.н.з.у. 61:05:0070502:180</t>
  </si>
  <si>
    <t>Установка прибора учета для технологического присоединения здания склада общего назначения заявителя, Шорин С.С., расположенного по адресу: Ростовская область, Боковский район, ст. Краснокутская, ул. Социалистическая, д.80, к.н.з.у. 61:05:0060104:227</t>
  </si>
  <si>
    <t>Установка прибора учета для технологического присоединения склада заявителя, Мурадбеков А.И., расположенного по адресу: Ростовская область Боковский район, х. Белавин, ул. Степная, д.46П, к.н.з.у. 61:05:0600006:682</t>
  </si>
  <si>
    <t>Установка прибора учета для технологического присоединения жилого дома заявителя, Надаева Р.С., расположенного по адресу: Ростовская область, Боковский район, п. Стожки, ул. Вишневая, д. 4, к.н.з.у. 61:05:0050301:77</t>
  </si>
  <si>
    <t>«Установка прибора учета для технологического присоединения земельного участка под личное подсобное хозяйство заявителя, Авсецин Н.Н., расположенного по адресу: Ростовская область, Боковский район, ст. Боковская, пер. Абрикосовый, 20, к.н.з.у. 61:05:0600004:306 (1 шт.)»</t>
  </si>
  <si>
    <t>«Установка прибора учета для электроснабжения сквера заявителя, Администрация муниципального образования «Боковское сельское поселение», расположенного по адресу: Ростовская область, Боковский район, ст. Боковская, пер. Чкалова, д. 106Е, к.н.з.у. 61:05:0010104:1552»</t>
  </si>
  <si>
    <t>Установка прибора учета для технологического присоединения жилого дома заявителя Ильенко А.А., расположенного по адресу: Ростовская область, Чертковский район, с. Осиково, ул. Садовая, д. 36, к.н.з.у. 61:42:0190101:100 (1шт.)</t>
  </si>
  <si>
    <t>Установка прибора учета для технологического присоединения личного подсобного хозяйства заявителя Опенченко К.А., расположенного по адресу: Ростовская область, Миллеровский район, х. Хмызов, ул. Ленина, д. 18, к.н.з.у. 61:22:0080101:141 (1шт.)</t>
  </si>
  <si>
    <t>Установка прибора учета для технологического присоединения объектов уличного освещения заявителя, Администрация Дубровского сельского поселения, расположенного по адресу: Ростовская область, Шолоховский район, х. Антиповский, ул. Заречная, к.н.з.у. 61:43:0030201 (1 шт.)</t>
  </si>
  <si>
    <t>«Установка прибора учета для технологического присоединения земельного участка заявителя, Ишмаметова Р.И., расположенного по адресу: Ростовская область, Кашарский район, сл. Поповка, к.н.з.у. 61:16:0600002:320 (1 шт.)».</t>
  </si>
  <si>
    <t>Установка прибора учета для технологического присоединения жилого дома заявителя Юрченко К.В., расположенного по адресу: Ростовская область, Чертковский район, с. Тарасово-Меловское, ул. Молодежная, д. 1а, к.н.з.у. 61:42:0160101:1147 (1шт.)</t>
  </si>
  <si>
    <t>Установка прибора учета для технологического присоединения жилого дома заявителя Клещ Е.И., расположенного по адресу: Ростовская область, Миллеровский район, х. Тарадинка, ул. Дружбы, д. 6, к.н.з.у. 61:22:0100701:3 (1шт.)</t>
  </si>
  <si>
    <t>Установка прибора учета для технологического присоединения личного подсобного хозяйства заявителя Бычковой О.Н., расположенного по адресу: Ростовская область, Миллеровский район, х. Терновой, ул. Школьная, д. 31, корп. а, к.н.з.у. 61:22:0061001:804 (1шт.)</t>
  </si>
  <si>
    <t>Установка прибора учета для технологического присоединения жилого дома заявителя Бондарева Н.В., расположенного по адресу: Ростовская область, Миллеровский район, х. Кумшацкий, ул. Майская, д. 9, к.н.з.у. 61:22:0010601:374 (1шт.)</t>
  </si>
  <si>
    <t>Установка прибора учета для технологического присоединения квартиры заявителя Никонова А.Г., расположенной по адресу: Ростовская область, Миллеровский район, х. Малотокмацкий, ул. Школьная, д. 4, к.н.з.у. 61:22:0120101:183 (1шт.)</t>
  </si>
  <si>
    <t>Установка прибора учета для технологического присоединения котельной заявителя ИП Балдина А.Н., расположенной по адресу: Ростовская область, Миллеровский район, сл. Кудиновка, ул. Победы, д. 18, к.н.з.у. 61:22:0040401:1222 (1шт.)</t>
  </si>
  <si>
    <t>Установка прибора учета для технологического присоединения жилого дома заявитель Рудой В.Н., расположенного по адресу: Ростовская область, Миллеровский район, сл. Колодези, ул. Ленина, д. 61, к.н.з.у. 61:22:040101:0025 (1шт.)</t>
  </si>
  <si>
    <t>Установка прибора учета для технологического присоединения жилого дома заявитель Горбаткова М.С, расположенного по адресу: Ростовская область, Миллеровский район, сл. Дегтево, ул. Российская, д. 4, к.н.з.у. 61:22:030101:0280 (1шт.)</t>
  </si>
  <si>
    <t>Установка прибора учета для технологического присоединения личного подсобного хозяйства заявитель Дикунов Н.Н, расположенного по адресу: Ростовская область, Миллеровский район, сл. Колодези, ул. Мира, д. 3, к.н.з.у. 61:22:0040101:122 (1шт.)</t>
  </si>
  <si>
    <t xml:space="preserve">Установка приборов учета для присоединения ВРУ 0,4 кВ жилых домов, расположенных по адресу: Ростовская обл., р-н Аксайский, р-н Азовский, (93шт.)
</t>
  </si>
  <si>
    <t>Установка приборов учета для присоед. Заявителей расположенных по адресу: Ростовская обл. р-н Аксайский, г.Аксай, п.Темерницкий, п.Водопадный, п.Щепкин, п.Нижнетемерницкий,х.Большой Лог, п. Российский, ст-ца Ольгинская, ст-ца Мишкинская, х. Алескандровка, р-н Азовский п. Красный Сад (39шт)</t>
  </si>
  <si>
    <t>Установка приборов учета для присоединения ВРУ 0,4 кВ жилых домов, расположенных по адресу: Р.О., Аксайский р-н, Азовский р-н. КН: 61:33:0600015:1351; 61:02:0600005:11327; 61:02:0600005:8882;61:02:0600011:1705; 61:01:0600007:1613;  61:01:0600007:2085; 61:01:0600007:1612;61:01:0600007:1650;  61:02:0600006:2532; 61:02:0070201:1455; 61:01:0600007:1610; 61:01:0600007:1895; 61:01:0600007:1776; 61:01:0600007:1666; 61:01:0600007:1796; 61:01:0600007:1780 (33 шт.)</t>
  </si>
  <si>
    <t>Установка прибора учета для присоединения жилого дома Карапетян Ю.С., расположенного по адресу: Ростовская область, Багаевский район, ст. Манычская, ул. Горбачева, д. 46 (1 шт)</t>
  </si>
  <si>
    <t>Установка прибора учета для присоединения ВРУ 0,4 кВ жилого дома Зиненко А.И., расположенного по адресу: Ростовская обл., р-н Багаевский, х. Тузлуков, ул. Береговая, д. 1/1Н, к.н. 61:03:0600011:1065 (1шт.)</t>
  </si>
  <si>
    <t>Установка прибора учета для присоединения жилого дома Миркиной В. В. расположенного по адресу: РО, Веселовский район, п. Веселый, ул. Береговая, 1/10 к.н. 61:06:0010140:24 (1шт)</t>
  </si>
  <si>
    <t>Установка прибора учета для присоединения ВРУ 0,4 кВ жилого дома заявителя Симакиной В.Н., расположенного по адресу: РО., Семикаракорский р-н, х. Чебачий, ул. Школьная, 29, к.н.:61:35:0060201:66(1шт)</t>
  </si>
  <si>
    <t>Установка приборов учета для присоединения ВРУ 0,4 кВ жилых домов, расположенных по адресу: Р.О., г. Новочеркасск, г. Аксай, Аксайский р-н, Азовский р-н)» (75 шт.)</t>
  </si>
  <si>
    <t>Установке приборов учета для присоединения ВРУ 0,4 кВ заявителей, расположенных по адресу: Р.О., Аксайский р-н, Азовский р-н (к.н з/у 61:01:0600007:1966;61:01:0600007:1738;  61:02:0600010:15589;61:01:0600007:1959;61:01:0600007:1704;61:01:0130201:5220;61:01:0600007:2082;61:01:0600007:1701;61:02:0600009:1245;61:02:000000:0:217;61:02:0600010:12364;61:02:0600010:12355;61:02:0600010:9882;61:02:0600010:13251;61:02:0600010:14237;61:33:0600015:1067;61:02:001101:3390; 61:02:001101:3389;61:02:0080108:619;61:0260020401:1790;61:02:0600010:19603;61:01:0600007:2158;61:02:06000010:17703;61:02:0600005:8486;61:02:600011:1707;61:02:0600007:126;61:01:0600007:1907;61:02:0600006:4334;61:33:0600015:1028;61:02:600011:1041;61:01:0600007:1904;61:02:0110102:4280;61:01:0600007:1657, 61:02:0100501:75, 61:02:0600010:19568) (129 шт.)</t>
  </si>
  <si>
    <t>Установка приборов учета для присоединения жилых домов Самсонова А.Б., Самсонова Н.А. расположенных по адресу: Ростовская обл., р-н Багаевский, х. Кудинов, ул. Новая, д. 5, к.н. 61:03:0030201:240, ул. Новая, д. 55, к.н. 61:03:0030201:1172 (2шт.)</t>
  </si>
  <si>
    <t>Установка прибора учета для присоединения малоэтажной жилой застройки (индивидуальный жилой дом/садовый/дачный дом) Джарагян А.С. расположенных по адресу: Ростовская обл., х. Слава Труда, ул. Славянская, д. 8, к.н. 61:02:0020301:78 (1шт.)</t>
  </si>
  <si>
    <t>Установка прибора учета для присоединения жилого дома Фарапонова А. Ю. расположенного по адресу: РО, Веселовский район, п. Веселый, ул. Береговая, 1-е к.н. 61:06:0010140:416(1 шт.)</t>
  </si>
  <si>
    <t>Установка прибора учета для присоединения спасательного поста Администрации Веселовского сельского поселения, расположенного по адресу: РО., п. Веселый, пер. Волго-Донской, 66 а к.н. 61:06:0010101:687(1шт)</t>
  </si>
  <si>
    <t>Установка прибора учета для присоединения жилого дома Рябущенко Е. В. расположенного по адресу: РО, Веселовский район, х. Верхнесоленый, ул. Центральная, 52-г к.н. 61:06:0020106:607</t>
  </si>
  <si>
    <t>Установка прибора учета для присоединения жилого дома Веренич Э. А. расположенного по адресу: РО, Веселовский район, х. Нижнесоленый, ул. Казима Мустафаева, 15 к.н. 61:06:0020308:29</t>
  </si>
  <si>
    <t>Установка прибора учета для присоединения магазина Гусейнова С. Х. расположенного по адресу: РО, Веселовский район, х. Верхнесоленый, ул. Строителей, 35-а к.н. 61:06:0020105:814» (1 шт.)</t>
  </si>
  <si>
    <t>Установка прибора учета для присоединения модульного здания участкового пункта полиции Администрации Веселовского сельского поселения Веселовского района расположенного по адресу: РО, Веселовский район, п. Веселый, ул. Почтовая, 85 а к.н. 61:06:0010126:1012</t>
  </si>
  <si>
    <t>Установка прибора учета для присоединения магазина Чумаковой С. А. расположенного по адресу: РО, Веселовский район, п. Веселый, ул. Октябрьская, 104 к.н. 61:06:0010127:109 (1 шт)</t>
  </si>
  <si>
    <t>Установка прибора учета для присоединения магазина Махмудова Б. М. расположенного по адресу: РО, Веселовский район, п. Веселый, ул. Октябрьская, 18-а к.н. 61:06:0010135:245»(1шт)</t>
  </si>
  <si>
    <t>Установка прибора учета для присоединения жилого дома Поливенко В. С. расположенного по адресу: РО, Веселовский район, х. Каракашев, ул. Старая, 64-в к.н. 61:06:0600012:1104» (1шт.)</t>
  </si>
  <si>
    <t>Установка прибора учета для присоединения магазина ИП Авагян А. Ш. расположенного по адресу: РО, Веселовский район, п. Веселый, ул. Октябрьская, 62-а к.н. 61:06:0010130:648» (1 шт.)</t>
  </si>
  <si>
    <t>Установка прибора учета для присоединения жилого дома Харькова И. Л. расположенного по адресу: РО, Веселовский район, п. Веселый, ул. Береговая, 2-л к.н. 61:06:0600012:867</t>
  </si>
  <si>
    <t>Установка прибора учета для присоединения  жилого дома Гилевой Т.И., расположенного по адресу: Ростовская область, Багаевский район, х. Арпачин, ул. Ленина, д. 20А, к.н. 61:03:0040214:52</t>
  </si>
  <si>
    <t>Установка прибора учета для присоединения  нежилого дома Миненко А.В., расположенного по адресу: Ростовская область, Багаевский район, х. Арпачин, ул. Береговая, д. 2-к</t>
  </si>
  <si>
    <t>Установка прибора учета для присоединения жилого дома Дербановой Е. В. расположенного по адресу: Ростовская область, Веселовский район, х. Красное Знамя, ул. Дружбы, 63 к.н. 61:06:0060205:46</t>
  </si>
  <si>
    <t>Установка прибора учета для присоединения ВРУ 0,4 кВ нежилого здания Чагочкина С.Н., расположенного по адресу: РО, р-н. Семикаракорский, примерно в 20 м на запад от х. Маломечетный, к.н.: 61:35:060005:662</t>
  </si>
  <si>
    <t>Установка прибора учета для присоединения объекта жилой дом Богославцева И.А., жилого дома Еремеевой Е.Ф., жилого дома Ивановой Т.А., административного здания Администрации Задоно-Кагальницкого сельского поселения., Дома культуры Администрации Золотаревского сельского поселения., жилого дома Лефельбейн Н.И., жилого дома заявителя Мутиева А.Х., жилого дома Топилина С. С., жилого дома Костина И. И., жилого дома Куприковой В.Е., жилого дома Процевской Л.А., расположенных по адресу: р-н. Семикаракорский, х. Лиманский, пер. 2-й, д. 3, кв./оф. 1., ст-ца. Новозолотовская, ул. Октябрьская, д. 2/1., х. Лиманский, ул. Садовая, д. 42., ст-ца. Задоно-Кагальницкая, пер. Советский, д. 3., ст-ца. Новозолотовская, ул. Малиновского, д. 19/1., х. Кузнецовка, ул. Ленина, д.22., г. Семикаракорск, ул. Олега Кошевого, 11., г. Семикаракорск, ул. Солнечная, 1/31., х. Кузнецовка, ул. 50 лет Октября, д.52 кв.2., ст-ца Новозолотовская, ул. Речная, 4.  (11 шт)</t>
  </si>
  <si>
    <t>Установка прибора учета для присоединения жилого дома Абдулаевой С.И. расположенного по адресу: Ростовская область, Багаевский район, х. Елкин ул. Широкая , д.33 к.н. 61:03:0030149:1</t>
  </si>
  <si>
    <t>Установка прибора учета для присоединения ВРУ 0,4 кВ базовой станции заявителя ПАО «Ростелеком»., расположенного по адресу: Ростовская обл., р-н. Семикаракорский, х. Балабинка</t>
  </si>
  <si>
    <t>Установка прибора учета для присоединения ВРУ 0,4 кВ базовой станции заявителя ПАО «Ростелеком»., расположенного по адресу: Ростовская обл., р-н. Семикаракорский, х. Новоромановский</t>
  </si>
  <si>
    <t>Установка прибора учета для присоед. ВРУ 0,4кВ жил.дома заявит.Шмелевой О.В. р-н.Семикаракорский, х.Чебачий, ул.Малькова,33, к.н.:61:35:0060201:39</t>
  </si>
  <si>
    <t xml:space="preserve">Установка прибора учета для присоединения объекта медицинского учреждения МБУЗ "Центральная Районная Больница" Семикаракорского р-на, расположенного по адресу: Ростовская обл., Семикаракорский р-н, х. Слободской, ул. Ленина, 22 Б  </t>
  </si>
  <si>
    <t>Установка прибора учета для присоединения ВРУ 0,4 кВ производственного здания заявителя ООО «Агросегмент» расположенного по адресу: РО., р-н. Семикаракорский, примерно в 5,0 м на восток от г. Семикаракорск, ул. Авилова, 2</t>
  </si>
  <si>
    <t>Установка прибора учета для присоединения ВРУ 0,4 кВ нежилого помещения Шахова Д. В., расположенного по адресу: Ростовская обл., Аксайский р-н, х. Камышеваха, ул. Светлая, 2В, участок с КН 61:02:0600010:10306</t>
  </si>
  <si>
    <t>Установка прибора учета для присоединения нежилого здания Харченко Л.И., расположенного по адресу: Ростовская обл., р-н. Аксайский, ст-ца Ольгинская, ул. Красноармейская, кадастровый номер земельного участка: 61:02:0090103:3042</t>
  </si>
  <si>
    <t xml:space="preserve">Установка прибора учета для присоединения объекта торговли ИП Черный И. С., расположенного по адресу: Ростовская обл., р-н. Аксайский, г. Аксай, ул. Объездная, участок с КН 61:02:0120103:1243 </t>
  </si>
  <si>
    <t>Установка прибора учета для присоединения производственного здания/помещения ИП Сафарян А. А., расположенного по адресу: Ростовская обл., р-н Аксайский, х. Большой Лог, кадастровый номер земельного участка:  61:02:0600011:1922</t>
  </si>
  <si>
    <t xml:space="preserve">Установка прибора учета для присоединения объекта торговли Эйснер А. В., расположенного по адресу: Ростовская обл., р-н Аксайский, п. Щепкин, ул. Дорожная, 11А, кадастровый номер земельного участка:  61:02:0080505:887 </t>
  </si>
  <si>
    <t>Установка прибора учета для присоединения  нежилой застройки  Кахкцян А.Р. расположенного по адресу: Ростовская область, Аксайский район, х. Камышеваха, ул. Малахитовая, д. 36</t>
  </si>
  <si>
    <t>Установка прибора учета для присоединения  жилого дома Ни С.В., расположенного по адресу: Ростовская область, Багаевский район, х. Елкин, пер. Партизанский, д. 17-г</t>
  </si>
  <si>
    <t xml:space="preserve">Установка прибора учета для присоединения  дачного домика Федорова С.А., расположенного по адресу: Ростовская область, Багаевский район, ст. Манычская, ул. Береговая, д. 1-Р </t>
  </si>
  <si>
    <t>Установка прибора учета для присоединения магазина Мартиросян Г. Г. расположенного по адресу: Ростовская область, Веселовский район, п. Веселый, ул. Октябрьская, 132 а к.н. 61:06:060010125:467</t>
  </si>
  <si>
    <t>Установка прибора учета для присоединения жилого дома Сульженко И. В. расположенного по адресу: Ростовская область, Веселовский район, п. Веселый, ул. Береговая, 1-д к.н. 61:06:0000000:2536</t>
  </si>
  <si>
    <t>Установка прибора учета для присоединения жилого дома со встроенными нежилыми помещениями литер Д помещение №1 в магазин №1 и помещение №4 в магазин №2 ИП Хлгатяна М. Р. расположенного по адресу: Р.О., Веселовский район, п. Веселый, ул. Октябрьская, д.138</t>
  </si>
  <si>
    <t>Установка прибора учета для присоединения жилого дома Токарчук М. А. расположенного по адресу: Ростовская область, Веселовский район, п. Веселый, ул. Луговая, д.21, к. н. 61:06:0010138:821</t>
  </si>
  <si>
    <t xml:space="preserve">Установка прибора учета для присоединения жилого дома Новохатской Е. В. расположенного по адресу: Р.О., Веселовский район, п. Веселый, пер. Западный, д.44 </t>
  </si>
  <si>
    <t>Установка прибора учета для присоед. жил.дома Бочарова В.И. Веселовский район, х.Спорный, ул.Центральная,56 к.н.61:06:0040404:8</t>
  </si>
  <si>
    <t>Установка прибора учета для присоединения жилого дома Рыкова А. В. расположенного по адресу: Ростовская область, Веселовский район, п. Веселый, ул. Думенко, 155</t>
  </si>
  <si>
    <t xml:space="preserve">Установка прибора учета для присоединения квартиры Снипич А. И., расположенной по адресу: Ростовская обл., р-н. Веселовский, х. Маныч-Балабинка, ул. Озерная, д. 13. кв 1. К.Н. 61:06:0040204:8 </t>
  </si>
  <si>
    <t>Установка прибора учета для присоединения базовой станции ПАО «Ростелеком» расположенной по адресу: Ростовская область, Веселовский район, х. Верхний Хомутец</t>
  </si>
  <si>
    <t>Установка прибора учета для присоединения жилого дома Ивакиной Т. В. расположенного по адресу: Ростовская область, Веселовский район, х. Позднеевка, ул. Мира, 25</t>
  </si>
  <si>
    <t>Установка прибора учета для присоединения базовой станции ПАО «Ростелеком» расположенной по адресу: Ростовская область, Веселовский район, х. Каракашев</t>
  </si>
  <si>
    <t>Установка прибора учета для присоединения магазина ИП Туголуковой Е. Ю. расположенного по адресу: Ростовская область, Веселовский район, п. Веселый, ул. Октябрьская, 101-в к.н. 61:06:0010123:369</t>
  </si>
  <si>
    <t>Установка прибора учета для присоединения жилого дома Кравчук В. Г. расположенного по адресу: Ростовская область, Веселовский район, п. Веселый, пер. Кленовый, 24 к.н. 61:06:0600012:931</t>
  </si>
  <si>
    <t xml:space="preserve">Установка прибора учета для электроснабжения ВРУ-0,4 кВ Базовой станции сотовой связи заявителя АО "Первая Башенная Компания" по адресу: РО., р-н. Веселовский, х. Верхнесоленый, ул. Центральная, 73-а </t>
  </si>
  <si>
    <t>Установка прибора учета для присоединения жилых .домов, расположенных по адресу: Ростовская область, Веселовский район, п. Веселый, ул. Октябрьская, 130 к.н. 61:06:0010125:350, пер. Западный, 56 к.н. 61:06:0010110:68</t>
  </si>
  <si>
    <t>Установка прибора учета для присоединения ВРУ 0,4 кВ жилого дома заявителя Жук С.В., расположенного по адресу: Ростовская обл., р-н. Семикаракорский, х. Чебачий, ул. Шахтинская, д.9 кв.2 к.н.:61:35:0060201:615</t>
  </si>
  <si>
    <t>Установка прибора учета для присоединения ВРУ 0,4 кВ жилого дома заявителя Сироткина В.А., расположенного по адресу: Ростовская обл., г. Семикаракорск, ул. Серегина, 25, к.н.:61:35:0110208:256</t>
  </si>
  <si>
    <t xml:space="preserve">Строительство ТП 10/0,4 кВ, ВЛ0,4 кВ, ВЛ 10 кВ от ВЛ 10 кВ №3 ПС 35 кВ Б.Салы для электроснабжения малоэтажной жилой застройки расположенной по адресу: РО, район Аксайский, в границах плана земель АО «Темерницкое», поле №6 </t>
  </si>
  <si>
    <t xml:space="preserve">Техническое перевооружение ТП 10 кВ №460 ВЛ 10 кВ №1103 ПС 110 кВ АС11 для электроснабжения ВРУ 0,4 кВ жилого дома Корнелюк О. А. по адресу: Ростовской обл., р-н Аксайский, х. Киров, ул. 50 лет Октября, 50, участок с КН 61:02:0070301:130 </t>
  </si>
  <si>
    <t xml:space="preserve">Установка приборов учета для присоединения ВРУ 0,4 кВ жилых домов расположенных по адресу: Ростовская обл. р-н Аксайский, п. Россйский, п. Янтарный, п. Водопадный, п. Нижнетемерницкий, х. Камышеваха (195 шт.) </t>
  </si>
  <si>
    <t>Установка приборов учета для присоединения ВРУ 0,4 кВ жилых домов расположенных по адресу: Ростовская обл. г. Батайск;  р-н Аксайский: п. Красный Сад, х. Ленина, х. Истомино. (65 шт.)</t>
  </si>
  <si>
    <t>Установка приборов учета для присоединения ВРУ 0,4 кВ жилых домов расположенных по адресу: Ростовская обл. р-н Аксайский, ст. Ольгинская, ст. Старочеркасская, х. Алитуб, х. Махин, п. Нижнеподпольный, п. Дорожный, п. Верхнеподпольный, п. Островский, п. Краснодворск (90 шт.)</t>
  </si>
  <si>
    <t>Установка приборов учета для присоединения ВРУ 0,4 кВ жилых домов расположенных по адресу: Ростовская обл.  р-н Аксайский, х. Каменный Брод, п. Красный Колос, п. Октябрьский, х. Александровка, ст. Мишкинская, х. Киров, ст. Грушевская, п. Рассвет, х. Веселый (99 шт.)</t>
  </si>
  <si>
    <t xml:space="preserve">Установка приборов учета для присоединения ВРУ 0,4 кВ жилых домов расположенных по адресу: Ростовская обл.  р-н Аксайский, г. Аксай, х. Большой Лог, п. Опытный, х. Пчеловодный, п. Реконструктор (83 шт.) </t>
  </si>
  <si>
    <t>Установка приборов учета для присоединения ВРУ 0,4 кВ жилых домов расположенных по адресу: Ростовская обл.  р-н Аксайский, п. Темерницкий, п. Щепкин, п. Возрожденный, (97 шт.)</t>
  </si>
  <si>
    <t>Установка приборов учета для присоединения ВРУ 0,22 кВ жилых домов расположенных по адресу: Ростовская обл. р-н Аксайский, г. Аксай, х. Большой Лог, п. Опытный,  (19 шт.)</t>
  </si>
  <si>
    <t xml:space="preserve">Установка приборов учета для присоединения ВРУ 0,22 кВ жилых домов расположенных по адресу: Ростовская обл. г. Новочеркасск;  р-н Аксайский, п. Красный Колос, ст. Мишкинская, п. Октябрьский, п. Александровка  (6 шт.) </t>
  </si>
  <si>
    <t>Установка приборов учета для присоединения ВРУ 0,22 кВ жилых домов расположенных по адресу: Ростовская обл. р-н Аксайский, п. Красный сад, х. Маяковского, х. Ленина. (43 шт.)</t>
  </si>
  <si>
    <t>Установка приборов учета для присоединения ВРУ 0,22 кВ жилых домов расположенных по адресу: Ростовская обл. р-н Аксайский, ст. Старочеркасская, ст. Ольгинская, х. Нижнеподпольный, п. Осторовский  (8 шт.)</t>
  </si>
  <si>
    <t>Установка приборов учета для присоединения ВРУ 0,22 кВ жилых домов расположенных по адресу: Ростовская обл., р-н Аксайский, х. Нижнетемерницкий, п. Щепкин (6 шт.)</t>
  </si>
  <si>
    <t>Установка приборов учета для присоединения ВРУ 0,22 кВ жилых домов расположенных по адресу: Ростовская обл. р-н Аксайский, п. Россйский, п. Янтарный, (4 шт.)</t>
  </si>
  <si>
    <t>Установка прибора учета для присоединения столовой Недайвозова С.П. расположенных по адресу: Ростовская обл., р-н Багаевский, х. Ажинов, ул. Заярного, д. 4, к.н. 61:03:0020108:2 (1шт.)</t>
  </si>
  <si>
    <t>Установка прибора учета для присоединения жилого дома Давришева А.А. расположенного по адресу: Ростовская обл., р-н Багаевский, х. Елкин, пер. Партизанский, д. 17В, к.н. 61:03:0030147:389 (1шт.)</t>
  </si>
  <si>
    <t>Установка прибора учета для присоединения жилого дома Сердюкова А.А. расположенного по адресу: Ростовская обл., р-н Багаевский, х. Елкин, пер. Партизанский, д. 15-б, к.н. 61:03:0030147:98 (1шт.)</t>
  </si>
  <si>
    <t>Установка прибора учета для присоединения квартиры Симонян А.В. расположенной по адресу: Ростовская обл., р-н Багаевский, х. Карповка, ул. Центральная, д. 11, кв. 3, к.н. 61:03:0020203:149 (1шт.)</t>
  </si>
  <si>
    <t>Установка прибора учета для присоединения жилого дома Слижук В.Д. расположенного по адресу: Ростовская обл., р-н Аксайский, х. Слава Труда, ул. Степная, д. 2, к.н. 61:02:0020301:67 (1шт.)</t>
  </si>
  <si>
    <t>Установка прибора учета для присоединения жилого дома Процун С.Ю. расположенного по адресу: Ростовская обл., р-н Багаевский, п. Отрадный, ул. Ветеранов, д. 29, к.н. 61:03:0050106:112 (1шт.)</t>
  </si>
  <si>
    <t>Установка прибора учета для присоединения ВРУ 0,4 кВ жилого дома заявителя Шевелевой Н.С., расположенного по адресу: Ростовская обл., Семикаракорский р-н, ст-ца Новозолотовская, ул. Чкалова, 31 к.н.:61:35:0060101:3950 (1шт)</t>
  </si>
  <si>
    <t>Установка прибора учета для присоединения ВРУ 0,4 кВ магазина «Хозтовары» заявителя ИП Антоненко А.В., по адресу: ст-ца Задоно-Кагальницкая, ул. 30 лет Победы, 52-а к.н.:61:35:0030101:3942</t>
  </si>
  <si>
    <t>Установка прибора учета для присоединения жилого дома заявителя Архиповой С.Ф., расположенного по адресу: Семикаракорский р-н, х. Бакланники, пер. Школьный, д. 12/49, кв./оф. 1, к.н.: 61:35:0010101:409. (1шт)</t>
  </si>
  <si>
    <t>Установка прибора учета для присоединения ВРУ 0,4 кВ магазина заявителя Усмонова Турсуна по адресу: х. Большемечетный, ул. Октябрьская, 1-А к.н.:61:35:0020101:1845</t>
  </si>
  <si>
    <t>Установка прибора учета для присоединения жилого дома заявителя Фонтош Н.Н., расположенного по адресу: РО,. Семикаракорский р-н, ст-ца Задоно-Кагальницкая ул. Гагарина, д.62, к.н.: 61:35:0030101:758. (1шт)</t>
  </si>
  <si>
    <t>Установка прибора учета для присоединения жилых домов заявителей Агницкого С.С., по адресу: г. Семикаракорск, ул. Комарова, д.25-А, к.н.: 61:35:0110210:209.; Филимоновой И.А., по адресу: х. Шаминка, ул. Виноградная, д.19 кв.2 к.н.: 61:35:0100301:151; не жилого здания Кузьмичевой О.С. по адресу: пр. в 5 км на северо-восток от ст-цы Новозолотовская к.н.:61:35:0600005:648 (3шт)</t>
  </si>
  <si>
    <t xml:space="preserve">Строительство КВЛ 0,4 кВ от ВЛ 0,4 кВ №1 КТП №136А ВЛ 10 кВ №414 ПС 220 кВ Р4 для электроснабжения ВРУ 0,4 кВ нежилого помещения Кашка О. А. на участке с КН 61:02:0600010:16552 в х. Камышеваха Аксайского района Ростовской области </t>
  </si>
  <si>
    <t>Установка приборов учета для присоединения ВРУ 0,4 кВ жилых домов, расположенных по адресу: РО, р-н Аксайский, п. Российский, ст-ца Мишкинская, х. Островского, п. Водопадный, п. Янтарный, п. Красный, п. Темерницкий, с/х. АО "Аксайское", г. Аксай,  совх. Каменобродский, р-н Родионово-Несветайский, р-н Азовский, п. Красный Сад (90 шт.)</t>
  </si>
  <si>
    <t>Установка прибора учета для присоединения жилого дома Игнатовой Полины Константиновны расположенного по адресу: РО,р-н Аксайский, п. Российский, ул. Парковая, 891 КН 61:02:0600010:4795</t>
  </si>
  <si>
    <t>Установка приборов учета для присоединения ВРУ 0,4 кВ жилых домов, расположенных по адресу: РО., х. Нижнетемерницкий, п. Щепкин, КН: 61:02:0600006:4374, 61:02:0600006:3929, 61:02:0080501:1550, (3шт.)</t>
  </si>
  <si>
    <t>Установка приборов учета для присоединения ВРУ 0,4 кВ нежилой застройки и жилых домов, расположенных по адресу: РО., х. Ленина, ст-ца Ольгинская, КН: 61:02:0060101:459, 61:02:0090101:4237, 61:02:0090103:3459, (3шт.)</t>
  </si>
  <si>
    <t>Установка приборов учета для присоединения ВРУ 0,4 кВ жилых домов, расположенных по адресу: РО., ст-ца Ольгинская, п. Щепкин, КН: 61:02:0090103:3462, 61:02:0080501:150, (2шт.)</t>
  </si>
  <si>
    <t>Установка приборов учета для присоединения ВРУ 0,4 кВ жилых домов, расположенных по адресу: РО, п. Янтарный, ст-ца Мишкинская, г. Аксай, п. Красный Колос, ст-ца Старочеркасская, п. Рассвет, (8шт.)</t>
  </si>
  <si>
    <t xml:space="preserve">Строительство ВЛ 0,4 кВ от проектируемой ВЛ 0,4 кВ проектируемой КТП 10/0,4 кВ ( по договорам №61-1-19-00447651, №61-1-19-00447957, №61-1-19-00448113 ООО «РИТМ»),ВЛ 10 кВ №255 ПС 110 кВ БГ2 для электроснабжения ВРУ 0,4 кВ (бытовка) Сон В.Ж. по адресу РО, Аксайский район, х. Слава Труда, АО «Заречное», поле №32-34 га, к.н. 61:02:0600019:1214. </t>
  </si>
  <si>
    <t>Установка прибора учета для присоединения фермы ИП Линченко С.В. расположенных по адресу: Ростовская обл., р-н Багаевский, ст. Багаевская, ул. Семашко, д. 212, к.н. 61:03:0600004:1574 (1шт.)</t>
  </si>
  <si>
    <t>Установка прибора учета для присоединения жилого дома Максуди М.Г. расположенного по адресу: Ростовская обл., р-н Багаевский, х. Арпачин, ул. Подтелкова, д. 19-а, к.н. 61:03:0040208:88 (1шт.)</t>
  </si>
  <si>
    <t>Установка прибора учета для присоединения жилого дома заявителя Соколюк В.Ю. расположенного по адресу ростовская обл., Веселовский р-н, п. Веселый, ул. Октябрьская, 199-а к.н. 61:06:0010114:152 (1шт)</t>
  </si>
  <si>
    <t>Установка прибора учета для присоединения жилого дома заявителя Ким Л. Т., расположенного по адресу: Ростовская обл., Веселовский р-н, п. Веселый, пер. Кленовый, 62 к.н.:61:06:0600012:957 (1шт)</t>
  </si>
  <si>
    <t>Установка прибора учета для присоединения жилого дома заявителя Аширали А. Э, расположенного по адресу: Ростовская обл., Веселовский р-н, х. Каракашев, ул. Старая, 64-а к.н.:61:06:0010307:95 (1шт)</t>
  </si>
  <si>
    <t>Установка прибора учета для присоединения ВРУ 0,4 кВ магазина заявителя ИП Янова Г.П., по адресу: г. Семикаракорск, примерно в 2518 м на юго-восток от строения по адресу: в райцоне Пождепо, к.н.: 61:35:0600012:722</t>
  </si>
  <si>
    <t>Установка прибора учета для присоединения ВРУ 0,4 кВ жилого дома заявителя Борисова В.В. по адресу: Семикаракорский р-н, х. Чебачий, ул. Школьная, д. 6 к.н.:61:35:0060201:19</t>
  </si>
  <si>
    <t>Установка прибора учета для присоединения ВРУ 0,4 кВ жилого дома заявителя Крыловой Р.А. по адресу: ст-ца Задоно-Кагальницкая, ул. Гагарина, д.92 к.н.:61:35:0030101:249</t>
  </si>
  <si>
    <t>Установка приборов учета для присоединения ВРУ 0,4 кВ жилых домов, расположенных по адресу: РО., ст-ца Ольгинская, С/Т «Энергетик», г. Аксай, х. Большой Лог, п. Российский, п. Красный Сад, п. Щепкин, п. Янтарный, п. Рассвет, ст-ца Старочеркасская, х. Нижнеподпольный, п. Возрожденный, п. Опытный, х. Истомино, п. Октябрьский, ст-ца Старочеркасская, х. Ленина, п. Темерницкий, п. Красный Колос, х. Нижнетемерницкий, х. Каменный Брод, г. Новочеркасск, , ст-ца Грушевская, ст-ца Мишкинская (80 шт.)</t>
  </si>
  <si>
    <t>Установка прибора учета для присоед. жил.дома Дьяченко А.В., п.Красный, ул.Островского, д.27 кадастр.номер зем. участка: 61:02:0080601:1715» (1 шт)</t>
  </si>
  <si>
    <t>Установка прибора учета для присоединения ВРУ 0,4 кВ  бытовки Харжиева В. С., расположенной по адресу: Ростовская обл., Аксайский р-н, ст-ца Ольгинская, участок с КН 61:02:0600014:1817</t>
  </si>
  <si>
    <t>Установка прибора учета для присоединения жилого дома Новиковой Н.А., расположенного по адресу: Ростовская обл., р-н. Аксайский, п. Темерницкий, ул. Сосновая, д. 18, кадастровый номер земельного участка: 61:02:0081101:2630</t>
  </si>
  <si>
    <t>Установка прибора учета для присоединения бойни ИП Кононенко П. А., расположенного по адресу: Ростовская обл., р-н. Аксайский, ст-ца Грушевская, ул. Данилова, 2А, участок с КН 61:02:0030106:14 (1 шт.)</t>
  </si>
  <si>
    <t>Установка прибора учета для присоединения объекта торговли Аксайского районного потребительского кооператива, расположенного по адресу: РО, р-н Аксайский, х. Большой Лог, ул. Советская, 41А (1шт)</t>
  </si>
  <si>
    <t>Установка прибора учета для присоединения объекта торговли Полуяна С.П. расположенного по адресу: Ростовская обл., р-н Азовский, п. Красный Сад, ул. Центральная, д.2А КН 61:01:0130201:4728 (1шт.)</t>
  </si>
  <si>
    <t>Установка прибора учета для присоединения жилого дома Глотова Ю. В., расположенного по адресу: Ростовская обл., р-н Аксайский, ст-ца Старочеркасская, ул. Речная, кадастровый номер земельного участка 61:02:0110102:3850 (1 шт.)</t>
  </si>
  <si>
    <t>Установка прибора учета для присоединения объекта торговли ИП Сагоян А. С., расположенного по адресу: Ростовская обл., р-н Аксайский, ст-ца. Ольгинская, ул. Ленина, д. 198 В, кадастровый номер земельного участка: 61:02:0090102:3838 (1 шт.)</t>
  </si>
  <si>
    <t>Установка приборов учета для присоединения  ВРУ 0,4 кВ жилых домов, расположенных по адресу: РО, ст-ца Мишкинская, п. Октябрьский, п. Щепкин, КН: 61:02:0600009:1083, 61:02:0080102:280, 61:02:0080505:1009. (3шт)</t>
  </si>
  <si>
    <t>Установка приборов учета для присоединения ВРУ 0,4 кВ торгового павильона и жилых домов, расположенных по адресу: РО., п. Красный Сад, ст-ца Ольгинская, ул. Ленина, д.50, КН: 61:01:0600007:1847, 61:01:0600007:1926, (3шт.)</t>
  </si>
  <si>
    <t>Установка приборов учета для присоединения ВРУ 0,4 кВ базовой станции/оборудования сотовой связи, нежилой застройки и жилых домов, расположенных по адресу: РО., п. Щепкин, п. Рассвет, п. Янтарный, п. Темерницкий, ст-ца Старочеркасская, п. Красный Сад, п. Красный Колос, (9шт.)</t>
  </si>
  <si>
    <t>Установка приборов учета для присоединения ВРУ 0,4 кВ жилых домов, расположенных по адресу: РО., ст-ца Ольгинская, п. Красный Сад, п. Янтарный, х. Нижнетемерницкий, Красный Колос, г. Новочеркасск, ст-ца Грушевская, (44 шт)</t>
  </si>
  <si>
    <t>Установка прибора учета для присоединения жилого дома Садовского А.Ю. расположенного по адресу: Ростовская обл., р-н Аксайский, х. Слава Труда, ул. Степная, д. 25, к.н. 61:02:0020301:5 (1шт.)</t>
  </si>
  <si>
    <t>Установка приборов учета для присоединения административных/офисных зданий АО «Почта России» расположенных по адресу: Ростовская обл., р-н Багаевский, х. Ажинов, ул. Заярного, д. 18/1, к.н. 61:03:0020107:141, х. Арпачин, ул. Советская, д. 40, кв. 1,2,3, к.н. 61:03:0040204:394, п. Первомайский, ул. Мира, д. 2, кв. 1,2,3,4, к.н. 61:03:0060201:118, х. Елкин, ул. Тимирязева, д. 23, к.н. 61:03:0030122:51 (4 шт.)</t>
  </si>
  <si>
    <t>Установка прибора учета для присоединения склада Ахметова А.У. расположенного по адресу: Ростовская обл., р-н Багаевский, х. Красный, пер. Рабочий, д. 1, к.н. 61:03:0060101:442 (1шт.)</t>
  </si>
  <si>
    <t>Установка прибора учета для присоединения нежилого помещения заявителя АО «Почта России», расположенного по адресу: Ростовская обл., Веселовский р-н, п. Средний Маныч, ул. Ленина, 4 к.н.:61:06:0050102:175 (1шт)</t>
  </si>
  <si>
    <t>Установка прибора учета для присоединения пешеходной зоны от ул. Октябрьская до пер. Комсомольский, 72 заявителя Администрации Веселовского сельского поселения Веселовского района, расположенной по адресу: Ростовская обл., Веселовский р-н, п. Веселый, пер. Комсомольский, д. 61 б, к.н. 61:06:0010126:1021 (1шт)</t>
  </si>
  <si>
    <t>Установка прибора учета для присоединения объекта торговли ИП Черный И. С., расположенного по адресу: Ростовская обл., р-н Аксайский, х. Большой Лог, ул. Советская, 60, участок с КН 61:02:0010201:7334 (1 шт.)</t>
  </si>
  <si>
    <t>Учет электрической энергии в РУ 0,4 кВ ТП 10/0,4 кВ ВЛ 10 кВ №1547 ПС 110 АС-15 заявителя ИП Манукян Ю.Э. расположенной по адресу: Ростовская обл., Аксайский  р-н, г. Аксай, севернее ул. Ермолова, к.н.:61:02:0600010:11402 (1шт)</t>
  </si>
  <si>
    <t>Учет электрической энергии в РУ 0,4 кВ ТП 10/0,4 кВ ВЛ 10 кВ №1547 ПС 110 АС-15 заявителя ИП Шепель В.С. расположенной по адресу: Ростовская обл., Аксайский  р-н, АОЗТ «Янтарное», поле №44, к.н.:61:02:0600010:6639 (1шт)</t>
  </si>
  <si>
    <t>Установка приборов учета для присоединения ВРУ 0,22 кВ малоэтажной жилой застройки и жилого дома, расположенных по адресу: РО., х. Большой Лог, п. Красный Колос, КН:61:02:0600010:15854, 61:02:0100101:169 (2шт.)</t>
  </si>
  <si>
    <t>Установка приборов учета для присоединения ВРУ 0,4 кВ жилых домов, расположенных по адресу: РО., х. Нижнетемерницкий, п. Октябрьский, п. Щепкин, Родионово-Несветайский р-н, п. Красный Сад, х. Ленина, п. Российский, , х. Камышеваха, п. Водопадный, п. Красный Колос, х. Каменный Брод, п. Янтарный, ст-ца Мишкинская, г. Новочеркасск (25 шт)</t>
  </si>
  <si>
    <t>Установка приборов учета для присоединения ВРУ 0,4 кВ жилых домов, расположенных по адресу: РО., х. Нижнетемерницкий, ст-ца Мишкинская, ст-ца Старочеркасская, с/х АО «Аксайское», п. Янтарный, ст-ца Ольгинская, г. Аксай, п. Октябрьский, п. Темерницкий  (46 шт.)</t>
  </si>
  <si>
    <t>Установка приборов учета для присоединения жилых домов Хотнянского С.С. расположенных по адресу: Ростовская обл., р-н Багаевский, х. Арпачин, ул. Донская, д. 33-р, к.н. 61:03:0040215:104, ул. Донская, д. 33-з, к.н. 61:03:0040215:105 (2 шт.)</t>
  </si>
  <si>
    <t>Установка прибора учета для присоединения административного/офисного здания АО «Почта России» расположенного по адресу: Ростовская обл., р-н Багаевский, х. Красный, ул. Центральная, д. 10/2, кв. 3, к.н. 61:03:0060101:311 (1 шт.)</t>
  </si>
  <si>
    <t>Установка приборов учета для присоединения базовых станций/оборудования сотовой связи ПАО «Ростелеком» расположенных по адресу: Ростовская обл., р-н Багаевский, х. Калинин, примерно 10 м по направлению на юго-восток от границы участка по адресу: ул. Широкая, 54а, к.к. 61:03:0020402, п. Ясный, примерно 7 м по направлению на запад от границы участка по адресу: ул. Южная, №2, кв. 1, к.к. 61:03:0040401 (2 шт.)</t>
  </si>
  <si>
    <t>Установка прибора учета для присоединения жилого дома заявителя Носовой Н. Н., расположенного по адресу: Ростовская обл., Веселовский р-н, х. Красный Кут, ул. Набережная, д. 19, к.н. 61:06:0060310:8</t>
  </si>
  <si>
    <t>Установка прибора учета для присоединения административных зданий заявителя АО «Почта России»., по адресу: х. Слободской, ул. Ященко, 22 Е к.н.: 61:35:0090401:1937, х. Чебачий, ул. Гагарина, 7/2 к.н.:61:35:0060201:2357, х. Сусат, ул. Гагарина, 30 Б к.н.:61:35?0090101:3023 (3шт)</t>
  </si>
  <si>
    <t>Установка прибора учета для присоединения ВРУ 0,4 кВ жилого дома заявителя Бабкина А.А. по адресу: Семикаракорский р-н, х. Чебачий, ул. Малькова, д.28 А к.н.:61:35:0060201:2434</t>
  </si>
  <si>
    <t>Установка прибора учета для присоединения ВРУ 0,4 кВ жилых домов заявителя Процевская Л.А., по адресу: Семикаракорский р-н, х. Чебачий, ул. Парковая, д.8 к.н.:61:35:0060201:2899; ул. Парковая, д.10 к.н.: 61:35:0060201:2911</t>
  </si>
  <si>
    <t>Установка прибора учета для присоединения ВРУ 0,4 кВ Базовой станции/оборудования сотовой связи заявителя ПАО «Ростелеком». по адресу: Семикаракорский р-н, х. Лиманский, примерно в 16 м на восток от ул. Школьная, д.21 к.н.:61:35:0050401</t>
  </si>
  <si>
    <t>Установка прибора учета для присоединения ВРУ 0,4 кВ жилого дома заявителя Петрук Н.В. по адресу: Семикаракорский р-н, х. Лиманский, ул. Школьная, д.14 к.н.:61:35:0050401:66</t>
  </si>
  <si>
    <t>Установка приборов учета для присоединения ВРУ 0,4 кВ малоэтажных жилых застроек, отделение почтовой связи, административного/офисного здания, расположенных по адресу: РО, п. Российский, х. Александровка, ст-ца Мишкинская, (8шт.)</t>
  </si>
  <si>
    <t>Установка приборов учета для присоединения ВРУ 0,4 кВ малоэтажных жилых застроек, административного/офисного здания, нежилой застройки, расположенных по адресу: РО., х. Большой Лог, п. Щепкин, п. Реконструктор, (5шт.)</t>
  </si>
  <si>
    <t>Учет электрической энергии в РУ 0,4 кВ КТП-6/0,4 кВ ВЛ 6 кВ №802 ПС 35/6 кВ АС-8 заявителя Лисихина А. Ю., расположенной по адресу: РО., р-н Аксайский, с/т «Надежда», уч.28, к.н:61:02:0503701:69</t>
  </si>
  <si>
    <t>Установка приборов учета для присоединения ВРУ 0,4 кВ жилых домов, расположенных по адресу: РО., РО, х. Нижнетемерницкий, х. Большой Лог, ст-ца Грушевская, ст-ца Старочеркасская, п. Янтарный, п. Российский, п. Щепкин, х. Каменный Брод (41 шт)</t>
  </si>
  <si>
    <t>Установка прибора учета для присоединения магазина ИП Третьякова С. расположенного по адресу: Ростовская обл., р-н Багаевский, п. Отрадный, ул. Победы, д. 12А, к.н. 61:03:0050102:490 (1шт.)</t>
  </si>
  <si>
    <t>Установка прибора учета для присоединения объекта туристической отрасли (гостиница, база отдыха, гостевой дом, прочее) ИП Рогальского А.В. расположенного по адресу: Ростовская обл., р-н Багаевский, х. Арпачин, ул. Береговая, д. 2-ж, к.н. 61:03:0040215:52 (1шт.)</t>
  </si>
  <si>
    <t>Установка прибора учета для присоединения жилого дома заявителя Лебедева А. В., расположенного по адресу: Ростовская обл., Веселовский р-н, п. Веселый, ул. Набережная, д. 71, к.н. 61:06:0010107:163</t>
  </si>
  <si>
    <t>Установка прибора учета для присоединения нежилого здания АО «Почта России» расположенного по адресу: Ростовская обл., р-н Семикаракорский, ст-ца Задоно-Кагальницкая, пер. Советский, д.3 к.н. 61:35:0030101:2255» (1шт.)</t>
  </si>
  <si>
    <t>Установка прибора учета для присоединения ВРУ 0,4 кВ жилого дома заявителя Корначева Сергея Александровича по адресу: Семикаракорский р-н, х. Бакланники, ул. Набережная, д.11-а к.н.:61:35:0010101:351</t>
  </si>
  <si>
    <t>Установка приборов учета для присоединения ВРУ 0,4 кВ жилых домов Хапаловой Э. А., Кашириной Н. Д., Братишова В. Г., Флягина Д. А., расположенных по адресу: Ростовская обл., р-н Аксайский, х. Нижнеподпольный, х. Большой Лог, Родионово-Несветайский район (4 шт.)</t>
  </si>
  <si>
    <t>«Установка системы учета для технологического присоединения «квартира», расположенного по адресу:347556, Российская Федерация, Ростовская обл., р-он Пролетарский, х. Николаевский 2-й, ул. Школьная, д.25/1, кадастровый номер земельного участка: 61:31:0060101:1512, заявитель Зозуля О.А.» (1 шт.)</t>
  </si>
  <si>
    <t xml:space="preserve"> «Установка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Мира, д. 131 к.н.з.у.: 61:29:0050101:92, заявитель Близняков С.П.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</si>
  <si>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Николаевский 2-й, ул. Школьная, д. 27, к.н. 61:31:0060101:674, заявитель Могильная В.А.» (1 шт.)</t>
  </si>
  <si>
    <t>«Установка системы учета для технологического присоединения объекта «объект с/х назначения», расположенного по адресу: 347603 Российская Федерация, Ростовская обл., р-н. Сальский, п. Конезавод имени Буденного,  ул. Молодежная, д. 15 а, кадастровый номер земельного участка: 61:34:0040101:4531, заявитель Богданова Т.К.» (1 шт.)</t>
  </si>
  <si>
    <t>«Установка системы учета для технологического присоединения объекта «жилой дом», расположенного по адресу: 347605 Российская Федерация, Ростовская обл., р-н. Сальский, с. Шаблиевка, ул. Привокзальная, д. 30, кадастровый номер земельного участка: 61:34:0050201:1185, заявитель Яровая А. И.» (1 шт.)</t>
  </si>
  <si>
    <t>«Установка системы учета для технологического присоединения объекта «Нежилая застройка», расположенного по адресу: Российская Федерация, Ростовская обл., р-н. Сальский, п. Степной Курган, в кадастровом квартале 61:34:60 00 01 с условным центром в п. Степной Курган, кадастровый номер земельного участка: 61:34:0600001:2620, заявитель Столбунова Елена Геннадьевна»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</si>
  <si>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п. Белозерный, ул. Юбилейная, д. 18, кадастровый номер земельного участка: 61:57:0080101:499, заявитель Потапов П.В.»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</si>
  <si>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п. Белозерный, ул. Пионерская,  д. 30, кадастровый номер земельного участка: 61:34:0080101:294, заявитель Новиков М.Н.» (1 шт.)</t>
  </si>
  <si>
    <t>«Установка системы учета для технологического присоединения объекта «Ангар», расположенного по адресу: 347612 Российская Федерация, Ростовская обл, р-н Сальский, х. Крупский, ул. Горького, д. 1, кадастровый номер земельного участка 61:34:0170201:81, заявитель ИП заявитель ИП глава К(Ф)Х Елисеев А.Г.» (1 шт.)</t>
  </si>
  <si>
    <t>«Установка системы учета для технологического присоединения объекта «жилой дом», расположенного по адресу: 347602 Российская Федерация, Ростовская обл., р-н. Сальский, п. Степной Курган, ул. Октябрьская, д. 3, кадастровый номер земельного участка: 61:34:0100101:170, заявитель Безукладный Е.Н.» (1 шт.)</t>
  </si>
  <si>
    <t>«Установка системы учета для технологического присоединения объекта «жилой дом», расположенного по адресу: Ростовская область, Целинский район, с. Лопанка, ул. Широкая, д. 8, к.н.з.у.: 61:40:0040101:882, заявитель Пшеничная Е.С.» (1 шт.)</t>
  </si>
  <si>
    <t xml:space="preserve">«Установка системы учета для технологического присоединения «общественная территория поселка Вороново», расположенной по адресу: 347763, РФ, Ростовская область, Целинский район, п. Вороново, ул. Набережная, к.н. з. у.: 61:40:0030101:3500(1), 61:40:0030101:3500(2), заявитель Администрация Кировского сельского поселения» </t>
  </si>
  <si>
    <t>«Установка системы учета для технологического присоединения «жилого дома», расположенного по адресу: 347564, РФ, Ростовская область, Песчанокопский район, с. Николаевка, ул. Партизанская, 5 к.н.з.у.:61:30:0070101:201, заявитель Гридякин И.И.» (1 шт.)</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</si>
  <si>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Школьная, 77 к.н.з.у.:61:30:0090101:9681, заявитель Гурьева А.Н.»    (1 шт.)</t>
  </si>
  <si>
    <t>«Установка системы учета для технологического присоединения «жилого дома», расположенного по адресу: 347563, РФ, Ростовская область, Песчанокопский район, с. Поливянка, ул. Юбилейная, 17 к.н.з.у.:61:30:0080101:153, заявитель Лозовой А.В.»     (1 шт.)</t>
  </si>
  <si>
    <t>«Установка системы учета для технологического присоединения «нежилого помещения», расположенного по адресу: 347565, РФ, Ростовская область, Песчанокопский район, с. Красная Поляна, ул. Кирова, 6 к.н.:61:30:0050101:3257, заявитель АО «Почта России» (1 шт.)</t>
  </si>
  <si>
    <t xml:space="preserve"> «Установка системы учета для технологического присоединения «нежилого помещения», расположенного по адресу: 347562, РФ, Ростовская область, Песчанокопский район, с. Богородицкое, пер. Советский, 78 к.н.:61:30:0020101:3305, заявитель АО «Почта России» (1 шт.)</t>
  </si>
  <si>
    <t>«Установка системы учета для технологического присоединения «жилого дома», расположенного по адресу: 347564, РФ, Ростовская область, Песчанокопский район, с. Николаевка, пер. Колхозный, 5 к.н.з.у.:61:30:0070101:1, заявитель Лозовой А.А.» (1 шт.)</t>
  </si>
  <si>
    <t>«Установка системы учета для технологического присоединения объекта «нежилое помещение», расположенного по адресу: 347524, РФ, Ростовская область, Орловский район, х. Пролетарский, пер. Почтовый, д. 4, к.н.з.у.:, заявитель Акционерное общество «Почта России» (1 шт.)»</t>
  </si>
  <si>
    <t>«Установка системы учета для технологического присоединения объекта «нежилое помещение», расположенного по адресу: 347523, РФ, Ростовская область, Орловский район, х. Островянский, ул. Советская, д. 16а, к.н.з.у.:, заявитель Акционерное общество «Почта России» (1 шт.)</t>
  </si>
  <si>
    <t>«Установка системы учета для технологического присоединения объекта «нежилое помещение», расположенного по адресу: 347525, РФ, Ростовская область, Орловский район, х. Камышевка, ул. Школьная, д. 63, к.н.з.у.:, заявитель Акционерное общество «Почта России» (1 шт.)</t>
  </si>
  <si>
    <t xml:space="preserve"> «Установка системы учета для технологического присоединения объекта «нежилое помещение», расположенного по адресу: 347521, РФ, Ростовская область, Орловский район, х. Быстрянский, ул. Мира, д. 24, к.н.з.у.:, заявитель Акционерное общество «Почта России» (1 шт.)»</t>
  </si>
  <si>
    <t>«Установка системы учета для технологического присоединения объекта «складское здание», расположенного по адресу: 347505, РФ, Ростовская область, Орловский район, х. Каменная Балка, 0,94 км от х. Каменная Балка на запад, к.н.з.у.: 61:29:0600003:1851, заявитель ИП Бутов Р.В. глава К(Ф)Х (1 шт)»</t>
  </si>
  <si>
    <t>«Установка системы учета для технологического присоединения объекта «жилой дом», расположенного по адресу: 347523, РФ, Ростовская область, Орловский район, х. Островянский, ул. Победы, д. 2, к.н.з.у.: 61:29:0070101:0031, заявитель Пальок И.Д.  (1 шт.)</t>
  </si>
  <si>
    <t>«Установка системы учета для технологического присоединения объекта «нежилое помещение», расположенного по адресу: 347500, РФ, Ростовская область, Орловский район, п. Красноармейский, пер. Красноармейский, д. 42, к.н.з.у.:, заявитель Акционерное общество «Почта России» (1 шт.)»</t>
  </si>
  <si>
    <t>«Установка системы учета для технологического присоединения объекта «квартира», расположенного по адресу: Ростовская область, Целинский район, п. Коренной, ул. Абрикосовая, д. 29, кв. 1, к.н.з.у.:61:40:0010201, заявитель Золотухин В.П.» (1 шт.)</t>
  </si>
  <si>
    <t>«Установка системы учета для технологического присоединения объекта «жилой дом», расположенного по адресу: Ростовская область, Целинский район, с. Степное, ул. Школьная, д. 6, к.н.з.у.:61:40:0090101:182, заявитель Якишева И.А.» (1 шт.)</t>
  </si>
  <si>
    <t xml:space="preserve"> «Установка системы учета для технологического присоединения «жилой дом», расположенного по адресу: РФ, Ростовская область, Целинский район, с. Михайловка, ул. Комсомольская, д. 13, к.н.з.у.:61:40:0050101:619, заявитель Арсанукаев Х.С.» (1 шт.)</t>
  </si>
  <si>
    <t>«Установка системы учета для технологического присоединения объекта «магазин», расположенного по адресу: Ростовская область, Целинский район, с. Михайловка, ул. Советская, д. 12, к.н.з.у.:61:40:0050101:85, заявитель ИП Максименко С.В.» (1 шт.)</t>
  </si>
  <si>
    <t>«Установка системы учета для технологического присоединения объекта «жилой дом», расположенного по адресу: РФ, Ростовская область, Целинский район, х. Родионовка, ул. Центральная, д. 30, к.н.з.у.:61:40:0060601:47, заявитель Колодин И.В.» (1 шт.)</t>
  </si>
  <si>
    <t>«Установка системы учета для технологического присоединения объекта «Здание отделения почтовой связи», расположенного по адресу: 347615 Российская Федерация, Ростовская обл., р-н. Сальский, с. Новый Егорлык, ул. Терешковой, д. 14, кадастровый номер земельного участка: 61:34:0110101:6489, заявитель АО «Почта России» (1 шт.)</t>
  </si>
  <si>
    <t>«Установка системы учета для технологического присоединения объекта «Нежилое помещение», расположенного по адресу: 347626 Российская Федерация, Ростовская обл., р-н. Сальский, с. Романовка, ул. Ленина, д. 9, кадастровый номер земельного участка: 61:34:0140101:1288, заявитель АО «Почта России» (1 шт.)</t>
  </si>
  <si>
    <t>«Установка системы учета для технологического присоединения объекта «строительная площадка», расположенного по адресу: 347500, РФ, Ростовская область, Орловский район, п. Красноармейский, ул. Горького, д. 50, к.н.з.у.: 61:29:0060124:8, заявитель Макеев Д.Ю.  (1 шт.)»</t>
  </si>
  <si>
    <t>«Установка системы учета для технологического присоединения объекта «Нежилое помещение», расположенного по адресу: 347609 Российская Федерация, Ростовская обл., р-н. Сальский, п. Белозерный, ул. Дружбы, д. 1а, кадастровый номер земельного участка: 61:34:0080101:1569, заявитель АО «Почта России» (1 шт.)</t>
  </si>
  <si>
    <t>«Установка системы учета для технологического присоединения объекта «Нежилое помещение», расположенного по адресу: Российская Федерация, Ростовская обл., р-н. Сальский, п. Юловский, ул. Ленина, д. 14, кадастровый номер земельного участка: 61:34:0190101:2704, заявитель АО «Почта России» (1 шт.)</t>
  </si>
  <si>
    <t>«Установка системы учета для технологического присоединения объекта «Нежилое помещение», расположенного по адресу: Российская Федерация, Ростовская обл., р-н. Сальский, с. Екатериновка, 60 лет СССР, д. 17, кадастровый номер земельного участка: 61:34:0050101:3664, заявитель АО «Почта России» (1 шт.)</t>
  </si>
  <si>
    <t>«Установка системы учета для технологического присоединения объекта «Нежилое помещение», расположенного по адресу: 347613 Российская Федерация, Ростовская обл., р-н. Сальский, с. Ивановка, ул. Ленина, д. 63, кадастровый номер земельного участка: 61:34:0060101:1080, заявитель АО «Почта России» (1 шт.)</t>
  </si>
  <si>
    <t>«Установка системы учета для технологического присоединения объекта «Отделение почтовой связи», расположенного по адресу: 347612 Российская Федерация, Ростовская обл., р-н. Сальский, с. Сандата, ул. Ленина, д. 43, кадастровый номер земельного участка: 61:34:0170101:6183, заявитель АО «Почта России»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</si>
  <si>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п. Опенки, ул. Мира, д. 66, к.н. 61:31:0080101:272, заявитель Степанько Е.Б.» (1 шт.)"</t>
  </si>
  <si>
    <t xml:space="preserve"> «Установка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х. Уютный, ул. Первомайская, д. 2а, к.н. 61:31:0100201:16, заявитель Жарков С.А.»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</si>
  <si>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г. Пролетарск, ул. Никифорова, д. 31, к.н. з.у.: 61:31:0110471:342, заявитель Брейкин О.Н.»</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</si>
  <si>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Уютный, ул. Первомайская, д. 16, к.н. 61:31:0100101:1551, заявитель Сорокин А.А.» (1 шт.)</t>
  </si>
  <si>
    <t>«Установка системы учета для технологического присоединения объекта «нежилое помещение», расположенного по адресу: 347527, РФ, Ростовская область, Орловский район, п. Волочаевский, ул. Садовая, д. 2, заявитель Акционерное общество «Почта России» (1 шт.)»</t>
  </si>
  <si>
    <t xml:space="preserve">«Установка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ул. Молочинского, д. 20, кв.1, к.н.з.у.: 61:29:0050301:204, заявитель Сахарнян А.П.  (1 шт.)» </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</si>
  <si>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п. Опенки, ул. Каштанов, д. 12, к.н. з.у.: 61:31:0080101:2794, заявитель Мякинченко А.Н.» (1 шт.)</t>
  </si>
  <si>
    <t>«Установка системы учета для технологического присоединения объекта «квартира», расположенного по адресу: Российская Федерация, Ростовская обл., р-н. Пролетарский, х. Ганчуков, ул. Степная, д. 2, кв. 1, к.н. 61:31:0070101:1087, заявитель Завгородний С.В.» (1 шт.)</t>
  </si>
  <si>
    <t>«Установка системы учета для технологического присоединения «жилой дом», расположенного по адресу: РФ, Ростовская область, Целинский район, х. Карла Маркса, ул. Мирная, д. 38, к.н.з.у.:61:40:0060501, заявитель Бабенко Н.С.»  (1 шт.)</t>
  </si>
  <si>
    <t>«Установка системы учета для технологического присоединения объекта «базовая станция сотовой связи», расположенного по адресу: 347523, РФ, Ростовская область, Орловский район, х. Веселый, ул. Победы, участок в 35м от дома №1, к.н.з.у.: 61:29:0070401, заявитель Акционерное общество «Первая Башенная Компания» (1 шт.)</t>
  </si>
  <si>
    <t>«Установка системы учета для технологического присоединения объекта «наружного освещения», расположенного по адресу: РФ, Ростовская область, Целинский район, с. Ольшанка, к.н.з.у.:61:40:0000000:6162, заявитель Министерство транспорта Ростовской области» (1 шт.)</t>
  </si>
  <si>
    <t>«Установка системы учета для технологического присоединения «жилой дом», расположенного по адресу: РФ, Ростовская область, Целинский район, х. Васильевка, ул. Солнечная, д. 92, к.н.з.у.:61:40:0100201:216, заявитель Бондарев А.С.»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</si>
  <si>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ДНТ «Ручеек №3», ул. Зеленая, д. 77, к.н. 61:31:0500101:126, заявитель Межинский Д.В.» (1 шт.)</t>
  </si>
  <si>
    <t>«Установка системы учета для технологического присоединения объекта «административное/офисное здание», расположенного по адресу: Ростовская область, Целинский район, п. Вороново, ул. Молодежная, д. 10, кв./оф. 1,2,3,4,5, к.н.з.у.:61:40:0030101:2082, заявитель АО «Почта России»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</si>
  <si>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Мокрая Ельмута, пер. Поливановский, д. 10, к.н. 61:31:0050101:37, заявитель Рыбалко Л.А.» (1 шт.)</t>
  </si>
  <si>
    <t>«Установка системы учета для технологического присоединения объекта «административное/офисное здание», расположенного по адресу: Ростовская область, Целинский район, п. Юловский, ул. Спортивная, д. 4, кв./оф. 1,2,3,4, к.н.з.у.:61:40:0091001:1509, заявитель АО «Почта России»  (1 шт.)</t>
  </si>
  <si>
    <t>«Установка системы учета для технологического присоединения «жилой дом», расположенного по адресу: РФ, Ростовская область, Целинский район, х. Владикарс, ул. Возрождения, д. 19, к.н.з.у.:61:40:0050201:9, заявитель Родин Д.А.»  (1 шт.)</t>
  </si>
  <si>
    <t>«Установка системы учета для технологического присоединения объекта «жилой дом», расположенного по адресу: 347612 Российская Федерация, Ростовская обл., р-н. Сальский, с. Сандата, ул. Мира, д. 47, кадастровый номер земельного участка: 61:34:0170101:1367, заявитель Буйленко Г.В.» (1 шт.)</t>
  </si>
  <si>
    <t>«Установка системы учета для технологического присоединения «жилого дома», расположенного по адресу: 347562, РФ, Ростовская область, Песчанокопский район, с. Богородицкое, ул. Набережная, 29 к.н.з.у.:61:30:0020101:688, заявитель Хрыкин В.И.» (1 шт.)</t>
  </si>
  <si>
    <t xml:space="preserve">«Установка системы учета для технологического присоединения «объекта торговли», расположенного по адресу: 347612 Российская Федерация, Ростовская обл., р-н Сальский, с. Сандата, ул. Калинина, д. 112, кадастровый номер земельного участка: 61:34:0170101:1581, заявитель Лохов И.В. (1 шт.)» </t>
  </si>
  <si>
    <t xml:space="preserve">«Установка системы учета для технологического присоединения «жилого дома», расположенного по адресу: 347613 Российская Федерация, Ростовская обл.,   р-н. Сальский, с. Ивановка, ул. Буденного, д. 100, кадастровый номер земельного участка: 61:34:0060101:54, заявитель Никитина Н.Ю. (1 шт.)» </t>
  </si>
  <si>
    <t>«Установка системы учета для технологического присоединения «склад», расположенного по адресу: 347774, РФ, Ростовская область, Целинский район, х. Калинин, ул. Дорожная, 1 к.н. з. у.: 61:40:0020201:14, заявитель Маргарян А.О.» (1 шт.)</t>
  </si>
  <si>
    <t>«Установка системы учета для технологического присоединения «квартира», расположенного по адресу: 347771, РФ, Ростовская область, Целинский район, х. Кугульта, ул. Дружбы, д. 9, кв. 3, к.н.з.у.:61:40:0090601:70, заявитель Кирингишиев Т.М.» (1 шт.)</t>
  </si>
  <si>
    <t>«Установка системы учета для технологического присоединения «жилой дом», расположенного по адресу: РФ, Ростовская область, Целинский район, х. Васильевка, ул. Солнечная, д. 34, к.н.з.у.:61:40:0100201:157, заявитель Зулумханова А.М.»  (1 шт.)</t>
  </si>
  <si>
    <t>«Установка системы учета для технологического присоединения «жилой дом», расположенного по адресу: РФ, Ростовская область, Целинский район, х. Васильевка, ул. Солнечная, д. 46, к.н.з.у.:61:40:0100201:240, заявитель Джамадов М.Д.» (1 шт.)</t>
  </si>
  <si>
    <t>«Установка системы учета для технологического присоединения «жилой дом», расположенного по адресу: РФ, Ростовская область, Целинский район, х. Васильевка, ул. Солнечная, д. 42, к.н.з.у.:61:40:0100201:242, заявитель Джамадов Д.Д.» (1 шт.)</t>
  </si>
  <si>
    <t>«Установка системы учета для технологического присоединения «жилой дом», расположенного по адресу: РФ, Ростовская область, Целинский район, с. Ольшанка, ул. Восточная, д. 38, к.н.з.у.:61:40:0060101:488, заявитель Бабышев В.В.»  (1 шт.)</t>
  </si>
  <si>
    <t>«Установка системы учета для технологического присоединения объекта «жилой дом», расположенного по адресу: Российская Федерация, Ростовская обл., г., Сальск, СНТ «Железнодорожник», бригада 4 д. 12, кадастровый номер земельного участка: 61:57:0010977:1315, заявитель Долгополов С.С.»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</si>
  <si>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Г. Сальск, СНТ «Железнодорожник», бригада №2, участок 46, кадастровый номер земельного участка: 61:57:0010977:718, заявитель Шкатова И.Н.» (1 шт.)</t>
  </si>
  <si>
    <t>«Установка системы учета для технологического присоединения объекта «жилой дом», расположенного по адресу:347606 Российская Федерация, Ростовская обл., р-н. Сальский, с. Екатериновка, ул. Новостройка, Д. 3, кадастровый номер земельного участка: 61:34:0050101:993, заявитель Паталаха Г.В» (1 шт.</t>
  </si>
  <si>
    <t>«Установка системы учета для технологического присоединения «нестационарного торгового объекта», расположенного по адресу: Ростовская область, р-н Сальский, с. Сандата, рядом с земельным участком с кадастровым номером 61:34:0170101:7208, заявитель Маматов Х.А» (1 шт.)</t>
  </si>
  <si>
    <t>«Установка системы учета для технологического присоединения «объекта сельскохозяйственного производства», расположенного по адресу: 347608, Ростовская область, р-н Сальский, с. Бараники, ул. Дружбы, д. 4, корп. в, кадастровый номер земельного участка: 61:34:0020101:1804, заявитель Костырин А.С.»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</si>
  <si>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Карла Маркса, 121 к.н.з.у.:61:30:0030101:190, заявитель Овчинникова Л.А.» (1 шт.)</t>
  </si>
  <si>
    <t>"Установка системы учета от опоры №2-00/4 ВЛ 0,4 кВ Л-2 КТП 10/0,4 кВ № 327 по ВЛ 10 кВ Л-1 Майорская, для электроснабжения объекта – «Базовая станция сотовой связи», расположенного по адресу: РФ, Ростовская область, Орловский район, х. Успенский, в границах кадастрового квартала 61:29:0041301, заявитель ПАО «Ростелеком» (1 шт.)"</t>
  </si>
  <si>
    <t>"Установка системы учетаот опоры №3-01/2 ВЛ 0,4 кВ Л-3 КТП 10/0,4 кВ № 8 по ВЛ 10 кВ Л-2 Кундрюченская, для электроснабжения объекта – «Базовая станция сотовой связи», расположенного по адресу: РФ, Ростовская область, Орловский район, х. Кундрюченский, в границах кадастрового квартала 61:29:0010301, заявитель ПАО «Ростелеком» (1 шт.)"</t>
  </si>
  <si>
    <t>«Установка системы учета для технологического присоединения объекта «Базовая станция сотовой связи», расположенного по адресу: 347506, РФ, Ростовская область, Орловский район, х. Романовский, координаты 46,7477929 41,9758006, в кадастровом квартале 61:29:0030401, заявитель ПАО «Ростелеком» (1 шт.)»</t>
  </si>
  <si>
    <t>«Установка системы учета для технологического присоединения объекта «жилой дом», расположенного по адресу: 347527, РФ, Ростовская область, Орловский район, п. Волочаевский, ул. Сердюкова, д. 7, к.н. з.у.: 61:29:0020101:0003, заявитель Клец А.Н.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</si>
  <si>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ул. Школьная, д. 24, кв. 2 к.н. з.у.: 61:29:0050101:331, заявитель Чернолихов С.С.  (1 шт.)»</t>
  </si>
  <si>
    <t>«Установка системы учета для технологического присоединения «жилого дома», расположенного по адресу: 347606 Российская Федерация, Ростовская обл.,   р-н. Сальский, с. Екатериновка, ул. Кирова, д. 69, кадастровый номер земельного участка: 61:34:0050101:757, заявитель Халидова Х.Ш. (1 шт.)»</t>
  </si>
  <si>
    <t>«Установка системы учета для технологического присоединения объекта «жилой дом», расположенного по адресу: 347602 Российская Федерация, Ростовская обл., р-н. Сальский, п. Степной Курган, ул. Береговая, Д. 1б, помещение 5, кадастровый номер земельного участка: 61:34:0100101:400, заявитель Доля И.Е.» (1 шт.)</t>
  </si>
  <si>
    <t>«Установка системы учета для технологического присоединения объекта «Базовая станция сотовой связи», расположенного по адресу: 347523, РФ, Ростовская область, Орловский район, х. Веселый, в границах кадастрового квартала 61:29:0070401, заявитель ПАО «Ростелеком»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</si>
  <si>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пер. Социалистический, д. 8, к.н. з.у.: 61:29:0050101:2284, заявитель Бабкова Е.Д.  (1 шт.)»</t>
  </si>
  <si>
    <t>«Установка системы учета для технологического присоединения «нежилого здания», расположенного по адресу: 347570, РФ, Ростовская область, Песчанокопский район, вблизи с. Песчанокопского, земельные участки граничат с землями СПК "Заря", КФХ "Альфа", КФХ "Инесса", КФХ "Контакт", дороги, КФХ "Береза", к.н.з.у.:61:30:0600004:6130, заявитель ООО "Агрос» (1 шт.)</t>
  </si>
  <si>
    <t>«Установка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Колхозная, 68 к.н.з.у.:61:30:0050101:563, заявитель Ковтунов В.П.» (1 шт.)</t>
  </si>
  <si>
    <t>«Установка системы учета для технологического присоединения объекта «Автомойка», расположенного по адресу: 347500, РФ, Ростовская область, Орловский район, п. Красноармейский, ул. Деповская,28-а, к.н. з.у.: 61:29: 0060123:115, заявитель ИП Драгелев И.А. глава К(Ф)Х  (1 шт.)»</t>
  </si>
  <si>
    <t>«Установка системы учета для технологического присоединения объекта «дом животновода», расположенного по адресу: 347501, РФ, Ростовская область, Орловский район, Майорское сельское поселение, примерно 1,8 км от х. Успенский по направлению на юго-запад к.н. з.у.: 61:29:0600001:608, заявитель Зайтаев А.В.  (1 шт.)»</t>
  </si>
  <si>
    <t>«Установка системы учета для технологического присоединения «жилой дом», расположенного по адресу: РФ, Ростовская область, Целинский район, п. Новая Целина, ул. Свердлова, д. 27а, к.н.з.у.:61:40:0010150:711, заявитель Хомутова Е.П.»  (1 шт.)</t>
  </si>
  <si>
    <t>«Установка системы учета для технологического присоединения «жилой дом», расположенного по адресу: РФ, Ростовская область, Целинский район, с. Лопанка, ул. Советская, д. 61, к.н.з.у.:61:40:0040101:1219, заявитель Колосов В.И.»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</si>
  <si>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пер. Социалистический, д. 7, к.н. з.у.: 61:29:0050101:105, заявитель Чуб Е.Д.  (1 шт.)»</t>
  </si>
  <si>
    <t>«Установка системы учета для технологического присоединения объекта «квартира», расположенного по адресу: 347521, РФ, Ростовская область, Орловский район, х. Луганский, ул. Московская, д. 39/10, кв. 2, к.н. з.у.: 61:29:0010501:2606, заявитель Тумко Е.В. (1 шт.)»</t>
  </si>
  <si>
    <t>«Установка системы учета для технологического присоединения объекта «жилой дом», расположенного по адресу: 347526, РФ, Ростовская область, Орловский район, х. Курганный, ул. Молочинского, д. 18, к.н. з.у.: 61:29:000050301:0205, заявитель Молчанов Д.Н.  (1 шт.)»</t>
  </si>
  <si>
    <t>«Установка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пер. Театральный, д. 9, кв. 2 к.н. з.у.: 61:29:000050301:141, заявитель Масюк З.В.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</si>
  <si>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ул. А. Муравина, д. 28, кв. 2, к.н. з.у.: 61:29:0050101:390, заявитель Калантырь Н.И. (1 шт.)»</t>
  </si>
  <si>
    <t>«Установка системы учета для технологического присоединения объекта «жилой дом», расположенного по адресу: 347527, РФ, Ростовская область, Орловский район, п. Волочаевский, ул. Степная, д. 24, к.н. з.у.: 61:29:0020101:761, заявитель Дудаев Ш.Ш.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</si>
  <si>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Широкий, ул. Весенняя, д. 25, к.н. з.у.: 61:29:0061101:62, заявитель Челик В.Н.  (1 шт.)»</t>
  </si>
  <si>
    <t>«Установка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ул. Молочинского, д. 14, кв. 1, к.н. з.у.:61:29: 0050301:116, заявитель Рогов Г.В.  (1 шт.)»</t>
  </si>
  <si>
    <t>«Установка системы учета для технологического присоединения объекта «Нежилое строение», расположенного по адресу: 347512, РФ, Ростовская область, Орловский район, п. Орловский, ул. Транспортная,10, к.н. з.у.:   61:29: 0600007:4, заявитель ИП Галушко А.В.  (1 шт.)»</t>
  </si>
  <si>
    <t>«Установка системы учета для технологического присоединения объекта «Зерносклад», расположенного по адресу: 347506, РФ, Ростовская область, Орловский район, примерно в 2,93 км по направлению на северо-восток от ориентира х. Ребричанский, к.н. з.у.:61:29: 0600005:1733, заявитель ИП Барышников В.В. глава К(Ф)Х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</si>
  <si>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Ганчуков, ул. Школьная, д. 12, кв. 2, к.н. з.у.: 61:31:0070101:216, заявитель Зима С.П.»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</si>
  <si>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п. Опенки, ул. Мира, д.81, к.н. з.у.: 61:31:0080101:286, заявитель Пыженко Ю.В.»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</si>
  <si>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Уютный, ул. Фрунзе, д. 75, кв.1, к.н. 61:31:0100101:0:57, заявитель Никулкин Ю.М.» (1 шт.)</t>
  </si>
  <si>
    <t>Установка системы учета для технологического присоединения объекта «жилой дом», расположенного по адресу: 347541 Российская Федерация, Ростовская обл., р-н. Пролетарский, г. Пролетарск, ул. Никифорова, д. 21, к. н. з. у.: 61:31:0000000:10267, заявитель Кузнецов Н.Е.» (1 шт.)</t>
  </si>
  <si>
    <t>"Установка системы учета для технологического присоединения для электроснабжения объекта – «базовая станция сотовой связи», расположенного по адресу: РФ, Ростовская область, Пролетарский район, х. Хирный, к.н.: 61:31:0030401, заявитель ПАО «Ростелеком» (1 шт.)"</t>
  </si>
  <si>
    <t>"Установка системы учета для технологического присоединения объекта «базовая станция сотовой связи», расположенного по адресу: Российская Федерация, Ростовская обл., р-н. Пролетарский, х. Татнинов, к.н. з.у.: 61:31:0070301, заявитель ПАО «Ростелеком» (1 шт.)"</t>
  </si>
  <si>
    <t>«Установка системы учета для технологического присоединения объекта «базовая станция сотовой связи», расположенного по адресу: Российская Федерация, Ростовская обл., р-н. Пролетарский, х. Привольный, к.н. з.у.: 61:31:0050201, заявитель ПАО «Ростелеком» (1 шт.)</t>
  </si>
  <si>
    <t>«Установка системы учета для технологического присоединения объекта «базовая станция сотовой связи», расположенного по адресу: Российская Федерация, Ростовская обл., р-н. Пролетарский, х. Наумовский, к.н. з.у.: 61:31:0020201, заявитель ПАО «Ростелеком» (1 шт.)</t>
  </si>
  <si>
    <t>«Установка системы учета для технологического присоединения объекта «базовая станция сотовой связи», расположенного по адресу: Российская Федерация, Ростовская обл., р-н. Пролетарский, х. Красный Скотовод, к.н. з.у.: 61:31:0060301, заявитель ПАО «Ростелеком»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</si>
  <si>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380, к.н. з.у.: 61:31:0500401:67, заявитель Северчуков А.А.»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</si>
  <si>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садовое товарищество «Заречное», 323, к.н. з.у.: 61:31:0500401:78, заявитель Донцов А.Н.» (1 шт.)</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</si>
  <si>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Колхозная, 75-а к.н.з.у.:61:30:0090101:9349, заявитель Мораш С.В.» (1 шт.)</t>
  </si>
  <si>
    <t>«Установка системы учета для технологического присоединения «магазина», расположенного по адресу: 347568, РФ, Ростовская область, Песчанокопский район, с. Летник, ул. Тихвинская, 31-а к.н.з.у.:61:30:0060101:4892, заявитель ИП Каширина И.Н.» (1 шт.)</t>
  </si>
  <si>
    <t>«Установка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Талаева, 24  к.н.з.у.: 61:30:0050101:381, заявитель Серова Н.В.» (1 шт.)</t>
  </si>
  <si>
    <t>"Установка системы учета для технологического присоединения «жилого дома», расположенного по адресу: 347569, РФ, Ростовская область, Песчанокопский район, с. Рассыпное, пер. Веселый, д. 8 к.н. з. у.: 61:30:0100101:435, заявитель Горбуненко Р.Г.»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</si>
  <si>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Ленина, 71  к.н.з.у.: 61:30:0030101:572, заявитель Головатая А.А.» (1 шт.)</t>
  </si>
  <si>
    <t>"Установка системы учета для технологического присоединения объекта «жилой дом», расположенного по адресу: 347566, РФ, Ростовская область, Песчанокопский район, п. Раздельный, ул. Цветная, д. 7, к.н. з.у.: 61:30:0000000:3264, заявитель Абакумов К.В."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</si>
  <si>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«Железнодорожник», 11 бригада, участок 39, кадастровый номер земельного участка: 61:57:0010977:266, заявитель  Мурина Е.И.»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</si>
  <si>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«Железнодорожник», Бригада 12, дом 14 кадастровый номер земельного участка: 61:57:0010977:827, заявитель Луговой А.А.» (1 шт.)</t>
  </si>
  <si>
    <t>«Установка системы учета для технологического присоединения «жилого дома», расположенного по адресу: 347605 Российская Федерация, Ростовская обл., р-н. Сальский, с. Шаблиевка, ул. Димитрова, д. 2, корп. в, кадастровый номер земельного участка: 61:34:0050201:1, заявитель  Ковжогина Т.В.» (1 шт.)</t>
  </si>
  <si>
    <t>«Установка системы учета для технологического присоединения «жилого дома», расположенного по адресу: 347611 Российская Федерация, Ростовская обл., р-н. Сальский, х. Маяк, ул. Молодежная, д. 19, кадастровый номер земельного участка: 61:34:0160101:84, заявитель Коваленко В.В.»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</si>
  <si>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«Бровки», ул. Шоссейная, 38, кадастровый номер земельного участка: 61:34:0500801:128, заявитель  Карпенко О.А.»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</si>
  <si>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«Приток», ул. 27 Садовая, д. 18, кадастровый номер земельного участка: 61:34:0500401:651, заявитель Грибан Е.А.» (1 шт.)</t>
  </si>
  <si>
    <t>«Установка системы учета для технологического присоединения объекта «жилой дом», расположенного по адресу: 347609 Российская Федерация, Ростовская обл., р-н. Сальский, п. Белозерный, жт. Приманычская, д. 1, кадастровый номер земельного участка: 61:34:0600002:3688, заявитель Аскеров Т. Я.» (1 шт.)</t>
  </si>
  <si>
    <t xml:space="preserve">«Установка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Роща, GPS координаты 46.6219122, 41.3791228, заявитель ПАО «Ростелеком» (1 шт.) </t>
  </si>
  <si>
    <t xml:space="preserve">«Установка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Прогресс, GPS координаты 46.4318286, 41.6953418, заявитель ПАО «Ростелеком» (1 шт.)   </t>
  </si>
  <si>
    <t>«Установка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Поливной, GPS координаты 46.6093557, 41.5748258, заявитель ПАО «Ростелеком» (1 шт.)</t>
  </si>
  <si>
    <t>«Установка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Логвиновский, GPS координаты 46.5476416, 41.3946454, заявитель ПАО «Ростелеком» (1 шт.)</t>
  </si>
  <si>
    <t>«Установка системы учета для технологического присоединения «базовая станция сотовой связи», расположенного по адресу: Российская Федерация, Ростовская обл., р-н. Сальский, п. Загорье, GPS координаты 46.57154, 41.257771, заявитель ПАО «Ростелеком» (1 шт.)</t>
  </si>
  <si>
    <t xml:space="preserve">«Установка системы учета для технологического присоединения «Базовая станция сотовой связи», расположенного по адресу: 347612 Российская Федерация, Ростовская обл., р-н. Сальский, с. Сандата, ул. Красная, д. 2, корп. а, кадастровый номер земельного участка: 61:34:0170101:8102, заявитель ООО «Т2 Мобайл» (1 шт.)    </t>
  </si>
  <si>
    <t>«Установка системы учета для технологического присоединения «объекта торговли», расположенного по адресу: 347616 Российская Федерация, Ростовская обл., р-н Сальский, с. Новый Егорлык, ул. Советская, д. 4, корп. п, кадастровый номер земельного участка: 61:34:0110101:6649, заявитель Доценко М.Н.» (1 шт.)</t>
  </si>
  <si>
    <t>«Установка системы учета для технологического присоединения «жилого дома», расположенного по адресу: Российская Федерация, Ростовская обл., р-н. Сальский, СНТ Победа, Линия 4, д. 4, кадастровый номер земельного участка: 61:34:0500301:680, заявитель Клименко А.В.» (1 шт.)</t>
  </si>
  <si>
    <t>«Установка системы учета для технологического присоединения «строительная площадка», расположенного по адресу: Российская Федерация, Ростовская обл., Сальский р-н, в кадастровом квартале 61:34:0600002 с условным центром в п. Белозерный, поле 6о, кадастровый номер земельного участка: 61:34:0600002:3479, заявитель Казаков Р.А.»  (1 шт.)</t>
  </si>
  <si>
    <t>«Установка системы учета для технологического присоединения «квартира», расположенного по адресу: РФ, Ростовская область, Целинский район, с. Михайловка, ул. Комсомольская, д. 30, кв. 2, к.н.з.у.:61:40:0050101:587, заявитель Кучков С.И.»  (1 шт.)</t>
  </si>
  <si>
    <t>«Установка системы учета для технологического присоединения объекта «объект медицинского учреждения (врачебная амбулатория)», расположенного по адресу: 347525, РФ, Ростовская область, Орловский район, х. Камышевка, ул. Мира, д. 86 б, к.н.з.у.: 61:29:0050101:3337, заявитель МБУЗ «Центральная районная больница», Орловского района, Ростовской области.» (1 шт.)</t>
  </si>
  <si>
    <t>«Установка системы учета для технологического присоединения «здание СТФ корпус №2", расположенного по адресу: 347760, РФ, Ростовская область, Целинский район, п. Лиманный, Северная окраина, к.н. з.у.:61:40:0600011:637, заявитель Репьев Иван Михайлович» (1 шт.)</t>
  </si>
  <si>
    <t>«Установка системы учета для технологического присоединения «складское здание», расположенного по адресу: РФ, Ростовская область, Целинский район, х. Северный, ул. Молодежная, д. 90, к.н.з.у.:61:40:0031101:2443, заявитель Горишний А.А.»  (1 шт.)</t>
  </si>
  <si>
    <t>«Установка системы учета для технологического присоединения «базовая станция сотовой связи», расположенного по адресу: РФ, Ростовская область, Целинский район, п. Холодные Родники, в границах кадастрового квартала 61:40:0010701, заявитель ПАО «Ростелеком» (1 шт.)</t>
  </si>
  <si>
    <t>«Установка системы учета для технологического присоединения «базовая станция сотовой связи», расположенного по адресу: РФ, Ростовская область, Целинский район, х. Свободный, ул. Зеленая, в границах кадастрового квартала 61:40:0600013, заявитель ПАО «Ростелеком» (1 шт.)</t>
  </si>
  <si>
    <t>«Установка системы учета для технологического присоединения «базовая станция сотовой связи», расположенного по адресу: РФ, Ростовская область, Целинский район, х. Самарский, ул. Садовая, в границах кадастрового квартала 61:40:0030901, заявитель ПАО «Ростелеком» (1 шт.)</t>
  </si>
  <si>
    <t>«Установка системы учета для технологического присоединения «базовая станция сотовой связи», расположенного по адресу: РФ, Ростовская область, Целинский район, х. Ивановка, в границах кадастрового квартала 61:40:0100301, заявитель ПАО «Ростелеком» (1 шт.)</t>
  </si>
  <si>
    <t>«Установка системы учета для технологического присоединения «благоустройство парка по ул. Рубликова п. Вороново Целинского района Ростовской области», расположенной по адресу: 347763, РФ, Ростовская область, Целинский район, п. Вороново, ул. Рубликова, к.н. з. у.: 61:40:0000000:6306, заявитель Администрация Кировского сельского поселения» (1 шт.)</t>
  </si>
  <si>
    <t>"Установка системы учета для технологического присоединения «жилого дома», расположенного по адресу: 347603 Российская Федерация, Ростовская обл., р-н. Сальский, п. 25 лет Военконезавода, ул. Урожайная, д. 3, кадастровый номер земельного участка: 61:34:0040601:44, заявитель Чалый Н.Н."</t>
  </si>
  <si>
    <t>Установка системы учета для технологического присоединения объекта «нежилое здание», расположенного по адресу: 347512, РФ, Ростовская область, Орловский район, п. Орловский, ул. Комсомольская, д. 183-р, к.н. з.у.: 61:29:0600007:2392, заявитель Рыбальченко И.А.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</si>
  <si>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пер. Садовый, д. 2, кв. 2, к.н. з.у.: 61:29:0050101:266, заявитель Силкин В.П.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</si>
  <si>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Токмацкий, пер. Короткий, д. 1, к.н. з.у.: 61:29:0061001:556, заявитель Сербиненко А.И.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</si>
  <si>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Мира, 34, к.н. з.у.: 61:29:0050101:239, заявитель Свириденко А.Н.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</si>
  <si>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А. Муравина, д. 30, к.н. з.у.: 61:29:0050101:389, заявитель Лупиногина Е.С.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</si>
  <si>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х. Широкий, ул. Весенняя, д. 16, к.н. з.у.: 61:29:0061101:55, заявитель Кузнеченкова О.М. (1 шт.)</t>
  </si>
  <si>
    <t>Установка системы учета для технологического присоединения объекта «Жилой дом», расположенного по адресу: 347526, РФ, Ростовская область, Орловский район, х. Курганный, пер. Театральный,10, к.н. з.у.: 61:29:0050301:170, заявитель Апарин В.И. (1 шт.)</t>
  </si>
  <si>
    <t>«Установка системы учета для технологического присоединения «водонапорная башня №2 с артезианской скважиной на воду №70012», расположенного по адресу: 347763, РФ, Ростовская область, Целинский район, п. Вороново, ул. 7-я линия, д. 6, к.н.з.у.:61:40:0030101:2935, заявитель муниципальное унитарное предприятие "Водо-Коммунальное хозяйство" Ростовской области Целинского района» (1 шт.)</t>
  </si>
  <si>
    <t>«Установка системы учета для технологического присоединения «квартиры», расположенного по адресу: 347760, РФ, Ростовская область, Целинский район, п. Новая Целина, ул. Ленина, д. 24, кв. 3, к.н.з.у.:61:40:0010149:49, заявитель Пляс Сергей Александрович» (1 шт.)</t>
  </si>
  <si>
    <t xml:space="preserve">«Установка системы учета для технологического присоединения «магазина с навесом», расположенного по адресу: 347612, Российская Федерация, Ростовская обл., р-н. Сальский, с. Сандата, ул. Калинина, д. 40, корп. «б», кадастровый номер земельного участка: 61:34:0170101:8113, заявитель Светличная С.И. (1 шт.)» </t>
  </si>
  <si>
    <t>«Установка системы учета для технологического присоединения «жилой дом», расположенного по адресу: 347602 Российская Федерация, Ростовская обл., р-н. Сальский, п. Степной Курган, ул. Пролетарская, д.69, корп. А, кадастровый номер земельного участка: 61:34:0100101:2452, заявитель Бойченко А.В. (1 шт.)»</t>
  </si>
  <si>
    <t>«Установка системы учета для технологического присоединения «жилой дом», расположенного по адресу: 347602 Российская Федерация, Ростовская обл., р-н. Сальский, п. Степной Курган, ул. Пролетарская, д.69, кадастровый номер земельного участка: 61:34:0100101:2451, заявитель Бойченко А.В. (1 шт.)»</t>
  </si>
  <si>
    <t>«Установка системы учета для технологического присоединения «объекта торговли», расположенного по адресу: 347609 Российская Федерация, Ростовская обл., Сальский р-н., п. Белозёрный, ул. Пионерская, д. 10, кадастровый номер земельного участка: 61:34:0080101:23, заявитель Тиунова Н.А. (1 шт.)»</t>
  </si>
  <si>
    <t xml:space="preserve">«Установка системы учета для технологического присоединения объекта «жилой дом», расположенного по адресу: 347523, РФ, Ростовская область, Орловский район, х. Верхнезундов, ул. Майская,6, к.н. з.у.: 61:29:0070301:32, заявитель Семенов И.А.  (1 шт.)»  </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</si>
  <si>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Луганский, пер. Дальний,24, к.н. з.у.: 61:29:0010501:556, заявитель Захаров А.В.» (1 шт.)</t>
  </si>
  <si>
    <t>«Установка системы учета для технологического присоединения объекта «жилой дом», расположенного по адресу: 347523, РФ, Ростовская область, Орловский район, х. Веселый, ул. Степная, д. 43а, к.н. з.у.: 61:29:0070401:916, заявитель Степанов В.В. (1 шт.)»</t>
  </si>
  <si>
    <t>«Установка системы учета для технологического присоединения объекта «жилой дом», расположенного по адресу: 347524, РФ, Ростовская область, Орловский район, х. Черкесский, пер. Центральный, д. 22, к.н. з.у.: 61:29:0080401:1328, заявитель Бережной А.А.  (1 шт.)»</t>
  </si>
  <si>
    <t>«Установка системы учета для технологического присоединения «жилого дома», расположенного по адресу: 347566, РФ, Ростовская область, Песчанокопский район, п. Дальнее Поле, ул. Советская, 9 к.н.з.у.:61:30:0040101:203, заявитель Васютин Г.П.» (1 шт.)</t>
  </si>
  <si>
    <t>«Установка системы учета для технологического присоединения «жилого дома», расположенного по адресу: 347562, РФ, Ростовская область, Песчанокопский район, с. Богородицкое, пер. Советский, 84 к.н.з.у.:61:30:0020101:335, заявитель Ветров В.И.» (1 шт.)</t>
  </si>
  <si>
    <t>«Установка системы учета для технологического присоединения «жилого дома», расположенного по адресу: 347602, Российская Федерация, Ростовская обл., р-н. Сальский, п. Степной Курган, ул. Энгельса, 13, кадастровый номер земельного участка: 61:34:0100101:336, заявитель Васканова Т.М. (1 шт.)»</t>
  </si>
  <si>
    <t>«Установка системы учета для технологического присоединения «жилого дома», расположенного по адресу: 347612 Российская Федерация, Ростовская обл.,   р-н. Сальский, с. Сандата, ул. Калинина, д. 91, кадастровый номер земельного участка: 61:34:0170101:1623, заявитель Потапенко В.А. (1 шт.)»</t>
  </si>
  <si>
    <t>«Установка системы учета для технологического присоединения «жилого дома», расположенного по адресу: Российская Федерация, Ростовская обл.,   г. Сальск, СНТ «Железнодорожник», Бригада 2, дом 1, кадастровый номер земельного участка: 61:57:0010977:1160, заявитель Кравченко Т.Б. (1 шт.)»</t>
  </si>
  <si>
    <t>«Установка системы учета для технологического присоединения объекта «жилой дом», расположенного по адресу: 347527, РФ, Ростовская область, Орловский район, п. Правобережный, ул. Молодежная,19, к.н.з.у.: 61:29:0020301:4, заявитель   Хасанов А.С.  (1 шт.)»</t>
  </si>
  <si>
    <t>«Установка системы учета для технологического присоединения объекта «квартира», расположенного по адресу: 347527, РФ, Ростовская область, Орловский район, п. Волочаевский, ул. Молодежная,12, кв.2, к.н. з.у.: 61:29:0020101:214, заявитель Дейко В.М. (1шт.)»</t>
  </si>
  <si>
    <t>«Установка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пер. Театральный,7, кв.2 к.н.з.у.: 61:29:0050301:1389, заявитель   Донченко В.В.   (1шт.)»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</si>
  <si>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Муравина,23, кв.2 к.н.з.у.: 61:29:0050101:373, заявитель Муравина Л.Г. (1 шт.)»</t>
  </si>
  <si>
    <t>«Установка системы учета для технологического присоединения объекта – «жилой дом», расположенного по адресу: 347525, РФ, Ростовская область, Орловский район, х. Камышевка, ул. Школьная,12/1, к.н.з.у.: 61:29:0050101:3331, заявитель Грициенко С.Ю.  (1 шт.)»</t>
  </si>
  <si>
    <t xml:space="preserve">«Установка системы учета для технологического присоединения объекта «Мастерская РМЦ», расположенного по адресу: 347512, РФ, Ростовская область, Орловский район, п. Орловский, ул. Южная.1, к.н.з.у.: 61:29:0101160:6, заявитель ИП Мединцов А.А.» (1 шт. ) </t>
  </si>
  <si>
    <t>«Установка системы учета для технологического присоединения объекта «Гундоровский сельский дом культуры», расположенного по адресу: 347506, РФ, Ростовская область, Орловский район, х. Гундоровский, ул. Центральная, д. 15, к.н. з.у.: 61:29:0030101:52, заявитель Муниципальное казенное учреждение культуры Донского сельского поселения Орловского района «Гундоровский сельский дом культуры» (1 шт.)»</t>
  </si>
  <si>
    <t>«Установка системы учета для технологического присоединения объекта «нежилое здание», расположенного по адресу: 347521, РФ, Ростовская область, Орловский район, х. Луганский, пер. Центральный, 5, к.н. з.у.:61:29:0010501:2279, заявитель ИП Ефремов В.А. (1шт.)»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</si>
  <si>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Восточная, 74 к.н. з.у.: 61:29:0060118:27, заявитель Астапенко С.В." (1шт.)</t>
  </si>
  <si>
    <t>«Установка системы учета для технологического присоединения объекта «склад», расположенного по адресу: 347501, РФ, Ростовская область, Орловский район, территория земель Майорского сельского поселения, примерно 200м на север от х. Майорский к.н. з.у.: 61:29:0600001:1775, заявитель ИП Казьменко А.Н. глава К(Ф)Х» (1шт.)</t>
  </si>
  <si>
    <t xml:space="preserve">"Установка системы учета для технологического присоединения «складское здание/помещение)», расположенного по адресу: 347760, РФ, Ростовская область, Целинский район, х. Северный, (Район МТМ), к.н.з.у.:61:40:0031101:818, заявитель ООО "Заречье" (1 шт.) </t>
  </si>
  <si>
    <t>"Установка системы учета для технологического присоединения «жилой дом», расположенного по адресу: 347763, РФ, Ростовская область, Целинский район, х. Самарский, ул. Садовая. Д. 68, к.н. з.у.: 61:40:0030901:2, заявитель Нуриева Гулноз Вохитовна" (1 шт.)</t>
  </si>
  <si>
    <t xml:space="preserve">"Установка системы учета для технологического присоединения «склад», расположенного по адресу: 347772, РФ, Ростовская область, Целинский район, х. Селим, ул. Луговая, 41 к.н. з. у.: 61:40:0050501:33, заявитель ИП Ковешников В.П." (1 шт.) </t>
  </si>
  <si>
    <t xml:space="preserve">"Установка системы учета для технологического присоединения «мастерская», расположенного по адресу: РФ, Ростовская область, Целинский район, с. Лопанка, ул. Октябрьская, д. 42, к.н.з.у.:61:40:0040101:1140, заявитель Дзреев Н.И." (1 шт.) </t>
  </si>
  <si>
    <t xml:space="preserve">"Установка системы учета для технологического присоединения «жилой дом», расположенного по адресу: РФ, Ростовская область, Целинский район, с. Средний Егорлык, ул. Советская, д. 63, к.н. з.у.: 61:40:0080101:69, заявитель Богрянцев Александр Юрьевич" (1 шт.) </t>
  </si>
  <si>
    <t xml:space="preserve">"Установка системы учета для технологического присоединения «Уличное освещение», расположенного по адресу: РФ, Ростовская область, Целинский район, п. Вороново, ул. С.М. Кирова, с к.н. 61:40:0030101:1978, заявитель Администрация Целинского района Ростовской области" (1 шт.) </t>
  </si>
  <si>
    <t>«Установка системы учета для технологического присоединения «жилого дома», расположенного по адресу: 347612 Российская Федерация, Ростовская обл., Сальский р-н., с. Сандата, ул. Калинина, д. 13, кадастровый номер земельного участка: 61:34:0170101:359, заявитель Супиянова А.А.»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</si>
  <si>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Социалистическая, д. 2-а к.н. з. у.: 61:30:0030101:4360, заявитель Музалев А.С." (1 шт)</t>
  </si>
  <si>
    <t>"Установка системы учета для технологического присоединения «здания», расположенного по адресу: 347569, РФ, Ростовская область, Песчанокопский район, с. Рассыпное, ул. Ленина, 1 к.н.з. у.: 61:30:0100101:2401, заявитель Капшуков В.И. (1 шт.)"</t>
  </si>
  <si>
    <t>"Установка системы учета для технологического присоединения объекта «Зерносклад», расположенного по адресу: 347505, РФ, Ростовская область, Орловский район, х. Греков, примерно в 300 м по направлению на восток от ориентира х. Греков, к.н. з.у.: 61:29:0600003:1435, заявитель ИП Чеботарев С.Д. глава К(Ф)Х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</si>
  <si>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ул. А. Муравина, д. 16, кв. 1, к.н. з.у.: 61:29:0050101:403, заявитель Калей Н.Я.  (1 шт.)"</t>
  </si>
  <si>
    <t>"Установка системы учета для технологического присоединения объекта «квартира», расположенного по адресу: 347525, РФ, Ростовская область, Орловский район, х. Камышевка, пер. Мирный, д. 2, кв. 1, к.н. з.у.: 61:29:0050101:3067, заявитель Борисова Е.В.  (1 шт.)"</t>
  </si>
  <si>
    <t>«Установка системы учета для технологического присоединения «жилой дом», расположенного по адресу: Российская Федерация, Ростовская обл., р-он Пролетарский, х. Уютный, ул. Первомайская, д. 30, к.н. з.у.: 61:31:0100201:59, заявитель Максименко М.В.» (1 шт.)</t>
  </si>
  <si>
    <t>"Установка системы учета для технологического присоединения «жилой дом», расположенного по адресу: Российская Федерация, Ростовская обл., р-он Пролетарский, 4,1 км северо-западнее п.п. 1163 (х. Сухая Ельмута), к.н. з.у.: 61:31:0600009:614, заявитель Магомедов Ш.Р" (1 шт.)</t>
  </si>
  <si>
    <t>«Установка системы учета для технологического присоединения электроснабжения объекта «гараж», расположенного по адресу: РФ, Ростовская область, Пролетарский район, г. Пролетарск, ул. Матвеева, д.11/70, к.н. 61:31:0110262:53, заявитель Лысенко В. И.» (1 шт.)</t>
  </si>
  <si>
    <t>«Установка системы учета для технологического присоединения объекта «жилой дом», расположенного по адресу: 347527, РФ, Ростовская область, Орловский район, п. Правобережный, ул. Молодежная,19/2, к.н.з.у.: 61:29:0020301:4, заявитель   Элесханова С.К. (1 шт.)»</t>
  </si>
  <si>
    <t>«Установка системы учета для технологического присоединения объекта «жилой дом», расположенного по адресу: 347524, РФ, Ростовская область, Орловский район, х. Пролетарский, ул. Молодежная,23, к.н.з.у.: 61:29:0080101:232, заявитель   Гаммаева З.М.  (1 шт.)»</t>
  </si>
  <si>
    <t xml:space="preserve">«Установка системы учета для технологического присоединения объекта «жилой дом», расположенного по адресу: 347500, РФ, Ростовская область, Орловский район, х. Токмацкий, ул. Речная, д. 11, к.н. з.у.: 61:29:0061001:38, заявитель Сардак Л.П. (1 шт.)» </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</si>
  <si>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Ростовская, 246 к.н.з.у.:61:30:0090101:218, заявитель Иванова Ю.В.»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</si>
  <si>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Ленина, 140, к.н.з.у.:61:30:0030101:617, заявитель Жуков А.В.» (1 шт.)</t>
  </si>
  <si>
    <t xml:space="preserve"> «Установка системы учета для технологического присоединения «жилой дом», расположенного по адресу: Российская Федерация, Ростовская обл.,    р-он Пролетарский, ст-ца Будённовская, ул. Гремучая, д. 1, кв./оф. 2 к.н. з.у.: 61:31:020101:0023, заявитель Губанова Л.А.» (1 шт.)</t>
  </si>
  <si>
    <t>«Установка системы учета для технологического присоединения объекта «нежилое здание», расположенного по адресу: Российская Федерация, Ростовская обл., р-он Пролетарский, в 840 м юго-запад от западной границы х. Уютный, к.н. з.у.: 61:31:0600011:866, заявитель ИП глава К(Ф)Х Форост Ю.И.» (1 шт.)</t>
  </si>
  <si>
    <t>«Установка системы учета для технологического присоединения объекта медицинского учреждения, расположенного по адресу: Российская Федерация, Ростовская обл., р-н. Пролетарский, х. Мокрая Ельмута, ул. Городовикова, д. 1/6, к.н. з.у.: 61:31:0050101:1064, заявитель МБУЗ «ЦРБ» Пролетарского района» (1 шт.)</t>
  </si>
  <si>
    <t xml:space="preserve">«Установка системы учета для технологического присоединения «жилого дома», расположенного по адресу: Российская Федерация, Ростовская обл., г. Сальск, СНТ «Железнодорожник», 11 бригада, участок 48, кадастровый номер земельного участка: 61:57:0010977:1116, заявитель Лучинина А.С. (1 шт.)» </t>
  </si>
  <si>
    <t xml:space="preserve">«Установка системы учета для технологического присоединения «дома», расположенного по адресу: Российская Федерация, Ростовская обл., р-н. Сальский, х. Бровки, СНТ №2 «Бровки», ул. 6-я линия, 18, кадастровый номер земельного участка: 61:34:0500801:625, заявитель Сенчакова Л.И. (1 шт.)» </t>
  </si>
  <si>
    <t>«Установка системы учета для технологического присоединения «жилого дома», расположенного по адресу: 347626 Российская Федерация, Ростовская обл., р-н. Сальский, с. Романовка, ул. Комсомольская, д. 18, кадастровый номер земельного участка: 61:34:0140101:1696, заявитель Харченко В.Н.» (1 шт.)</t>
  </si>
  <si>
    <t xml:space="preserve">«Установка системы учета для технологического присоединения «жилого дома», расположенного по адресу: 347628 Российская Федерация, Ростовская обл., р-н Сальский, п. Клёны, ул. Солнечная, д.52, кадастровый номер земельного участка: 61:34:0010401:261, заявитель Деловаров Н.Т. (1 шт.)» </t>
  </si>
  <si>
    <t>«Установка системы учета для технологического присоединения «магазин», расположенного по адресу: 347762, РФ, Ростовская область, Целинский район, с. Средний Егорлык, ул. Советская, д. 49 а, к.н. з.у.: 61:40:0080101:5437, заявитель Карташова Лариса Викторовна» (1 шт.)</t>
  </si>
  <si>
    <t xml:space="preserve">"Установка системы учета для технологического присоединения «жилой дом», расположенного по адресу: 347762, РФ, Ростовская область, Целинский район, с. Средний Егорлык, ул. Первомайская, д. 173, к.н.з.у.:61:40:0080101:1269, заявитель Емельянцев Б.Г." (1 шт.) </t>
  </si>
  <si>
    <t xml:space="preserve">"Установка системы учета для технологического присоединения «квартира», расположенного по адресу: 347763, РФ, Ростовская область, Целинский район, х. Первомайский, ул. Механизаторов, д. 11, кв. 1, к.н. з.у.: 61:40:0030701:77, заявитель Рудый Игорь Алексеевич" (1 шт.) </t>
  </si>
  <si>
    <t>«Установка системы учета для технологического присоединения «магазин», расположенного по адресу: 347775, РФ, Ростовская область, Целинский район, с. Ольшанка, ул. Торговая, д.7/1, к.н.з.у.:61:40:060101:35, заявитель ИП Конышева В.В.» (1 шт.)</t>
  </si>
  <si>
    <t>«Установка системы учета для технологического присоединения «гаражи», расположенного по адресу: 347760, РФ, Ростовская область, Целинский район, п. Целина, ул. Строителей, д. 3, к.н.з.у.:61:40:0010102:61, заявитель ИП Ивченко А.А.» (1 шт.)</t>
  </si>
  <si>
    <t>«Установка системы учета для технологического присоединения объекта «скважина», расположенного по адресу: 347527, РФ, Ростовская область, Орловский район, примерно в 1,6 км по направлению на юго-запад от ориентира п. Правобережный, к.н. з.у.: 61:29:600012:0040, 61:29:600012:0041, заявитель ООО «Солнечное (1шт.)»</t>
  </si>
  <si>
    <t>«Установка системы учета для технологического присоединения объекта «Общежитие», расположенного по адресу: 347527, РФ, Ростовская область, Орловский район, п. Рунный, примерно в 6 км по направлению на север от п. Рунный, к.н. з.у.: 61:29:600012:0050, заявитель ООО «Солнечное» (1-шт.)»</t>
  </si>
  <si>
    <t>«Установка системы учета для технологического присоединения «Административное здание», расположенного по адресу: 347525, РФ, Ростовская область, Орловский район, х. Камышевка, ул. Школьная, д. 57, к.н. з.у.: 61:29:0050101:3307, заявитель Двойнянский торгово-производственный потребительский кооператив (1 шт.)»</t>
  </si>
  <si>
    <t>«Установка системы учета для технологического присоединения объекта «жилой дом», расположенного по адресу: 347525, РФ, Ростовская область, Орловский район, х. Камышевка, пер. Кооперативный, д. 6, к.н. з.у.: 61:29:0050101:165, заявитель Куделина А.Н. (1 шт.)»</t>
  </si>
  <si>
    <t xml:space="preserve">«Установка системы учета для технологического присоединения объекта «жилой дом», расположенного по адресу: 347524, РФ, Ростовская область, Орловский район, х. Черкесский, ул. Транспортная, д. 63, к.н. з.у.: 61:29:0080401:77, заявитель Фирсова Л.Г. (1шт.)» </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</si>
  <si>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Кирова, д. 14, к.н. з.у.: 61:29:060113:0001, заявитель Бондарь С.Н. (1шт.)»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</si>
  <si>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Ленина, д. 81, к.н. з.у.: 61:29:0060130:7, заявитель Бойко А.Н. (1 шт.)»</t>
  </si>
  <si>
    <t>«Установка системы учета для технологического присоединения объекта «жилой дом», расположенного по адресу: 347506, РФ, Ростовская область, Орловский район, х. Донской, ул. Цветочная, д. 9, к.н. з.у.: 61:29:0030201:41, заявитель Шишкин А.И. (1 шт.)»</t>
  </si>
  <si>
    <t>«Установка системы учета для технологического присоединения «Бойни (убойного пункта)», расположенного по адресу: 347505, РФ, Ростовская область, Орловский район, х. Каменная Балка, 9-тый км. автодороги п. Орловский-х. Майорский, 200м по направлению на юго-запад от х. Каменная Балка, к.н. з.у.: 61:29:06000031:1524, заявитель ИП Овсянников С.С. глава К(Ф)Х (1 шт.)»</t>
  </si>
  <si>
    <t>«Установка системы учета для технологического присоединения объекта «квартира», расположенного по адресу: 347506, РФ, Ростовская область, Орловский район, х. Гундоровский, ул. Вишневая, д. 1, кв. 2 к.н. з.у.: 61:29:0030101:2, заявитель Шинкаренко С.В. (1-шт.)»</t>
  </si>
  <si>
    <t>«Установка системы учета для технологического присоединения объекта «жилой дом», расположенного по адресу: 347505, РФ, Ростовская область, Орловский район, х. Журавлев, ул. Транспортная, д. 11 к.н. з.у.: 61:29:0040401:50, заявитель Матвеенко С.А. (1 шт.)»</t>
  </si>
  <si>
    <t xml:space="preserve">«Установка системы учета для технологического присоединения объекта «жилой дом», расположенного по адресу: 347512, РФ, Ростовская область, Орловский район, п. Орловский, примерно в 2,0 км по направлению на северо-восток от п. Орловский и 2,0 км 750 м на северо-восток от дороги  п. Орловский-Киевка-Ремонтное, к.н. з.у.: 61:29:0101078:287, заявитель Пикалов С.А.» (1 шт.)» </t>
  </si>
  <si>
    <t>"Установка системы учета для технологического присоединения «жилого дома», расположенного по адресу: 347569, РФ, Ростовская область, Песчанокопский район, с. Рассыпное, ул. Набережная, 6  к.н.з.у.: 61:30:0100101:532, заявитель Ковалев П.П.» (1 шт.)"</t>
  </si>
  <si>
    <t>«Установка системы учета для технологического присоединения «жилого дома», расположенного по адресу: 347569, РФ, Ростовская область, Песчанокопский район, с. Рассыпное, ул. Набережная, д. 23 к.н. з. у.: 61:30:0100101:500, заявитель Ковалёв П.П.» (1 шт)</t>
  </si>
  <si>
    <t>"Установка системы учета для технологического присоединения «жилого дома», расположенного по адресу: 347569, РФ, Ростовская область, Песчанокопский район, с. Рассыпное, ул. Котовского, д. 10 к.н. з. у.: 61:30:0100101:164, заявитель Крылова Л.В. (1 шт)"</t>
  </si>
  <si>
    <t>«Установка системы учета для технологического присоединения «жилой дом", расположенного по адресу: 347769, РФ, Ростовская область, Целинский район, с. Лопанка, ул. Мира, д.3, к.н. з.у.:61:40:0040101:1375, заявитель Панамарчук Владимир Александрович» (1 шт.)</t>
  </si>
  <si>
    <t>«Установка системы учета для технологического присоединения «жилой дом», расположенного по адресу: 347760, РФ, Ростовская область, Целинский район, х. Северный, ул. Новая, д. 1а/1, к.н.з.у.:61:40:0031101:2437, заявитель Аладинова С.М.» (1 шт.)</t>
  </si>
  <si>
    <t>«Установка системы учета для технологического присоединения «жилой дом», расположенного по адресу: РФ, Ростовская область, Целинский район, с. Михайловка, ул. Комсомольская, д. 39, к.н. з.у.: 61:40:0050101:478, заявитель Дворцов Павел Дмитриевич» (1 шт.)</t>
  </si>
  <si>
    <t>«Установка системы учета для технологического присоединения «жилой дом», расположенного по адресу: 347776, РФ, Ростовская область, Целинский район, х. Ивановка, ул. Интернациональная, д. 32, к.н.з.у.:61:40:0100301:11, заявитель Мухаммедова Д.Б.» (1 шт.)</t>
  </si>
  <si>
    <t>«Установка системы учета для технологического присоединения «жилой дом», расположенного по адресу: 347776, РФ, Ростовская область, Целинский район, х. Ивановка, ул. Интернациональная, д.23, к.н.з.у.:61:40:0100301:1, заявитель Мухаммедов К.Т.» (1 шт.)</t>
  </si>
  <si>
    <t xml:space="preserve">«Установка системы учета для технологического присоединения «крытый ток», расположенного по адресу: 347615 Российская Федерация, Ростовская обл., р-н. Сальский, с. Новый Егорлык, ул. Ленина, д. 10, корп. е, кадастровый номер земельного участка: 61:34:0110101:6629, заявитель ООО «Русь» (1 шт.)» </t>
  </si>
  <si>
    <t>«Установка системы учета для технологического присоединения «объекта заявителя», расположенного по адресу: Российская Федерация, Ростовская обл., р-н. Пролетарский, х. Русский, ул. Центральная, д.1, к.н. з.у.:61:31:0030301:148, заявитель ООО «Лерон» (1 шт.)</t>
  </si>
  <si>
    <t>«Установка системы учета для технологического присоединения «строительная площадка», расположенной по адресу: 347561, РФ, Ростовская область, Песчанокопский район, с. Развильное, от пер. Березовый, д.2  300 м на восток, к.н.з.у.:61:30:0090101:9584, заявитель ООО "Югагромаш» (1 шт.)</t>
  </si>
  <si>
    <t>«Установка системы учета для технологического присоединения объекта «дом рыбака», расположенного по адресу: Российская Федерация, Ростовская обл., р-н. Пролетарский, Суховское сельское поселение, 2,0 км южнее п.п. 1308 (Воронежский) к.н.з.у.: 61:31:0600003:537, заявитель Дендиберя А.В.» (1 шт.)</t>
  </si>
  <si>
    <t xml:space="preserve">«Установка системы учета для технологического присоединения объекта «квартира», расположенного по адресу: 347500, РФ, Ростовская область, Орловский район, х. Широкий, ул. Южная, д. 7, кв.1, к.н. з.у.: 61:29:0061101:203, заявитель Раковец А.Н. (1 шт.)»  </t>
  </si>
  <si>
    <t>«Установка системы учета для технологического присоединения объекта «квартира», расположенного по адресу: 347527, РФ, Ростовская область, Орловский район, х. Стрепетов, ул. Степная, д. 8, кв.2, к.н. з.у.: 61:29:0020501:14, заявитель Никаева Л.А.  (1 шт.)»</t>
  </si>
  <si>
    <t>«Установка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ул. Молочинского, д. 7, кв.1, к.н. з.у.: 61:29:0050301:223, заявитель Молчанов А.И.» (1 шт.)</t>
  </si>
  <si>
    <t>«Установка системы учета для технологического присоединения объекта «квартира», расположенного по адресу: 347526, РФ, Ростовская область, Орловский район, х. Курганный, пер. Школьный, д. 5, кв.1, к.н. з.у.: 61:29:0050301:222, заявитель Молчанов А.И.  (1 шт.)»</t>
  </si>
  <si>
    <t xml:space="preserve">«Установка системы учета для технологического присоединения объекта «жилой дом», расположенного по адресу: 347524, РФ, Ростовская область, Орловский район, х. Черкесский, ул. Транспортная, д. 55, к.н.з.у.: 61:29:0080401:7, заявитель Дарморезов С.В.  (1 шт.)» </t>
  </si>
  <si>
    <t>«Установка системы учета для технологического присоединения объекта «нежилое здание», расположенного по адресу: Российская Федерация, Ростовская обл., р-н. Пролетарский, примерно в 18 км. на юго-запад от г. Пролетарска, к.н. з. у.: 61:31:0600008:540, заявитель Литвинов Д.Д.» (1 шт.)</t>
  </si>
  <si>
    <t>«Установка системы учета для технологического присоединения «мастерская», расположенного по адресу: РФ, Ростовская область, Целинский район, п. Малая Роща, ул. Лазурная, д. 31А, к.н.з.у.:61:40:0600011:2550, заявитель Фередин В.О.»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</si>
  <si>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к.н. 61:31:0500401:86, заявитель Федоров В.Н.» (1 шт.)</t>
  </si>
  <si>
    <t>«Установка системы учета для технологического присоединения объекта «нежилое помещение», расположенного по адресу: Российская Федерация, Ростовская обл., р-н. Пролетарский, ст-ца. Буденновская, ул. Ленина, д. 51/2, кв. 1,2,3,4,5, к.н. 61:31:0020101:2499, заявитель АО «Почта России» (1 шт.)</t>
  </si>
  <si>
    <t>«Установка системы учета для технологического присоединения объекта «нежилое помещение», расположенного по адресу: Российская Федерация, Ростовская обл., р-н. Пролетарский, х. Дальний, ул. Ленина, д. 21, к.н. 61:31:0030101:1234, заявитель АО «Почта России» (1 шт.)</t>
  </si>
  <si>
    <t>«Установка системы учета для технологического присоединения объекта «нежилое помещение», расположенного по адресу: Российская Федерация, Ростовская обл., р-н. Пролетарский, х. Коврино, ул. Ленина, д. 40а, кв. 1,2,3,4, к.н. 61:31:0040101:1039, заявитель АО «Почта России» (1 шт.)</t>
  </si>
  <si>
    <t xml:space="preserve"> «Установка системы учета для технологического присоединения объекта «жилой дом», расположенного по адресу: 347614 Российская Федерация, Ростовская обл., р-н. Сальский, с. Березовка, ул. Залазаева, д. 5, кадастровый номер земельного участка: 61:34:600016:488, заявитель Партолина Н.Н.» (1 шт.)</t>
  </si>
  <si>
    <t xml:space="preserve">  «Установка системы учета для технологического присоединения «жилого дома», расположенного по адресу: 347566, РФ, Ростовская область, Песчанокопский район, п. Дальнее Поле, ул. Советская, 9 к.н.з.у.:61:30:0040101:203, заявитель Васютин Г.П.»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</si>
  <si>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Уютный, ул. Первых Коммунаров, д. 12, к.н. 61:31:0100101:92, заявитель Шкадина С.С.» (1 шт.)</t>
  </si>
  <si>
    <t>«Установка системы учета для технологического присоединения «продовольственного магазина», расположенного по адресу: 347568, РФ, Ростовская область, Песчанокопский район, с. Летник, ул. Мичурина, 55-а к.н.з.у.:61:30:0060101:4935, заявитель ИП Семёнов Н.В.»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</si>
  <si>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ул. Северная, д. 717, к.н. 61:31:0500401:26, заявитель Крюков А.Я.» (1 шт.)</t>
  </si>
  <si>
    <t>«Установка системы учета для технологического присоединения «жилого дома», расположенного по адресу: 347568, РФ, Ростовская область, Песчанокопский район, с. Летник, ул. Московская, 102 к.н.з.у.:61:30:0060101:326, заявитель Крамской В.А.» (1 шт.)</t>
  </si>
  <si>
    <t>«Установка системы учета для технологического присоединения «офисного здания», расположенного по адресу: 347563, РФ, Ростовская область, Песчанокопский район, с. Поливянка, ул. Первомайская, 10-а к.н.з.у.:61:30:0080101:28, заявитель ИП Ковтунова Л.С.»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</si>
  <si>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к.н. з.у.: 61:31:00500401:40, заявитель Мотренко Р.А.»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</si>
  <si>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1 Мая, 16 к.н.з.у.:61:30:0030101:949, заявитель Овчинников М.Н.»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</si>
  <si>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Сухой, ул. Мокроусова, д. 22, к.н. 61:31:0090101:57, заявитель Кариев Г.Х.»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</si>
  <si>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к.н. 61:31:0500401:49, заявитель Найда О.П.»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</si>
  <si>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рядом с земельным участком с кадастровым № 61:31:0600011:887, расположенным по адресу: Ростовская область, Пролетарский район, 5,55 км юго-западнее х. Уютный, к.н. 61:31:0600011:903, заявитель Хайленко А.Н.» (1 шт.)</t>
  </si>
  <si>
    <t>«Установка системы учета для технологического присоединения объекта «жилой дом», расположенного по адресу: 347614 Российская Федерация, Ростовская обл., р-н. Сальский, с. Березовка, пер. Трудовой, д. 12, кадастровый номер земельного участка: 61:34:00301:882, заявитель Короткова Е.Ф.»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</si>
  <si>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Николаевский 2-й, ул. Комсомольская, д. 34, кв. 2, к.н. 61:31:060101:0014, заявитель Крохмальный М.В» (1 шт.)</t>
  </si>
  <si>
    <t>Установка пункта коммерческого учета для присоединения КТП-10/0,4 кВ (объекта сельскохозяйственного производства) ЗАО «Нива», расположенного по адресу: Ростовская обл., р-н. Веселовский, х. Ленинский, ЗАО «Нива»</t>
  </si>
  <si>
    <t>Установка прибора учета для присоединения нежилого здания ИП Говорухина Н.Е., расположенного по адресу: Ростовская обл., р-н. Аксайский, южная окраина х. Черюмкин, кадастровый номер земельного участка: 61:02:0600020:29</t>
  </si>
  <si>
    <t xml:space="preserve">Установка пункта коммерческого учета для присоединения бокса ИП Гулуа Р. З., расположенного по адресу: Ростовская обл., р-н. Аксайский, х. Ленина, ул. Тенистая, участок с КН 61:02:0600016:4505 </t>
  </si>
  <si>
    <t xml:space="preserve">Установка коммерческого учета для присоединения производственной базы ООО "АВАНТАЖ", расположенной по адресу: Р.О. г. Батайск, туп. Ольгинский, 21 </t>
  </si>
  <si>
    <t>Установка пункта коммерческого учета для присоединения складского комплекса ООО «Айрон» в Ростовский области, г. Батайск тупик Ольгинский, д. 27-Б КН 61:46:0012601:527(1шт)</t>
  </si>
  <si>
    <t>Установка прибора учета для присоединения  нежилого здания Джумакова Ю. Б., расположенного по адресу: Ростовская обл., Аксайский р-н, ст-ца Грушевская, участок с КН 61:02:0000000:6771» (1шт)</t>
  </si>
  <si>
    <t>Установка прибора учета для присоединения ТП 10/0,4 кВ ООО “БОНУМ”, расположенной по адресу: Ростовская обл., р-н. Аксайский, кадастровый номер земельного участка: 61:02:0600016:3744» (1шт)</t>
  </si>
  <si>
    <t>Установка пункта коммерческого учета для присоединения производственного здания / помещения Плешивцевой А.А. расположенного по адресу Ростовская обл., р-н. Аксайский, п. АО «Октябрьское» К.Н. 61:02:0600004:3333 (1шт)</t>
  </si>
  <si>
    <t>Установка пункта коммерческого учета для присоединения нежилой застройки Смычок Л. Э., расположенной по адресу: Ростовская обл., р-н Аксайский, Щепкинское сельское поселение, п. Красный, ул. Дорожная, 1Б (1 шт.)</t>
  </si>
  <si>
    <t>Установка пункта коммерческого учета для электроснабжения комплекса зданий для хранения и переработки сельскохозяйственной продукции по адресу: РО., р-н Аксайский, Щепкинское сельское поселение, х. Нижнетемерницкий, ул. Гайдара, уч. 4. КН 61:02:0600005:11018 (1шт)</t>
  </si>
  <si>
    <t>Установка пункта коммерческого учета для присоединения АЗС №61291 ООО «Лукойл-Югнефтепродукт», расположенной по адресу: Ростовская обл., р-н Аксайский, 1074 км. автомагистрали М-4 справа по ходу километража, кадастровый номер земельного участка: 61:02:0600017:66 (1 шт.)</t>
  </si>
  <si>
    <t xml:space="preserve">Установка пункта коммерческого учета для присоединения АЗС №61360 ООО «Лукойл-Югнефтепродукт», расположенной по адресу: Ростовская обл., р-н. Аксайский, г. Аксай, 1074 км. автомагистрали М-4 «Дон-2», кадастровый номер земельного участка: 61:02:0600017:2» (1 шт.) </t>
  </si>
  <si>
    <t>Установка пункта коммерческого учета для присоединения ООО «Таганрогская энергетическая компания», адресный ориентир: РО., Мясниковский р-н. тер. Юго-Восточная промзона кадастровый номер земельного участка: 61:25:601001:1133 (1 шт.)</t>
  </si>
  <si>
    <t>Установка пункта коммерческого учета для присоединения насосной станции заявителя АО «Бакланниковское», расположенного по адресу: Ростовская обл., р-н. Семикаракорский, к.н:61:35:0600013:615 (1 шт.)</t>
  </si>
  <si>
    <t>Установка ВРУ 0,4 кВ на стойке шинного портала 35 кВ № 28 Т-З для присоединения ЛЭП-0,4 кВ от ПС 110/35 кВ Заря, расположенной по адресу: Ростовская область, Красносулинский район (1шт.)</t>
  </si>
  <si>
    <t>Установка прибора коммерческого учёта электрической энергии, для присоединения ВРУ-0,4 кВ ЛЭП-0,4 кВ Государственного казенного учреждения Ростовской области «Противопожарная служба Ростовской области» в лице начальника Кравцова В.В., расположенного по адресу: Ростовская область, Тацинский район, ст. Скосырская, ул. Школьная, д. 5, корпус Б, к.н. 61:38:0060101:1370. (прибор учёта электроэнергии - 1шт.)</t>
  </si>
  <si>
    <t>«Установка прибора учета для технологического присоединения  модульного дома культуры заявителя, Терновское СП, расположенного по адресу: Ростовская область, Шолоховский район, х. Терновской, ул. Центральная, д. 7в, к.н.з.у. 61:43:0090101:750 (1 шт.)»</t>
  </si>
  <si>
    <t>Строительство 2КЛ 10кВ от двух проектируемых линейных ячеек 10кВ ПС 110кВ Р-26 для электроснабжения комплекса по переработке бытовых отходов (ООО "ОЗОН-плюс") расположенного по падресу: Мясниковский район, тер. Юго-Восточная промзона, участок №11, к.н. 61:25:0601001:31 (ориентировочная протяженность ЛЭП 0,3км)</t>
  </si>
  <si>
    <t>Строительство участка ВЛИ 0,4кВ от опоры №97-9 ВЛ-0,4 кВ №1 тех. перевооружаемой ТП 10/0,4 кВ №97 ВЛ-10кВ №2907 РП-29 ПС 35/10 кВ «А-18» и системы учета электрической энергии (мощности) на границе земельного участка для электроснабжения жилого дома заявителя Аксененко Е.П., х. Казачий Ерик, Азовский район, Ростовская область (ориентировочная протяженность ЛЭП – 0,180 км)</t>
  </si>
  <si>
    <t>Строительство участка ВЛИ 0,4кВ от опоры №323-7 ВЛ-0,4 кВ №1 технически перевооружаемой МТП 10/0,4 кВ №323 ВЛ-10 кВ 202Н 110/6/10 кВ «НС-2» и системы учета электрической энергии (мощности) на границе земельного участка для электроснабжения жилого дома заявителя Барановой С.В., с. Кулешовка, Азовский район, Ростовская область (ориентировочная протяженность ЛЭП – 0,150 км)</t>
  </si>
  <si>
    <t>Строительство участка ВЛИ 0,4кВ от РУ-0,4 кВ технически перевооружаемой ТП 10/0,4 кВ №16 ВЛ-10кВ №2907 РП-29 ПС 35/10 кВ «А-18» и системы учета электрической энергии (мощности) на границе земельного участка для электроснабжения жилого дома заявителя Котова В.А., ст-ца. Елизаветинская, Азовский район, Ростовская область (ориентировочная протяженность ЛЭП – 0,03 км)</t>
  </si>
  <si>
    <t>Строительство участка ВЛ-0,4кВ от оп. №111-71 ВЛ-0,4кВ №3 КТП 10/0,4кВ № 111 ВЛ 10кВ № 3113 ПС 110/35/10 кВ А-31 и системы учета электрической энергии (мощности) на границе земельного участка для электроснабжения жилого дома заявителя Ивахненко В.В., Ростовская область, Азовский р-н, с. Пешково (ориентировочная протяженность ЛЭП – 0,030 км)</t>
  </si>
  <si>
    <t>Строительство ВЛ 0,4 кВ от проектируемой ВЛ 0,4 кВ (по договору ТП № 61-1-21-00597653 от 03.09.2021 г.) КТП 10/0,4кВ № 111 ВЛ 10кВ № 3113 ПС 110/35/10 кВ А-31 и установка коммерческого учета электрической энергии (мощности) на границе земельных участков для электроснабжения жилых домов заявителя Ивахненко В.В., с. Пешково, Азовский р-он Ростовская область (ориентировочная протяженность ЛЭП – 0,045 км)</t>
  </si>
  <si>
    <t>Строительство ВЛ 0,4 кВ от проектируемой ВЛ 0,4 кВ (по договору ТП № 61-1-20-00582281 от 18.06.2021 г.) технически перевооружаемой ТП 10/0,4 кВ №334 ВЛ-10 кВ №202Н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Ионовой А.В., ЗАО Обильное, поля 86-88, 1 км от с. Кулешовка, Азовский район, Ростовская область (ориентировочная протяженность ЛЭП – 0,065 км)</t>
  </si>
  <si>
    <t>Строительство ВЛ 0,4 кВ от опоры №326-9 ВЛ-0,4кВ №1 технически перевооружаемой ТП 10/0,4 кВ №326 п ВЛ-10кВ №202Н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Кузьменко Е.С., с.Кулешовка, Азовский район, Ростовская область (ориентировочная протяженность ЛЭП – 0,03 км)</t>
  </si>
  <si>
    <t>Строительство ВЛ 0,4 кВ от опоры №93-41 ВЛ 0,4 кВ №2 технически перевооружаемой КТП 10/0,4 кВ №93 ВЛ-10 кВ №202Н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Михиденко А.Л., с. Кулешовка, Азовский район, Ростовская область (ориентировочная протяженность ЛЭП – 0,055 км)</t>
  </si>
  <si>
    <t>Строительство ВЛ 0,4 кВ от опоры №111-90 ВЛ-0,4 кВ №3 КТП 10/0,4 кВ №111 ВЛ-10 кВ №3113 ПС 110/35/10 кВ А-31 и установка коммерческого учета электрической энергии (мощности) на границе земельных участков для электроснабжения жилых домов заявителей Каразян Э.З., с. Пешково, Азовский район, Ростовская область (ориентировочная протяженность ЛЭП – 0,080 км)</t>
  </si>
  <si>
    <t>Строительство участка ВЛИ 0,4кВ от опоры №350-57/21 ВЛ 0,4 кВ №2 КТП 10/0,4 кВ №350 ВЛ 10 кВ №207Н ПС 110/6/10 кВ НС-2 и системы учета электрической энергии (мощности) на границе земельного участка для электроснабжения садового дома заявителя Клименко В.И., СТ «Квант», Азовский район, Ростовская область (ориентировочная протяженность ЛЭП – 0,150 км)</t>
  </si>
  <si>
    <t>Строительство участка ВЛИ 0,4кВ от опоры №350-38/34 ВЛ 0,4кВ №1 КТП 6/0,4 кВ №350 ВЛ 6кВ №207Н ПС 110/6/10 кВ НС-2 и системы учета электрической энергии (мощности) на границе земельного участка для электроснабжения садового дома заявителя Свитко Е.Н., СТ «Квант», Азовский район, Ростовская область (ориентировочная протяженность ЛЭП – 0,110 км)</t>
  </si>
  <si>
    <t>Строительство ВЛ 0,4 кВ от опоры №28-251 ВЛ-0,4 №1 ЗТП-28 ВЛ-10 313 ПС 35 кВ КГ3 и установка коммерческого учета электрической энергии (мощности) на границе земельного участка для электроснабжения жилого дома заявителя Евтушенко Л.В., Ростовская область, Кагальницкий р-н, ст. Кировская, ул. Центральная д.17А, к.н. 61:14:0050126:499 (ориентировочная протяженность ЛЭП – 0,030 км)</t>
  </si>
  <si>
    <t>Строительство ВЛ 0,4 кВ от опоры №28-218 ВЛ-0,4 №1 ЗТП-28 ВЛ-10 313 ПС 35 кВ КГ3 и установка коммерческого учета электрической энергии (мощности) на границе земельного участка для электроснабжения ЛПХ заявителя Боташев М.Х., Ростовская область, Кагальницкий р-н, ст. Кировская, ул. Новостройки д.14, к.н. 61:14:0050126:46 (ориентировочная протяженность ЛЭП – 0,020 км)</t>
  </si>
  <si>
    <t>Строительство ЛЭП 10 кВ от опоры №49 по ВЛ 10 кВ №1002 ПС 110/35/10 кВ Самарская, ТП 10/0,4 кВ, ЛЭП 0,4 кВ и установка системы учета электрической энергии (мощности) на границе земельного участка для электроснабжения жилого дома заявителя Шевченко А.С., с.Самарское, СТ «Стимул», Азовский район, Ростовская область, (ориентировочная протяженность ЛЭП– 0,330 км, ориентировочная трансформаторная мощность – 0,025 МВА)</t>
  </si>
  <si>
    <t>Строительство ЛЭП 10 кВ от опоры № 3-349 по ВЛ 10 кВ №910-1106 ПС 35/10 кВ А-9, ТП 10/0,4 кВ, ЛЭП 0,4 кВ и установка системы учета электрической энергии (мощности) на границах земельных участков для электроснабжения объектов торговли заявителей ИП Мироненко С.А. и Гиваргизовой А.Б., Ростовская область, Азовский район, г.Азов, ул.Победы (ориентировочная протяженность ЛЭП– 0,330 км, ориентировочная трансформаторная мощность – 0,250 МВА)</t>
  </si>
  <si>
    <t>Строительство ЛЭП 10 кВ от опоры №9-17 по ВЛ 10 кВ №107Н ПС 110/6/10 кВ НС-1, ТП 10/0,4 кВ, ЛЭП 0,4 кВ и установка системы учета электрической энергии (мощности) на границе земельного участка для электроснабжения нежилой застройки ИП Калашник И.Н., Ростовская область, Азовский район, п. Овощной (ориентировочная протяженность ЛЭП– 0,06 км, ориентировочная трансформаторная мощность – 0,250 МВА)</t>
  </si>
  <si>
    <t>Строительство ВЛ 0,4 кВ от опоры №334-13 ВЛ 0,4 кВ №1 КТП 10/0,4 кВ №334 ВЛ 10 кВ 202Н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Кривова Ф.С., ЗАО Обильное, Азовский район, Ростовская область (ориентировочная протяженность ЛЭП – 0,03 км)</t>
  </si>
  <si>
    <t>Строительство ВЛ 0,4 кВ от опоры №358-3 ВЛ 0,4 кВ №1 КТП 10/0,4 кВ №358 ВЛ 10 кВ 202Н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Лигостаев А.А., ЗАО Обильное, Азовский район, Ростовская область (ориентировочная протяженность ЛЭП – 0,03 км)</t>
  </si>
  <si>
    <t>Строительство ВЛ 0,4 кВ от проектируемой опоры проектируемой ВЛ 0,4 кВ (по договору ТП № 61-1-21-00614477 от 23.11.2021 г.) МТП 10/0,4 кВ №311 ВЛ-10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Калдарасс М.Г., СХА "Кулешовское" поле III о, Азовский р-он, Ростовская область, к.н. 61:01:0600006:4906 (ориентировочная протяженность ЛЭП – 0,05 км)</t>
  </si>
  <si>
    <t>Строительство ВЛ 0,4 кВ от проектируемой опоры проектируемой ВЛ 0,4 кВ (по договору ТП № 61-1-21-00609887 с заявителем Ивановым Д.Ю.) МТП 10/04 кВ № 311 ВЛ-10 кВ №106Н ПС 110/10/6 кВ НС-1 и установка коммерческого учета электрической энергии (мощности) на границе земельного участка для электроснабжения жилого дома заявителя Гавриленко В.А, Азовский р-он, Ростовская область, к.н. 61:01:0600006:4946 (ориентировочная протяженность ЛЭП – 0,040 км)</t>
  </si>
  <si>
    <t>Строительство ВЛ 0,4 кВ от опоры №311-5/7 ВЛ-0,4 кВ №2 МТП 10/0,4 кВ №311 ВЛ 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Рагимова А.В., Азовский район, Ростовская область, к.н. 61:01:0600006:4933 (ориентировочная протяженность ЛЭП – 0,060 км)</t>
  </si>
  <si>
    <t>Строительство ВЛ 0,4 кВ от проектируемой опоры проектируемой ВЛ 0,4 кВ (по договору ТП № 61-1-21-00616481 от 07.12.2021г.  с заявителем Стрюк В.А.) КТП 10/04 кВ № 329 ВЛ-10 кВ №106Н ПС 110/10/6 кВ НС-1 и установка коммерческого учета электрической энергии (мощности) на границе земельного участка для электроснабжения жилого дома заявителя Худайберганова А.Г, Азовский р-он, Ростовская область, к.н. 61:01:0600006:6071 (ориентировочная протяженность ЛЭП – 0,040 км)</t>
  </si>
  <si>
    <t>Строительство ВЛ 0,4 кВ от РУ-0,4 кВ КТП 10/0,4 кВ №342 ВЛ-10кВ №107Н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Чубенко Н.С., п. Овощной, Азовский район, Ростовская область, к.н. 61:01:0600003:2588 (ориентировочная протяженность ЛЭП – 0,06км)</t>
  </si>
  <si>
    <t>Строительство ВЛ 0,4 кВ от РУ-0,4 кВ КТП 10/0,4 кВ №329 ВЛ 10кВ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Саленко И.В., 5,9 км по направлению на северо-восток от пункта ГГС Пеленкин СХА (К) "Кулешовское" поле III о, Азовский район, Ростовская область (ориентировочная протяженность ЛЭП – 0,210 км)</t>
  </si>
  <si>
    <t>Строительство ВЛИ-0,4 кВ от КТП-433 ВЛ 10кВ № 904 ПС 110кВ Балко-Грузская в пролетах опор № 1-433*14-177&amp;#247;17-177  ВЛ-10 904 ПС 110кВ Балко-Грузская, установить в существующую КТП дополнительный автоматический выключатель Iн=63А и установка системы учета электрической энергии (мощности) на границе земельного участка для электроснабжения нежилого здания (склада) заявителя ИП Оганесян Г.Э., х.Балко-Грузский Егорлыкский район, Ростовская область (1шт.), (ориентировочная протяженность ЛЭП – 0,240 км)</t>
  </si>
  <si>
    <t>Строительство ВЛ 0,4 кВ от РУ-0,4 кВ ЗТП 10/0,4 кВ №22 КВЛ-10кВ №1205, №1211 ПС 110/10 кВ А-12 и установка коммерческого учета электрической энергии (мощности) на границе земельного участка для электроснабжения нежилого здания заявителя ИП Крупнова Н.С., с. Кулешовка, Азовский район, Ростовская область (ориентировочная протяженность ЛЭП – 0,210 км)</t>
  </si>
  <si>
    <t>Строительство ЛЭП 0,4 кВ от опоры №45-53 ВЛ 0,4 кВ №3 ТП 10/0,4кВ №45 ВЛ 10 кВ №2907 РП-29 ПС 35/10 кВ А-18 и установка коммерческого учета электрической энергии (мощности) на границе земельного участка для электроснабжения нежилой застройки заявителя ИП Бабаян М.Г., Ростовская область, Азовский район, х.Курган, пер.Кручиный, д.32 (ориентировочная протяженность ЛЭП – 0,035 км)</t>
  </si>
  <si>
    <t>Строительство ВЛ 0,4 кВ от опоры б/н ВЛ-0,4 кВ КТП 10/0,4 кВ №9 (балансовая принадлежность ООО «Рыбколхоз им. Ленина») ВЛ-10кВ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Аксёненко Е.Ю., х. Городище, Азовский район, Ростовская область (ориентировочная протяженность ЛЭП – 0,09 км)</t>
  </si>
  <si>
    <t>Строительство ВЛ 0,4 кВ от опоры №190-7 ВЛ-0,4 кВ №1 КТП 10/0,4 кВ №190 ВЛ-10кВ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Ефремушкина А.А., с. Пешково, Азовский район, Ростовская область, к.н. 61:01:0140101:8795 (ориентировочная протяженность ЛЭП – 0,100 км)</t>
  </si>
  <si>
    <t>Строительство ВЛ 0,4 кВ от опоры №20-2 ВЛ-0,4 кВ №1 КТП 10/0,4 кВ №20 ВЛ-10кВ №3127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Дорошенко И.И., с. Займо-Обрыв, Азовский район, Ростовская область, к.н. 61:01:0140401:3347 (ориентировочная протяженность ЛЭП – 0,060 км)</t>
  </si>
  <si>
    <t>Строительство ЛЭП 0,4 кВ от РУ-0,4кВ ТП 10/0,4кВ №358 ВЛ 10 кВ №202Н ПС 110/6/10 кВ НС-2 и установка коммерческого учета электрической энергии (мощности) на границе земельного участка для электроснабжения жилых домов заявителей Шулеповой А.Т. и Удодик А.Н., ЗАО «Обильное», Азовский район, Ростовская область, к.н. 61:01:0600006:6944 и 61:01:0600006:6936 (ориентировочная протяженность ЛЭП – 0,190 км)</t>
  </si>
  <si>
    <t>Строительство ВЛ 0,4 кВ от опоры №30-7 ВЛ-0,4 кВ №1 КТП 10/0,4 кВ №30 ВЛ-10кВ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Шумейко С.В., ст-ца.Елизаветинская, Азовский район, Ростовская область, к.н. 61:01:0030101:573 (ориентировочная протяженность ЛЭП – 0,110 км)</t>
  </si>
  <si>
    <t>Строительство ВЛ 0,4 кВ от опоры №105-47 ВЛ-0,4 кВ №2 КТП 10/0,4 кВ №105 ВЛ 10 кВ №2608 ПС 110/10 кВ А-26 и установка коммерческого учета электрической энергии (мощности) на границе земельного участка для электроснабжения жилого дома заявителя Прилип И.А., х. Новоалександровка, Азовский район, Ростовская область, к.н. 61:01:0000000:2123 (ориентировочная протяженность ЛЭП – 0,045 км)</t>
  </si>
  <si>
    <t>Строительство ЛЭП 10 кВ от опоры № 2-92 по ВЛ 10 кВ 415 ПС 35 кВ КГ4,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Лиходедов В.Н., Ростовская область, р-н Кагальницкий, с. Иваново-Шамшево, ул. Ростовская д.2А к.н. 61:14:0030301:48 (ориентировочная протяженность ЛЭП– 0,085 км, ориентировочная трансформаторная мощность – 0,160 МВА)</t>
  </si>
  <si>
    <t>Строительство ВЛ 0,4 кВ от опоры №97-19 ВЛ-0,4 кВ №1 КТП 10/0,4 кВ №97 ВЛ-10кВ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Черного Н.М., х. Казачий Ерик, Азовский район, Ростовская область, к.н. 61:01:0030401:478 (ориентировочная протяженность ЛЭП – 0,04км)</t>
  </si>
  <si>
    <t xml:space="preserve">Строительство ВЛ 0,4 кВ от РУ-0,4 кВ КТП 10/0,4 кВ №152 ВЛ-10 кВ №1107 ПС 35/10 кВ А-11 и установка коммерческого учета электрической энергии (мощности) на границе земельного участка для электроснабжения двух жилых домов заявителя Ленникова П.С., пер. Луговой, д. 1Е и д.1В, с. Кагальник, Азовский район, Ростовская область, к.н. 61:01:0060101:12626 и 61:01:0060101:12623 (ориентировочная протяженность ЛЭП – 0,2 км) </t>
  </si>
  <si>
    <t xml:space="preserve">Строительство ВЛ 0,4 кВ от проектируемой ТП 35/0,4 кВ от опоры №69 по ВЛ-35 кВ КГ2 – КГ3 и установка коммерческого учета электрической энергии (мощности) на границе земельного участка для электроснабжения садового дома заявителя Гаспаряна Т.П., Кагальницкий район,Ростовская область, к.н. 61:14:0503601:1098 (ориентировочная протяженность ЛЭП – 0,02 км) </t>
  </si>
  <si>
    <t>Строительство ВЛ 0,4 кВ от проектируемой опоры проектируемой ВЛ 0,4 кВ (по договору ТП № 61-1-21-00599457 от 17.09.2021г.  с заявителем Онищенко А.Г.) МТП 10/04 кВ № 316 ВЛ-10 кВ №211 ПС 35/10 кВ А-2 и установка коммерческого учета электрической энергии (мощности) на границе земельного участка для электроснабжения жилого дома заявителя Иванова Д.А, ул. 60 лет Октября, х.Новоалексндровка, Азовский р-он, Ростовская область, к.н. 61:01:0110101:3539 (ориентировочная протяженность ЛЭП – 0,050 км)</t>
  </si>
  <si>
    <t>Строительство ВЛ 0,4 кВ от опоры №241-29 ВЛ 0,4кВ № 1 КТП 10/0,4 кВ №241 ВЛ 10 кВ 1101 ПС 35/10 кВ А-11 и установка коммерческого учета электрической энергии (мощности) на границе земельного участка для электроснабжения объекта торговли заявителя ИП Шавлак Е.В., с. Кагальник, Азовский район, Ростовская область, к.н. 61:01:0060101:12239 (ориентировочная протяженность ЛЭП – 0,055 км)</t>
  </si>
  <si>
    <t>Строительство ВЛ 0,4 кВ от оп. №44-1 ВЛ-0,4 №1 КТП-44 ВЛ-10 806 ПС 35 кВ ЗР8 и установка коммерческого учета электрической энергии (мощности) на границе земельного участка для электроснабжения малоэтажной объекта медицинского учреждения заявителя МБУЗ «ЦРБ» Зерноградского р-на, Ростовская область, Зерноградский р-н, х. Донской, ул. Черемушки д.8А к.н. 61:12:0080207:1047 (ориентировочная протяженность ЛЭП – 0,11 км)</t>
  </si>
  <si>
    <t>Строительство BЛ 0,4 кВ от опоры №329-20 ВЛ- 0,4 кВ №1 КТП 10/0,4 кВ №329 ВЛ-10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Фроленко С.Ю., Ростовская область, Азовский район, СХА «Кулешовское» поле III о, к.н. 61:01:0600006:5511 (ориентировочная протяженность ЛЭП - 0,205 км)</t>
  </si>
  <si>
    <t>Строительство ВЛ 0,4 кВ от проектируемой опоры проектируемой ВЛ 0,4 кВ (по договору ТП № 61-1-21-00611421 от 11.11.2021г.) и установка системы учета электрической энергии (мощности) на границе земельных участков для электроснабжения жилых домов заявителей Шмыковой М.Н, Ковтунова А.Ф., Пашковой Т.В., Азовский район, Ростовская область, к.н. 61:01:0600006:5266, 61:01:0600006:5261, 61:01:0600006:5312 (ориентировочная протяженность ЛЭП– 0,590 км)</t>
  </si>
  <si>
    <t>Строительство ВЛ 0,4 кВ от опоры №98-61 ВЛ-0,4 №1 КТП-98 ВЛ-10 1102 ПС 35 кВ ЗР11 и установка коммерческого учета электрической энергии (мощности) на границе земельного участка для электроснабжения базовой станции заявителя Ростелеком, Ростовская обл., р-н. Зерноградский, с. Ленинка, примерно 14 м по направлению на восток от границы участка по адресу: ул. Парковая д.6, к.н. отсутствует (ориентировочная протяженность ЛЭП – 0,09 км)</t>
  </si>
  <si>
    <t>Строительство ВЛ 0,4 кВ от оп. №92-45 ВЛ-0,4 №2 КТП-92 ВЛ-10 415 ПС 35 кВ КГ4 и установка коммерческого учета электрической энергии (мощности) на границе земельного участка для электроснабжения базовой станции заявителя ПАО «Ростелеком» Ростовская область, Кагальницкий р-н, с. Иваново-Шамшево, примерно 7м по направлению на запад от границы участка по адресу: ул. Пионерская д.29-А (ориентировочная протяженность ЛЭП – 0,08 км)</t>
  </si>
  <si>
    <t>Строительство ВЛ 0,4 кВ от опоры №15-10/3 ВЛ 0,4 кВ №1 технически перевооружаемой КТП 10/0,4 кВ №15 ВЛ-10 кВ №802 ПС 35/10 кВ А-8 и установка коммерческого учета электрической энергии (мощности) на границе земельного участка для электроснабжения жилого дома заявителя Январевой Л.С., х.Павло-Очаково, Азовский район, Ростовская область (ориентировочная протяженность ЛЭП – 0,140 км)</t>
  </si>
  <si>
    <t>Строительство ВЛ 0,4 кВ от опоры №146-85 ВЛ-0,4 кВ №3 КТП 10/0,4 кВ №146 ВЛ-10 кВ №1701 ПС 35/10 кВ А-17 и установка коммерческого учета электрической энергии (мощности) на границе земельного участка для электроснабжения жилого дома заявителя Петровой В.А., с.Круглое, Азовский район, Ростовская область (ориентировочная протяженность ЛЭП – 0,080 км)</t>
  </si>
  <si>
    <t>Строительство ВЛ 0,4 кВ от опоры №211-222 ВЛ-0,4 кВ №5 КТП 10/0,4 кВ №211 ВЛ-10 кВ №910 ПС 35/10 кВ А-9 и установка коммерческого учета электрической энергии (мощности) на границе земельного участка для электроснабжения жилых домов заявителей Лучкиной Л.А. и Рыжкова М.А., ДНТ «Южное», Азовский район, Ростовская область (ориентировочная протяженность ЛЭП – 0,2 км)</t>
  </si>
  <si>
    <t>Строительство ЛЭП 10 кВ от опоры №8-103 по ВЛ 10 кВ №2608 ПС 110/10 кВ А-26,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Сиренко М.Г., с. Кулешовка, Азовский район, Ростовская область, к.н. 61:01:0090102:73 (ориентировочная протяженность ЛЭП– 0,100 км, ориентировочная трансформаторная мощность – 0,250 МВА)</t>
  </si>
  <si>
    <t>Строительство ВЛ 0,4 кВ от опоры №46-2 ВЛ-0,4 кВ №1 ТП 10/0,4 кВ №46 по ВЛ 10 кВ №910-1106 ПС 35/10 кВ А-9 и установка коммерческого учета электрической энергии (мощности) на границе земельного участка для электроснабжения нежилой застройки заявителя ИП Глушенко Д.В., г. Азов, Ростовская обл., к.н. 61:45:00000350:14670  (ориентировочная протяженность ЛЭП – 0,050 км)</t>
  </si>
  <si>
    <t>Строительство ВЛ 0,4 кВ от опоры №84-11 ВЛ-0,4 кВ №1 КТП 10/0,4 кВ №84 ВЛ-10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Бордюговой Е.Ю., ул. Лазурная, д. 35, х. Городище, Азовский район, Ростовская область, к.н. 61:01:0600002:1361 (ориентировочная протяженность ЛЭП – 0,075)</t>
  </si>
  <si>
    <t>Строительство ВЛ 0,4 кВ от РУ-0,4 МТП-183 ВЛ-10 313 ПС 35 кВ КГ3 и установка коммерческого учета электрической энергии (мощности) на границе земельного участка для электроснабжения объекта жилищно-коммунального хозяйства заявителя МП ЖКХ Кагальницкого с/п, Ростовская область, Кагальницкий р-н, ст. Кировская, ул. Кирова д.10А к.н. 61:14:0050129:193 (ориентировочная протяженность ЛЭП – 0,12 км)</t>
  </si>
  <si>
    <t>Строительство ЛЭП 0,4 кВ от опоры №216-1 ВЛ 0,4 кВ №1 ТП 10/0,4 кВ №216 ВЛ 10 кВ №808 ПС 110/10 кВ БОС и установка коммерческого учета электрической энергии (мощности) на границе земельного участка для электроснабжения складского помещения заявителя ИП Ткачук С.С., восточнее земельного участка с к.н. 61:01:0600007:1479, с. Самарское, Азовский район, Ростовская область, к.н. 61:01:0600007:2453 (ориентировочная протяженность ЛЭП – 0,04 км)</t>
  </si>
  <si>
    <t>Строительство ЛЭП 10 кВ от опоры №1-94 по ВЛ 10 кВ №502 ПС 35 кВ ЗР5, ТП 10/0,4 кВ, ЛЭП 0,4 кВ и установка системы учета электрической энергии (мощности) на границе земельного участка для электроснабжения объекта АЗС заявителя ООО «Вертикаль», Ростовская область, Зерноградский р-н, х. Гуляй-Борисовка, примерно в 0,755 км по направлению на юг от южной его окраины к.н. 61:12:00601801:2545 (ориентировочная протяженность ЛЭП– 0,07 км, ориентировочная трансформаторная мощность – 0,025 МВА)</t>
  </si>
  <si>
    <t>Строительство ВЛИ 0,4 кВ от оп.№71-123 ВЛ-0,4 кВ №2 кВ КТП 10/0,4 кВ №71 ВЛ-10кВ №105Н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Леликова А.В., х. Усть-Койсуг, Азовский район, Ростовская область, к.н. 61:01:0030901:1190 (ориентировочная протяженность ЛЭП – 0,140км)</t>
  </si>
  <si>
    <t>Строительство ВЛИ 0,4 кВ от оп.№66-4 ВЛ-0,4 кВ №1 кВ МТП 10/0,4 кВ №66 ВЛ-10кВ №105Н ПС 110/6/10 кВ НС-1 до ВЛ-0,4 кВ №2 КТП 10/0,4 кВ № 71 ВЛ-10кВ №105Н ПС 110/6/10 кВ НС-1 с переключением части ВЛ-0,4 кВ №2 КТП 10/0,4 кВ № 71 ВЛ-10кВ №105Н ПС 110/6/10 кВ НС-1 от оп. №71-116 на ВЛ-0,4 кВ № 1 МТП 10/0,4 кВ №66 ВЛ-10кВ №105Н ПС 110/6/10 кВ НС-1 для электроснабжения жилого дома заявителя Леликова А.В., х. Усть-Койсуг, Азовский район, Ростовская область, к.н. 61:01:0030901:1190 (ориентировочная протяженность ЛЭП – 0,05км)</t>
  </si>
  <si>
    <t>Строительство ВЛ 0,22 кВ от оп. 99-1 ВЛ-0,4 №1 КТП-99 ВЛ-10 114 ПС 220 кВ Зерновая и установка коммерческого учета электрической энергии (мощности) на границе земельных участков для электроснабжения малоэтажной жилой застройки заявителя Вольф Р.А., Ростовская область, Зерноградский р-н, Зерноградское г/п в 0,045 и 0,036 км от восточной окраины уч.1А и уч.1 к.н. 61:12:0600801:874; 61:12:0600801:872 (ориентировочная протяженность ЛЭП – 0,05 км)</t>
  </si>
  <si>
    <t>Строительство ВЛ 0,4 кВ от опоры №98-16 ВЛ-0,4 №1 КТП-98 ВЛ-10 415 ПС 35 кВ КГ4 и установка коммерческого учета электрической энергии (мощности) на границе земельного участка для электроснабжения нежилой застройки заявителя Кольвах А.И., Ростовская обл., р-н. Кагальницкий, с. Васильево-Шамшево, в 0,133 км на юго-запад от южной его окраины к.н. 61:14:00600011:1577 (ориентировочная протяженность ЛЭП – 0,04 км)</t>
  </si>
  <si>
    <t>Строительство ВЛ 0,4 кВ от проектируемой опоры проектируемой ВЛ 0,4 кВ (по договору ТП № 61-1-21-00611809 от 15.11.2021г. с заявителем Севериновой Л.И.) КТП 10/0,4 кВ № 25 ВЛ 10 кВ №1815 ПС 35/10 кВ А-18 и установка коммерческого учета электрической энергии (мощности) на границе земельного участка для электроснабжения стоянки заявителя Студеникина Н.А., х. Курган, р-н Азовский, Ростовская обл., к.н. 61:01:00600002:2605 (ориентировочная протяженность ЛЭП – 0,160 км)</t>
  </si>
  <si>
    <t>Строительство участка ВЛИ 0,4кВ от опоры №329-44 ВЛ 0,4 кВ №2 ТП 10/0,4 кВ №329 ВЛ 10кВ №106Н ПС 110/6/10 кВ НС-1 и системы учета электрической энергии (мощности) на границе земельного участка для электроснабжения жилого дома заявителя Федоровой М.Н., ДНТ «Виктория», Азовский район, Ростовская область (ориентировочная протяженность ЛЭП – 0,150 км)</t>
  </si>
  <si>
    <t>Строительство ВЛ 0,4 кВ от опоры №14-69 ВЛ-0,4 кВ №3 КТП 10/0,4 кВ №14 ВЛ 10кВ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Донченко Т.Б., п. Овощной, Азовский район, Ростовская область, к.н. 61:01:0130101:5068 (ориентировочная протяженность ЛЭП – 0,070 км)</t>
  </si>
  <si>
    <t>Строительство ВЛ 0,4 кВ от опоры №97-23 ВЛ-0,4 кВ №1 КТП 10/0,4 кВ №97 ВЛ-10 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Стецун Г.А., ул. Степная, д. 86, х. Казачий Ерик, Азовский район, Ростовская область, к.н. 61:01:0600002:1299 (ориентировочная протяженность ЛЭП – 0,11 км)</t>
  </si>
  <si>
    <t>Строительство ВЛ 0,4 кВ от опоры №49-16 ВЛ-0,4 кВ №2 КТП 10/0,4 кВ №49 ВЛ-10 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Стецун С.А., ул. Степная, д. 114, х. Казачий Ерик, Азовский район, Ростовская область, к.н. 61:01:0600002:1323 (ориентировочная протяженность ЛЭП – 0,07 км)</t>
  </si>
  <si>
    <t xml:space="preserve">Строительство ВЛ 0,4 кВ от опоры №43-39 ВЛ-0,4 кВ №2 КТП 10/0,4 кВ №43 по ВЛ 10 кВ №1802 ПС 35/10 кВ А-18 и установка коммерческого учета электрической энергии (мощности) на границе земельного участка для электроснабжения жилого дома заявителя Ковалева А.Н., пер. Северный, участок 15, х. Рогожкино, Азовский район, Ростовская область, к.н. 61:01:160101:0125 (ориентировочная протяженность ЛЭП – 0,06 км) </t>
  </si>
  <si>
    <t>Строительство ВЛ 0,4 кВ от опоры №81-1 ВЛ 0,4 кВ №1 КТП 10/0,4кВ №81 ВЛ 10кВ №1802 ПС 35/10 кВ А-18 и установка коммерческого учета электрической энергии (мощности) на границе земельного участка для электроснабжения жилого дома заявителя Дьякова Е.И., ул. Степная, д. 28 А, х. Рогожкино, Азовский район, Ростовская область, к.н. 61:01:0160101:3202 (ориентировочная протяженность ЛЭП – 0,07 км)</t>
  </si>
  <si>
    <t>Строительство ВЛ 0,4 кВ от оп. б/н ВЛ 0,4 кВ КТП 10/0,4кВ №9 (на балансе Рыболовецкого колхоза им. Ленина) ВЛ 10кВ №1815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Агапова Н.С., Азовский р-он, Ростовская область, х. Городище, к.н.61:01:0600002:737 (ориентировочная протяженность ЛЭП – 0,02 км)</t>
  </si>
  <si>
    <t>Строительство ЛЭП 10 кВ от опоры №110 по ВЛ 10 кВ №105Н ПС 110/6/10 кВ НС-1, ТП 10/0,4 кВ, ЛЭП 0,4 кВ и установка системы учета электрической энергии (мощности) на границе земельного участка для электроснабжения двух объектов сельскохозяйственного производства заявителя ООО «Азовская Рыбная Компания», х.Усть-Койсуг, Азовский район, Ростовская область, к.н. 61:01:0600003:1776, к.н. 61:01:0600003:1777 (ориентировочная протяженность ЛЭП– 0,145 км, ориентировочная трансформаторная мощность – 0,1 МВА)</t>
  </si>
  <si>
    <t>Строительство ВЛ 0,4 кВ от РУ-0,4 КТП 10/0,4 кВ №336 по ВЛ 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Мальцевой Е.И., ЗАО «Обильное», поле 19.25.12, Азовский район, Ростовская область, к.н. 61:01:0600006:3541 (ориентировочная протяженность ЛЭП – 0,43 км)</t>
  </si>
  <si>
    <t>Строительство ВЛИ 0,4 кВ от проектируемой опоры проектируемой ВЛ 0,4кВ (по договору №61-1-22-00669161 от 23.09.2022г. с заявителем Мальцевой Е.И.) КТП 10/0,4 кВ № 336 ВЛ 10 кВ 106Н ПС 110/6/10 кВ НС-1 и установка коммерческого учета электрической энергии (мощности) на границе земельного участка для электроснабжения объекта жилого дома заявителя Михайловской Т.В., ЗАО «Обильное», Азовский район, Ростовская область, к.н. 61:01:0600006:3592 (ориентировочная протяженность ЛЭП – 0,4 км)</t>
  </si>
  <si>
    <t>Строительство ВЛ 0,4 кВ от проектируемой опоры проектируемой ВЛ 0,4 кВ проектируемой ТП 10/0,4 кВ (по договору ТП № 61-1-22-00623939 от 27.01.2022г.) ВЛ 10 кВ №307Н ПС 110/35/6/10 кВ НС-3 и установка коммерческого учета электрической энергии (мощности) на границе земельного участка для электроснабжения складского помещения заявителя Арутюнян О.С., Азовский р-он, Ростовская область, к.н. 61:01:060013:250 (ориентировочная протяженность ЛЭП – 0,470 км)</t>
  </si>
  <si>
    <t>Строительство ЛЭП 10 кВ от опоры №10-358 по ВЛ 10 кВ №202Н ПС 110/6/10 кВ НС-2, ТП 10/0,4 кВ, ЛЭП 0,4 кВ и установка системы учета электрической энергии (мощности) на границе земельного участка для электроснабжения жилого дома заявителя Барсегян А.Г., ЗАО Обильное, поле 86-88, 1 км от с. Кулешовка, Азовский район, Ростовская область, к.н. 61:01:0600006:7119 (ориентировочная протяженность ЛЭП– 0,83 км, ориентировочная трансформаторная мощность – 0,025 МВА)</t>
  </si>
  <si>
    <t>Строительство ВЛ 10 кВ от опоры №7-357 по ВЛ 10 кВ №202Н ПС 110/6/10 кВ НС-2, ТП 10/0,4 кВ, ЛЭП 0,4 кВ и установка системы учета электрической энергии (мощности) на границе земельных участков для электроснабжения объектов заявителей Красиковой Э.А., Бутко С.С., Макуевой Н.Т., ЗАО «Обильное», поля 86-88, 1 км от с.Кулешовка Азовский район, Ростовская область, к.н. 61:01:0600006:4095, 61:01:0600006:4085, 61:01:0600006:4074 (ориентировочная протяженность ЛЭП– 0,890 км, ориентировочная трансформаторная мощность – 0,063МВА)</t>
  </si>
  <si>
    <t>Строительство ВЛ 6 кВ от опоры № 63 по ВЛ 6 кВ №2301 ПС 35/6 кВ Правобережная, ТП 6/0,4 кВ, ЛЭП 0,4 кВ и установка системы учета электрической энергии (мощности) на границе земельного участка для электроснабжения объекта животноводства заявителя Зубайриева А.А, Ростовская область, Азовский район, п.Топольки, к.н. 61:01:0600001:147 (ориентировочная протяженность ЛЭП– 2,22 км, ориентировочная трансформаторная мощность – 0,100 МВА)</t>
  </si>
  <si>
    <t>Строительство ВЛ 0,4 кВ от опоры №29-49 ВЛ 0,4 кВ №1 КТП 10/0,4 кВ №29 ВЛ-10 кВ №1411 ПС 110/35/10 кВ А-32 и установка коммерческого учета электрической энергии (мощности) на границе земельного участка для электроснабжения объекта фермерского хозяйства заявителя ИП Понятовская Е.И., Азовский район, Ростовская область, к.н. 61:01:0000000:2243 (ориентировочная протяженность ЛЭП – 0,250 км)</t>
  </si>
  <si>
    <t>Строительство ВЛ 0,4 кВ от опоры № 58-2 ВЛ-0,4 № 1 КТП 10/0,4 кВ №58 по ВЛ 10 кВ №1802 ПС 35/10 кВ А-18 и установка коммерческого учета электрической энергии (мощности) на границе земельного участка для электроснабжения жилого дома заявителя Романенко А.И., Азовский район, Ростовская область, к.н. 61:01:0600002:3205 (ориентировочная протяженность ЛЭП – 0,23 км)</t>
  </si>
  <si>
    <t>Строительство ВЛ 0,4 кВ от №27-112 ВЛ-0,4 кВ №4 КТП 10/0,4 кВ №27 ВЛ 10 кВ №1701 от ПС 35/10 кВ А-17 и установка коммерческого учета электрической энергии (мощности) на границе земельного участка для электроснабжения жилого дома заявителя Грачевского В.В.., с. Круглое, Азовский р-он Ростовская область (ориентировочная протяженность ЛЭП – 0,120 км)</t>
  </si>
  <si>
    <t>Строительство ВЛ 0,4 кВ от опоры №184-70 ВЛ 0,4 кВ №4 технически перевооружаемой КТП 10/0,4 кВ №184 ВЛ-10 кВ №3113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Гаенко Д.В., с. Пешково, Азовский район, Ростовская область, к.н. 61:01:0140101:8756 (ориентировочная протяженность ЛЭП – 0,2 км)</t>
  </si>
  <si>
    <t>Строительство ВЛ 0,4 кВ от опоры №109-10 ВЛ-0,4 кВ №1 КТП 10/0,4 кВ №109 ВЛ 10 кВ №2412 ПС 35/10 кВ А-24 и установка коммерческого учета электрической энергии (мощности) на границе земельного участка для электроснабжения жилого дома заявителя Лют М.С., п. Топольки, Азовский район, Ростовская область, к.н. 61:01:0160401:114 (ориентировочная протяженность ЛЭП – 0,060 км)</t>
  </si>
  <si>
    <t>Строительство ВЛ 0,4 кВ от проектируемой опоры проектируемой ВЛ 0,4 кВ проектируемой ТП 10/0,4 кВ (по договору ТП № 61-1-21-00608867 от 22.10.2021г с заявителем Зубовым А.В.) ВЛ-10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Сабирова Ш.М., Азовский р-он, Ростовская область, к.н. 61:01:06000002:3054 (ориентировочная протяженность ЛЭП – 0,03 км)</t>
  </si>
  <si>
    <t>Строительство ВЛ 0,4 кВ от опоры №228-11 ВЛ-0,4 кВ №1 КТП 10/0,4 кВ №228 ВЛ-10кВ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Перемышлева А.А., п.Овощной, Азовский район, Ростовская область, к.н. 61:01:0130101:5082 (ориентировочная протяженность ЛЭП – 0,100 км)</t>
  </si>
  <si>
    <t>Строительство ВЛ 0,4 кВ от опоры №104-12 ВЛ-0,4 кВ № 1 КТП 10/0,4 кВ № 104 (балансовая принадлежность Администрация Маргаритовского сельского поселения) ВЛ 10 кВ №601 ПС 35/10 кВ А-6 и установка коммерческого учета электрической энергии (мощности) на границе земельного участка для электроснабжения жилого дома заявителя Шпак М.А., х.Чумбур-Коса, Азовский район, Ростовская область, к.н. 61:01:0100501:274 (ориентировочная протяженность ЛЭП – 0,170 км)</t>
  </si>
  <si>
    <t>Строительство ВЛ 0,4 кВ от опоры №69-34 ВЛ-0,4 кВ №1 КТП 10/0,4 кВ №69 ВЛ 10 кВ №1509 ПС 35/10 кВ А-15 и установка коммерческого учета электрической энергии (мощности) на границе земельного участка для электроснабжения жилого дома заявителя Перегудова В.В., х.Марков, Азовский район, Ростовская область, к.н. 61:01:0120401:45 (ориентировочная протяженность ЛЭП – 0,04 км)</t>
  </si>
  <si>
    <t>Строительство ВЛ 0,4 кВ от опоры №158-58 ВЛ-0,4 кВ №2 КТП 10/0,4 кВ №158 ВЛ 10 кВ №1101 ПС 35/10 кВ А-11 и установка коммерческого учета электрической энергии (мощности) на границе земельного участка для электроснабжения жилого дома заявителя Шульгиной З.В., с. Кагальник, Азовский район, Ростовская область, к.н. 61:01:0600004:479 (ориентировочная протяженность ЛЭП – 0,170 км)</t>
  </si>
  <si>
    <t>Строительство ВЛ 0,4 кВ от опоры №201-55 ВЛ-0,4 кВ №2 КТП 10/0,4 кВ №201 ВЛ 10 кВ №1019 ПС 110/35/10 кВ Самарская и установка коммерческого учета электрической энергии (мощности) на границе земельного участка для электроснабжения жилого дома заявителя Пелих Л.В., х. Победа, Азовский район, Ростовская область, к.н. 61:01:0041001:1440 (ориентировочная протяженность ЛЭП – 0,170 км)</t>
  </si>
  <si>
    <t>Строительство ВЛ 0,4 кВ от опоры №259-3 ВЛ-0,4 кВ №1 КТП 6/0,4 кВ №259 ВЛ 6 кВ №10701 ПС 110/35/6 кВ А-1 и установка коммерческого учета электрической энергии (мощности) на границе земельного участка для электроснабжения жилого дома заявителя Высавского А.Ю., г. Азов, Ростовская область, к.н. 61:45:000464:0004 (ориентировочная протяженность ЛЭП – 0,07 км)</t>
  </si>
  <si>
    <t>Строительство ВЛ 0,4 кВ от опоры №85-25 ВЛ-0,4 кВ №4 КТП 10/0,4 кВ №85 ВЛ 10 кВ №2608 ПС 110/10 кВ А-26 и установка коммерческого учета электрической энергии (мощности) на границе земельного участка для электроснабжения жилого дома заявителя Акопян С.Г., с. Кулешовка, Азовский район, Ростовская область, к.н. 61:01:0090102:2598 (ориентировочная протяженность ЛЭП – 0,160 км)</t>
  </si>
  <si>
    <t>Строительство ВЛ 0,4 кВ от опоры №128-38 ВЛ-0,4 кВ №1 КТП 10/0,4 кВ №128 ВЛ 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Скоробогатого А.А., Ростовская область, Азовский район, установлено относительно ориентира расположенного за пределами участка. Ориентир ПТ «Городище». Участок находится примерно в 850 м от ориентира по направлению на юго-восток, к.н. 61:01:0600002:2713 (ориентировочная протяженность ЛЭП – 0,05 км)</t>
  </si>
  <si>
    <t>Строительство ВЛ 0,4 кВ от опоры №45-39 ВЛ-0,4 кВ №3 КТП 10/0,4 кВ №45 ВЛ 10 кВ №2907 РП-29 ПС 35/10 кВ А-18 и установка коммерческого учета электрической энергии (мощности) на границе земельного участка для электроснабжения жилого дома заявителя Саксельцева Е.И., Ростовская область, Азовский район, х. Курган, пер. Лавандовый, д. 2, к.н. 61:01:0500401:217 (ориентировочная протяженность ЛЭП – 0,07 км)</t>
  </si>
  <si>
    <t>Строительство ВЛ 0,4 кВ от опоры №25-150 ВЛ-0,4 кВ №3 КТП 10/0,4 кВ №25 ВЛ-10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Бурдикова А.В., ул. Береговая, д. 45, х. Колузаево, Азовский район, Ростовская область, к.н. 61:01:0030501:732 (ориентировочная протяженность ЛЭП – 0,08 км)</t>
  </si>
  <si>
    <t>Строительство ВЛ 0,4 кВ от РУ-0,4 КТП-95 ВЛ-10 1501 ПС 110 кВ ЗР15 и установка коммерческого учета электрической энергии (мощности) на границе земельного участка для электроснабжения жилого дома заявителя Чайка А.С., Ростовская область, Зерноградский р-н, п. Экспериментальный, ул. Гагарина д.30 к.н. 61:12:0050401:2132 (ориентировочная протяженность ЛЭП – 0,25 км)</t>
  </si>
  <si>
    <t>Строительство ВЛ 0,4 кВ от проектируемой опоры проектируемой ВЛ 0,4 кВ проектируемого ТП 10/0,4 кВ (по договору ТП № 61-1-22-00644701 от 26.04.2022г. с заявителем Войташевской С.А) ВЛ 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Нестерчук В.С., ориентир ПТ «Городище», участок находится примерно в 850 м от ориентира по направлению на юго-восток, р-н Азовский, Ростовская обл., к.н. 61:01:0600002:3087 (ориентировочная протяженность ЛЭП – 0,15 км)</t>
  </si>
  <si>
    <t>Строительство ВЛ 0,4 кВ от опоры №158-53 ВЛ-0,4 кВ №2 КТП 10/0,4 кВ №158 ВЛ-10 кВ №1101 ПС 35/10 кВ А-11 и установка коммерческого учета электрической энергии (мощности) на границе земельного участка для электроснабжения жилого дома заявителя Смурыгина С.И., ул. Замостье, д. 24-В, с. Кагальник, Азовский район, Ростовская область, к.н. 61:01:0060101:5309 (ориентировочная протяженность ЛЭП – 0,03 км)</t>
  </si>
  <si>
    <t>Строительство ВЛ 0,4 кВ от опоры №50-9 ВЛ 0,4кВ № 1 КТП 10/0,4 кВ №50 ВЛ 10 кВ 2907 РП-29 ПС 35/10 кВ А-18 и установка коммерческого учета электрической энергии (мощности) на границе земельного участка для электроснабжения базовой станции/оборудования сотовой связи заявителя ПАО «Ростелеком», ст-ца. Елизаветинская, Азовский район, Ростовская область, к.н. 61:01:0030101 (ориентировочная протяженность ЛЭП – 0,06 км)</t>
  </si>
  <si>
    <t>Строительство ВЛИ 0,4 кВ от проектируемой опоры проектируемой ВЛ 0,4кВ (по договору №61-1-22-00651697 от 08.06.2022г. с заявителем Ивановым Д.А.) МТП 10/0,4 кВ № 316 ВЛ 10 кВ 211 ПС 35/10 кВ А-2 и установка коммерческого учета электрической энергии (мощности) на границе земельного участка для электроснабжения объекта жилого дома заявителя Зайцевой В.В., Азовский район, Ростовская область, к.н. 61:01:0600005:1841 (ориентировочная протяженность ЛЭП – 0,05 км)</t>
  </si>
  <si>
    <t>Строительство ВЛИ 0,4 кВ от опоры № 212-46 ВЛ-0,4кВ №2, КТП - 212 ВЛ-10 612 ПС 35кВ Е-6 и установка коммерческого учета электрической энергии (мощности) на границе земельного участка для электроснабжения жилого дома заявителя Вартанян С.А., Егорлыкский район, Ростовская область, к.н. 61:10:0090101:824 (ориентировочная протяженность ЛЭП – 0,045 км)</t>
  </si>
  <si>
    <t>Строительство ВЛ 0,4 кВ от РУ 0,4 кВ КТП 10/0,4 кВ №19 ВЛ-10 кВ №308Н ПС 110/6/10 кВ НС-3 и установка коммерческого учета электрической энергии (мощности) на границе земельного участка для электроснабжения нежилой застройки заявителя Ишихов А.Д, примерно в 1250м п направлению на север от ориентира в границах бывшего КСП «Задонское», х. Еремеевка (поле 23), Азовский р-н, Ростовская обл., к.н. 61:01:600013:0215 (ориентировочная протяженность ЛЭП – 0,5 км)</t>
  </si>
  <si>
    <t>Строительство ВЛ 0,4 кВ от опоры №346-1 ВЛ-0,4 кВ №1 МТП 10/0,4 кВ №346 ВЛ 10 кВ №105Н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Светличной Т.В., х. Шмат, ул. Степная, д.16 , Азовский район, Ростовская область, к.н. 61:01:0600002:1469 (ориентировочная протяженность ЛЭП – 0,04 км)</t>
  </si>
  <si>
    <t>Строительство ВЛ 0,4 кВ от проектируемой опоры проектируемой ВЛ 0,4 кВ проектируемой ТП 10/0,4 кВ (по договору ТП № 61-1-21-00608867 от 22.10.2021г с заявителем Зубовым А.В.) ВЛ-10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Войташевской С.А., Азовский р-он, Ростовская область, к.н. 61:01:0600002:3047 (ориентировочная протяженность ЛЭП – 0,205 км)</t>
  </si>
  <si>
    <t>Строительство ВЛ 0,4 кВ от опоры №153-64 ВЛ-0,4 кВ №1 КТП 10/0,4 кВ №153 ВЛ-10 кВ №915 ПС 35/10 кВ А-9 и установка коммерческого учета электрической энергии (мощности) на границе земельного участка для электроснабжения жилого дома заявителя Малой Е.В., ул. Калинина, з/у 26, с. Платоно-Петровка, Азовский район, Ростовская область, к.н. 61:01:011601:1488 (ориентировочная протяженность ЛЭП – 0,05 км)</t>
  </si>
  <si>
    <t>Строительство ВЛ 0,4 кВ от проектируемой опоры проектируемой ВЛ 0,4 кВ проектируемой ТП 10/0,4 кВ (по договору ТП № 61-1-22-00661289 от 01.08.2022г. с заявителем Нестерчук В.С.) ВЛ 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Аванян Р.Я., р-н Азовский, Ростовская обл., к.н. 61:01:0600002:3044 (ориентировочная протяженность ЛЭП – 0,025 км)</t>
  </si>
  <si>
    <t>Строительство ВЛ 0,4 кВ от опоры №24-64 ВЛ-0,4 кВ №1 КТП 10/0,4 кВ №24 по ВЛ 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Бесчастного А.А., ул. Береговая, д. 68 г, х. Колузаево, Азовский район, Ростовская область, к.н. 61:01:0030501:1056 (ориентировочная протяженность ЛЭП – 0,04 км)</t>
  </si>
  <si>
    <t>Строительство ВЛ 0,4 кВ от опоры №97-46 ВЛ 0,4кВ № 2 КТП 10/0,4 кВ №97 ВЛ 10 кВ 1101 ПС 35/10 кВ А-11 и установка коммерческого учета электрической энергии (мощности) на границе земельного участка для электроснабжения жилого дома заявителя Виниченко С.М., с. Кагальник, Азовский район, Ростовская область, к.н. 61:01:0060101:12549 (ориентировочная протяженность ЛЭП – 0,06 км)</t>
  </si>
  <si>
    <t>Строительство ВЛ 0,4 кВ от опоры №120-38 ВЛ-0,4 кВ №1 КТП 10/0,4 кВ №120 ВЛ-10 кВ №1107 ПС 35/10 кВ А-11 и установка коммерческого учета электрической энергии (мощности) на границе земельного участка для электроснабжения гаража заявителя Волобуевой Л.В., ул. Пролетарская, в районе дома №59, с. Кагальник, Азовский район, Ростовская область, к.н. 61:01:0060101:11127 (ориентировочная протяженность ЛЭП – 0,065 км)</t>
  </si>
  <si>
    <t>Строительство ВЛ 0,4 кВ от оп. № 111-91 ВЛ 0,4 кВ № 3 КТП 10/0,4 кВ №111 ВЛ 10 кВ 3113 ПС 110/35/10 кВ А-31 и установка коммерческого учета электрической энергии (мощности) на границе земельного участка для электроснабжения объекта жилого дома заявителя Ермоленко Е.В., с. Пешково, Азовский район, Ростовская область, к.н. 61:01:0140101:9232 (ориентировочная протяженность ЛЭП – 0,09 км)</t>
  </si>
  <si>
    <t>Строительство ВЛ 0,4 кВ от проектируемой опоры проектируемой ВЛ 0,4 кВ (по договору ТП № 61-1-22-00661289 от 01.08.2022г. с заявителем Нестерчук В.С.) ВЛ 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Захаровой Н.Н., р-н Азовский, Ростовская обл., к.н. 61:01:0600002:3075 (ориентировочная протяженность ЛЭП – 0,24 км)</t>
  </si>
  <si>
    <t>Строительство ЛЭП 10 кВ от опоры №81 по ВЛ 10 кВ №2412 ПС 35/10 кВ А-24, МТП 10/0,4 кВ, ЛЭП 0,4 кВ и установка системы учета электрической энергии (мощности) на границе земельного участка для электроснабжения жилого дома заявителя Калинченко Н.В., х.Лагутник, Азовский район, Ростовская область, к.н. 61:01:0160201:130 (ориентировочная протяженность ЛЭП– 0,14 км, ориентировочная трансформаторная мощность – 0,025 МВА)</t>
  </si>
  <si>
    <t>Строительство ВЛ 0,4 кВ от проектируемой опоры проектируемой ВЛ 0,4 кВ (по договору ТП № 61-1-22-00655829 от 13.07.2022г. с заявителем Манацким А.В.) КТП 10/0,4кВ №40 ВЛ 10кВ №1802 ПС 35/10 кВ А-18 и установка коммерческого учета электрической энергии (мощности) на границе земельного участка для электроснабжения жилого дома заявителя Калиныч А.С., х. Рогожкино, р-н Азовский, Ростовская обл., к.н. 61:01:0160101:1462 (ориентировочная протяженность ЛЭП – 0,03 км)</t>
  </si>
  <si>
    <t>Строительство ВЛ 0,4 кВ от опоры №40-19 ВЛ-0,4 кВ №1 КТП 10/0,4 кВ №40 ВЛ-10 кВ №1802 ПС 35/10 кВ А-18 и установка коммерческого учета электрической энергии (мощности) на границе земельного участка для электроснабжения жилого дома заявителя Манацкого А.В., ул. Набережная, д. 158-а, х. Рогожкино, Азовский район, Ростовская область, к.н. 61:01:160101:1204 (ориентировочная протяженность ЛЭП – 0,24 км)</t>
  </si>
  <si>
    <t>Строительство ВЛ 0,4 кВ от опоры №127-21 ВЛ-0,4 кВ №1 КТП 10/0,4 кВ №127 ВЛ-10 кВ №1310 ПС 35/10 кВ А-13 и установка коммерческого учета электрической энергии (мощности) на границе земельного участка для электроснабжения жилого дома заявителя Ковалева В.П., с.Елизаветовка, Азовский район, Ростовская область (ориентировочная протяженность ЛЭП – 0,35 км)</t>
  </si>
  <si>
    <t>Строительство ВЛ 0,4 кВ от оп. № 136-44 ВЛ 0,4 кВ № 2 КТП 10/0,4 кВ №136 ВЛ 10 кВ 3113 ПС 110/35/10 кВ А-31 и установка коммерческого учета электрической энергии (мощности) на границе земельного участка для электроснабжения объекта жилого дома заявителя Левченко С.А., с. Пешково, Азовский район, Ростовская область, к.н. 61:01:0140101:9207 (ориентировочная протяженность ЛЭП – 0,150 км)</t>
  </si>
  <si>
    <t>Строительство ВЛ 0,4 кВ от опоры №144-49 ВЛ 0,4кВ № 2 КТП 10/0,4 кВ №144 ВЛ 10 кВ 1107 ПС 35/10 кВ А-11 и установка коммерческого учета электрической энергии (мощности) на границе земельного участка для электроснабжения жилого дома заявителя Фролова А.В., с. Кагальник, Азовский район, Ростовская область, к.н. 61:01:0060101:2907 (ориентировочная протяженность ЛЭП – 0,025 км)</t>
  </si>
  <si>
    <t>Строительство ВЛ 0,4 кВ от опоры №10-27 ВЛ 0,4кВ №2 КТП 10/0,4кВ №10 ВЛ 10кВ №3125 от ПС 110/35/10 кВ А-31 и установка коммерческого учета электрической энергии (мощности) на границе земельного участка для электроснабжения жилого дома заявителя Шевкун К.С., с. Пешково, ул. Полевая, д. 5,46, Азовский район, Ростовская область, к.н. 61:01:0140101:2135 (ориентировочная протяженность ЛЭП – 0,100 км)</t>
  </si>
  <si>
    <t>Строительство ВЛ 0,4 кВ от оп. №36-7 ВЛ 0,4 кВ №1 МТП 10/0,4 кВ №36 ВЛ 10кВ №1815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Лячина В.С., Азовский район, Ростовская область, к.н. 61:01:0600002:2267 (ориентировочная протяженность ЛЭП – 0,19 км)</t>
  </si>
  <si>
    <t>Строительство ЛЭП 10 кВ от опоры №105 по ВЛ 10 кВ №214 ПС 35/10 кВ А-2, ТП 10/0,4 кВ, ЛЭП 0,4 кВ и установка системы учета электрической энергии (мощности) на границе земельного участка для электроснабжения двух объектов сельскохозяйственного производства заявителя ООО «Азовская Рыбная Компания», х.Усть-Койсуг, Азовский район, Ростовская область, к.н. 61:01:0600003:1778, к.н. 61:01:0600003:1779 (ориентировочная протяженность ЛЭП– 0,155 км, ориентировочная трансформаторная мощность – 0,1 МВА)</t>
  </si>
  <si>
    <t>Строительство ВЛ 0,4 кВ от проектируемой опоры проектируемой ВЛ 0,4 кВ (по договору ТП № 61-1-22-00647813 от 16.05.2022г. с заявителем Рагимовой А.В.) МТП 10/0,4 кВ № 311 ВЛ 10 кВ №106 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Рыбакова А.А., СХА «Кулешовское» поле III о, р-н Азовский, Ростовская обл., к.н. 61:01:0600006:4937 (ориентировочная протяженность ЛЭП – 0,105 км)</t>
  </si>
  <si>
    <t>Строительство ЛЭП 10 кВ от опоры №186 по ВЛ 10 кВ №901 ПС 35/10 кВ А-9, ТП 10/0,4 кВ, ЛЭП 0,4 кВ и установка системы учета электрической энергии (мощности) на границе земельного участка для электроснабжения объекта животноводства заявителя Литвиненко С.П., с/п Новоалександровское, прилегающий к земельному участку с кадастровым номером 61:01:0600005:1902, Азовский район, Ростовская область, к.н. 61:01:0600005:3158 (ориентировочная протяженность ЛЭП– 0,065 км, ориентировочная трансформаторная мощность – 0,025 МВА)</t>
  </si>
  <si>
    <t>Строительство ВЛ 0,4 кВ от опоры №64-9 ВЛ 0,4 кВ №1 технически перевооружаемой ТП 10/0,4 кВ №64 ВЛ 10 кВ 1814 ПС 35/10 кВ А-18 и установка коммерческого учета электрической энергии (мощности) на границе земельного участка для электроснабжения жилого дома заявителя Букина Р.Е., х. Обуховка, Азовский район, Ростовская область (ориентировочная протяженность ЛЭП – 0,110 км)</t>
  </si>
  <si>
    <t>Строительство ВЛ 0,4 кВ от проектируемой опоры проектируемой ВЛИ 0,4 кВ (по договору ТП № 61-1-21-00608867 от 22.10.2021г. с заявителем Войташевской С.А.) проектируемого ТП 10/0,4 кВ по ВЛ 10 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Куцепаловой Л.М., ул. Изумрудная, д. 37, х. Казачий Ерик, р-н Азовский, Ростовская обл., к.н. 61:01:0600002:1293 (ориентировочная протяженность ЛЭП – 0,03 км)</t>
  </si>
  <si>
    <t xml:space="preserve">Строительство ВЛ 0,4 кВ от опоры №57-2 ВЛ 0,4 кВ №1 МТП 10/0,4кВ №57 ВЛ 10кВ №1815 ПС 35/10 кВ А-18 и установка коммерческого учета электрической энергии (мощности) на границе земельного участка для электроснабжения жилого дома заявителя Евстратовой А.Е., ул. Донская, 269 В, х. Курган, Азовский район, Ростовская область, к.н. 61:01:0030701:1620 (ориентировочная протяженность ЛЭП – 0,170 км) </t>
  </si>
  <si>
    <t>Строительство ВЛ 0,4 кВ от проектируемой опоры проектируемой ВЛ 0,4кВ проектируемой ТП 10/0,4 кВ (по договору №61-1-22-00668807 от 26.09.2022г. с заявителем Захаровой Н.Н.) ВЛ 10 кВ 1815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Балашовой Е.В., Азовский район, Ростовская область, к.н. 61:01:0600002:3076 (ориентировочная протяженность ЛЭП – 0,04 км)</t>
  </si>
  <si>
    <t>Строительство ВЛ 0,4 кВ от опоры №14-169/6 ВЛ 0,4кВ № 3 КТП 10/0,4 кВ №14 ВЛ 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Задоркина Н.В., п. Овощной, Азовский район, Ростовская область, к.н. 61:01:0130101:5167 (ориентировочная протяженность ЛЭП – 0,03 км)</t>
  </si>
  <si>
    <t>Строительство ЛЭП 10 кВ от опоры №291 по ВЛ 10 кВ №102 ПС 110 кВ Звонкая,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Филатов М.Ю., Ростовская область, Кагальницкий р-н, х. Зеленая Роща, ул. Полтавская д.37 к.н. 61:14:0070205:81(ориентировочная протяженность ЛЭП– 0,11 км, ориентировочная трансформаторная мощность – 0,250 МВА)</t>
  </si>
  <si>
    <t>Строительство ВЛ 0,4кВ от оп. №61-55 ВЛ-0,4 кВ №2 КТП 10/0,4 кВ №61 ВЛ 10 кВ №301Н ПС 110/6/10 кВ НС-3 и установка коммерческого учета электрической энергии (мощности) на границе земельного участка для электроснабжения объекта фермерского хозяйства заявителя Богомолова И.М., Азовский район, Ростовская область, к.н. 61:01:0600013:2450 (ориентировочная протяженность ЛЭП – 0,3 км)</t>
  </si>
  <si>
    <t>Строительство ВЛ 0,4 кВ от проектируемой опоры проектируемой ВЛ 0,4 кВ (по договору ТП № 61-1-22-00658851 от 13.07.2022г. с заявителем Стецун Г.А.) КТП 10/0,4 кВ № 97 ВЛ 10 кВ №2907 РП-29 ПС 35/10 кВ А-18 и установка коммерческого учета электрической энергии (мощности) на границе земельного участка для электроснабжения хоз.постройки заявителя Панкиной М.А., ул. Степная, д. 42 а, х. Казачий Ерик, р-н Азовский, Ростовская обл., к.н. 61:01:0030401:1025 (ориентировочная протяженность ЛЭП – 0,11 км)</t>
  </si>
  <si>
    <t>Строительство ВЛ 0,4 кВ от проектируемой опоры проектируемой ВЛ 0,4 кВ (по договору ТП № 61-1-21-00601351 от 17.09.2022г. с заявителем Букиным Р.Е.) МТП 10/0,4 кВ №64 ВЛ 10 кВ №1814 ПС 35/10 кВ А-18 и установка коммерческого учета электрической энергии (мощности) на границе земельного участка для электроснабжения жилого дома заявителя Токаревой О.В., х. Обуховка, р-н Азовский, Ростовская обл., к.н. 61:01:0030801:2133 (ориентировочная протяженность ЛЭП – 0,120 км)</t>
  </si>
  <si>
    <t>Строительство ВЛ 0,4 кВ от оп. №105-95 ВЛ-0,4 кВ №3 КТП 10/0,4 кВ №105 по ВЛ 10 кВ №2608 ПС 110/10 кВ А-26 и установка коммерческого учета электрической энергии (мощности) на границе земельных участков для электроснабжения жилого дома заявителя Чуйкова К.С., х. Новоалександровка, Азовский р-он Ростовская область (ориентировочная протяженность ЛЭП – 0,280 км)</t>
  </si>
  <si>
    <t>Строительство ВЛ 0,4 кВ от опоры №б/н ВЛ 0,4кВ КТП 10/0,4кВ №37 (на балансе Администрации Елизаветинского сельского поселения) ВЛ 10кВ №1802 от ПС 35/10 кВ А-18 и установка коммерческого учета электрической энергии (мощности) на границе земельного участка для электроснабжения нежилого здания заявителя Бурым А.В., х. Дугино, пер. Пионерский, д. 8 А, Азовский район, Ростовская область, к.н. 61:01:0030301:845 (ориентировочная протяженность ЛЭП – 0,04 км)</t>
  </si>
  <si>
    <t>Строительство ВЛ 0,4 кВ от опоры №192-29 ВЛ-0,4 кВ №4 КТП 10/0,4 кВ №192 ВЛ-10 кВ №1020 ПС 110/35/10 кВ Самарская и установка коммерческого учета электрической энергии (мощности) на границе земельного участка для электроснабжения нежилой застройки заявителя Бойко Л.П., в границах землепользования бывшего ТОО «Самарское», поле IX, отд. 1 (27), пастбище примерно 100 м от ориентира на север, ориентир с. Самарское, Азовский район, Ростовская область, к.н. 61:01:0600014:3855 (ориентировочная протяженность ЛЭП – 0,5 км)</t>
  </si>
  <si>
    <t>Строительство ВЛ 0,4 кВ от опоры №20-51 ВЛ-0,4 кВ №3 КТП 10/0,4 кВ №20 по ВЛ 10 кВ №3016 ПС 220/110/10 кВ А-30 и установка коммерческого учета электрической энергии (мощности) на границе земельного участка для электроснабжения хозяйственной постройки заявителя ИП Роганский Б.В., ул. Победы, д. 27, с.Кугей, Азовский район, Ростовская область, к.н. 61:01:0080101:912 (ориентировочная протяженность ЛЭП – 0,18 км)</t>
  </si>
  <si>
    <t>Строительство ЛЭП 10 кВ от опоры №183 по ВЛ 10 кВ №606 ПС 35/10 кВ А-6, ТП 10/0,4 кВ, ЛЭП 0,4 кВ и установка системы учета электрической энергии (мощности) на границе земельного участка для электроснабжения складского помещения заявителя ИП Процевский А.А., с. Порт-Катон, Азовский район, Ростовская область (ориентировочная протяженность ЛЭП– 0,05 км, ориентировочная трансформаторная мощность – 0,025 МВА)</t>
  </si>
  <si>
    <t>Строительство ВЛ 0,4 кВ от оп. №182-43 ВЛ-0,4 №3 КТП-182 ВЛ-10 805 ПС 110 кВ БОС и установка коммерческого учета электрической энергии (мощности) на границе земельного участка для электроснабжения индивидуального жилищного строительства заявителя Рамазановой Л.А., Ростовская область, Кагальницкий р-н, п. Мокрый Батай, пер. Луговой д.26 к.н. 61:14:0060107:787 (ориентировочная протяженность ЛЭП – 0,18 км)</t>
  </si>
  <si>
    <t>Строительство ВЛ 0,4 кВ от оп. №117-61 ВЛ-0,4 №1 КТП-117 ВЛ 10 кВ 805 ПС 110 кВ БОС и установка коммерческого учета электрической энергии (мощности) на границе земельного участка для электроснабжения общественной территории заявителя Администрации муниципального образования «Мокробатайское сельское поселение» Ростовская область, Кагальницкий р-н, п. Мокрый Батай, ул. Парковая д.10, к.н. 61:14:0060106:925 (ориентировочная протяженность ЛЭП – 0,03 км)</t>
  </si>
  <si>
    <t>Строительство ВЛ 0,4кВ от оп. №114-71 ВЛ 0,4 кВ №2 КТП 10/0,4 кВ №114 ВЛ 10 кВ №1405 ПС 110/35/10 кВ А-32 и установка коммерческого учета электрической энергии (мощности) на границе земельного участка для электроснабжения объекта антенно-мачтового сооружения 61-11249 заявителя АО "Первая Башенная Компания", п. Новополтавский, Азовский район, Ростовская область, к.н. 61:01:0150101 (ориентировочная протяженность ЛЭП – 0,115 км)</t>
  </si>
  <si>
    <t>Строительство ВЛ 0,4 кВ от оп. №48-90 ВЛ 0,4кВ №1 КТП 10/0,4кВ №48 ВЛ 10кВ №1815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Гризодуб Н.Н., х. Колузаево, Азовский район, Ростовская область, к.н. 61:01:0600002:3363 (ориентировочная протяженность ЛЭП – 0,145 км)</t>
  </si>
  <si>
    <t>Строительство ВЛ 0,4 кВ от опоры №201-48 ВЛ-0,4 кВ №2 КТП 10/0,4 кВ №201 ВЛ-10 кВ №1019 ПС 110/35/10 кВ Самарская и установка коммерческого учета электрической энергии (мощности) на границе земельного участка для электроснабжения жилого дома заявителя Бабаян О.В., пер. Алмазный, д. 48-б, х. Победа, Азовский район, Ростовская область, к.н. 61:01:0041001:940 (ориентировочная протяженность ЛЭП – 0,26 км)</t>
  </si>
  <si>
    <t>Строительство ВЛ 0,4кВ от оп. №329-62 ВЛ-0,4 кВ №3 от КТП 10/0,4 кВ №329 ВЛ 10кВ №106Н ПС 110/6/10 кВ НС-1 и установка коммерческого учета электрической энергии (мощности) на границе земельного участка для электроснабжения объекта жилого дома заявителя Древс А.И., ДНТ «Виктория», Азовский район, Ростовская область, к.н. 61:01:0600006:6073 (ориентировочная протяженность ЛЭП – 0,05 км)</t>
  </si>
  <si>
    <t>Строительство ВЛ 0,4 кВ от опоры №245-30 ВЛ 0,4кВ № 2 КТП 10/0,4 кВ №245 ВЛ 10 кВ 2008 ПС 220/110/10 кВ А-20 и установка коммерческого учета электрической энергии (мощности) на границе земельного участка для электроснабжения жилого дома заявителя Колесникова А.М., ДНТ «Искра», Азовский район, Ростовская область, к.н. 61:01:0501801:1943 (ориентировочная протяженность ЛЭП – 0,09 км)</t>
  </si>
  <si>
    <t>Строительство ВЛ 0,4кВ от РУ 0,4 кВ МТП 10/0,4 кВ №326 ВЛ 10кВ №202Н ПС 110/6/10 кВ НС-2 и установка коммерческого учета электрической энергии (мощности) на границе земельного участка для электроснабжения объекта жилого дома заявителя Шаровой Е.В., с. Кулешовка, Азовский район, Ростовская область, к.н. 61:01:0600006:9144 (ориентировочная протяженность ЛЭП – 0,095 км)</t>
  </si>
  <si>
    <t>Строительство ВЛ 0,4 кВ от оп. №136-53 ВЛ 0,4кВ №2 КТП 10/0,4кВ №136 ВЛ 10кВ №1107 ПС 35/10 кВ А-11 и установка коммерческого учета электрической энергии (мощности) на границе земельного участка для электроснабжения объекта жилого дома заявителя Толочной С.В., х. Узяк, Азовский район, Ростовская область, к.н. 61:01:0060501:760 (ориентировочная протяженность ЛЭП – 0,07 км)</t>
  </si>
  <si>
    <t>Строительство ВЛ 0,4кВ от оп. №166-37 ВЛ 0,4 кВ №1 КТП 10/0,4 кВ №166 ВЛ 10 кВ №914 ПС 35/10 кВ А-9 и установка коммерческого учета электрической энергии (мощности) на границе земельного участка для электроснабжения объекта жилого дома заявителя Руднева В.Н., х. Павловка, Азовский район, Ростовская область, к.н. 61:01:0110401:2200 (ориентировочная протяженность ЛЭП – 0,06 км)</t>
  </si>
  <si>
    <t>Строительство ВЛ 0,4 кВ от оп. №190-2 ВЛ 0,4 кВ № 1 КТП 10/0,4 кВ №190 ВЛ 10 кВ №1020 ПС 110/35/10 кВ Самарская и установка коммерческого учета электрической энергии (мощности) на границе земельного участка для электроснабжения объекта крестьянского (фермерского) хозяйства заявителя Шаповалова С.В., поле № III к уч. I (пашня), балка «Кагальницкая» (между полем № IV уч. 3 с/а и п. Воронцовка западная часть) – пастбище в границах ЗАО «Батайское», Азовский район, Ростовская область, к.н. 61:01:0600007:1352 (ориентировочная протяженность ЛЭП – 0,51 км)</t>
  </si>
  <si>
    <t>Строительство ВЛ 0,4 кВ от опоры №117-13 ВЛ 0,4кВ № 1 КТП 10/0,4 кВ №117 ВЛ 10 кВ 1910 РП-19 ПС 110/35/10 кВ Самарская и установка коммерческого учета электрической энергии (мощности) на границе земельного участка для электроснабжения здания заявителя Попик Е.В., Азовский район, Ростовская область, к.н. 61:01:0600020:3361 (ориентировочная протяженность ЛЭП – 0,19 км)</t>
  </si>
  <si>
    <t>Строительство ВЛ 0,4 кВ от оп. №100-63 ВЛ-0,4 №1 КТП 10/0,4 кВ №100 ВЛ 10 кВ 1210 ПС 110 кВ Манычская и установка коммерческого учета электрической энергии (мощности) на границе земельного участка для электроснабжения объекта сельскохозяйственного производства заявителя ИП Голобородько Н.Н. Ростовская область, Зерноградский р-н, п. Новые Постройки, в 0,536 км на северо-восток от северо-восточной его окраины, к.н. 61:12:0600101:1719 (ориентировочная протяженность ЛЭП – 0,21 км)</t>
  </si>
  <si>
    <t>Строительство ВЛ 0,4 кВ от проектируемой опоры проектируемой ВЛ 0,4кВ (по договору № 61-1-22-00666267 от 29.09.2022г. с заявителем МБУЗ «ЦРБ» Зерноградского р-на) КТП-44 по ВЛ 10 кВ 806 ПС 35 кВ ЗР-8 и установка коммерческого учета электрической энергии (мощности) на границе земельного участка для электроснабжения объекта храма заявителя Местная религиозная организация православный приход храма иконы Божей Матери "Живоносный Источник", р-н. Зерноградский, х. Донской, к.н. 61:12:0080207:593 (ориентировочная протяженность ЛЭП – 0,2 км)</t>
  </si>
  <si>
    <t>Строительство ВЛ 0,4кВ от оп. №45-90 ВЛ 0,4 кВ №2 КТП 10/0,4 кВ №45 ВЛ 10 кВ №1613 ПС 35/10 кВ А-16 и установка коммерческого учета электрической энергии (мощности) на границе земельного участка для электроснабжения объекта жилого дома заявителя Левченко А.И., х. Калиновка, Азовский район, Ростовская область, к.н. 61:01:0050501:122 (ориентировочная протяженность ЛЭП – 0,28 км)</t>
  </si>
  <si>
    <t>Строительство ВЛ 0,4 кВ от оп. №47-19 ВЛ 0,4 кВ №1 КТП-47 ВЛ-10 806 ПС 35 кВ ЗР8 и установка коммерческого учета электрической энергии (мощности) на границе земельного участка для электроснабжения объекта малоэтажной жилой застройки заявителя Задорожный С.Н., Ростовская область Зерноградский р-н, с. Новокузнецовка, к.н. 61:12:0600701:635 (ориентировочная протяженность ЛЭП – 0,35 км)</t>
  </si>
  <si>
    <t>Строительство ВЛ 0,4 кВ от опоры №350-28 ВЛ-0,4 кВ №3 КТП 6/0,4 кВ №350 ВЛ-6кВ №207Н ПС 110/6/10 кВ НС-2 и установка коммерческого учета электрической энергии (мощности) на границе земельного участка для электроснабжения жилого дома заявителя Дуюнова Н.В., СТ «Квант», Азовский район, Ростовская область, к.н. 61:01:0502901:1248 (ориентировочная протяженность ЛЭП – 0,140 км)</t>
  </si>
  <si>
    <t>Строительство ЛЭП 10 кВ от опоры № 3-17 по ВЛ 10 кВ №107Н ПС 110/10/6 кВ НС-1, ТП 10/0,4 кВ, ЛЭП 0,4 кВ и установка системы учета электрической энергии (мощности) на границе земельного участка для электроснабжения объекта торговли заявителя ИП Поповой Н.Е., Ростовская область, Азовский район, п.Овощной, ул.М.Горького, д. 19 а (ориентировочная протяженность ЛЭП– 0,025 км, ориентировочная трансформаторная мощность – 0,100 МВА)</t>
  </si>
  <si>
    <t>Строительство ЛЭП 10 кВ от опоры №5-8 по ВЛ 10 кВ №1802 ПС 35/10 кВ А-18, ТП 10/0,4 кВ, ЛЭП 0,4 кВ и установка системы учета электрической энергии (мощности) на границе земельного участка для электроснабжения жилого дома заявителя Исаева А.Е., х.Дугино, Азовский район, Ростовская область, к.н. 61:01:0030301:559 (ориентировочная протяженность ЛЭП– 0,11 км, ориентировочная трансформаторная мощность – 0,025 МВА)</t>
  </si>
  <si>
    <t>Строительство ВЛ 0,4 кВ от РУ 0,4 кВ КТП 10/0,4 кВ №108 ВЛ 10 кВ №1908 РП-19 ПС 110/35/10 кВ Самарская и установка коммерческого учета электрической энергии (мощности(3 шт)) на границе земельного участка для электроснабжения жилых домов заявителей Ленгле В.А.,Кузнецова Я.А.,Борисова А.П., х.Большевик, Азовский район, Ростовская область, к.н. 61:01:0050301:49:13, 61:01:0050301:12, 61:01:050301:0014 (ориентировочная протяженность ЛЭП – 0,250 км)</t>
  </si>
  <si>
    <t>Строительство ВЛ 0,4 кВ от РУ 0,4 кВ КТП 10/0,4 кВ №108 ВЛ 10 кВ №1908 РП-19 ПС 110/35/10 кВ Самарская и установка коммерческого учета электрической энергии (мощности) на границе земельного участка для электроснабжения жилого дома заявителя Дергачевой Н.А., х.Большевик, Азовский район, Ростовская область, к.н. 61:01:0050301:25 (ориентировочная протяженность ЛЭП – 0,180 км)</t>
  </si>
  <si>
    <t>Строительство ВЛ 0,4 кВ от РУ 0,4 кВ КТП 10/0,4 кВ №108 ВЛ 10 кВ №1908 РП-19 ПС 110/35/10 кВ Самарская и установка коммерческого учета электрической энергии (мощности) на границе земельного участка для электроснабжения жилого дома заявителя Маджидова Р., х.Большевик, Азовский район, Ростовская область, к.н. 61:01:0050301:157 (ориентировочная протяженность ЛЭП – 0,120 км)</t>
  </si>
  <si>
    <t>Строительство ВЛ 0,4 кВ от проектируемой опоры проектируемой ВЛ 0,4 кВ (по договору ТП № 61-1-21-00611421 от 11.11.2021г. с заявителем Саленко И.В.) КТП 10/0,4 кВ №329 ВЛ 10 кВ №106Н ПС 110/6/10 кВ НС-1 и установка коммерческого учета электрической энергии (мощности) на границе земельного участка для электроснабжения жилого дома заявителя Прудникова А.С., участок находится примерно в 5,9 км по направлению на северо-восток от пункта ГГС Пеленкин (СХА (К) Кулешовское поле III о), Азовский р-он, Ростовская область, к.н. 61:01:0600006:5378 (ориентировочная протяженность ЛЭП – 0,260 км)</t>
  </si>
  <si>
    <t xml:space="preserve">Строительство ВЛ 0,4 кВ от оп. №53-13 ВЛ 0,4кВ №1 КТП 10/0,4кВ №53 ВЛ 10кВ №1815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Тимошенко В.В., СНТ «Надежда-4», Азовский район, Ростовская область, к.н. 61:01:0500301:401 (ориентировочная протяженность ЛЭП – 0,065 км) </t>
  </si>
  <si>
    <t xml:space="preserve">Строительство ВЛ 0,4кВ от оп. №334-26 ВЛ 0,4 кВ №1 КТП 10/0,4 кВ №334 ВЛ 10кВ №202Н ПС 110/6/10 кВ НС-2 и установка коммерческого учета электрической энергии (мощности) на границе земельного участка для электроснабжения объекта жилого дома заявителя Дегтяренко В.В., ЗАО Обильное, Азовский район, Ростовская область, к.н. 61:01:0600006:3792 (ориентировочная протяженность ЛЭП – 0,02 км) </t>
  </si>
  <si>
    <t xml:space="preserve"> Строительство ВЛ 0,4 кВ от оп. №32-71 ВЛ 0,4кВ №3 КТП 10/0,4кВ №32 ВЛ 10кВ №2907 РП 29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Шиманской Н.В., х. Коса, Азовский район, Ростовская область, к.н. 61:01:0030601:6263 (ориентировочная протяженность ЛЭП – 0,075 км) </t>
  </si>
  <si>
    <t xml:space="preserve">Строительство ВЛ 0,4 кВ от оп. №311-3/10 ВЛ 0,4 кВ №3 МТП 10/0,4 кВ №311 ВЛ 10 кВ №106Н ПС 110/6/10 кВ НС-1 и установка коммерческого учета электрической энергии (мощности) на границе земельного участка для электроснабжения объекта жилого дома заявителя Розваского О.В., ТСН «СНТ Белгорос», Азовский район, Ростовская область, к.н. 61:01:0600006:4970 (ориентировочная протяженность ЛЭП – 0,07 км) </t>
  </si>
  <si>
    <t xml:space="preserve">Строительство ВЛИ 0,4кВ от оп. № 307-7 ВЛ-0,4 № 1 КТП - 307 ВЛ-10 № 217 ПС 110кВ Егорлыкская и установка коммерческого учета электрической энергии (мощности) на границе земельного участка для электроснабжения объекта жилого дома заявителя Гюрджян Ю.М., р-н. Егорлыкский, ст. Егорлыкская, пер. Чапаева 164а, к.н. 61:10:0100102:496 (ориентировочная протяженность ЛЭП – 0,06 км) </t>
  </si>
  <si>
    <t>Строительство ВЛИ 0,4кВ от оп. № 317-29 ВЛ-0,4кВ №2 КТП - 317 ВЛ-10 612 ПС 35кВ Е-6 и установка коммерческого учета электрической энергии (мощности) на границе земельного участка для электроснабжения объекта жилого дома заявителя Каспарян М.М., р-н. Егорлыкский, х. Шаумяновский, ул. Центральная, д. 8, к.н. 61:10:0090101:639 (ориентировочная протяженность ЛЭП – 0,045 км)</t>
  </si>
  <si>
    <t xml:space="preserve">Строительство ВЛ 0,4 кВ от оп. №132-5 ВЛ 0,4 кВ №1 КТП-132 ВЛ-10 № 205 ПС 35 кВ КГ2 и установка коммерческого учета электрической энергии (мощности) на границе земельного участка для электроснабжения объекта базовой станции заявителя ПАО «Ростелеком», Ростовская область Кагальницкий р-н, п. Светлый Яр (ориентировочная протяженность ЛЭП – 0,02 км) </t>
  </si>
  <si>
    <t>Строительство ВЛ 0,4 кВ от опоры №43-48 по ВЛ 0,4 кВ №2 КТП 10/0,4 кВ №43 ВЛ 10 кВ №1802 ПС 35/10 кВ А-18 и установка коммерческого учета электрической энергии (мощности) на границе земельного участка для электроснабжения объекта сельскохозяйственного производства заявителя Колесниченко С.Н., х. Рогожкино, Азовский район, Ростовская область, к.н. 61:01:0600001:168 (ориентировочная протяженность ЛЭП – 0,39 км)</t>
  </si>
  <si>
    <t>Строительство ВЛ 0,4кВ от оп. №16-90 ВЛ-0,4 кВ №3 КТП 10/0,4 кВ №16 ВЛ 10 кВ №2608 ПС 110/10 кВ А-26 и установка коммерческого учета электрической энергии (мощности) на границе земельного участка для электроснабжения объекта жилого дома заявителя Панченко О.Н., с. Кулешовка, Азовский район, Ростовская область, к.н. 61:01:0090101:8329 (ориентировочная протяженность ЛЭП – 0,055 км)</t>
  </si>
  <si>
    <t>Строительство ВЛ 0,4 кВ от РУ 0,4 кВ ТП 10/0,4кВ №233 ВЛ 10кВ №1002 ПС 110/35/10 кВ Самарская и установка коммерческого учета электрической энергии (мощности) на границе земельного участка для электроснабжения дачного домика заявителя Машуровой И.А., Азовский р-он, Ростовская область, СТ «Зенит», к.н.61:01:0504001:49 (ориентировочная протяженность ЛЭП – 0,2 км)</t>
  </si>
  <si>
    <t>Строительство ЛЭП 10 кВ от опоры № 41-113 по ВЛ 10 кВ 305 ПС 35 кВ КГ3, ТП 10/0,4 кВ, ЛЭП 0,4 кВ и установка системы учета электрической энергии (мощности) на границе земельного участка для электроснабжения навеса заявителя ИП Бенделиани А.С., Ростовская область, р-н Кагальницкий, к.н. 61:14:050152:0001 (ориентировочная протяженность ЛЭП– 0,22 км, ориентировочная трансформаторная мощность – 0,100 МВА)</t>
  </si>
  <si>
    <t>Строительство ВЛ 0,4кВ от оп. №112-1 ВЛ 0,4кВ №1 СТП 10/0,4 кВ №112 ВЛ 10кВ №2412 ПС 35/10кВ А-24 и установка коммерческого учета электрической энергии (мощности) на границе земельного участка для электроснабжения жилого дома заявителя Жадаевой М.А., Ростовская обл., Азовский р-н, х. Лагутник, ул. Береговая, к.н. 61:01:0160201:141 (ориентировочная протяженность ЛЭП – 0,170 км)</t>
  </si>
  <si>
    <t>Строительство ВЛ 0,4кВ от РУ 0.4 кВ КТП 10/0,4 кВ №178 по ВЛ 10 кВ №1011 ПС 110/35/10 кВ Самарская и установка коммерческого учета электрической энергии (мощности) на границе земельного участка для электроснабжения объекта нежилой застройки заявителя ИП Ищенко А.С., Азовский район, Ростовская область, к.н. 61:01:0600020:2377 (ориентировочная протяженность ЛЭП – 0,12 км)</t>
  </si>
  <si>
    <t>Строительство ВЛ 0,4 кВ от РУ 0,4 кВ КТП 10/0,4 кВ №144 ВЛ 10 кВ №1107 ПС 35/10 кВ А-11 и установка коммерческого учета электрической энергии (мощности) на границе земельного участка для электроснабжения жилого дома заявителя Скворцова В.В., с.Кагальник, Азовский район, Ростовская область, к.н. 61:01:0060101:11033 (ориентировочная протяженность ЛЭП – 0,140 км)</t>
  </si>
  <si>
    <t>Строительство ВЛ 0,4 кВ от опоры №316-12 ВЛ 0,4 кВ №1 технически перевооружаемой МТП 10/0,4 кВ №316 ВЛ-10 кВ №211 ПС 35/10 кВ А-2 и установка коммерческого учета электрической энергии (мощности) на границе земельного участка для электроснабжения жилого дома заявителя Бабарыко О.П., х.Новоалександровка, Азовский район, Ростовская область, к.н. 61:01:0110101:3534 (ориентировочная протяженность ЛЭП – 0,02 км)</t>
  </si>
  <si>
    <t>Строительство ВЛ 10 кВ от опоры №128 по ВЛ-10 кВ №3214 от ПС 110/35/10 кВ А-32, ТП 10/0,4 кВ, ВЛ 0,4 кВ и установка системы учета электрической энергии (мощности) на границе земельного участка для электроснабжения жилого дома заявителя Аникеева В.Д., х. Нижняя Козинка, Азовский район, Ростовская область, к.н. 61:01:0010501:38 (ориентировочная протяженность ЛЭП– 0,115 км, ориентировочная трансформаторная мощность – 0,025 МВА)</t>
  </si>
  <si>
    <t xml:space="preserve">Строительство ВЛ 0,4 кВ от РУ-0,4 кВ КТП 10/0,4 кВ №184 ВЛ 10 кВ №1106 ПС 35/10 кВ А-11 и установка коммерческого учета электрической энергии (мощности) на границе земельного участка для электроснабжения нежилого здания заявителя ИП Лопатина Т.А., Ростовская область, г. Азов, к.н. 61:45:0000414:257 (ориентировочная протяженность ЛЭП – 0,12 км) </t>
  </si>
  <si>
    <t xml:space="preserve">Строительство ЛЭП 0,4 кВ от РУ 0.4 кВ ТП 10/0.4 кВ № 89 по ВЛ 10 кВ № 1815 ПС 35/10 кВ A-18 и установка коммерческого учета электрической энергии (мощности) на границе земельного участка для электроснабжения объекта административного/офисного здания заявителя ГКУ РО «Противопожарная служба Ростовской области», Азовский район, Ростовская область, к.н. 61:01:0600002:3381 (ориентировочная протяженность ЛЭП – 0,04 км) </t>
  </si>
  <si>
    <t>Строительство ВЛ 0,4 кВ от оп. №28-7 ВЛ-0,4 кВ №1 КТП 10/0,4 кВ №28 ВЛ 10 кВ №1815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Спицыной Д.В., х. Курган, Азовский район, Ростовская область, к.н. 61:01:0030701:1642 (ориентировочная протяженность ЛЭП – 0,085 км)</t>
  </si>
  <si>
    <t>Строительство ВЛ 0,4 кВ от оп. №16-155 ВЛ 0,4 кВ №2 КТП 10/0,4 кВ №16 ВЛ 10 кВ №2608 ПС 110/10 кВ А-26 и установка коммерческого учета электрической энергии (мощности) на границе земельного участка для электроснабжения объекта жилого дома заявителя Бречко С.А., с. Кулешовка, Азовский район, Ростовская область, к.н. 61:01:0090101:8749 (ориентировочная протяженность ЛЭП – 0,055 км)</t>
  </si>
  <si>
    <t>Строительство ВЛ 0,4 кВ от оп. № 32-5 ВЛ 0,4 кВ № 1 КТП 10/0,4 кВ №32 ВЛ 10 кВ 2907 РП-29 ПС 35/10 кВ А-18 и установка коммерческого учета электрической энергии (мощности) на границе земельного участка для электроснабжения объекта жилого дома заявителя Романовой Г.З., х. Коса, Азовский район, Ростовская область, к.н. 61:01:0030601:7238 (ориентировочная протяженность ЛЭП – 0,04 км)</t>
  </si>
  <si>
    <t>Строительство ВЛ 0,4 кВ от оп. №113-37 ВЛ 0,4кВ №1 КТП 10/0,4кВ №113 ВЛ 10кВ №3113 ПС 110/35/10 кВ А-31 и установка коммерческого учета электрической энергии (мощности) на границе земельного участка для электроснабжения объекта жилого дома заявителя Артемовой Г.Д., с. Пешково, Азовский район, Ростовская область, к.н. 61:01:0140101:7708 (ориентировочная протяженность ЛЭП – 0,085 км)</t>
  </si>
  <si>
    <t xml:space="preserve">Строительство ВЛ 0,4 кВ от оп. №28-36 ВЛ 0,4 кВ №1 ЗТП-28 ВЛ-10 313 ПС 35 кВ КГ3 и установка коммерческого учета электрической энергии (мощности) на границе земельного участка для электроснабжения малоэтажной жилой застройки заявителя Аристакесян К.А., Ростовская область Кагальницкий р-н, ст. Кировская, ул. Космонавтов д.32 к.н. 61:14:0050126:524 (ориентировочная протяженность ЛЭП – 0,03 км) </t>
  </si>
  <si>
    <t>Строительство ВЛ 0,4 кВ от оп. №240-45 ВЛ 0,4 кВ №2 КТП 10/0,4 кВ №240 ВЛ 10кВ №106Н ПС 110/6/10 кВ НС-1 и установка коммерческого учета электрической энергии (мощности) на границе земельного участка для электроснабжения объекта жилого дома заявителя Шиловой Н.А., п. Овощной, Азовский район, Ростовская область, к.н. 61:01:0130101:3419 (ориентировочная протяженность ЛЭП – 0,055 км)</t>
  </si>
  <si>
    <t xml:space="preserve">Строительство ВЛ 0,4 кВ от оп №211-225 ВЛ 0,4 кВ №5 КТП 10/0,4 кВ №211 ВЛ 10кВ №910 ПС 35/10 кВ А-9 и установка коммерческого учета электрической энергии (мощности) на границе земельного участка для электроснабжения объекта жилого дома заявителя Суторминой Е.П., ДНТ «Южное», Азовский район, Ростовская область, к.н. 61:01:0502601:660 (ориентировочная протяженность ЛЭП – 0,065 км) </t>
  </si>
  <si>
    <t>Строительство ВЛИ 0,4 кВ от проектируемой опоры проектируемой ВЛ 0,4кВ (по договору №61-1-22-00656971 от 13.07.2022г. с заявителем Куцепаловой Л.М.) ТП 10/0,4 кВ № 77 ВЛ 10 кВ 1815 ПС 35/10 кВ А-18 и установка коммерческого учета (3 шт) электрической энергии (мощности) на границе земельного участка для электроснабжения объекта жилых домов заявителей Кац Д.Е., Застрожнова И.А., Крючкова Т.В., х. Казачий Ерик, Азовский район, Ростовская область, к.н. 61:01:0600002:1301, 61:01:0600002:1310, 61:01:0600002:1324 (ориентировочная протяженность ЛЭП – 0,609 км)</t>
  </si>
  <si>
    <t>Строительство ВЛ 0,4 кВ от оп №40-52 ВЛ-0,4кВ №2 КТП 10/0,4кВ №40 ВЛ-10 кВ №1802 ПС 35/10 А-18 и установка коммерческого учета электрической энергии (мощности) на границе земельного участка для электроснабжения объекта жилого дома заявителя Абрамченковой Е.Н., Азовский район, Ростовская область, к.н. 61:01:0160101:1274 (ориентировочная протяженность ЛЭП – 0,33 км)</t>
  </si>
  <si>
    <t>Строительство ВЛ 0,4 кВ от РУ 0,4кВ МТП 10/0,4 кВ №84 ВЛ 10кВ №1815 ПС 35/10 кВ А-18 и установка коммерческого учета электрической энергии (мощности) на границе земельного участка для электроснабжения строительной площадки заявителя Тереховой Н.В., ул. Листопадная, х. Городище, Азовский р-н, Ростовская обл., к.н. 61:01:0600002:987 (ориентировочная протяженность ЛЭП – 0,210 км)</t>
  </si>
  <si>
    <t>Строительство ЛЭП 0,4 кВ от РУ 0,4 кВ КТП 10/0,4 кВ №12 ВЛ-10 кВ №3125 ПС 110/35/10 кВ А-31 и установка коммерческого учета электрической энергии (мощности) на границе земельного участка для электроснабжения дошкольной образовательной организации заявителя УКС и ЖКХ Администрации Азовского района, с. Головатовка, Азовский р-н, Ростовская обл., юго-восточнее земельного участка с к.н. 61:01:0140301:499, к.н. 61:01:0600012:1040 (ориентировочная протяженность ЛЭП – 0,13 км)</t>
  </si>
  <si>
    <t>Строительство ВЛ 0,4кВ от №233-75 ВЛ 0,4 кВ №3 КТП 10/0,4 кВ №233 ВЛ 10кВ №1815 ПС 35/10 кВ А-18 и установка коммерческого учета электрической энергии (мощности) на границе земельного участка для электроснабжения объекта часовни заявителя ООО "Рыболовецкий колхоз имени Ленина", х. Курган, ул. Донская, Азовский район, Ростовская область, к.н. 61:01:0600002:3470 (ориентировочная протяженность ЛЭП – 0,07 км)</t>
  </si>
  <si>
    <t>Строительство ВЛ 0,4кВ от оп. №381-32 ВЛ 0,4 кВ №1 от КТП 10/0,4 кВ №381 ВЛ 10кВ №106Н ПС 110/6/10 кВ НС-1 и установка коммерческого учета электрической энергии (мощности) на границе земельного участка для электроснабжения объекта жилого дома заявителя Кравцова А.О., ДНТ СН «Кулешовка-2», Азовский район, Ростовская область, к.н. 61:01:0600006:10174 (ориентировочная протяженность ЛЭП – 0,045 км)</t>
  </si>
  <si>
    <t>Строительство участка ВЛИ-0,4 кВ от опоры №19 ВЛ-0,4 кВ №2 КТП 8183 ВЛ-10 кВ №7 ПС 35 кВ Рябичевская и установка прибора коммерческого учета электрической энергии (мощности) в точке поставки для присоединения здания Администрации Рябичевского сельского поселения, расположенного по адресу: Ростовская область, Волгодонской район, х. Рябичев, ул. Советская, д. 47, к.н.з.у. 61:08:0030103:69 (ориентировочная протяженность ЛЭП 0,03 км)</t>
  </si>
  <si>
    <t>Строительство участка ВЛИ-0,4 кВ от опоры №9 ВЛ-0,4 кВ №2 КТП-8599/160 кВА ВЛ-6 кВ №5 ПС 35/6 кВ Романовская, с установкой шкафа 0,4 кВ, и  обеспечение коммерческим учетом электрической энергии (мощности) в точке поставки по присоединению жилого дома Бубнович С.П., расположенного по адресу: Ростовская область, Волгодонской район, станица Романовская, пер. Рубиновый,  д. 14, кадастровый номер земельного участка 61:08:0070114:540 (ориентировочная протяженность ЛЭП 0,1 км)</t>
  </si>
  <si>
    <t>Строительство участка ВЛИ-0,4 кВ от опоры №21 ВЛ-0,4 кВ №2 КТП-8560/100 кВА ВЛ-6 кВ №1 ПС 35/6 кВ НС-12, с установкой шкафа 0,4 кВ, и  обеспечение коммерческим учетом электрической энергии (мощности) в точке поставки по присоединению дачного домика Банькина Ю.С., расположенного по адресу: Ростовская область, Волгодонской район, сдт. Юбилейное, кадастровый номер земельного участка 61:08:0601901:1004 (ориентировочная протяженность ЛЭП 0,09 км)</t>
  </si>
  <si>
    <t>Строительство участка ВЛИ-0,4 кВ от опоры №1/16 ВЛ-0,4 кВ №1 КТП-8396/160 кВА по ВЛ-6 кВ №11 ПС 35/6 кВ Шлюзовая, с установкой шкафа 0,4 кВ, и  обеспечение коммерческим учетом электрической энергии (мощности) в точке поставки по присоединению квартиры Мисько Н.П., расположенной по адресу: Ростовская область, Волгодонской район, х. Лагутники, ул. Кооперативная, д. 25, кв. 2, кадастровый номер земельного участка 61:08:0070201:69 (ориентировочная протяженность ЛЭП 0,015 км)</t>
  </si>
  <si>
    <t xml:space="preserve">Строительство участка ВЛИ-0,4 кВ от опоры №1 ВЛ 0,4 кВ №1 КТП-8240/63 кВА ВЛ-6 кВ №2 ПС 35/6 кВ НС-15, с установкой шкафа 0,22 кВ, и  обеспечение коммерческим учетом электрической энергии (мощности) в точке поставки по присоединению жилого дома Шакая З.Ш., расположенного по адресу: Ростовская область, Волгодонской район, х. Фролов, ул. Восточная, д. 1, кадастровый номер земельного участка: 61:08:0601901:1304 (ориентировочная протяженность ЛЭП 0,095 км)»
</t>
  </si>
  <si>
    <t>Строительство участка ВЛИ-0,4 кВ от вновь установленной опоры вновь построенной ВЛИ-0,4 кВ от вновь установленной ТП-6/0,4 кВ по ВЛ-6 кВ №1 ПС 35/6 кВ Романовская (по договору ТП №61-1-20-00520025 от 13.07.2020г), с установкой шкафа 0,4 кВ, и  обеспечение коммерческим учетом электрической энергии (мощности) в точке поставки и установка шкафа 0,4 кВ по присоединению спального домика Дёмина Е.В., расположенного по адресу: Ростовская область, г. Волгодонск, ул. Отдыха, д. 67, к.н. 61:48:0020101:1217 (ориентировочная протяженность ЛЭП 0,02 км)</t>
  </si>
  <si>
    <t xml:space="preserve">Строительство участка ВЛИ-0,4 кВ от опоры №15 ВЛ 0,4 кВ №3 КТП 8484  ВЛ 6 кВ №5 ПС 35 кВ Романовская и установка прибора коммерческого учета электрической энергии (мощности) в точке поставки для присоединения индивидуального жилого дома Воронова А.В., расположенного по адресу: Ростовская обл., Волгодонской район, станица. Романовская, ул. Пронина, д. 10а, к.н.з.у.: 61:08:0070128:965 (ориентировочная протяженность ЛЭП 0,025 км)»    </t>
  </si>
  <si>
    <t>Строительство участка ВЛИ-0,4 кВ от опоры №6 ВЛ 0,4 кВ №2 КТП 8011 ВЛ 10 кВ №7 ПС 35 кВ Рябичевская и установка прибора коммерческого учета электрической энергии (мощности) в точке поставки для присоединения жилого дома Бычкова В.Н., расположенного по адресу: Ростовская область, Волгодонской район, х. Рябичев, ул. Белинского, д. 21, к.н.з.у. 61:08:0030101:19 (ориентировочная протяженность ЛЭП 0,065 км)</t>
  </si>
  <si>
    <t>Строительство участка ВЛИ-0,4 кВ от опоры №13 ВЛ 0,4 кВ №1 КТП 8450 ВЛ 6 кВ №5 ПС 35 кВ Романовская и установка прибора коммерческого учета электрической энергии (мощности) в точке поставки для присоединения жилого дома Макаровой Т.И., расположенного по адресу: Ростовская область, Волгодонской район, станица Романовская, ул. Юбилейная, д. 40, к.н.з.у. 61:08:00701112:426 (ориентировочная протяженность ЛЭП 0,09 км)</t>
  </si>
  <si>
    <t>Строительство участка ВЛИ-0,4 кВ от вновь установленной опоры вновь построенной ВЛИ-0,4 кВ от вновь установленной ТП-6/0,4 кВ по ВЛ-6 кВ №15 ПС 35 кВ Романовская (по договорам ТП №61-1-21-00567599 от 02.04.2021г, №61-1-21-00567577 от 02.04.2021г, №61-1-21-00567591 от 02.04.2021г, №61-1-21-00567603 от 02.04.2021г) и установка прибора коммерческого учета электрической энергии (мощности) в точке поставки для присоединения жилого дома Гордиенко Е.Ю., расположенного по адресу: Ростовская область, Волгодонской район, станица Романовская, ул. Шолохова, д. 24, к.н.з.у. 61:08:0600601:4998 (ориентировочная протяженность ЛЭП 0,02 км)</t>
  </si>
  <si>
    <t>Строительство участка ВЛИ-0,4 кВ от опоры №1/2 ВЛИ-0,4 кВ №1 КТП 8594 ВЛ 6 кВ №5 ПС 35 кВ Романовская и установка прибора коммерческого учета электрической энергии (мощности) в точке поставки для присоединения жилого дома Пикулевой Е.В., расположенного по адресу: Ростовская область, Волгодонской район, станица Романовская, ул. Ленина, д. 111, к.н.з.у. 61:08:0070128:951 (ориентировочная протяженность ЛЭП 0,035 км)</t>
  </si>
  <si>
    <t>Строительство участка ВЛИ-0,4 кВ от опоры №10 ВЛИ 0,4 кВ №3 КТП 8565 ВЛ 6 кВ №5 ПС 35 кВ НС-13 и установка прибора коммерческого учета электрической энергии (мощности) в точке поставки для присоединения жилого дома Музаффарова М.М., расположенного по адресу: Ростовская область, Волгодонского район, п. Саловский, ул. Луговая, д. 11, к.н.з.у. 61:08:0010301:116 (ориентировочная протяженность ЛЭП 0,016 км)</t>
  </si>
  <si>
    <t>Строительство участка ВЛИ-0,4 кВ от опоры № 12 ВЛ-0,4 кВ №3 КТП 8483 ВЛ 6 кВ №5 ПС 35 кВ Романовская и установка прибора коммерческого учета электрической энергии (мощности) в точке поставки для присоединения жилого дома Бакунца П.М., расположенного по адресу: Ростовская область, Волгодонской район, станица Романовская,  пер. Колхозный, д. 76а, к.н.з.у. 61:08:0070127:606 (ориентировочная протяженность ЛЭП 0,085 км)</t>
  </si>
  <si>
    <t>Строительство участка ВЛИ-0,4 кВ от опоры №2/16 ВЛИ 0,4 кВ №2 КТП 8108 ВЛ 10 кВ №4 ПС 35 кВ Виноградная и установка прибора коммерческого учета электрической энергии (мощности) в точке поставки для присоединения жилого дома Кравчук А.В., расположенного по адресу: Ростовская область, Волгодонской район, п. Виноградный, ул. Молодежная, д. 30, к.н.з.у. 61:08:0000000:3832 (ориентировочная протяженность ЛЭП 0,03 км)</t>
  </si>
  <si>
    <t>Строительство участка ВЛИ-0,4 кВ от опоры №3 ВЛ-0,4 кВ №1 КТП 8472 ВЛ-6 кВ №14 ПС 35 кВ Романовская и установка прибора коммерческого учета электрической энергии (мощности) в точке поставки для присоединения жилого дома Михайловой Г.А., расположенного по адресу: Ростовская область, Волгодонской район, станица Романовская, ул. Ленина, д. 14 а, к.н.з.у. 61:08:0070106:826 (ориентировочная протяженность ЛЭП 0,02 км)</t>
  </si>
  <si>
    <t>Строительство ВЛИ-0,4 кВ от РУ 0,4 кВ №2 КТП 8608 ВЛ 6 кВ №14 ПС 35 кВ Романовская и установка прибора коммерческого учета электрической энергии (мощности) в точке поставки для присоединения индивидуального жилого дома Осипик Е.Г., расположенного по адресу: Ростовская область, Волгодонской район, станица Романовская, ул. 75 лет Победы, д. 32, к.н.з.у. 61:08:0600601:4589 (ориентировочная протяженность ЛЭП 0,07 км)</t>
  </si>
  <si>
    <t>Строительство участка ВЛИ-0,4 кВ от опоры №2 ВЛ-0,4 кВ №1 КТП-8108/160 кВА ВЛ-10 кВ №4 ПС 35/10 кВ Виноградная для присоединения жилого дома Снежко Н.А., расположенного по адресу: Ростовская область, Волгодонской район, п. Виноградный, ул. Южная, д.1, к.н. 61:08:0050203:100 (ориентировочная протяженность ЛЭП 0,4 км)</t>
  </si>
  <si>
    <t>Строительство участка ВЛИ-0,4 кВ от опоры №2/3 ВЛ 0,4 кВ №2 КТП 8530 ВЛ 6 кВ №14 ПС 35 кВ Романовская и установка прибора коммерческого учета электрической энергии (мощности) в точке поставки для присоединения малоэтажной жилой застройки Рыжкина В.В., расположенной по адресу: Ростовская область, Волгодонской район, станица Романовская, ул. 70 лет Октября, д. 22, к.н.з.у. 61:08:0600601:4005 (ориентировочная протяженность ЛЭП 0,03 км)</t>
  </si>
  <si>
    <t>Строительство участка ВЛИ-0,4 кВ от вновь установленной опоры вновь построенной ВЛИ-0,4 кВ от вновь установленной ТП-6/0,4 кВ по ВЛ-6 кВ №15 ПС 35 кВ Романовская (по договорам ТП №61-1-21-00567599 от 02.04.2021г, №61-1-21-00567577 от 02.04.2021г, №61-1-21-00567591 от 02.04.2021г, №61-1-21-00567603 от 02.04.2021г) и установка прибора коммерческого учета электрической энергии (мощности) в точке поставки для присоединения индивидуального жилого дома Овчаровой А.Ю., расположенного по адресу: Ростовская область, Волгодонской район, станица Романовская, ул. Шолохова, д. 12, к.н.з.у. 61:08:0600601:4985 (ориентировочная протяженность ЛЭП 0,025 км)</t>
  </si>
  <si>
    <t>Строительство участка ВЛИ-0,4 кВ от опоры №7 ВЛ 0,4 кВ №1 КТП 8333 ВЛ 6 кВ №14 ПС 35 кВ Романовская и установка прибора коммерческого учета электрической энергии (мощности) в точке поставки для присоединения жилого дома Мололкина А.П., расположенного по адресу: Ростовская область, Волгодонской район, станица Романовская, ул. Одесская, д. 22, к.н.з.у.: 61:08:0600601:3880 (ориентировочная протяженность ЛЭП 0,02 км)</t>
  </si>
  <si>
    <t>Строительство участка ВЛИ-0,4 кВ от РУ 0,4 кВ №2 КТП 8342 ВЛ 6 кВ №1 ПС 35 кВ Романовская и установка прибора коммерческого учета электрической энергии (мощности) в точке поставки для присоединения малоэтажной жилой застройки Гончаровой А.П., расположенной по адресу: Ростовская область, Волгодонской район, х. Парамонов, ул. Гагарина, д. 84, к.н.з.у.: 61:08:0070302:170 (ориентировочная протяженность ЛЭП 0,099 км)</t>
  </si>
  <si>
    <t>Строительство участка ВЛИ-0,4 кВ от опоры №10 ВЛ 0,4 кВ №1 КТП 8086 ВЛ 10 кВ №1 ПС 35 кВ Донская и установка прибора коммерческого учета электрической энергии (мощности) в точке поставки для присоединения нежилой застройки ИП Гаджиева Р.Х., расположенной по адресу: Ростовская область, Волгодонской район, п. Краснодонский, ул. Центральная, д. 12, к.н.з.у. 61:08:0060301:680 (ориентировочная протяженность ЛЭП 0,05 км)</t>
  </si>
  <si>
    <t>Строительство участка ВЛИ-0,4 кВ от опоры №18 ВЛИ 0,4 кВ №1 КТП 1509 ВЛ 10 кВ №5 ПС 35 кВ Лозновская и установка прибора коммерческого учета электрической энергии (мощности) в точке поставки для присоединения жилого дома Переверзева И.А., расположенного по адресу: Ростовская область, Цимлянский район, х. Лозной, ул. Грушевая, д. 28, к.н.з.у. 61:41:0600011:2007 (ориентировочная протяженность ЛЭП 0,03 км)</t>
  </si>
  <si>
    <t>Строительство участка ВЛИ-0,4 кВ от опоры №24 ВЛ 0,4 кВ №2 КТП 1355 ВЛ 10 кВ №5 ПС 110 кВ Искра и установка прибора коммерческого учета электрической энергии (мощности) в точке поставки для присоединения жилого дома Гончарова И.А., расположенного по адресу: Ростовская область, Цимлянский район, х. Паршиков, ул. Солнечная, д. 13а, к.н.з.у. 61:41:0050402:419 (ориентировочная протяженность ЛЭП 0,03 км)</t>
  </si>
  <si>
    <t>Строительство участка ВЛИ-0,4 кВ от опоры №2/5 ВЛ 0,4 кВ №1 КТП 1443 ВЛ 10 кВ №5 ПС 110 кВ Цимлянская и 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Ивановой Е.А., расположенной по адресу: Ростовская область, Цимлянский район, п. Саркел, по юго-западной границе примыкает к земельному участку с к.н. 61:41:0011105:120, к.н.з.у. 61:41:0011105:169 (ориентировочная протяженность ЛЭП 0,03 км)</t>
  </si>
  <si>
    <t>Строительство участка ВЛИ-0,4 кВ от опоры №15/10 ВЛИ 0,4 кВ №1 КТП 8597 ВЛ 6 кВ №5 ПС 35 кВ Романовская и установка прибора коммерческого учета электрической энергии (мощности) в точке поставки для присоединения жилого дома Ключко Г.К., расположенного по адресу: Ростовская область, Волгодонской район, станица Романовская, ул. Почтовая, д. 124, к.н.з.у. 61:08:0070126:573 (ориентировочная протяженность ЛЭП 0,025 км)</t>
  </si>
  <si>
    <t>Строительство участка ВЛИ-0,4 кВ от вновь установленной опоры вновь построенной ВЛИ-0,4 кВ от вновь установленной ТП-6/0,4 кВ по ВЛ-6 кВ №15 ПС 35 кВ Романовская (по договору ТП №61-1-21-00567599 от 02.04.2021г) и установка прибора коммерческого учета электрической энергии (мощности) в точке поставки для присоединения малоэтажной жилой застройки Каплиева Р.А., расположенной по адресу: Ростовская область, Волгодонской район, станица Романовская, ул. Шолохова, 18, к.н.з.у. 61:08:0600601:4991 (ориентировочная протяженность ЛЭП 0,025 км)</t>
  </si>
  <si>
    <t>Строительство участка ВЛИ-0,4 кВ от опоры №6 ВЛ 0,4 кВ №1 КТП 8607 ВЛ 6 кВ №1 ПС 35 кВ Романовская и установка прибора коммерческого учета электрической энергии (мощности) в точке поставки для присоединения садового дома Игнатовой Н.А., расположенного по адресу: Ростовская область, г. Волгодонск, ул. Отдыха, д. 39в9, к.н.з.у. 61:48:0020101:1882 (ориентировочная протяженность ЛЭП 0,03 км)</t>
  </si>
  <si>
    <t>Строительство участка ВЛИ-0,4 кВ от опоры №3/7 ВЛ 0,4 кВ №3 КТП 8109 ВЛ 10 кВ №5 ПС 35 кВ Виноградная и установка прибора коммерческого учета электрической энергии (мощности) в точке поставки для присоединения малоэтажной жилой застройки Ярцевой Е.Н., расположенной по адресу: Ростовская область, Волгодонской район, п. Победа, ул. Юбилейная, д. 1, к.н.з.у. 61:08:0060103:251 (ориентировочная протяженность ЛЭП 0,099 км)</t>
  </si>
  <si>
    <t>Строительство участка ВЛИ-0,4 кВ от опоры №5/4 ВЛ 0,4 кВ №3 КТП 8105 ВЛ 10 кВ №4 ПС 35 кВ Виноградная и установка прибора коммерческого учета электрической энергии (мощности) в точке поставки для присоединения малоэтажной жилой застройки Поляковой О.В., расположенной по адресу: Ростовская область, Волгодонской район, п. Виноградный, ул. Юбилейная, д. 14б, к.н.з.у. 61:08:0601301:546 (ориентировочная протяженность ЛЭП 0,03 км)</t>
  </si>
  <si>
    <t>Строительство участка ВЛИ-0,4 кВ от опоры №9 ВЛ 0,4 кВ №1 КТП 8176 ВЛ 10 кВ №1 ПС 35 кВ Донская и установка прибора коммерческого учета электрической энергии (мощности) в точке поставки для присоединения малоэтажной жилой застройки Зюбы А.Н., расположенной по адресу: Ростовская область, Волгодонской район, п. Краснодонский, ул. Южная, д. 11, к.н.з.у. 61:08:0600901:616 (ориентировочная протяженность ЛЭП 0,03 км)</t>
  </si>
  <si>
    <t>Строительство участка ВЛИ-0,4 кВ от опоры №5 ВЛ 0,4 кВ №3 КТП 8378 ВЛ 6 кВ №2 ПС 35 кВ Потаповская и установка прибора коммерческого учета электрической энергии (мощности) в точке поставки для присоединения малоэтажной жилой застройки Мериакри Т.А., расположенной по адресу: Ростовская область, Волгодонской район, х. Потапов, ул. Гагарина, 35А, к.н.з.у. 61:08:0040110:1432 (ориентировочная протяженность ЛЭП 0,088 км)</t>
  </si>
  <si>
    <t>Строительство участка ВЛИ-0,4 кВ от опоры №13 ВЛ 0,4 кВ №1 КТП 8534 ВЛ 6 кВ №11 ПС 35 кВ Шлюзовая и установка прибора коммерческого учета электрической энергии (мощности) в точке поставки для присоединения малоэтажной жилой застройки Андрющенко М.А., расположенной по адресу: Ростовская область, Волгодонской район, х. Лагутники, ул. Луговая, д. 19а, к.н.з.у. 61:08:0070209:406 (ориентировочная протяженность ЛЭП 0,07 км)</t>
  </si>
  <si>
    <t>Строительство участка ВЛИ-0,4 кВ от опоры №1 ВЛИ 0,4 кВ №1 КТП 8608 ВЛ 6 кВ №14 ПС 35 кВ Романовская и установка прибора коммерческого учета электрической энергии (мощности) в точке поставки для присоединения индивидуального жилого дома Стучилиной Т.И., расположенного по адресу: Ростовская область, Волгодонской район, станица Романовская, ул. 75 лет Победы, д. 25, к.н.з.у. 61:08:0600601:4582 (ориентировочная протяженность ЛЭП 0,03 км)</t>
  </si>
  <si>
    <t>Строительство участка ВЛИ-0,4 кВ от опоры №36 ВЛ 0,4 кВ №3 КТП-8494 ВЛ 6 кВ №14 ПС 35 кВ Романовская и установка прибора коммерческого учета электрической энергии (мощности) в точке поставки для присоединения жилого дома Шипулина А.В., расположенного по адресу: Ростовская обл., р-н. Волгодонской, ст-ца. Романовская, ул. Жемчужная, д. 34, блок 2, кадастровый номер земельного участка: 61:08:0070114:1023 (ориентировочная протяженность ЛЭП 0,095 км)</t>
  </si>
  <si>
    <t>Строительство участка ВЛИ-0,4 кВ от вновь установленной опоры вновь построенной ВЛИ-0,4 кВ от вновь установленной ТП-6/0,4 кВ по ВЛ-6 кВ №1 ПС 35/6 кВ НС-12 (по договорам №61-1-18-00388977 от 20.08.2018г, №61-1-18-00395029 от 27.08.2018г и №61-1-18-00396129 от 20.09.2018г.) для присоединения жилого дома Болдырева А.Н., расположенного по адресу: Ростовская область, Волгодонской район, с/т Юбилейное, к.н. 61:08:0601901:645 (ориентировочная протяженность ЛЭП 0,25 км)</t>
  </si>
  <si>
    <t>Строительство участка ВЛИ-0,4 кВ от вновь установленной опоры вновь построенной ВЛИ-0,4 кВ от РУ-0,4 кВ №2 КТП 8608 ВЛ-6 кВ №14 ПС 35 кВ Романовская (по договорам ТП №61-1-21-00600573 от 13.09.2021г и №61-1-21-00615187 от 25.11.2021г)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Беляковой Л.В., расположенной по адресу: Ростовская область, Волгодонской район, станица Романовская, ул. 75 лет Победы, д. 76, к.н.з.у. 61:08:0600601:4632 (ориентировочная протяженность ЛЭП 0,07 км)</t>
  </si>
  <si>
    <t>Строительство ВЛИ-0,4 кВ от опоры №1 ВЛИ 0,4 кВ № 1 КТП 8523 ВЛ 6 кВ №1 ПС 35кВ Романовская и установка прибора коммерческого учета электрической энергии (мощности) в точке поставки для присоединения базовой станции Акционерное общество «ПБК»., расположенного по адресу: Ростовская обл, г. Волгодонск, ул. Отдыха, в 45 м от участка с кадастровым № 61:48:0020101:1855. (ориентировочная протяженность ЛЭП 0,080 км)</t>
  </si>
  <si>
    <t>Строительство участка ВЛИ-0,4 кВ от опоры №8 ВЛИ-0,4 кВ №1 КТП-8565 ВЛ-6 кВ №5 ПС 35 кВ НС-13 и установка прибора коммерческого учета электрической энергии (мощности) в точке поставки, монтажом ответвления от ВЛИ к вводу, для присоединения малоэтажной жилой застройки Шахмандарова О.И., расположенной по адресу: Ростовская область, Волгодонской район, п. Саловский, ул. Степная, д. 12, к.н.з.у. 61:08:0010301:329 (ориентировочная протяженность ЛЭП 0,016 км)</t>
  </si>
  <si>
    <t xml:space="preserve">Строительство участка ВЛИ-0,4 кВ от опоры №1/3 ВЛ-0,4 кВ №1 КТП-8379 ВЛ-6 кВ №2 ПС 35 кВ Потаповская и установка прибора коммерческого учета электрической энергии (мощности) в точке поставки, монтажом ответвления от ВЛИ к вводу, для присоединения жилого дома Сухоноса А.Ф., расположенного по адресу: Ростовская область, Волгодонской район, х. Потапов, ул. Комсомольская, д. 67а, к.н.з.у. 61:08:0040103:417 (ориентировочная протяженность ЛЭП 0,05 км)
</t>
  </si>
  <si>
    <t>Строительство участка ВЛИ-0,4 кВ от опоры №11 ВЛ 0,4 кВ №2 КТП 7390 ВЛ 10 кВ №4 ПС 35 кВ Николаевская и установка прибора коммерческого учета электрической энергии (мощности) в точке поставки для присоединения жилого дома Бордачевой Е.А., расположенного по адресу: Ростовская область, Константиновский район, станица Николаевская, ул. Максима Горького, д. 5, к.н.з.у. 61:17:050101:2107 (ориентировочная протяженность ЛЭП 0,06 км)</t>
  </si>
  <si>
    <t>Строительство участка ВЛИ-0,4 кВ от опоры №14 ВЛ 0,4 кВ №1 КТП 7035 ВЛ 10 кВ №2 ПС 35 кВ Нижне-Журавская и установка прибора коммерческого учета электрической энергии (мощности) в точке поставки для присоединения жилого дома Сумцова В.П., расположенного по адресу: Ростовская область, Константиновский район, х. Авилов, ул. Садовая, д. 43, к.н.з.у. 61:17:0020101:290 (ориентировочная протяженность ЛЭП 0,045 км)</t>
  </si>
  <si>
    <t>Строительство участка ВЛИ-0,4 кВ от опоры №1/3 ВЛИ 0,4 кВ №1 КТП 7215 ВЛ 10 кВ №24 ПС 110 кВ КГУ и установка прибора коммерческого учета электрической энергии (мощности) в точке поставки, с монтажом ответвления от ВЛИ к вводу, для присоединения дома отдыха ИП Кравченко Н.М, расположенного по адресу: Ростовская область, Константиновский район, г. Константиновск, ул. Правобережная, д. 23Д, к.н.з.у.: 61:17:0600017:852 (ориентировочная протяженность ЛЭП 0,085 км)</t>
  </si>
  <si>
    <t>Строительство участка ВЛИ-0,4 кВ от опоры №1/1 ВЛ 0,4 кВ №2 КТП 7191 ВЛ 10 кВ №24 ПС 110 кВ КГУ и установка прибора коммерческого учета электрической энергии (мощности) в точке поставки для присоединения жилого дома Осипян К.Г., расположенного по адресу: Ростовская область, Константиновский район, х. Ведерников, ул. Донская, д. 15А, к.н.з.у. 61:17:0000000:7792 (ориентировочная протяженность ЛЭП 0,09 км)</t>
  </si>
  <si>
    <t xml:space="preserve">Строительство участка ВЛИ-0,4 кВ от опоры №2/3 ВЛ 0,4 кВ №3 КТП 7163 ВЛ 10 кВ №5 ПС 35 кВ Савельевская и установка прибора коммерческого учета электрической энергии (мощности) в точке поставки для присоединения жилого дома Дементьевой О.А., расположенного по адресу: Ростовская область, Константиновский район, х. Гапкин, ул. Центральная, д. 34, к.н.з.у. 61:17:0040101:766 (ориентировочная протяженность ЛЭП 0,023 км)
</t>
  </si>
  <si>
    <t>Строительство участка ВЛИ-0,4 кВ от опоры №3/4 ВЛ 0,4 кВ №4 КТП 6102 ВЛ 10 кВ №6 ПС 110 кВ Мартыновская и установка прибора коммерческого учета электрической энергии (мощности) в точке поставки для присоединения жилого дома Сураилиди В.Я., расположенного по адресу: Ростовская область, Мартыновский район, х. Арбузов, ул. Краснопартизанская, д. 10-а, к.н.з.у. 61:20:0080201:2687 (ориентировочная протяженность ЛЭП 0,025 км)</t>
  </si>
  <si>
    <t>Строительство участка ВЛИ-0,4 кВ от опоры №2/16 ВЛ 0,4 кВ №1 КТП 6579 ВЛ 10 кВ №4 ПС 110 кВ Комаровская и установка прибора коммерческого учета электрической энергии (мощности) в точке поставки для присоединения скважины Лукьяненко Л.Г., расположенной по адресу: Ростовская область, Мартыновский район, хутор Сальский Кагальник, ул. Профсоюзная, д. 38, к.н.з.у. 61:20:0060501:3806 (ориентировочная протяженность ЛЭП 0,017 км)</t>
  </si>
  <si>
    <t>Строительство участка ВЛИ-0,4 кВ от опоры №13 ВЛ 0,4 кВ №3 КТП-5420 ВЛ 10 кВ №9 ПС 35 кВ Федосеевская и установка прибора коммерческого учета электрической энергии (мощности) в точке поставки для присоединения жилого дома Ташуевой Л.Г, расположенного по адресу: Ростовская область Заветинский район, х. Воротилов, ул. Зеленая, д. 4, к.н.з.у. 61:11:0070201:13 (ориентировочная протяженность ЛЭП 0,017 км)</t>
  </si>
  <si>
    <t>Строительство ВЛИ-0,4 кВ от РУ 0,4 кВ КТП-5546 ВЛ 10 кВ №9 ПС 35 кВ Отары и установка прибора коммерческого учета электрической энергии (мощности) в точке поставки для присоединения артезианской скважины Администрации Заветинского района Ростовской области, расположенной по адресу: Ростовская область, Заветинский район, х. Савдя, к.н.з.у. 61:11:0060101:1725 (ориентировочная протяженность ЛЭП 0,04 км)</t>
  </si>
  <si>
    <t>Строительство участка ВЛИ-0,4 кВ от опоры №2 ВЛ-0,4 кВ №1 КТП-5237 ВЛ 10 кВ №9 ПС 35 кВ Отары и установка прибора коммерческого учета электрической энергии (мощности) в точке поставки для присоединения буровой на воду скважины Администрации Заветинского района Ростовской области, расположенной по адресу: Ростовская область, Заветинский район, х. Савдя, пер. Школьный, д. 1а, к.н.з.у. 61:11:0060101:1512 (ориентировочная протяженность ЛЭП 0,04 км)</t>
  </si>
  <si>
    <t>Строительство ВЛИ-0,4 кВ от РУ-0,4 кВ  вновь установленной ТП-10/0,4 кВ  ВЛ-10 кВ №5 ПС 35 кВ Лозновская (по договору №61-1-20-00547475 от 26.11.2020г), с установкой шкафа 0,4 кВ, и  обеспечение коммерческим учетом электрической энергии (мощности) в точках поставки по присоединению стройцеха ИП  Камбур-Оглы И.Б., расположенного по адресу: РО, Цимлянский район, п. Сосенки,  ул. Центральная, д. 58, к.н.з.у. 61:41:0600011:122 (ориентировочная протяженность ЛЭП 0,39 км)</t>
  </si>
  <si>
    <t>Строительство участка ВЛИ-0,4 кВ от опоры №6 ВЛ 0,4 кВ №3 КТП 1381 ВЛ 10 кВ №5 ПС 35 кВ Лозновская и установка прибора коммерческого учета электрической энергии (мощности) в точке поставки для присоединения жилого дома Алиева П.И.о., расположенного по адресу: Ростовская область, Цимлянский район, п. Дубравный, ул. Дальняя, д. 1-б, к.н.з.у. 61:41:0030404:307 (ориентировочная протяженность ЛЭП 0,03 км)</t>
  </si>
  <si>
    <t>Строительство участка ВЛИ-0,4 кВ от опоры №2/9 ВЛИ 0,4 кВ №2 КТП-1509 ВЛ 10 кВ №5 ПС 35 кВ Лозновская и установка прибора коммерческого учета электрической энергии (мощности) в точке поставки для присоединения жилого дома Бочарова В.В., расположенного по адресу: Ростовская область, Цимлянский район, х. Лозной, ул. Абрикосовая, д. 60, к.н.з.у. 61:41:0600011:1063 (ориентировочная протяженность ЛЭП 0,04 км)</t>
  </si>
  <si>
    <t>Строительство участка ВЛИ-0,4 кВ от опоры №1/1 ВЛ 0,4 кВ №2 КТП 1629 ВЛ 10 кВ №17 ПС 110 кВ Цимлянская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объекта наружного освещения Администрации Красноярского сельского поселения, расположенного по адресу: Ростовская область, Цимлянский район, станица Красноярская, ул. Спортивная, земельный участок 1а, к.н.з.у.: 61:41:0020128:539 (ориентировочная протяженность ЛЭП 0,04 км)</t>
  </si>
  <si>
    <t>Строительство участка ВЛИ-0,4 кВ от опоры №1/3 ВЛ 0,4 кВ №1 КТП 1366 ВЛ 10 кВ №1 ПС 35 кВ ЖБИ и установка прибора коммерческого учета электрической энергии (мощности) в точке поставки для присоединения малоэтажной жилой застройки Следневой О.О., расположенной по адресу: Ростовская область, Цимлянский район, станица Красноярская, ул. Набережная, д. 19, к.н.з.у. 61:41:0020113:837 (ориентировочная протяженность ЛЭП 0,03 км)</t>
  </si>
  <si>
    <t>Строительство участка ВЛИ-0,4 кВ от опоры №1/22 ВЛ 0,4 кВ №2 КТП-1372 ВЛ 10 кВ №17 ПС 110 кВ Цимлянская и установка прибора коммерческого учета электрической энергии (мощности) в точке поставки для присоединения жилого дома Левченко Л.А., расположенного по адресу: Ростовская область, Цимлянский район, станица Красноярская, пер. Западный, д. 32, к.н.з.у. 61:41:0020123:118 (ориентировочная протяженность ЛЭП 0,22 км)</t>
  </si>
  <si>
    <t>Строительство участка ВЛИ-0,4 кВ от опоры №13 ВЛИ 0,4 кВ №5 КТП 1505 ВЛ 10 кВ №5 ПС 35 кВ Лозновская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Рекунова А.И., расположенного по адресу: Ростовская область, Цимлянский район, х. Лозной, восточнее земельного участка с к.н. 61:41:0030114:70, к.н.з.у.: 61:41:0030114:565 (ориентировочная протяженность ЛЭП 0,02 км)</t>
  </si>
  <si>
    <t>Строительство участка ВЛИ-0,4 кВ от опоры №1 ВЛ-0,4 кВ №1 КТП-3378 ВЛ 10 кВ №4 ПС 110 кВ Малая Лучка и установка прибора коммерческого учета электрической энергии (мощности) в точке поставки для присоединения жилого дома Шерстюк Т.Б., расположенного по адресу: Ростовская область, Дубовский район, х. Алдабульский, ул. Морская, д. 10, к.н.з.у. 61:09:0600002:1412 (ориентировочная протяженность ЛЭП 0,34 км)</t>
  </si>
  <si>
    <t>Строительство участка ВЛИ-0,4 кВ от опоры №15 ВЛ-0,4 кВ №3 КТП 2448 ВЛ-10 кВ №5 ПС 35 кВ Улановская и установка прибора коммерческого учета электрической энергии (мощности) в точке поставки для присоединения базовой станции сотовой связи БС-2769 ООО «Т2 Мобайл», расположенной по адресу: Ростовская область, Зимовниковский район, п. Красностепной, ул. Школьная, д. 10а, к.н.з.у. 61:13:0100108 (ориентировочная протяженность ЛЭП 0,03 км)</t>
  </si>
  <si>
    <t>Строительство участка ВЛИ-0,4 кВ от опоры №1 ВЛ-0,4 кВ №1 КТП 8002 ВЛ 10 кВ №1 ПС 35 кВ Рябичевская и установка прибора коммерческого учета электрической энергии (мощности) в точке поставки для присоединения производственного здания Гейдарова С.А.о., расположенного по адресу: Ростовская область, Волгодонской район, х. Рябичев, 250 м западнее ж.д. №43 ул. Юбилейная, х. Рябичев, к.н.з.у. 61:08:0600501:384 (ориентировочная протяженность ЛЭП 0,025 км)</t>
  </si>
  <si>
    <t>Строительство участка ВЛИ-0,4 кВ от опоры №2/1 ВЛ 0,4 кВ №1 КТП 8262 ВЛ 6 кВ №15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Сталина В.А., расположенной по адресу: Ростовская область, Волгодонской район, станица Романовская, ул. Шолохова, д. 11, к.н.з.у.: 61:08:0600601:4948 (ориентировочная протяженность ЛЭП 0,02 км)</t>
  </si>
  <si>
    <t>Строительство ВЛИ-0,4 кВ от РУ 0,4 кВ КТП 7181 ВЛ 10 кВ №24 ПС 110 кВ КГУ и установка прибора коммерческого учета электрической энергии (мощности) в точке поставки, с монтажом ответвления от ВЛИ к вводу, для присоединения объекта туристической отрасли (гостиница, база отдыха, гостевой дом, прочее) ИП Задорожной Т.А., расположенного по адресу: Ростовская область, Константиновский район, г. Константиновск, ул. Правобережная, д. 1-а, к.н.з.у.: 61:17:0010225:29 (ориентировочная протяженность ЛЭП 0,03 км)</t>
  </si>
  <si>
    <t>Строительство участка ВЛИ-0,4 кВ от опоры №10 ВЛ 0,4 кВ №1 КТП 7132 ВЛ 10 кВ №21 ПС 110 кВ КГУ и установка прибора коммерческого учета электрической энергии (мощности) в точке поставки, с монтажом ответвления от ВЛИ к вводу, для присоединения здания магазина ИП Лапкиной М.В., расположенного по адресу: Ростовская область, Константиновский район, х. Камышный, ул. Мира, д. 10, к.н.з.у.: 61:17:0030201:201 (ориентировочная протяженность ЛЭП 0,025 км)</t>
  </si>
  <si>
    <t>Строительство участка ВЛИ-0,4 кВ от опоры №6 ВЛ 0,4 кВ №1 КТП 7130 ВЛ 10 кВ №21 ПС 110 кВ КГУ и установка прибора коммерческого учета электрической энергии (мощности) в точке поставки для присоединения жилого дома Гурбанова А.П., расположенного по адресу: Ростовская область, Константиновский район, х. Камышный, ул. Садовая, д. 14, к.н.з.у. 61:17:0030201:11 (ориентировочная протяженность ЛЭП 0,018 км)</t>
  </si>
  <si>
    <t>Строительство участка ВЛИ-0,4 кВ от опоры №3 ВЛ-0,4 кВ №3 КТП-7174 по ВЛ 10 кВ №2 ПС 35 кВ Савельевская и установка прибора коммерческого учета электрической энергии (мощности) в точке поставки для присоединения жилого дома Коренева С.А., расположенного по адресу: Ростовская область, Константиновский район, х. Савельев, ул. Степная,  д. 4/1, кадастровый номер земельного участка 61:17:0040501:339 (ориентировочная протяженность ЛЭП 0,25 км)</t>
  </si>
  <si>
    <t xml:space="preserve">Строительство участка ВЛИ-0,4 кВ от опоры №3/12 ВЛ 0,4 кВ №1 КТП 7149 ВЛ 10 кВ №3 ПС 35 кВ Богоявленская и установка прибора коммерческого учета электрической энергии (мощности) в точке поставки для присоединения жилого дома Рулловой Н.В., расположенного по адресу: Ростовская область, Константиновский район, станица Богоявленовская, 
ул. Садовая, д. 1, к.н.з.у. 61:17:0030101:995 (ориентировочная протяженность ЛЭП 0,063 км)»
</t>
  </si>
  <si>
    <t>Строительство участка ВЛИ-0,4 кВ от вновь установленной опоры вновь построенного участка ВЛИ-0,4 кВ от опоры №13 ВЛИ 0,4 кВ №1 ЗТП 7218 ВЛ 10 кВ №26 ПС 110 кВ КГУ (по договору ТП № 61-1-21-00608213 от 25.10.2021г.) и установка прибора коммерческого учета электрической энергии (мощности) в точке поставки для присоединения административно-бытового здания ИП Арутюняна А.Л., расположенного по адресу: Ростовская область, Константиновский район, Константиновское городское поселение, 0,2 км восточнее х. Ведерников, к.н.з.у. 61:17:0600017:837 (ориентировочная протяженность ЛЭП 0,26 км)</t>
  </si>
  <si>
    <t>Строительство участка ВЛИ-0,4 кВ от опоры №20 ВЛ 0,4 кВ №2 КТП 7156 ВЛ 10 кВ №7 ПС 35 кВ Богоявленская и установка прибора коммерческого учета электрической энергии (мощности) в точке поставки для присоединения дачного дома Борисова Г.М., расположенного по адресу: Ростовская область, Константиновский район, станица Богоявленская, ул. Парковая, д. 64а, к.н.з.у. 61:17:0030101:2549 (ориентировочная протяженность ЛЭП 0,035 км)</t>
  </si>
  <si>
    <t>Строительство ВЛИ-0,4 кВ от РУ-0,4 кВ КТП-7013 ВЛ 10 кВ №15 ПС 110 кВ Константиновская и установка прибора коммерческого учета электрической энергии (мощности) в точке поставки для присоединения складского здания /помещения ООО «Костины Горы», расположенного по адресу: Ростовская область, Константиновский район, х. Костино-Горский, в 15 км от г. Константиновска по направлению на северо-запад, к.н.з.у. 61:17:0600010:1366 (ориентировочная протяженность ЛЭП 0,022 км)</t>
  </si>
  <si>
    <t>Строительство участка ВЛИ-0,4 кВ от опоры №2 ВЛ 0,4 кВ №1 КТП 5320 ВЛ 10 кВ №5 ПС 35 кВ Никольская и установка прибора коммерческого учета электрической энергии (мощности) в точке поставки для присоединения жилого дома Багаева С-У.А., расположенного по адресу: Ростовская область, Заветинский район, х. Фрунзе, ул. Майская, д. 10, к.н.з.у. 61:11:0050401:80 (ориентировочная протяженность ЛЭП 0,3 км)</t>
  </si>
  <si>
    <t>Строительство ВЛИ-0,4 кВ от РУ-0,4 кВ КТП 5020 ВЛ 10 кВ №13 ПС 110 кВ Заветинская и установка прибора коммерческого учета электрической энергии (мощности) в точке поставки для присоединения нежилого здания ИП главы К(Ф)Х Беденко Е.А., расположенного по адресу: Ростовская область, Заветинский район, с. Заветное, к.н.з.у. 61:11:0600005:1259 (ориентировочная протяженность ЛЭП 0,547 км)</t>
  </si>
  <si>
    <t>Строительство участка ВЛИ-0,4 кВ от опоры №1/1 ВЛ 0,4 кВ №2 КТП 3202 ВЛ 10 кВ №2 ПС 35 кВ Комиссаровская и 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Кукса Н.Н., расположенной по адресу: Ростовская область, Дубовский район, х. Сиротский, ул. Центральная, д. 19, кв. 1, к.н.з.у. 61:09:0090101:1923 (ориентировочная протяженность ЛЭП 0,3 км)</t>
  </si>
  <si>
    <t>Строительство ВЛИ-0,4 кВ от РУ-0,4 кВ вновь установленной ТП-10/0,4 кВ по ВЛ-10 кВ №16 ПС110/10 кВ Василевская (по договору ТП № 61-1-22-00658541 от 13.07.2022 г) для присоединения жилого дома Симоненко И.А., расположенного по адресу: Ростовская область, Зимовниковский район, п. Зимовники, ул. Железнодорожная, д. 107А, к.н.: 61:13:0010191:8 (ориентировочная протяженность ЛЭП 0,385 км)</t>
  </si>
  <si>
    <t>Строительство участка ВЛИ-0,4 кВ от опоры №6 ВЛ 0,4 кВ №2 КТП 1602 ВЛ 10 кВ №1 ПС 35 кВ Антоновская и установка прибора коммерческого учета электрической энергии (мощности) в точке поставки для присоединения жилого дома Коваленко М.В., расположенного по адресу: Ростовская область, Цимлянский район, станица Терновская, пер. Весенний, д. 13/13, к.н.з.у. 61:41:0060304:13 (ориентировочная протяженность ЛЭП 0,3 км)</t>
  </si>
  <si>
    <t>Строительство участка ВЛИ-0,4 кВ от опоры №4 ВЛ 0,4 кВ №2 КТП-1681 ВЛ 10 кВ №5 ПС 35 кВ Лозновская и установка прибора коммерческого учета электрической энергии (мощности) в точке поставки для присоединения жилого дома Деревянко Н.Л., расположенного по адресу: Ростовская область, Цимлянский район, п. Дубравный, ул. Заречная, д. 2а, к.н.з.у. 61:41:030404:0065 (ориентировочная протяженность ЛЭП 0,12 км)</t>
  </si>
  <si>
    <t>Строительство ВЛИ-0,4 кВ от РУ-0,4 кВ КТП 1559 ВЛ 10 кВ №5 РП 10 кВ Маркинская ПС 110 кВ Черкассы и установка прибора коммерческого учета электрической энергии (мощности) в точке поставки, с монтажом ответвления от ВЛИ к вводу, для присоединения зерносклада ИП главы К(Ф)Х Попова И.Н., расположенного по адресу: Ростовская область, Морозовский район, западнее х. Великанов, в 300 м от ул. Великанова, 15, к.н.з.у.: 61:24:0600021:668 (ориентировочная протяженность ЛЭП 0,090 км)</t>
  </si>
  <si>
    <t>Строительство участка ВЛИ-0,4 кВ от опоры №3 ВЛ 0,4 кВ №3 КТП 1441 ВЛ 10 кВ №6 РП 10 кВ Маркинская ПС 110 кВ Черкассы и установка прибора коммерческого учета электрической энергии (мощности) в точке поставки, с монтажом ответвления от ВЛИ к вводу, для присоединения антенно-мачтового сооружения 61-14485 АО «Первая Башенная Компания», расположенного по адресу: Ростовская область, Цимлянский район, станица Маркинская, ул. Социалистическая, участок в 70 м на юг от дома №10, площадью 25 м2  в кадастровом квартале 61:41:0050108 (ориентировочная протяженность ЛЭП 0,03 км)</t>
  </si>
  <si>
    <t xml:space="preserve">Строительство участка ВЛИ-0,4 кВ от опоры №1 ВЛ-0,4 кВ №4 КТП-6624/400 кВА ВЛ-6 кВ №6 ПС 110/35/6 кВ Обливная, с установкой шкафа 0,4 кВ, и  обеспечение коммерческим учетом электрической энергии (мощности) в точке поставки по присоединению нежилого здания (коровника двухрядного) ИП главы К(Ф)Х Ахмедова А.Н., расположенного по адресу: Ростовская область, Мартыновский район, х. Лесной, примерно в 340 м по направлению на юго-восток от земельного участка х. Лесной ул. Центральная, д. 2-а, кадастровый номер земельного участка 61:20:0060401:3133 (ориентировочная протяженность ЛЭП 0,299 км) </t>
  </si>
  <si>
    <t>Строительство участка ВЛИ-0,4 кВ от опоры №24 ВЛ 0,4 кВ №1 КТП 6167 ВЛ 10 кВ №4 ПС 110 кВ Несмеяновская и установка прибора коммерческого учета электрической энергии (мощности) в точке поставки для присоединения водонапорной скважины МУП ЖКХ «Мартыновское» Мартыновского района, расположенной по адресу: Ростовская область, Мартыновский район, х. Несмеяновка, ул. Несмеяновская, д. 122, к.н.з.у. 61:20:0070701:1718 (ориентировочная протяженность ЛЭП 0,27 км)</t>
  </si>
  <si>
    <t>Строительство ВЛИ-0,4 кВ от РУ 0,4 кВ КТП 6010 ВЛ 6 кВ №6 ПС 110 кВ НС-1 и установка прибора коммерческого учета электрической энергии (мощности) в точке поставки для присоединения зернотока ИП Миненка А.Д., расположенного по адресу: Ростовская область, Мартыновский район, х. Ильинов, примерно в 85 м от автодороги подъезд к х. Веселый и профильной дороги по направлению на северо-восток, к.н.о. 61:20:0040101:3973 (ориентировочная протяженность ЛЭП 0,05 км)</t>
  </si>
  <si>
    <t>Строительство участка ВЛИ-0,4 кВ от опоры №3/5 ВЛИ-0,4 кВ №2 КТП-6484 ВЛ-10 кВ №1 ПС 35 кВ Рассвет и установка прибора коммерческого учета электрической энергии (мощности) в точке поставки, монтажом ответвления от ВЛИ к вводу, для присоединения склада ИП Лозового И.Ф., расположенного по адресу: Ростовская область, Мартыновский район, п. Абрикосовый, к.н.з.у. 61:20:0020201:1594 (ориентировочная протяженность ЛЭП 0,05 км)</t>
  </si>
  <si>
    <t>Строительство участка ВЛИ-0,4 кВ от опоры №7 ВЛ 0,4 кВ №1 КТП 6402 ВЛ 10 кВ №3 ПС 110 кВ Комаровская и установка прибора коммерческого учета электрической энергии (мощности) в точке поставки для присоединения гаража Воробьева П.Н., расположенного по адресу: Ростовская область, Мартыновский район, слобода Большая Орловка, ул. Строительная, 7, к.н.з.у. 61:20:0020101:1235 (ориентировочная протяженность ЛЭП 0,015 км)</t>
  </si>
  <si>
    <t>Строительство участка ВЛИ-0,4 кВ от опоры №14 ВЛ 0,4 кВ №1 КТП 6085 ВЛ 10 кВ №12 ПС 110 кВ Мартыновская и установка прибора коммерческого учета электрической энергии (мощности) в точке поставки для присоединения административного/офисного здания ИП Ермоченко В.Н., расположенного по адресу: Ростовская область, Мартыновский район, х. Засальский, ул. Ленина, д. 69, к.н.з.у. 61:20:0080301:376 (ориентировочная протяженность ЛЭП 0,18 км</t>
  </si>
  <si>
    <t>Строительство участка ВЛИ-0,4 кВ от опоры №8 ВЛИ 0,4 кВ №1 СТП 8317 ВЛ 6 кВ №1 ПС 35 кВ Романовская и установка прибора коммерческого учета электрической энергии (мощности) в точке поставки для присоединения садового дома Цыбульняк Н.П., расположенного по адресу: Ростовская область, г. Волгодонск, ул. Отдыха, д. 37б22, к.н.з.у. 61:48:0020101:1848 (ориентировочная протяженность ЛЭП 0,03 км)</t>
  </si>
  <si>
    <t>Строительство участка ВЛИ-0,4 кВ от опоры №18 ВЛ-0,4 кВ №1 КТП 8499 ВЛ 6 кВ №7 ПС 35 кВ Романовская и установка прибора коммерческого учета электрической энергии (мощности) в точке поставки для присоединения дачного дома Уткиной Н.Ю., расположенного по адресу: Ростовская область, Волгодонской район, станица Романовская, сдт. «Энергетик», к.н.з.у. 61:08:0600601:2353 (ориентировочная протяженность ЛЭП 0,175 км)</t>
  </si>
  <si>
    <t>Строительство участка ВЛИ-0,4 кВ от КТП-8102/100 кВА ВЛ-10 кВ №9 ПС 35/10/6 кВ Донская для присоединения сторожевого дома ИП главы К(Ф)Х Самсонова С.А., расположенного по адресу: Ростовская область, Волгодонской район, п. Мичуринский, ЗАО «Мичуринец» раб. уч. 6 примерно 1,6 км, на северо-восток от п. Мичуринский, к.н.61:08:601101:0193 (ориентировочная протяженность ЛЭП 0,715 км)</t>
  </si>
  <si>
    <t>Строительство участка ВЛИ-0,4 кВ от опоры №15 ВЛ 0,4 кВ №1 КТП 8608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дачного дома Недовис С.Н., расположенного по адресу: Ростовская область, Волгодонской район, сдт. Энергетик, к.н.з.у.: 61:08:0600601:1969 (ориентировочная протяженность ЛЭП 0,099 км)</t>
  </si>
  <si>
    <t>Строительство участка ВЛИ-0,4 кВ от опоры №15 ВЛ 0,4 кВ №1 КТП 8608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Бакунца К.П., расположенного по адресу: Ростовская область, Волгодонской район, станица Романовская, сдт. Энергетик, к.н.з.у.: 61:08:0600601:2011 (ориентировочная протяженность ЛЭП 0,16 км)</t>
  </si>
  <si>
    <t>Строительство ВЛИ-0,4 кВ от РУ-0,4 кВ КТП-8383/100 кВА ВЛ-6 кВ №6 ПС 35/6 кВ Потаповская для присоединения квартиры Амочаевой В.П., расположенной по адресу: Ростовская область, Волгодонской район, х. Потапов, ул. Речная, д.101, кв./оф. 2, к.н. 61:08:0040101:106 (ориентировочная протяженность ЛЭП 0,25 км)</t>
  </si>
  <si>
    <t>Строительство участка ВЛИ-0,4 кВ от опоры №1 ВЛ 0,4 кВ №1 КТП 7001 ВЛ 10 кВ №15 ПС 110 кВ Константиновская и установка прибора коммерческого учета электрической энергии (мощности) в точке поставки для присоединения подкачивающей станции воды с насосом подводящего водопровода к объекту: «Строительство инновационной молочной фермы» АО «Донское молоко», расположенной по адресу: Ростовская область, Константиновский район, г. Константиновск, АО «Ленинский путь», АО «Холмистое», поле 11, к.н.з.у. 61:17:0600010:3225 (ориентировочная протяженность ЛЭП 0,073 км)</t>
  </si>
  <si>
    <t>Строительство участка ВЛИ-0,4 кВ от опоры №3 ВЛ 0,4 кВ №1 КТП 2304 ВЛ 10 кВ №1 ПС 110 кВ Глубокинская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антенно-мачтового сооружения 61-14998 АО «Первая Башенная Компания», расположенного по адресу: Ростовская область, Зимовниковский район,  х. Глубокий, ул. Садовая, вблизи д. 27 (ориентировочная протяженность ЛЭП 0,025 км)</t>
  </si>
  <si>
    <t>Строительство участка ВЛИ-0,4 кВ от опоры №5/2 ВЛИ 0,4 кВ №2 КТП 8493 ВЛ 6 кВ №5 ПС 35 кВ Романовская и установка прибора коммерческого учета электрической энергии (мощности) в точке поставки для присоединения объекта торговли (магазин, торговый центр, прочее) ИП Рыжкиной Е.А., расположенного по адресу: Ростовская область, Волгодонской район, станица Романовская, пер. Кожанова, д. 32, к.н.з.у. 61:08:0070105:19 (ориентировочная протяженность ЛЭП 0,06 км)</t>
  </si>
  <si>
    <t>Строительство участка ВЛИ-0,4 кВ от опоры №9 ВЛ-0,4 кВ №2 КТП-8607 ВЛ-6 кВ №1 ПС 35 кВ Романовская и установка прибора коммерческого учета электрической энергии (мощности) в точке поставки, монтажом ответвления от ВЛИ к вводу, для присоединения объекта наружного освещения Самохина В.М., расположенного по адресу: Ростовская область, г. Волгодонск, ул. Отдыха, д. 31в, к.н.з.у.: 61:48:0020101:1862 (ориентировочная протяженность ЛЭП 0,02 км)</t>
  </si>
  <si>
    <t>Строительство участка ВЛИ-0,4 кВ от вновь установленной опоры вновь построенной ВЛИ-0,4 кВ от опоры №12 ВЛИ 0,4 кВ №2 КТП 8608 ВЛ 6 кВ №14 ПС 35 кВ Романовская (по договору ТП №61-1-22-00666289 от 06.09.2022г.)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Астафьевой Е.В., расположенной по адресу: Ростовская область, Волгодонской район, станица Романовская, ул. 75 лет Победы, д. 84, к.н.з.у.: 61:08:0600601:5296 (ориентировочная протяженность ЛЭП 0,05 км)</t>
  </si>
  <si>
    <t>Строительство участка ВЛИ-0,4 кВ от опоры №1/6 ВЛ 0,4 кВ №2 КТП 8389 ВЛ 6 кВ №6 ПС 35 кВ Потаповская и установка прибора коммерческого учета электрической энергии (мощности) в точке поставки для присоединения малоэтажной жилой застройки Поболь А.Л., расположенной по адресу: Ростовская область, Волгодонской район, х. Потапов, ул. Юбилейная, д. 18Е, к.н.з.у. 61:08:0040110:1448 (ориентировочная протяженность ЛЭП 0,025 км)</t>
  </si>
  <si>
    <t>Строительство участка ВЛИ-0,4 кВ от опоры №28 ВЛ-0,4 кВ №1 КТП-8044 ВЛ-10 кВ №11 ПС 35 кВ Рябичевская и установка прибора коммерческого учета электрической энергии (мощности) в точке поставки, монтажом ответвления от ВЛИ к вводу, для присоединения объекта крестьянского (фермерского) хозяйства ИП Вифлянцева В.П., расположенного по адресу: Ростовская область, Волгодонской район, 2750 м северо-западнее, 1550 м юго-западнее, 1350 м юго-восточнее дома №11 ул. Северина х. Ясырев, к.н.з.у.: 61:08:0601601:1069  (ориентировочная протяженность ЛЭП 0,2 км)</t>
  </si>
  <si>
    <t>Строительство участка ВЛИ-0,4 кВ от вновь установленной опоры вновь построенной ВЛИ-0,4 кВ от РУ-0,4 кВ №2 КТП 8608 ВЛ 6 кВ №14 ПС 35 кВ Романовская (по договору ТП №61-1-21-00600573 от 13.09.2021г.) и установка прибора коммерческого учета электрической энергии (мощности) в точке поставки для присоединения индивидуального жилого дома Ромахова А.Ф., расположенного по адресу: Ростовская область, Волгодонской район, станица Романовская, ул. 75 лет Победы, д. 6, к.н.з.у. 61:08:0600601:4563 (ориентировочная протяженность ЛЭП 0,13 км)</t>
  </si>
  <si>
    <t xml:space="preserve">Строительство ВЛИ-0,4 кВ от РУ-0,4 кВ КТП-7001/160 кВА ВЛ-10 кВ №15 ПС 110/35/10 кВ Константиновская, с установкой шкафа 0,4 кВ, и  обеспечение коммерческим учетом электрической энергии (мощности) в точке поставки по присоединению жилого дома Политюк Д.Ю., расположенного по адресу: Ростовская область, Константиновский район, садоводческое товарищество «Зимовное» земельный участок №2, кадастровый номер земельного участка: 61:17:0500301:4 (ориентировочная протяженность ЛЭП 0,705 км)»
</t>
  </si>
  <si>
    <t>Строительство участка ВЛИ-0,4 кВ от опоры №15 ВЛ 0,4 кВ №3 КТП 6198 ВЛ 10 кВ №6 ПС 110 кВ Мартыновская и установка прибора коммерческого учета электрической энергии (мощности) в точке поставки для присоединения административного/офисного здания ИП Ермакова Н.Ю., расположенного по адресу: Ростовская область, Мартыновский район, х. Кривой Лиман, северо-западнее х. Кривой Лиман, к.н.з.у. 61:20:0600020:2195 (ориентировочная протяженность ЛЭП 0,18 км)</t>
  </si>
  <si>
    <t>Строительство ВЛИ-0,4 кВ от РУ 0,4 кВ КТП 4198 по ВЛ 10 кВ №7 ПС 110 кВ Приволенская и установка прибора коммерческого учета электрической энергии (мощности) в точке поставки для присоединения жилого дома Умиевой И.С., расположенного по адресу: Ростовская область, Ремонтненский район, п. Привольный, ул. Прудовая, д. 5, к.н.о. 61:61:17/022/2008-028, к.н.з.у.: 61:32:100101:3 (ориентировочная протяженность ЛЭП 0,37 км)</t>
  </si>
  <si>
    <t>Строительство участка ВЛИ-0,4 кВ от опоры №18 ВЛ-0,4 кВ №1 КТП 4231 ВЛ 10 кВ №7 ПС 35 кВ Киевская и установка прибора коммерческого учета электрической энергии (мощности) в точке поставки для присоединения жилого дома Сулейманова М.М., расположенного по адресу: Ростовская область, Ремонтненский район, х. Раздольный, ул. Центральная, д.1, к.н.о.: 61:32:0050201:198, к.н.з.у. 61:32:0050201:198 (ориентировочная протяженность ЛЭП 0,41 км)</t>
  </si>
  <si>
    <t>Строительство участка ВЛИ-0,4 кВ от опоры №9 ВЛ 0,4 кВ №4 КТП 1430 ВЛ 10 кВ №17 ПС 110 кВ Цимлянская и установка прибора коммерческого учета электрической энергии (мощности) в точке поставки, с монтажом ответвления от ВЛИ к вводу и шкафа 0,4 кВ, для присоединения объекта общественного питания ИП Аракелян Т.А., расположенного по адресу: Ростовская область, Цимлянский район, г. Цимлянск, ул. Победы, д. 112-114, к.н.з.у.: 61:48:0010506:131 (ориентировочная протяженность ЛЭП 0,07 км)</t>
  </si>
  <si>
    <t>Строительство участка ВЛИ-0,4 кВ от опоры №5/2 ВЛ-0,4 кВ №2 КТП 7427 ВЛ 10 кВ №4 ПС 35 кВ Николаевская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Блинова В.И., расположенного по адресу: Ростовская область, Константиновский район, станица Николаевская, ул. Гагарина, д. 3, к.н.з.у.: 61:17:0050101:1476 (ориентировочная протяженность ЛЭП 0,05 км)</t>
  </si>
  <si>
    <t>Строительство участка ВЛИ-0,4 кВ от опоры №13 ВЛИ-0,4 кВ №1 КТП 7046 ВЛ 10 кВ №2 ПС 35 кВ Нижне-Журавская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Угрюмова В.Е., расположенной по адресу: Ростовская область, Константиновский район, х. Хрящевский, ул. Набережная, д. 3, к.н.з.у.: 61:17:0020601:1279 (ориентировочная протяженность ЛЭП 0,05 км)</t>
  </si>
  <si>
    <t>Строительство ВЛИ-0,4 кВ от РУ-0,4 кВ КТП 4448 ВЛ 10 кВ №7 ПС 35 кВ Краснопартизанская и установка прибора коммерческого учета электрической энергии (мощности) в точке поставки, с монтажом ответвления от ВЛИ к вводу, для присоединения склада для сельскохозяйственной продукции ИП главы К(Ф)Х Кайнурова А.К., расположенного по адресу: Ростовская область, Ремонтненский район, Краснопартизанское сельское поселение, пашня поле №129 в 4,4 км на юго-восток от п. Краснопартизанский, пастбища отварный участок №13 в 4,5 км на юго-восток от п. Краснопартизанский, к.н.з.у.: 61:32:0600007:8347 (ориентировочная протяженность ЛЭП 0,06 км)</t>
  </si>
  <si>
    <t>Строительство участка ВЛИ-0,4 кВ от опоры №15 ВЛИ 0,4 кВ №1 КТП 8607 ВЛ 6 кВ №1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Кучерявина Д.Н., расположенной по адресу: Ростовская область, г. Волгодонск, ул. Отдыха, д. 39в34, к.н.з.у.: 61:48:0020101:1821 (ориентировочная протяженность ЛЭП 0,04 км)</t>
  </si>
  <si>
    <t>Строительство участка ВЛИ-0,4 кВ от опоры №22 ВЛ 0,4 кВ №3 КТП 8478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Юшко А.С., расположенного по адресу: Ростовская область, Волгодонской район, станица Романовская, пер. Гагарина, д. 49в, к.н.з.у.: 61:08:0070108:554 (ориентировочная протяженность ЛЭП 0,02 км)</t>
  </si>
  <si>
    <t>Строительство участка ВЛИ-0,4 кВ от опоры №2/5 ВЛИ 0,4 кВ №2 КТП 8525 ВЛ 10 кВ №16 ПС 110 кВ ВдПТФ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Казаченко А.С., расположенной по адресу: Ростовская область, Волгодонской район, х. Мокросоленый, ул. Луговая, д. 3, к.н.з.у.: 61:08:0602001:260 (ориентировочная протяженность ЛЭП 0,04 км)</t>
  </si>
  <si>
    <t>Строительство участка ВЛИ-0,4 кВ от вновь установленной опоры вновь построенного участка ВЛИ-0,4 кВ от опоры №1/7 ВЛИ 0,4 кВ №1 КТП 8343 ВЛ 6 кВ №14 ПС 35 кВ Романовская (по договору ТП от 14.02.2023 №61-1-23-00687257)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Пономаревой Е.Э., расположенного по адресу: Ростовская область, Волгодонской район, станица Романовская, ул. Язева, д. 66, к.н.з.у.: 61:08:0600601:5204 (ориентировочная протяженность ЛЭП 0,04 км)</t>
  </si>
  <si>
    <t>Строительство участка ВЛИ-0,4 кВ от опоры №1/7 ВЛИ 0,4 кВ №1 КТП 8343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Мисина Д.А., расположенного по адресу: Ростовская область, Волгодонской район, станица Романовская, ул. Язева, д. 63, к.н.з.у.: 61:08:0600601:5210 (ориентировочная протяженность ЛЭП 0,09 км)</t>
  </si>
  <si>
    <t>Строительство участка ВЛИ-0,4 кВ от опоры №19 ВЛИ-0,4 кВ №2 КТП-3410 ВЛ 10 кВ №24 ПС 110 кВ Жуковская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Мешковой Д.А., расположенного по адресу: Ростовская область, Дубовский район, станица Подгорненская, ул. Центральная, д. 2, к.н.з.у.: 61:09:0030301:97 (ориентировочная протяженность ЛЭП 0,02 км)</t>
  </si>
  <si>
    <t>Строительство ВЛИ-0,4 кВ от РУ-0,4 кВ вновь устанавливаемой КТП-10/0,4 кВ от опоры №7/3 ВЛ-10 кВ №3 ПС 110/35/10 кВ Комаровская для присоединения здания Гарбузова А.В., расположенного по адресу: Ростовская область, Мартыновский район, слобода Большая Орловка, ул. Революционная, д. 67 б, к.н. 61:20:0020101:12675 (ориентировочная протяженность ЛЭП 0,352 км, ориентировочная мощность трансформатора 160 кВА)</t>
  </si>
  <si>
    <t>Строительство участка ВЛИ-0,4 кВ от опоры №22 ВЛ 0,4 кВ №1 КТП 6092 ВЛ 10 кВ №12 ПС 110 кВ Мартыновская и 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дома/садового/дачного дома) Черкашина Г.Г., расположенного по адресу: Ростовская область, Мартыновский район, х. Новониколаевский, ул. Центральная, д. 6, корп. б, к.н.з.у. 61:20:0000000:3247 (ориентировочная протяженность ЛЭП 0,13 км)</t>
  </si>
  <si>
    <t>Строительство участка ВЛИ-0,4 кВ от опоры №36 ВЛ 0,4 кВ №1 КТП 8330 ВЛ 6 кВ №1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Ковалёва Е.Ю., расположенной по адресу: Ростовская область, г. Волгодонск, СНТ Машиностроитель, д. 404а ндр, к.н.з.у. 61:48:0020702:370 (ориентировочная протяженность ЛЭП 0,36 км</t>
  </si>
  <si>
    <t>Строительство участка ВЛИ-0,4 кВ от опоры №7/9 ВЛИ 0,4 кВ №2 КТП 8330 ВЛ 6 кВ №1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Звягинцева Э.М., расположенной по адресу: Ростовская область, г. Волгодонск, СНТ Машиностроителей, д. 420, к.н.з.у. 61:48:0020703:22 (ориентировочная протяженность ЛЭП 0,06 км)</t>
  </si>
  <si>
    <t>Строительство ВЛИ-0,4 кВ от РУ-0,4 кВ вновь установленной ТП-10/0,4 кВ по ВЛ-10 кВ №11  ПС 35 кВ Николаевская (по договору от 29.05.2020 №61-1-20-00513205) и установка прибора коммерческого учета электрической энергии (мощности) в точке поставки для присоединения жилого дома Вифлянцевой С.Н., расположенного по адресу: Ростовская область, Константиновский район, х. Старая Станица, ул. Атаманская, д. 8, к.н.з.у.: 61:17:0600015:2936 (ориентировочная протяженность ЛЭП 0,18 км)</t>
  </si>
  <si>
    <t>Строительство участка ВЛИ-0,4 кВ от вновь установленной опоры вновь построенной ВЛИ-0,4 кВ (по договору ТП №61-1-21-00573915 от 28.04.2021г.) от РУ-0,4 кВ вновь установленной ТП-10/0,4 кВ по ВЛ-10 кВ №11 ПС 35 кВ Николаевская (по договору от 29.05.2020 №61-1-20-00513205) и установка прибора коммерческого учета электрической энергии (мощности) в точке поставки для присоединения жилого дома Иванковой А.П., расположенного по адресу: Ростовская область, Константиновский район, х. Старая Станица, ул. Атаманская, д. 6, к.н.з.у.: 61:17:0600015:2935 (ориентировочная протяженность ЛЭП 0,04 км)</t>
  </si>
  <si>
    <t>Строительство участка ВЛИ-0,4 кВ от опоры №15 ВЛ 0,4 кВ №2 ЗТП 7125 ВЛ 10 кВ №1 ПС 35 кВ Богоявленская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Агакишиевой Г.Р., расположенного по адресу: Ростовская область, Константиновский район, х. Упраздно-Кагальницкий, ул. Степная, д. 2 а, к.н.з.у.: 61:17:0030401:1109 (ориентировочная протяженность ЛЭП 0,025 км)</t>
  </si>
  <si>
    <t>Строительство участка ВЛИ-0,4 кВ от опоры №18 ВЛ 0,4 кВ №1 КТП 1409 ВЛ 10 кВ №17 ПС 110 кВ Цимлянская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Бизяевой Е.С., расположенного по адресу: Ростовская область, Цимлянский район, станица Красноярская, пер. Кооперативный, д. 32, к.н.з.у.: 61:41:0020122:8 (ориентировочная протяженность ЛЭП 0,15 км)</t>
  </si>
  <si>
    <t>Строительство участка ВЛИ-0,4 кВ от опоры №2/4 ВЛИ-0,4 кВ №1 КТП 8262 ВЛ 6 кВ №15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(индивидуальный жилой дом/садовый/дачный дом) Одинцова В.А., расположенной по адресу: Ростовская область, Волгодонской район, станица Романовская, пер. Шолохова, д. 5, к.н.з.у.: 61:08:0600601:4997 (ориентировочная протяженность ЛЭП 0,025 км)</t>
  </si>
  <si>
    <t>Строительство участка ВЛИ-0,4 кВ от опоры №7 ВЛИ-0,4 кВ №3 КТП 8489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Капусты Е.И., расположенного по адресу: Ростовская область, Волгодонской район, станица Романовская, пер. Кожанова, д. 102б, к.н.з.у.: 61:08:0070107:1179 (ориентировочная протяженность ЛЭП 0,03 км)</t>
  </si>
  <si>
    <t>Строительство участка ВЛИ-0,4 кВ от опоры №1/5 ВЛ 0,4 кВ №2 КТП 8389 ВЛ 6 кВ №6 ПС 35 кВ Потаповская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Кудеевой И.В., расположенной по адресу: Ростовская область, Волгодонской район, х. Потапов, ул. Юбилейная, д. 18Г, к.н.з.у.: 61:08:0040110:1443 (ориентировочная протяженность ЛЭП 0,025 км)</t>
  </si>
  <si>
    <t>Строительство участка ВЛИ-0,4 кВ от опоры №5 ВЛИ-0,4 кВ №1 КТП 8262 ВЛ 6 кВ №15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жилого дома Гордиенко С.Н., расположенного по адресу: Ростовская область, Волгодонской район, станица Романовская, ул. Шолохова, д. 30, к.н.з.у.: 61:08:0600601:5005 (ориентировочная протяженность ЛЭП 0,08 км)</t>
  </si>
  <si>
    <t>Строительство участка ВЛИ-0,4 кВ от опоры №2 ВЛИ 0,4 кВ №2 КТП 8279 ВЛ 6 кВ №5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Водяникова Е.В., расположенной по адресу: Ростовская область, Волгодонской район, станица Романовская, пер. Стахановский, д. 83а, к.н.з.у.: 61:08:0070125:640 (ориентировочная протяженность ЛЭП 0,03 км)</t>
  </si>
  <si>
    <t>Строительство участка ВЛИ-0,4 кВ от опоры №1/3 ВЛ-0,4 кВ №1 КТП-8106/160 кВА ВЛ-10 кВ №4 ПС 35/10 кВ Виноградная для присоединения квартиры Шурминой А.Н., расположенной по адресу: Ростовская область, Волгодонской район, п. Виноградный, ул. Школьная, д.5, кв./оф. 2, к.н. 61:08:050203:0164 (ориентировочная протяженность ЛЭП 0,32 км)</t>
  </si>
  <si>
    <t>Строительство участка ВЛИ-0,4 кВ от опоры №1/6 ВЛ 0,4 кВ №3 КТП 8452 ВЛ 6 кВ №1 ПС 35 кВ Романовская и установка прибора коммерческого учета электрической энергии (мощности) в точке поставки для присоединения жилого дома Бударина Е.С., расположенного по адресу: Ростовская область, Волгодонской район, х. Погожев, ул. Гладкова, д. 15, к.н.з.у. 61:08:0600601:4234 (ориентировочная  протяженность ЛЭП 0,125 км)</t>
  </si>
  <si>
    <t>Строительство ВЛИ-0,4 кВ от РУ-0,4 кВ КТП 7120 ВЛ 10 кВ №8 ПС 35 кВ Почтовская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административного/офисного здания Государственного учреждения Ростовской области «Противопожарной службы Ростовской области», расположенного по адресу: Ростовская область, Константиновский район, х. Почтовый, ул. Школьная, д. 2, к.н.з.у.: 61:17:0060101:1064 (ориентировочная протяженность ЛЭП 0,064 км)</t>
  </si>
  <si>
    <t>Строительство участка ВЛИ-0,4 кВ от опоры №9 ВЛ 0,4 кВ №3 КТП 7309 ВЛ 10 кВ №2 ПС 35 кВ Белянская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базовой станции/оборудования сотовой связи ПАО «Ростелеком», расположенного по адресу: Ростовская область, Константиновский район, х. Суворов, ул. Солнечная, примерно 71 м по направлению на юго-запад от границ участка по адресу: ул. Солнечная 4, кв.1 (кад. номер: 61:17:0040601:81), к.н.з.у.: 61:17:0040601 (ориентировочная протяженность ЛЭП 0,05 км)</t>
  </si>
  <si>
    <t>Строительство участка ВЛИ-0,4 кВ от опоры №11 ВЛ 0,4 кВ №3 КТП 6092 ВЛ 10 кВ №12 ПС 110 кВ Мартыновская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личного подсобного хозяйства (приусадебный земельный участок) Тарзиева Н.Р., расположенного по адресу: Ростовская область, Мартыновский район, х. Новониколаевский, ул. Центральная, д. 29, к.н.з.у.: 61:20:0080501:794 (ориентировочная протяженность ЛЭП 0,136 км)</t>
  </si>
  <si>
    <t>Строительство участка ВЛИ-0,4 кВ от опоры №8 ВЛ 0,4 кВ №1 КТП 1329 ВЛ 10 кВ №5 ПС 110 кВ Цимлянская и установка прибора коммерческого учета электрической энергии (мощности) в точке поставки для присоединения складского здания/помещения Ерофеева А.Н., расположенного по адресу: Ростовская область, Цимлянский район, х. Крутой, Саркеловское сельское поселение, в районе ул. Буденного, 46б, к.н.з.у. 61:41:0600009:1448 (ориентировочная протяженность ЛЭП 0,28 км)</t>
  </si>
  <si>
    <t>Строительство участка ВЛИ-0,4 кВ от опоры №1 ВЛ-0,4 кВ №1 КТП-3324 ВЛ-10 кВ №5 ПС 110 кВ Вербовая и установка приборов коммерческого учета электрической энергии (мощности) в точках поставки для присоединения квартир Алиева М.А., Алиева К.Ш. и Никамагомедовой Д.А., расположенных по адресам: Ростовская область, Дубовский район, х. Агрономов, ул. Ериковая, д.13, кв. 1, к.н.з.у. 61:09:0130201:118; д. 22, кв. 1, к.н.з.у. 61:09:0130201:136; д. 18, кв. 1, к.н.з.у. 61:09:0130201:134 (ориентировочная протяженность ЛЭП 0,635 км, количество приборов – 3 шт)</t>
  </si>
  <si>
    <t>Строительство участка ВЛИ-0,4 кВ от опоры №2/12 ВЛ 0,4 кВ №1 КТП 3176 ВЛ 10 кВ №1 ПС 35 кВ Эркетиновская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Ахмадова Б.Б., расположенного по адресу: Ростовская область, Дубовский район, х. Ивановка, ул. Дорожная, д. 8б, к.н.з.у. 61:09:0080201:296 (ориентировочная протяженность ЛЭП 0,045 км)</t>
  </si>
  <si>
    <t>Строительство участка ВЛИ-0,4 кВ от опоры №27 ВЛ 0,4 кВ №1 КТП 8431 ВЛ 6 кВ №5 ПС 35 кВ НС-12 и установка прибора коммерческого учета электрической энергии (мощности) в точке поставки, с монтажом ответвления от ВЛИ к вводу, для присоединения антенно-мачтового сооружения связи 61-1132 АО «ПБК», расположенного по адресу: Ростовская область, Волгодонской район, х. Семенкин, ул. Южная, к.н.з.у.: 61:08:0070504 (ориентировочная протяженность ЛЭП 0,035 км)</t>
  </si>
  <si>
    <t>Строительство участка ВЛИ-0,4 кВ от вновь установленной опоры вновь построенного участка ВЛИ-0,4 кВ от опоры №12 ВЛИ 0,4 кВ №2 КТП 8608 ВЛ 6 кВ №14 ПС 35 кВ Романовская (по договору ТП от 31.01.2023 №61-1-23-00685159)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Настенко О.Д., расположенного по адресу: Ростовская область, Волгодонской район, станица Романовская, ул. 75 лет Победы, д. 88а, к.н.з.у.: 61:08:0600601:5298 (ориентировочная протяженность ЛЭП 0,06 км)</t>
  </si>
  <si>
    <t>Строительство участка ВЛИ-0,4 кВ от вновь установленной опоры вновь построенного участка ВЛИ-0,4 кВ от опоры №1/7 ВЛИ 0,4 кВ №1 КТП 8343 ВЛ 6 кВ №14 ПС 35 кВ Романовская (по договору ТП от 14.02.2023 №61-1-23-00687257)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Овчарова Ю.Л., расположенного по адресу: Ростовская область, Волгодонской район, станица Романовская, ул. Язева, д. 62, к.н.з.у.: 61:08:0600601:5206 (ориентировочная протяженность ЛЭП 0,03 км)</t>
  </si>
  <si>
    <t>Строительство участка ВЛИ-0,4 кВ от опоры №10 ВЛ 0,4 кВ №3 КТП 8485 ВЛ 6 кВ №5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Следневой О.О., расположенной по адресу: Ростовская область, Волгодонской район, станица Романовская, пер. Котова, д. 121а, к.н.з.у.: 61:08:0070126:893 (ориентировочная протяженность ЛЭП 0,025 км)</t>
  </si>
  <si>
    <t>Строительство участка ВЛИ-0,4 кВ от опоры №3 ВЛ 0,4 кВ №3 КТП 8489 ВЛ 6 кВ №14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Гончарова Е.А., расположенной по адресу: Ростовская область, Волгодонской район, станица Романовская, ул. Юбилейная, д. 3а, к.н.з.у.: 61:08:0070107:924 (ориентировочная протяженность ЛЭП 0,016 км)</t>
  </si>
  <si>
    <t>Строительство участка ВЛИ-0,4 кВ от опоры №2/7 ВЛИ 0,4 кВ №3 КТП 8483 ВЛ 6 кВ №5 ПС 35 кВ Романовская и установка прибора коммерческого учета электрической энергии (мощности) в точке поставки,с монтажом ответвления от ВЛИ к вводу, для присоединения малоэтажной жилой застройки Гусакова Е.П., расположенной по адресу: Ростовская область, Волгодонской район, станица Романовская, пер. Гладкова, д. 17,к.н.з.у. 61:08:0070131:944 (ориентировочная протяженность ЛЭП 0,025 км)</t>
  </si>
  <si>
    <t>Строительство участка ВЛИ-0,4 кВ от опоры №4/3 ВЛ 0,4 кВ №1 КТП 8262 ВЛ 6 кВ №15 ПС 35 кВ Романовская и установка прибора коммерческого учета электрической энергии (мощности) в точке поставки для присоединения малоэтажной жилой застройки Пастуховой Т.Н., расположенной по адресу: Ростовская область, Волгодонской район, станица Романовская, ул. Шолохова, д. 26, к.н.з.у. 61:08:0600601:5000 (ориентировочная протяженность ЛЭП 0,075 км)</t>
  </si>
  <si>
    <t>Строительство участка ВЛИ-0,4 кВ от опоры №5 ВЛ 0,4 кВ №1 КТП 7211 ВЛ 10 кВ №1 ПС 35 кВ Богоявленская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Чамурлиева Г.Ф., расположенного по адресу: Ростовская область, Константиновский район, х. Упраздно-Кагальницкий, ул. Дорожная, д. 1, к.н.з.у.: 61:17:03:03:08:20 (ориентировочная протяженность ЛЭП 0,312 км)</t>
  </si>
  <si>
    <t>Строительство участка ВЛИ-0,4 кВ от опоры №6 ВЛ-0,4 кВ №3 КТП-4045 ВЛ-10 кВ №18 ПС 110 кВ Ремонтненская и установка прибора коммерческого учета электрической энергии (мощности) в точке поставки,с монтажом ответвления от ВЛИ к вводу, для присоединения базовой станции/оборудования сотовой связи ООО «Т2 Мобайл», расположенной по адресу: Ростовская область, Ремонтненский район, п. Новопривольный, ул. Восточная, д. 2, посёлок Новопривольный, примерно 100 м по направлению на северо-запад от границ участка по адресу: ул. Восточная 2, координаты: 46,600314, 43,522388, к.н.з.у. 61:32:0100201 (ориентировочная протяженность ЛЭП 0,088 км)</t>
  </si>
  <si>
    <t>Строительство участка ВЛИ-0,4 кВ от опоры №7 ВЛ 0,4 кВ №1 КТП-6104 ВЛ 10 кВ №9 ПС 110 кВ Октябрьская и установка прибора коммерческого учета электрической энергии (мощности) в точке поставки, с монтажом ответвления от ВЛИ к вводу, для присоединения скважины для полива огорода Волковой Н.В., расположенной по адресу: Ростовская область, Мартыновский район, х. Новый, ул. Степная, д. 12, к.н.з.у.: 61:20:0080601:142 (ориентировочная протяженность ЛЭП 0,04 км)</t>
  </si>
  <si>
    <t xml:space="preserve">Строительство участка ВЛ-10 кВ от опоры №2 ВЛ-10 кВ №11 ПС 35/10 кВ Мариинская, с установкой ТП-10/0,4 кВ и строительство ВЛИ-0,4 кВ от РУ-0,4 кВ вновь установленной ТП-10/0,4 кВ  для присоединения освещения рыбоводного участка ИП Божок П.Р., расположенного по адресу: Ростовская область, Константиновский район, станица Николаевская, Водный объект на участке реки, расположенный в 10 км на северо-восток от станицы Николаевская от точки 1 до точки 2 по прямой линии от точки 2 до точки 3 по береговой линии от точки 3 до точки 4 по прямой линии от точки 4 до точки 1 по береговой линии, к.н. 61:17:0600015:2860 (ориентировочная протяженность ЛЭП 9,885 км, ориентировочная мощность трансформатора 25 кВА)
</t>
  </si>
  <si>
    <t>Строительство участка ВЛ-6 кВ от опоры №6/54 ВЛ 6 кВ №14 ПС 35 кВ Романовская,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базы отдыха ИП Бражкиной Е.А., расположенной по адресу: Ростовская область, г. Волгодонск, у. Отдыха, к.н.з.у.: 61:48:0020101:1577 (ориентировочная протяженность ЛЭП 0,025 км, ориентировочная мощность трансформатора 0,1 МВА)</t>
  </si>
  <si>
    <t>Строительство участка ВЛЗ-10 кВ от опоры №1/41 ВЛ-10 кВ №5 ПС 35/10 кВ Лозновская,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точке поставки по присоединению здания для хранения и переработки сельскохозяйственной продукции Павличенко Н.Е., расположенного по адресу: Ростовская область, Цимлянский район, п. Сосенки, в границах ЗАО «Сосенки», 0,2 км восточная граница п. Сосенки, кадастровый номер земельного участка 61:41:0600011:1369 (ориентировочная протяженность ЛЭП 0,13 км, ориентировочная мощность трансформатора 25 кВА)</t>
  </si>
  <si>
    <t>Строительство участка ВЛЗ-6 кВ от опоры №12/7 ВЛ-6 кВ №1 ПС 35 кВ Романовская,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садового дома Тагаевой И.В., расположенного по адресу: Ростовская область, г. Волгодонск, ул. Отдыха, д. 37б24, к.н.з.у.: 61:48:0020101:1849 (ориентировочная протяженность ЛЭП 0,5 км, ориентировочная мощность трансформатора 0,025 МВА)</t>
  </si>
  <si>
    <t>Строительство участка ВЛ-6 кВ от опоры №11 ВЛ 6 кВ №7 ПС 35 кВ НС-8,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полевого стана ИП Сеина Н.Н., расположенного по адресу: Ростовская область, Волгодонской район, 5385 м юго-восточнее дома №15 ул. 40 лет Победы х. Потапов, к.н.з.у.: 61:08:0601501:481 (ориентировочная протяженность ЛЭП 0,055 км, ориентировочная мощность трансформатора 0,04 МВА)</t>
  </si>
  <si>
    <t>Строительство участка ВЛЗ-6 кВ от опоры №31 ВЛ-6 кВ №7 ПС 35 кВ Романовская,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объекта сельскохозяйственного назначения ИП Полякова Р.А., расположенного по адресу: Ростовская область, Волгодонской район, СПК «Волгодонской», в районе бригады №1 в 0,650 км на запад от х. Лагутники  к.н.з.у.: 61:08:600701:0204 (ориентировочная протяженность ЛЭП 0,455 км, ориентировочная мощность трансформатора 0,025 МВА)</t>
  </si>
  <si>
    <t>Строительство участка ВЛЗ-10 кВ от опоры №56 ВЛ-10 кВ №4 ПС 35 кВ Николаевская, с установкой ТП-10/0,4 кВ, строительство ВЛИ-0,4 кВ от РУ-0,4 кВ вновь установленной ТП-10/0,4 кВ и установка приборов коммерческого учета электрической энергии (мощности) в точках поставки для присоединения жилых домов Каймакова П.Ю., Сизёвой И.В., Гапкина В.Б., Афанасьева М.В. и Пятиковой М.В., расположенных по адресам: Ростовская область, Константиновский район, станица Николаевская, ул.Гагарина, д.40, к.н.з.у. 61:17:0050101:1486 и д.50, к.н.з.у. 61:17:0050101:1494, ул. Ермакова, д.8, к.н.з.у. 61:17:0050101:1627 и д.21, к.н.з.у. 61:17:0050101:1567, ул. 9 Января, д.46, к.н.з.у. 61:17:0050101:2355 (ориентировочная протяженность ЛЭП 0,62 км, ориентировочная мощность трансформатора 100 кВА, количество приборов коммерческого учета – 5 шт)</t>
  </si>
  <si>
    <t>Строительство участка ВЛЗ-10 кВ от опоры №15/3 ВЛ-10 кВ №11 ПС 35/10 кВ Николаевская, с установкой ТП-10/0,4 кВ и строительство ВЛИ-0,4 кВ от РУ-0,4 кВ вновь установленной ТП-10/0,4 кВ  для присоединения жилого дома Гаджиевой С.А., расположенного по адресу: Ростовская область, Константиновский район, х. Старая Станица, ул. Молодежная, д.2, к.н. 61:17:0050501:514 (ориентировочная протяженность ЛЭП 0,705 км, ориентировочная мощность трансформатора 25 кВА)</t>
  </si>
  <si>
    <t xml:space="preserve">Строительство участка ВЛ-10 кВ от опоры №86 ВЛ-10 кВ №9 ПС 35/10 кВ Отары, с установкой ТП-10/0,4 кВ и строительство ВЛИ-0,4 кВ от РУ-0,4 кВ вновь установленной ТП-10/0,4 кВ  для присоединения нежилого здания ИП главы К(Ф)Х Гехаева Б.Н. расположенного по адресу: Ростовская область, Заветинский район, п. Терновая Балка, проезд Савинкин, д.13, к.н. 61:11:0600011:1186 (ориентировочная протяженность ЛЭП 0,238 км, ориентировочная мощность трансформатора 25 кВА)
</t>
  </si>
  <si>
    <t>Строительство участка ВЛЗ-10 кВ от опоры №10/79 ВЛ-10 кВ №15 ПС 110/35/10 кВ Константиновская,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точке поставки по присоединению площадки для наблюдения за природой и домика временного пребывания ИП Султанбахмудова А.М., расположенных по адресу: Ростовская область, Константиновский район, 2,0 км на северо-запад от х. Михайловский, кадастровый номер земельного участка 61:17:0600010:3705 (ориентировочная протяженность ЛЭП 0,205 км, ориентировочная мощность трансформатора 25 кВА)</t>
  </si>
  <si>
    <t>Строительство участка ВЛЗ-10 кВ от опоры №67 ВЛ-10 кВ №6 ПС 35 кВ Отары,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здания главы КФХ Сатуханова У.И., расположенного по адресу: Ростовская область, Заветинский район, х. Савдя, Савдянское сельское поселение, к.н.з.у.: 61:11:0600011 (ориентировочная протяженность ЛЭП 0,02 км, ориентировочная мощность трансформатора 0,025 МВА)</t>
  </si>
  <si>
    <t>Строительство участка ВЛЗ-10 кВ от вновь установленной опоры вновь построенного участка ВЛЗ-10 кВ от опоры №30/16 ВЛ 10 кВ №16 ПС 110 кВ Василевская (по договору №61-1-20-00518809 от 29.07.2020г), с установкой ТП-10/0,4 кВ, строительство ВЛИ-0,4 кВ от РУ-0,4 кВ вновь установленной ТП-10/0,4 кВ и установка шкафа коммерческого учета электрической энергии (мощности) в точке поставки для присоединения производственного здания/помещения ИП Овчаренко А.В, расположенного по адресу: Ростовская область, Зимовниковский район, п. Зимовники, ул. Железнодорожная, д. 105, поме. 1, к.н.з.у.: 61:13:0010191:292 (ориентировочная протяженность ЛЭП 0,091 км, ориентировочная мощность трансформатора 0,1 МВА)</t>
  </si>
  <si>
    <t>Строительство участка ВЛ-10 кВ от опоры №214 ВЛ 10 кВ №5 ПС 35 кВ Валуевская,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полевого стана ИП Канниева Р.Р., расположенного по адресу: Ростовская область, Ремонтненский район, территория земель Валуевского сельского поселения, примерно 5,6 км по направлению северо-запад от х. Вольный, к.н.з.у.: 61:32:0600002:4266 (ориентировочная протяженность ЛЭП 0,016 км, ориентировочная мощность трансформатора 0,025 МВА)</t>
  </si>
  <si>
    <t>Строительство участка ВЛ-6 кВ от опоры №111 ВЛ 6 кВ №1 ПС 110 кВ Северный Портал, с установкой ТП-6/0,4 кВ, строительство ВЛИ-0,4 кВ от РУ-0,4 кВ вновь установленной ТП-6/0,4 кВ и установка шкафа коммерческого учета электрической энергии (мощности) в точке поставки, с монтажом ответвлений от ВЛИ к вводу, для присоединения общежития на 200 мест ОАО «Цимлянские Вина», расположенного по адресу: Ростовская область, Мартыновский район, х. Малая Мартыновка, ул. Административная, д. 10, к.н.з.у.: 61:20:0100201:514 (ориентировочная протяженность ЛЭП 0,124 км, ориентировочная мощность трансформатора 0,1 МВА)</t>
  </si>
  <si>
    <t>Строительство участка ВЛЗ-6 кВ от опоры №6/49 ВЛ-6 кВ №14 ПС 35 кВ Романовская,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летнего домика Щудляка Б.И., расположенного по адресу: Ростовская область, г. Волгодонск, ул. Отдыха, д. 14, к.н.з.у.: 61:48:0020101:41 (кадастровый номер объекта: 61:48:010002:14.2/43:6986:1) (ориентировочная протяженность ЛЭП 0,015 км, ориентировочная мощность трансформатора 0,025 МВА)</t>
  </si>
  <si>
    <t xml:space="preserve">Строительство участка ВЛЗ-6 кВ от вновь установленной опоры в пролете опор №15 и №16 ВЛ-6 кВ №2 ПС 35/6 кВ Потаповская, с установкой ТП-6/0,4 кВ, и строительство ВЛИ-0,4 кВ от вновь установленной ТП-6/0,4 кВ  для присоединения жилого дома Попова А.М. (ориентировочная протяженность ЛЭП 0,315 км, ориентировочная мощность трансформатора 100 кВА) </t>
  </si>
  <si>
    <t>Строительство участка ВЛ-10 кВ от опоры №21/12 ВЛ 10 кВ №24 ПС 110 кВ Цимлянская,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объекта сельскохозяйственного производства ИП Березы В.И., расположенного по адресу: Ростовская область, Цимлянский район, станица Хорошевская, 3,5 км северо-восточнее станицы Хорошевская, к.н.з.у.: 61:41:0600009:1108 (ориентировочная протяженность ЛЭП 0,21 км, ориентировочная мощность трансформатора 0,025 МВА)</t>
  </si>
  <si>
    <t>Строительство участка ВЛ-10 кВ от опоры №141 ВЛ 10 кВ №7 ПС 110 кВ Дружба,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с монтажом ответвления от ВЛИ к вводу, для присоединения ангара ИП главы К(Ф)Х Нургаджиева Г.Р., расположенного по адресу: Ростовская область, Зимовниковский район, к.н.з.у.: 61:13:0600003:2265 (ориентировочная протяженность ЛЭП 0,02 км, ориентировочная мощность трансформатора 0,025 МВА)</t>
  </si>
  <si>
    <t>Строительство участка ВЛ-10кВ от опоры №107 ВЛ-10кВ №2 ПС 35кВ ЖБИ, с установкой ТП-10/0,4кВ, строительство ВЛИ-0,4кВ от РУ-0,4кВ вновь установленной ТП-10/0,4кВ и установка прибора коммерческого учета электрической энергии (мощности) в точке поставки для присоединения склада сельскохозяйственной продукции ИП Нефедовой Т.А., расположенного по адресу: Ростовская область, Цимлянский район,, станица Красноярская, ЗАО им. Ленина, к.н.з.у. 61:41:0600009:414 (ориентировочная протяженность ЛЭП 0,025км, ориентировочная мощность трансформатора 0,025МВА)</t>
  </si>
  <si>
    <t>Строительство участка ВЛ-10 кВ от опоры №1/42 ВЛ 10 кВ №11 ПС 110 кВ Ремонтненская,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с монтажом ответвления от ВЛИ к вводу, для присоединения склада для сельскохозяйственной продукции ИП Яшуркаева С-Х.Ш., расположенного по адресу: Ростовская область, Ремонтненский район, с. Ремонтное, Ремонтненское сельское поселение, на расстоянии 1,3 км  юго-западнее с. Ремонтное на 2-м поле 2-го полевого севооборота, к.н.о.: 61:32:0600006:2879, к.н.з.у.: 61:32:0600006:2880 (ориентировочная протяженность ЛЭП 0,065 км, ориентировочная мощность трансформатора 0,025 МВА)</t>
  </si>
  <si>
    <t>Строительство участка ВЛ-10 кВ от опоры №45 ВЛ-10 кВ №5 РП 10 кВ Маркинская ПС 110 кВ Черкассы,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жилого дома Кадаранова А.М., расположенного по адресу: Ростовская область, Морозовский район, х. Великанов, ул. Великанова, д.6, к.н.з.у.: 61:24:0110301:206 (ориентировочная протяженность ЛЭП 0,25 км, ориентировочная мощность трансформатора 0,025 МВА)</t>
  </si>
  <si>
    <t>Строительство участка ВЛЗ-6 кВ от опоры №17/8 ВЛ 6 кВ №7 ПС 35 кВ Романовская,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с монтажом ответвления от ВЛИ к вводу, для присоединения малоэтажной жилой застройки Газарова Э.М., расположенной по адресу: Ростовская область, Волгодонской район, х. Лагутники, к.н.з.у.: 61:08:0600701:1618 (ориентировочная протяженность ЛЭП 0,115 км, ориентировочная мощность трансформатора 0,025 МВА)</t>
  </si>
  <si>
    <t>Строительство участка ВЛ-10 кВ от опоры №92 ВЛ 10 кВ №7 ПС 110 кВ Шебалинская,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нежилого здания Излигощина М.Д., расположенного по адресу: Ростовская область, Заветинский район, к.н.з.у.: 61:11:0600001:1865 (ориентировочная протяженность ЛЭП 0,475 км, ориентировочная мощность трансформатора 0,025 МВА)</t>
  </si>
  <si>
    <t>Строительство участка ВЛ-6 кВ от опоры №3/46 ВЛ 6 кВ №6 ПС 110 кВ НС-1, с установкой ТП-6/0,4 кВ, строительство ВЛИ-0,4 кВ от РУ-0,4 кВ вновь установленной ТП-6/0,4 кВ и установка прибора коммерческого учета электрической энергии (мощности) в точке поставки для присоединения объекта сельскохозяйственного производства АО «Антрацит-А», расположенного по адресу: Ростовская область, Мартыновский район, х. Ильинов, Ильиновское сельское поселение, к.н.з.у.: 61:20:0600022:2620 (ориентировочная протяженность ЛЭП 1,2 км, ориентировочная мощность трансформатора 0,025 МВА)</t>
  </si>
  <si>
    <t xml:space="preserve">Строительство участка ВЛЗ-10 кВ от опоры №66 ВЛ-10 кВ №17 ПС 110/35/10 кВ Цимлянская, с установкой ТП-10/0,4 кВ, строительство ВЛИ-0,4 кВ от РУ-0,4 кВ вновь установленной ТП-10/0,4 кВ,  с установкой шкафа 0,4 кВ, и обеспечение коммерческим учетом электрической энергии (мощности) в точке поставки по присоединению жилого дома Овчинниковой Е.Н., расположенного по адресу: РО, Цимлянский район, станица Красноярская, пер. Комсомольский, д. 24, к.н.з.у. 61:41:0020118:54 (ориентировочная протяженность ЛЭП 0,43 км, ориентировочная мощность трансформатора 25 кВА) </t>
  </si>
  <si>
    <t>«Строительство ВЛ-0,4 кВ от опоры №6/2 ВЛ-0,4 кВ №1 КТП-10/0,4 кВ №354 по ВЛ-10 кВ №2 ПС 35/10 кВ «Киевская»,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ВРУ-0,4 кВ на земельном участке для сельскохозяйственного производства заявителя, Глущенко Г.Л., расположенного по адресу: Ростовская область, Кашарский р-н, с. Первомайское, 3 км. по направлению на северо-восток, (к.н.з.у. 61:16:0600016:312) (ориентировочная протяженность ЛЭП – 0,3 км)»</t>
  </si>
  <si>
    <t>Строительство ВЛ-0,4 кВ от опоры №35 ВЛ-0,4 кВ №2 КТП-10/0,4 кВ №81 по ВЛ-10 кВ №6 ПС 35/10 кВ «Боковская», установка прибора коммерческого учета электрической энергии (мощности) в точке поставки и установка шкафа 0,22 кВ с коммутационным аппаратом, (1 шт.) для технологического присоединения объектов растениеводства заявителя, Аленкина А.В., расположенных по адресу: Ростовская область, Боковский р-н, х. Коньков, ул. Коммунная, д. 33, по направлению на северо-запад, (к.н.з.у. 61:05:0600004:571) (ориентировочная протяженность ЛЭП – 0,425 км)</t>
  </si>
  <si>
    <t>Строительство ВЛ-0,4 кВ от опоры №14, ВЛ 0,4 кВ №1, КТП-10/0,4 кВ №312 по ВЛ-10 кВ №1 ПС  35/10 кВ «Терновская 2»,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Чиркова Н.С., расположенного по адресу: Ростовская область, Шолоховский р-н, х. Андроповский, пер. Садовый, д. 6, (к.н.з.у. 61:43:020201:0109) (ориентировочная протяженность ЛЭП – 0,14 км)</t>
  </si>
  <si>
    <t>Строительство ВЛ-0,4 кВ от опоры №10, ВЛ 0,4 кВ №1, КТП-10/0,4 кВ №205 по ВЛ-10 кВ №1 ПС  110/35/10 кВ «Вешенская 1», установка прибора коммерческого учета электрической энергии (мощности) в точке поставки и установка шкафа 0,4 кВ с коммутационным аппаратом, (2 шт.) для технологического присоединения жилых домов заявителей, Винокуровой М.Н.и Винокурова Н.А., расположенных по адресу: Ростовская область, Шолоховский р-н, х. Дубровский, ул. Ольховая, д. 12, Ольховая, д. 14, (к.н.з.у. 61:43:0030101:456) (61:43:0030101:454), (ориентировочная протяженность ЛЭП – 0,21 км)</t>
  </si>
  <si>
    <t>«Строительство ВЛ-0,4 кВ от опоры №2/7/10, ВЛ 0,4 кВ №3, КТП-10/0,4 кВ №277 по ВЛ-10 кВ №1 ПС  110/10 кВ «Макеевская»,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ЩРУ 0,4 кВ на земельном участке для сенокошения и выпаса сельскохозяйственных животных заявителя, Кривенко М.В., расположенного по адресу: Ростовская область, Кашарский р-н, сл. Верхнемакеевка, 100 м. по направлению на восток, (к.н.з.у. 61:16:0600004:698) (ориентировочная протяженность ЛЭП – 0,2 км)».</t>
  </si>
  <si>
    <t>Строительство ВЛ-0,4 кВ от опоры №3/1, ВЛ 0,4 кВ №1, КТП-10/0,4 кВ №330 по ВЛ-10 кВ №2 ПС  35/10 кВ «Терновская 2»,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жилого дома заявителя, Голышенковой Д.М., расположенного по адресу: Ростовская область, Шолоховский р-н, х. Лебяженский, ул. Плоткина, д. 29а, (к.н.з.у. 61:43:0020501:262) (ориентировочная протяженность ЛЭП – 0,045 км)</t>
  </si>
  <si>
    <t>Строительство ВЛ-0,4 кВ от опоры №3А/12 по ВЛ-0,4 кВ №3 КТП-10/0,4 кВ №104 по ВЛ-10 кВ №1 ПС 35/10 кВ «Базковская», установка прибора коммерческого учета (1 шт.) электрической энергии (мощности) в точке поставки, для электроснабжения строительной площадки заявителя, Конкина Ю.А., расположенной по адресу: Ростовская область, Шолоховский р-н, х. Громковский, ул. Советская, 223б, (к.н.з.у. 61:43:0010501:936), (ориентировочная протяженность ЛЭП – 0,23 км)</t>
  </si>
  <si>
    <t>Строительство ВЛ-0,4 кВ от строящихся  по договору технологического присоединения №61-1-20-00547745 от 27.11.2020 г., РУ 0,4 кВ, КТП-10/0,4 кВ, по ВЛ-10 кВ от опоры № 13/45 по ВЛ-10 кВ № 1 ПС 110/35/10 кВ «Вешенская 1», установка прибора коммерческого учета (1 шт.) электрической энергии (мощности) в точке поставки, для электроснабжения строения для бытовых нужд заявителя, Колмыкова В.В., расположенного по адресу: Ростовская область, Шолоховский р-н, х. Пигаревский, Вешенское сельское поселение, (к.н.з.у. 61:43:0500101:203), (ориентировочная протяженность ЛЭП – 0,235 км)</t>
  </si>
  <si>
    <t>Строительство ВЛ-0,4 кВ от опоры №12 по ВЛ-0,4 кВ №2 КТП-10/0,4 кВ №145 по ВЛ-10 кВ №3 ПС 110/35/10 кВ «Ал. Лозовская», установка прибора коммерческого учета (1 шт.) электрической энергии (мощности) в точке поставки, для электроснабжения личного подсобного хозяйства заявителя, Пономаревой Е.М., расположенного по адресу: Ростовская область, Чертковский р-н, сл. Семено-Камышенская, (к.н.з.у. 61:42:0130101:901), (ориентировочная протяженность ЛЭП – 0,267 км)</t>
  </si>
  <si>
    <t>Строительство ВЛ-0,4 кВ от опоры № 8, ВЛ 0,4 кВ №1, КТП-10/0,4 кВ №699 по ВЛ-10 кВ №3 ПС  35/10 кВ «Криворожская», установка прибора коммерческого учета электрической энергии (мощности) в точке поставки, (1 шт.) для технологического присоединения личного подсобного хозяйства Заявитель, Чапский Д.А., расположенного по адресу: Ростовская область, Миллеровский р-н, х. Спартак, ул. Луговая, д. 13 (к.н.з.у. 61:22:0050901:13), (ориентировочная протяженность ЛЭП – 0,52 км)</t>
  </si>
  <si>
    <t>Строительство ВЛ-10 кВ от опоры № 51 по ВЛ-10 кВ № 1 ПС 110/10 кВ «Дегтевская» с установкой КТП и строительством ВЛ-0,4 кВ, для технологического присоединения БС 61-02518 заявителя, ПАО «Мобильные ТелеСистемы», расположенной в Ростовской области, Миллеровский р-н, Ольховорогское сельское поселение, (61:22:0600009:491) (ориентировочная протяженность ЛЭП – 5,625 км, ориентировочная мощность ТП – 0,025 МВА)</t>
  </si>
  <si>
    <t>Строительство ВЛ-10 кВ от опоры № 56/49 по ВЛ-10 кВ № 8 ПС 35/10 кВ «Ореховская» с установкой КТП и строительством ВЛ-0,4 кВ, для технологического присоединения БС №61-02539 заявитель, ПАО «Мобильные ТелеСистемы, расположенной в Ростовской области, Миллеровский р-н, Первомайское сельское поселение (61:22:0600027:1989) (ориентировочная   протяженность ЛЭП – 0,47 км, ориентировочная мощность ТП – 0,025 МВА)</t>
  </si>
  <si>
    <t>Строительство ВЛ-0,4 кВ от опоры №1 по ВЛ-0,4 кВ №1 КТП-10/0,4 кВ №238 по ВЛ-10 кВ №6 ПС 110/35/10 кВ «Вешенская-1», установка прибора коммерческого учета (1 шт.) электрической энергии (мощности) в точке поставки, для электроснабжения базовой станции сотовой связи заявителя, ПАО «Ростелеком», расположенной по адресу: Ростовская область, Шолоховский р-н, Колундаевское сельское поселение, х. Гороховский, (в границах кадастрового квартала 61:43:0060401), (ориентировочная протяженность ЛЭП – 0,03 км)</t>
  </si>
  <si>
    <t>Строительство ВЛ-0,4 кВ от опоры №3/3 ВЛ-0,4 кВ №2 КТП-10/0,4 кВ №63 по ВЛ-10 кВ №2 ПС 110/35/10 кВ «Каргинская», установка прибора коммерческого учета электрической энергии (мощности) в точке поставки 0,22 кВ, (1 шт.) для технологического присоединения участка для ведения огородничества, заявителя, Лимарева И.А., расположенного по адресу: Ростовская область, Боковский р-н, ст. Каргинская, пер. Шолохова, д. 27, по направлению на северо-запад, (к.н.з.у. 61:05:0040101:480) (ориентировочная протяженность ЛЭП – 0,057 км)</t>
  </si>
  <si>
    <t>Строительство ВЛ-10 кВ от опоры № 50/121 по ВЛ-10 кВ № 2 ПС 110/35/10 кВ «Ал. Лозовская» с установкой 2-х КТП и строительством 2-х ВЛ-0,4 кВ», для технологического присоединения базовых станций № 61-02512 и № 61-02511 ПАО Мобильные ТелеСистемы, расположенных в Ростовской области, Чертковский р-н, с. Кутейниково, (61:42:0600010) (61:42:0600009) (ориентировочная протяженность ЛЭП – 8,62 км, ориентировочная мощность ТП – 0,05 МВА (2х0,025)</t>
  </si>
  <si>
    <t>Строительство ВЛ-0,4 кВ от опоры №5 по ВЛ-0,4 кВ №2, КТП-10/0,4 кВ №221 по ВЛ-10 кВ №2, ПС 110/35/10 кВ «Вешенская-1», установка прибора коммерческого учета (1 шт.) электрической энергии (мощности) в точке поставки, для электроснабжения жилого дома заявителя, Гадухина А.А., расположенного по адресу: Ростовская область, Шолоховский р-н, х. Зубковский, ул. Решетовская, д.24, (к.н.з.у. 61:43:0030301:128), (ориентировочная протяженность ЛЭП – 0,11 км)</t>
  </si>
  <si>
    <t>Строительство ВЛ-0,4 кВ от опоры №1, ВЛ-0,4 кВ №1 от КТП-10/0,4 кВ 193 по ВЛ-10 кВ №3, ПС 35/10 кВ «Шулейкинская», установка прибора коммерческого учета (1 шт.) электрической энергии (мощности) в точке поставки, для электроснабжения здания телятника, заявителя, ИП Алифанова В.В., расположенного по адресу: Ростовская область, Кашарский р-н, с. Верхнегреково, ул. Молодежная, д.1, (к.н.з.у. 61:16:0600009:679), (ориентировочная протяженность ЛЭП – 0,1 км)</t>
  </si>
  <si>
    <t>Строительство ВЛ-0,4 кВ от опоры №2/7 по ВЛ-0,4 кВ №1 КТП-10/0,4 кВ №250 по ВЛ-10 кВ №3 ПС 110/10 кВ «Дегтевская», установка прибора коммерческого учета (1 шт.) электрической энергии (мощности) в точке поставки, для электроснабжения антенно-мачтового сооружения №61-14877 заявителя, АО «Первая Башенная Компания», расположенного по адресу: Ростовская область, Миллеровский р-н, х. Хмызов, ул. Ленина, участок 40 метров от №2, (к.н.з.у.00:00:000000:0000), (ориентировочная протяженность ЛЭП – 0,057 км)</t>
  </si>
  <si>
    <t>Строительство ВЛ-0,4 кВ от КТП-10/0,4 кВ №87 по ВЛ-10 кВ №8, ПС 110/35/10 кВ «Кашарская», установка прибора коммерческого учета (1 шт.) электрической энергии (мощности) в точке поставки, для электроснабжения малоэтажной жилой застройки заявителя, Резанова Д.М., расположенного по адресу: Ростовская область, Кашарский р-н, сл. Кашары, ул. Заречная, д.45, (к.н.з.у. 61:16:0010101:21), (ориентировочная протяженность ЛЭП – 0,15 км)</t>
  </si>
  <si>
    <t>Строительство ВЛ-0,4 кВ от опры №2/1, ВЛ 0,4 кВ №1, КТП-10/0,4 кВ №50 по ВЛ-10 кВ №6 ПС 110/35/10 кВ «Кашарская», установка прибора коммерческого учета (1 шт.) электрической энергии (мощности) в точке поставки, для электроснабжения базовой станции сотовой связи, Заявителя ПАО «Ростелеком», расположенной по адресу: Ростовская обл., р-н. Кашарский, с. Лысогорка, кадастровый номер земельного участка 61:16:0100102, (ориентировочная протяженность ЛЭП – 0,04 км)</t>
  </si>
  <si>
    <t>Строительство ВЛ-0,4 кВ от опры №17, ВЛ 0,4 кВ №1 КТП-10/0,4 кВ №309 по ВЛ-10 кВ №9 ПС 110/35/10 кВ «Чертковская», установка прибора коммерческого учета (1 шт.) электрической энергии (мощности) в точке поставки, для электроснабжения базовой станции сотовой связи, Российская Федерация, Ростовская обл., р-н. Чертковский, х. Галдин, в границе кадастрового квартала 61:42:0600005, примерно в 77 м по направлению на северо-восток от границы земельного участка с кадастровым номером: 61:42:0600005:139, расположенного по адресу: Ростовская область, Чертковский район, в границах кадастрового квартала 61:42:0600005, рабочий участок №38, западная часть рабочего участка №37, пастбищный участок №2-г (ориентировочная протяженность ЛЭП – 0,095 км)</t>
  </si>
  <si>
    <t>Строительство ВЛ-0,4 кВ от опры №13 ВЛ-0,4 кВ №2 КТП-10/0,4 кВ №247 по ВЛ-10 кВ №3 ПС 110/35/10 кВ «Ал. Лозовская», установка прибора коммерческого учета (1 шт.) электрической энергии (мощности) в точке поставки, для электроснабжения личного подсобного хозяйства, Заявителя Гуденко А.В., расположенного по адресу: Ростовская область, Чертковский район, с. Алексеево-Лозовское, ул. Дачная, д. 16, (к.н.з.у. 61:42:0010101:4492), (ориентировочная протяженность ЛЭП – 0,022 км)</t>
  </si>
  <si>
    <t>Строительство ВЛ-0,4 кВ от опры №1 ВЛ 0,4 кВ №3 КТП-10/0,4 кВ №84 по ВЛ-10 кВ №7 ПС 110/35/10 кВ «Кашарская», установка прибора коммерческого учета (1 шт.) электрической энергии (мощности) в точке поставки, для электроснабжения базовой станции сотовой связи, Заявителя ПАО «Ростелеком», расположенной по адресу: Ростовская обл., р-н. Кашарский, х. Новодонецкий, кадастровый номер земельного участка 61:16:0010201, (ориентировочная протяженность ЛЭП – 0,25 км)</t>
  </si>
  <si>
    <t>Строительство ВЛ-0,4 кВ от опоры №14 по ВЛ-0,4 кВ №1 КТП-10/0,4 кВ №359 по ВЛ-10 кВ №2 ПС 35/10 кВ «Колундаевская», установка прибора коммерческого учета (1 шт.) электрической энергии (мощности) в точке поставки, для электроснабжения базовой станции сотовой связи заявителя, ОАО «Мобильные ТелеСистемы», расположенной по адресу: Ростовская область, Шолоховский р-н, х. Терновской, ул. Центральная, д. 52 а, (к.н.з.у. 61:43:0090101), (ориентировочная протяженность ЛЭП – 0,04 км)</t>
  </si>
  <si>
    <t>Строительство ВЛ-0,4 кВ от опоры №1, ВЛ 0,4 кВ №1 от КТП-10/0,4 кВ №579 по ВЛ-10 кВ №5, ПС 110/35/10 кВ «ГОК», установка прибора коммерческого учета (1 шт.) электрической энергии (мощности) в точке поставки, для электроснабжения поминальной часовни заявителя, Религиозная организация Покровский Верхнемакеевский мужской монастырь Шахтинской епархии русской православной церкви (Московский патриархат), расположенной по адресу: Ростовская область, Миллеровский р-н, х. Новоивановка, (к.н.з.у. 61:22:0600021:874), (ориентировочная протяженность ЛЭП – 0,1 км)</t>
  </si>
  <si>
    <t>Строительство ВЛ-0,4 кВ от опоры №6 ВЛ-0,4 кВ №3 КТП-10/0,4 кВ №370 по ВЛ-10 кВ №3 ПС 110/35/10 кВ «Алексеево-Лозовская», установка прибора коммерческого учета (1 шт.) электрической энергии (мощности) в точке поставки, для электроснабжения объектов наружного освещения заявителя, Администрация муниципального образования «Алексеево- Лозовское сельское поселение», расположенных по адресу: Ростовская область, Чертковский р-н, с. Алексеево-Лозовское, ул. Лисичкина и ул. Спортивная, (к.н.з.у. 61:42:0010101:4748), (ориентировочная протяженность ЛЭП – 0,04 км)</t>
  </si>
  <si>
    <t>Строительство ВЛИ-0,4 кВ от вновь построенной ТП 10/0,4 кВ подключенной к вновь построенной ВЛ-10 кВ от опоры №74 ВЛ-10 кВ Огиб ПС 35/10 Ш-26 для присоединения фермы ИП Бахмадова А.Х. в ст. Нижнекундрюченская Усть-Донецкого района (ориентировочная протяженность ЛЭП 0,11 км, ориентировочная мощность трансформатора 25 кВА)</t>
  </si>
  <si>
    <t>Строительство ВЛИ-0,4 кВ от оп. №4 ВЛИ-0,4 кВ №1 КТП №670 ВЛ-10 кВ Совхоз  ПС Ш-16 для электроснабжения малоэтажной жилой застройки Чех М.А. по адресу: Октябрьский р-н, п. Красногорняцкий, ул. Спортивная, д.3 (ориентировочная протяженность ЛЭП – 0,05км)</t>
  </si>
  <si>
    <t>Строительство ВЛИ-0,4 кВ от оп. №1 ВЛ-0,4 кВ №2 КТП №420 по ВЛ-10 Родина ПС 110 кВ Ш-42 для присоединения малоэтажной жилой застройки Софийского Н.И. по адресу: Ростовская область, Октябрьский район, х.Коммуна, ул. Пролетарская, д.31-А (ориентировочная протяженность ЛЭП 0,08 км)</t>
  </si>
  <si>
    <t>Строительство ВЛИ-0,4 кВ от оп. 9 по ВЛ 0,4кВ № 2 от КТП 10/0,4кВ 13 по ВЛ 10кВ Кутейниково ПС 110 кВ Н9для электроснабжения «Малоэтажная жилая застройка (Индивидуальный жилой дом/Садовый/Дачный дом)» Ткаченко Ю.И. по адресу: р-н. Родионово-Несветайский, сл. Кутейниково, ул. Румянова, д. 37а (ориентировочная протяженность ЛЭП – 0,145км)</t>
  </si>
  <si>
    <t>Строительство ВЛИ-0,4 кВ от оп.8 по ВЛ 0,4кВ № 3 от МТП № 05 ВЛ-10 кВ Кутейниково ПС Н-9, для электроснабжения «Малоэтажная жилая застройка (Индивидуальный жилой дом/Садовый/Дачный дом)»  Сурженко И.В. по адресу: р-н. Родионово-Несветайский примерно в 230 м по направлению на запад от ориентира земельного участка, расположенного по адресу: х.Юдино, ул. Новоселов,44, кадастровый номер земельного участка: 61:33:0600013:877,  (ориентировочная протяженность ЛЭП – 0,13 км)</t>
  </si>
  <si>
    <t>Строительство ВЛИ-0,4 кВ от оп.1 по ВЛ-0,4кВ № 1 от КТП 10/0,4кВ № 145 по ВЛ-10кВ Молблок ПС Н-21 для электроснабжения «нежилая застройка (хозяйственная застройка, нежилое здание)» ИП Нагорного А.М. по адресу: р-н.Родионово-Несветайский, участок находится в 1050 м от х.Болдыревка по направлению на юго-запад, кадастровый номер земельного участка: 61:33:0600006:2028(ориентировочная протяженность ЛЭП – 0,9 км)</t>
  </si>
  <si>
    <t>Строительство ВЛИ-0,4 кВ от оп. 37 по ВЛ-0,4кВ № 2 от КТП 10/0,4кВ №79 по ВЛ-10кВ Генеральское ПС 35 кВ Н19 для электроснабжения «Малоэтажная жилая застройка (Индивидуальный жилой дом/Садовый/Дачный дом)» Богодух М.В. по адресу: р-н.Родионово-Несветайский с. Генеральское, ул. Ворошилова, д. 5 (ориентировочная протяженность ЛЭП – 0,025км)</t>
  </si>
  <si>
    <t>Строительство ВЛИ-0,4 кВ от оп.2 по ВЛ-0,4кВ № 1 от КТП 10/0,4кВ №71А по ВЛ-10кВ Каменный Брод ПС АС-12 для электроснабжения «Малоэтажная жилая застройка (Индивидуальный жилой дом/Садовый/Дачный дом)» Ляшенко Н.И. по адресу: р-н. Родионово-Несветайский, х. Каменный Брод, ул. Каменка, д. 36/1 (ориентировочная протяженность ЛЭП – 0,025км)</t>
  </si>
  <si>
    <t>Строительство ВЛИ-0,4 кВ от оп. №1 по ВЛ 0,4кВ № 2 от КТП 10/0,4кВ №57 по ВЛ 10кВ Краснознаменка ПС Н-21 для электроснабжения «Малоэтажная жилая застройка (Индивидуальный жилой дом/Садовый/Дачный дом)» Киричко Л.И. по адресу: р-н. Родионово-Несветайский, х.Болдыревка ул.Заречная д.2 к.н.з.у. 61:33:0020101:167 (ориентировочная протяженность ЛЭП – 0,09 км)</t>
  </si>
  <si>
    <t>Строительство ВЛИ-0,4 кВ от оп. 21 по ВЛ 0,4кВ № 2 от КТП 10/0,4кВ 108А по ВЛ 10кВ Каменный Брод ПС 110 кВ АС-12 для электроснабжения «Малоэтажная жилая застройка (Индивидуальный жилой дом/Садовый/Дачный дом)» Хамадова К.Р. по адресу: р-н. Родионово-Несветайский х. Каменный Брод, ул. Дачная,  д. 45 (ориентировочная протяженность ЛЭП – 0,025км)</t>
  </si>
  <si>
    <t>Строительство ТП-10/0,4 от оп. №93 за Р-1 ВЛ 10 кВ Прохоровка ПС Н-22, и ВЛИ-0,4 кВ от вновь установленной ТП-10/0,4 кВ для присоединения объекта садовый домик Таранущенко В.Г.: Ориентир сл. Алексеево-Тузловка. Участок находится примерно в 1600 м от ориентира по направлению на восток (ориентировочная протяженность ЛЭП 0,005 км, ориентировочная мощность трансформатора 25 кВА)</t>
  </si>
  <si>
    <t>Строительство участка ВЛЗ 10 кВ от ВЛ10 кВ КРС ПС 110/35/10 Ш34, с установкой ТП 10/0,4 кВ, и строительство ВЛИ 0,4 кВ от вновь установленной ТП 10/0,4 кВ для присоединения ВРУ-0.4кВ здания противопожарной службы в ст. Раздорской Усть-Донецкого района (ориентировочная протяженность ЛЭП 0,12 км, ориентировочная мощность трансформатора 0,063 МВА)</t>
  </si>
  <si>
    <t>Строительство ВЛИ 0,4 кВ от ВЛ 0,4кВ КТП 40 ВЛ 10кВ Кирова ПС 35/10 Ш18 для электроснабжения ВРУ-0.4кВ малоэтажной жилой застройки Емельянова А.И. по адресу: Ростовская область, Усть-Донецкий район, х. Тереховский, пер. Садовый, д. 3 (ориентировочная протяженность ЛЭП – 0,320 км)</t>
  </si>
  <si>
    <t>Строительство ВЛИ-0,4 кВ от оп. №23 ВЛ-0,4 кВ №1 КТП №596 по ВЛ-6 кВ Поселок ПС 35 кВ Ш-41 для присоединения малоэтажной жилой застройки Крылковой Н.М. по адресу: Ростовская область, Октябрьский район, ст. Бессергеневская, ул. Комарова, д.25А (ориентировочная протяженность ЛЭП 0,15 км)</t>
  </si>
  <si>
    <t>Строительство ВЛИ-0,4 кВ от оп. 3 по ВЛ 0,4кВ № 1 от КТП 10/0,4кВ 504 по ВЛ 10кВ Генеральское ПС 35 кВ Н19 для электроснабжения «Малоэтажная жилая застройка (Индивидуальный жилой дом/Садовый/Дачный дом)» Уварова Е.В. Родионово-Несветайский, с. Генеральское, ул. Советская, д. 6а (ориентировочная протяженность ЛЭП – 0,02км)</t>
  </si>
  <si>
    <t>Строительство ЛЭП-0,4 кВ от оп. № 19 ВЛ 0,4 кВ № 2 от КТП 6/0,4 кВ № 294 по ВЛ 6 кВ «Ударник» ПС 110/6 С2, с установкой прибора учета на границе земельного участка заявителя для жилого дома, Кукотин Ю.И., Российская Федерация, Ростовская обл., Красносулинский район, п. Черевково, ул. Октябрьская, д. 64 (ориентировочная протяженность ЛЭП – 0,150 км.)</t>
  </si>
  <si>
    <t>Строительство участка ВЛЗ10 кВ от ВЛ10 кВ Кирова ПС 35/10 Ш18, с установкой ТП 10/0,4 кВ, и строительство ВЛИ 0,4 кВ от вновь установленной ТП 10/0,4 кВ для присоединения ВРУ-0.4 кВ артезианской скважины в х. Тереховский Усть-Донецкого района (ориентировочная протяженность ЛЭП 0,44 км, ориентировочная мощность трансформатора 0,025 МВА)</t>
  </si>
  <si>
    <t>Строительство ВЛИ-0,4 кВ от оп. №13п/18 ВЛИ-0,4 кВ №1 КТП №608 по ВЛ-6 кВ Красюковка ПС 35 кВ Ш-39 для присоединения садового дома Опенышевой Т.П. по адресу: Ростовская область, Октябрьский район, сл. Красюковская, ул.Кленовая (ориентировочная протяженность ЛЭП 0,11 км)</t>
  </si>
  <si>
    <t>Строительство ВЛИ-0,4 кВ от оп. №13 ВЛ-0,4 кВ №1 КТП №491 по ВЛ-10 кВ Родина ПС 110 кВ Ш-42 для присоединения базовой станции сотовой связи 884 ООО «Т2 Мобайл» по адресу: Ростовская область, Октябрьский район, х.Суворовка (ориентировочная протяженность ЛЭП 0,1 км)</t>
  </si>
  <si>
    <t>Строительство ВЛИ-0,4 кВ от оп. 4 по ВЛ 0,4кВ № 1 от КТП 10/0,4кВ №82 по ВЛ 10кВ Юдино ПС 110 кВ Н-19 для электроснабжения «Базовая станция/оборудование сотовой связи» ПАО «Ростелеком»: Ростовская область, р-н. Родионово-Несветайский, х. Юдино, примерно 7 м по направлению на запад от границ участка по адресу: ул.Новоселов,7А (ориентировочная протяженность ЛЭП – 0,03км)</t>
  </si>
  <si>
    <t>Строительство ЛЭП-0,4 кВ от оп. №12/47 ВЛ-0,4 кВ №1 КТП №323 ВЛ-6 кВ Кривянка ПС Ш-43 для электроснабжения жилого дома Зеленкова В.В. Ростовская обл., Октябрьский р-н, ст. Кривянская, ул. Большая, д.73 Г. (ориентировочная протяженность ЛЭП – 0,1 км)</t>
  </si>
  <si>
    <t>Строительство ВЛИ-0,4 кВ от оп. №27 ВЛИ-0,4 кВ №3 КТП №200 по ВЛ-6 кВ Кривянка ПС 110 кВ Ш-43 для присоединения жилого дома Гарькуши Н.Ю. по адресу: Ростовская область, Октябрьский район, ст. Кривянская, ул. Пролетарская, д.42(ориентировочная протяженность ЛЭП 0,09 км)</t>
  </si>
  <si>
    <t>Строительство ВЛИ-0,4 кВ от оп. №35 ВЛИ-0,4 кВ №2 КТП №487 ВЛ-6 кВ Совхоз-7 ПС Ш-15 для электроснабжения жилого дома Руиной Л.В.  по адресу: Октябрьский р-н, п. Интернациональный, ул. Харьковская, д.9 (ориентировочная протяженность ЛЭП – 0,06 км)</t>
  </si>
  <si>
    <t>Строительство ВЛИ-0,4 кВ от оп. №35 ВЛИ-0,4 кВ №3 КТП №670 по ВЛ-10 кВ Совхоз ПС 110 кВ Ш-16 для присоединения жилого дома Литвинова С.В. по адресу: Ростовская область, Октябрьский район, п. Красногорняцкий, ул. Кудаченко, д.11(ориентировочная протяженность ЛЭП 0,06 км)</t>
  </si>
  <si>
    <t>Строительство ВЛИ 0,4 кВ от РУ 0,4кВ КТП 148 ВЛ 10кВ Чумаки ПС 35/10 Ш32 для электроснабжения ВРУ-0,4кВ нежилой застройки ООО «АВТОДОР» по адресу: Ростовская обл., р-н Усть-Донецкий, 61 км автодороги Шахты -Цимлянск, КН ЗУ 61:39:0600009:377 (ориентировочная протяженность ЛЭП – 0,820 км)</t>
  </si>
  <si>
    <t>Строительство ВЛИ-0,4 кВ от оп. №23 ВЛ-0,4 кВ №1 КТП №260 ВЛ-10 кВ Зверпромхоз ПС Ш-42 для электроснабжения малоэтажной жилой застройки Шубина А.В. по адресу: Октябрьский р-н, сл. Красюковская, ул. М.Горького, д.21 (ориентировочная протяженность ЛЭП – 0,06 км)</t>
  </si>
  <si>
    <t>Строительство ВЛИ-0,4 кВ от оп. №5 ВЛ-0,4 кВ №1 КТП №579 по ВЛ-6 кВ Прогресс ПС 35 кВ Ш-41 для присоединения объекта медицинского учреждения МБУЗ ЦРБ по адресу: Ростовская область, Октябрьский район, ст.Заплавская, ул.Шоссейная, д.40Б (ориентировочная протяженность ЛЭП 0,05 км)</t>
  </si>
  <si>
    <t>Строительство ВЛИ-0,4 кВ от оп. №4 ВЛ-0,4 кВ №2 КТП №259 ВЛ-10 кВ Комплекс ПС Ш-42 для электроснабжения жилого дома Репиной И.В. по адресу: Октябрьский р-н, сл. Красюковская, пер. Школьный, д.26 (ориентировочная протяженность ЛЭП – 0,08 км)</t>
  </si>
  <si>
    <t>Строительство ВЛИ-0,4 кВ от опоры ВЛИ-0,4 кВ, построенной сетевой организацией по договору ТП №61-1-20-00533649 от 18.09.2020 (ООО «Джамп») от оп. №31 ВЛ-0,4 кВ №1 КТП №135 по ВЛ-10 Летний Гурт-Горняк ПС 35 кВ Ш-48 для присоединения объекта КФХ ИП главы КФХ Любимовой И.И. по адресу: Ростовская область, Октябрьский район, Краснолучское сельское поселение, вблизи х.Ягодинка (ориентировочная протяженность ЛЭП 0,05 км)</t>
  </si>
  <si>
    <t>Строительство ВЛИ-0,4 кВ от оп. №5 ВЛ 0,4 кВ №1 от КТП 10/0,4кВ №93 по ВЛ-10кВ "Кутейниково" ПС Н-9 для электроснабжения «Антенно-мачтовое сооружение 61-15004» Акционерное общество «Первая Башенная Компания» по адресу: Ростовская обл., р-н. Родионово-Несветайский, сл. Кутейниково, ул. Булановой, вблизи д.14 в пределах кадастрового квартала 61:33:030101. (ориентировочная протяженность ЛЭП – 0,085 км)</t>
  </si>
  <si>
    <t xml:space="preserve"> Строительство ВЛИ-0,4 кВ от оп. №21 ВЛ 0,4 кВ №2 от КТП 10/0,4кВ №37 по ВЛ-10кВ "Молблок" ПС Н-21 для электроснабжения «Антенно-мачтовое сооружение 61-10713» Акционерное общество «Первая Башенная Компания» по адресу: Ростовская обл., р-н. Родионово-Несветайский, х. Болдыревка, ул. Молодежная, вблизи д.7/2 в пределах кадастрового квартала 61:3360600004. (ориентировочная протяженность ЛЭП – 0,03 км)</t>
  </si>
  <si>
    <t>Строительство ВЛИ-0,4 кВ от оп. 15П по ВЛ 0,4кВ № 2 от КТП 10/0,4кВ 70А ВЛ 10кВ Каменный Брод ПС 110 кВ АС-12 для электроснабжения «Малоэтажная жилая застройка (Индивидуальный жилой дом/Садовый/Дачный дом)» Даниленко А.В.: р-н. Родионово-Несветайский, х.Каменный Брод, ул.Смирнова, д.55 (ориентировочная протяженность ЛЭП – 0,03км)</t>
  </si>
  <si>
    <t>Строительство ВЛИ-0,4 кВ от оп. №48 ВЛИ-0,4 кВ №3 МТП №803 по ВЛ-10 кВ Красюковка ПС 35 кВ Ш-39 для присоединения малоэтажной жилой застройки Кобзарь Ю.Г. по адресу: Ростовская область, Октябрьский район, с/т «Электровозостроитель», уч.203 (ориентировочная протяженность ЛЭП 0,045 км)</t>
  </si>
  <si>
    <t>Строительство ЛЭП-0,4 кВ от оп. № 9 ВЛ 0,4 кВ № 2 от КТП 6/0,4 кВ № 31 по ВЛ 6 кВ «Ударник» ПС 110/6 С2, с установкой прибора учета на границе земельного участка заявителя для антенно-мачтового сооружения 61-15828, АО «ПБК», Ростовская обл., Красносулинский район, п. Черевково, ул. Первомайская, вблизи д. 19. (ориентировочная протяженность ЛЭП – 0,060 км.)</t>
  </si>
  <si>
    <t>Строительство ВЛИ-0,4 кВ от оп.4 по ВЛ-0,4кВ № 4 от КТП 10/0,4кВ № 85 по ВЛ-10кВ Юдино ПС Н19 для электроснабжения «Малоэтажная жилая застройка (Индивидуальный жилой дом/Садовый/Дачный дом)» по адресу: р-н. Родионово-Несветайский, х. Волошино, участок с южной стороны примыкает к земельному участку с кадастровым номером 61:33:0070101:1548, кадастровый номер земельного участка: 61:33:0070101:1775. (ориентировочная протяженность ЛЭП – 0,098 км)</t>
  </si>
  <si>
    <t>Строительство ВЛИ-0,4 кВ от РУ 0,4 кВ ТП 10/0,4кВ № 205 по ВЛ-10кВ «Полив» ПС Н-19 для электроснабжения «Базовая станция/ оборудование сотовой связи» по адресу: Российская Федерация, Ростовская обл., р-н. Родионово-Несветайский, р-н. Родионово-Несветайский, х. Волошино, ул. Экспериментальная, участок в 80 м от дома № 5 (ориентировочная протяженность ЛЭП – 0,1 км)</t>
  </si>
  <si>
    <t>Строительство ВЛИ-0,4 кВ от оп. №35 ВЛ-0,4 кВ №1 КТП №97 по ВЛ-6 кВ Почтовый ПС 35 кВ Ш-20 для присоединения объекта медицинского учреждения МБУЗ ЦРБ по адресу: Ростовская область, Октябрьский район, х. Киреевка, ул. Клубная, д.1-а (ориентировочная протяженность ЛЭП 0,05 км)</t>
  </si>
  <si>
    <t>Строительство ВЛИ-0,4 кВ от оп. 29 по ВЛ 0,4кВ № 2 от КТП 10/0,4кВ 402 по ВЛ 10кВ Каменный Брод ПС 110 кВ АС-12 для электроснабжения «Малоэтажная жилая застройка (Индивидуальный жилой дом/Садовый/Дачный дом)» Железного С.В.: р-н. Родионово-Несветайский, примерно в 10м по направлению на восток от земельного участка, расположенного по адресу: х.Октябрьский, ул.Буденовская,11  к.н.з.у. 61:33:060600014:1197 (ориентировочная протяженность ЛЭП – 0,225 км)</t>
  </si>
  <si>
    <t>Строительство ВЛИ-0,4 кВ от оп. 1 по ВЛ 0,4кВ № 1 от КТП 10/0,4кВ №509 по ВЛ 10кВ Юдино ПС Н-19 для электроснабжения «Малоэтажная жилая застройка (Индивидуальный жилой дом/Садовый/Дачный дом)» Чиков С.В. по адресу: р-н. Родионово-Несветайский, х.Курлаки, ул.Степная, 13 (ориентировочная протяженность ЛЭП – 0,27км)</t>
  </si>
  <si>
    <t>Строительство ВЛИ 0,4 кВ от ВЛИ 0,4 кВ №1 КТП 312 ВЛ 10 кВ Пухляковка ПС Ш34 для электроснабжения жилого дома Жаравина А.Е. по адресу: Усть-Донецкий р-н, х. Пухляковский (ориентировочная протяженность ЛЭП – 0,11 км)</t>
  </si>
  <si>
    <t>Строительство ВЛИ-0,4 кВ от оп. №18 ВЛИ-0,4 кВ №1 КТП №626 по ВЛ-6 кВ Прогресс ПС 35 кВ Ш-41 для присоединения малоэтажной жилой застройки Медведева А.Н. по адресу: Ростовская область, Октябрьский район, ст. Бессергеневская, пер. Шоссейный, д.16-б (ориентировочная протяженность ЛЭП 0,05 км)</t>
  </si>
  <si>
    <t>Строительство ВЛИ-0,4 кВ от оп. №16 ВЛ-0,4 кВ №3 КТП №218 по ВЛ-6 кВ Прогресс ПС 35 кВ Ш-41 для присоединения малоэтажной жилой застройки Гудкова Д.В. по адресу: Ростовская область, Октябрьский район, ст. Бессергеневская, ул. Шоссейная, д.11-А (ориентировочная протяженность ЛЭП 0,12 км)</t>
  </si>
  <si>
    <t>«Строительство ВЛИ-0,4 кВ от оп. 39 по ВЛ 0,4кВ № 1 от КТП 10/0,4кВ 3 по ВЛ 10кВ Каменный Брод ПС 110 кВ АС-12 для электроснабжения «Малоэтажная жилая застройка (Индивидуальный жилой дом/Садовый/Дачный дом)» Куковякиной В.А. по адресу: р-н. Родионово-Несветайский СО "Комбайностроитель" участок 4. к.н.з.у. 61:33:0500101:2717 (ориентировочная протяженность ЛЭП – 0,184км)»</t>
  </si>
  <si>
    <t>Строительство ВЛИ-0,4 кВ от оп. 60 по ВЛ 0,4кВ № 4 от КТП 10/0,4кВ №2 по ВЛ 10кВ Каменный Брод ПС 110 кВ АС-12 для электроснабжения «Малоэтажная жилая застройка (Индивидуальный жилой дом/Садовый/Дачный дом)» Похило А.А. по адресу: р-н. Родионово-Несветайский, СНТ "Комбайностроитель" участок 1-7, кадастровый номер земельного участка: 61:33:0500101:113 (ориентировочная протяженность ЛЭП – 0,207км)</t>
  </si>
  <si>
    <t xml:space="preserve"> Строительство ВЛИ-0,4 кВ от оп. 8 по ВЛ 0,4кВ № 1 от ТП 10/0,4кВ 2 по ВЛ 10кВ Каменный Брод ПС 110 кВ АС-12 для электроснабжения «Малоэтажная жилая застройка (Индивидуальный жилой дом/Садовый/Дачный дом)» Некрасов П.В. по адресу: р-н. Родионово-Несветайский, СНТ "Комбайностроитель" участок 2-780, кадастровый номер земельного участка: 61:33:0500101:1431 (ориентировочная протяженность ЛЭП – 0,025км)</t>
  </si>
  <si>
    <t>Строительство ВЛИ-0,4 кВ от оп. №20 ВЛИ-0,4 кВ №2 МТП №802 по ВЛ-10 кВ Красюковка ПС 35 кВ Ш-39 для присоединения малоэтажной жилой застройки Гавриленко И.С. по адресу: Ростовская область, Октябрьский район, с/т «Электровозостроитель», уч.7а (ориентировочная протяженность ЛЭП 0,13 км)</t>
  </si>
  <si>
    <t>Строительство ЛЭП-0,4 кВ от оп. № 4 ВЛ 0,4 кВ № 3 от КТП 6/0,4 кВ № 146 по ВЛ 6 кВ «Долотинка» ПС Г5, с установкой прибора учета на границе земельного участка заявителя для нежилой застройки Короткова В. П.,Ростовская обл., Красносулинский район, х. Молаканский, с.п. Долотинское, 11 м на юг от домовладения № 76 по ул. Гагарина, кадастровый номер земельного участка: 61:18:0600007:807 (ориентировочная протяженность ЛЭП – 0,025 км.)</t>
  </si>
  <si>
    <t>Строительство ВЛИ-0,4 кВ от оп.46 ВЛ-0,4 кВ № 3 от ЗТП 6/0,4 кВ № 177 по ВЛ-6 кВ «Пролетарка» ПС С-2, с установкой прибора учета на границе земельного участка заявителя для жилого дома Чутченко А.А., Ростовская обл., Красносулинский район, х. Пролетарка, пер. Степной, д. 38. (ориентировочная протяженность ЛЭП – 0,090 км.)</t>
  </si>
  <si>
    <t>Строительство ТП-6/0,4, ЛЭП-6 кВ от оп. №4 отпайки к КТП №479 по ВЛ 6 кВ Интернат ПС Ш-20, и ВЛИ-0,4 кВ от вновь установленной ТП-6/0,4 кВ для присоединения нежилой застройки ИП Кузминова Н.А. (ориентировочная протяженность ЛЭП 0,14 км, ориентировочная мощность трансформатора 25 кВА)</t>
  </si>
  <si>
    <t>Строительство ВЛИ-0,4 кВ от оп. № 8 ВЛИ-0,4 кВ КТП №821 по ВЛ-6 кВ Кривянка ПС 110/6 кВ Ш-43 для присоединения восьми жилых домов по адресу: Ростовская область, Октябрьский район, ст. Кривянская, ул. Кирпичная, ул. Жданова (ориентировочная протяженность ЛЭП 0,49 км)</t>
  </si>
  <si>
    <t>Строительство ЛЭП-0,4 кВ от  оп. № 44 ВЛ 0,4 кВ № 1 от КТП 6/0,4 кВ  № 208 по ВЛ 6 кВ «Красный Партизан» ПС С2, с установкой прибора учета на границе земельного участка заявителя для антенно-мачтового сооружения 61-15000, АО «ПБК», Российская Федерация, Ростовская обл., Красносулинский район, х. Марс, ул. Школьная, вблизи д. 32. (ориентировочная протяженность ЛЭП – 0,055 км.)</t>
  </si>
  <si>
    <t>Строительство ВЛИ-0,4 кВ от оп. №22 ВЛ 0,4 кВ №3 КТП №198 по ВЛ 10 кВ Комплекс ПС 110 кВ Ш42 для присоединения малоэтажной жилой застройки Мирошниченко А.Б. по адресу: Ростовская область, Октябрьский район, сл. Красюковская, ул. М.Горького, д.173а (ориентировочная протяженность ЛЭП 0,09 км)</t>
  </si>
  <si>
    <t>Строительство ВЛИ-0,4 кВ от оп. 1 по ВЛ 0,4кВ № 2 от КТП 10/0,4кВ №19 по ВЛ 10кВ Юдино ПС 110 кВ Н-19 для электроснабжения «Базовая станция/оборудование сотовой связи» ПАО «Ростелеком»: Ростовская область, р-н. Родионово-Несветайский, х. Курлаки, примерно 14 м по направлению на север от границы участка по адресу: ул.Культурная,2Б/1 (ориентировочная протяженность ЛЭП – 0,065км)</t>
  </si>
  <si>
    <t>Строительство ВЛИ-0,4 кВ от оп. №15 ВЛ-0,4 кВ №1 КТП №304 по ВЛ-6 кВ Рыбхоз ПС 35 кВ Ш-41 для присоединения малоэтажной жилой застройки Тарасовой Е.Ю. по адресу: Ростовская область, Октябрьский район, с/т «Дон», уч.207 (ориентировочная протяженность ЛЭП 0,4 км)</t>
  </si>
  <si>
    <t>Строительство ВЛИ 0,4 кВ от ВЛ 0,4кВ КТП 54 ВЛ 10кВ МТФ ПС 110/10 Ш47 для электроснабжения ВРУ-0,4кВ Малоэтажной жилой застройки Бойченко С.С.: Ростовская область, Семикаракорский район, ст. Кочетовская, ул. Садовая 4, Усть-Донецкий РЭС (ориентировочная протяженность ЛЭП – 0,19 км)</t>
  </si>
  <si>
    <t>Строительство ТП-6/0,4, ЛЭП-6 кВ от оп. №126 ВЛ 6 кВ Совхоз-10 ПС Ш12, и ВЛИ-0,4 кВ от вновь установленной ТП-6/0,4 кВ для присоединения базы отдыха ИП Шишкова И.П. по адресу: Октябрьский район, Красюковское сельское поселение, (ориентировочная протяженность ЛЭП 0,43 км, ориентировочная мощность трансформатора 160 кВА)</t>
  </si>
  <si>
    <t>Строительство ЛЭП-0,4 кВ от КТП 6/0,4 кВ № 367 по ВЛ 6 кВ «Комплекс» ПС 35/6 Ш11, с установкой прибора учета на границе земельного участка заявителя для сторожки, ООО «Заречное», Ростовская обл., Красносулинский р-н, г. Красный Сулин, южнее ж/д «Горная-Новошахтинск», К.Н З.М: 61:53:0000354:147(ориентировочная протяженность ЛЭП – 0,230 км.)</t>
  </si>
  <si>
    <t>Строительство ВЛИ-0,4 кВ от оп. 61 по ВЛ 0,4кВ № 1 от КТП 10/0,4кВ №230 по ВЛ 10кВ Кутейниково ПС Н-9 для электроснабжения «Малоэтажная жилая застройка (Индивидуальный жилой дом/Садовый/Дачный дом)» Сахатырь В.А.. по адресу:346580, Ростовская область, р-н. Родионово-Несветайский, сл.Родионово-Несветайская, ул.Челюскина, д.42 кадастровый номер земельного участка: 61:33:0600010:2925 (ориентировочная протяженность ЛЭП – 0,03км)</t>
  </si>
  <si>
    <t>Строительство ВЛИ-0,4 кВ оп.5 ВЛ 0,4 кВ № 2 от МТП 10/0,4кВ № 05 по ВЛ-10кВ «Кутейниково» ПС Н-9 для электроснабжения жилого дома Блиновой Е.В. Родионово-Несветайский р-н сл. Родионово-Несветайская, ул. Сливовая, д. 4 (ориентировочная протяженность ЛЭП – 0,21 км)</t>
  </si>
  <si>
    <t>Строительство ВЛИ-0,4 кВ от оп. №3 ВЛИ-0,4 кВ №1 ТП №607 ВЛ-10 кВ Комсомолец ПС Ш-35 для электроснабжения нежилой застройки ИП Федоровой Е.С. по адресу: Октябрьский р-н, п. Новозарянский, ул. Транспортная, д.14-б (ориентировочная протяженность ЛЭП – 0,16 км)</t>
  </si>
  <si>
    <t>Строительство ВЛИ-0,4 кВ от оп. №25 ВЛ 0,4 кВ №2 КТП №533 по ВЛ 10 кВ Красюковка ПС 35 кВ Ш39 для присоединения малоэтажной жилой застройки Мандрикиной Н.В. по адресу: Ростовская область, Октябрьский район, сл. Красюковская, ул. Вишневая, д.31 (ориентировочная протяженность ЛЭП 0,09 км)</t>
  </si>
  <si>
    <t>Строительство ВЛИ-0,4 кВ от оп. 10 по ВЛ 0,4кВ № 3 от КТП 10/0,4кВ 134 по ВЛ 10кВ Заря ПС 110 кВ Н-9 для электроснабжения «Малоэтажная жилая застройка (Индивидуальный жилой дом/Садовый/Дачный дом)» Артеменко Е.А. по адресу: Ростовская область, р-н. Родионово-Несветайский, сл. Родионово-Несветайская, ул. Ворошилова, д.18А (ориентировочная протяженность ЛЭП – 0,03км)</t>
  </si>
  <si>
    <t>Строительство ВЛИ-0,4 кВ от оп. 15 по ВЛ 0,4кВ № 1 от КТП 10/0,4кВ №214 по ВЛ 10кВ Ростовский ПС 110 кВ Н-9 для электроснабжения «Нежилое здание» АО «Почта России»: Ростовская область, р-н. Родионово-Несветайский, х. Веселый, ул.Новая, д.12А (ориентировочная протяженность ЛЭП – 0,102км)</t>
  </si>
  <si>
    <t>Строительство участка ЛЭП-0,4 кВ от существующей оп. №1 ВЛ 0,4 кВ №2 КТП №67 ВЛ 6 кВ Кадамовка ПС 110 кВ С6, с установкой прибора учета на границе земельного участка для присоединения объекта крестьянского (фермерского) хозяйства, ИП Галатова А.А. по адресу: Ростовская область, Красносулинский район, х. Садки, Садковское с/п, 200 м. северо-западнее х. Садки, К.Н.З.У.:61:18:0600018:1011. (ориентировочная протяженность ЛЭП 0,260 км)</t>
  </si>
  <si>
    <t>Строительство ТП-6/0,4, ЛЭП-6 кВ от оп. №9 отпайки к КТП №427 ВЛ 6 кВ СТФ ПС Ш20, и ВЛИ-0,4 кВ от вновь установленной ТП-6/0,4 кВ для присоединения объекта КФХ ИП Полякова В.П. по адресу: Октябрьский район, п. Атюхта, ул. Дачная, д.1, (ориентировочная протяженность ЛЭП 0,02 км, ориентировочная мощность трансформатора 100 кВА)</t>
  </si>
  <si>
    <t>Строительство ВЛИ-0,4 кВ от оп. №2 ВЛИ 0,4кВ №1 КТП №525 КВЛ 10кВ Совхоз ПС 110кВ Ш16 для присоединения двух жилых домов по адресу: Ростовская область, Октябрьский район, п. Каменоломни, ул. Гвардейская, д.47, д.49 (ориентировочная протяженность ЛЭП 0,25 км)</t>
  </si>
  <si>
    <t>Строительство ВЛИ-0,4 кВ от оп. №2 ВЛИ 0,4кВ №2 КТП №654 КВЛ 10 кВ Совхоз ПС 110кВ Ш16 для присоединения малоэтажной жилой застройки Даштамировой Н.С. по адресу: Ростовская область, Октябрьский район, п. Каменоломни, ул. Свердлова, д.84 (ориентировочная протяженность ЛЭП 0,04 км)</t>
  </si>
  <si>
    <t>Строительство ТП-6/0,4, ЛЭП-6 кВ от оп. №136 ВЛ 6 кВ Совхоз-10 ПС Ш-12, и ВЛИ-0,4 кВ от вновь установленной ТП-6/0,4 кВ для присоединения базовой станции сотовой связи ПАО «МТС» по адресу: Октябрьский район, 2,4 км юго-западнее х.Сусол, (ориентировочная протяженность ЛЭП 2,86 км, ориентировочная мощность трансформатора 25 кВА)</t>
  </si>
  <si>
    <t>Строительство ВЛИ-0,4 кВ от оп. №20 ВЛИ-0,4 кВ №1 МТП №802 ВЛ-10 кВ Красюковка ПС Ш-39 для электроснабжения малоэтажной жилой застройки Толмачевой Е.А. по адресу: Октябрьский р-н, с/т «Электровозостроитель», уч.235 (ориентировочная протяженность ЛЭП – 0,12 км)</t>
  </si>
  <si>
    <t>Строительство ВЛИ 0,4 кВ от ВЛ 0,4кВ КТП 238 ВЛ 10кВ Апаринский ПС 110/35/27,5/10 Ш14 для электроснабжения ВРУ-0,4кВ Малоэтажной жилой застройки Бахтызина М.А.: Усть-Донецкий район, х. Апаринский, ул. Виноградная 93 б, (ориентировочная протяженность ЛЭП – 0,03 км)</t>
  </si>
  <si>
    <t>Строительство ВЛИ-0,4 кВ от оп. 69 по ВЛ 0,4кВ № 1 от КТП 10/0,4кВ №325 по ВЛ 10кВ Каменный Брод ПС 110 кВ АС-12 для электроснабжения «Малоэтажная жилая застройка» Абубакаров А.Э.: Ростовская область, р-н. Родионово-Несветайский, СНТ «Электромонтажник», №38 (ориентировочная протяженность ЛЭП – 0,035км)</t>
  </si>
  <si>
    <t>Строительство ЛЭП-0,4 кВ от оп. № 1 ВЛ 0,4 кВ № 1 от КТП 6/0,4 кВ № 222 по ВЛ 6 кВ «Пушкино» ПС 110/6 С2, с установкой прибора учета на границе земельного участка заявителя для кормокухни, Ткаченко Геннадия Николаевича, Российская Федерация, Ростовская обл., Красносулинский район, х. Пушкин, кадастровый номер земельного участка: 61:18:0000000:8398. (ориентировочная протяженность ЛЭП – 0,050 км.)</t>
  </si>
  <si>
    <t>Строительство ВЛИ 0,4 кВ от ВЛИ 0,4кВ КТП 118 ВЛ 10кВ Апаринский ПС 110/35/27,5/10 Ш14 для электроснабжения ВРУ-0,4кВ Малоэтажной жилой застройки Фоминой Ю.В. по адресу: Ростовская область, Усть-Донецкий район, х. Апаринский, ул. Дачная 89, КН 61:39:0600009:496 (ориентировочная протяженность ЛЭП – 0,09 км)</t>
  </si>
  <si>
    <t>Строительство ВЛИ-0,4 кВ от оп. 73 по ВЛ 0,4кВ № 1 от КТП 10/0,4кВ №230 по ВЛ 10кВ Кутейниково ПС Н-9 для электроснабжения «Малоэтажная жилая застройка (Индивидуальный жилой дом/Садовый/Дачный дом)» Шумейко Э.С.: Ростовская область, р-н. Родионово-Несветайский, сл. Родионово-Несветайская, ул. Челюскина, д.2Б (ориентировочная протяженность ЛЭП – 0,245км)</t>
  </si>
  <si>
    <t>Строительство ВЛИ-0,4 кВ от оп. №37 ВЛИ 0,4кВ №1 МТП №802 ВЛ 10 кВ Красюковка ПС 35кВ Ш39 для присоединения малоэтажной жилой застройки Черных Н.А. по адресу: Ростовская область, Октябрьский район, с/т «Электровозостроитель», уч.210 (ориентировочная протяженность ЛЭП 0,1 км)</t>
  </si>
  <si>
    <t>Строительство ВЛ-10 кВ от  оп. 14 за Р-4 по ВЛ 10 кВ Генеральское  ПС Н-19,с установкой ТП 10/0,4кВ и строительство ВЛИ 0,4кВ от вновь установленной ТП 10/0,4 кВ для электроснабжения «малоэтажная жилая застройка» Одежный А.М по адресу: р-н. Родионово-Несветайский, с. Генеральское, ул.Сказочная,76 к.н.з.у.:  61:33:0070601:1939 (ориентировочная протяженность ЛЭП – 0,120 км, ориентировочная мощность ТП -25 кВА)</t>
  </si>
  <si>
    <t>Строительство ВЛИ 0,4 кВ от ВЛ 0,4кВ КТП 87 ВЛ 10кВ Крымский ПС 110/35/27,5/10 Ш14 для электроснабжения ВРУ-0,4кВ МБУК Культурного центра Крымского с/п по адресу: Ростовская область, Усть-Донецкий район, х. Ещеулов, ул. Гагарина 1 (ориентировочная протяженность ЛЭП – 0,27 км)</t>
  </si>
  <si>
    <t>Строительство ВЛИ 0,4 кВ от ВЛ 0,4кВ КТП 412 ВЛ 10кВ МТФ ПС 110/10 Ш47 для электроснабжения ВРУ-0,4кВ Малоэтажной жилой застройки Лысюк Д.С. по адресу: Ростовская обл., Семикаракорский район, ст-ца. Кочетовская, ул. Набережная, д. 23а (ориентировочная протяженность ЛЭП – 0,22 км)</t>
  </si>
  <si>
    <t>Строительство ВЛИ 0,4 кВ от ВЛ 0,4кВ ТП 118 ВЛ 10кВ Апаринка ПС 110/35/27,5/10 Ш14 для электроснабжения ВРУ 0,4кВ малоэтажной жилой застройки Ильгов С.А.: Ростовская область, Усть-Донецкий район, х. Апаринский, ул. Дачная 126 (ориентировочная протяженность ЛЭП – 0,22 км)</t>
  </si>
  <si>
    <t>Строительство ВЛИ-0,4 кВ от оп. №8 ВЛ 0,4кВ №1 МТП №80 ВЛ 10 кВ Летний Гурт-Горняк ПС 35кВ Ш48 для присоединения базовой станции сотовой связи ПАО «Ростелеком» по адресу: Ростовская область, Октябрьский район, п. Заречный, ул. Центральная (ориентировочная протяженность ЛЭП 0,22 км)</t>
  </si>
  <si>
    <t>Строительство ВЛИ 0,4 кВ от ВЛ 0,4кВ КТП 362 ВЛ 10кВ Жилмассив ПС 110/35/10 Ш34 для электроснабжения светодиодной вывески Администрации Мелиховского сельского поселения по адресу: Ростовская область, Усть-Донецкий район, станица Мелиховская, примерно 30 метров по направлению на север от земельного участка с кн 61:39:0020105:110, КН ЗУ 61:39:0020105:1233 (ориентировочная протяженность ЛЭП – 0,09 км)</t>
  </si>
  <si>
    <t>Строительство ВЛИ 0,4 кВ от ВЛ 0,4кВ КТП 364 ВЛ 10кВ Жилмассив ПС 110/35/10 Ш34 для электроснабжения ВРУ 0,4кВ малоэтажной жилой застройки Петрова П.Д. по адресу: Ростовская область, Усть-Донецкий район, ст. Мелиховская, ул. Набережная 1а (ориентировочная протяженность ЛЭП – 0,07 км)</t>
  </si>
  <si>
    <t>Строительство ЛЭП-0,4 кВ от оп. № 16 ВЛ 0,4 кВ № 1 от КТП 6/0,4 кВ № 204 по ВЛ 6 кВ «Смирнов» ПС 110/6 Г15, с установкой прибора учета на границе земельного участка заявителя для жилого дома, Харчук Ю.В., Российская Федерация, Ростовская обл., Красносулинский район, х. Васецкий, ул. Колхозная, д. 35а. (ориентировочная протяженность ЛЭП – 0,085 км.)</t>
  </si>
  <si>
    <t>Строительство ВЛИ-0,4 кВ от оп. №19 ВЛ-0,4 кВ №2 КТП №609 по ВЛ-10 кВ Совхоз ПС 110 кВ Ш-16 для присоединения жилого дома Соломатиной С.Ю. по адресу: Ростовская область, Октябрьский район, п. Каменоломни, ул. Комарова, д.48 (ориентировочная протяженность ЛЭП 0,14 км)</t>
  </si>
  <si>
    <t>Строительство ВЛИ-0,4 кВ от оп. №18 ВЛ-0,4 кВ №2 КТП №393 по ВЛ-10 кВ Мясосовхоз ПС 110 кВ Ш-36 для здания коровника ИП Ивашиной Е.В. по адресу: Ростовская область, Октябрьский район, х. Керчик-Савров, ул. Советская, д.76 (ориентировочная протяженность ЛЭП 0,14 км)</t>
  </si>
  <si>
    <t>"Строительство ВЛИ-0,4 кВ от оп. №15 ВЛИ-0,4 кВ №1 КТП №626 по ВЛ-6 кВ Прогресс ПС 35 кВ Ш-41 для присоединения малоэтажной жилой застройки Вакуленкова Н.Ю. по адресу: Ростовская область, Октябрьский район, ст. Заплавская, ул. Шоссейная, д.89 (ориентировочная протяженность ЛЭП 0,2 км)"</t>
  </si>
  <si>
    <t>Строительство ВЛИ-0,4 кВ от оп. №37 ВЛИ 0,4кВ №2 КТП №270 ВЛ 10 кВ Красюковка ПС 35кВ Ш39 для присоединения объекта КФХ ИП Пригожевой Н.Н. по адресу: Ростовская область, Октябрьский район, х. Яново-Грушевский (ориентировочная протяженность ЛЭП 0,22 км)</t>
  </si>
  <si>
    <t>Строительство ВЛИ-0,4 кВ от оп. №31 ВЛ 0,4кВ №2 КТП №370 ВЛ 10кВ Зерновой ПС 110кВ Ш36 для присоединения нежилой застройки ИП Сорокина В.Б. по адресу: Ростовская область, Октябрьский район, на территории АКХ «Луговое» (ориентировочная протяженность ЛЭП 0,3 км)</t>
  </si>
  <si>
    <t>Строительство ВЛИ-0,4 кВ от оп. №28 ВЛИ 0,4кВ №3 КТП №670 КВЛ 10кВ Совхоз ПС 110кВ Ш16 для присоединения малоэтажной жилой застройки Лигай М.С. по адресу: Ростовская область, Октябрьский район, п. Красногорняцкий, ул. Зинченко, д. 5 (ориентировочная протяженность ЛЭП 0,26 км)</t>
  </si>
  <si>
    <t>Строительство ВЛИ-0,4 кВ от опоры ВЛИ 0,4кВ, построенной сетевой организацией по договору ТП от 27.01.2023г. №61-1-23-00685205 от оп. №15 ВЛ 0,4кВ №1 КТП №304 ВЛ 6кВ Рыбхоз ПС 35кВ Ш41 для присоединения малоэтажной жилой застройки Донченко О.А. по адресу: Ростовская область, Октябрьский район, х. Калинин, садоводческое товарищество «Дон», уч.404а (ориентировочная протяженность ЛЭП 0,26 км)</t>
  </si>
  <si>
    <t>Строительство ВЛ 0,4 кВ от ВЛ 0,4 кВ №1 ТП 10/0,4 кВ №4-40 по ВЛ 10 кВ №4 ПС 110/35/10 кВ «Чалтырь» для технологического присоединения ангара и склада заявителей Агаглуян А.Н., ИП Псардиян С.В. по адресу: Ростовская область, Мясниковский район, с. Крым ул. Крестьянская 1 корп. М к.н.61:25:0201029: 21 и ул. Крестьянская 1 корп. К к.н. 61:25:0201029:17 (ориентировочная протяженность ЛЭП 0,22 км)</t>
  </si>
  <si>
    <t>Строительство ВЛ 0,4 кВ от ВЛ 0,4 кВ №1 ТП 10/0,4 кВ №1-125 по ВЛ 10 кВ №1 ПС 110/35/10 кВ «Чалтырь», запитанной от ВЛ 10 кВ №29-35 ПС 110/10 кВ Р-29 для технологического присоединения жилого дома заявителя Оконешникова П.Е. по адресу: Ростовская область, Мясниковский район, х. Ленинаван ул. Донская 9 к.н.61:25:0600401:11567 (ориентировочная протяженность ЛЭП 0,035 км)</t>
  </si>
  <si>
    <t>Строительство ВЛ 0,4 кВ от ВЛ 0,4 кВ №1 КТП 10/0,4 кВ №494м ВЛ 10 кВ №7/8 ПС 35/10/6 кВ «Гаевка» для технологического присоединения личных подсобных хозяйств заявителей Мисюра Д.А. и Баранова Е.Е. по адресу: Ростовская область, Неклиновский район, с. Гаевка, ул. Набережная, 58а, к.н. 61:26:0160301:2130, 58, к.н. 61:26:0160301:2133 (ориентировочная протяженность ЛЭП 0,1 км)</t>
  </si>
  <si>
    <t>Строительство ВЛ 0,4 кВ от ВЛ 0,4 кВ проектируемой по титулу: «Строительство ВЛ 0,4 кВ от ВЛ 0,4 кВ проектируемой по титулу: «Строительство ВЛ 0,4 кВ от КТП 10/0,4 кВ №729 ВЛ 10 кВ №3 ПС 35/10 кВ «ГСКБ» до границ земельного участка Заявителя (Мороз С.С.)» для технологического присоединения личного подсобного хозяйства заявителя Пирогова Е.В. по адресу: Ростовская область, Неклиновский район, с. Новобессергеневка, ул. Лескова, 8, к.н. 61:26:0600024:4416 (ориентировочная протяженность ЛЭП 0,185 км)» для технологического присоединения частных жилых домов заявителей Зацаренко Е.А. и Кричфалуший Ф.И. по адресу: Ростовская область, Неклиновский район, с. Новобессергеневка, ул. Лескова, 8-б, к.н. 61:26:0600024:4402 и 8-а, к.н. 61:26:0600024:4417 (ориентировочная протяженность ЛЭП 0,08 км)</t>
  </si>
  <si>
    <t>Строительство ВЛ 0,4 кВ от РУ 0,4 кВ ТП 10/0,4 кВ №7-21 по ВЛ 10 кВ №7 ПС 110/35/10 кВ «Синявская» для технологического присоединения жилого дома заявителя Гарайбех М.А. по адресу: Ростовская область, Мясниковский район, х. Недвиговка, ул. Донская, д. 11 к.н.61:25:0070101:4367 (ориентировочная протяженность ЛЭП 0,27 км)</t>
  </si>
  <si>
    <t>Строительство ВЛ 0,4 кВ от РУ 0,4 кВ новой ТП 10/0,4 кВ, строительство ТП 10/0,4 кВ, строительство ВЛ 10 кВ от ВЛ 10 кВ №3 ПС 110/27/10 кВ Хапры-Тяговая, для технологического присоединения склада заявителя (Варткинаян Х.Г.) по адресу: Ростовская область, Мясниковский р-н, с.Чалтырь, тер. Промзона 1, д.15 к.н. № 61:25:0601001:2780 (ориентировочная протяженность ЛЭП - 0,08 км, ориентировочная мощность ТП – 25 кВА)</t>
  </si>
  <si>
    <t>Строительство ВЛ 0,4 кВ от ВЛ 0,4 кВ проектируемой по дог. № 61-1-19-00424345 Еприкян О.Е, для технологического присоединения магазина заявителя: (Тревгода Е.П.) по адресу: Ростовская область, Мясниковский район, Краснокрымское сп. 1-й км+110м. автодороги Ростов-на-Дону Новошахтинск к.н. 61:25:0600401:10712 (ориентировочная протяженность ЛЭП 0,17 км)</t>
  </si>
  <si>
    <t>Строительство ВЛ 0,4 кВ от опоры проектируемой ВЛ 0,4 кВ по договору №61-1-20-00537157 от 08.10.2020 для технологического присоединения жилого дома Заявителя (Птицына О.А.) по адресу: Ростовская область, Мясниковский район, х. Недвиговка, ул. Молодежная, д. 33А, к.н. №61:25:0070101:175. (ориентировочная протяженность ЛЭП 0,08 км)</t>
  </si>
  <si>
    <t>Строительство ВЛ 0,4 кВ от РУ 0,4 кВ ТП 10/0,4 кВ №3-94 по ВЛ 10 кВ №3 ПС 110/35/10 кВ Чалтырь, для технологического присоединения нежилого здания Заявителя (Шпакова О.А.) по адресу: Мясниковский район, с. Крым, ул. Большесальская д. 24 (ориентировочная протяженность ЛЭП 0,11 км)</t>
  </si>
  <si>
    <t>Строительство ВЛ 0,4 кВ от РУ 0,4 кВ ТП 10/0,4 кВ №12-5 по ВЛ 10 кВ №12 ПС 110/35/10 кВ Чалтырь, для технологического присоединения жилого дома Заявителя (Бобохян С.А.) по адресу: Ростовская область, Мясниковский район, с. Чалтырь, ул. Пионерская, д. 8/б, к.н. №61:25:0101128:26, (ориентировочная протяженность ЛЭП 0,1 км)</t>
  </si>
  <si>
    <t>Строительство ВЛ 0,4 кВ от новой ТП 10/0,4 кВ, строительство ТП 10/0,4 кВ, строительство ВЛ 10 кВ от ВЛ 10 кВ №3 ПС 35/10 кВ «ГСКБ», для технологического присоединения нежилого помещения Заявителя (ИП Шкрабо И.В.) по адресу: Ростовская область, Неклиновский район, п. Комаровка, ул. Свердлова, 2В, к.н. 61:26:0180301:992 (ориентировочная протяженность ЛЭП 0,11 км; мощность силового трансформатора 160 кВА)</t>
  </si>
  <si>
    <t>Строительство ВЛ 0,4 кВ от опоры по ВЛ 0,4 кВ №2 ТП 10/0,4 кВ №7-17 по ВЛ 10 кВ №7 ПС 110/35/10 кВ Синявская, для технологического присоединения жилого дома Заявителя (Долобаян М.Т.) по адресу: Ростовская область, Мясниковский район, х. Недвиговка, ул. Ченцова, д. 103, корп. А, к.н. №61:25:0070101:9 (ориентировочная протяженность ЛЭП 0,02 км)</t>
  </si>
  <si>
    <t>Строительство ВЛ 0,4 кВ от ВЛИ 0,4 кВ №1 ТП 10/0,4 кВ №1-102 по ВЛ 10 кВ №1 ПС 110/35/10 кВ Чалтырь, для технологического присоединения индивидуального жилого дома Заявителя: (Анненко А.А.) по адресу: Ростовская обл. Мясниковский р-н, х. Ленинаван, ул. М.Сарьяна, д 13 к.н. 61:25:0030202:1258 (ориентировочная протяженность ЛЭП -0,045 км)</t>
  </si>
  <si>
    <t>Строительство ВЛ 0,4 кВ от ВЛИ 0,4 кВ №1 ТП 10/0,4 кВ №2-27 по ВЛ 10 кВ №2 ПС 110/35/10 кВ Чалтырь, для технологического присоединения жилого дома Заявителя: (Гончарова И.Р.) по адресу: Ростовская обл. Мясниковский р-н, с. Крым, ул. Майи Пегливановой, д 34, к.н. 61:25:0600201:1368 (ориентировочная протяженность ЛЭП -0,022 км)</t>
  </si>
  <si>
    <t>Строительство ВЛ 0,4 кВ от опоры по ВЛ 0,4 кВ №1 ТП 10/0,4 кВ №4-9 по ВЛ 10 кВ №4 ПС 110/35/10 кВ Чалтырь, для технологического присоединения жилого дома Заявителя (Саакян Н.М.) по адресу: Ростовская область, Мясниковский район, с. Крым, ул. 19-я линия, д. 16/в, к.н. №61:25:0201019:1015 (ориентировочная протяженность ЛЭП 0,05 км)</t>
  </si>
  <si>
    <t>Строительство ВЛ 0,4 кВ от ВЛ 0,4 кВ №5 КТП 10/0,4 кВ №729 ВЛ 10 кВ №3 ПС 35/10 кВ «ГСКБ» для технологического присоединения жилого дома Заявителя (Грузденко Ю.И.) по адресу: Ростовская область, Неклиновский район, с. Новобессергеневка, ул. Лескова, 10В, к.н. 61:26:0600024:4407 (ориентировочная протяженность ЛЭП 0,05 км)</t>
  </si>
  <si>
    <t>Строительство ВЛ 0,4 кВ от проектируемой ВЛ 0,4 кВ по договору №61-1-21-00563203 от 11.03.2021г. для технологического присоединения жилого дома Заявителя (Рудниченко А.А.) по адресу: Ростовская область, Неклиновский район, с. Весело-Вознесенка, ул. Пограничная, 40Г, к.н. 61:26:0100101:5088 (ориентировочная протяженность ЛЭП 0,03 км)</t>
  </si>
  <si>
    <t>Строительство ВЛ 0,4 кВ от концевой опоры ВЛ 0,4 кВ построенной по договору № 61-1-20-00501455 от 10.03.2020, для технологического присоединения нежилого помещения Заявителя (Беседовский А.Г..) по адресу: Ростовская область, Таганрог, ул. Бакинская, к.н. 61:58:0004523:989 (ориентировочная протяженность ЛЭП 0,06 км)</t>
  </si>
  <si>
    <t>Строительство ВЛ 0,4 кВ от ВЛ 0,4 кВ №1 КТП 10/0,4 кВ №413Ам ВЛ 10 кВ №4 ПС 35/10 кВ «Русский Колодец» для технологического присоединения жилого дома Заявителя (Туров А.В.) по адресу: Ростовская область, Неклиновский район, с. Боцманово, ул. Седова, 22, к.н. 61:26:0070801:190 (ориентировочная протяженность ЛЭП 0,06 км)</t>
  </si>
  <si>
    <t>Строительство ВЛ 0,4 кВ от ВЛ 0,4 кВ, проектируемой по договору № 61-1-21-00559079 от 17.02.2021 г. с ИП Саркисян Р.А., для технологического присоединения объекта крестьянского хозяйства Заявителя (ИП Саркисян З.Р.) по адресу: Ростовская область, Неклиновский район, с. Троицкое, ул. Ленина, 198-К, к.н. 61:26:0600014:1978 (ориентировочная протяженность ЛЭП 0,06 км)</t>
  </si>
  <si>
    <t>Строительство ВЛ 0,4 кВ от ВЛ 0,4 кВ №2 КТП 10/0,4 кВ №9м ВЛ 10 кВ №3 ПС 35/10 кВ «ГСКБ» для технологического присоединения жилого дома Заявителя (Татульян Р.Г.) по адресу: Ростовская область, Неклиновский район, с. Новобессергнеевка, ул. Гагарина, 6-а, к.н. 61:26:0180101:7893 (ориентировочная протяженность ЛЭП 0,08 км)</t>
  </si>
  <si>
    <t>Строительство ВЛ 0,4 кВ от ВЛ 0,4 кВ №1 КТП 10/0,4 кВ №356 ВЛ 10 кВ №6 ПС 110/10 кВ «Самбек» для технологического присоединения жилого дома Заявителя (Снегуров Р.С.) по адресу: Ростовская область, г. Таганрог, ул. Мирная, д.1, корп.В, к.н. 61:58:0007019:342 (ориентировочная протяженность ЛЭП 0,06 км)</t>
  </si>
  <si>
    <t>Строительство ВЛ 0,4 кВ от опоры 0,4 кВ строящейся по договору: № 61-1-21-00568487 от 02.04.2021г. для технологического присоединения Базовой станции заявителя (Администрация Куйбышевского района) по адресу: Ростовская обл., р-н. Куйбышевский, примерно 864 метра на запад от х. Свободный, ул. Молодёжная, 2/2, кадастровый номер земельного участка: 61:19:0600004:623 (ориентировочная протяжённость ЛЭП 0,23 км)</t>
  </si>
  <si>
    <t>Строительство ВЛ 0,4 кВ от опоры по ВЛ 0,4 кВ №1 ТП 10/0,4 кВ №1-227 по ВЛ 10 кВ №1 ПС Чалтырь, запитанной от ВЛ 10 кВ №29-35 отпайки на ТП 10/0,4 кв №1-54 ПС Р-29, для технологического присоединения нежилой застройки Заявителя (ИП Юрковец Р.Б.) по адресу: Ростовская область, Мясниковский район, х. Ленинаван, ул. Садовая, д. 30/2, к.н. 61:25:0600401:17337 (ориентировочная протяженность ЛЭП 0,17 км)</t>
  </si>
  <si>
    <t>Строительство ВЛ 0,4 кВ от ВЛ 0,4 кВ №1 ТП 6/0,4кВ №318 для технологического присоединения жилого дома Заявителя (Кокоха Ю.А.) по адресу: Ростовская обл., г. Таганрог, ул. Бакинская к.н. 61:58:0004523:1435 (ориентировочная протяженность ЛЭП 0,065 км)</t>
  </si>
  <si>
    <t>Строительство ВЛ 0,4 кВ от ВЛИ 0,4 кВ №1 ТП 10/0,4 кВ №6-3 по ВЛ 10 кВ №6 ПС 35/10 кВ Б.Салы, для технологического присоединения жилого дома Заявителя: (Лскавян И.О.) по адресу: Ростовская обл. Мясниковский р-н, х. Красный Крым, ул. Молодежная, д 20/1 к.н. 61:25:0030101:2123 (ориентировочная протяженность ЛЭП -0,11 км)</t>
  </si>
  <si>
    <t>Строительство ВЛ 0,4 кВ от РУ 0,4 кВ ТП 10/0,4 кВ №6-3 по ВЛ 10 кВ №6 ПС 35/10 кВ Б.Салы, для технологического присоединения жилого дома Заявителя: (Морковкина Е.К.) по адресу: Ростовская обл. Мясниковский р-н, х. Красный Крым, ул. Молодежная, д 74 к.н. 61:25:0600401:16092 (ориентировочная протяженность ЛЭП -0,17 км)</t>
  </si>
  <si>
    <t>Строительство ВЛ 0,4 кВ от опоры по ВЛ 0,4 кВ №1 ТП 10/0,4 кВ №6-19 по ВЛ 10 кВ №6 ПС 110/35/10 кВ Чалтырь для технологического присоединения жилых домов Заявителя (Атоян А.С.) по адресу: Ростовская область, Мясниковский район, с. Крым, ул. 3-я линия, д. 9/а, 9/б, 9/в, 9/г, 9/д, к.н. №61:25:0201016:700, 61:25:0201016:699, 61:25:0201016:698, 61:25:0201016:697, 61:25:0201016:696, (ориентировочная протяженность ЛЭП 0,09 км)</t>
  </si>
  <si>
    <t>Строительство ВЛ 0,4 кВ от ВЛ 0,4 кВ №1 МТП 10/0,4 кВ №801 ВЛ 10 кВ №2 ПС 35/10 кВ «Покровская» для технологического присоединения хозяйственных строений Заявителя (Поливода А.И.) по адресу: Ростовская область, Неклиновский район, с. Покровское, ул. Луговая, 74, к.н. 61:26:0050114:726 (ориентировочная протяженность ЛЭП 0,08 км)</t>
  </si>
  <si>
    <t>Строительство ВЛ 0,4 кВ от ВЛ 0,4 кВ, проектируемой по договору № 61-1-20-00551705 от 18.12.2020 г. для технологического присоединения нежилого здания Заявителя (ИП Мельников О.Б.) по адресу: Ростовская область, Неклиновский район к.н. 61:26:0600014:2296 (ориентировочная протяженность ЛЭП 0,05 км)</t>
  </si>
  <si>
    <t>Строительство ВЛ 0,4 кВ от ВЛ 0,4 кВ, проектируемой по договору № 61-1-20-00555517 25.01.2021 г., для технологического присоединения гаража Заявителя (ИП Давтян А.В.) по адресу: Ростовская область, Неклиновский район, к.н. 61:26:0600014:2036 (ориентировочная протяженность ЛЭП 0,06 км)</t>
  </si>
  <si>
    <t>Строительство ВЛ 0,4 кВ от ВЛ 0,4 кВ №1 КТП №494м ВЛ 10 кВ №7/8 ПС 35/10/6 кВ «Гаевка» для технологического присоединения жилого дома Заявителя (Потик Е.А.) по адресу: Ростовская область, Неклиновский район, с. Гаевка, ул. Набережная, 34-Б, к.н. 61:26:0160301:2474 (ориентировочная протяженность ЛЭП 0,09 км)</t>
  </si>
  <si>
    <t>Строительство ВЛ 0,4 кВ от проектируемой ВЛ 0,4 кВ по договору №61-1-21-00596899 от ВЛ 0,4 кВ №1 КТП №494м ВЛ 10 кВ №7/8 ПС 35/10/6 кВ «Гаевка» для технологического присоединения жилого дома Заявителя (Зенкин П.А.) по адресу: Ростовская область, Неклиновский район, с. Гаевка, ул. Набережная, 34-В, к.н. 61:26:0160301:2475 (ориентировочная протяженность ЛЭП 0,06 км)</t>
  </si>
  <si>
    <t>Строительство ВЛ 0,4 кВ от опоры ВЛ 0,4 кВ №23 ТП 6/0,4 кВ №294 по КЛ 6 кВ №166 РП- 6 кВ №16 по КЛ 6 кВ №1316/2 ПС Т-13 для технологического присоединения жилого дома Заявителя (Тимофеев М.Е.) по адресу: Ростовская область, г. Таганрог, пер. 3-й Новый, д. 71, к.н. 61:58:0004523:695 (ориентировочная протяженность ЛЭП 0,16 км)</t>
  </si>
  <si>
    <t>Строительство ВЛ 0,4 кВ от опоры по ВЛИ 0,4 кВ №4 ТП 10/0,4 кВ №6-5 по ВЛ 10 кВ №6 ПС 35/10 кВ Б. Салы для технологического присоединения жилого дома Заявителя (Курявая Т.В.) по адресу: Ростовская область, Мясниковский район, х. Красный Крым, ул. Юбилейная, д. 29, корп. Б, к.н. №61:25:0600401:16039 (ориентировочная протяженность ЛЭП 0,05 км)</t>
  </si>
  <si>
    <t>Строительство ВЛ 0,4 кВ от опоры по ВЛ 0,4 кВ №2 ТП 10/0,4 кВ №1-133 по ВЛ 10 кВ №1 ПС 110/35/10 кВ Чалтырь для технологического присоединения жилых домов Заявителя (Найденов Д.И.) по адресу: Ростовская область, Мясниковский район, х. Ленинаван, ул. Октябрьская, д. 20, 22 к.н. №61:25:0600401:9612, 61:25:0600401:17438, ул. 70-летия Победы, д. 25/18, к.н. 61:25:0600401:17440 (ориентировочная протяженность ЛЭП 0,07 км)</t>
  </si>
  <si>
    <t>Строительство ВЛ 0,4 кВ от опоры по ВЛИ 0,4 кВ №3 ТП 10/0,4 кВ №1-24 по ВЛ 10 кВ №1 ПС 110/35/10 кВ Чалтырь для технологического присоединения жилого дома Заявителя (Загика Н.А.) по адресу: Ростовская область, Мясниковский район, х. Красный Крым, ул. Братьев Баян, д. 80, к.н. №61:25:0600401:17028 (ориентировочная протяженность ЛЭП 0,08 км)</t>
  </si>
  <si>
    <t>Строительство ВЛ 0,4 кВ от опоры по ВЛ 0,4 кВ проектируемой по договору №61-1-21-00582401 от ВЛИ 0,4 кВ №4 ТП 10/0,4 кВ №6-5 по ВЛ 10 кВ №6 ПС 35/10 кВ Б. Салы для технологического присоединения жилого дома Заявителя (Скидан Ю.В.) по адресу: Ростовская область, Мясниковский район, х. Красный Крым, ул. Юбилейная, д. 29, корп. В, к.н. №61:25:0600401:16038, (ориентировочная протяженность ЛЭП 0,017 км)</t>
  </si>
  <si>
    <t>Строительство ВЛ 0,4 кВ от опоры по ВЛ 0,4 кВ №2 ТП 10/0,4 кВ №1-27А по ВЛ 10 кВ №1 ПС 110/35/10 кВ Чалтырь для технологического присоединения жилых домов Заявителей (Егунян К.Г., Егунян Э.Г., Егунян Г.Э.) по адресу: Ростовская область, Мясниковский район, х. Красный Крым, ул. 2-я Молодежная, д. 26/б, д. 26/в, 26/г к.н. №61:25:0030101:2108, к.н. №61:25:0030101:2111, к.н. 61:25:0030101:2110 (ориентировочная протяженность ЛЭП 0,06 км)</t>
  </si>
  <si>
    <t>Строительство ВЛИ 0,4 кВ от опоры по ВЛИ 0,4 кВ №2 ТП 10/0,4 кВ №6-5 по ВЛ 10 кВ №6 ПС 35/10 кВ Б. Салы для технологического присоединения жилых домов Заявителей (Михайлова Т.В., Кадыров А.М., Легусова И.В.) по адресу: Ростовская область, Мясниковский район, х. Красный Крым, ул. Юбилейная, д. 25/а, д. 25/б, 25/в к.н. №61:25:0600401:17355, к.н. №61:25:0600401:17356, к.н. №61:25:0600401:17357 (ориентировочная протяженность ЛЭП 0,06 км)</t>
  </si>
  <si>
    <t>Строительство ВЛИ 0,4 кВ от опоры проектируемой по договору №61-1-21-00578317 от ТП 10/0,4 кВ №1-148 по ВЛ 10 кВ №1 ПС 110/35/10 кВ Чалтырь, запитанной от ВЛ 10 кВ №29-35 ПС 110/10 кВ Р-29 для технологического присоединения жилых домов Заявителя (Исаков В.В.) по адресу: Ростовская область, Мясниковский район, х. Ленинаван (ориентировочная протяженность ЛЭП 0,095 км)</t>
  </si>
  <si>
    <t>Строительство ВЛ 0,4 кВ от РУ 0,4 кВ КТП 10/0,4кВ №58 ВЛ 10кВ №4 ПС «Куйбышево-1», для технологического присоединения административного здания Заявителя (Пограничное управление Федеральной службы безопасности РФ по Ростовской области) по адресу: Ростовская область, Куйбышевский р-н, х. Новая Надежда, с. Каменно-Тузловка, с. Кумшатское, х. Обийко, х. Ясиновский к.н 61:19:0600002:1639 (ориентировочная протяженность ЛЭП 0,04 км)</t>
  </si>
  <si>
    <t>Строительство ВЛ 0,4 кВ от опоры, строящейся по Договору № 61-1-21-00568487 от 02.04.2021 г., для технологического присоединения объекта Заявителя (Погукай Д.А) по адресу: Ростовская область, Куйбышевский р-н, х. Свободный, западнее х.Свободный, 1м, к.н: 61:19:0600004:464 (ориентировочная протяженность ЛЭП 0,03 км)</t>
  </si>
  <si>
    <t>Строительство ВЛ 0,4 кВ от ВЛ 0,4 кВ №2 КТП №232 ВЛ 10 кВ №5/3 ПС 110/35/10 кВ «Троицкая-1» для технологического присоединения жилого дома Заявителя (Галстян К.П.) по адресу: Ростовская область, Неклиновский район, с. Николаевка, ул. Гоголя, 29-А, к.н. 61:26:0110101:9966 (ориентировочная протяженность ЛЭП 0,06 км)</t>
  </si>
  <si>
    <t>Строительство ВЛ 0,4 кВ от ВЛ 0,4 кВ №1 КТП 10/0,4 кВ №831 ВЛ 10 кВ №3 ПС 110/10 кВ «Лиманная» для технологического присоединения жилого дома Заявителя (Кравцова М.Н.) по адресу: Ростовская область, Неклиновский район, с. Андреево-Мелентьево, ул. Молодежная, д. 42-А, к.н. 61:26:0600013:1921 (ориентировочная протяженность ЛЭП 0,05 км)</t>
  </si>
  <si>
    <t>Строительство ВЛ 0,4 кВ от РУ 0,4 кВ ТП 10/0,4 кВ № 1-21 по ВЛ 10 кВ № 1 ПС 110/35/10 кВ "Чалтырь", для технологического присоединения жилого дома Заявителя (Дехтярева А. Д.) по адресу: Ростовская область, Мясниковский район, х. Красный Крым, ул. Кирова, д. 8/б, к.н. 61:25:0030101:1994 (ориентировочная протяжённость ЛЭП 0,24 км)</t>
  </si>
  <si>
    <t>Строительство ВЛ 0,4кВ от новой ТП 10/0,4кВ, строительство ТП 10/0,4кВ, строительство ВЛ 10кВ от ВЛ 10кВ №1 ПС 110/35/10кВ «Чалтырь», отпайки на ТП 10/0,4кВ №1-54, запитанной от ВЛ 10кВ №29-35 ПС 110/10кВ Р-29, для технологического присоединения нежилого здания Заявителя (Мардиросян С.Л.) по адресу: Ростовская область, Мясниковский район, х. Ленинаван, ул. Садовая, 33/1, к.н. 61:25:0600401:11362 (ориентировочная протяженность ЛЭП 0,027км; мощность силового трансформатора 40кВА)</t>
  </si>
  <si>
    <t>Строительство ВЛ 0,4 кВ от новой ТП 10/0,4 кВ, строительство ТП 10/0,4 кВ, строительство КВЛ 10 кВ от ВЛ 10 кВ № 3 ПС 110/35/10 кВ Чалтырь, для технологического присоединения жилого дома Заявителя (Шакирова А. В.) по адресу: Ростовская область, Мясниковский район, с. Чалтырь, ул. Сады, д. 12  к.н. 61:25:0101221:0003 (ориентировочная протяжённость ЛЭП 0,12 км, ориентировочная мощность трансформатора  63 кВА)</t>
  </si>
  <si>
    <t>Строительство ВЛ 0,4 кВ от РУ 0,4 кВ новой ТП 6/0,4 кВ, строительство ТП 6/0,4 кВ, строительство 2-х КЛ 6 кВ с подключением от КЛ 6 кВ №44 ПС 35/6 кВ Т-8 для электроснабжения производственного участка заявителя (Ковалева К.С.) по адресу РО, г. Таганрог, пер. 7-й Новый, 95-а, к.н: 61:58:0004505:13 (ориентировочная протяженность ЛЭП – 0,230 км, ориентировочная мощность ТП – 100 кВА)</t>
  </si>
  <si>
    <t>Строительство ВЛ 0,4 кВ от ВЛ 0,4 кВ №1 ТП 10/0,4 кВ №20-2 по ВЛ 10 кВ №20-04 ПС 220/110/10 кВ «Р-20» для технологического присоединения жилого дома заявителя Зароян Х.Г. по адресу: Ростовская область, Мясниковский район, х. Калинин ул. 1-я Кольцевая 7 корп. А  к.н. 61:25:0050101:7413 (ориентировочная протяженность ЛЭП 0,13 км)</t>
  </si>
  <si>
    <t>Строительство ВЛ-0,4кВ от ВЛ-0,4кВ №1 ТП 10/0,4кВ №1-6 по ВЛ-10кВ №1 ПС 110/35/10кВ "Чалтырь" для технологического присоединения жилого дома заявителя Акопян А.Г. по адресу: Ростовская область, Мясниковский район, х. Ленинакан ул. Лукашина, 19/в к.н. 61:25:0030301:1613 (ориентировочная протяженность ЛЭП - 0,1км)</t>
  </si>
  <si>
    <t>Строительство ВЛ 0,4 кВ от опоры по ВЛ 0,4 кВ №1 ТП 10/0,4 кВ №6-7 по ВЛ 10 кВ №6 ПС 35/10 кВ Б.Салы, для технологического присоединения жилого дома Заявителя (Мартиросян Д.В.) по адресу: Ростовская область, Мясниковский район, с. Б.Салы, ул. Семейная, д.22 к.н. №61:25:0600501:1879., (ориентировочная протяженность ЛЭП 0,11 км)</t>
  </si>
  <si>
    <t>Строительство ВЛ 0,4 кВ от ВЛ 0,4 кВ №2 КТП 10/0,4 кВ №710 ВЛ 10 кВ №1/3 ПС 110/35/10 кВ «Троицкая-1» для технологического присоединения жилого дома Заявителя (Драгун С.Г.) по адресу: Ростовская область, г. Таганрог, около ул. Варданяна, 74 (участок 4), к.н. 61:26:0006027:927 (ориентировочная протяженность ЛЭП 0,085 км)</t>
  </si>
  <si>
    <t>Строительство ВЛ 0,4 кВ от ВЛ 0,4 кВ №4 МТП 10/0,4 кВ №140м ВЛ 10 кВ №3 ПС 35/10 кВ «ГСКБ» для технологического присоединения жилого дома Заявителя (Дощеуглов В.В.) по адресу: Ростовская область, Неклиновский район, с. Александрова Коса, ул. Первомайская, 52А, к.н. 61:26:0180601:1736 (ориентировочная протяженность ЛЭП 0,08 км)</t>
  </si>
  <si>
    <t>Строительство ВЛ 0,4 кВ от опоры по ВЛИ 0,4 кВ №1 ТП 10/0,4 кВ №3-17 по ВЛ 10 кВ №3 ПС 110/35/10 кВ Чалтырь, для технологического присоединения жилого дома Заявителя (Поповян А.Г.) по адресу: Ростовская область, Мясниковский район, х. Мокрый Чалтырь, ул. Ворошиловская, д. 16/а, к.н. №61:25:0010201:252, (ориентировочная протяженность ЛЭП 0,11 км)</t>
  </si>
  <si>
    <t>Строительство ВЛ 0,4 кВ от ВЛ 0,4 кВ №1 КТП 10/0,4 кВ №443 ВЛ 10 кВ №2 ПС 35/10 кВ «Троицкая» для технологического присоединения жилого дома Заявителя (Прокопенко П.И.) по адресу: Ростовская область, Неклиновский район, с. Троицкое, пер. Парковый, 8-В, к.н. 61:26:0010101:6094 (ориентировочная протяженность ЛЭП 0,12 км)</t>
  </si>
  <si>
    <t>Строительство ВЛИ 0,4 кВ от ТП 10/0,4 кВ №84 по ВЛ 10 кВ №2 ПС 35/10 кВ Колесниковская, для технологического присоединения АБК станция технического обслуживания Заявителя (ИП Климова Е.А.) по адресу: Ростовская область, М-Курганский район, п. М-Курган, ул. Придорожная, д. 8/а, к.н. 61:21:0010161:659 (ориентировочная протяженность ЛЭП 0,1 км)</t>
  </si>
  <si>
    <t>Строительство ВЛ 0,4 кВ от опоры, проектируемой ВЛ 0,4 кВ по договору №61-1-22-00643913 от 27.04.2022 г. от ВЛ 0,4 кВ №1 КТП 10/0,4 кВ №3/17 ВЛ 10 Кв №3  ПС 110/35/10 кВ "Синявская" для технологического объекта сельскохозяйственного производства Заявителя (Айриян К.Я.) по адресу: Ростовская область, Неклиновский район, 250 м юго-восточнее х. Мержаново, к.н. 61:26:0600016:1083 (ориентировочная протяженность ЛЭП 0,240 км)</t>
  </si>
  <si>
    <t>Строительство ВЛ 0,4 кВ от ВЛ 0,4 кВ №2 КТП 10/0,4 кВ №522 ВЛ 10 кВ №1/3 ПС 110/35/10 кВ «Троицкая-1» для технологического присоединения жилых домов Заявителей (Карелина Ю.В., Кучукбаева Н.Н.) по адресу: Ростовская область, Неклиновский район, с. Николаевка, ДНТ «Коммунальник», уч. 151, 153, (ориентировочная протяженность ЛЭП 0,280 км)</t>
  </si>
  <si>
    <t>Строительство ВЛ 0,4 кВ от ВЛ 0,4 кВ №3 КТП 10/0,4 кВ №244 ВЛ 10 кВ №8 ПС 35/10 кВ «Покровская» для технологического присоединения производственного здания Заявителя (ИП Козинец С.В.) по адресу: Ростовская область, Неклиновский район, с. Покровское, ул. Привокзальная, д.98-А, к.н. 61:26:0050137:295 (ориентировочная протяженность ЛЭП 0,270 км)</t>
  </si>
  <si>
    <t>Строительство ВЛ 0,4 кВ от ВЛ 0,4 кВ №1 КТП 10/0,4 кВ №67м ВЛ 10 кВ №3 ПС 110/35/10 кВ «Рябиновская» для технологического присоединения жилого дома Заявителя (Матиева С.Ю.) по адресу: Ростовская область, Неклиновский район, х. Ломакин, ул. Комарова, д. 2-Р, к.н. 61:26:0030201:401 (ориентировочная протяженность ЛЭП 0,285 км)</t>
  </si>
  <si>
    <t>«Строительство ВЛ 0,4 кВ от ВЛ 0,4 кВ №1 СТП 10/0,4 кВ №877 ВЛ 10 кВ №3 ПС 110/35/10 кВ «Синявская» для технологического присоединения производственного здания Заявителя (Нифанов С.В.) по адресу: Ростовская область, Неклиновский район, х. Мержаново, СНТ «Металлург-6, уч.1114, к.н. 61:26:0505901:491 (ориентировочная протяженность ЛЭП 0,33 км)»</t>
  </si>
  <si>
    <t>«Строительство ВЛ 0,4 кВ от ВЛ 0,4 кВ №1 СТП 10/0,4 кВ №877 ВЛ 10 кВ №3 ПС 110/35/10 кВ «Синявская» для технологического присоединения жилого дома Заявителя (Пархоменко Э.И.) по адресу: Ростовская область, Неклиновский район, х. Мержаново, СНТ «Металлург-6», уч. 1061, к.н. 61:26:0505901:545 (ориентировочная протяженность ЛЭП 0,3 км)»</t>
  </si>
  <si>
    <t>Строительство ВЛ 0,4 кВ от ВЛ 0,4 кВ №2 КТП 10/0,4 кВ №249 ВЛ 10 кВ №1/3 ПС 110/35/10 кВ «Троицкая-1» для технологического присоединения жилого дома Заявителя (Толкачев В.В.) по адресу: Ростовская область, Неклиновский район, с. Николаевка, ул. Чехова, д.1-А, к.н. 61:26:0110101:7124 (ориентировочная протяженность ЛЭП 0,025 км)</t>
  </si>
  <si>
    <t>Строительство ВЛ 0,4 кВ от опоры по ВЛ 0,4 кВ №1 ТП 10/0,4 кВ №1-12 по ВЛ 10 кВ №1 ПС 110/35/10 кВ Чалтырь для технологического присоединения жилого дома Заявителя (Сухариян С.С.) по адресу: Ростовская область, Мясниковский район, х. Ленинаван, ул. Шаумяна 29 г к.н. №61:25:0030202:1132 (ориентировочная протяженность ЛЭП 0,03 км)</t>
  </si>
  <si>
    <t>Строительство ВЛИ 0,4 кВ от опоры по ВЛ 0,4 кВ №2 ЗТП 10/0,4 кВ №328 по ВЛ 10 кВ №3 ПС 35/10 кВ М-Курганская, для технологического присоединения БССС №70254 Заявителя (ПАО «Вымпел-Коммуникации») по адресу: Ростовская область, М-Курганский район, п. М-Курган, ул. Пугачева, д.1 к.н. № 61:21:0010128:75, (ориентировочная протяженность ЛЭП 0,06 км)»</t>
  </si>
  <si>
    <t>Строительство ВЛ 0,4 кВ от ВЛ 0,4 кВ №2 ЗТП 10/0,4 кВ №4 ВЛ 10 кВ №4 ПС 35/10 кВ «Покровская» для технологического присоединения Заявителя (Григорян М.С.) по адресу: Ростовская область, Неклиновский р-н, с. Покровское, ул. Ленина, 302А, к.н. 61:26:0050129:155 (ориентировочная протяженность ЛЭП 0,03 км)</t>
  </si>
  <si>
    <t>Строительство ВЛ 0,4 кВ от опоры ВЛ 0,4 кВ №2 от КТП №22 по ВЛ 10 кВ №3 ПС 35/10 кВ Куйбышево-1 для технологического присоединения энергопринимающих устройств Заявителя (Бабкин А.С.) по адресу: Ростовская обл., р-н. Куйбышевский, с. Куйбышево, ул. Восточная, д. 11, к.н.: 61:19:0010166:14 (ориентировочная протяжённость ЛЭП 0,035 км)</t>
  </si>
  <si>
    <t>Строительство ВЛ 0,4 кВ от ВЛ 0,4 кВ №2 КТП 10/0,4 кВ №243м ВЛ 10 кВ №3 ПС 35/10 кВ «ГСКБ» для технологического присоединения жилого дома Заявителя (Утоплов С.Н.) по адресу: Ростовская область, Неклиновский район, с. Новобессергеневка, к.н. 61:26:0600024:4577 (ориентировочная протяженность ЛЭП 0,03 км)</t>
  </si>
  <si>
    <t>Строительство ВЛ 0,4 кВ от ВЛ 0,4 кВ №3 КТП 10/0,4 кВ №728 ВЛ 10 кВ №3 ПС 35/10 кВ «ГСКБ» для технологического присоединения жилого дома Заявителя (Мороз С.С.) по адресу: Ростовская область, с. Новобессергеневка, ул. Инициативная, 27Б, к.н. 61:26:0600024:5050 (ориентировочная протяженность ЛЭП 0,06 км)</t>
  </si>
  <si>
    <t>Строительство ВЛ 0,4 кВ от опоры по ВЛ 0,4 кВ №2 ТП 10/0,4 кВ №4-8 по ВЛ 10 кВ №4 ПС 110/35/10 кВ Чалтырь, для технологического присоединения жилого дома Заявителя (Хамбурян С.А.) по адресу: Ростовская область, Мясниковский район, с. Крым, ул. 16-я линия, д. 2, к.н. №61:25:0201012:12 (ориентировочная протяженность ЛЭП 0,025 км)</t>
  </si>
  <si>
    <t>Строительство ВЛИ 0,4 кВ от опоры по ВЛИ 0,4 кВ №1 ТП 10/0,4 кВ №1-220 по ВЛ 10 кВ №1 ПС 110/35/10 кВ Чалтырь, для технологического присоединения жилого дома Заявителя (Гольм М.В.) по адресу: Ростовская область, Мясниковский район, х. Ленинакан, ул. Суворова, д. 120, к.н. №61:25:0600401:13779 (ориентировочная протяженность ЛЭП 0,08 км)</t>
  </si>
  <si>
    <t>Строительство ВЛ 0,4 кВ от РУ 0,4 кВ ТП 10/0,4 кВ №8-22 по ВЛ 10 кВ №8 ПС 110/35/10 кВ Синявская, для технологического присоединения нежилого здания Заявителя (ООО ГК «Чистый город») по адресу: Ростовская область, Мясниковский район, земли СПК «Пролетарская диктатура», к.н. №61:25:0600801:385, (ориентировочная протяженность ЛЭП 0,18 км)</t>
  </si>
  <si>
    <t>Строительство ВЛ 0,4 кВ от опоры ВЛ 0,4кВ №2 КТП №22 по ВЛ 10 кВ №3 ПС Куйбышево-1 для технологического присоединения энергопринимающих устройств Заявителя (Стрельченко В.Н.) в с. Куйбышево Куйбышевского района Ростовской области (ориентировочная протяжённость ЛЭП 0,03 км)</t>
  </si>
  <si>
    <t>Строительство ВЛ 0,4 кВ от ВЛ 0,4 кВ №1 КТП 10/0,4 кВ №137м ВЛ 10 кВ №4 ПС 35/10 кВ «ГСКБ» для технологического присоединения объекта сельскохозяйственного производства Заявителя (Папиров Л.В.) по адресу: Ростовская область, Неклиновский район, с. Новобессергеневка, СПК колхоз «Приазовье, поле №41, к.н. 61:26:0600024:0629 (ориентировочная протяженность ЛЭП 0,05 км)</t>
  </si>
  <si>
    <t>Строительство ВЛ 0,4 кВ от ВЛ 0,4 кВ №2 КТП №86 ВЛ 10 кВ №3 ПС 110/10 кВ «Отрадненская» для технологического присоединения жилого дома Заявителя (Кривошапко А.Л.) по адресу: Ростовская область, Неклиновский район, х. Прядки, ул. Дачная, 1, к.н. 61:26:0190501:147 (ориентировочная протяженность ЛЭП 0,06 км)</t>
  </si>
  <si>
    <t>Строительство ВЛ 0,4 кВ от ВЛ 0,4 кВ №4 ТП 6/0,4 кВ №5 по КЛ 6 кВ №72 ПС 110/6 кВ Т-17 для технологического присоединения остановочной площадки заявителя (ООО «Синара-Городские Транспортные Решения Таганрог») по адресу: Ростовская область, г. Таганрог, ул. К. Либкнехта, д. 103, к.н. 61:58:0000000:46983 (ориентировочная протяженность ЛЭП 0,17 км)</t>
  </si>
  <si>
    <t>Строительство ВЛ 0,4 кВ от РУ 0,4 кВ ТП 10/0,4 кВ №518 РП 10 кВ №11 по КЛ 6 кВ №2711/2 ПС 110/10 кВ Т-27 для технологического присоединения заявителя (ИП Гринева С.А.) по адресу: Ростовская область, г. Таганрог, ул. С. Шило, д. 247/1 (ориентировочная протяженность ЛЭП 0,160 км)</t>
  </si>
  <si>
    <t>Строительство ВЛ 0,4 кВ от ВЛ 0,4 кВ №14 ТП 6/0,4 кВ №96 по КЛ 6 кВ №117 ПС 110/35/6 кВ Т-11 для технологического присоединения (ООО «Синара-Городские Транспортные Решения Таганрог») (Договор №61-1-21-00613001 от 24.11.2021) по адресу: Ростовская область, г. Таганрог, пер. Смирновский, д. 64, к.н. 61:58:0000000:47367 (ориентировочная протяженность ЛЭП 0,150 км)</t>
  </si>
  <si>
    <t>Строительство ВЛ 0,4 кВ от опоры ВЛ 0,4 кВ №1 от КТП 10/0,4кВ №175 по ВЛ 10 кВ №3 ПС М-Курганская, для технологического присоединения жилого дома Заявителя (Бондарева Л.П.) по адресу: Ростовская область, Матвеево-Курганский район, п. Матвеев Курган, ул. Фрунзе, д.136, к.н. 61:21:0010136:2 (ориентировочная протяженность ЛЭП 0,08 км)</t>
  </si>
  <si>
    <t>Строительство ВЛИ 0,23 кВ от опоры ВЛ 0,4 кВ №2 от КТП 10/0,4 кВ №186 по ВЛ 10 кВ №7 ПС 35/10 кВ М-Курганская, для технологического присоединения наружного освещения Заявителя (ИП Лебедь Н.Н.) по адресу: Ростовская область, Матвеево-Курганский район, в 100 м от ориентира по направлению на северо-запад от ул. Московская, д.1 с. Александровка, к.н. 61:21:06000003:3150 (ориентировочная протяженность ЛЭП 0,18 км)</t>
  </si>
  <si>
    <t>Строительство ВЛИ 0,4 кВ от опоры до границ земельного участка заявителя по существующим опорам по ВЛ-0,4кВ №2 от КТП-10/0,4кВ №187 по ВЛ-10кВ №2 ПС 35/10 кВ Колесниковская, для технологического присоединения ВРУ-0,38кВ для питания жилого дома Заявителя (Бородин Н.В.) по адресу: Ростовская область, М-Курганский район, п. М-Курган, ул. Придорожная д. 5 к.н. 61:21:0010138:144 (ориентировочная протяженность ЛЭП 0,08 км)</t>
  </si>
  <si>
    <t>Строительство ВЛ 0,4 кВ от ВЛ 0,4 кВ проектируемой по договору № 61-1-21-00555543 от 26.01.2021 г.  для технологического присоединения нежилого помещения Заявителя (ИП Григоренко П.В.) по адресу: Ростовская область, Неклиновский район, к.н. 61:26:0600014:2027 (ориентировочная протяженность ЛЭП 0,06 км)</t>
  </si>
  <si>
    <t>Строительство ВЛ 0,4 кВ от ВЛ 0,4 кВ №1 КТП 10/0,4 кВ №244м ВЛ 10 кВ №8 ПС 35/10 кВ «Русский Колодец» для тех
нологического присоединения жилого дома Заявителя (Курьянов В.А.) по адресу: Ростовская область, Неклиновский район, с. Долоковка, ул. Набережная, д. 5, к.н. 61:26:0070401:222 (ориентировочная протяженность ЛЭП 0,060 км)</t>
  </si>
  <si>
    <t>Строительство BЛ 0,4 кВ от новой ТП 10/0,4 кВ, строительство ТП 6/0,4 кВ, строительство ВЛ 10 кВ от ВЛ 10 кВ №5/3 ПС 110/35/10 кВ "Троицкая-1" для технологического присоединения объекта туристической отрасли Заявителя (ИП Арзоян А.Р.) по адресу: Ростовская область, Неклиновский район, с. Троицкое, ул. Ленина, д. 196-Д, к.н. 61:26:0600014:2315 (ориентировочная протяженность ЛЭП 0,26 км; мощность силового трансформатора - 0,025 MBA)</t>
  </si>
  <si>
    <t>Строительство ВЛ 0,4 кВ от новой ТП 10/0,4 кВ, строительство ТП 10/0,4 кВ, строительство ВЛ 10 кВ от ВЛ 10 кВ №1 ПС 35/10 кВ «Таганрогская», для технологического присоединения дачного дома Заявителя (Петров П.И.) по адресу: Ростовская область, Неклиновский район, с. Весело-Вознесенка, к.н. 61:26:0600018:1768 (ориентировочная протяженность ЛЭП 0,620 км; мощность силового трансформатора 0,025 МВА)</t>
  </si>
  <si>
    <t>Строительство ВЛ 0,4 кВ от опоры по ВЛ 0,4 кВ №2 ТП 10/0,4 кВ №7-2 по ВЛ 10 кВ №7 ПС 35/10 кВ Б. Салы для технологического присоединения производственно-складского здания Заявителя (ИП Арустамян А.Л.) по адресу: Ростовская область, Мясниковский район, с. Большие Салы, ул. 1-я Промышленная, д. 1, (ориентировочная протяженность ЛЭП 0,25 км)</t>
  </si>
  <si>
    <t>Строительство ВЛ 0,4 кВ от РУ 0,4 кВ ТП 10/0,4 кВ №5-15 по ВЛ 10 кВ №5 ПС 35/10 кВ Петровская, для технологического присоединения жилого дома Заявителя (Курдюмова И.Д.) по адресу: Ростовская область, Мясниковский район, СТ «Крокус», д. 540, к.н. 61:25:0501601:586 (ориентировочная протяженность ЛЭП 0,24 км</t>
  </si>
  <si>
    <t>Строительство ВЛ 0,4 кВ от РУ 0,4 кВ ТП 10/0,4 кВ № 1-199 по ВЛ 10 кВ № 1 ПС 110/35/10 кВ "Чалтырь", для технологического объектов торговли Заявителей (Азизов Е. Р., Подчумачев В. Г.)) по адресу: Мясниковский район, х. Ленинакан, ул. Торговый проспект, к.н. 61:25:0600401:16551, к.н. 61:25:0600401:13338 (ориентировочная протяжённость ЛЭП 0,245 км)</t>
  </si>
  <si>
    <t>Строительство ВЛ 0,4 кВ от РУ 0,4 кВ ТП 10/0,4 кВ № 7-39 по ВЛ 10 кВ № 7 ПС 110/35/10 кВ "Синявская", для технологического присоединения жилого дома Заявителя (Середенко О. В.) по адресу: Ростовская область, Мясниковский район, х. Хапры, ул. Гагарина, д. 23, к.н. 61:25:070201:0003 (ориентировочная протяжённость ЛЭП 0,21 км)</t>
  </si>
  <si>
    <t>Строительство ВЛ 0,4 кВ от ВЛ 0,4 кВ №1 КТП 10/0,4 кВ №263м ВЛ 10 кВ №1 ПС 35/10 кВ «Таганрогская» для технологического присоединения ВРУ 0,4 кВ сельскохозяйственного производства Заявителя (ООО «Земляк») по адресу: Ростовская область, Неклиновский район, 100 м восточнее п. Приазовский, к.н. 61:26:0600019:290 (ориентировочная протяженность ЛЭП 0,14 км)</t>
  </si>
  <si>
    <t>Строительство ВЛ 0,4 кВ от ВЛ 0,4кВ №2 ТП 6/0,4кВ №116 КЛ 6 кВ №80 ПС 35/6 кВ Т-8 для технологического присоединения Заявителя (Любарцев Ю.В.) по адресу: Ростовская область, г. Таганрог, проезд 6-й Линейный, д.87 (к.н.:61:58:0004261:31) (ориентировочная протяженность ЛЭП 0,11 км)</t>
  </si>
  <si>
    <t>Строительство ВЛ 0,4 кВ от КТП 10/0,4 кВ №585 ВЛ 10 кВ №1/3 ПС 110/35/10 кВ «Троицкая-1» для технологического присоединения жилого дома Заявителя (Абалян Д.С.) по адресу: Ростовская область, Неклиновский р-н, с. Николаевка, ул. Ферганская, 1-а, к.н. 61:26:0110101:9305 (ориентировочная протяженность ЛЭП 0,05 км)</t>
  </si>
  <si>
    <t>Строительство ВЛ 0,4 кВ от РУ 0,4 кВ ТП 10/0,4 кВ, строительство ТП 10/0,4 кВ, строительство ВЛ 10 кВ от ВЛ 10 кВ №1 ПС 110/35/10 кВ Чалтырь, отпайки на ТП 10/0,4 кВ №1-195, запитанной от ВЛ 10 кВ №13 ПС 110/35/10 кВ Чалтырь для технологического присоединения складского помещения Заявителя: (Никитина О.В.), по адресу: Мясниковский район, х. Ленинакан, пер. Содружества, д. 7 (ориентировочная протяженность ЛЭП 0,03 км; мощность силового трансформатора – 160 кВА)</t>
  </si>
  <si>
    <t>Строительство ВЛ 0,4 кВ от ВЛ 0,4 кВ №1 МТП 10/0,4 кВ №156м ВЛ 10 кВ №2 ПС 110/10 кВ «Носовская» для технологического присоединения жилого дома Заявителя (Лягович Д.В.) по адресу: Ростовская область, Неклиновский район, с. Ивановка, ул. Миусская, 10, к.н. 61:26:0150401:105 (ориентировочная протяженность ЛЭП 0,2 км)</t>
  </si>
  <si>
    <t>Строительство ВЛ 0,4 кВ от опоры по ВЛ 0,4 кВ №1 ТП 10/0,4 кВ №5-1 по ВЛ 10 кВ №5 ПС 35/10 кВ Б. Салы, для технологического присоединения жилого дома Заявителя (Амирханян А.О.) по адресу: Ростовская область, Мясниковский район, с. Большие Салы, ул. Абовяна, д. 22/е, к.н. №61:25:0040101:4594 (ориентировочная протяженность ЛЭП 0,15 км)</t>
  </si>
  <si>
    <t>Строительство ВЛИ 0,4 кВ от опоры по ВЛИ 0,4 кВ №2 ТП 10/0,4 кВ №5-1 по ВЛ 10 кВ №5 ПС 110/27/10 кВ Хапры-Тяговая для технологического присоединения жилого дома Заявителя (Бирюкова В.А.) по адресу: Ростовская область, Мясниковский район, х. Калинин, ул. Беляева, д. 2, корп. А, к.н. №61:25:0050101:7924 (ориентировочная протяженность ЛЭП 0,03 км)</t>
  </si>
  <si>
    <t>Строительство ВЛ 0,4кВ от ВЛ 0,4кВ №3 ТП 6/0,4кВ №127 для технологического присоединения нежилого помещения Заявителя (ООО «УК «СервисСтрой») по адресу: Ростовская обл., г. Таганрог, ул. Толбухина, 5-2, к.н.:61:58:0003484:55 (ориентировочная протяженность ЛЭП 0,095 км)</t>
  </si>
  <si>
    <t>Строительство ВЛ 0,4кВ от ВЛ 0,4кВ №3 ТП 6/0,4кВ №27 для технологического присоединения жилого дома Заявителя (Аваков Юрий Сергеевич) по адресу: Ростовская обл., г. Таганрог, ул. Портовая, д.40, к.н.:61:58:0003020:29 (ориентировочная протяженность ЛЭП 0,08 км)</t>
  </si>
  <si>
    <t>Строительство ВЛ 0,4 кВ от ВЛ 0,4 кВ №2 ТП 10/0,4 кВ №1-15 по ВЛ 10 кВ №1 ПС 110/35/10 кВ Чалтырь запитанной от ВЛ 10кВ №29-35 ПС 110/10кВ Р-29, для технологического присоединения объекта торговли Заявителя: (Абраменко Р.А.) по адресу: Ростовская обл. Мясниковский р-н, х. Ленинаван, ул. Ленина, д 7-Г к.н. 61:25:0600401:16513 (ориентировочная протяженность ЛЭП -0,025 км)</t>
  </si>
  <si>
    <t>Строительство ВЛ 0,4 кВ от опоры по ВЛ 0,4 кВ №2 ТП 10/0,4 кВ №2-22 по ВЛ 10 кВ №2 ПС 110/35/10 кВ Чалтырь для технологического присоединения жилых домов Заявителей (Габриелян Р.В., Кизогян С.Г.) по адресу: Ростовская область, Мясниковский район, с. Крым, ул. Согомоняна, д. 14, 16, к.н. №61:25:0600201:1435, 61:25:0600201:1434, (ориентировочная протяженность ЛЭП 0,075 км)</t>
  </si>
  <si>
    <t>Строительство ВЛ 0,4 кВ от опоры по ВЛИ 0,4 кВ №1 ТП 10/0,4 кВ №1-102 по ВЛ 10 кВ №1 ПС 110/35/10 кВ Чалтырь для технологического присоединения жилых домов Заявителя (Титов В.А.) по адресу: Ростовская область, Мясниковский район, х. Ленинаван, ул. М. Сарьяна, к.н. №61:25:0030202:4829, 61:25:0030202:4830, (ориентировочная протяженность ЛЭП 0,06 км)</t>
  </si>
  <si>
    <t>Строительство ВЛ 0,4 кВ от ВЛ 0,4 кВ №8 ТП 6/0,4кВ №121 для технологического присоединения Заявителя (ООО «Синара-Городские Транспортные Решения Таганрог»), Ростовская область, г. Таганрог, (ориентировочная протяженность ЛЭП 0,09 км)</t>
  </si>
  <si>
    <t>Строительство ВЛ 0,4 кВ от опоры по ВЛ 0,4 кВ №1 ТП 10/0,4 кВ №1-11 по ВЛ 10 кВ №1 ПС 110/35/10 кВ Чалтырь для технологического присоединения жилого дома Заявителя (Антонян Д.Н.) по адресу: Ростовская область, Мясниковский район, х. Ленинаван, ул. Абовяна, д. 40, кор. А, к.н. №61:25:0030202:1386 (ориентировочная протяженность ЛЭП 0,18 км)</t>
  </si>
  <si>
    <t>Строительство ВЛИ 0,4 кВ от опоры по ВЛИ 0,4 кВ №1 ТП 10/0,4 кВ №2-27 по ВЛ 10 кВ №2 ПС 110/35/10 кВ Чалтырь для технологического присоединения жилого дома Заявителя (Эзегелян А.Г.) по адресу: Ростовская область, Мясниковский район, с. Крым, ул. генерала Джелаухова, д. 52 к.н. №61:25:0600201:1380 (ориентировочная протяженность ЛЭП 0,11 км)</t>
  </si>
  <si>
    <t>Строительство ВЛИ 0,4 кВ от опоры проектируемой по договору №61-1-21-00559335 для технологического присоединения жилых домов Заявителей (Кизогян А.В., Барсукова Л.Н.) по адресу: Ростовская область, Мясниковский район, х. Ленинаван, ул. Набережная, д. 13, 14 (ориентировочная протяженность ЛЭП 0,04 км)</t>
  </si>
  <si>
    <t>Строительство ВЛ 0,4 кВ от ВЛ 0,4 кВ №2 КТП 10/0,4 кВ №413Ам ВЛ 10 кВ №4 ПС 35/10 кВ «Русский Колодец» для технологического присоединения жилого дома Заявителя (Зачепа Ю.А.) по адресу: Ростовская область, Неклиновский район, с. Боцманово, проезд Сквозной, д. 1-в, к.н. 61:26:0070801:662 (ориентировочная протяженность ЛЭП 0,11 км)</t>
  </si>
  <si>
    <t>Строительство ВЛ 0,4 кВ от ВЛ 0,4 кВ №1 ТП 10/0,4 кВ №7-16 по ВЛ 10 кВ №7 ПС 110/35/10 кВ Синявская, для технологического присоединения Заявителя: (Тимофеев Г.С.) по адресу: Ростовская обл. Мясниковский р-н, х. Недвиговка, ул. Молодежная, д 38, к.н. 61:25:0070101:0222 (ориентировочная протяженность ЛЭП - 0,06 км)</t>
  </si>
  <si>
    <t>Строительство ВЛ 0,4 кВ от ВЛ 0,4кВ №1  ТП 6/0,4кВ № 47 по КЛ 6кВ №2 РП-12 по КЛ 6кВ №512/1 ПС-110/6 кВ Т-5, для технологического присоединения жилого здания Заявителя (Морозов В.В.) по адресу: Ростовская область, г. Таганрог, ул. Фурманова, д. 5, к.н. 61:58:0002008:22 (ориентировочная протяженность ЛЭП 0,16 км)</t>
  </si>
  <si>
    <t xml:space="preserve">«Строительство ВЛ 0,4 кВ от РУ 0,4 кВ ТП 10/0,4 кВ №1-199 по ВЛ 10 кВ №1 ПС 110/35/10 кВ Чалтырь для технологического присоединения нежилого здания Заявителя (ЗАО «ДОНМАШСТРОЙ») по адресу: Ростовская область, Мясниковский район, х. Ленинакан, ул. Торговый проспект, к.н. 61:25:0600401:17421 (ориентировочная протяженность ЛЭП 0,11 км)» 
</t>
  </si>
  <si>
    <t xml:space="preserve">Строительство ВЛ 0,4 кВ от ВЛ 0,4 кВ, проектируемой по договору № 61-1-21-00587391 от 07.07.2021 г. с Мельников О.Б., для технологического присоединения объекта обслуживания автотранспорта Заявителя (ИП Хачатрян Я.Р.) по адресу: Ростовская область, Неклиновский район к.н. 61:26:0600014:2346 (ориентировочная протяженность ЛЭП 0,05 км)» </t>
  </si>
  <si>
    <t>Строительство ВЛ 0,4 кВ от опоры №6 ВЛ 0,4кВ №2 КТП 10/0,4кВ №53 ВЛ 10кВ №1 ПС Куйбышево-1, для технологического присоединения объекта Заявителя (Линькова Л.В) по адресу: Ростовская область, Куйбышевский р-н, 1430м на юго-восток от х.Скелянский, к.н: 61:19:0600001:2591 (ориентировочная протяженность ЛЭП 0,12 км)</t>
  </si>
  <si>
    <t xml:space="preserve">Строительство ВЛ 0,4 кВ от ВЛ 0,4кВ № 5 ТП 6/0,4кВ №9 по КЛ 6кВ № 61 РП-3 по КЛ 6кВ №170 ПС-110/6 кВ Т-17, для технологического присоединения нежилого здания Заявителя (МУП «Городское хозяйство») по адресу: Ростовская область, г. Таганрог, ул. Р. Люксембург, д. 38 (ориентировочная протяженность ЛЭП 0,09 км)
</t>
  </si>
  <si>
    <t xml:space="preserve">Строительство ВЛ 0,4 кВ от ВЛ 0,4кВ № 6 ТП 6/0,4кВ №57 по КЛ 6кВ № 1702 ПС-110/6 кВ Т-17, для технологического присоединения миникотельная Заявителя (МУП «Городское хозяйство») по адресу: Ростовская область, г. Таганрог, ул. Фрунзе, д. 35 (ориентировочная протяженность ЛЭП 0,151 км)
</t>
  </si>
  <si>
    <t xml:space="preserve">Строительство ВЛ 0,4 кВ от ВЛ 0,4кВ №9 ТП 6/0,4кВ №543 по ВЛ 6кВ № АБЗ ПС-110/35/6 кВ ТОС, для технологического присоединения нежилого здания Заявителя (Бочкарев И.И.) по адресу: Ростовская область, г. Таганрог, ул. Паустовского, д. 57/ул. Шолохова, д. 22, к.н. 61:58:0005202:66 (ориентировочная протяженность ЛЭП 0,095 км)
</t>
  </si>
  <si>
    <t>Строительство ВЛ 0,4 кВ от ВЛ 0,4 кВ №2 КТП 10/0,4 кВ №522 ВЛ 10 кВ №1/3 ПС 110/35/10 кВ «Троицкая-1» для технологического присоединения жилого дома Заявителя (Дикий Б.В.) по адресу: Ростовская область, Неклиновский район, с. Николаевка, ДНТ «Коммунальник», уч. 184, к.н. 61:26:0513701:131 (ориентировочная протяженность ЛЭП 0,170 км)</t>
  </si>
  <si>
    <t>Строительство ВЛ 0,4 кВ от ВЛ 0,4 кВ №2 КТП 10/0,4 кВ №651 ВЛ 10 кВ №2 ПС 35/10 кВ «Покровская» для технологического присоединения жилого дома Заявителя (Бороненко А.Н.) по адресу: Ростовская область, Неклиновский район, с. Покровское, ул. Н.Головченко, д. 13, к.н. 61:26:0050114:913 (ориентировочная протяженность ЛЭП 0,140 км)</t>
  </si>
  <si>
    <t>Строительство ВЛ 0,4 кВ от опоры по ВЛИ 0,4 кВ № 2 ТП 5-3 по ВЛ 10 кВ № 5 ПС 110/27/10 кВ "Хапры-Тяговая", для технологического присоединения жилого дома Заявителя (Боглаенко С. А.) по адресу: Ростовская область, Мясниковский район, х. Калинин, ул. Набережная, д. 111/в, к.н. 61:25:0050101:7987 (ориентировочная протяжённость ЛЭП 0,205 км)</t>
  </si>
  <si>
    <t>«Строительство ВЛ 0,4 кВ от ВЛ 0,4 кВ №1 КТП 10/0,4 кВ №90 ВЛ 10 кВ №3 ПС 35/10 кВ «Советка» для технологического присоединения базовой станции Заявителя (ПАО «Ростелеком») по адресу: Ростовская область, Неклиновский район, х. Некрасовка, примерно 48м по направлению на юго-восток ул. Центральная, д. 2, к.н. 61:26:060601 (ориентировочная протяженность ЛЭП 0,330 км)»</t>
  </si>
  <si>
    <t>«Строительство ВЛ 0,4 кВ от от ВЛ 0,4 кВ №1 КТП 10/0,4 кВ №710 ВЛ 10 кВ №1/3 ПС 110/35/10 кВ «Троицкая-1» для технологического объекта сельскохозяйственного производства Заявителя (Шаповалова Л.И.) по адресу: Ростовская область, г. Таганрог, около ул. Бровикова, уч.53 к.н. 61:58:0006027:1052 (ориентировочная протяженность ЛЭП 0,120 км)»</t>
  </si>
  <si>
    <t>Строительство ВЛ 0,4 кВ от РУ 0,4 кВ ТП 10/0,4 кВ, строительство ТП 10/0,4 кВ, строительство ВЛ 10 кВ от ВЛ 10 кВ №4 ПС 35/10 кВ «Русский Колодец» для технологического присоединения помещения сельскохозяйственного производства Заявителя: (Литвинов Н.А.), по адресу: Ростовская область, Неклиновский район, с. Христофоровка, земли Рыбколхоза «Первомайский», поле №2, к.н. 61:58:0600023:448 (ориентировочная протяженность ЛЭП 0,01 км; мощность силового трансформатора – 25 кВА)</t>
  </si>
  <si>
    <t>Строительство ВЛ 0,4 кВ от опоры по ВЛ 0,4 кВ №1 ТП 10/0,4 кВ №4-29 по ВЛ 10 кВ №4 ПС 110/35/10 кВ Чалтырь, для технологического присоединения жилого дома Заявителя (Айрапетян Л.П.) по адресу: Ростовская область, Мясниковский район, с. Крым, ул. 2-й тупик, д. 7, к.н. №61:25:0201024:538 (ориентировочная протяженность ЛЭП 0,025 км)</t>
  </si>
  <si>
    <t>Строительство ВЛ 0,4 кВ от ВЛ 0,4 кВ №2 КТП 10/0,4 кВ №49 ВЛ 10 кВ №3 ПС 110/10 кВ «Самбек» для технологического присоединения жилого дома Заявителя (Попов В.Н.) по адресу: Ростовская область, Неклиновский район, с. Самбек, ул. Колхозная, 2г, к.н. 61:26:0000000:6178 (ориентировочная протяженность ЛЭП 0,065 км)</t>
  </si>
  <si>
    <t>Строительство ВЛ 0,4 кВ от опоры по ВЛ 0,4 кВ №1 ТП 10/0,4 кВ №1-6 по ВЛ 10 кВ №1 ПС 110/35/10 кВ Чалтырь для технологического присоединения жилого дома Заявителя (Оганесян М.А.) по адресу: Ростовская область, Мясниковский район, х. Ленинакан, ул. Цветочная, д. 24, к.н. №61:25:0030301:315 (ориентировочная протяженность ЛЭП 0,035 км)</t>
  </si>
  <si>
    <t>Строительство ВЛ 0,4 кВ от опоры по ВЛИ 0,4 кВ №1 ТП 10/0,4 кВ №1-6 по ВЛ 10 кВ №1 ПС 110/35/10 кВ Чалтырь, для технологического присоединения жилых домов Заявителей (Петросян М.Г., Шеретеко М.В.) по адресу: Ростовская область, Мясниковский район, х. Ленинакан, ул. Малиновая, д. 5/3, к.н. №61:25:0030301:1852, ул. Малиновая, д. 5/4, к.н. 61:25:0030301:1856 (ориентировочная протяженность ЛЭП 0,06 км)</t>
  </si>
  <si>
    <t>Строительство ВЛ 0,4 кВ от опоры по ВЛ 0,4 кВ №1 ТП 10/0,4 кВ №4-2 по ВЛ 10 кВ №4 ПС 110/35/10 кВ Чалтырь для технологического присоединения жилого дома Заявителя (Мелексетян К.Х.) по адресу: Ростовская область, Мясниковский район, с. Крым, ул. Мясникяна, д. 1, корп. А, к.н. №61:25:0201005:304 (ориентировочная протяженность ЛЭП 0,04 км)</t>
  </si>
  <si>
    <t>Строительство ВЛ 0,4 кВ от РУ 0,4 кВ ТП 10/0,4 кВ №7-15 по ВЛ 10 кВ №7 ПС 110/35/10 кВ Синявская, для технологического присоединения теплицы Заявителя: (ИП Сюсюра Л.В.) по адресу: Ростовская обл. Мясниковский р-н, х. Недвиговка, ул. Молодежная, д 42-в, к.н. 61:25:0070101:4643 (ориентировочная протяженность ЛЭП -0,04 км)</t>
  </si>
  <si>
    <t>Строительство ВЛ 0,4 кВ от новой ТП 10/0,4 кВ, строительство ТП 10/0,4 кВ, строительство ВЛ 10 кВ от ВЛ 10 кВ №1/3 ПС 110/35/10 кВ «Троицкая-1», для технологического присоединения автостоянки Заявителя (Саакян С.А.) по адресу: Ростовская область, Неклиновский район, с. Троицкое, х-во СПК к-з «Россия», поле №2, к.н. 61:26:0600014:1466 (ориентировочная протяженность ЛЭП 0,015 км; мощность силового трансформатора 25 кВА)</t>
  </si>
  <si>
    <t>Строительство ВЛ 0,4 кВ от опоры по ВЛ 0,4 кВ №2 ТП 10/0,4 кВ №2-4 по ВЛ 10 кВ №2 ПС 110/35/10 кВ Чалтырь для технологического присоединения жилого дома Заявителя (Дивинец О.М.) по адресу: Ростовская область, Мясниковский район, с. Султан Салы, ул. Селиверстова, д. 50, корп. Б, к.н. №61:25:0030401:1519 (ориентировочная протяженность ЛЭП 0,03 км)</t>
  </si>
  <si>
    <t>Строительство ВЛ 0,4 кВ от ВЛ 0,4 кВ №2 КТП №66 ВЛ 10 кВ №3 ПС 110/10 кВ «Самбек» для технологического присоединения жилого дома Заявителя (Хачатрян С.Д.) по адресу: Ростовская область, Неклиновский район, с. Самбек, ул. Кооперативная, 56-В, к.н. 61:26:0020101:5412 (ориентировочная протяженность ЛЭП 0,05 км)</t>
  </si>
  <si>
    <t>Строительство ВЛ 0,4 кВ от проектируемой опоры по договору №61-1-21-00568355 для технологического присоединения жилого дома Заявителя (Мартиросян К.К.) по адресу: Ростовская область, Мясниковский район, х. Ленинаван, ул. Майская, д. 9, к.н. 61:25:0030202:1042 (ориентировочная протяженность ЛЭП 0,04 км)</t>
  </si>
  <si>
    <t>Строительство ВЛ 0,4 кВ от опоры по ВЛИ 0,4 кВ №1 ТП 10/0,4 кВ №2-27 по ВЛ 10 кВ №2 ПС 110/35/10 кВ Чалтырь для технологического присоединения жилого дома Заявителя (Михайленко А.В.) по адресу: Ростовская область, Мясниковский район, с. Крым, ул. Имени Майи Пегливановой, д. 34/а, к.н. 61:25:0600201:1378 (ориентировочная протяженность ЛЭП 0,07 км)</t>
  </si>
  <si>
    <t>«Строительство ВЛ 0,4 кВ от опоры по ВЛИ 0,4 кВ №2 ТП 10/0,4 кВ №2-27 по ВЛ 10 кВ №2 ПС 110/35/10 кВ Чалтырь для технологического присоединения жилого дома Заявителя (Хочкиян А.А.) по адресу: Ростовская область, Мясниковский район, с. Крым, ул. Маршала Баграмяна, д. 41, к.н. 61:25:0600201:1407 (ориентировочная протяженность ЛЭП 0,06 км)»</t>
  </si>
  <si>
    <t xml:space="preserve">Строительство ВЛ 0,4 кВ от ВЛ 0,4 кВ №5 ЗТП 10/0,4 кВ №82 ВЛ 10 кВ №4 ПС 110/10 кВ «Лиманная» для технологического присоединения жилого дома Заявителя (Грушка А.Б.) по адресу: Ростовская область, Неклиновский район, п. Сухосарматка, ул. Лесная, д. 17, к.н. 61:26:0090201:175 (ориентировочная протяженность ЛЭП 0,050 км)» </t>
  </si>
  <si>
    <t>«Строительство ВЛ 0,4кВ от новой ТП 10/0,4кВ, строительство ТП 10/0,4кВ, строительство ВЛ 10кВ от ВЛ 10кВ №1 ПС 110/35/10кВ «Чалтырь» отпайки на ТП 10/0,4кВ №1-8, для технологического присоединения АГЗС Заявителя (Дорощак В.Б.) по адресу: Ростовская область, Мясниковский район, х. Ленинакан, Торговый проспект к.н. №61:25:0600401:13114 (ориентировочная протяженность ЛЭП 0,02км; мощность силового трансформатора 40кВА)</t>
  </si>
  <si>
    <t>Строительство ВЛ 0,4 кВ от новой ТП 10/0,4 кВ, строительство ТП 10/0,4 кВ, строительство ВЛ 10 кВ от ВЛ 10 кВ №2 ПС 35/10 кВ «Советка» для технологического присоединения ВРУ 0,4 кВ сельскохозяйственного назначения Заявителя (Нечепуренко В.В.) по адресу: Ростовская область, Неклиновский район, южнее 3800 м сл. Советка, к.н. 61:26:0600007:1486 (ориентировочная протяженность ЛЭП 0,25 км; мощность силового трансформатора 25 кВА)</t>
  </si>
  <si>
    <t>Строительство ВЛ 0,4 кВ от РУ 0,4 кВ КТП 10/0,4 кВ №387м ВЛ 10 кВ №1 ПС 35/10 кВ «Таганрогская» для технологического присоединения объекта физической культуры и спорта Заявителя (ИП Протасовицкая И.Г.) по адресу: Ростовская область, Неклиновский район, с. Весело-Вознесенка, ул. Приморская, д. 13, к.н. 61:26:0600018:1296 (ориентировочная протяженность ЛЭП 0,270 км)</t>
  </si>
  <si>
    <t>Строительство ВЛ 0,4 кВ от РУ 0,4 кВ ТП 10/0,4 кВ, строительство ТП 10/0,4 кВ, строительство ВЛ 10 кВ от опоры ВЛ 10 кВ № 29-42 ПС 110/10 кВ Р-29 для технологического присоединения Заявителя (ИП Афян С.В.) по адресу: Мясниковский район, х. Ленинаван, ул. Садовая, д 43. (ориентировочная протяженность ЛЭП 1,12 км; мощность силового трансформатора – 160 кВА)</t>
  </si>
  <si>
    <t>Строительство ВЛ 0,4 кВ от опоры по ВЛ 0,4 кВ №1 ТП 10/0,4 кВ №4-30 по ВЛ 10 кВ №4 ПС 110/35/10 кВ Чалтырь для технологического присоединения жилого дома Заявителя (Григорян К.С.) по адресу: Ростовская область, Мясниковский район, с. Крым, ул. 18-я линия, д. 7, к.н. №61:25:0201008:291 (ориентировочная протяженность ЛЭП 0,04 км)</t>
  </si>
  <si>
    <t>Строительство ВЛ 0,4 кВ от ВЛ 0,4 кВ (проектируемой по договору №61-1-20-00541353) от ТП 10/0,4 кВ №1-171 по ВЛ 10 кВ №1 ПС 110/35/10 кВ Чалтырь запитанной от ВЛ 10кВ №29-35 ПС 110/10кВ Р-29, для технологического присоединения жилого дома Заявителя: (Вдовин В.А.) по адресу: Ростовская обл. Мясниковский р-н, х. Ленинаван, ул. Кутузова, д 38 к.н. 61:25:0600401:7998 (ориентировочная протяженность ЛЭП -0,07 км)</t>
  </si>
  <si>
    <t>Строительство ВЛ 0,4 кВ от опоры по ВЛ 0,4 кВ №1 ТП 10/0,4 кВ №2-5 по ВЛ 10 кВ №2 ПС 110/35/10 кВ Чалтырь для технологического присоединения жилого дома Заявителя (Багирян А.А.) по адресу: Ростовская область, Мясниковский район, с. Султан Салы, ул. Налбандяна, д. 22, корп. А, к.н. №61:25:0030401:367, (ориентировочная протяженность ЛЭП 0,075 км)</t>
  </si>
  <si>
    <t>Строительство ВЛ 0,4 кВ от опоры по ВЛИ 0,4 кВ № 1 ТП 10/0,4 кВ №1-6 по ВЛ 10 кВ №1 ПС 110/35/10 кВ Чалтырь для технологического присоединения жилых домов Заявителей (Арабаджиева Э.У., Осьмакова И.И.) по адресу: Ростовская область, Мясниковский район, х. Ленинакан, ул. Малиновая, д. 3/4, д. 3/3, к.н. №61:25:0030301:1874, к.н. №61:25:0030301:1870 (ориентировочная протяженность ЛЭП 0,03 км)</t>
  </si>
  <si>
    <t>Строительство ВЛ 0,4 кВ от РУ 0,4 кВ ТП 10/0,4 кВ №1-213 по ВЛ 10 кВ №1 ПС 110/35/10 кВ Чалтырь для технологического присоединения нежилого помещения Заявителя (Шахсинов И.Ш.) по адресу: Ростовская область, Мясниковский район, х. Ленинакан, ул. Содружества, д. 9, к.н. №61:25:0600401:16162 (ориентировочная протяженность ЛЭП 0,08 км)</t>
  </si>
  <si>
    <t>Строительство ВЛ 0,4 кВ от проектируемой опоры по договору №61-1-21-00592645 для технологического присоединения жилого дома Заявителя (Глазунов А.В.) по адресу: Ростовская область, Мясниковский район, х. Ленинакан, ул. Малиновая, д. 3/6, к.н. 61:25:0030301:1873 (ориентировочная протяженность ЛЭП 0,025 км)</t>
  </si>
  <si>
    <t>Строительство ВЛ 0,4 кВ от опоры по ВЛ 0,4 кВ №1 ТП 10/0,4 кВ №6-19 по ВЛ 10 кВ №6 ПС 110/35/10 кВ Чалтырь для технологического присоединения жилого дома Заявителя (Асланян Х.А.) по адресу: Ростовская область, Мясниковский район, с. Крым, ул. 3-я линия, д. 3/в, к.н. 61:25:0201016:441 (ориентировочная протяженность ЛЭП 0,08 км)</t>
  </si>
  <si>
    <t>«Строительство ВЛ 0,4 кВ от опоры проектируемой по договору 61-1-21-00586345 для технологического присоединения складского здания Заявителя (ИП Евглевский А.А.) по адресу: Ростовская область, Мясниковский район, х. Ленинакан, к.н. 61:25:0600401:15454 (ориентировочная протяженность ЛЭП 0,055 км)»</t>
  </si>
  <si>
    <t>«Строительство ВЛ 0,4 кВ от опоры №35/5 по ВЛ 0,4 кВ №1 ТП 10/0,4 кВ №1-102 по ВЛ 10 кВ №1 ПС 110/35/10 кВ Чалтырь для технологического присоединения жилого дома Заявителя (Шлихениюльер С.Н.) по адресу: Ростовская область, Мясниковский район, х. Ленинаван, ул. М. Сарьяна, д. 19/а, к.н. 61:25:0030202:3164 (ориентировочная протяженность ЛЭП 0,07 км)»</t>
  </si>
  <si>
    <t>Строительство ВЛ 0,4 кВ от ВЛ 0,4 кВ №2 ТП 10/0,4 кВ №7-11 по ВЛ 10 кВ №7 ПС 110/35/10 кВ Синявская для технологического присоединения Заявителя (ООО «Т2 Мобайл») по адресу: Ростовская область, Мясниковский район, х. Хапры, 5 м. по направлению на северо-восток от границы участка расположенного по адресу пер Сафьяновский д.8 (ориентировочная протяженность ЛЭП 0,05 км)</t>
  </si>
  <si>
    <t>«Строительство ВЛ 0,4 кВ от ВЛ 0,4 кВ №2 КТП 10/0,4 кВ №36 ВЛ 10 кВ №5 ПС 110/10 кВ «Самбек» для технологического присоединения жилого дома Заявителя (Тулубенский Д.В.) по адресу: Ростовская область, Неклиновский район, с. Вареновка, пер. Урожайный, д. 9-Б, к.н. 61:26:0040101:5700 (ориентировочная протяженность ЛЭП 0,030 км)»</t>
  </si>
  <si>
    <t>Строительство ВЛ 0,4 кВ от ВЛ 0,4 кВ №1 КТП 10/0,4 кВ №673 ВЛ 10 кВ №1/3 ПС 110/35/10 кВ «Троицкая-1» для технологического объекта торговли (ИП Швец И.В.) по адресу: Ростовская область, Неклиновский район, с. Николаевка, ул. Ленина, д. 317-Е, к.н. 61:26:0513601:413 (ориентировочная протяженность ЛЭП 0,070км).»</t>
  </si>
  <si>
    <t>Строительство ВЛ 0,4 кВ от ВЛ 0,4 кВ №3 КТП 10/0,4 кВ №304м ВЛ 10 кВ №3 ПС 35/10 кВ «ГСКБ» до границ земельного участка Заявителя (ИП Горбова Е.В.) по адресу: Ростовская область, Неклиновский район, п. Дмитриадовка, ул. Тельмана, д.28-А, к.н. 61:26:0180401:1869 (ориентировочная протяженность ЛЭП 0,355 км)</t>
  </si>
  <si>
    <t>Строительство ВЛ 0,4 кВ от ВЛ 0,4 кВ №1 МТП 10/0,4 кВ №810 ВЛ 10 кВ №3 ПС 110/35/10 кВ «Синявская» для технологического присоединения жилого дома Заявителя (Рябова Л.С.) по адресу: Ростовская область, Неклиновский район, х. Мержаново, СНТ «Металлург-6», уч. 995, к.н. 61:26:0505901:13, (ориентировочная протяженность ЛЭП 0,330 км)</t>
  </si>
  <si>
    <t>«Строительство ВЛ 0,4 кВ от опоры по ВЛ 0,4 кВ №1 ТП 10/0,4 кВ №4-38 по ВЛ 10 кВ №4 ПС 110/35/10 кВ Чалтырь для технологического присоединения жилого дома Заявителя (Джлаухова А.С.) по адресу: Ростовская область, Мясниковский район, с. Крым, ул. Советская, д. 156, к.н. 61:25:0600201:1496 (ориентировочная протяженность ЛЭП 0,1 км)»</t>
  </si>
  <si>
    <t>Строительство ВЛ 0,4 кВ от ВЛ 0,4 кВ №1 КТП 10/0,4 кВ №571А ВЛ 10 кВ №1/3 ПС 110/35/10 кВ «Троицкая-1» для электроснабжения магазина заявителя (Шипика И.Н.) по адресу: Ростовская обл., Неклиновский район, с. Николаевка, СНТ «Альбатрос», уч.132 к.н. 61:260514201:410 (ориентировочная протяженность ЛЭП 0,07 км)</t>
  </si>
  <si>
    <t>Строительство ВЛ 0,4 кВ от опоры по ВЛ 0,4 кВ №1 ТП 10/0,4 кВ №1426 по ВЛ 10 кВ №20-07 ПС220/110/10 кВ Р-20, для технологического присоединения жилого дома Заявителя (Давтян  С.С.) по адресу: Ростовская область, Мясниковский район, х. Калинин, ул. Восточная -4а к.н. №61:25:0050101:7207, (ориентировочная протяженность ЛЭП 0,05 км)</t>
  </si>
  <si>
    <t>Строительство ВЛ 0,4 кВ от РУ 0,4 кВ ТП 10/0,4 кВ, строительство ТП 10/0,4 кВ, строительство ВЛ 10 кВ от ВЛ 10 кВ №1 ПС 110/35/10 кВ Чалтырь запитанной от ВЛ 10 кВ №13 ПС 110/35/10 кВ Чалтырь, для технологического присоединения нежилого помещения Заявителя: (ИП Срапионян А.Т.), по адресу: Мясниковский район, 1-й км автодороги Ростов-на-Дону – Новошахтинск, д 7 –а, промышленная зона, 1-й проезд (ориентировочная протяженность ЛЭП 0,015 км; мощность силового трансформатора – 40 кВА)</t>
  </si>
  <si>
    <t>Строительство ВЛ 0,4 кВ от РУ 0,4 кВ ТП 10/0,4 кВ, строительство ТП 10/0,4 кВ, строительство ВЛ 10 кВ от ВЛ 10 кВ №1 ПС 110/35/10 кВ Чалтырь, отпайки на ТП 10/0,4 кВ №1-73А, запитанной от ВЛ 10 кВ №13 ПС 110/35/10 кВ Чалтырь для технологического присоединения производственно-складского помещения Заявителя: (Мнацаканян С.А.), по адресу: Мясниковский район, х. Ленинакан, ул. Южная, д. 1 (ориентировочная протяженность ЛЭП 0,03 км; мощность силового трансформатора – 160 кВА)</t>
  </si>
  <si>
    <t>Строительство ВЛ 0,4 кВ от ВЛ 0,4 кВ №3 КТП 10/0,4 кВ №215Ам ВЛ 10 кВ №2 ПС 110/35/10 кВ «Дарагановская» для технологического присоединения объекта жилого дома Заявителя (Данюшин М.В.) по адресу: Ростовская область, Неклиновский район, х. Дарагановка, ул. Прохладная, 4, к.н. 61:26:0180701:131 (ориентировочная протяженность ЛЭП 0,165 км)</t>
  </si>
  <si>
    <t>Строительство ВЛ 0,4 кВ от РУ 0,4 кВ ТП 10/0,4 кВ №1-205 по ВЛ 10 кВ №1 ПС 110/35/10 кВ Чалтырь для технологического присоединения нежилого помещения Заявителя (Есаян Э.Р.) по адресу: Ростовская область, Мясниковский район, х. Ленинаван, ул. Мира, д. 28, к.н. №61:25:0030202:796 (ориентировочная протяженность ЛЭП 0,13 км)</t>
  </si>
  <si>
    <t>Строительство ВЛ 0,4 кВ от опоры по ВЛ 0,4 кВ №1 ТП 10/0,4 кВ №6-19 по ВЛ 10 кВ №6 ПС 110/35/10 кВ Чалтырь для технологического присоединения жилого дома Заявителя (Батикян Д.Х.) по адресу: Ростовская область, Мясниковский район, с. Крым, ул. 3-я линия, д. 17, к.н. №61:25:0201016:123 (ориентировочная протяженность ЛЭП 0,12 км)</t>
  </si>
  <si>
    <t>Строительство ВЛ 0,4 кВ от опоры по ВЛ 0,4 кВ №2 ТП 10/0,4 кВ №1-16 по ВЛ 10 кВ №1 ПС 110/35/10 кВ Чалтырь для технологического присоединения жилых домов Заявителей (Торосян А.А., Тоноян Г.Е.) по адресу: Ростовская область, Мясниковский район, с. Крым, ул. 2-я Пролетарская, д. 23/б, к.н. 61:25:0201024:791, д. 23/г, к.н. 61:25:0201024:789, д. 23/д, к.н. 61:25:0201024:788 (ориентировочная протяженность ЛЭП 0,18 км)</t>
  </si>
  <si>
    <t xml:space="preserve">Строительство ВЛ 0,4 кВ от ВЛ 0,4 кВ №1 КТП 10/0,4 кВ №728 ВЛ 10 кВ №3 ПС 35/10 кВ «ГСКБ» для технологического присоединения жилого дома Заявителя (Триф Ж.В.) по адресу: Ростовская область, Неклиновский район, с. Новобессергеневка, ул. Лескова, д. 21-В, к.н. 61:26:0600024:1431 (ориентировочная протяженность ЛЭП 0,150 км)
</t>
  </si>
  <si>
    <t>Строительство ВЛ 0,4 кВ от опоры по ВЛ 0,4 кВ №2 ТП 10/0,4 кВ №1-16 по ВЛ 10 кВ №1 ПС 110/35/10 кВ Чалтырь для технологического присоединения жилого дома Заявителя (Бабасинян Е.Х.) по адресу: Ростовская область, Мясниковский район, с. Крым, ул. Большесальская, д. 57, к.н. 61:25:0201023:12 (ориентировочная протяженность ЛЭП 0,06 км)</t>
  </si>
  <si>
    <t xml:space="preserve">Строительство ВЛ 0,4 кВ от опоры ВЛ 0,4 кВ №1 ТП 10/0,4 кВ №2-3А по ВЛ 10 кВ №2 ПС 110/35/10 кВ Чалтырь для технологического присоединения Заявителя (Кононенко А.В.) по адресу: Ростовская область, Мясниковский район, с. Султан-Салы, ул. Селиверстова, д. 51, к.н. 61:25:0030401:1524. (ориентировочная протяженность ЛЭП 0,05 км)
</t>
  </si>
  <si>
    <t>Строительство ВЛ 0,4 кВ от ВЛ 0,4 кВ №2 КТП-10/0,4 кВ  №111 ВЛ 10 кВ №1/3 ПС 110/35/10 кВ «Троицкая-1» до границ земельного участка заявителя (Алтайская Т.И.) по адресу: Ростовская область, Неклиновский район, с. Николаевка, СНТ «Надежда», уч. 130, к.н. 61:26:0110101:10077 (ориентировочная протяженность ЛЭП 0,380 км)</t>
  </si>
  <si>
    <t>Строительство ВЛ 0,4 кВ от опоры по ВЛ 0,4 кВ №1 ТП 10/0,4 кВ №20-20 по ВЛ 10 кВ №20-04 ПС 220/110/10 кВ Р-20, для технологического присоединения жилого дома Заявителя (Иванов С.П.) по адресу: Ростовская область, Мясниковский район, х. Калинин, ул. П.Д. Тер-Акоповой, д. 7/б, к.н. №61:25:0050101:7630 (ориентировочная протяженность ЛЭП 0,04 км)</t>
  </si>
  <si>
    <t>Строительство ВЛ 0,4 кВ от опоры по ВЛ 0,4 кВ проектируемой по договору №61-1-19-00493179 от проектируемой ТП 10/0,4 кВ по договору №61-1-19-00493179 по ВЛ 10 кВ №3 ПС 110/35/10 кВ Чалтырь, для технологического присоединения жилого дома Заявителя (Анишин А.И.) по адресу: Ростовская область, Мясниковский район, с. Чалтырь, ул. Сады, д. 12/а, к.н. №61:25:0101221:0001, (ориентировочная протяженность ЛЭП 0,08 км)</t>
  </si>
  <si>
    <t>Строительство ВЛ 0,4 кВ от РУ 0,4 кВ ТП 10/0,4 кВ, строительство ТП 10/0,4 кВ, строительство ВЛ 10 кВ от ВЛ 10 кВ №4 ПС 110/35/10 кВ Чалтырь, отпайки на ТП 10/0,4 кВ №4-20 для технологического присоединения общественного кладбища Заявитель: (Администрация Крымского сельского поселения) по адресу: Мясниковский район, с. Крым, земли колхоза имени Лукашина, к.н. 61:25:0000000:6140 (ориентировочная протяженность ЛЭП 0,02 км; мощность силового трансформатора – 25 кВА)</t>
  </si>
  <si>
    <t>Строительство ВЛ 0,4 кВ от опоры по ВЛ 0,4 кВ №1 ТП 10/0,4 кВ №4-9 по ВЛ 10 кВ №4 ПС 110/35/10 кВ Чалтырь, для технологического присоединения жилого дома Заявителя (Домбрян Г.И.) по адресу: Ростовская область, Мясниковский район, с. Крым, ул. 15-я линия, д. 14, к.н. №61:25:0201019:552 (ориентировочная протяженность ЛЭП 0,03 км)</t>
  </si>
  <si>
    <t>Строительство ВЛ 0,4 кВ от РУ 0,4 кВ ТП 10/0,4 кВ, строительство ТП 10/0,4 кВ, строительство ВЛ 10 кВ от ВЛ 10 кВ №13 ПС 110/35/10 кВ, отпайки на ТП 10/0,4 кВ №13-2А, для технологического присоединения склада Заявителя: (ИП Франчук А.А), по адресу: Мясниковский район, х. Ленинакан, ул. Южная, д. 6, к.н 61:25:0600401:1134 (ориентировочная протяженность ЛЭП 0,06 км; мощность силового трансформатора – 0,16 МВА)</t>
  </si>
  <si>
    <t>Строительство ВЛ 0,4 кВ от КТП 10/0,4 кВ, проектируемой по договору № 61-1-21-00563201 от 11.03.2021 г. для технологического присоединения жилых домов Заявителей (Котикова М.С., Безчасная Т.В.) по адресу: Ростовская область, Неклиновский район, с. Весело-Вознесенка, ул. Пограничная, 1, 1А, к.н. 61:26:0100101:5097, к.н. 61:26:0100101:5098 (ориентировочная протяженность ЛЭП 0,15 км)</t>
  </si>
  <si>
    <t>Строительство ВЛ 0,4 кВ от РУ 0,4 кВ проектируемого ТП 10/0,4 кВ, строительство ТП 10/0,4 кВ, строительство ВЛ 10 кВ от ВЛ 10 кВ №12 ПС 110/35/10 кВ Чалтырь, для технологического присоединения производственно-складского помещения Заявителя: (ИП Наноян А.М.) по адресу: Ростовская обл. Мясниковский р-н, с. Чалтырь, ул. Урожайная, д 81-б к.н. 61:25:0101332:3 (ориентировочная протяженность ЛЭП -0,025 км; мощность силового трансформатора – 0,16 МВА)</t>
  </si>
  <si>
    <t>Строительство ВЛ 0,4 кВ от РУ 0,4 кВ КТП №9 ВЛ 10 кВ №3 ПС 110/10 кВ «Некрасовская» для технологического присоединения жилого дома Заявителя (Яценко Е.Н.) по адресу: Ростовская область, Неклиновский район, с. Большая Неклиновка, пер. Солнечный, 9, к.н. 61:26:0130101:1766 (ориентировочная протяженность ЛЭП 0,15 км)</t>
  </si>
  <si>
    <t>Строительство ВЛ 0,4 кВ от ВЛИ 0,4 кВ №1 ТП 10/0,4 кВ №1-202 по ВЛ 10 кВ №1 ПС 110/35/10 кВ Чалтырь запитанной от ВЛ 10 кВ №13 ПС 110/35/10 кВ Чалтырь для технологического присоединения стоянки для автомобилей Заявителя (Балашов А.В.) по адресу: Мясниковский район, х. Красный Крым, Краснокрымское сельское поселение, 1-й км. автодороги Ростов – Новошахтинск, Промышленная зона, 1-й проезд, к.н. 61:25:0600401:10728 (ориентировочная протяженность ЛЭП 0,045 км)</t>
  </si>
  <si>
    <t>Строительство ВЛ 0,4 кВ от новой ТП 10/0,4 кВ, строительство ТП 10/0,4 кВ, строительство ВЛ 10 кВ от ВЛ 10 кВ №29-20 ПС 110/10 кВ Р-29 для технологического присоединения жилого дома Заявителя (Тарасова Н.А.) по адресу: Ростовская область, Мясниковский район, с. Чалтырь, ориентир поле около МТФ колхоза им. Мясникяна к.н. №61:25:0601001:54 (ориентировочная протяженность ЛЭП 0,37 км; мощность силового трансформатора 25 кВА)</t>
  </si>
  <si>
    <t>Строительство ВЛ 0,4 кВ от опоры по ВЛИ 0,4 кВ №2 ТП 10/0,4 кВ №1-6 по ВЛ 10 кВ №1 ПС 110/35/10 кВ Чалтырь для технологического присоединения нежилой застройки Заявителя (Соцков В.Г.) по адресу: Ростовская область, Мясниковский район, х. Ленинакан, ул. Дзержинского, д. 1/1, к.н. 61:25:0030301:1374 (ориентировочная протяженность ЛЭП 0,045 км)</t>
  </si>
  <si>
    <t>«Строительство ВЛ 0,4 кВ от новой ТП 6/0,4 кВ, строительство ТП 6/0,4 кВ, строительство ВЛ 6 кВ от КВЛ 6 кВ №3 ПС 110/35/6 кВ «Очистные Сооружения», для технологического присоединения производственного здания Заявителя (Ковалик Г.Г.) по адресу: Ростовская область, г. Таганрог, между ул. Бартини и ул. Петлякова, к.н. 61:58:0005299:203 (ориентировочная протяженность ЛЭП 0,080 км; мощность силового трансформатора 0,063 МВА)»</t>
  </si>
  <si>
    <t>«Строительство ВЛ 0,4 кВ от ВЛИ 0,4 кВ №1 ТП 10/0,4 кВ №6-45 по ВЛ 10 кВ №6 ПС 110/35/10 кВ Чалтырь для технологического присоединения Заявителя (ИП Барашьян Ю.А.) по адресу: Мясниковский район, с. Чалтырь к.н. 61:25:0600101:145 (ориентировочная протяженность ЛЭП 0,040 км)»</t>
  </si>
  <si>
    <t>Строительство ВЛ 0,4 кВ от ВЛ 0,4 кВ №1 КТП 10/0,4 кВ №31А ВЛ 10 кВ №4 ПС 35/10 кВ «Покровская» до границ земельного участка Заявителя (Норейко А.С.) по адресу: Ростовская область, Неклиновский район, с. Покровское, пер. Мирный, д. 37, к.н. 61:26:0050133:225 (ориентировочная протяженность ЛЭП 0,270 км)</t>
  </si>
  <si>
    <t>Строительство ВЛ 0,4 кВ от опоры ВЛ 0,4 кВ №1 ТП 10/0,4 кВ №1-133 по ВЛ 10 кВ №13 ПС 110/35/10 кВ Чалтырь, для технологического присоединения жилого дома Заявителя (Гайзель К.С.) по адресу: Мясниковский район, х. Ленинаван, ул. Мясникяна д. 84 (ориентировочная протяженность ЛЭП 0,19 км)</t>
  </si>
  <si>
    <t>Строительство ВЛ 0,4 кВ от ВЛИ 0,4 кВ №1 ТП 10/0,4 кВ №7-43 по ВЛ 10 кВ №7 ПС 110/35/10 кВ Синявская для технологического присоединения жилых домов Заявителей (Макаришина О.К., Короткий А.Ф.) по адресу: Мясниковский район, х. Недвиговка, ул. Молодежная, 3, к.н. 61:25:0070101:75, х. Недвиговка, ул. Молодежная, 5, к.н. 61:25:0070101:0064, (ориентировочная протяженность ЛЭП 0,055 км)</t>
  </si>
  <si>
    <t>Строительство ВЛ 0,4 кВ от КТП 10/0,4кВ №62 ВЛ 10 кВ №4 ПС Куйбышево-1, для технологического присоединения объекта Заявителя (Матлахов В.С.) по адресу: Ростовская область, Куйбышевский р-н, х. Новоивановский, 1300м на юг, к.н: 61:19:0600001:2215 (ориентировочная протяженность ЛЭП 0,12 км)</t>
  </si>
  <si>
    <t>Строительство ВЛ 0,4 кВ от проектируемой ВЛ 0,4 кВ по договору от 09.03.2022№61-1-22-00631287 от ВЛ 0,4 кВ №2 КТП 10/0,4 кВ №522 ВЛ 10 кВ №1/3 ПС 110/35/10 кВ «Троицкая-1» для технологического присоединения жилого дома Заявителя (Мельниченко Я.В.) по адресу: Ростовская область, Неклиновский район, с. Николаевка, ДНТ «Коммунальник», уч. 126, к.н. 61:26:0513701:193 (ориентировочная протяженность ЛЭП 0,020 км)</t>
  </si>
  <si>
    <t>Строительство ВЛ 0,4 кВ от опоры № 55 ВЛ 0,4кВ №7 ТП 6/0,4кВ №104 по КЛ 6кВ № 12 от РП 6 кВ № 9 по КЛ 6 кВ №38 ПС-110/6 кВ Т-24, для технологического присоединения жилого дома Заявителя Иванцова А.Г. по адресу: Ростовская область, г. Таганрог, ул. Цветная, д. 52, к.н. 61:58:0002272:23 (ориентировочная протяженность  ЛЭП 0,195 км)</t>
  </si>
  <si>
    <t>«Строительство ВЛ 0,4 кВ от ВЛ 0,4 кВ №7 ТП 6/0,4 кВ №296 по КВЛ 6 кВ №74 ПС-35/6 кВ Т-8 для технологического присоединения нежилого здания Заявителя (Зайцева Т.Е., Тимофеева Ю.Е., Манахов Д.Н., Ленева Ю.Г., Карпенко С.В.) по адресу: Ростовская область, г. Таганрог, 5-й Новый, д. 112 к.н. 61:58:0004522:498, 61:58:0004522:512, 61:58:0004522:503, 61:58:0004522:488, 61:58:0004522:516 (ориентировочная протяженность ЛЭП 0,460 км)</t>
  </si>
  <si>
    <t>Строительство ВЛ 0,4 кВ от РУ 0,4 кВ ТП 10/0,4 кВ (по договору 61-1-19-00487937 от 10.12.2019) по ВЛ 10 кВ №3 ПС 110/35/10 кВ Чалтырь, для технологического присоединения модульного спортзала Заявителя (Администрация Мясниковского района) по адресу: Ростовская область, Мясниковский район, с. Чалтырь, ул. Шаумяна, 143/а, к.н.61:25:0101207:235 (ориентировочная протяженность ЛЭП – 0,1 км.)</t>
  </si>
  <si>
    <t>Строительство ВЛ 0,4 кВ от опоры по ВЛИ 0,4 кВ №1 ТП 10/0,4 кВ №1-203 по ВЛ 10 кВ №1 ПС 110/35/10 кВ Чалтырь, для технологического присоединения базовой станции сотовой связи №70490 Заявителя (ПАО «ВымпелКом») по адресу: Ростовская область, Мясниковский район, х. Ленинакан, ул. Ростовская, д. 28/в, к.н. №61:25:0030301:193, (ориентировочная протяженность ЛЭП 0,15 км)</t>
  </si>
  <si>
    <t>Строительство ВЛ 0,4 кВ от ВЛ 0,4 кВ №1 ТП 10/0,4 кВ №3-6 по ВЛ 10 кВ №3 ПС 110/35/10 кВ Чалтырь, для технологического присоединения НТО Заявителя (ИП Аведов В.И.) по адресу: Ростовская область, Мясниковский район, с. Чалтырь, в 5-6 метрах с северо-восточной стороны от участка на ул. Социалистической, 46, корп. В, (ориентировочная протяженность ЛЭП 0,1 км)</t>
  </si>
  <si>
    <t>Строительство ВЛ 0,4 кВ от опоры по ВЛ 0,4 кВ №1 ТП 10/0,4 кВ №1-6 по ВЛ 10 кВ №1 ПС 110/35/10 кВ Чалтырь для технологического присоединения жилого дома Заявителя (Бушунц А.В.) по адресу: Ростовская область, Мясниковский район, х. Ленинакан, ул. Дачная, д. 5, к.н. №61:25:0030301:1476, (ориентировочная протяженность ЛЭП 0,1 км)</t>
  </si>
  <si>
    <t>Строительство ВЛ 0,4 кВ от РУ 0,4 кВ ТП 10/0,4 кВ, строительство ТП 10/0,4 кВ, строительство ВЛ 10 кВ от опоры отпайки на ТП 10/0,4 кВ №1-24 по ВЛ 10 кВ №1 ПС 110/35/10 кВ Чалтырь, для технологического присоединения складского здания Заявителя: (ИП Катарян Ф.С.), по адресу: Мясниковский район, х. Красный Крым, ул. Индустриальная, д. 16, к.н 61:25:0600401:7997. (ориентировочная протяженность ЛЭП 0,03 км; мощность силового трансформатора – 0,16 МВА)</t>
  </si>
  <si>
    <t>Строительство ВЛ 0,4 кВ от РУ 0,4 кВ проектируемого ТП 10/0,4 кВ, строительство ТП 10/0,4 кВ, строительство ВЛ 10 кВ от ВЛ 10 кВ №2 ПС 110/35/10 кВ Чалтырь, для технологического присоединения индивидуального жилого дома Заявителя: (Яворская А.И.) по адресу: Ростовская обл. Мясниковский р-н, с. Султан Салы, ул. Пролетарская, д. 26/а к.н. 61:25:0030401:485 (ориентировочная протяженность ЛЭП - 0,055 км; мощность силового трансформатора – 0,025 МВА)</t>
  </si>
  <si>
    <t>Строительство ВЛ 0,4 кВ от ВЛ 0,4 кВ №3 ТП 6/0,4кВ №16 для технологического присоединения жилого дома Заявителя (Линчевская Н.В.) по адресу: Ростовская обл., г. Таганрог, пер. Комсомольский, 13 (ориентировочная протяженность ЛЭП 0,085 км)</t>
  </si>
  <si>
    <t>Строительство ВЛ 0,4кВ от ВЛ 0,4кВ №3 ТП 6/0,4кВ №15 для технологического присоединения жилого дома Заявителя (Ткачук Анна Валерьевна) по адресу: Ростовская обл., г. Таганрог, ул. Энгельса, д.66, к.н.:61:58:0001099:14 (ориентировочная протяженность ЛЭП 0,195 км)</t>
  </si>
  <si>
    <t>Строительство ВЛ 0,4 кВ от ВЛ 0,4 кВ №1 КТП №123м ВЛ 10 кВ №2 ПС 35/10 кВ «Таганрогская» для технологического присоединения жилого дома Заявителя (Морозова И.А.) по адресу: Ростовская область, Неклиновский район, с. Натальевка, ул. Чехова, 250, к.н. 61:26:0600020:1187 (ориентировочная протяженность ЛЭП 0,12 км)</t>
  </si>
  <si>
    <t>Строительство ВЛ 0,4 кВ от ВЛ 0,4 кВ №1 ТП 10/0,4кВ №656 для технологического присоединения жилого дома Заявителя (Бастриков В.В.) по адресу: Ростовская обл., г. Таганрог, ул. Победы, д.36, к.н.:61:58:0007023:142 (ориентировочная протяженность ЛЭП 0,065 км)</t>
  </si>
  <si>
    <t>Строительство ВЛИ 0,4 кВ от опоры до границ земельного участка заявителя по существующим опорам по ВЛ-0,4кВ №1 от КТП-10/0,4кВ №189 по ВЛ-10кВ №3 ПС 35/10 кВ Колесниковская, для технологического присоединения жилого дома Заявителя (Гугасари Р.А.) по адресу: Ростовская область, М-Курганский район, п. М-Курган, ул. Мира д. 33, к.н. 61:21:0010154:193 (ориентировочная протяженность ЛЭП 0,16 км)</t>
  </si>
  <si>
    <t>Строительство ВЛ 0,4 кВ от оп. №25 ВЛ 0,4 кВ №1 КТП 10/0,4 кВ №44м ВЛ 10 кВ №5 ПС 35/10 кВ «Русский Колодец» для технологического присоединения объекта медицинского учреждения Заявителя (МБУЗ «ЦРБ») по адресу: Ростовская область, Неклиновский район, с. Беглица, ул. Свободы, д. 2, к.н. 61:26:0160501:483 (ориентировочная протяженность ЛЭП 0,7 км)</t>
  </si>
  <si>
    <t>Строительство ВЛ 0,4 кВ от опоры по ВЛИ 0,4 кВ №1 ТП 10/0,4 кВ №1-105 по ВЛ 10 кВ №1 ПС 110/35/10 кВ Чалтырь для технологического присоединения жилого дома Заявителя (Туторов А.С.) по адресу: Ростовская область, Мясниковский район, х. Ленинаван, ул. Насосная, д. 2/а, к.н. 61:25:0030202:4838 (ориентировочная протяженность ЛЭП 0,1 км)</t>
  </si>
  <si>
    <t>Строительство ВЛ 0,4 кВ от опоры по ВЛИ 0,4 кВ №1 ТП 10/0,4 кВ №6-3 по ВЛ 10 кВ №6 ПС 35/10 кВ Б. Салы для технологического присоединения жилых домов Заявителя (Павленко Н.В.) по адресу: Ростовская область, Мясниковский район, х. Красный Крым, ул. Урожайная, д. 19, 27, к.н. 61:25:0600401:16273, 61:25:0600401:16269 (ориентировочная протяженность ЛЭП 0,09 км)</t>
  </si>
  <si>
    <t>Строительство ВЛ 0,4 кВ от опоры по ВЛ 0,4 кВ №1 ТП 10/0,4 кВ №1-12 по ВЛ 10 кВ №1 ПС 110/35/10 кВ Чалтырь для технологического присоединения жилого дома Заявителя (Кривоносова Е.Н.) по адресу: Ростовская область, Мясниковский район, х. Ленинаван, ул. Шаумяна, д. 28/с, к.н. 61:25:0600401:4710 (ориентировочная протяженность ЛЭП 0,075 км)</t>
  </si>
  <si>
    <t>Строительство ВЛ 0,4 кВ от опоры по ВЛ 0,4 кВ №1 ТП 10/0,4 кВ №4-30 по ВЛ 10 кВ №4 ПС 110/35/10 кВ Чалтырь для технологического присоединения жилого дома Заявителя (Срабионян Б.С.) по адресу: Ростовская область, Мясниковский район, с. Крым, ул. 18-я линия, д. 3, к.н. 61:25:0201008:90 (ориентировочная протяженность ЛЭП 0,07 км)</t>
  </si>
  <si>
    <t>Строительство ВЛ 0,4 кВ от ВЛ 0,4 кВ №4 КТП 10/0,4 кВ №285 ВЛ 10 кВ №2 ПС 35/10 кВ «Троицкая» для технологического присоединения здания отделения почтовой связи Заявителя (АО «Почта России») по адресу: Ростовская область, Неклиновский район, с. Троицкое, ул. Ленина, д. 46, к.н. 61:26:0010101:4929 (ориентировочная протяженность ЛЭП 0,030 км)»</t>
  </si>
  <si>
    <t>Строительство ВЛ 0,4 кВ от ВЛ 0,4 кВ №1 КТП 10/0,4 кВ №162м ВЛ 10 кВ №3 ПС 110/10 кВ «Носовская» для технологического присоединения здания отделения почтовой связи Заявителя (АО «Почта России») по адресу: Ростовская область, Неклиновский район, с. Носово, ул. Мира, д. 31, к.н. 61:26:0150101:1385 (ориентировочная протяженность ЛЭП 0,040 км)»</t>
  </si>
  <si>
    <t>Строительство ВЛ 0,4 кВ от ВЛ 0,4 кВ №2 КТП 10/0,4 кВ №386м ВЛ 10 кВ №1 ПС 35/10 кВ «Щербаковская» для технологического присоединения нежилого помещения Заявителя (АО «Почта России») по адресу: Ростовская область, Неклиновский район, с. Васильево-Ханжоновка, пер. Галухина, д. 4, к.н. 61:26:0080101:735 (ориентировочная протяженность ЛЭП 0,080 км)»</t>
  </si>
  <si>
    <t>Строительство ВЛ 0,4 кВ от ВЛ 0,4 кВ №1 КТП 10/0,4 кВ №294 ВЛ 10 кВ №4 ПС 110/10 кВ «Лиманная» для технологического присоединения здания отделения почтовой связи Заявителя (АО «Почта России») по адресу: Ростовская область, Неклиновский район, с. Андреево-Мелентьево, ул. Победы, д. 1, к.н. 61:26:0090101:968 (ориентировочная протяженность ЛЭП 0,190 км)</t>
  </si>
  <si>
    <t>Строительство ВЛ 0,4 кВ от ВЛ 0,4 кВ №2 ТП 6/0,4 кВ №116 по КВЛ 6 кВ №80 ПС-35/6 кВ Т-8, для технологического присоединения Заявителя (Гуслиц В.В.) по адресу: Ростовская область, г. Таганрог, проезд 6-й Линейный, д. 90 к.н. 61:58:0004222:21 (ориентировочная протяженность ЛЭП 0,06 км)»</t>
  </si>
  <si>
    <t>Строительство ВЛ 0,4 кВ от ВЛ 0,4кВ № 1 ТП 6/0,4кВ №68 по КВЛ 6кВ № 724 ПС-110/6 кВ Т-23, для технологического присоединения нежилого здания Заявителя (Доронина Т.В.) по адресу: Ростовская область, г. Таганрог, ул. Рыболовецкий тупик, д. 10 (ориентировочная протяженность ЛЭП 0,15 км)</t>
  </si>
  <si>
    <t>Строительство ВЛ 0,23 кВ от КЛ 0,4 кВ №8 ТП 6/0,4 кВ №252 по КЛ 6 кВ ПС-110/6 кВ Т-13, для технологического присоединения торгового павильона Заявителя ИП Мазюк А.Г. по адресу: Ростовская область, г. Таганрог, ул. Москатова д. 27Г (ориентировочная протяженность ЛЭП 0,1 км)</t>
  </si>
  <si>
    <t>Строительство ВЛ 0,4 кВ от ВЛ 0,4 кВ №1 КТП 10/0,4 кВ №846 ВЛ 10 кВ №1/3 ПС 110/35/10 кВ «Троицкая-1» для технологического присоединения производственного здания Заявителя (Малышев С.А.) по адресу: Ростовская область, Неклиновский район, к.н. 61:26:0600014:2035 (ориентировочная протяженность ЛЭП 0,03 км)</t>
  </si>
  <si>
    <t>Строительство ВЛ 0,4 кВ от ВЛ 0,4кВ №3  ТП 6/0,4кВ № «В» по КЛ 6кВ 117 ПС-110/35/6 кВ Т-11, для технологического присоединения нежилого здания Заявителя (Зеленская И.Я.) по адресу: Ростовская область, г. Таганрог, 10-й Переулок, д. 117-к, к.н. 61:58:0002436:44 (ориентировочная протяженность ЛЭП 0,05 км)</t>
  </si>
  <si>
    <t>Строительство ВЛ 0,4 кВ от ВЛ 0,4 кВ, проектируемой по договору ТП № 61-1-22-00633083 от 16.03.2022 г. для технологического присоединения нежилой застройки Заявителя (ИП Григорян А.Л.) по адресу: Ростовская область, Неклиновский район, с. Новобессергеневка, ул. Лескова, 17-Б, к.н. 61:26:0600024:5382 (ориентировочная протяженность ЛЭП 0,08 км)</t>
  </si>
  <si>
    <t>Строительство ВЛИ 0,4 кВ от ВЛ 0,4 кВ №2 № КТП 10/0,4 кВ №159 по ВЛ 10 кВ №2 ПС-110/35/10 кВ Латоновская до границ земельного участка Заявителя (ИП Шиленко Н.Д.) по адресу: Ростовская область, Матвеево-Курганский район, с. Латоново, установлено относительно ориентира, расположенного в границах участка на территории ТОО «Латоново», к.н. 61:21:0600016:1111 (ориентировочная протяженность ЛЭП 0,05км)</t>
  </si>
  <si>
    <t>Строительство ВЛ 0,4 кВ от ВЛ 0,4 кВ №3 КТП 10/0,4 кВ №104 ВЛ 10 кВ №3 ПС Куйбышево-1, для технологического присоединения объекта Заявителя (ООО «Т2 Мобайл») по адресу: Российская Федерация, Ростовская обл., р-н. Куйбышевский, с. Куйбышево, в границах кадастрового квартала находящихся в государственной неразграниченной собственности, к.н. 61:19:0010127 (ориентировочная протяженность ЛЭП 0,25 км)</t>
  </si>
  <si>
    <t>Строительство ВЛИ 0,4 кВ от опоры ВЛ-0,4кВ №1 от КТП-10/0,4кВ №111 по ВЛ-10кВ №7 ПС 35/10 кВ Анастасиевская, для технологического присоединения нежилой застройки Заявителя (Сериков П.И.) по адресу: Ростовская область, М-Курганский район, с. Новониколаевка, ул. 40 лет Победы, д. 35, к.н: 61:21:0000000:4290 (ориентировочная протяженность ЛЭП 0,150 км)</t>
  </si>
  <si>
    <t>Строительство ВЛ 0,4 кВ от ВЛ 0,4кВ № 11 ВЛ 0,4 кВ №1 КТП 10/0,4 кВ №58 ВЛ 10 кВ №1 ПС Донская для технологического присоединения земельного участка Заявителя (ИП Кущ В.В.) по адресу: Ростовская область, Куйбышевский район, 140м на восток, с. Миллерово, ул. Новая. д.1. к.н. 61:19:0600003:2301 (ориентировочная протяженность ЛЭП 0,255 км)</t>
  </si>
  <si>
    <t>Строительство ВЛ 0,4 кВ от опоры по ВЛ 0,4 кВ №2 ТП 10/0,4 кВ №1-10 по ВЛ 10 кВ №1 ПС 110/35/10 кВ Чалтырь для технологического присоединения жилого дома Заявителя (Акопян К.Н.) по адресу: Ростовская область, Мясниковский район, х. Ленинаван, ул. Абовяна, д. 34/а, к.н. 61:25:0030202:5031 (ориентировочная протяженность ЛЭП 0,08 км)»</t>
  </si>
  <si>
    <t>Строительство ВЛ 0,4 кВ от опоры по ВЛ 0,4 кВ №1 ТП 10/0,4 кВ №1-10 по ВЛ 10 кВ №1 ПС 110/35/10 кВ Чалтырь, запитанной от ВЛ 10 кВ №29-35 ПС 110/10 кВ Р-29 для технологического присоединения жилого дома Заявителя (Зопунян К.Ш.) по адресу: Ростовская область, Мясниковский район, х. Ленинаван, ул. Мясникяна, д. 9/6, к.н. 61:25:0030202:4983 (ориентировочная протяженность ЛЭП 0,08 км)»</t>
  </si>
  <si>
    <t xml:space="preserve">«Строительство ВЛ 0,4 кВ от новой ТП 10/0,4 кВ, строительство ТП 10/0,4 кВ, строительство ВЛ 10 кВ от опоры по ВЛ 10 кВ №1 ПС 110/35/10 кВ «Чалтырь», отпайки на ТП 10/0,4 кВ №1-41А, для технологического присоединения станции технического обслуживания Заявителя (ИП Кушнир А.А.) по адресу: Ростовская область, Мясниковский район, х. Ленинаван, ул. Озерная, д. 49/1 (ориентировочная протяженность ЛЭП 0,02 км; мощность силового трансформатора 0,1 МВА)» </t>
  </si>
  <si>
    <t>Строительство ВЛ 0,4 кВ от новой ТП 10/0,4 кВ, строительство ТП 10/0,4 кВ, строительство ВЛ 10 кВ от ВЛ 10 кВ №1 ПС 110/35/10 кВ «Чалтырь», отпайки на ТП 10/0,4 кВ №1-5А, для технологического присоединения производственное здание/помещение Заявителя (ИП Ахундов Р.А.) по адресу: Ростовская область, Мясниковский район, на землях колхоза «Дружба», к.н. 61:25:0600401:14567 (ориентировочная протяженность ЛЭП 0,02 км; мощность силового трансформатора 0,16 МВА)</t>
  </si>
  <si>
    <t>Строительство ВЛ 0,4 кВ от опоры, проектируемой по договору №61-1-22-00637825 по ВЛ 0,4 кВ №2 ТП 10/0,4 кВ №5-3 по ВЛ 10 кВ №5 ПС 110/27/10 кВ Хапры-Тяговая для технологического присоединения жилого дома Заявителя (Карелина А.П.) по адресу: Ростовская область, Мясниковский район, х. Калинин, ул. Набережная, д. 111/а (ориентировочная протяженность ЛЭП 0,13 км)</t>
  </si>
  <si>
    <t>Строительство ВЛ 0,4 кВ от опоры по ВЛ 0,4 кВ №1 ТП 10/0,4 кВ №2-3А по ВЛ 10 кВ №2 ПС 110/35/10 кВ Чалтырь для технологического присоединения жилого дома Заявителя (Денисенко С.Ю.) по адресу: Ростовская область, Мясниковский район, с. Султан Салы, ул. Селиверстова, д. 49/б (ориентировочная протяженность ЛЭП 0,07 км)</t>
  </si>
  <si>
    <t>Строительство ВЛ 0,4 кВ от РУ 0,4 кВ КТП 10/0,4 кВ №812 ВЛ 10 кВ №3 ПС 110/10 кВ «Самбек» для технологического присоединения жилого дома Заявителя (Кочетков В.Г.) по адресу: Ростовская область, Неклиновский район, х. Сужено, ул. Береговая, д. 2, к.н. 61:26:0020201:2 (ориентировочная протяженность ЛЭП 0,015 км)</t>
  </si>
  <si>
    <t>Строительство ВЛ 0,4 кВ от ВЛ 0,4 кВ №1 КТП 10/0,4 кВ №432 ВЛ 10 кВ №4 ПС 35/10 кВ «Покровская» для технологического присоединения жилого дома Заявителя (Евдосюк В.А.) по адресу: Ростовская область, Неклиновский район, с. Покровское, ул. Ленина, д. 2/1, к.н. 61:26:0050103:68 (ориентировочная протяженность ЛЭП 0,050 км)</t>
  </si>
  <si>
    <t>Строительство ВЛ 0,4 кВ от ВЛ 0,4 кВ №1 КТП 10/0,4 кВ №231м ВЛ 10 кВ №4 ПС 35/10 кВ «ГСКБ» для технологического присоединения жилого дома Заявителя (Сулина Е.Г.) по адресу: Ростовская область, Неклиновский район, с. Новобессергеневка, ул. Транспортная, д. 12-Б, к.н. 61:26:0180101:8086 (ориентировочная протяженность ЛЭП 0,035 км)</t>
  </si>
  <si>
    <t>Строительство ВЛ 0,4 кВ от ВЛ 0,4 кВ №1 МТП 10/0,4 кВ №810 ВЛ 10 кВ №3 ПС 110/35/10 кВ «Синявская» для технологического присоединения садового дома Заявителя (Булгакова Н.В.) по адресу: Ростовская область, Неклиновский район, х. Мержаново, СНТ «Металлург-6», уч. 1052, к.н. 61:26:0505901:554 (ориентировочная протяженность ЛЭП 0,100 км)</t>
  </si>
  <si>
    <t>Строительство ВЛ 0,4 кВ от ВЛ 0,4 кВ №1 ТП 10/0,4 кВ №219 ВЛ 10 кВ №8 ПС 35/10 кВ «Покровская» для технологического присоединения жилого дома Заявителя (Мирский Д.Р.) по адресу: Ростовская область, Неклиновский район, с. Покровское, ул. Березовая, д. 24, к.н. 61:26:0050114:753 (ориентировочная протяженность ЛЭП 0,040 км).</t>
  </si>
  <si>
    <t>Строительство ВЛ 0,4 кВ от ВЛ 0,4 кВ №1 КТП 10/0,4 кВ №428 ВЛ 10 кВ №3 ПС 110/10 кВ «Некрасовская» для технологического присоединения жилого дома Заявителя (Тагирова А.В.) по адресу: Ростовская область, Неклиновский район, с. Большая Неклиновка, пер. Горный, д. 47-А, к.н. 61:26:0600005:950 (ориентировочная протяженность ЛЭП 0,030 км)</t>
  </si>
  <si>
    <t>Строительство ВЛ 0,4 кВ от новой ТП 10/0,4 кВ, строительство ТП 10/0,4 кВ, строительство ВЛ 10 кВ от ВЛ 10 кВ №4 (на балансе ООО «РСК») ПС 110/10 кВ «Самбек», для технологического присоединения мобильного пункта обогрева и питания Заявителя (Администрация Неклиновского района) по адресу: Ростовская область, Неклиновский район, 54 км. Федеральной трассы А-280, к.н. 61:26:0600015:288. (ориентировочная протяженность ЛЭП 0,035 км; мощность силового трансформатора 0,063 МВА)</t>
  </si>
  <si>
    <t>Строительство ВЛ 0,4 кВ от построенной ВЛ 0,4 кВ по договору ТП № 61-1-21-00578565 от 05.06.2021г. по ВЛ 0,4 кВ №2 КТП 10/0,4 кВ №266М ВЛ 10 кВ №2 ПС 110/35/10 кВ «Дарагановская» до границ земельного участка заявителя Заявителя (Раксин А.В.) по адресу: Ростовская область, Неклиновский район, х. Дарагановка, ул. Северная, д. 64, к.н. 61:26:0180701:569 (ориентировочная протяженность ЛЭП 0,090 км)</t>
  </si>
  <si>
    <t>Строительство ВЛ 0,4 кВ от опоры № 7 ВЛ 0,4кВ №8  КТП 6/0,4кВ №543 по КВЛ 6кВ № АБЗ ПС-110/35/6 кВ ТОС, для технологического присоединения жилого дома Заявителя (Печерин С.В.) по адресу: Ростовская область, г. Таганрог, пер. 21-й Мариупольский, д. 2 (76), к.н. 61:58:0005257:76 (ориентировочная протяженность ЛЭП 0,09 км</t>
  </si>
  <si>
    <t>Строительство ВЛ 0,4 кВ от ВЛ 0,4 кВ №2 ТП 10/0,4 кВ №1-15 ПС 110/35/10 кВ Чалтырь для технологического присоединения нежилого здания Заявителя: (Варткинаян А.В.) по адресу: Ростовская обл. Мясниковский р-н, х. Ленинаван, ул. Ленина, д. 1-д, к.н. 61:25:0030202:3818 (ориентировочная протяженность ЛЭП -0,15 км)</t>
  </si>
  <si>
    <t>Строительство ВЛ 0,4 кВ от опоры по ВЛ 0,4 кВ №1 ТП 10/0,4 кВ №1-206 по ВЛ 10 кВ №1 ПС 110/35/10 кВ Чалтырь, для технологического присоединения жилого дома Заявителя (Сосенкин Д.С.) по адресу: Ростовская область, Мясниковский район, х. Ленинакан, ул. Васильковая, д. 2/б, к.н. №61:25:0030301:1367, (ориентировочная протяженность ЛЭП 0,14 км)</t>
  </si>
  <si>
    <t>Строительство ВЛ 0,4 кВ от опоры проектируемой по договору №61-1-21-00560137 от проектируемой ТП 10/0,4 кВ по ВЛ 10 кВ №4 отпайки на ТП 10/0,4 кВ №4-3 ПС 110/35/10 кВ Чалтырь для технологического присоединения жилого дома Заявителя (Карпоян А.М.) по адресу: Ростовская область, Мясниковский район, с. Крым, ул. Крестьянская, д. 1, корп. П, к.н. №61:25:0201029:241, (ориентировочная протяженность ЛЭП 0,12 км)</t>
  </si>
  <si>
    <t>Строительство ВЛ 0,4 кВ от опоры по ВЛ 0,4 кВ № 1 ТП 10/0,4 кВ №4-5 по ВЛ 10 кВ №4 ПС 35/10 кВ Б. Салы для технологического присоединения жилых домов Заявителей (Яровой И.В., Арутюнян А.М.) по адресу: Ростовская область, Мясниковский район, с. Большие Салы, ул. Чапчахова, д. 1/б, д. 1/в, к.н. №61:25:0040101:6109, к.н. №61:25:0040101:6110 (ориентировочная протяженность ЛЭП 0,05 км)</t>
  </si>
  <si>
    <t>Строительство ВЛ 0,4 кВ от новой ТП 10/0,4 кВ, строительство ТП 10/0,4 кВ, строительство ВЛ 10 кВ от ВЛ 10 кВ №1 ПС 110/35/10 кВ «Чалтырь» для технологического присоединения нежилого здания Заявителя (ИП Ачарян Л.С.) по адресу: Ростовская область, Мясниковский район, к.н. 61:25:0600401:13396. (ориентировочная протяженность ЛЭП 0,055 км; мощность силового трансформатора 0,16 МВА)</t>
  </si>
  <si>
    <t>Строительство ВЛ 0,4 кВ от опоры по ВЛ 0,4 кВ №1 ТП 10/0,4 кВ №6-2 по ВЛ 10 кВ №6 ПС 110/35/10 кВ Синявская для технологического присоединения жилого дома Заявителя (Некрасов С.Ю.) по адресу: Ростовская область, Мясниковский район, п. Щедрый, ул. Луговая, д. 36/а к.н. №61:25:0060201:548 (ориентировочная протяженность ЛЭП 0,16 км)</t>
  </si>
  <si>
    <t>Строительство ВЛ 0,4 кВ от новой ТП 10/0,4 кВ, строительство ТП 10/0,4 кВ, строительство ВЛ 10 кВ от ВЛ 10 кВ №5 ПС 35/10 кВ «Б.Салы», для технологического присоединения магазина Заявителя (ИП Арутюнян А.А.) по адресу: Ростовская область, Мясниковский район, 17 км автодороги Ростов-на-Дону - Новошахтинск, к.н. 61:25:0501301:2311 (ориентировочная протяженность ЛЭП 0,025 км; мощность силового трансформатора 0,025 МВА)</t>
  </si>
  <si>
    <t>Строительство ВЛ 0,4 кВ от ВЛ 0,4кВ № 6 ТП 6/0,4кВ №549 от ЦРП 6кВ по КЛ 6кВ № 904,906 ПС-110/6 кВ Т-9, для технологического присоединения нежилого здания Заявителя (ИП Жидиков И.В.) по адресу: Ростовская область, г. Таганрог, ул. Б. Бульварная, д. 13а, к.н. 61:58:0002515:186 (ориентировочная протяженность ЛЭП 0,250 км)</t>
  </si>
  <si>
    <t>Строительство ВЛ 0,4 кВ от  ВЛ 0,4кВ №1 КТП 10/0,4 кв №434 по ВЛ 10 кВ №4 ПС 110/35/10 кВ «Дарагановская» для технологического присоединения нежилого здания Заявителя (Полотебнов В.В.) по адресу: Ростовская область, г. Таганрог, Северо-Западное шоссе, д. 10 СНТ «Омега», уч. 348 к.н. 61:58:0006038: 464, Ростовская область, г. Таганрог, Северо-Западное шоссе, д. 10 СНТ «Омега», уч. 348-а к.н. 61:58:0006038: 463 (ориентировочная протяженность ЛЭП 0,13 км)</t>
  </si>
  <si>
    <t>Строительство ВЛ 0,4 кВ от опоры №8/2 по ВЛИ 0,4 кВ №1 ТП 10/0,4 кВ №1-106 по ВЛ 10 кВ №1 ПС 110/35/10 кВ Чалтырь для технологического присоединения жилых домов Заявителей (Юндина А.П., Письменская Ю.В., Виноградова Я.А., Варданян Л.Т.) по адресу: Ростовская область, Мясниковский район, х. Ленинаван, ул. Насосная, д. 4/б, к.н. 61:25:0030202:4845, д. 4/в, к.н. 61:25:0030202:4846, д. 4/г, к.н. 61:25:0030202:4848, д. 4, к.н. 61:25:0030202:4847 (ориентировочная протяженность ЛЭП 0,1 км)</t>
  </si>
  <si>
    <t>Строительство ВЛ 0,4 кВ от  ВЛ 0,4кВ №11 ТП-124 по КВЛ 6 кВ №21 РП-1 по КЛ 6кВ №18/2  ПС 110/35/6 кВ Т-11 для технологического присоединения нежилого здания Заявителя (Бондаренко В.С.) по адресу: Ростовская область, г. Таганрог, ул. Панфилова д. 97, к.н.: 61:58:0005026:65 (ориентировочная протяженность ЛЭП 0,190 км)</t>
  </si>
  <si>
    <t>Строительство ВЛ 0,4 кВ от опоры проектируемой по договору №61-1-21-00599783 для технологического присоединения жилого дома Заявителя (Акоджян М.Т.) по адресу: Ростовская область, Мясниковский район, х. Красный Крым, пер. Автогаражный, д. 18/а, к.н. 61:25:0600401:14181 (ориентировочная протяженность ЛЭП 0,08 км)</t>
  </si>
  <si>
    <t>Строительство ВЛ 0,4 кВ от опоры, проектируемой по договору №61-1-21-00615073 для технологического присоединения жилого дома Заявителя (Аванесян С.К.) по адресу: Ростовская область, Мясниковский район, с. Крым, ул. Советская, д. 160/в, к.н. 61:25:0600201:1575 (ориентировочная протяженность ЛЭП 0,065 км)</t>
  </si>
  <si>
    <t>Строительство ВЛ 0,4 кВ от опоры, проектируемой по договору №61-1-22-00626865 для технологического присоединения жилого дома Заявителя (Немудрякина К.А.) по адресу: Ростовская область, Мясниковский район, х. Ленинаван, ул. Насосная, д. 2, к.н. 61:25:0030202:4834 (ориентировочная протяженность ЛЭП 0,065 км)</t>
  </si>
  <si>
    <t>Строительство ВЛ 0,4 кВ от траверсы 0,4 кВ МКЖД по ВЛ 0,4 кВ №8 ТП 6/0,4 кВ №144 по КВЛ 6 кВ №10 ПС 110/6 кВ Т-5, для технологического присоединения Заявителя (Вареца В.П.) по адресу: Ростовская область, г. Таганрог, ул. Фрунзе, д. 55-б, к.н. 61:58:0001142: 92 (ориентировочная протяженность ЛЭП 0,1 км)</t>
  </si>
  <si>
    <t>Строительство ВЛ 0,4 кВ от ВЛ 0,4 кВ №8 ТП 6/0,4кВ №7 по КВЛ 6 кВ №6 ПС-110/6 кВ Т-5, для технологического присоединения Заявителя (Симакова С.Н.) по адресу: Ростовская область, г. Таганрог, ул. Конторская, 23 (ориентировочная протяженность ЛЭП 0,08 км)</t>
  </si>
  <si>
    <t>Строительство ВЛ 0,4 кВ от новой ТП 10/0,4 кВ, строительство ТП 10/0,4 кВ, строительство ВЛ 10 кВ от ВЛ 10 кВ №1 ПС 110/35/10 кВ «Чалтырь», отпайки на ТП 10/0,4 кВ №1-195, для технологического присоединения складское здание/помещение Заявителя (ООО «ДАГ СТОУН») по адресу: Ростовская область, Мясниковский район, х. Ленинакан, пер. Содружества, д. 11, к.н. 61:25:0600401:16163 (ориентировочная протяженность ЛЭП 0,02 км; мощность силового трансформатора 0,16 МВА)</t>
  </si>
  <si>
    <t>Строительство ВЛИ 0,23 кВ от опоры ВЛ 0,4 кВ №2 от КТП 10/0,4кВ №192 по ВЛ 10 кВ 6 ПС-35/10 кВ Колесниковская, для технологического присоединения ВРУ-0,23кВ для питания жилого дома Заявителя (Карпов Д.С.) по адресу: Ростовская область, Матвеево-Курганский район, п. М-Курган, ул. Маркса, д. 66, к.н. 61:21:0010169:76 (ориентировочная протяженность ЛЭП 0,045 км)</t>
  </si>
  <si>
    <t>«Строительство ВЛ 0,4 кВ от ВЛ 0,4 кВ, проектируемой по договору № 61-1-21-00584981 от 24.06.2021, для технологического присоединения производственного здания Заявителя (Демьяненко Ю.И.) по адресу: Ростовская область, Неклиновский район, с. Весело-Вознесенка, ул. Пограничная, д. 6, к.н. 61:26:0100101:1158 (ориентировочная протяженность ЛЭП 0,075 км)»</t>
  </si>
  <si>
    <t>Строительство ВЛ 0,4 кВ от ВЛ 0,4 кВ №1 КТП 10/0,4 кВ №32м ВЛ 10 кВ №7/8 ПС 35/10/6 кВ «Гаевка» для технологического присоединения производственного здания Заявителя (Логутов С.В.) по адресу: Ростовская область, Неклиновский район, с. Гаевка, ул. Ленина, д. 221, к.н. 61:26:0160301:0332 (ориентировочная протяженность ЛЭП 0,025 км)</t>
  </si>
  <si>
    <t>Строительство ВЛИ 0,4 кВ от новой ТП 10/0,4 кВ, строительство ТП 10/0,4 кВ, строительство ВЛ 10 кВ от ВЛ 10 кВ №3 ПС 35/10 кВ Новоспасовская, для технологического присоединения объекта местный пропускной пункт Шрамко-Ульяновская Заявителя (ФГКУ «Дирекция по строительству объектов Росграницы») по адресу: Ростовская область, М-Курганский район,  в 18 м на восток от ориентира ул. Пограничная, 20, х. Шрамко, кадастровый номер земельного участка 61:21:0060601:79 (ориентировочная протяженность ЛЭП 0,655км; мощность силового трансформатора 0,1 МВА)</t>
  </si>
  <si>
    <t>Строительство ВЛ 0,4 кВ от опоры по ВЛИ 0,4 кВ №1 ТП 10/0,4 кВ №2-25 по ВЛ 10 кВ №2 ПС 110/35/10 кВ Чалтырь для технологического присоединения жилого дома Заявителя (Микаелян М.А.) по адресу: Ростовская область, Мясниковский район, с. Крым, ул. Секизяна, д. 25, к.н. 61:25:0201023:242 (ориентировочная протяженность ЛЭП 0,11 км)</t>
  </si>
  <si>
    <t>Строительство ВЛ 0,4 кВ от опоры по ВЛ 0,4 кВ №2 ТП 10/0,4 кВ №1-21 по ВЛ 10 кВ №1 ПС 110/35/10 кВ Чалтырь для технологического присоединения жилого дома Заявителей (Геворгян А.К., Геворгян В.К.) по адресу: Ростовская область, Мясниковский район, х. Красный Крым, ул. Кирова, д. 13/б, 13/в. (ориентировочная протяженность ЛЭП 0,07 км)</t>
  </si>
  <si>
    <t>Строительство ВЛ 0,4 кВ от опоры по ВЛИ 0,4 кВ №4 ТП 10/0,4 кВ №6-5 по ВЛ 10 кВ №6 ПС 35/10 кВ Б. Салы для технологического присоединения жилых домов Заявителей (Жуков В.Ю., Рудакова Л.А., Севостьянова В.В.) по адресу: Ростовская область, Мясниковский район, х. Красный Крым, ул. Юбилейная, д. 39/1, 41/1, 41/4 (ориентировочная протяженность ЛЭП 0,06 км)</t>
  </si>
  <si>
    <t>Строительство ВЛ 0,4 кВ от опоры, проектируемой по договору №61-1-22-00626865 по ВЛИ 0,4 кВ №1 ТП 10/0,4 кВ №1-105 по ВЛ 10 кВ №1 ПС 110/35/10 кВ Чалтырь для технологического присоединения жилого дома Заявителя (Крылов А.В.) по адресу: Ростовская область, Мясниковский район</t>
  </si>
  <si>
    <t>Строительство ВЛ 0,4 кВ от новой ТП 10/0,4 кВ, строительство ТП 10/0,4 кВ, строительство ВЛ 10 кВ от опоры по ВЛ 10 кВ №1 ПС 110/35/10 кВ «Чалтырь», запитанной от ВЛ 10 кВ №29-35 ПС 110/10 кВ Р-29, для технологического присоединения объекта Заявителя (ИП Гончаренко Д.В.) по адресу: Ростовская область, Мясниковский район, СНТ «Факел СКВО», уч. 639/7, к.н. 61:25:0501702:638 (ориентировочная протяженность ЛЭП 0,1 км; мощность силового трансформатора 0,025 МВА)</t>
  </si>
  <si>
    <t>Строительство ВЛИ 0,4 кВ от новой ТП 10/0,4 кВ, строительство ТП 10/0,4 кВ, строительство ВЛ 10 кВ от ВЛ 10 кВ №3 ПС 35/10 кВ Сухореченская, для технологического присоединения ВРУ-0,38кВ для питания домика рыбака Заявителя (ИП Вишняков С.В.) по адресу: Ростовская область, М-Курганский район, п. Матвеев Курган, на территории СПК «Сухореченский», р.уч.8,9,18, кадастровый номер земельного участка 61:21:0600001:3585 (ориентировочная протяженность ЛЭП 0,065км; мощность силового трансформатора 0,025 МВА)</t>
  </si>
  <si>
    <t>Строительство ВЛ 0,4 кВ от опоры по ВЛИ 0,4 кВ №1 ТП 10/0,4 кВ №13-18 по ВЛ 10 кВ №13 ПС 110/35/10 кВ Чалтырь для технологического присоединения жилого дома Заявителя (Асташова И.С.) по адресу: Ростовская область, Мясниковский район, х. Ленинакан, ул. Степная, д. 85-б (ориентировочная протяженность ЛЭП 0,06 км)</t>
  </si>
  <si>
    <t>Строительство ВЛ 0,4 кВ от РУ 0,4 кВ КТП 10/0,4 кВ №529 по ВЛ 10 кВ №4 ПС 35/10 ГСКБ до границ земельного участка Заявителя (ООО «Технологии света») по адресу: Ростовская область, г. Таганрог, Мариупольское шоссе, д. 71-г, к.н. 61:58:0005257:28 (ориентировочная протяженность ЛЭП 0,025 км)</t>
  </si>
  <si>
    <t>Строительство ВЛ 0,4 кВ от опоры, проектируемой по договору №61-1-22-00635917 от ВЛ 0,4 кВ №2 ТП 10/0,4 кВ №651 ВЛ 10 кВ №2 ПС 35/10 кВ «Покровская» до границ земельных участков Заявителей (Головченко Н.В., Головченко А.Н.) по адресу: Ростовская область, Неклиновский район, с. Покровское, ул. Н. Головченко, д. 17, к.н. 61:26:0050114:921, д. 19, к.н. 61:26:0050114:920 (ориентировочная протяженность ЛЭП 0,07 км)</t>
  </si>
  <si>
    <t>Строительство ВЛ 0,4 кВ от опоры по ВЛИ 0,4 кВ №1 ТП 10/0,4 кВ №1-257 по ВЛ 10 кВ №1 ПС 110/35/10 кВ Чалтырь, для технологического присоединения жилых домов Заявителей (Бадасян Э.А., Даллакян М.М., Горшков А.В., Дужан В.В.) по адресу: Ростовская область, Мясниковский район, х. Ленинаван, ул. Орджоникидзе (ориентировочная протяженность ЛЭП 0,205 км)</t>
  </si>
  <si>
    <t>Строительство ВЛ 0,4 кВ от опоры по ВЛИ 0,4 кВ №2 ТП 10/0,4 кВ №3-37 по ВЛ 10 кВ №3 ПС 110/35/10 кВ Чалтырь, для технологического присоединения жилых домов Заявителей (Хатламаджиян А.М., Агаглуян С.К., Латиш А.) по адресу: Ростовская область, Мясниковский район, с. Чалтырь, ул. Жукова (ориентировочная протяженность ЛЭП 0,35 км)</t>
  </si>
  <si>
    <t>Строительство ВЛ 0,4 кВ от ВЛ 0,4 кВ №2 КТП 10/0,4 кВ №729 ВЛ 10 кВ №3 ПС 35/10 кВ «ГСКБ» для технологического присоединения жилого дома Заявителя (Мельник Я.Ю.) по адресу: Ростовская область, Неклиновский район, с. Новобессергеневка, ул. Янтарная, д. 14-Д, к.н. 61:26:0600024:7586 (ориентировочная протяженность ЛЭП 0,040 км)</t>
  </si>
  <si>
    <t>Строительство ВЛ 0,4 кВ от ВЛ 0,4 кВ №2 КТП 10/0,4 кВ №52 ВЛ 10 кВ №1/3 ПС 110/35/10 кВ «Троицкая-1» для технологического присоединения жилого дома Заявителя (Соколенко А.А.) по адресу: Ростовская область, Неклиновский район, с. Николаевка, ул. Ленина, д. 283-А, к.н. 61:26:0110101:8717 (ориентировочная протяженность ЛЭП 0,050 км).</t>
  </si>
  <si>
    <t>Строительство ВЛ 0,4 кВ от опоры ВЛ 0,4 кВ №2 ТП 6/0,4 кВ №103 по КЛ 6 кВ №106 ПС 110/35/6 кВ Т-1, для технологического присоединения жилого дома Заявителя (Колганов В.В.) по адресу: Ростовская область, г. Таганрог, ул. Конторская, д. 76а, к.н. 61:58:0003229:9 (ориентировочная протяженность ЛЭП 0,15 км)</t>
  </si>
  <si>
    <t>Строительство ВЛИ 0,4 кВ по ВЛ-0,4 кВ №2 от КТП-10/0,4 кВ №333 по ВЛ-10 кВ №4 ПС 35/10 кВ Политотдельская по существующим опорам до границ земельного участка Заявителя (АО «Почта России») по адресу: Ростовская область, М-Курганский район, с. Политотдельское, ул. Гардемана, д. 37, к.н.: 61:21:0100101:1860 (ориентировочная протяженность ЛЭП 0,145 км)</t>
  </si>
  <si>
    <t>Строительство ВЛ 0,4 кВ от ВЛ 0,4 кВ №2 КТП 10/0,4 кВ №3/4 ВЛ 10 кВ №1 ПС 110/35/10 кВ «Синявская» до границ земельного участка Заявителя (ИП Евсеенко И.В.) по адресу: Ростовская область, Неклиновский район, х. Пятихатки, ул. Верхняя, д. 1-Б, к.н. 61:26:0060401:74 (ориентировочная протяженность ЛЭП 0,060 км)</t>
  </si>
  <si>
    <t>Строительство ВЛ 0,4 кВ от ВЛ 0,4 кВ №2 КТП 10/0,4 кВ №60 ВЛ 10 кВ №3 ПС Куйышево-1 до границ земельного участка заявителя Заявителя (Радченко К.С.) по адресу: Ростовская обл., Куйбышевский р-н, примерно 1052 м на северо-восток от с. Куйбышево, ул. Набережная, 10, к.н: 61:19:0600001:2641 (ориентировочная протяженность ЛЭП 0,2 км)</t>
  </si>
  <si>
    <t>«Строительство ВЛИ 0,4 кВ от существующей опоры 1-00/10 ВЛ 0,4 кВ Л-1 КТП 10/0,4 кВ №297 ВЛ 10 кВ Л-2 Ново-Донская и установка системы учета электрической энергии (мощности) на границе земельного участка для технологического присоединения «мойка, цех регинерации масла», расположенного по адресу: РФ, Ростовская область, Целинский район, с. Средний Егорлык, лирер А, Восточный район, к.н.з.у.:61:40:0080101, заявитель ИП глава КФХ Рыжкин Н.П.» (Ориентировочная протяженность ЛЭП - 0,08 км)</t>
  </si>
  <si>
    <t>«Строительство ВЛ 0,4 кВ от опоры №2-00/20 ВЛ 0,4 кВ Л-2 КТП 10/0,4 кВ    № 280 по ВЛ 10 кВ Л-7 Кундрюченская, и установка системы учета электрической энергии (мощности) на границе земельного участка для электроснабжения объекта – «Жилой дом», расположенного по адресу: РФ, Ростовская область, Орловский район, х. Луганский, ул. Зелёная, д. 11а, к.н.з.у.: 61:29:0010501:2271, заявитель Бирюков А.С.»</t>
  </si>
  <si>
    <t>«Строительство ВЛИ 0,4 кВ от существующей опоры № 1­00/13 ВЛ 0,4 кВ №1 КТП № 301 по ВЛ 10 кВ Л­1 Степная для электроснабжения объекта – «Сарай», расположенного по адресу: РФ, Ростовская обл., р-н. Пролетарский, 500 м к северу от х. Николаевский 2­й, кадастровый номер земельного участка: 61:31:0600013:358, заявитель Матвиенко В.И.»</t>
  </si>
  <si>
    <t>«Строительство ВЛ 0,4 кВ от опоры №3-00/10 ВЛ 0,4 кВ Л-3 КТП 10/0,4 кВ № 500 по ВЛ 10 кВ Л­1 Фрунзе 1 и установка системы учета электрической энергии (мощности) на границе земельного участка для электроснабжения объекта – «Административное здание», расположенного по адресу: Российская Федерация, Ростовская обл., Сальский район, кадастровый номер земельного участка: 61:34:0600001:2666, заявитель СПК «Рыбак»</t>
  </si>
  <si>
    <t>«Строительство ВЛИ 0,4 кВ от существующей опоры 1-02/4 ВЛ 0,4 кВ Л-1 КТП 10/0,4 кВ №85 по ВЛ 10 кВ Л-2 Целинский ССК и установка системы учета электрической энергии (мощности) на границе земельного участка для технологического присоединения «объект медицинского учреждения», расположенного по адресу: РФ, Ростовская область, Целинский район, х. Северный, ул. Молодежная, д. 2б, к.н.з.у.: 61:40:0031101:2706, заявитель МУНИЦИПАЛЬНОЕ БЮДЖЕТНОЕ УЧРЕЖДЕНИЕ ЗДРАВООХРАНЕНИЯ «ЦЕНТРАЛЬНАЯ РАЙОННАЯ БОЛЬНИЦА ЦЕЛИНСКОГО РАЙОНА РОСТОВСКОЙ ОБЛАСТИ»</t>
  </si>
  <si>
    <t>Строительство ВЛ-10 кВ от опоры №8-06/10 ВЛ 10кВ Л-8 Пролетарская, строительство КТП 10/0,4 и ВЛ 0,4 кВ для электроснабжения объекта «Дачный дом», расположенного по адресу: РФ, Ростовская обл., р-н. Пролетарский, 1,2 км юго-западнее п. п. 1185 (Ремонтный), к.н. земельного участка 61:31:0600008:1707, заявитель Семендуева И. Я.» (Ориентировочная протяженность ЛЭП — 4,13 км, ориентировочная мощность ТП— 0, 025 МВА)</t>
  </si>
  <si>
    <t>«Строительство ВЛ 10 кВ от опоры 2-00/39 по ВЛ 10 кВ Л-2 КРС, строительство КТП 10/0,4 кВ, ВЛ 0,4 кВ и установка системы учета электрической энергии (мощности) на границе земельного участка для электроснабжения объекта – «дом рыбака», расположенного по адресу: Российская Федерация, Ростовская обл., р-н. Пролетарский, номер участка 115, заявитель ИП Ромашков И.И.»</t>
  </si>
  <si>
    <t>«Строительство ВЛ 6 кВ от опоры №1-00/51 ВЛ 6 кВ Л-1 Фрунзе 3, строительство ТП 6/0,4 и ВЛ 0,4 кВ для электроснабжения объекта – «бытовой вагон», расположенного по адресу: РФ, Ростовская обл, р-н Сальский, кадастровый номер земельного участка 61:34:0600001:2976, заявитель Глушко С.Н.»</t>
  </si>
  <si>
    <t>«Строительство ВЛ 0,4 кВ от существующей опоры № 2­00/8-9 ВЛ 0,4 кВ Л-2 КТП 10/0,4 кВ № 46 по ВЛ 10 кВ Л­2 РП 21 С и установка системы учета электрической энергии (мощности) на границе земельного участка для электроснабжения объекта – «жилой дом», расположенного по адресу: 347603 Российская Федерация, Ростовская обл., р-н. Сальский, п. Конезавод имени Буденного, ул. Самохвалова, д. 17, кадастровый номер земельного участка: 61:34:0040101:4535, заявитель Конкин С.С.»</t>
  </si>
  <si>
    <t>«Строительство ВЛИ 0,4 кВ от существующей опоры 3-00/3-2 ВЛ 0,4 кВ Л-3 КТП 10/0,4 кВ №213 по ВЛ 10 кВ Л-2 Ново-Донская и установка системы учета электрической энергии (мощности) на границе земельного участка для технологического присоединения «модульный дом культуры», расположенного по адресу: Ростовская область, Целинский район, с. Средний Егорлык, ул. Школьная, д. 17а, к.н.з.у.: 61:40:0080101:5994, заявитель Администрация Среднеегорлыкского сельского поселения»</t>
  </si>
  <si>
    <t>«Строительство ВЛ 10 кВ от опоры №2-00/108 ВЛ 10 кВ Л-2 АРЗ, строительство ТП 10/0,4 и ВЛ 0,4 кВ для электроснабжения объекта – «гараж», расположенного по адресу: Российская Федерация, Ростовская обл, р-н Сальский, х. Новоселый 1-й, кадастровый квартал 61:34:0600008 с условным центром в х. Новоселый 1-й, 5800 м. восточнее х. Новоселый 1-й, кадастровый номер земельного участка 61:34:0600008:1358, заявитель Галушко В.Н.» (Ориентировочная протяженность ЛЭП – 0,390 км, ориентировочная мощность ТП – 0,025 МВА)»</t>
  </si>
  <si>
    <t>«Строительство ВЛИ 0,4 кВ от существующей опоры 2-01/2 ВЛ 0,4 кВ Л-2 КТП 10/0,4 кВ №229 по ВЛ 10 кВ Л-3 Лопанская и установка системы учета электрической энергии (мощности) на границе земельного участка для технологического присоединения «объекты наружного освещения», расположенного по адресу: РФ, Ростовская область, Целинский район, с. Лопанка, ул. Молодежная, д. 2д, к.н.з.у.: 61:40:0040101:4854, заявитель Администрация Лопанского сельского поселения»</t>
  </si>
  <si>
    <t>«Строительство ВЛИ 0,4 кВ от существующей опоры 1-00/16-4 ВЛ 0,4 кВ Л-1 КТП 10/0,4 кВ №287 ВЛ 10 кВ Л-1 Целинская для технологического присоединения «теплицы», расположенного по адресу: РФ, Ростовская область, Целинский район, п. Новая Целина, Новоцелинское с/п, в границах СПК «Целинский», к.н.з.у.:61:40:00600011:1785, заявитель Лохматов С.В.»</t>
  </si>
  <si>
    <t>«Строительство ТП 10/0,4 и ВЛ 0,4 кВ от опоры №3-00/46 ВЛ 10 кВ Л-3 Водозабор для электроснабжения объекта – «производственное здание», расположенного по адресу: Российская Федерация, Ростовская обл., р-н. Сальский, с. Крученая Балка, в 5 км западнее от ул. Шоссейная г. Сальска, кадастровый номер земельного участка 61:34:0000000:7543, заявитель Королевский В.В.»</t>
  </si>
  <si>
    <t>«Строительство ВЛ 0,4 кВ от РУ 0,4 кВ КТП 10/0,4 кВ № 136 по ВЛ 10 кВ Л­4 Березовская и установка системы учета электрической энергии (мощности) на границе земельного участка для электроснабжения объекта – «Антенно-мачтовое сооружение 61-14995», расположенного по адресу: 347614 Российская Федерация, Ростовская обл., р-н. Сальский, с. Березовка, ул. Молодежная, вблизи д.2, рядом с земельным участком с кадастровым номером 61:34:0030101:329, заявитель АО «ПБК»</t>
  </si>
  <si>
    <t>Строительство ВЛ 10 кВ от опоры №3-02/17 ВЛ 10 кВ Л-3 РП 21 С, строительство ТП 10/0,22 кВ, ВЛ 0,4 кВ и установка системы учета электрической энергии (мощности) на границе земельного участка для электроснабжения объекта – «Нежилая застройка», расположенного по адресу: Российская Федерация, Ростовская обл., р-н. Сальский, п. Поливной, Сальский р-н, с условным центром в п. Поливной, кадастровый номер земельного участка 61:34:0600006:838, заявитель Катылевский С.М.  (Ориентировочная протяженность ЛЭП – 0,16 км, ориентировочная мощность ТП – 0,01 МВА)</t>
  </si>
  <si>
    <t>«Строительство ВЛ 0,22 кВ от опоры №1-02/4 ВЛ 0,4 кВ Л-1 КТП 10/0,4 кВ    № 75 по ВЛ 10 кВ Л-7 Кундрюченская, и установка системы учета электрической энергии (мощности) на границе земельного участка для электроснабжения объекта – «Жилой дом», расположенного по адресу: РФ, Ростовская область, Орловский район, х. Луганскийй, ул. 50 лет Октября, д. 53, к.н.з.у.: 61:29:0010501:523, заявитель Филонова Е.В.»</t>
  </si>
  <si>
    <t xml:space="preserve">Строительство ВЛ 10 кВ от опоры 4-03/113 по ВЛ 10 кВ Л-4 Уютная, строительство КТП 10/0,4 кВ, ВЛ 0,4 кВ и установка системы учета электрической энергии (мощности) на границе земельного участка для электроснабжения объекта – «ЛПХ», расположенного по адресу: Российская Федерация, Ростовская обл., р-н. Пролетарский, СА "Уютная" отделение 1: контур 301, отделение 3: ру 1к, контур 310, кадастровый номер земельного участка: 61:31:0600011:758, заявитель Фоменко И.Н. </t>
  </si>
  <si>
    <t>Строительство ВЛ 10 кВ от опоры №2-00/51 ВЛ 10кВ Л-2 Волочаевская, строительство КТП 10/0,4 и ВЛ 0,4 кВ для электроснабжения объекта – «Нежилая застройка», расположенного по адресу: РФ, Ростовская обл., р-он Орловский, установлено относительно ориентира, расположенного за пределами участка. Ориентир п. Правобережный. Участок находится примерно в 1,0 км от ориентира по направлению на юго-запад, к.н. з.у. 61:29:0600012:940, заявитель Ассоциация по сохранению и восстановлению редких и исчезающих животных «Живая природа степи» (Ориентировочная протяженность ЛЭП – 3,73 км, ориентировочная мощность ТП – 0,040 МВА)</t>
  </si>
  <si>
    <t>«Строительство ВЛ 10 кВ от опоры 8-02/8 по ВЛ 10 кВ Л-8 Львовская, строительство КТП 10/0,4 кВ, ВЛ 0,4 кВ и установка системы учета электрической энергии (мощности) на границе земельного участка для электроснабжения объекта – «крестьянское (фермерское) хозяйство», расположенного по адресу: Российская Федерация, Ростовская обл., р-н. Орловский, примерно в 4,3 км по направлению на юго-восток от ориентира х. Пролетарский, кадастровый номер земельного участка: 61:29:0600010:1242, заявитель Федоренко А.Д.» (Ориентировочная протяженность ЛЭП – 3,15 км, ориентировочная мощность ТП – 0,025 МВА)»</t>
  </si>
  <si>
    <t>«Строительство ВЛ 0,4 кВ от опоры №1-00/10 ВЛ 0,4 кВ Л-1 КТП 10/0,4 кВ № 285 по ВЛ 10 кВ Л-9 Куберле-2 и установка системы учета электрической энергии (мощности) на границе земельного участка для электроснабжения объекта – «Базовая станция/ оборудование сотовой связи», расположенного по адресу: РФ, Ростовская область, Орловский район, х. Широкий, в зоне СХУ/11/04, заявитель ПАО «Ростелеком»</t>
  </si>
  <si>
    <t>«Строительство ВЛ 10 кВ от опоры №3-00/13 ВЛ 10 кВ Л-3 Мелькомбинат, строительство ТП 10/0,4 кВ, ВЛ 0,4 кВ и установка системы учета электрической энергии (мощности) на границе земельного участка для электроснабжения объекта – «здание производственного корпуса», расположенного по адресу: 347636 Российская Федерация, Ростовская обл., г. Сальск, ул. Фабричная, д. 8, кадастровый номер земельного участка 61:57:0010857:801, заявитель Шарапов Р.А.»</t>
  </si>
  <si>
    <t>"Строительство ВЛ 10 кВ от опоры №2-06/39 ВЛ 10 кВ (собственник Апарников Н.Н.) по ВЛ 10 кВ Л-2 «Буденновская», строительство КТП 10/0,4 кВ, ВЛ 0,4 кВ и установка системы учета электрической энергии (мощности) на границе земельного участка для электроснабжения объекта – «дачный дом», расположенного по адресу: РФ, Ростовская обл., р-н. Пролетарский, 2,5 км восточнее п.п. 1260 (Красный Кут), кадастровый номер земельного участка 61:31:0600007:680, заявитель Калмыкова В.В.» (Ориентировочная протяженность ЛЭП – 0,13 км, ориентировочная мощность ТП – 0,025 МВА"</t>
  </si>
  <si>
    <t>«Строительство ВЛ 0,4 кВ от опоры №1-00/10 ВЛ 0,4 кВ Л-1 КТП 10/0,4 кВ    № 43 по ВЛ 10 кВ Л-8 Журавлевская и установка системы учета электрической энергии (мощности) на границе земельного участка для электроснабжения объекта – «Склад», расположенного по адресу: РФ, Ростовская область, Орловский район, х. Журавлев, ул. Транспортная 2а, кадастровый номер земельного участка: 61:29:0040401:474, заявитель ИП Илюшин В.В. глава К(Ф)Х» (Ориентировочная протяженность ЛЭП – 0,05 км)</t>
  </si>
  <si>
    <t>«Строительство ВЛ 0,4 кВ от вновь построенной опоры ВЛ 0,4 кВ Л-3 КТП 10/0,4 кВ № 500 по ВЛ 10 кВ Л­1 Фрунзе 1 и установка системы учета электрической энергии (мощности) на границе земельного участка для электроснабжения объекта – «Нежилая застройка», расположенного по адресу: Российская Федерация, Ростовская обл., р-н. Сальский, п. Степной Курган, Ростовская обл., Сальский р-н, кадастровый номер земельного участка: 61:34:0600001:2668, заявитель Хусаинова В.В.»</t>
  </si>
  <si>
    <t>«Строительство ВЛ 0,4 кВ от РУ 0,4 кВ КТП 10/0,4 кВ №271 по ВЛ 10 кВ Л-2 РП 21 С и установка системы учета электрической энергии (мощности) на границе земельного участка, для электроснабжения объекта – «гостиница», расположенного по адресу: 347603 Российская Федерация, Ростовская обл., р-н. Сальский, п. Конезавод имени Буденного, ул. Буденного, д. 2-г, кадастровый номер земельного участка 61:34:0040101:4547, заявитель Гимбатов Г.А.»</t>
  </si>
  <si>
    <t>Строительство ВЛ 0,4 кВ от проектируемой ВЛ 0,4 кВ КТП-10/0,4 кВ № 39 (по договору № 61-1-20-00496531 от 17.02.2020г.) от ВЛ 10 кВ № 1203 ПС 110/10 кВ АС-12 для электроснабжения ВРУ 0,4 кВ жилого дома Лысенко Д.С. в границах плана х. Каменный Брод, уч. 339, Родионово-Несветайский район, Ростовской области</t>
  </si>
  <si>
    <t xml:space="preserve">Строительство ВЛ 0,4 кВ от проектируемой ВЛ 0,4 кВ (по договору №61-1-20-00521871 от 03.08.2020 г.) проектируемой КТПН 10/0,4 кВ ВЛ 10 кВ №1203 ПС 110 кВ АС12 для электроснабжения ВРУ 0,4 кВ жилого дома Шафранович М. В. на участке с КН 61:33:0600015:970 в Родионово-Несветайском районе Ростовской области </t>
  </si>
  <si>
    <t xml:space="preserve">Строительство ТП 10/0,4 кВ, ВЛ 0,4 кВ, ВЛ 10 кВ от ВЛ 10 кВ №1109 ПС 110 кВ АС11 для электроснабжения автосервиса Медникова В. Г. на участке с КН 61:02:0600002:1295 в Аксайском районе Ростовской области </t>
  </si>
  <si>
    <t xml:space="preserve">Строительство ТП 10/0,4 кВ, ВЛ 0,4 кВ, ВЛ 10 кВ от ВЛ 10 кВ №101 ПС 110 кВ АС1 для электроснабжения ВРУ 0,4 кВ жилого дома Яхненко Н. В. на участке с КН 61:02:0600015:8147 в ст-це Ольгинская Аксайского района Ростовской области </t>
  </si>
  <si>
    <t xml:space="preserve">Строительство ВЛ 0,4 кВ от проектируемой ВЛ 0,4 кВ (по договору №61-1-20-00511571 от 05.06.2020 г.) проектируемой КТПН 10/0,4 кВ ВЛ 10 кВ №101 ПС 110 кВ АС1 для электроснабжения ВРУ 0,4 кВ жилого дома Шевцовой А. Н. в ст-це Ольгинская Аксайского района Ростовской области </t>
  </si>
  <si>
    <t>Строительство ВЛ 0,4 кВ от ВЛ 0,4 кВ №1 ТП 10 кВ №454 ВЛ 10 кВ №1004 ПС 110 кВ АС10 для электроснабжения ВРУ 0,4 кВ жилого дома Удовиченко И. Е. на участке с КН 61:02:0030109:159 в ст-це Грушевская Аксайского района Ростовской области</t>
  </si>
  <si>
    <t>Строительство ВЛ 0,4 кВ, от проектируемой ВЛ 0,4 кВ (по договору № 61-1-22-00626367 от 31.01.2022) от КТП 10/0,4 кВ №928 ВЛ 10 кВ №101 ПС 110/35/10 кВ АС1 для электроснабжения ВРУ-0,4 кВ жилого дома Савиновой В.В. на участке с КН 61:02:0600015:7094 в ст-це Ольгинская Аксайского района Ростовской области</t>
  </si>
  <si>
    <t xml:space="preserve">Строительство ВЛ 0,4 кВ, от проектируемой ВЛ 0,4 кВ (по договору № 61-1-22-00626367 от 31.01.2022) от КТП 10/0,4 кВ №928 ВЛ 10 кВ №101 ПС 110/35/10 кВ АС1 для электроснабжения ВРУ-0,4 кВ жилого дома Савинова И.В. на участке с КН 61:02:0600015:7093 в ст-це Ольгинская Аксайского района Ростовской области </t>
  </si>
  <si>
    <t xml:space="preserve">Строительство ВЛ 0,4 кВ от РУ 0,4 кВ проектируемого КТП 10/0,4 кВ ВЛ 10 кВ №653 ПС 110/10/6 кВ АС6 для электроснабжения ВРУ 0,4 кВ жилого дома Ткаченко А.М. на участке с КН 61:02:0110201:511, в х. Краснодворск, ул. Лебединая, д.9, Аксайского района Ростовской области </t>
  </si>
  <si>
    <t xml:space="preserve">Строительство ВЛ 0,4 кВ от ВЛ 0,4 кВ №1 КТП-10/0,4 кВ №30 ВЛ 10 кВ №655 ПС 110/10 кВ АС-6 для электроснабжения ВРУ-0,4 кВ жилого дома Федорова А. В. на участке с КН 61:02:0110102:3786 в ст-це Старочеркасская Аксайского района Ростовской области </t>
  </si>
  <si>
    <t xml:space="preserve">Строительство ВЛ 0,4 кВ от ВЛ 0,4 кВ №1 КТП-10/0,4 кВ №19 ВЛ 10 кВ №655 ПС 110/10 кВ АС-6 для электроснабжения ВРУ-0.4 кВ жилого дома Цыбиной Л. Г. по адресу: РО., Аксайский р-н, ст-ца Старочеркасская, ул. Лесная, 15А, кадастровый номер земельного участка: 61:02:0110102:2858 </t>
  </si>
  <si>
    <t>Строительство ВЛ 0,4 кВ от РУ 0,4 кВ ТП 10/0,4 кВ №117 ВЛ 10 кВ №434 ПС 220 кВ Р4 для электроснабжения ВРУ- 0,4 кВ офисного здания Бархоянц А.А. на участке с КН 61:02:0600010:7059 Аксайского района, Р.О.</t>
  </si>
  <si>
    <t xml:space="preserve">Строительство ВЛ 0,4 кВ от проектируемой ВЛ 0,4 кВ проектируемой КТПН 10/0,4 кВ (по договору №61-1-20-00507591 от 16.04.2020 г.) ВЛ 10 кВ №403 ПС 110 кВ АС4 для электроснабжения ВРУ 0,4 кВ жилых домов Ершовой Н. Г., Ершова С. В. по ул. Крымская в х. Ленина Аксайского района Ростовской области </t>
  </si>
  <si>
    <t xml:space="preserve">Строительство ВЛ 0,4 кВ от проектируемой ВЛ 0,4 кВ (по договору №61-1-20-00544009 от 10.11.2020 г.) проектируемой ТП 10/0,4 кВ ВЛ 10 кВ №1208 ПС 110 кВ АС12 для электроснабжения жилого дома Поляничкина А. В. на участке с КН 61:02:0600006:6729 в Аксайском районе Ростовской области </t>
  </si>
  <si>
    <t xml:space="preserve">Строительство ВЛ 0,4 кВ по ВЛ 0,4 кВ №3 КТП-6/0,4 кВ №72 ВЛ 6 кВ №804 ПС 35/6 кВ АС8 для электроснабжения ВРУ 0,4 кВ жилого дома Гарагуля Д.И. в п. Российский, пер. Солнечный, д.9,   на участке с КН 61:02:0600010:3493 в Аксайском р-не </t>
  </si>
  <si>
    <t xml:space="preserve">Строительство ВЛ 0,4 кВ от РУ ТП 10/0,4 кВ №1849 (на балансе СНТ «Диана») ВЛ 10 кВ №1204 ПС 110/10 кВ АС12 для электроснабжения ВРУ-0,4 кВ жилого дома Нугумановой Х.Я. на участке №27 с КН 61:02:0501701:27 в СНТ «Диана» п. Щепкин Аксайского района Ростовской области 
</t>
  </si>
  <si>
    <t>Строительство ВЛ 0,4 кВ от ВЛ 0,4 кВ №1 ТП 10 кВ №642 ВЛ 10 кВ №107 ПС 110 кВ АС1 для электроснабжения ВРУ 0,4 кВ жилого дома Петоян Л. М. на участке с КН 61:02:0600015:5081 в ст-це Ольгинская Ростовской области</t>
  </si>
  <si>
    <t xml:space="preserve">Строительство ВЛ 0,4 кВ от ВЛ 0,4 кВ №1 ТП 10 кВ №927 ВЛ 10 кВ №1207 ПС 110 кВ АС12 для электроснабжения ВРУ 0,4 кВ жилого дома Агарковой Т. А. на участке с КН 61:02:0600006:4677 в п. Щепкин Аксайского района, РО </t>
  </si>
  <si>
    <t xml:space="preserve">Строительство ВЛ 0,4 кВ по ВЛ 0,4 кВ №1 ТП-10/0,4 кВ №70А ВЛ 10 кВ №3 ПС 35/10 кВ Б. Салы для электроснабжения ВРУ-0,4 кВ жилого дома Мель В.Е. в п. Темерницкий, на участке с КН 61:02:0600005:10493 в Аксайском районе </t>
  </si>
  <si>
    <t xml:space="preserve">Строительство ВЛ 0,4 кВ от ВЛ 0,4 кВ №2 КТП-10/0,4 кВ №39 ВЛ 10 кВ №1203 ПС 110/10 кВ АС-12 для электроснабжения ВРУ-0,4 кВ жилого дома Лекаркина Н. А. на участке с КН 61:33:0600015:964 в совх. Каменобродский Родионово-Несветайского района Ростовской области </t>
  </si>
  <si>
    <t xml:space="preserve">Строительство ВЛ 0,4 кВ по ВЛ 0,4 кВ №3 ТП-10/0,4 кВ №496 ВЛ 10 кВ №1101 ПС 110/35/10 кВ АС-11 для электроснабжения ВРУ-0,4 кВ жилого дома Крамарева Е. А. на участке с КН 61:02:0600009:2588 в ст-це Мишкинская Аксайского района Ростовской области </t>
  </si>
  <si>
    <t>Строительство ВЛ 0,4 кВ от концевой опоры, проектируемой ВЛ 0,4 кВ от КТП-10/0,4 кВ №78 ВЛ 10 кВ №3 ПС 35/10 кВ Б. Салы (по договору №61-1-21-00579291 от 31.05.2021 г.) для электроснабжения ВРУ-0,4 кВ жилого дома Завгороднего И.И. на участке с КН 61:02:0600006:6847 в Аксайском районе, п. Щепкин</t>
  </si>
  <si>
    <t xml:space="preserve">Строительство ВЛ 0,4 кВ от РУ 0,4 кВ ТП 10 кВ №217 ВЛ 10 кВ №1204 ПС 110 кВ АС12 для электроснабжения ВРУ 0,4 кВ жилого дома Жуменовой Л. А. на участке с КН 61:02:0501601:509 в п. Щепкин Аксайского района Ростовской области </t>
  </si>
  <si>
    <t xml:space="preserve">Строительство ВЛ 0,4 кВ от проектируемой ВЛ 0,4 кВ (по договору №61-1-20-00511571 от 05.06.2020 г.) проектируемой КТПН 10/0,4 кВ ВЛ 10 кВ №101 ПС 110 кВ АС1 для электроснабжения ВРУ 0,4 кВ жилого дома Рубасовой О. Н. на участке с КН 61:02:0600015:7083 в ст-це Ольгинская Аксайского района Ростовской области </t>
  </si>
  <si>
    <t xml:space="preserve">Строительство ТП 6/0,4 кВ, ВЛ 0,4 кВ, ВЛ 6 кВ по ВЛ 6 кВ №805 ПС 35 кВ АС8 для электроснабжения объекта торговли ИП Рогальского А. В. на участке с КН 61:02:0010201:1294 в х. Большой Лог Аксайского района Ростовской области </t>
  </si>
  <si>
    <t xml:space="preserve">Строительство ВЛ 0,4 кВ от ВЛ 0,4 кВ №1 КТП 10/0,4 кВ №118 ВЛ 10 кВ №307 ПС 35 кВ БГ3 для электроснабжения жилого дома Сокуренко П.Н. по адресу РО, Багаевский район, х. Верхнеянченков, ул. Степная, д. 8а, к.н. 61:03:0030301:164. </t>
  </si>
  <si>
    <t xml:space="preserve">Строительство ВЛ 0,4 кВ от ВЛ 0,4 кВ №3 КТП 10/0,4 кВ №117 ВЛ 10 кВ №307 ПС 35 кВ БГ3 для электроснабжения жилого дома Махмудова Х. по адресу РО, Багаевский район, х. Елкин, ул. Стадионная 2, уч. 2, к.н. 61:03:0030154:15. </t>
  </si>
  <si>
    <t xml:space="preserve">Строительство ТП 10/0,4 кВ, ВЛ 0,4 кВ, ВЛ 10 кВ по ВЛ 10 кВ №305 ПС 35 кВ БГ3 для электроснабжения нежилого здания ООО «Автодор» по адресу: Ростовская обл., р-н. Багаевский, ст. Багаевская, трасса Ростов-Семикаракорск-Волгодонск 50 км, к.н. 61:03:0000000:2899. </t>
  </si>
  <si>
    <t xml:space="preserve">Строительство ТП 10/0,4 кВ, ВЛ 0,4 кВ, ВЛ 10 кВ по ВЛ 10 кВ №307 ПС 35 кВ БГ3 для электроснабжения жилых домов Шакировой Ш.Н.  и Махмудова Д.С. по адресу: Ростовская обл., р-н. Багаевский, х. Елкин, пер. Степной, 12 участок 4, к.н. 61:03:0030122:29, пер. Степной, 12 участок 5, к.н. 61:03:0030122:30. </t>
  </si>
  <si>
    <t>Строительство ВЛ 0,4 кВ от РУ 0,4 кВ ТП №92, ВЛ 10 кВ №157 ПС 110 кВ В1 для электроснабжения жилых домов Амирханян Ш. В., Амирханян Г. Б., Амирханяна В. Ш. в Веселовском районе, РО, п. Веселый, ул. Первомайская, 199, 201 участки с к. н. 61:06:0600012:1684, 61:06:0600012:980, 61:06:0600012:981</t>
  </si>
  <si>
    <t xml:space="preserve">Строительство ТП 10/0,4 кВ, ВЛ 0,4 кВ, ВЛ 10 кВ от ВЛ 10 кВ №155 ПС 110 кВ В1 для электроснабжения нежилой застройки (хозяйственная посторойка, нежилое здание) ООО «Оргтехника-ВР»  на участке с КН 61:12:0600301:113, расположенной по адресу: РО, Зерноградский район, х. Заполосный в 5,3 км на северо-запад от северной его окраины  </t>
  </si>
  <si>
    <t>Строительство ВЛ 0,4 кВ от КТП 10/0,4 кВ №644 ВЛ10 кВ № 608 ПС СМ6 для электроснабжения нежилого здания заявителя ИП Шуплецова Ф.В., по адресу: РО, Семикаракорский р-н, к.н.: 61:35:0600005:1020</t>
  </si>
  <si>
    <t>Строительство ТП 10/0,4 кВ, ВЛ 0,4 кВ, ВЛ 10 кВ от ВЛ 10 кВ №3 ПС 35 кВ Б. Салы для электроснабжения объекта торговли Евсюковой В. В. АО «Темерницкое» Аксайского района Ростовской области</t>
  </si>
  <si>
    <t xml:space="preserve">Строительство ВЛ 0,4 кВ по ВЛ 0,4 кВ №1 ТП 10/0,4 кВ №642 ВЛ 10 кВ №107 ПС 110 кВ АС-1 для электроснабжения жилого дома Крапивченко Е.В.  на участке с КН 61:02:0600015:5105 в Ростовской области Аксайского р-на, ст. Ольгинской, пер. Хрустальный, д. 20 </t>
  </si>
  <si>
    <t>Строительство ВЛ 0,4 кВ от ВЛ 0,4 кВ №1 ТП 10 кВ №642 ВЛ 10 кВ №107 ПС 110 кВ АС1 для электроснабжения ВРУ 0,4 кВ жилого дома Великоцкого Д. В. на участке с КН 61:02:0600015:5190 в ст-це Ольгинская Аксайского района Ростовской области</t>
  </si>
  <si>
    <t xml:space="preserve">Строительство ВЛ 0,4 кВ от ВЛ 0,4 кВ №2 КТП №614 ВЛ 10 кВ №105 ПС 110 кВ АС1 для электроснабжения ВРУ 0,4 кВ жилого дома Кобзева Э. Н. на участке с КН 61:02:0090102:2073 в ст-це Ольгинская Аксайского района Ростовской области </t>
  </si>
  <si>
    <t>Строительство ВЛ 0,4 кВ от ВЛ 0,4 кВ №1 ТП 10 кВ №629 ВЛ 10 кВ №501 ПС 35 кВ АС5 для электроснабжения ВРУ 0,4 кВ жилого дома Безземельной Т. И. на участке в х. Алитуб Аксайского района Р.О</t>
  </si>
  <si>
    <t xml:space="preserve">Строительство ВЛ 0,4 кВ по ВЛ 0,4 кВ №111/2 ТП №111 КЛ 10 кВ №625, №628 ПС 110 кВ Р6 для электроснабжения нежилого помещения  Назарян Ш.Ю. по адресу: г. Ростов-на-Дону, СНТ «Донподход», уч 0-30, КН: 61:44:0070902:41 </t>
  </si>
  <si>
    <t xml:space="preserve">Строительство ВЛ 0,4 кВ от проектируемой ВЛ 0,4 кВ  (по договору №61-1-21-00586139) ТП 10 кВ №476 ВЛ 10 кВ №1103 ПС 110 кВ АС11 для электроснабжения ВРУ-0,22 кВ жилого дома Семеруниной К.Р. на участке с КН 61:02:0600009:2386 и ВРУ 0,4 жилого дома Лысенко М.А. на участке с КН 61:02:0600009:2389 в ст. Мишкинская, Аксайского района, Р.О. </t>
  </si>
  <si>
    <t xml:space="preserve">Строительство ВЛ 0,4 кВ по ВЛ 0,4 кВ КТП-10/0,4 кВ №496 ВЛ 10 кВ №1101 ПС 110/35/10 кВ АС-11 для электроснабжения ВРУ-0,4 кВ жилого дома Заводчикова А.Г. на участке с КН 61:02:007202:2309 в ст-ца Мишкинская, Аксайского района, Ростовской области </t>
  </si>
  <si>
    <t xml:space="preserve">Строительство ВЛ 0,4 кВ от опоры №5 ВЛ 0,4 кВ КТП-10/0,4 кВ №931 ВЛ 10 кВ №1103 ПС 110/35/10 кВ АС-11 для электроснабжения ВРУ-0,4 кВ жилого дома Агакишиева Тельман Вагиф оглы на участке с КН 61:02:0600009:1604 в ст-ца Мишкинская, Аксайского района, Ростовской области </t>
  </si>
  <si>
    <t xml:space="preserve">Строительство ВЛ 0,4 кВ от ВЛ 0,4 кВ №1 ТП-10/0,4 кВ №928 ВЛ 10 кВ №101 ПС 110 кВ АС-1 для электроснабжения ВРУ-0,4 кВ жилого дома Личковаха С.Г. на участке с КН 61:02:0600015:7060 в ст-ца Ольгинская, Аксайского района, Ростовской области </t>
  </si>
  <si>
    <t xml:space="preserve">Строительство ВЛ 0,4 кВ от ВЛ 0,4 кВ №2 КТП 10/0,4 кВ №47 ВЛ 10 кВ №257 ПС 110 кВ БГ2 для электроснабжения жилого дома Токар В.В. по адресу РО, Багаевский район, х. Усьман, ул. Братская, д. 54-Е, к.н. 61:03:0060407:446. </t>
  </si>
  <si>
    <t xml:space="preserve">Строительство ВЛ 0,4 кВ от ВЛ 0,4 кВ №1 КТП 10/0,4 кВ №105 ВЛ 10 кВ №305 ПС 35 кВ БГ3 для электроснабжения склада (зернохранилище) ИП Аллахвердиева С.А. по адресу РО, Багаевский район, Багаевское сельское поселение, х. Краснодонский, ул. Октябрьская, 2а, к.н. 61:03:0600004:4661. </t>
  </si>
  <si>
    <t xml:space="preserve">Строительство ВЛ 0,4 кВ, КТП 10/0,4 кВ ВЛ 10 кВ № 1105 ПС СМ11 для электроснабжения жилого дома заявителя Байракдарова М.И., по адресу: РО, Семикаракорский р-н, к.н.: 61:35:0600013:371 </t>
  </si>
  <si>
    <t>Строительство ВЛ 0,4 кВ от проектируемого ТП 10/0,4 кВ по договорам (№61-1-21-00562865, №61-1-21-00562839) ВЛ 10 кВ №402 ПС 110 кВ СМ4 для электроснабжения жилых домов по адресу: РО, Семикаракорский р-н, х. Сусат, КН 61:35:0090101:438; 61:35:0090101:291; 61:35:0090101:3222; 61:35:0090101:3220; 61:35:0090101:293;</t>
  </si>
  <si>
    <t xml:space="preserve">Строительство ТП 10/0,4 кВ, ВЛ 0,4 кВ, ВЛ 10 кВ от ВЛ 10 кВ №1003 ПС 110 кВ АС10 для электроснабжения ВРУ 0,4 кВ нежилой застройки ООО «Данилов Александр Дмитриевич» на участке с КН 61:02:600002:226, РО, колхоз КСП им. Ленина Аксайский район </t>
  </si>
  <si>
    <t xml:space="preserve">Строительство ВЛ 0,4 кВ от ВЛ 0,4 кВ №3 КТП 10/0,4 кВ №88 ВЛ 10 кВ №301 ПС 35 кВ БГ3 для электроснабжения жилого дома Гусейнова Р.Л. по адресу РО, Багаевский район, п. Дачный, ул. Новая, д. 36, к.н. 61:03:0010602:354. </t>
  </si>
  <si>
    <t xml:space="preserve">Строительство ВЛ 0,4 кВ от ВЛ 0,4 кВ №3 КТП 10/0,4 кВ №25 ВЛ 10 кВ №259 ПС 110 кВ БГ2 для электроснабжения жилого дома Швед М.П. по адресу РО, Багаевский район, ст. Манычская, ул. Кирова, д. 53, к.н. 61:03:0040129:45. </t>
  </si>
  <si>
    <t xml:space="preserve">Строительство ВЛ 0,4 кВ от РУ 0,4 кВ ТП 10 кВ №737 ВЛ 10 кВ №105 ПС 110 кВ АС1 для электроснабжения ВРУ 0,4 кВ складского здания Экперова Д. Э. на участке с КН 61:02:0600015:8076 в ст-це Ольгинская Аксайского района Ростовской области </t>
  </si>
  <si>
    <t xml:space="preserve">Строительство ВЛ 0,4 кВ от ВЛ 0,4 кВ №1 ТП 10 кВ №453 ВЛ 10 кВ №1109 ПС 110 кВ АС11 для электроснабжения ВРУ 0,4 кВ жилого дома Синько А. В. на участке с КН 61:02:0600002:1041 в ст-це Грушевская Аксайского района Ростовской области </t>
  </si>
  <si>
    <t xml:space="preserve">Строительство ВЛ 0,4 кВ по ВЛ 0,4 кВ №2 КТП-10/0,4 кВ №448 ВЛ 10 кВ №1106 ПС 110/35/10 кВ АС-11 для электроснабжения ВРУ-0.4 кВ жилого дома Вострова Н.В. по адресу: РО г. Новочеркасск, пер. Жасминовый, д.3, К.Н.: 61:55:011022:0274. </t>
  </si>
  <si>
    <t xml:space="preserve">Строительство ТП 10/0,4 кВ, ВЛ 0,4 кВ, ВЛ 10 кВ от ВЛ 10 кВ №102 ПС 110 кВ АС1 для электроснабжения объектов наружного освещения Жировой Г. Н. на участках с КН 61:02:0600014:1902, 61:02:0600014:1905 в ст-це Ольгинской Аксайского района Ростовской области </t>
  </si>
  <si>
    <t xml:space="preserve">Строительство ВЛ 0,4 кВ от проектируемой ВЛ 0,4 кВ (по договору №61-1-22-00636701 от 25.03.2022 г.) ТП-10/0,4 кВ №928 ВЛ 10 кВ №101 ПС 110 кВ АС-1 для электроснабжения ВРУ-0.4 кВ жилого дома Чикиной М.А. по адресу: РО., р-н. Аксайский, ст-ца. Ольгинская, ул. 75 лет Победы, д. 3, КН: 61:02:0600015:7102 </t>
  </si>
  <si>
    <t xml:space="preserve">Строительство ВЛ 0,4 кВ от ВЛ 0,4 кВ №1 КТП-10/0,4 кВ №70А ВЛ 10 кВ №3 ПС 35/10 кВ Б. Салы для электроснабжения ВРУ-0.4 кВ жилого дома Ижендеева И.В. по адресу: Р.О., Аксайский р-н, п. Темерницкий, К.Н.: 61:02:0600005:10492 </t>
  </si>
  <si>
    <t xml:space="preserve">Строительство ВЛ 0,4 кВ от ВЛ 0,4 кВ №1 КТП-10/0,4 кВ №34 ВЛ 10 кВ №657 ПС 110 кВ АС-6 для электроснабжения ВРУ-0.22 кВ жилого дома Довгополого А.Д  по адресу: РО, Аксайский р-н, ст-ца. Старочеркасская, пер. Партизанский, д. 17, КН: 61:02:0110102:3312 </t>
  </si>
  <si>
    <t xml:space="preserve">Строительство ВЛ 0,4 кВ от опоры №19 ВЛ 0,4 кВ №5 КТП-10/0,4 кВ №601 ВЛ 10 кВ №101 ПС 110/35/10 кВ АС-1 для электроснабжения малоэтажной жилой застройки Вербицкой Татьяны Григорьевны по адресу: Ростовская обл., р-н. Аксайский, ст-ца. Ольгинская, ул. Красноармейская, д. 159, кадастровый номер земельного участка: 61:02:0090103:3482. </t>
  </si>
  <si>
    <t xml:space="preserve">Строительство ВЛ 0,4 кВ от ВЛ 0,4 кВ №2 ТП-10/0,4 кВ №757 ВЛ 10 кВ №101 ПС 110 кВ АС-1 для электроснабжения ВРУ-0,4 кВ жилого дома Кучерявого С.Н. на участке с КН 61:02:0600015:5389 в хуторе Махин, Аксайского района, Ростовской области </t>
  </si>
  <si>
    <t xml:space="preserve">Строительство ВЛ 0,4 кВ от ВЛ 0,4 кВ №1 КТП 10/0,4 кВ №123 ВЛ 10 кВ №108 ПС 110 кВ БГ1 для электроснабжения теплицы Гавриленко М.Н. по адресу РО, Багаевский район, Елкинское сельское поселение, к.н. 61:03:0600002:1006. </t>
  </si>
  <si>
    <t>Строительство ВЛ 0,4 кВ от ВЛ 0,4 кВ №3 КТП 10/0,4 кВ №117 ВЛ 10 кВ №307 ПС 35 кВ БГ3 для электроснабжения жилого дома Шакирова О.М. по адресу РО, Багаевский район, х. Елкин, пер. Степной, д. 4-а, к.н. 61:03:0030122:82.</t>
  </si>
  <si>
    <t>Строительство ТП 10/0,4 кВ, ВЛ 0,4 кВ, ВЛ 10 кВ от ВЛ 10 кВ №157 ПС 110 кВ В1 для электроснабжения склада ИП Казарян М. С. на участке с КН 61:06:0600012:1161 в Веселовском районе, РО, п. Веселый, ул. Октябрьская, 2-е и склада ИП Авагян А. А. на участке с КН 61:06:0600012:1324 в Веселовском районе, РО, п. Веселый, ул. Октябрьская, 2-з</t>
  </si>
  <si>
    <t>Строительство ВЛ 0,4 кВ от опоры №12 ВЛ-0,4 кВ № 2 КТП 10/0,4 кВ №429 ВЛ-10 кВ № 402 ПС СМ-4 для электроснабжения жилых домов заявитей Ковалева Н.С., Рыжих А.В, по адресу: РО, Семикаракорский р-н, х. Сусат, ул. Речная, д.2 к.н.: 61:35:0090101:573, ул. Речная, д.6 к.н.: 61:35:0090101:64</t>
  </si>
  <si>
    <t xml:space="preserve">Строительство ВЛ 0,4 кВ от ВЛ 0,4 кВ №2 ТП 6 кВ №177 ВЛ 6 кВ №807 ПС 35 кВ АС8 для электроснабжения жилого дома Миронова Д. О. на участке с КН 61:02:0010201:6898 в х. Большой Лог Аксайского района Ростовской области </t>
  </si>
  <si>
    <t xml:space="preserve">Строительство ВЛ 0,4 кВ от проектируемой ВЛ 0,4 кВ (по договору №61-1-21-00576307 от 19.05.2021 г.) техперевооружаемой ТП 10 кВ №447 ВЛ 10 кВ №1103 ПС 110 кВ АС11 для электроснабжения ВРУ 0,4 кВ жилого дома Норенко Е. В. в ст-це Мишкинская Аксайского района Ростовской области </t>
  </si>
  <si>
    <t xml:space="preserve">Строительство ВЛ 0,4 кВ от ВЛ 0,4 кВ №2 ТП 10 кВ №419 ВЛ 10 кВ №1005 ПС 110 кВ АС10 для электроснабжения ВРУ 0,4 кВ жилого дома Пятницыной В. А. на участке с КН 61:02:0000000:7253 в ст-це Грушевская Аксайского района Ростовской области </t>
  </si>
  <si>
    <t xml:space="preserve">Строительство ВЛ 0,4 кВ от проектируемой ВЛ 0,4 кВ (по договору №61-1-20-00517373 от 30.07.2020 г.) техперевооружаемой ТП 10 кВ №78 ВЛ 10 кВ №3 ПС 35 кВ Б. Салы для электроснабжения ВРУ 0,4 кВ жилого дома Лукьянчиковой А. С. в п. Щепкин Аксайского района Ростовской области </t>
  </si>
  <si>
    <t xml:space="preserve">Строительство ВЛ 0,4 кВ от проектируемой ВЛ 0,4 кВ техперевооружаемой КТП №492 ВЛ 10 кВ №1101 ПС 110 кВ АС11 (по договору №61-1-19-00476861 от 28.10.2019 г.) для электроснабжения ВРУ 0,4 кВ жилого дома Поддубской С. С. по ул. Солнечная, 15 в ст-це Мишкинская Аксайского района Ростовской области </t>
  </si>
  <si>
    <t xml:space="preserve">Строительство ВЛ 0,4 кВ по ВЛ 0,4 кВ №1 ТП 10/0,4 кВ №740 ВЛ 10 кВ №101 ПС 110 кВ АС-1 для электроснабжения жилого дома Григорян В.С на участке с КН 61:02:0600015:5709 в х. Махин Аксайского района Ростовской области </t>
  </si>
  <si>
    <t xml:space="preserve">Строительство ВЛ 0,4 кВ от ВЛ 0,4 кВ №2 КТП №419 ВЛ 10 кВ №1005 ПС 110 кВ АС10 для электроснабжения ВРУ 0,4 кВ жилого дома Чернова А. С. на участке с КН 61:02:0030107:651 в ст-це Грушевская Аксайского района Ростовской области </t>
  </si>
  <si>
    <t xml:space="preserve">Строительство ВЛ 0,4 кВ от опоры №5 ВЛ0,4 кВ №1 КТП 10/0,4 кВ №433 ВЛ10 кВ №402 ПС СМ4 для электроснабжения жилых домов заявитей Сало Н.М., Пазушкин М.Н., Ковалева Л.А., Манаев Г.В., Губина Н.М.  по адресу: РО, Семикаракорский р-н, х. Сусат, ул. Речная к.н.: 61:35:0090101:607; к.н.: 61:35:0090101:610; к.н.: 61:35:0090101:611; к.н.: 61:35:0090101:613; к.н.: 61:35:0090101:616; </t>
  </si>
  <si>
    <t xml:space="preserve">Строительство ТП 10/0,4 кВ, ВЛ 0,4 кВ, ВЛ 10 кВ от опоры № 14 ВЛ 10 кВ №125 ПС 110 кВ СМ1 для электроснабжения ВРУ-0,4 кВ жилых домов заявителей Жуковой С.В. по адресу г. Семикаракорск, ул. Серегина, 131, Волкова Р.И. по адресу г. Семикаракорск, ул. Серегина, 143, Орловой Н.В. по адресу г. Семикаракорск, ул. Заводская, 44, Листопадова Д.Ю. по адресу г. Семикаракорск, ул. Солнечная, 49, Дергачевой И.П. по адресу г. Семикаракорск, пр. в 94 м на восток от ул. Заводская, 44., Быстрова Е.В по адресу г. Семикаракорск, ул. Олега Кошевого, 46 к.н, Бекетова А Г. по адресу г. Семикаракорск, ул. Солнечная, 34/1., Ефименко И.В. по адресу г. Семикаракорск, ул. Серегина, 145, Любимов К.А. по адресу г. Семикаракорск, ул. Олега Кошевого, 28 </t>
  </si>
  <si>
    <t xml:space="preserve">Строительство ВЛ 0,4 кВ по ВЛ 0,4 кВ №1 КТП 10/0,4 кВ №632 ВЛ 10 кВ №608 ПС 35 кВ СМ 6 для электроснабжения жилых домов заявитей Бойко Г.М, Зибаровой О.В., Равдугиной А.Н., Смычковой Т.П., Мансуровой С.И. по адресу: РО, Семикаракорский р-н, х. Маломечетный, ул. Школьная к.н.: 61:35:0020401:183; к.н.: 61:35:0020401:181; к.н.: 61:35:0020401:35; к.н.: 61:35:0020401:180; к.н.: 61:35:0020401:1 </t>
  </si>
  <si>
    <t>Строительство ВЛ 0,4 кВ от ВЛ 0,4 кВ №1 КТП-10/0,4 кВ №434 ВЛ 10 кВ №1103 ПС 110/35/10 кВ АС-11 для электроснабжения ВРУ-0,4 кВ жилого дома Прокудиной Н. Д. на участке с КН 61:02:0600009:1028 в ст-це Мишкинской Аксайского района Ростовской области</t>
  </si>
  <si>
    <t>Строительство ВЛ 0,4 кВ по ВЛ 0,4 кВ №1 ТП 10/0,4 кВ №448 ВЛ 10 кВ №1106 ПС 110/35/10 кВ АС11 для электроснабжения ВРУ 0,4 кВ жилого дома Сова В.М. на участке с КН 61:55:0011023:76 по ул. Войсковая, д. 46 в г. Новочеркасске Ростовской области</t>
  </si>
  <si>
    <t xml:space="preserve">Строительство ВЛ 0,4 кВ от ВЛ 0,4 кВ №1 КТП-10/0,4 кВ №757 ВЛ 10 кВ №101 ПС 110/35/10 кВ АС-1 для электроснабжения ВРУ-0.4 кВ жилых домов по адресу: Ростовская обл., р-н. Аксайский, х. Махин, ул. Восточная, 18, 20 участки с КН 61:02:0600015:5463, 61:02:0600015:5466 </t>
  </si>
  <si>
    <t xml:space="preserve">Строительство ТП 10/0,4 кВ, ВЛ 0,4 кВ, ВЛ 10 кВ от ВЛ 10 кВ №401 ПС 110 кВ АС4 для электроснабжения склада сельхоз. продукции Коншина А. А. на участке с КН 61:02:0600016:3554 в х. Ленина Аксайского района Ростовской области </t>
  </si>
  <si>
    <t xml:space="preserve">Строительство ВЛ 0,4 кВ проектируемой ТП 10/0,4 кВ  ВЛ 10 кВ №307 ПС 35 кВ БГ3 с заменой трансформатора проектируемой ТП 10/0,4 кВ для электроснабжения дачных домов Ли Н.Г. и Ким А.В. по адресу  Багаевский район, Елкинское сельское пос, к.н. 61:03:0600002:960, к.н. 61:03:0600002:687. </t>
  </si>
  <si>
    <t xml:space="preserve">Строительство ВЛ 0,4 кВ от ВЛ 0,4 кВ №2 КТП 10/0,4 кВ №146 ВЛ 10 кВ №307 ПС 35 кВ БГ3 для электроснабжения жилого дома Лютфиева М.М. по адресу РО, Багаевский район, х. Елкин, ул. Стадионная 2, участок 6, к.н. 61:03:0030154:5. </t>
  </si>
  <si>
    <t xml:space="preserve">Строительство ВЛ 0,4 кВ от ВЛ 0,4 кВ №1 КТП 10/0,4 кВ №11 ВЛ 10 кВ №259 ПС 110 кВ БГ2 для электроснабжения малоэтажной жилой застройки (индивидуальный жилой дом/ садовый/дачный дом) Рахмановой Е.В. по адресу РО, Багаевский район, ст. Манычская, пер. Пограничный, д. 1-А, к.н. 61:03:0040136:5. </t>
  </si>
  <si>
    <t xml:space="preserve">Строительство ВЛ 0,4 кВ от ВЛ 0,4 кВ №1 КТП 10/0,4 кВ №28 ВЛ 10 кВ №263 ПС 110 кВ БГ2 для электроснабжения гаража Харагезовой Л.Ф. по адресу РО, Багаевский район, х. Арпачин, ул. Западная, д. 14, к.н. 61:03:0040212:57. </t>
  </si>
  <si>
    <t xml:space="preserve">Строительство ВЛ 0,4 кВ от ВЛ 0,4 кВ №2 КТП 10/0,4 кВ №47 ВЛ 10 кВ №257 ПС 110 кВ БГ2 для электроснабжения жилого дома Нам М.Е. по адресу РО, Багаевский район, х. Усьман, ул. Братская, д. 58 Б, к.н. 61:03:0060407:441. </t>
  </si>
  <si>
    <t>Строительство ВЛ 0,4 кВ от ВЛ 0,4 кВ №1 КТП 10/0,4 кВ №170 ВЛ 10 кВ №307 ПС 35 кВ БГ3 для электроснабжения дачного дома Ни А.В. по адресу РО, Багаевский район, Елкинское сельское поселение, К.Н. 61:03:0600002:958.</t>
  </si>
  <si>
    <t xml:space="preserve">Строительство ВЛ 0,4 кВ от РУ 0,4 кВ КТП 10 кВ №40, ВЛ 10 кВ №158 ПС 110 кВ В1 для электроснабжения кафе «Аленушка» Сысоевой С. С. на участке с КН 61:06:0010125:84 в Веселовском районе, РО, п. Веселый, пер. Комсомольский, 53-б </t>
  </si>
  <si>
    <t xml:space="preserve">Строительство ВЛ 0,4 кВ по ВЛ 0,4 кВ №1, ТП №54, ВЛ 10 кВ №309 ПС 35 кВ В3 для электроснабжения гаража Кравченко Э. А. в Веселовском районе, РО, п. Веселый, ул. Октябрьская, 207-б </t>
  </si>
  <si>
    <t xml:space="preserve">Строительство ТП 10/0,4 кВ, ВЛ 0,4 кВ, ВЛ 10 кВ от ВЛ 10 кВ №657 ПС 110 кВ АС6 для электроснабжения нежилой застройки РО «Донской Старочеркасский Ефремовский мужской монастырь» по адресу: РО, р-н Аксайский, ст-ца Старочеркасская, ул. Почтовая, 1/1, участок с КН 61:02:0110102:2993 </t>
  </si>
  <si>
    <t xml:space="preserve">Строительство ТП 10/0,4 кВ, ВЛ 0,4 кВ, ВЛ 10 кВ от ВЛ 10 кВ №403 ПС 110 кВ АС4 для электроснабжения складских зданий/помещений ИП Юнева А. Л. в Аксайском районе Ростовской области </t>
  </si>
  <si>
    <t xml:space="preserve">Строительство ВЛ 0,4 кВ от ВЛ 0,4 кВ №4 КТП-10/0,4 кВ №275 ВЛ 10 кВ №3 ПС 35/10 кВ Б. Салы для электроснабжения ВРУ-0,4 малоэтажной жилой застройки Черкасова Сергея Валентиновича по адресу: Ростовская обл., р-н. Аксайский, п. Темерницкий, ул. Дружбы, д. 1, кадастровый номер земельного участка: 61:02:0600005:13355 </t>
  </si>
  <si>
    <t xml:space="preserve">Строительство ВЛ 0,4 кВ от РУ 0,4 кВ КТП №329, ВЛ 10 кВ №904 ПС 35 кВ В9 для электроснабжения объекта животноводства Филатова И. А. в Веселовском районе, РО, х. Красный Октябрь, территория ЗАО «Красный Октябрь» КН 61:06:0600013:860, </t>
  </si>
  <si>
    <t xml:space="preserve">Строительство ВЛ 0,4 кВ по ВЛ 0,4 кВ №2, КТП №2, ВЛ 10 кВ №151 ПС 110 кВ В1 для электроснабжения жилого дома Бардика А. В. в Веселовском районе, РО, х. Каракашев, ул. Старая, 54-в участок с кадастровым номером 61:06:0010307:58 </t>
  </si>
  <si>
    <t xml:space="preserve">Строительство ТП 10/0,4 кВ, ВЛ 0,4 кВ, ВЛ 10 кВ по ВЛ 10 кВ №806 ПС 35 кВ СМ8 для электроснабжения объекта КФХ заявителя ИП Глава КФХ Ключенко С.В., по адресу: РО, Семикаракорский р-н, контуры полей №1,13,42,17,22,12 массива земель, реорганизованного с/п АОЗТ «Страховское» к.н.: 61:39:0600017:51 </t>
  </si>
  <si>
    <t>Строительство ВЛ 0,4 кВ по ВЛ 0,4 кВ №1 КТП №292 ВЛ 10 кВ № 208 ПС СМ2 для электроснабжения жилого дома Бадаловой К.К., по адресу: РО, Семикаракорский р-н, х. Жуков, примерно в 85 м на юг от ул. Садовая, д.4 к.н.: 61:35:0040201:1717 (ориентировочная протяжённость ЛЭП 0,045 км)</t>
  </si>
  <si>
    <t xml:space="preserve">Строительство ВЛ 0,4 по ВЛ 0,4 кВ №1 КТП 10/0,4 кВ №175 ВЛ 10 кВ №125 ПС СМ1 для электроснабжения жилого дома заявителя Тютюнникова С.А., по адресу: РО, г. Семикаракорск, ул. Солнечная, 8/9 К.Н. 61:35:0110205:164 </t>
  </si>
  <si>
    <t xml:space="preserve">Строительство ТП 10/0,4 кВ, ВЛ 0,4 кВ, ВЛ 10 кВ по ВЛ 10 кВ №407 ПС 110 кВ СМ4 для электроснабжения нежилого здания Денисовой О.Ф., по адресу: РО, Усть-Донецкий р-н, примерно 1,1 км на восток от ст. Мелиховская к.н.: 61:39:0600016:1508 </t>
  </si>
  <si>
    <t xml:space="preserve">Строительство ВЛ 0,4 кВ от РУ-0,4 кВ КТП-10/0,4 кВ №748 ВЛ 10 кВ №111 ПС 110/35/10 кВ АС-1 для электроснабжения нежилой застройки ИП Сайдукаева Л.М. по адресу: РО., р-н. Аксайский, х. Маяковского, ул. Заводская, д. 28-а, КН: 61:02:0600016:2988 </t>
  </si>
  <si>
    <t>Строительство ТП 10/0,4 кВ, ВЛ 0,4 кВ, ВЛ 10 кВ по ВЛ 10 кВ №402 ПС 35 кВ В4 для электроснабжения нежилой застройки ООО «Оргтехника-ВР» на участке с КН 61:12:0600301:401 в Зерноградском районе Ростовской области, ориентир х. Запалосный от северной окраины, участок находится примерно в 8,531 км от ориентира по направлению на северо-запад (ориентировочная мощность трансформатора 0,1 МВА, ориентировочная протяжённость ЛЭП 1,915 км)</t>
  </si>
  <si>
    <t xml:space="preserve">Строительство ТП 6/0,4 кВ, ВЛ 0,4 кВ, ВЛ 6 кВ от ВЛ 6 кВ №603 ПС 110/10/6 кВ АС6 для электроснабжения объектов туристической отрасли на участках с КН 61:02:0600013:3454, КН 61:02:0600013:3322, КН 61:02:0600013:3223 в ст. Старочеркасская Аксайского района Ростовской области </t>
  </si>
  <si>
    <t xml:space="preserve">Строительство ВЛ 0,4 кВ от ВЛ 0,4 кВ №1 КТП-10/0,4 кВ №689 ВЛ 10 кВ №103 ПС 110/35/10 кВ АС-1 с заменой трансформатора в ТП №689 для электроснабжения ВРУ 0,4 кВ жилого дома Степановой В. Г. по адресу: Ростовская обл., р-н Аксайский, х. Островского, ул. Ноябрьская, д. 1-А, кадастровый номер земельного участка: 61:02:0050201:942 </t>
  </si>
  <si>
    <t xml:space="preserve">Строительство ТП 6/0,4 кВ, ВЛ 0,4 кВ, ВЛ 6 кВ по ВЛ 6 кВ №806 ПС 35/6 кВ АС8 для электроснабжения нежилой застройки ИП Шутова М.Е. на участке с КН 61:02:0600011:2318 в п. Реконструктор Аксайского района Ростовской области </t>
  </si>
  <si>
    <t>Строительство ВЛ 0,4 кВ от проектируемой ВЛ 0,4 кВ (по договору №61-1-22-00641893 от 27.04.2022 г.) проектируемого ТП 10/0,4 кВ ВЛ 10 кВ №1208 ПС 110 кВ АС-12 для электроснабжения ВРУ-0.4 кВ жилого дома Юпашевской Н.О. по адресу: РО., р-н. Аксайский, п. Щепкин, ул. Юрия Гагарина, д. 19, КН: 61:02:0600006:2023</t>
  </si>
  <si>
    <t xml:space="preserve">Строительство ВЛ 0,4 кВ по ВЛ 0,4 кВ №1 КТП-10/0,4 кВ №226 ВЛ 10 кВ №3 ПС 35/10 кВ Б. Салы для электроснабжения ВРУ-0,4 кВ объекта сельхозпроизводства Кондрахина Д. В. по адресу: РО., р-н. Аксайский, х. Нижнетемерницкий, КН: 61:02:0600006:7094 </t>
  </si>
  <si>
    <t xml:space="preserve">Строительство ВЛ 0,4 кВ от РУ 0,4 кВ КТП-10/0,4 кВ №75 ВЛ 10 кВ №1407 ПС 35/10 кВ АС-14 для электроснабжения строительной площадки ООО "ДОРТЕХСТРОЙ" по адресу: РО., р-н. Аксайский, п. Рассвет, КН:61:02:0600008:2139 </t>
  </si>
  <si>
    <t>Строительство ВЛ 0,4 кВ от ВЛ 0,4 кВ №2 КТП-10/0,4 кВ №207 ВЛ 10 кВ №3 ПС 35/10 кВ Б. Салы для электроснабжения ВРУ-0,4 кВ малоэтажной жилой застройки Уханова И.О. по адресу: РО., р-н. Аксайский, п. Возрожденный, ул. Майская, д. 6, КН: 61:02:0080202:72</t>
  </si>
  <si>
    <t xml:space="preserve">Строительство ВЛ 0,4 кВ по ВЛ 0,4 кВ №1 КТП-10/0,4 кВ №626 ВЛ 10 кВ №111 ПС 110/35/10 кВ АС-1 для электроснабжения ВРУ-0,4 кВ производственного здания Гунько Н.Г по адресу: РО, р-н. Аксайский, п. Дорожный, К.Н: 61:02:0050101:2728 </t>
  </si>
  <si>
    <t xml:space="preserve">Строительство ВЛ 0,4 кВ по ВЛ 0,4 кВ №1, ТП №120, ВЛ 10 кВ №405 ПС 35 кВ В4 для электроснабжения склада Гаспарян С. Г. в Веселовском районе, РО, п. Веселый, ул. Октябрьская, 216-в участок с кадастровым номером 61:06:0600012:1726 </t>
  </si>
  <si>
    <t xml:space="preserve">Строительство ВЛ 0,4 кВ от КТП 10/0,4 кВ №178 ВЛ 10 кВ № 125 ПС СМ1 для электроснабжения антенно-мачтового сооружения 61-15006 заявителя АО «Первая Башенная Компания», по адресу: г. Семикаракорск, ул. Серегина, вблизи д. 11 к.н.: 61:35:110208 </t>
  </si>
  <si>
    <t xml:space="preserve">Строительство ТП 10/0,4 кВ, ВЛ 0,4 кВ, ВЛ 10 кВ по ВЛ 10 кВ №105 ПС 110 кВ АС1 для электроснабжения объектов электросетевого хозяйства Казарян А. О. на участке с КН 61:02:0600015:8293 в х. Нижнеподпольный Аксайского района Ростовской области </t>
  </si>
  <si>
    <t xml:space="preserve">Строительство ВЛ 0,4 кВ по ВЛ 0,4 кВ №111/2 ТП-10/0,4 кВ №111 по КЛ 10 кВ №625, №628 ПС 110 кВ Р6 для электроснабжения объекта торговли Джиоева А.А. по адресу: Ростов-на-Дону, ул. Шаповалова, д. 1И   КН: 61:44:0070905:523 </t>
  </si>
  <si>
    <t xml:space="preserve">Строительство ВЛ 0,4 кВ от РУ 0,4 кВ проектируемой ТП 10/0,4 кВ (по договору №61-1-20-00506489 от 27.05.2020 г.) ВЛ 10 кВ №401 ПС 110 кВ АС4 для электроснабжения складского здания/помещения ООО «Сервисный Центр «Регион 61»» на участке с КН 61:02:0600016:4604 в х. Маяковского Аксайского района Ростовской области </t>
  </si>
  <si>
    <t xml:space="preserve">Строительство ВЛ 0,4 кВ по ВЛ 0,4 кВ №1 КТП-6/0,4 кВ №516 ВЛ 6 кВ №3 РП-6 КЛ 6 кВ №340 ПС 110/6 кВ БТ-3 для электроснабжения ВРУ-0,22 кВ малоэтажной жилой застройки Тарасенко А.Н. по адресу: РО, р-н. Азовский, п. Красный Сад, КН: 61:01:0130201:5596 </t>
  </si>
  <si>
    <t xml:space="preserve">Строительство ВЛ 0,4 кВ по ВЛ 0,4 кВ №1 КТП-10/0,4 кВ №636 ВЛ 10 кВ №101 ПС 110 кВ АС-1 для электроснабжения ВРУ 0,4 кВ нежилого дома Москачева А.И.  по адресу: РО р-н Аксайский, ст-ца. Ольгинская, пер. 8-й, д. 6, К.Н.: 61:02:0090103:3168 </t>
  </si>
  <si>
    <t xml:space="preserve">Строительство ТП 10/0,4 кВ, ВЛ 0,4 кВ, ВЛ 10 кВ от ВЛ 10 кВ №1547 ПС 110/10 кВ АС-15 для электроснабжения ВРУ-0,4 кВ жилого дома Потян С.Э. на участке с КН 61:02:0600010:9060 в г. Аксае Аксайского района РО </t>
  </si>
  <si>
    <t>Строительство ВЛ 0,4 кВ от ВЛ 0,4 кВ №2 КТП-10/0,4 кВ №618 ВЛ 10 кВ №111 ПС 110 кВ АС-1 для электроснабжения ВРУ-0,22 кВ малоэтажной жилой застройки Сетраковой Е.В. по адресу: РО., р-н. Аксайский, п. Дорожный, ул. Центральная, д. 10а, КН: 61:02:0050101:3003</t>
  </si>
  <si>
    <t xml:space="preserve">Строительство ВЛ 0,4 кВ по ВЛ 0,4 кВ №2 КТП-10/0,4 кВ №618 ВЛ 10 кВ №111 ПС 110 кВ АС-1 для электроснабжения заявителя Молчанова Н.П. по адресу: Ростовская обл., р-н. Аксайский, п. Дорожный, ул. Асфальтная, д. 1, корп. Б, К.Н.: 61:02:0050101:718 </t>
  </si>
  <si>
    <t xml:space="preserve">Строительство ВЛ 0,23 кВ от опоры №29 ВЛ 0,4 кВ №1 КТП-10/0,4 кВ №13 ВЛ 10 кВ №653 ПС 110/10 кВ АС-6 для электроснабжения ВРУ-0,23 кВ малоэтажной жилой застройки Борзенко Виктории Николаевны по адресу: Ростовская обл., р-н. Аксайский, ст-ца. Старочеркасская, ул. Подтелкова, д. 36, КН участка: 61:02:0110102:4323 </t>
  </si>
  <si>
    <t xml:space="preserve">Строительство ВЛ 0,4 кВ по ВЛ 0,4 кВ №1 ТП 10/0,4 кВ №944 ВЛ 10 кВ №3 ПС 35кВ Б. Салы для электроснабжения ВРУ-0,4 кВ нежилой застройки Сухина Д.П. по адресу: РО, р-н. Аксайский, п. Темерницкий, КН: 61:02:0600005:9584 </t>
  </si>
  <si>
    <t xml:space="preserve">Строительство ВЛ 0,4 кВ от проектируемой ВЛ 0,4 кВ (по договору №61-1-21-00593787 от 06.08.2021 г.) проектируемой КТПН 10/0,4 кВ ВЛ 10 кВ №403 ПС 110 кВ АС4 для электроснабжения индивидуального жилого дома Брыль В. А. в КСП им. Ленина Аксайского района Ростовской области </t>
  </si>
  <si>
    <t xml:space="preserve">Строительство ВЛ 0,4 кВ по ВЛ 0,4 кВ №3 КТП 10/0,4 кВ №156 ВЛ 10 кВ № 125 ПС СМ1 для электроснабжения жилого дома заявителя Мацюк А.В., по адресу: РО, Семикаракорский р-н, ст-ца Новозолотовская, ул. Молодежная, д.18 КН 61:35:0060101:21 </t>
  </si>
  <si>
    <t>Строительство ВЛ 0,4 кВ от ВЛ 0,4 кВ №1 ТП 10/0,4 кВ №62 ВЛ 6 кВ №804 ПС 35 кВ АС8 для электроснабжения жилого дома Цивцивадзе М. Т. на участке с КН 61:02:0600010:19382 в РО, п. Российский Аксайского района</t>
  </si>
  <si>
    <t xml:space="preserve">Строительство ВЛ 0,4 кВ от ВЛ 0,4 кВ №1 ТП 6 кВ №62 ВЛ 6 кВ №804 ПС 35 кВ АС8 для электроснабжения ВРУ 0,4 кВ жилого дома Брижан В. С. на участке с КН 61:02:0600010:19376 в п. Российский Аксайского района Ростовской области </t>
  </si>
  <si>
    <t xml:space="preserve">Строительство ВЛ 0,4 кВ по ВЛ 0,4 кВ №1 КТП 6/0,4 кВ №523 РП 6 кВ КЛ 6 кВ №340 ПС 110/6 кВ БТ-3 для электроснабжения строительной площадки Носачева А. В. на участке с КН 61:01:0130201:4720 в п. Красный Сад Азовского района Ростовской области </t>
  </si>
  <si>
    <t xml:space="preserve">Строительство ТП 10/0,4 кВ, ВЛ 0,4 кВ, ВЛ 10 кВ от ВЛ 10 кВ №406 ПС 110 кВ АС4 для электроснабжения объекта крестьянского (фермерского) хозяйства ИП Скрынникова Д. Ф. на участке с КН 61:02:0600016:3518 в х. Ленина Аксайского района Ростовской области </t>
  </si>
  <si>
    <t xml:space="preserve">Строительство ВЛ 0,4 кВ по ВЛ 0,4 кВ №1 от КТП 10/0,4 кВ №260 ВЛ 10 кВ №3 ПС 35/10 кВ Б. Салы для электроснабжения ВРУ-0,4 кВ жилого дома Балтабаева Н.М. на участке с КН 61:02:0600005:12060  в х. Нижнетемерницкий Аксайского района Ростовской области  
</t>
  </si>
  <si>
    <t xml:space="preserve">Строительство ВЛ 0,4 кВ от ВЛ 0,4 кВ №3 КТП-10/0,4 кВ №448 ВЛ 10 кВ №1109 ПС 110/10 кВ АС-11 для электроснабжения ВРУ-0.4 кВ малоэтажной жилой застройки Лоик О.А. по адресу: Ростовская обл., г. Новочеркасск, СНТ 7, ул. Десятая, д. 84 КН: 61:55:0011022:260 </t>
  </si>
  <si>
    <t xml:space="preserve">Строительство ВЛ 0,4 кВ по ВЛ 0,4 кВ №2 КТП-6/0,4 кВ №73 ВЛ 6 кВ №305 ПС 35/6 кВ АС-3 для электроснабжения ВРУ-0,4 кВ жилого дома Перкова А. А. по адресу: г. Аксай, ул. Ефремова, д. 1, КН 61:02:0600010:14276 </t>
  </si>
  <si>
    <t xml:space="preserve">Строительство ВЛ 0,4 кВ по ВЛ 0,4 кВ №4 КТП-10/0,4 кВ №275 ВЛ 10 кВ №3 ПС 35 кВ Б. Салы для электроснабжения ВРУ-0,23 кВ малоэтажной жилой застройки Сорокоумовой В.А. по адресу: РО, р-н. Аксайский, п. Темерницкий, ул. Дружбы, д. 11, КН: 61:02:0600005:12773 </t>
  </si>
  <si>
    <t xml:space="preserve">Строительство ВЛ 0,4 кВ по ВЛ 0,4 кВ №4 ТП-10/0,4 кВ №275 ВЛ 10 кВ №3 ПС 35/10 кВ Б. Салы для электроснабжения ВРУ-0,23 кВ малоэтажной жилой застройки Никулиной А.Ю. по адресу: РО, р-н. Аксайский, п. Темерницкий, ул. Дружбы, 17, КН: 61:02:0600005:10073 </t>
  </si>
  <si>
    <t xml:space="preserve">Строительство ВЛ 0,4 кВ, ТП 10/0,4 кВ, ВЛ 10 кВ по ВЛ 10 кВ №2 ПС 35/10 кВ Б. Салы для электроснабжения ВРУ-0,4 кВ малоэтажной жилой застройки Воробьевой В.А., расположенной по адресу: РО, Аксайский р-н, п. Темерницкий, Рижский проезд, 7, КН земельного участка: 61:02:0600005:9734 </t>
  </si>
  <si>
    <t>Строительство ТП 10/0,4 кВ, ВЛ 0,4 кВ, ВЛ 10 кВ от ВЛ 10 кВ №102 ПС 110 кВ АС1 для электроснабжения ВРУ 0,4 кВ нежилой застройки Жировой Г. Н. на участке с КН 61:02:0600014:1893 в ст-це Ольгинской Аксайского района Ростовской области</t>
  </si>
  <si>
    <t>Строительство ВЛ 0,4кВ от РУ 0,4кВ техперевооружаемого ТП №456 (по договору «№ 61-1-23-00692853 от 31.03.2023») по ВЛ 10кВ 1109 ПС 110кВ АС11, для электроснабжения ВРУ 0,4кВ малоэтажной застройки Текутова Е.Г. по адресу: РО, р-н Аксайский, ст-ца Грушевская, ул. Вивальди, д.2, КН: 61:02:0600002:1115</t>
  </si>
  <si>
    <t xml:space="preserve">Строительство ТП 10/0,4 кВ, ВЛ 0,4 кВ, ВЛ 10 кВ по ВЛ 10 кВ №606 ПС 110 кВ БГ6 для электроснабжения магазина ИП Галдиной О.В. по адресу: Ростовская обл., р-н. Багаевский, х. Ажинов, ул. Зеленая, д. 1-Д, д. 1-Б к.н. 61:03:0020103:564, к.н. 61:03:0020103:565 </t>
  </si>
  <si>
    <t xml:space="preserve">Строительство ВЛ 0,4 кВ от ВЛ 0,4 кВ №1 КТП 10/0,4 кВ №41 ВЛ 10 кВ №263 ПС 110 кВ БГ2 для электроснабжения малоэтажной жилой застройки (индивидуального жилого дома/садового/дачного дома) Хайбулаева Ш.А. по адресу РО, Багаевский район, х. Арпачин, ул. Донская, д. 33-н, к.н. 61:03:0040215:110. </t>
  </si>
  <si>
    <t xml:space="preserve">Строительство ВЛ 0,4 кВ от ВЛ 0,4 кВ №1 КТП 10/0,4 кВ №113 ВЛ 10 кВ №106 ПС 110 кВ БГ1 для электроснабжения дачного дома Бородина Д.Д. по адресу РО, Багаевский район, участок находится примерно в 900 метрах от ст. Багаевская, к.н. 61:03:0600004:2379. </t>
  </si>
  <si>
    <t xml:space="preserve">Строительство ВЛ 0,4 кВ от ВЛ 0,4 кВ №1 КТП 10/0,4 кВ №109 ВЛ 10 кВ №305 ПС 35 кВ БГ3 для электроснабжения малоэтажной жилой застройки (индивидуального жилого дома/садового/дачного дома) Мамедова А.М. по адресу РО, Багаевский район, х. Белянин, ул. Пролетарская, д. 25а, к.н. 61:03:0010303:244. </t>
  </si>
  <si>
    <t>Строительство ВЛ 0,4 кВ от ВЛ 0,4 кВ №3 КТП 10/0,4 кВ №103 ВЛ 10 кВ №115 ПС 110 кВ СМ1 для электроснабжения производственного здания/помещения, заявителя ООО «БеларусЮгСервис» по адресу: Ростовская обл., р-н. Семикаракорский, г. Семикаракорск, ул. Авилова, д. 2-а, КН.: 61:35:0110175:18</t>
  </si>
  <si>
    <t xml:space="preserve">Строительство ВЛ 0,4 кВ, ТП 10/0,4 кВ от опоры № 9/17 ВЛ 10 кВ №125 ПС СМ1 для электроснабжения жилого дома заявителя Борзенковой Е.В., по адресу: РО, Семикаракорский р-н, ст-ца Новозолотовская, ул. Дачная, д.20 к.н.: 61:35:0060101:3496 </t>
  </si>
  <si>
    <t>Строительство ВЛ 0,4 кВ по ВЛ 0,4 кВ №2 ТП №953 ВЛ 10 кВ № 903 ПС СМ9 для электроснабжения объекта религии заявителя Местная религиозная организация православный Приход Храма Благоверного Князя Александра Невского х. Слободской Семикаракорского р-на РО Религиозной организации "Волгодонская Епархия Русской Православной церкви (Московский Патриархат)",, по адресу: РО, р-н. Семикаракорский, х. Слободской, ул. Дзержинского, д. 17-а, к.н.: 61:35:0090401:2051</t>
  </si>
  <si>
    <t xml:space="preserve">Строительство ВЛ 0,4 кВ по ВЛ 0,4 кВ №2 КТП 10/0,4 кВ №172 ВЛ10 кВ № 125 ПС СМ1 для электроснабжения жилого дома заявителя Антипова Юрия Олеговича, по адресу: РО, Семикаракорский р-н, х. Чебачий, ул. Горького, д.17 к.н.: 61:35:0060201:426 </t>
  </si>
  <si>
    <t xml:space="preserve">Строительство ВЛ 0,4 кВ по ВЛ 0,4 кВ №2 КТП 10/0,4 кВ №288 ВЛ 10 кВ № 208 ПС СМ2 для электроснабжения жилого дома заявителя Кападзе Д.Н., по адресу: РО, Семикаракорский р-н, х. Жуков, 30 м на запад от ул. Школьная, д.29 к.н.: 61:35:0040201:1367 </t>
  </si>
  <si>
    <t xml:space="preserve">Строительство ВЛ 0,4 кВ от ВЛ 0,4 кВ №2 КТП-10/0,4 кВ №89 ВЛ 10 кВ №706 ПС 35/10 кВ АС-7 для электроснабжения ВРУ-0.4 кВ жилого дома Дубикова Е.В. по адресу: Р.О., р-н. Аксайский, п. Красный Колос, ул. Тихая, д. 2, К.Н: 61:02:0600007:11 </t>
  </si>
  <si>
    <t xml:space="preserve">Строительство ВЛ 0,4 кВ по ВЛ 0,4 кВ №2, замена трансформатора КТП-10/0,4 кВ №456 ВЛ 10 кВ №1109 ПС 110 кВ АС-1 для электроснабжения малоэтажной жилой застройки Кравчук В.А. по адресу: РО., р-н. Аксайский, ст-ца. Грушевская, д. 14, пер Чайковский, КН: 61:02:0600002:1163  </t>
  </si>
  <si>
    <t>Строительство ВЛ 0,4 кВ от ВЛ 0,4 кВ №2 техперевооружаемого (по договору № 61-1-22-00669427 от 27.09.2022 года) ТП №456 ВЛ 10 кВ №1109 ПС 110 кВ АС-11 для электроснабжения ВРУ-0,23 застройки Беликова Д.В., по адресу: РО, р-н. Аксайский, ст-ца. Грушевская, ул. Скрябина, д. 7, КН: 61:02:0600002:1136</t>
  </si>
  <si>
    <t xml:space="preserve">Строительство ВЛ 0,4 кВ по ВЛ 0,4 кВ №2 КТП-10/0,4 кВ №923 ВЛ 10 кВ №3 ПС 35/10 кВ Б. Салы для энергоснабжения заявителя Павлик В.В. по адресу: РО., р-н. Аксайский, п. Щепкин, КН: 61:02:0600006:7065 </t>
  </si>
  <si>
    <t xml:space="preserve">Строительство ВЛ 0,4 кВ от проектируемой ВЛ 0,4 кВ №2 ТП №940 ВЛ 10 кВ №403 ПС 110 кВ АС-4 (по договору №61-1-22-00657903 от 07.07.2022 г), для электроснабжения ВРУ-0,4 кВ жилого дома Брижахина С.М. по адресу: РО., р-н. Аксайский, х. Ленина, ул. Севастопольская 45, КН: 61:02:0600016:4462. </t>
  </si>
  <si>
    <t xml:space="preserve">Строительство ВЛ 0,4 кВ по ВЛ 0,4 кВ №2 ТП №923 ВЛ 10 кВ №3 ПС 35 кВ Б. Салы для электроснабжения ВРУ-0,4 кВ жилого дома Муминова М.С. по адресу: РО, р-н. Аксайский, п. Щепкин, КН: 61:02:0600006:7055. </t>
  </si>
  <si>
    <t xml:space="preserve">Строительство ВЛ 0,4 кВ по ВЛ 0,4 кВ №1 КТП-10/0,4 кВ №256 ВЛ 10 кВ от №3 ПС 35/10 кВ Б. Салы для электроснабжения ВРУ-0,4 кВ малоэтажных жилых застроек Головинова А.А и Ревенока В.А. по адресу: РО., р-н. Аксайский, п. Темерницкий, ул. Изумрудная, КН: 61:02:0600005:11321, 61:02:0600005:11320 </t>
  </si>
  <si>
    <t xml:space="preserve">Строительство ВЛ 0,4 кВ от проектируемой ВЛ 0,4 кВ (по договору №61-1-22-00671505 от 12.10.2022 года) КТП-10/0,4 кВ №923 ВЛ 10 кВ №3 ПС 35/10 кВ Б. Салы, для электроснабжения ВРУ-0,4 кВ земельного участка, жилого дома Горбань Ю.В. по адресу: РО, р-н. Аксайский, п. Щепкин, КН: 61:02:0600006:6955 </t>
  </si>
  <si>
    <t>Строительство ВЛ 0,4 кВ по ВЛ 0,4 кВ №2 КТП-10/0,4 кВ №497 ВЛ 10 кВ №1101 ПС 110 кВ АС-11, для электроснабжения ВРУ-0,4 кВ жилого дома Сербиной Г.И. по адресу: РО, р-н. Аксайский, ст-ца. Мишкинская, ул. Дружбы, д. 35, КН: 61:02:0070201:</t>
  </si>
  <si>
    <t xml:space="preserve">Строительство ВЛ 0,4 кВ по ВЛ 0,4 кВ №2 КТП-10/0,4 кВ №434 ВЛ 10 кВ №1103 ПС 110/35/10 кВ АС-11 для электроснабжения ВРУ-0,4 кВ малоэтажной жилой застройки Мельникова В.В. по адресу: РО, р-н. Аксайский, станица Мишкинская, КН земельного участка: 61:02:0600009:1342. </t>
  </si>
  <si>
    <t xml:space="preserve">Строительство ВЛ 0,4 кВ по ВЛ 0,4 кВ №1 ТП №160 ВЛ 10 кВ №441 ПС 220 кВ Р-4 для электроснабжения ВРУ-0,4 кВ малоэтажной жилой застройки Харченко А.И. по адресу: РО, р-н. Аксайский, х. Камышеваха, ул. Озерная, д. 4а, КН: 61:02:0010418:124 </t>
  </si>
  <si>
    <t>Строительство ВЛ 0,4 кВ по ВЛ 0,4 кВ №1 КТП №444 ВЛ 10 кВ №1101 ПС 110 кВ АС11 для электроснабжения ВРУ-0,4 кВ малоэтажной жилой застройки Безменовой О.В. по адресу: РО, р-н. Аксайский, ст-ца. Мишкинская, ул. Рабочая, д. 35, КН: 61:02:0070204:549</t>
  </si>
  <si>
    <t xml:space="preserve">Строительство ВЛ 0,4 кВ по ВЛ 0,4 кВ №4 ТП-10/0,4 кВ №275 ВЛ 10 кВ №3 ПС 35 кВ Б. Салы для электроснабжения ВРУ-0,4 кВ малоэтажной жилой застройки Ворожцова С.В. по адресу: РО, р-н. Аксайский, п. Темерницкий, ул. Дружбы, д. 5, КН: 61:02:0600005:10086 </t>
  </si>
  <si>
    <t>Строительство ВЛ 0,4 кВ по ВЛ 0,4 кВ №1 КТП №638 ВЛ 10 кВ №107 ПС 110 кВ АС1 для электроснабжения ВРУ-0,22 кВ жилого дома Машкиной А.А. по адресу: РО, р-н. Аксайский, ст-ца. Ольгинская, КН: 61:02:0090103:3531</t>
  </si>
  <si>
    <t>Строительство ВЛ 0,4 кВ по ВЛ 0,4 кВ №4 КТП №275 ВЛ 10 кВ №3 ПС 35/10 кВ Б. Салы для электроснабжения ВРУ-0,23 кВ жилого дома Лисовенко А.В. по адресу: РО, р-н. Аксайский, п. Темерницкий, КН: 61:02:0600005:12775</t>
  </si>
  <si>
    <t xml:space="preserve">Строительство ВЛ 0,4 кВ от проектируемой ВЛ 0,4 кВ (по договору №61-1-23-00702157 от 01.06.2023 г) по ВЛ 0,4 кВ №4 КТП-10/0,4 кВ №275 ВЛ 10 кВ №3 ПС 35 кВ Б. Салы для электроснабжения ВРУ-0,23 кВ малоэтажной жилой застройки Ковшун А.А. по адресу: РО, р-н. Аксайский, п. Темерницкий, ул. Дружбы, д.12, КН: 61:02:0600005:12776 </t>
  </si>
  <si>
    <t xml:space="preserve">Строительство ВЛ 0,4 кВ, ТП 10/0,4 кВ, ВЛ 10 кВ по ВЛ 10 кВ №1208 ПС 110/10 кВ АС-12 для электроснабжения складского здания/помещения ИП Гуляева по адресу: РО, Аксайскпй район, Щепкинское сельское поселение, п. Октябрьский, ул. Рубежная, з/у 12, КН земельного участка: 61:02:0600004:3081. </t>
  </si>
  <si>
    <t>Строительство ВЛ 0,4 кВ от ВЛ 0,4 кВ №2 КТП 10/0,4 кВ №167 ВЛ 10 кВ №603 ПС 110 кВ БГ6 для электроснабжения жилого дома Демчук Г.А. по адресу РО, Багаевский район, х. Ажинов, ул. Зеленая, д. 28, к.н. 61:03:0020103:324.</t>
  </si>
  <si>
    <t xml:space="preserve">Строительство ВЛ 0,4 кВ по ВЛ 0,4 кВ №1 КТП 10/0,4 кВ №106 ВЛ 10 кВ № 115 ПС СМ1 для электроснабжения объекта КФХ заявителя Кузьмина В.А., по адресу: РО, г. Семикаракорск, массив земель реорганизованного с/х предприятия АО "Донское", к.н.: 61:35:0600012:747 </t>
  </si>
  <si>
    <t xml:space="preserve">Строительство ВЛ 0,4 кВ от проектируемой ВЛ 0,4 кВ (по договору №61-1-22-00626367 от 31.01.2022 г.) ТП №928 ВЛ 10 кВ №101 ПС 110 кВ АС-1  для электроснабжения ВРУ-0.4 кВ жилого дома Григорьян Л.С. по адресу: РО., р-н. Аксайский, ст-ца. Ольгинская, ул. 75 лет Победы, д. 17, КН: 61:02:0600015:7088. </t>
  </si>
  <si>
    <t xml:space="preserve">Строительство ВЛИ 0,4 кВ по ВЛ 0,4 кВ (по договору №61-1-22-00682101 от 23.12.2022г.) техперевооружаемого ТП №456 (по договору №61-1-22-00669427 от 27.09.2022 года) ВЛ 10 кВ №1109 ПС 110 кВ АС-11 с заменой тр-ра в ТП для электроснабжения малоэтажной застройки Семенова М.Ю. по адресу: РО., р-н. Аксайский, ст-ца. Грушевская, пер. Скрябина, уч. 1, К.Н: 61:02:0600002:1133, </t>
  </si>
  <si>
    <t xml:space="preserve">Строительство ВЛ 0,4 кВ от проектируемой ВЛ 0,4 кВ (по договору №61-1-21-00598287 от 06.09.2021 г.) ТП-10/0,4 кВ №78 ВЛ 10 кВ №3 ПС 35 кВ Б. Салы для электроснабжения ВРУ-0.4 кВ жилого дома Волкова А. В. на участке с КН 61:02:0600006:6838 в п. Щепкин Аксайского района Ростовской области </t>
  </si>
  <si>
    <t xml:space="preserve">Строительство ВЛ 0,4 кВ по ВЛ 0,4 кВ №2 ТП №923 ВЛ 10 кВ №3 ПС 35 кВ Б. Салы (договор № 61-1-22-00661877 от 01.08.2022 г.), для электроснабжения ВРУ-0,4 кВ жилого дома Суменковой Т.Г. по адресу: РО, р-н. Аксайский, п. Щепкин, КН: 61:02:0600006:6992 </t>
  </si>
  <si>
    <t>Строительство ВЛИ 0,4 кВ по ВЛ 0,4 кВ №1 ТП-10/0,4 кВ №70А ВЛ 10 кВ №3 ПС 35 кВ Б. Салы, для электроснабжения ВРУ-0,4 кВ малоэтажной жилой застройки Солодниковой И.П. по адресу: РО, р-н. Аксайский, п. Темерницкий, КН: 61:02:0600005:10489</t>
  </si>
  <si>
    <t xml:space="preserve">Строительство ВЛ 0,4 кВ по ВЛ 0,4 кВ №2 КТП-10/0,4 кВ №923 ВЛ 10 кВ №3 ПС 35/10 кВ Б. Салы для электроснабжения ВРУ-0,4 кВ земельного участка, жилого дома Плюшкина А.В. по адресу: РО, р-н. Аксайский, п. Щепкин, КН: 61:02:0600006:7005 </t>
  </si>
  <si>
    <t xml:space="preserve">Строительство ВЛ 0,4 кВ от концевой проектируемой ВЛ 0,4 кВ (по договору № 61-1-22-00661877 от 01.08.2022 года) по ВЛ 0,4кВ №2 КТП-10/0,4 кВ №923 ВЛ 10 кВ №3 ПС 35/10 кВ Б. Салы, для электроснабжения ВРУ-0,4 кВ земельного участка, жилого дома Блащук О.В. по адресу: Ростовская обл., р-н. Аксайский, п. Щепкин, КН: 61:02:0600006:8491 </t>
  </si>
  <si>
    <t xml:space="preserve">Строительство ВЛ 0,4 кВ от проектируемой ВЛ 0,4 кВ (по договору № 61-1-22-00661877 от 01.08.2022 года) по ВЛ 0,4 кВ №2 ТП  №923 ВЛ 10 кВ №3 ПС 35 кВ Б. Салы, для электроснабжения ВРУ-0,4 кВ земельного участка, жилого дома Кравцова С.М. по адресу: Ростовская обл., р-н. Аксайский, п. Щепкин, КН: 61:02:0600006:6990 </t>
  </si>
  <si>
    <t>Строительство ВЛ 0,4 кВ от проектируемой (по договору № 61-1-22-00661877 от 01.08.2022 года) ВЛ кВ 0,4 №2 КТП-10/0,4 кВ №923 ВЛ 10 кВ №3 ПС 35 кВ Б. Салы, для электроснабжения ВРУ-0,4 кВ жилого дома Дудина Г.В. по адресу: РО, р-н. Аксайский, п. Аглос, КН: 61:02:0600006:7048</t>
  </si>
  <si>
    <t xml:space="preserve">Строительство ВЛ 0,4 кВ по ВЛ 0,4 кВ №2 ТП №923 ВЛ 10 кВ №3 ПС 35 кВ Б. Салы для электроснабжения ВРУ-0,4 кВ жилого дома Аленевской Е.М. по адресу: РО, р-н. Аксайский, п. Щепкин, КН: 61:02:0600006:7068 </t>
  </si>
  <si>
    <t xml:space="preserve">Строительство ВЛ 0,4 кВ, ТП 6/0,4 кВ, ВЛ 6 кВ по ВЛ 6 кВ №804 ПС 35 кВ АС8 для электроснабжения ВРУ-0,4 кВ малоэтажной жилой застройки Черничкина С.Г. расположенной по адресу: РО, Аксайский р-н, п. Российский, ул. Заповедная, 25б, КН: 61:02:0600010:19722 </t>
  </si>
  <si>
    <t xml:space="preserve">Строительство ВЛ 0,4 кВ по ВЛ 0,4 кВ №3 КТП-6/0,4 кВ №138 ВЛ 6 кВ №807 ПС 35 кВ АС8 для электроснабжения ВРУ-0,4 кВ малоэтажной жилой застройки Ряснянской Н.В. по адресу: РО, р-н. Аксайский, х. Большой Лог, ул. Фадеева, д. 173а, КН: 61:02:0010201:6180 </t>
  </si>
  <si>
    <t xml:space="preserve">Строительство ВЛ 0,4 кВ от концевой проектируемой опоры (по договору №61-1-23-00693189 от 04.04.2023 года) ВЛ 0,4 кВ №1 КТП 10/0,4 кВ №70А ВЛ 10 кВ №3 ПС 35 кВ Б. Салы для электроснабжения ВРУ-0,23 кВ объектов наружного освещения Тирацуян В.Л. по адресу: РО, р-н. Аксайский, п. Темерницкий, КН: 61:02:0600005:10481 </t>
  </si>
  <si>
    <t xml:space="preserve">Строительство ТП 10/0,4 кВ, ВЛ 0,4 кВ, ВЛ 10 кВ от ВЛ 10 кВ №1208 ПС 110 кВ АС12 для электроснабжения автосервиса Ивина А. Ф. на участке с КН 61:02:0600006:7804 в п. Щепкин Аксайского района Ростовской области </t>
  </si>
  <si>
    <t xml:space="preserve">Строительство ВЛ 0,4 кВ, ТП 10/0,4 кВ, ВЛ 10 кВ по ВЛ 10 кВ №102 ПС 110 кВ АС1 для электроснабжения ВРУ-0,4 кВ нежилой застройки Коровайко А.Б. расположенной по адресу: РО, Аксайский р-н, г. Аксай, ул. Заречная, д. 9-А, КН: 61:02:0120205:78 </t>
  </si>
  <si>
    <t>Строительство ВЛ 0,4 кВ от РУ-0,4 кВ КТП-10/0,4 кВ №926 ВЛ 10 кВ №1213 ПС 110 кВ АС12, для электроснабжения ВРУ-0,4 кВ складского здания/помещения ООО "ПромЭнергоСтрой" по адресу: РО, р-н. Аксайский, п. АО «Октябрьское», КН: 61:02:0600004:2506</t>
  </si>
  <si>
    <t xml:space="preserve">Строительство ВЛ 0,4 кВ по ВЛ 0,4 кВ №1 КТП-10/0,4 кВ №1 ВЛ 10 кВ №657 ПС 110/10/6 кВ АС-6 для электроснабжения ВРУ-0,4 кВ малоэтажной жилой застройки Дыморецкого С.И. расположенной по адресу: РО, Аксайский р-н, ст-ца Старочеркасская, ул. Ильинская, д.35, КН61:02:0600013:1924 </t>
  </si>
  <si>
    <t xml:space="preserve">Строительство ВЛ 0,4 кВ по ВЛ 0,4 кВ КТП-10/0,4 кВ №449 ВЛ 10 кВ №1103 ПС 110 кВ АС-11 для электроснабжения ВРУ-0,4 кВ нежилой застройки ИП Алексаньян Т.В. по адресу: РО, р-н. Аксайский, ст-ца. Мишкинская, ул. Платова, д. 66, КН: 61:02:0070201:1467 </t>
  </si>
  <si>
    <t xml:space="preserve">Строительство ВЛ 0,4 кВ от РУ 0,4 кВ техперевооружаемого ТП №456 (по договору №61-1-22-00669427 от 27.09.2022 года) ВЛ 10 кВ №11-09 ПС 110 кВ АС11 для электроснабжения ВРУ жилых застроек Масалова В.В. и Кравчук В.А. по адресу: Ростовская обл., р-н. Аксайский, ст-ца. Грушевская, К.Н: 61:02:0600002:1126, 61:02:0600002:1161, </t>
  </si>
  <si>
    <t>Строительство ВЛ 0,4 кВ от РУ-0,4 кВ ТП-6/0,4 кВ №508 ВЛ 6 кВ №1 РП-6 КЛ 6 кВ №340 ПС 110/6 кВ БТ-3 для электроснабжения ЛЭП-0,4 кВ нежилой застройки Киреева О.Р. на участке с КН 61:01:0130201:1563 в п. Красный Сад, ул. Вишневая, д. 3, Азовского района, Ростовской области</t>
  </si>
  <si>
    <t xml:space="preserve">Строительство ВЛ 0,4 кВ от ВЛ 0,4 кВ №2 КТП 10/0,4 кВ №79 ВЛ 10 кВ №263 ПС 110 кВ БГ2 для электроснабжения объекта туристической отрасли (гостиница, база отдыха, гостевой дом, прочее) ИП Хотнянского С.С. по адресу РО, Багаевский район, х. Арпачин, ул. Береговая, д. 36А, к.н. 61:03:0600007:1581. </t>
  </si>
  <si>
    <t xml:space="preserve">Строительство ВЛ 0,4 кВ от ВЛ 0,4 кВ №3 КТП 10/0,4 кВ №126 ВЛ 10 кВ №307 ПС 35 кВ БГ3 для электроснабжения нежилого помещения АО «Почта России» по адресу РО, Багаевский район, х. Кудинов, ул. Новая, д. 30, кв. 1,2,3, к.н. 61:03:0030201:668. </t>
  </si>
  <si>
    <t xml:space="preserve">Строительство ТП 10/0,4 кВ, ВЛ 0,4 кВ, ВЛ 10 кВ от ВЛ 10 кВ №910 ПС 35 кВ В9 для электроснабжения объекта сельскохозяйственного производства ООО «ЮгАгроХолдинг» на участке с КН 61:06:0600014:186, расположенного по адресу: РО, Веселовский район, местоположение установлено относительно ориентира, расположенного за пределами участка, ориентир х. Красный Маныч </t>
  </si>
  <si>
    <t xml:space="preserve">Строительство ВЛ 0,4 кВ от ВЛ 0,4 кВ №1 КТП 10/0,4 кВ №155 ВЛ 10 кВ № 125 ПС СМ1 для электроснабжения жилого дома заявителя Рожновой И.Р., по адресу: РО, Семикаракорский р-н, ст-ца Новозолотовская, пер. Братский, д.2 КН: 61:35:0060101:244 </t>
  </si>
  <si>
    <t xml:space="preserve">Строительство ВЛ 0,4 кВ от ВЛ 0,4 кВ №1 ТП 10 кВ №448 ВЛ 10 кВ №1106 ПС 110 кВ АС11 для электроснабжения ВРУ 0,4 кВ жилого дома Строилова В. М. на участке с КН 61:55:0011016:85 в г. Новочеркасске Ростовской области </t>
  </si>
  <si>
    <t xml:space="preserve">Строительство ВЛ 0,4 кВ от проектируемой ВЛ 0,4 кВ (по договору №61-1-19-00436769 от 11.04.2019 г.) проектируемой КТПН 6/0,4 кВ ВЛ 6 кВ №305 ПС 35 кВ АС3 для электроснабжения ВРУ 0,4 кВ жилых домов по ул. Атаманская, 9, 21/14 в г. Аксае Аксайского района Ростовской области </t>
  </si>
  <si>
    <t xml:space="preserve">Строительство ВЛ 0,4 кВ от проектируемой ВЛ 0,4 кВ (по договору №61-1-18-00419769 от 27.12.2018 г.) проектируемого КТПН 6/0,4 кВ ВЛ 6 кВ №305 ПС 35 кВ АС3 для электроснабжения ВРУ 0,4 кВ жилых домов на участках с КН 61:02:0600010:14262, 61:02:0600010:14265 в г. Аксае Аксайского района Ростовской области </t>
  </si>
  <si>
    <t>Строительство ВЛ 0,4 кВ от проектируемой ВЛ 0,4 кВ (по договору №61-1-21-00608555 от 22.10.2021 г.) ТП 6/0,4 кВ ВЛ 6 кВ №804 ПС 35 кВ АС8 для электроснабжения ВРУ 0,4 кВ жилого дома Воскобойниковой М. Г. на участке с КН 61:02:0600010:20776 в п. Российский Аксайского района Ростовской области</t>
  </si>
  <si>
    <t xml:space="preserve">Строительство ВЛ 0,4 кВ от ВЛ 0,4 кВ №1 ТП 6 кВ №101 ВЛ 6 кВ №805 ПС 35 кВ АС8 для электроснабжения ВРУ 0,4 кВ жилого дома Кожевниковой Н. В. на участке с КН 61:02:0010201:6518 в х. Большой Лог Аксайского района Ростовской области </t>
  </si>
  <si>
    <t xml:space="preserve">Строительство ВЛ 0,4 кВ от ВЛ 0,4 кВ №1 ТП 6 кВ №177 ВЛ 6 кВ №807 ПС 35 кВ АС8 для электроснабжения ВРУ 0,4 кВ жилого дома Кулешовой А. С. на участке с КН 61:02:0600010:6391 в х. Большой Лог Аксайского района Ростовской области </t>
  </si>
  <si>
    <t xml:space="preserve">Строительство ВЛ 0,4 кВ от ВЛ 0,4 кВ №2 КТП №757 ВЛ 10 кВ №101 ПС 110 кВ АС1 для электроснабжения ВРУ 0,4 кВ жилого дома Атрощенкова В. Т. на участке с КН 61:02:0600015:5415 в х. Махин Аксайского района Ростовской области </t>
  </si>
  <si>
    <t xml:space="preserve">Строительство ВЛ 0,4 кВ от ВЛ 0,4 кВ №3 ТП 10 кВ №114 ВЛ 10 кВ №701 ПС 35 кВ АС7 для электроснабжения ВРУ 0,4 кВ жилого дома Скачко Н. В. на участке с КН 61:02:0080601:309 в п. Красный Аксайского района Ростовской области </t>
  </si>
  <si>
    <t>Строительство ВЛ 0,4 кВ по ВЛ 0,4 кВ №4 КТП №275 ВЛ 10 кВ №3 ПС 35/10 кВ Б. Салы для электроснабжения ВРУ-0,4 кВ жилой застройки Дворянинова Т.В. по адресу: РО, р-н. Аксайский, п. Темерницкий, ул. Дружбы д.3 КН: 61:02:0600005:10085 (ориентировочная протяжённость ЛЭП 0,04км)</t>
  </si>
  <si>
    <t>Строительство ВЛ 0,4 кВ по ВЛ 0,4 кВ №4 КТП №275 ВЛ 10 кВ №3 ПС 35/10 кВ Б. Салы для электроснабжения ВРУ-0,4 кВ жилой застройки Быковского А.И. по адресу: РО, р-н. Аксайский, п. Темерницкий, ул. Дружбы. д. 6, КН: 61:02:0600005:13384 (ориентировочная протяжённость ЛЭП 0,07км)</t>
  </si>
  <si>
    <t>Строительство ВЛ 0,4 кВ по ВЛ 0,4 кВ №2 ТП №928 ВЛ 10 кВ №101 ПС 110 кВ АС1 для электроснабжения ВРУ-0,4 кВ малоэтажной жилой застройки Щербакова В.А. по адресу: РО, р-н. Аксайский, ст-ца. Ольгинская, ул. Раздольная 13, КН: 61:02:0600015:7853 (ориентировочная протяжённость ЛЭП 0,095 км)</t>
  </si>
  <si>
    <t>Строительство ВЛ 0,4 кВ по ВЛ 0,4 кВ №2 КТП-10/0,4 кВ №70А ВЛ 10 кВ №3 ПС 35/10 кВ Б. Салы для электроснабжения ВРУ-0,23кВ жилого дома Дейберг Р.И. по адресу: РО, р-н. Аксайский, г. Аксай, КН: 61:02:0600005:11385 (ориентировочная протяжённость ЛЭП 0,09 км)</t>
  </si>
  <si>
    <t>Строительс+B118:W121тво ВЛ 0,4 кВ по ВЛ 0,4 кВ №1 КТП-10/0,4 кВ №740 ВЛ 10 кВ №101 ПС 110/35/10 кВ АС1 для электроснабжения ВРУ-0,4 кВ жилого дома Щербакова М.А. по адресу: РО, р-н. Аксайский, х. Махин, ул. Мира, д. 6, К.Н: 61:02:0600015:3802 (ориентировочная протяжённость ЛЭП 0,110 км)</t>
  </si>
  <si>
    <t>Строительство ВЛ 0,4 кВ по ВЛ 0,4 кВ №1 КТП-10/0,4 кВ №8 ВЛ 10 кВ №657 ПС 110/10 кВ АС-6 для электроснабжения ВРУ-0,4 кВ жилого дома Дудник Л.А. по адресу: РО, р-н. Аксайский, ст-ца. Старочеркасская, ул. Минаева, д. 12а, КН земельного участка: 61:02:0110102:4218 (ориентировочная протяжённость ЛЭП 0,065 км)</t>
  </si>
  <si>
    <t>Строительство ВЛ 0,4 кВ от проектируемой ВЛ 0,4 кВ (по договору №61-1-22-00652323 от 08.06.2022 года) от РУ-0,4 кВ ТП №119 ВЛ 10 кВ №1212 ПС 110кВ АС-12, для электроснабжения ВРУ-0,4 кВ малоэтажной жилой застройки Архипова А.А. по адресу: РО, р-н. Аксайский, п. Октябрьский, ул. Степная, д. 33, КН: 61:02:0080101:20 (ориентировочная протяженность ЛЭП 0,100 км)</t>
  </si>
  <si>
    <t>Строительство ТП 10/0,4 кВ, ВЛ 0,4 кВ, ВЛ 10 кВ от ВЛ 10 кВ №1208 ПС 110 кВ АС12 для электроснабжения нежилой застройки ООО «ВторМетТрейд» на участке с КН 61:02:0600004:3324 в п. Октябрьский Аксайского района Ростовской области (ориентировочная мощность трансформатора 0,16 МВА, ориентировочная протяженность ЛЭП 0,04 км)</t>
  </si>
  <si>
    <t>Строительство ТП 10/0,4 кВ, ВЛ 0,4 кВ, ВЛ 10 кВ от ВЛ 10 кВ №1513 ПС 110 кВ АС-15 для электроснабжения распределительного высоковольтного устройства катодной защиты УКЗВ-1-10/0, 23-С1-У1-А ПАО «Газпром газораспределение Ростов-на-Дону» на участке с КН 61:02:0600010:1072 в г. Аксае (ориентировочная мощность трансформатора 0,025 МВА, ориентировочная протяженность ЛЭП 0,08 км)</t>
  </si>
  <si>
    <t>Строительство ВЛИ 0,4 кВ от техперевооружаемого ТП №456 (по договору №61-1-23-00687843 от 17.02.2023 года) ВЛ 10 кВ №1109 ПС 110 кВ АС-11 для электроснабжения ВРУ-0,4 кВ малоэтажной жилой застройки Кузнецовой Т.И. по адресу: РО., р-н. Аксайский, ст-ца. Грушевская, ул. Вивальди 10, КН земельного участка: 61:02:0600002:1119, (ориентировочная протяжённость ЛЭП 0,05 км)</t>
  </si>
  <si>
    <t>Строительство ВЛ 0,4 кВ от РУ-0,4 кВ ТП №928 ВЛ 10 кВ №101 ПС 110 кВ АС-1для электроснабжения ВРУ-0,4 кВ жилого дома Черникова Д.А. по адресу: РО, р-н. Аксайский, ст-ца. Ольгинская, КН: 61:02:0600015:7914 (ориентировочная протяжённость ЛЭП 0,040 км)</t>
  </si>
  <si>
    <t>Строительство ВЛ 0,4 кВ по ВЛ 0,4 кВ №1 КТП-10/0,4 кВ №232 ВЛ 10 кВ №12-07 ПС 110/10 кВ  АС-12 для электроснабжения ВРУ-0,23 кВ жилого дома Тихонова Р.А. по адресу: РО, р-н. Аксайский, п. Октябрьский, ул. Ясная, д. 9, КН земельного участка: 61:02:0080101:56 (ориентировочная протяжённость ЛЭП 0,040 км)</t>
  </si>
  <si>
    <t>Строительство ВЛ 0,4 кВ по ВЛ 0,4 кВ №3 КТП-10/0,4 кВ №944 ВЛ 10 кВ №3 ПС 35/10 кВ Б. Салы для электроснабжения ВРУ-0,4 кВ малоэтажной жилой застройки Евсюковой О.И. по адресу: РО, р-н. Аксайский, п. Темерницкий, КН: 61:02:0600005:10455 (ориентировочная протяжённость ЛЭП 0,130 км)</t>
  </si>
  <si>
    <t>Строительство ВЛ 0,4 кВ по ВЛ 0,4 кВ №2 КТП-10/0,4 кВ №757 ВЛ 10 кВ №101 ПС 110/35/10 кВ АС-1 для электроснабжения ВРУ-0,4 кВ малоэтажной жилой застройки Подгорного С.В. по адресу: РО, р-н. Аксайский, х. Махин, ул. Народная 11/пер. Радужный 42, КН: 61:02:0600015:5435 (ориентировочная протяжённость ЛЭП 0,040 км)</t>
  </si>
  <si>
    <t>Строительство ВЛ 0,23 кВ по ВЛ 0,4 кВ №1 КТП-6/0,4 кВ   №807   ПС 35кВ АС-8 для электроснабжения ВРУ-0,22 кВ малоэтажной жилой застройки Мирзаханян А.М. по адресу: РО, р-н. Аксайский, х. Большой Лог, ул. Пушкина д. 23-А. КН: 61:02:0010201:5144. (ориентировочная протяжённость ЛЭП 0,075 км)</t>
  </si>
  <si>
    <t>Строительство ВЛ 0,4 кВ по ВЛ 0,4 кВ №1 КТП-10/0,4 кВ №434 ВЛ 10 кВ №11-03 ПС 110 кВ АС11 для электроснабжения ВРУ-0,4 кВ малоэтажной жилой застройки Неудахиной Т.Я. по адресу: РО, р-н. Аксайский, ст-ца. Мишкинская, ул. Рождественская, К.Н: 61:02:0600009:2846 (ориентировочная протяжённость ЛЭП 0,040 км)</t>
  </si>
  <si>
    <t>Строительство ВЛ 0,4 кВ от проектируемой ВЛ 0,4 кВ (по договору №61-1-23-00687165 от 16.02.2023) ТП №940 ВЛ 10 кВ №403 ПС 110/10 кВ АС-4 для электроснабжения ВРУ-0,4 кВ жилого дома Каракай Д.А. по адресу: РО, р-н. Аксайский, х. Ленина, ул. Севастопольская, д. 42, КН: 61:02:0600016:4470 (ориентировочная протяжённость ЛЭП 0,025 км)</t>
  </si>
  <si>
    <t>Строительство ВЛ 0,4 кВ по ВЛ 0,4 кВ №1 КТП-10/0,4 кВ №170 ВЛ 10 кВ №15-13 ПС 110/10 кВ АС-15 для электроснабжения ВРУ-0,4 кВ нежилой застройки Арутюняна Г.В. по адресу: РО, р-н. Аксайский, АОЗТ «Янтарное», КН: 61:02:0600010:24753 (ориентировочная протяжённость ЛЭП 0,08 км)</t>
  </si>
  <si>
    <t>Строительство участка ВЛ 0,4 кВ от опоры №6 по ВЛ 0,4 кВ №2, КТП 10 кВ №433 по ВЛ 10 кВ №608 ПС 35 кВ В6 для электроснабжения магазина ИП Топилиной А. Н., расположенного по адресу: РО, Веселовский район, п. Чаканиха, пер. Школьный, КН 61:06:0020804:302 (ориентировочная протяжённость ЛЭП 0,035 км)</t>
  </si>
  <si>
    <t>Строительство ВЛ 0,4 кВ по ВЛ 0,4 кВ №2 КТП 10/0,4 кВ №682 ВЛ 10 кВ №255 ПС 110 кВ БГ2 для электроснабжения малоэтажной жилой застройки (индивидуальный жилой дом/садовый/дачный дом) Ли Л.Э. по адресу РО, Аксайский район, х. Слава Труда, ул. Степная, д. 5, к.н. 61:02:0020301:58. (</t>
  </si>
  <si>
    <t>Строительство ВЛ 0,4 кВ от РУ 0,4 кВ КТП №14, ВЛ 10 кВ №307 ПС 35 кВ В3 для электроснабжения базы отдыха Бережного В. В. в Веселовском районе, РО, в северно-западной зоне п. Веселый (причал) участок с кадастровым номером 61:06:0600012:1318</t>
  </si>
  <si>
    <t>Строительство ВЛ 0,4 кВ от проектируемых ВЛ 0,4 кВ, ТП 10/0,4 кВ, ВЛ 10 кВ (по договору №61-1-22-00660561 от 20.07.2022 года) по ВЛ 10 кВ №102 ПС 110 кВ АС1 для электроснабжения ВРУ-0,4 кВ малоэтажной жилой застройки Луговик С.В. по адресу: РО, р-н. Аксайский, ст-ца. Ольгинская, ул. Левобережная, д. 4, с/т Донское 15 линия участок 337, КН: 61:02:0504301:46 (ориентировочная протяжённость ЛЭП 0,220 км)</t>
  </si>
  <si>
    <t>Строительство ВЛ 0,4 кВ от ВЛ 0,4 кВ проектируемой КТПН 10/0,4 кВ (по договору №61-1-19-00488413 от 05.12.2019 г.) ВЛ 10 кВ №1208 ПС 110 кВ АС12 для электроснабжения ВРУ 0,4 кВ жилого дома Бутенко П. Н. по ул. Строителей, 188 в п. Щепкин Аксайского района Ростовской области (ориентировочная протяжённость ЛЭП 0,030 км)</t>
  </si>
  <si>
    <t>Строительство ВЛ 0,4 кВ от проектируемой ВЛ 0,4 кВ проектируемой КТПН 10/0,4 кВ (по договору №61-1-20-00519605 от 23.07.2020 г.) ВЛ 10 кВ №1109 ПС 110 кВ АС11 для электроснабжения ВРУ 0,4 кВ жилого дома Тынянко А. В. в ст-це Грушевская Аксайского района Ростовской области (ориентировочная протяжённость ЛЭП 0,02 км)</t>
  </si>
  <si>
    <t>Строительство ТП 10/0,4 кВ, ВЛ 0,4 кВ, ВЛ 10 кВ от ВЛ 10 кВ №1111 ПС 110 кВ АС11 для электроснабжения ВРУ 0,4 кВ вышки сотовой связи Шульгиной З. В. на участке в ст-це Грушевская Аксайского района Ростовской области (ориентировочная мощность трансформатора 0,025 МВА, ориентировочная протяженность ЛЭП 0,25 км)</t>
  </si>
  <si>
    <t>Строительство ВЛ 0,4 кВ от ВЛ 0,4 кВ №1 КТП-10/0,4 кВ №734 ВЛ 10 кВ №103 ПС 110/35/10 кВ АС-1 для электроснабжения ВРУ-0,4 кВ жилого дома Бахарева П. А. на участке с КН 61:02:0050201:2132 в х. Островского Аксайского района Ростовской области (ориентировочная протяжённость ЛЭП 0,22 км)</t>
  </si>
  <si>
    <t xml:space="preserve">Строительство ВЛ 0,4 кВ от РУ 0,4 кВ ТП 10/0,4 кВ №119 ВЛ 10 кВ №1212 ПС 110/10 кВ АС12 для электроснабжения ВРУ-0,4 кВ жилого дома Коломиец С.А. на участке с КН 61:02:0080107:505 в п. Октябрьский, ул. Новоселов, №25, Аксайского района Ростовской области 
(ориентировочная протяжённость ЛЭП 0,28 км)
</t>
  </si>
  <si>
    <t>Строительство ВЛ 0,4 кВ по ВЛ 0,4 кВ №1 КТП-10/0,4 кВ №267 ВЛ 10 кВ №1213 ПС 110/10 кВ АС-12 для элетроснаюжения ВРУ-0,22 кВ заявителя Ушаковой Е.А по адресу: Ростовская обл., р-н. Аксайский, п. Октябрьский, ул. Красная, д 79 КН: 61:02:0600004:2735 (ориентировочная протяжённость ЛЭП 0,220 км)</t>
  </si>
  <si>
    <t>Строительство ВЛ 0,4 кВ от ВЛ 0,4 кВ №1 КТП №520 ВЛ 6 кВ №3 РП-6 КЛ 6 кВ №340 ПС 110 кВ БТ3 для электроснабжения ВРУ 0,4 кВ жилого дома Тягло К. А. по ул. Малахитовая, 51 в п. Красный Сад Азовского района Ростовской области (ориентировочная протяжённость ЛЭП 0,070 км)</t>
  </si>
  <si>
    <t>Строительство ВЛ 0,4 кВ от ВЛ 0,4 кВ №2 КТП №142 ВЛ 6 кВ №303 ПС 35 кВ АС3 для электроснабжения ВРУ 0,4 кВ жилого дома Фоменко Е. Н. на участке с КН 61:02:0120178:66 в г. Аксае Аксайского района Ростовской области (ориентировочная протяжённость ЛЭП 0,276 км)</t>
  </si>
  <si>
    <t>Строительство ВЛ 0,4 кВ от РУ 0,4 кВ ТП 10 кВ №665 ВЛ 10 кВ №403 ПС 110 кВ АС4 для электроснабжения складского здания/помещения ООО «Научно-производственное объединение «СУР» на участке с КН 61:02:0600016:3549 в пос. АО «Родина» Аксайского района Ростовской области (ориентировочная протяжённость ЛЭП 0,25 км)</t>
  </si>
  <si>
    <t>Строительство ВЛ 0,4 кВ, замена трансформатора на ТП 6/0,4 кВ №125, ВЛ 6 кВ №806 ПС 35/6 кВ АС8 для электроснабжения ВРУ 0,4 кВ жилых домов в п. Опытный Аксайского района Ростовской области (ориентировочная мощность трансформатора 0,250 МВА, ориентировочная протяженность ЛЭП 0,63 км)</t>
  </si>
  <si>
    <t>Строительство ТП 10/0,4 кВ, ВЛ 0,4 кВ, ВЛ 10 кВ от ВЛ 10 кВ №3 ПС 35 кВ Б. Салы для электроснабжения складского здания/помещения ИП Алоян Н. А. на участке с КН 61:02:0600005:0471 в п. Щепкин Аксайского района Ростовской области (ориентировочная мощность трансформатора 0,16 МВА, ориентировочная протяжённость ЛЭП 1,33 км)</t>
  </si>
  <si>
    <t>Строительство ЛЭП 10 кВ от опоры №8 по ВЛ 10 кВ №307Н ПС 110/6/10 кВ НС-3, ТП 10/0,4 кВ, ЛЭП 0,4 кВ и установка системы учета электрической энергии (мощности) на границе земельного участка для электроснабжения питомника декоративных растений заявителя ИП глава КФХ Арутюнян О.С., х. Еремеевка, Азовский район, Ростовская область (ориентировочная протяженность ЛЭП– 0,035 км, ориентировочная трансформаторная мощность – 0,250 МВА)</t>
  </si>
  <si>
    <t>Строительство ЛЭП 6 кВ от опоры № 17 по КВЛ 6 кВ №429 ПС 35/6 кВ А-4, ТП 6/0,4 кВ, ЛЭП 0,4 кВ и установка системы учета электрической энергии (мощности) на границе земельного участка для электроснабжения нежилого помещения заявителя ООО «Топливно-энергетическая компания», Ростовская область, г. Азов, к.н. 61:01:0600004:707 (ориентировочная протяженность ЛЭП– 1,62 км, ориентировочная трансформаторная мощность – 0,250 МВА)</t>
  </si>
  <si>
    <t>Строительство ЛЭП 10 кВ от опоры №8-231 ВЛ 10 №105Н ПС 110/10/6 кВ НС-1 и установка системы учета электрической энергии (мощности) на границе земельного участка для электроснабжения малоэтажной жилой застройки заявителя Мазина В.Г, х. Усть-Койсуг, Азовский р-н, Ростовская область, к.н. 61:01:0030901:1574 (ориентировочная протяженность ЛЭП– 0,246 км)</t>
  </si>
  <si>
    <t>Строительство ЛЭП 10 кВ от опоры № 22 по ВЛ 10 кВ №211 ПС 35/10 кВ А-2,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Алексеенко А.П., Ростовская область, Азовский район, х.Новоалександровка, пер.Луговой, з/у 8-в (ориентировочная протяженность ЛЭП– 0,04 км, ориентировочная трансформаторная мощность – 0,250 МВА)</t>
  </si>
  <si>
    <t>Строительство ЛЭП 10 кВ от опоры №4рк по ВЛ 10 кВ №304Н ПС 110/35/10/6 кВ НС-3, ТП 10/0,4 кВ, ЛЭП 0,4 кВ и установка системы учета электрической энергии (мощности) на границе земельного участка для электроснабжения складского здания/помещения заявителя ООО «АПК Азовский», Азовский район, Ростовская область, к.н. 61:01:0600013:1394 (ориентировочная протяженность ЛЭП– 0,06 км, ориентировочная трансформаторная мощность – 0,250 МВА)</t>
  </si>
  <si>
    <t>Строительство ЛЭП 10 кВ от опоры №223 по ВЛ 10 кВ №3125 ПС 110/35/10 кВ А-31, ТП 10/0,4 кВ, ЛЭП 0,4 кВ и установка системы учета электрической энергии (мощности) на границе земельного участка для электроснабжения нежилого здания ИП Бугаян С.О., Ростовская область, Азовский район, с. Пешково (ориентировочная протяженность ЛЭП– 0,380 км, ориентировочная трансформаторная мощность – 0,250 МВА)</t>
  </si>
  <si>
    <t>Строительство ВЛ 6 кВ от опоры № 16 по КВЛ-6кВ №429 ПС 35/6 кВ «А-4», ТП 6/0,4 кВ, ВЛИ 0,4 кВ и установка системы учета электрической энергии (мощности) на границе земельного участка для электроснабжения шламонакопителя заявителя ООО «Азоврыба» Ростовская область, Азовский район, кадастровый номер земельного участка: 61:01:0600004:742. (ориентировочная протяженность ЛЭП– 0,045 км, ориентировочная трансформаторная мощность – 0,025 МВА)</t>
  </si>
  <si>
    <t>Строительство ЛЭП 10 кВ от опоры №24 по ВЛ 10 кВ №3105 ПС 110/35/10 кВ А-31, ТП 10/0,4 кВ, ЛЭП 0,4 кВ и установка системы учета электрической энергии (мощности) на границе земельного участка для электроснабжения объекта крестьянского (фермерского) хозяйства заявителя ИП Дорошенко Е.А., участок расположен на территрии ассоциации КФХ «Прогресс» компл.№1, поле 15, участок 233, с. Займо-Обрыв, Азовский район, Ростовская область, к.н. 61:01:0600011:1347 (ориентировочная протяженность ЛЭП– 0,315 км, ориентировочная трансформаторная мощность – 0,250 МВА)</t>
  </si>
  <si>
    <t>Строительство ЛЭП 10 кВ от опоры №116 по ВЛ 10 кВ №2608 ПС 35/10 кВ А-26,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Хлыстунов А.Н., х. Новоалександровка, Азовский район, Ростовская область (ориентировочная протяженность ЛЭП– 0,265 км, ориентировочная трансформаторная мощность – 0,250 МВА)</t>
  </si>
  <si>
    <t>Строительство ЛЭП 10 кВ от опоры №86 по ВЛ 10 кВ №809 ПС 110/10 кВ БОС, ТП 10/0,4 кВ, ЛЭП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производства заявителя ИП Черников А.Ю., п.Суходольск, Азовский район, Ростовская область, к.н. 61:01:0600007:2770 (ориентировочная протяженность ЛЭП– 0,03 км, ориентировочная трансформаторная мощность – 0,250 МВА)</t>
  </si>
  <si>
    <t>Строительство ЛЭП 10 кВ от опоры №23-96 по ВЛ 10 кВ №2608 ПС 110/10-10 кВ А-26, ТП 10/0,4 кВ, и установка системы учета электрической энергии (мощности) на границе земельного участка для электроснабжения морозильной камеры глубокой заморозки заявителя ИП Наливайченко Д.А., ул. Ленина, д. 324 ж, с. Кулешовка, Азовский район, Ростовская область, к.н. 61:01:0090101:3560 (ориентировочная протяженность ЛЭП– 0,015 км, ориентировочная трансформаторная мощность – 0,250 МВА)</t>
  </si>
  <si>
    <t>Строительство ЛЭП 10 кВ от опоры №13-198 по ВЛ 10 кВ №3125 ПС 110/35/10 кВ А-31, ТП 10/0,4 кВ, ЛЭП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производства заявителя ИП Давыдов С.А., участок находящийся у северо-восточной границы с. Головатовка, Азовский район, Ростовская область, к.н. 61:01:0600012:1121(ориентировочная протяженность ЛЭП– 0,650 км, ориентировочная трансформаторная мощность – 0,250 МВА)</t>
  </si>
  <si>
    <t>Строительство ЛЭП 10 кВ от опоры №7-62 по ВЛ 10 кВ №3127 ПС 110/35/10 кВ А-31, ТП 10/0,4 кВ, ЛЭП 0,4 кВ и установка системы учета электрической энергии (мощности) на границе земельного участка для электроснабжения нежилой застройки (хозяйственная постройка) заявителя ИП Миронов В.В., с. Кагальник, Азовский район, Ростовская область (ориентировочная протяженность ЛЭП– 0,71 км, ориентировочная трансформаторная мощность – 0,250 МВА)</t>
  </si>
  <si>
    <t>Строительство ЛЭП 10 кВ от опоры №21 по ВЛ 10 кВ №1014 ПС 110/35/10 кВ Самарская, ТП 10/0,4 кВ, ЛЭП 0,4 кВ и установка системы учета электрической энергии (мощности) на границе земельного участка для электроснабжения нежилого помещения заявителя ИП Зина А.Ю., с. Самарское, Азовский район, Ростовская область, к.н. 61:01:0170103:103 (ориентировочная протяженность ЛЭП– 0,035 км, ориентировочная трансформаторная мощность – 0,250 МВА)</t>
  </si>
  <si>
    <t>Строительство ЛЭП 10 кВ от опоры №139 по ВЛ 10 кВ №3129 ПС 110/35/10 кВ А-31, ТП 10/0,4 кВ, ЛЭП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производство заявителя ИП Глава крестьянского (фермерского) хозяйства Дорошенко Р.И., с. Пешково, Азовский район, Ростовская область, к.н. 61:01:0600012:941, к.н. 61:01:0600012:679 (ориентировочная протяженность ЛЭП– 0,125 км, ориентировочная трансформаторная мощность – 0,400 МВА)</t>
  </si>
  <si>
    <t>Строительство ЛЭП 10 кВ от опоры №143 по ВЛ 10 кВ №3129 ПС 110/35/10 кВ А-31, ТП 10/0,4 кВ, ЛЭП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производство заявителя ИП Глава крестьянского (фермерского) хозяйства Дорошенко Р.И., с. Пешково, Азовский район, Ростовская область, к.н. 61:01:0600012:862, к.н. 61:01:0600012:684 (ориентировочная протяженность ЛЭП– 0,270 км, ориентировочная трансформаторная мощность – 0,400 МВА)</t>
  </si>
  <si>
    <t>Строительство ЛЭП 10 кВ от опоры №66-38 по ВЛ 10 кВ №1402 ПС 110 кВ ЗР14, ТП 10/0,4 кВ, ЛЭП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производства заявителя ИП Мурадов К.С., Ростовская область, р-н Егорлыкский, с/с Объединенный, ПСК «Калинина» к.н. 61:10:0600001:1834 (ориентировочная протяженность ЛЭП– 3,405 км, ориентировочная трансформаторная мощность – 0,063 МВА)</t>
  </si>
  <si>
    <t>Строительство ЛЭП 10 кВ от опоры №34-61 по ВЛ 10 кВ №3127 ПС 110/35/10 кВ А-31, ТП 10/0,4 кВ, ЛЭП 0,4 кВ и установка системы учета электрической энергии (мощности) на границе земельного участка для электроснабжения объекта крытая стоянка заявителя Дорошенко И.И., ул. Морская, на юго-запад от участка с кадастровым номером 61:01:0140401:1026, с. Займо-Обрыв, Азовский район, Ростовская область, к.н. 61:01:0140401:3207 (ориентировочная протяженность ЛЭП– 0,050 км, ориентировочная трансформаторная мощность – 0,250 МВА)</t>
  </si>
  <si>
    <t>Строительство ЛЭП 10 кВ от опоры №113 по ВЛ 10 кВ №2608 ПС 110/10/10 кВ А-26, ТП 10/0,4 кВ, ЛЭП 0,4 кВ и установка системы учета электрической энергии (мощности) на границе земельного участка для электроснабжения объекта нежилого здания заявителя ООО «Транспуть», х. Новоалександровка, Азовский район, Ростовская область, к.н. 61:01:0600005:3718 (ориентировочная протяженность ЛЭП– 0,045 км, ориентировочная трансформаторная мощность – 0,25 МВА)</t>
  </si>
  <si>
    <t>Строительство ЛЭП 10 кВ от опоры №1-36 по ВЛ 10 кВ №313 ПС 35 кВ КГ3, ТП 10/0,4 кВ, ЛЭП 0,4 кВ и установка системы учета электрической энергии (мощности) на границе земельного участка для электроснабжения производственного здания/помещения заявителя ИП Попова Ю.В., Ростовская область, Кагальницкий р-н, ст. Кировская, ул. Московская д.126 к.н. 61:14:0600019:3314 (ориентировочная протяженность ЛЭП– 0,02 км, ориентировочная трансформаторная мощность – 0,160 МВА)</t>
  </si>
  <si>
    <t>Строительство ЛЭП 10кВ от опоры №7-10 по ВЛ 10кВ №106Н ПС 110/10/6кВ НС-1, ТП 10/0,4кВ, ЛЭП 0,4кВ и установка системы учета электрической энергии (мощности) на границе земельного участка для электроснабжения нежилов застройки заявителя ИП Давришев П.С., ДНТ "Кулешовка" , Азовский район, ростовская область, к.н. 61:01:0600006:9680 (ориентировочная протяженность ЛЭП - 0,03км, ориентировочная трансформаторная мощность 0,25МВА)</t>
  </si>
  <si>
    <t>Строительство ЛЭП 10 кВ от опоры №32 ВЛ 10 кВ №2907 РП 29 ПС 35/10 кВ А-18, ТП 10/0,4 кВ, ЛЭП 0,4 кВ и установка системы учета электрической энергии (мощности) на границе земельного участка для электроснабжения объекта нежилой застройки заявителя ИП Бердутиной Е.С., х. Курган, Азовский район, Ростовская область, к.н. 61:01:0030701:1603 (ориентировочная протяженность ЛЭП– 0,61 км, ориентировочная трансформаторная мощность – 0,16 МВА)</t>
  </si>
  <si>
    <t>Строительство ЛЭП 10 кВ от опоры № 91 по ВЛ 10 кВ 313 ПС 35 кВ КГ3, ТП 10/0,4 кВ, ЛЭП 0,4 кВ и установка системы учета электрической энергии (мощности) на границе земельного участка для электроснабжения нежилой застройки заявителя ИП Шульженко А.В., Ростовская область, р-н Кагальницкий, ст. Кировская, ул. Московская д.93 к.н. 61:14:0600019:3395 (ориентировочная протяженность ЛЭП– 0,170 км, ориентировочная трансформаторная мощность – 0,250 МВА)</t>
  </si>
  <si>
    <t>Строительство ЛЭП 10 кВ от опоры № 6-69 по ВЛ 10 кВ 413 ПС 35/10 кВ КГ4, ТП 10/0,4 кВ, ЛЭП 0,4 кВ и установка системы учета электрической энергии (мощности) на границе земельного участка для электроснабжения нежилого здания заявителя ИП Лопатиев И.Е., Ростовская область, р-н Кагальницкий, х. Середин, ул. Солнечная д.50, к.н. 61:14:0030901:317 (ориентировочная протяженность ЛЭП– 0,550 км, ориентировочная трансформаторная мощность – 0,250 МВА)</t>
  </si>
  <si>
    <t>Строительство ЛЭП 10 кВ от опоры №6 по ВЛ-10 313 ПС 35 кВ КГ3, ТП 10/0,4 кВ, ЛЭП 0,4 кВ и установка системы учета электрической энергии (мощности) на границе земельного участка для электроснабжения объекта медицинского учреждения заявителя ГБУ РО «ЦРБ», Ростовская область, Кагальницкий р-н, ст. Кировская, ул. Больничная д.4, к.н. 61:14:0050145:601 (ориентировочная протяженность ЛЭП– 0,45 км, ориентировочная трансформаторная мощность – 0,160 МВА)</t>
  </si>
  <si>
    <t>Строительство ТП-10/0,4 кВ от опоры №5-128 ВЛ 10 кВ №1101 ПС 35/10кВ А-11, ВЛИ-0,4кВ от РУ 0,4 кВ проектируемой ТП 10/0,4 кВ по ВЛ 10 кВ №1101 ПС 35/10кВ А-11 и установка системы учета электрической энергии (мощности) на границе земельного участка для электроснабжения малоэтажной жилой застройки заявителя ИП Алавердова Т.Г., Ростовская область, Азовский район, с. Кагальник, ул. Мостовой спуск, д. 159а, к.н.: 61:01:0060101 (ориентировочная протяженность ЛЭП– 0,1 км, ориентировочная трансформаторная мощность – 0,250 МВА)</t>
  </si>
  <si>
    <t>Строительство ЛЭП 10 кВ от опоры №47 по ВЛ 10 кВ №1014 ПС 110/35/10 кВ «Самарская», ТП 10/0,4 кВ, ЛЭП 0,4 кВ и установка системы учета электрической энергии (мощности) на границе земельного участка для электроснабжения объекта производственного здания ООО «ПСБПЛИТКА», ул. К.Маркса, д. 142, с. Самарское, Азовский район, Ростовская область, к.н. 61:01:0170102:256 (ориентировочная протяженность ЛЭП– 0,03 км, ориентировочная трансформаторная мощность – 0,250 МВА)</t>
  </si>
  <si>
    <t>Строительство ЛЭП 10 кВ от опоры №1-106 (на балансе ИП Барсегян В.А.)  по ВЛ 10 кВ №1913 РП-19 ПС 110/35/10 кВ Самарская, ТП 10/0,4 кВ, ЛЭП 0,4 кВ и установка системы учета электрической энергии (мощности) на границе земельного участка для электроснабжения нежилого здания заявителя ИП Барсегян В.А., Азовский район, Ростовская область, к.н. 61:01:0600020:3482 (ориентировочная протяженность ЛЭП– 0,11 км, ориентировочная трансформаторная мощность – 0,25 МВА)</t>
  </si>
  <si>
    <t>Строительство ЛЭП 10 кВ от опоры № 121 по ВЛ 10 кВ 313 ПС 35/10 кВ КГ3, ТП 10/0,4 кВ, ЛЭП 0,4 кВ и установка системы учета электрической энергии (мощности) на границе земельного участка для электроснабжения объекта общественного питания заявителя ИП Чапидзе Т.Д., Ростовская область, р-н Кагальницкий, ст. Кировская, 25 км Ростов-Ставрополь, к.н. 61:14:0050151:1 (ориентировочная протяженность ЛЭП– 0,22 км, ориентировочная трансформаторная мощность – 0,160 МВА)</t>
  </si>
  <si>
    <t>Строительство ЛЭП 10кВ от опоры №3-144 ВЛ 10кВ №1019 ПС 110/35/10кВ Самарская, ТП 10/0,4кВ, ЛЭП 0,4кВ и установка системы учета электрической энергии (мощности) (4шт) на границе земельных участков для электроснабжения объектов нежилых застроек заявителей ИП Лучкина А.К., ИП Сиволапова А.В., ИП Подратчян Н.В., ИП Григорян Н.К. Азовский район, Ростовская область, к.н. 61:01:0600013:2422, 61:01:0600013:2174, 61:01:0600013:2184, 61:01:0600013:1007 (ориентировочная протяженность ЛЭП-0,7км, ориентировочная трансформаторная мощность – 2х0,4МВА)</t>
  </si>
  <si>
    <t>Строительство ЛЭП 10 кВ от опоры №4рк-19 ВЛ-10 кВ №1913 ПС 110/35/10 кВ «Самарская» и установка системы учета электрической энергии (мощности) на границе земельного участка для электроснабжения объекта торговли заявителя ООО «Лукойл-Югнефтепродукт», х. Ельбузд Азовского района, Ростовская область (ориентировочная протяженность ЛЭП– 0,450 км)</t>
  </si>
  <si>
    <t>Строительство участка ВЛЗ-6 кВ от опоры №142 ВЛ-6 кВ №1 ПС 35/6 кВ Романовская, с установкой ТП-6/0,4 кВ, строительство ВЛИ-0,4 кВ от РУ-0,4 кВ вновь установленной ТП-6/0,4 кВ,  с установкой шкафов 0,4 кВ, и обеспечение коммерческим учетом электрической энергии (мощности) в точках поставки по присоединению спального домика базы отдыха Сидоренко И.О., расположенного по адресу: Ростовская область, г. Волгодонск, ул. Отдыха, д.61, кадастровый номер земельного участка 61:48:0020101:1399 и дачных домов Сидоренко А.В., расположенных по адресам: Ростовская область, г. Волгодонск, ул. Отдыха, д.61, кадастровые номера земельных участков 61:48:0020101:1487, 61:48:0020101:1488, 61:48:0020101:1490, 61:48:0020101:1489, 61:48:0020101:1482, 61:48:0020101:1483, 61:48:0020101:1484, 61:48:0020101:1485, 61:48:0020101:1486, 61:48:0020101:1494, 61:48:0020101:1495, 61:48:0020101:1498, 61:48:0020101:1500, 61:48:0020101:1474, 61:48:0020101:1499, 61:48:0020101:1491, 61:48:0020101:1492, 61:48:0020101:1497, 61:48:0020101:1496, 61:48:0020101:1501, 61:48:0020101:1505, 61:48:0020101:1506, 61:48:0020101:1507, 61:48:0020101:1504, 61:48:0020101:1502, 61:48:0020101:1503, 61:48:0020101:1479, 61:48:0020101:1478 (ориентировочная протяженность ЛЭП 0,485 км, ориентировочная мощность трансформатора 250 кВА)</t>
  </si>
  <si>
    <t>Строительство участка ВЛЗ-6 кВ от опоры №12/11 ВЛ 6 кВ №11 ПС 35 кВ Шлюзовая, с установкой ТП-6/0,4 кВ, строительство ВЛИ-0,4 кВ от РУ-0,4 кВ вновь установленной ТП-6/0,4 кВ и установка шкафа коммерческого учета электрической энергии (мощности) в точке поставки для присоединения объекта крестьянского (фермерского) хозяйства ИП Зерновой М.С., расположенного по адресу: Ростовская область, Волгодонской район, 3,4 км на юг от х. Лагутники, к.н.з.у.: 61:08:0600701:1437 (ориентировочная протяженность ЛЭП 0,02 км, ориентировочная мощность трансформатора 0,25 МВА)</t>
  </si>
  <si>
    <t>Строительство участка ВЛ-6 кВ от существующей оп. №83 отпайки к КТП № 474 по ВЛ 6 кВ «Правда» ПС Г6, с установкой ТП-6/0,4 кВ, и строительство ВЛ-0,4 кВ от вновь установленной ТП-6/0,4 кВ для присоединения электрической зарядной станции АО «Ситроникс» по адресу: Ростовская область, Красносулинский район, п. Пролетарка, а/д Воронеж-Ростов-на-Дону, 947+300 м, К.Н.З.У.:61:18:600004:1. (ориентировочная протяженность ЛЭП 0,035 км, ориентировочная мощность трансформатора 160 кВА)</t>
  </si>
  <si>
    <t>Строительство ТП-6/0,4, ЛЭП-6 кВ от оп. №7 отпайки к КТП №16 ВЛ 6 кВ Россия ПС Ш-12, и ВЛИ-0,4 кВ от вновь установленной ТП-6/0,4 кВ для присоединения объекта сельскохозяйственного производства ООО «Краснокутское» по адресу: Октябрьский район, х.Красный Кут, ул. Социалистическая, д.2г, (ориентировочная протяженность ЛЭП 0,03 км, ориентировочная мощность трансформатора 160 кВА)</t>
  </si>
  <si>
    <t>Строительство участка ВЛЗ 10 кВ от ВЛ10 кВ Крымский ПС 110/35/27,5/10 Ш14, с установкой ТП 10/0,4 кВ, и строительство ВЛИ 0,4 кВ от вновь установленной ТП 10/0,4 кВ для присоединения ВРУ-0.4кВ мусороперегрузочной станции в х. Ещеулов Усть-Донецкого района (ориентировочная протяженность ЛЭП 0,165 км, ориентировочная мощность трансформатора 0,25 МВА)</t>
  </si>
  <si>
    <t>Строительство ТП-10/0,4 кВ, ЛЭП-10 кВ от существующей оп. №6 отпайки к КТП № 558 по ВЛ 10 кВ СТФ от ПС 110 кВ Ш38 и ВЛИ-0,4 кВ от вновь установленной ТП-10/0,4 кВ для присоединения электрической зарядной станции АО «Ситроникс» по адресу: Ростовская обл., р-н Октябрьский, 1024 км. а/д Ростов-на-Дону – Воронеж, АЗС Лукойл 61309, (ориентировочная протяженность ЛЭП 0,035 км, ориентировочная мощность трансформатора 160 кВА)</t>
  </si>
  <si>
    <t>Строительство ТП-10/0,4, ЛЭП-10 кВ от оп.13 отпайки на ТП № 136 по ВЛ-10кВ Мир ПС 110кВ Н-9, и ВЛИ-0,4 кВ от вновь установленной ТП-10/0,4 кВ для присоединения фермы ИП Григорян Т.В.: Ростовская обл, Родионово-Несветайский район, участок находится примерно в 200 м по направлению на юго-запад от ориентира х.Поповка с кадастровым номером: 61:33:0600006:2248 (ориентировочная протяженность ЛЭП 1,688 км, ориентировочная мощность трансформатора 160 кВА)</t>
  </si>
  <si>
    <t>Строительство ТП-6/0,4, ЛЭП-6 кВ от оп. №93 ВЛ 6 кВ Совхоз-10 ПС Ш-12, и ВЛИ-0,4 кВ от вновь установленной ТП-6/0,4 кВ для присоединения нежилой застройки ИП Коваленко Д.О.  по адресу: Октябрьский район, СПК «Заря Дона» (территория бывшего ТОО «Колос»), (ориентировочная протяженность ЛЭП 0,022 км, ориентировочная мощность трансформатора 0,16 МВА)</t>
  </si>
  <si>
    <t>Строительство участка ВЛЗ10 кВ от ВЛ 10кВ Комплекс ПС 110/35/10 Ш34, с установкой ТП 10/0,4 кВ, и строительство ВЛИ 0,4 кВ от вновь установленной ТП 10/0,4 кВ для присоединения ЛЭП-0,4 кВ ИП Елагина А.В. в ст. Мелиховская Усть-Донецкого района (ориентировочная протяженность ЛЭП 2,31 км, ориентировочная мощность трансформатора 0,25 МВА)</t>
  </si>
  <si>
    <t>Строительство участка ВЛЗ10 кВ от ВЛ10 кВ МТФ ПС 110/10 Ш47, с установкой ТП 10/0,4 кВ, и строительство ВЛИ 0,4 кВ от вновь установленной ТП 10/0,4 кВ для присоединения ВРУ-0.4кВ объекта некапитального строительства, Рябцев А.М. в ст. Кочетовской Семикаракорского района. Усть-Донецкий РЭС (ориентировочная протяженность ЛЭП 0,030 км, ориентировочная мощность трансформатора 0,25 МВА)</t>
  </si>
  <si>
    <t>Строительство ВЛ-10 кВ от оп. 24 отпайки на КТП 177 по ВЛ 10 кВ Заря от ПС Н-9, с установкой ТП 10/0,4кВ и строительство ВЛИ 0,4кВ от вновь установленной ТП 10/0,4 кВ для электроснабжения «объекта торговли» ИП Исматулаева Д.А. по адресу: р-н. Родионово-Несветайский, сл. Родионово-Несветайская, ул. 30 лет Победы, д.18Б, к.н.з.у.:  61:33:0040127:350 (ориентировочная протяженность ЛЭП – 0,086км, ориентировочная мощность трансформатора -160 кВА)</t>
  </si>
  <si>
    <t>Строительство участка ВЛЗ10 кВ от ВЛ 10кВ Раздоры ПС 110/35/10 Ш34, с установкой ТП 10/0,4 кВ, и строительство ВЛИ 0,4 кВ от вновь установленной ТП 10/0,4 кВ для электроснабжения «малоэтажной жилой застройки» Вельмицкого А.В. в ст. Раздорской ул. Донская, д. 55д Усть-Донецкого района (ориентировочная протяженность ЛЭП 0,02 км, ориентировочная мощность трансформатора 0,25 МВА)</t>
  </si>
  <si>
    <t>Строительство ЛЭП-6 кВ от оп. №48 ВЛ 6 кВ Веселый ПС Ш-12 для присоединения объектов наружного освещения ФКУ «Упрдор Москва-Волгоград» по адресу: Октябрьский район, Краснокутское с.п., а/д А-270, (ориентировочная протяженность ЛЭП 0,56 км)</t>
  </si>
  <si>
    <t>Строительство участка ВЛ-6 кВ от существующей оп. №59 отпайки к КТП № 264 по ВЛ 6 кВ «Божковка» ПС Г14, с установкой ТП-6/0,4 кВ, и строительство ВЛ-0,4 кВ от вновь установленной ТП-6/0,4 кВ для присоединения земельного участка Павлова И.А.: Ростовская область, Красносулинский район, СПК «Божковский» 1,5 км на юг от х. Божковка, К.Н.З.У.:61:18:0600004:517. (ориентировочная протяженность ЛЭП 0,141 км, ориентировочная мощность трансформатора 0,25 МВА)</t>
  </si>
  <si>
    <t>Строительство ВЛ-10 кВ от  оп. 78 отпайки на КТП 16 по ВЛ 10 кВ Мир от ПС Н-9,с установкой ТП 10/0,4кВ и строительство ВЛИ 0,4кВ от вновь установленной ТП 10/0,4 кВ для электроснабжения «объекта для благоустройства территории» Администрация Болдыревского сельского поселения по адресу: р-н. Родионово-Несветайский, х. Дарьевка, ул.Заречная, к.н.з.у.:  61:33:0600006:2297. (ориентировочная протяженность ЛЭП – 0,180 км, ориентировочная мощность ТП -160 кВА)</t>
  </si>
  <si>
    <t>Строительство участка ВЛ-10 кВ от существующей оп. №4 отпайки к КТП № 17 по ВЛ-10 кВ «Киселево» ПС 35 кВ С11, с установкой ТП-10/0,4 кВ, и строительство ВЛИ-0,4 кВ от вновь установленной ТП-10/0,4 кВ для присоединения сельского Дома культуры, Красносулинский район, с. Киселево, ул. Мичурина, д. 2 (ориентировочная протяженность ЛЭП 0,325 км, ориентировочная мощность трансформатора 0,25 МВА)</t>
  </si>
  <si>
    <t>Строительство ВЛ 10 кВ от опоры № 9 отпайка Л-288, ВЛ-10 кВ № 2,ПС 110/35/10 кВ «Тарасовская» (в т.ч.  с участком КЛ 10 кВ   2 х 0,08 км, где в т.ч. ГНБ 2 х 0,06 км, для перехода через трассу «М4 Дон») освещения территории строящегося многофункционального комплекса придорожного сервиса ИП К(Ф)Х Пономаренко Е.А., расположенного по адресу: Ростовская область, Тарасовский район, х. Липовка, КН ЗУ 61:37:0600005:1185 (ориентировочная протяженность ЛЭП – 1,65 км)</t>
  </si>
  <si>
    <t>Строительство участка ВЛ-10 кВ от опоры № 73, ВЛ-10 кВ № 4, ПС 35/10 кВ «Каменская СХТ», ТП 10/0,4 кВ и участка ВЛ-0,4 кВ от РУ-0,4 кВ  новой ТП 10/0,4 кВ, для подключения жилого дома Богдановой О.Ю., расположенного по адресу: Ростовская обл., Каменский р-н, х. Диченский, ул. Степная, д. № 35 А, к.н.з.у. 61:15:0602101:2602 (ориентировочная протяженность ЛЭП – 0,028 км, трансформаторная мощность – 0,160 МВА, прибор учёта электроэнергии - 1шт.)</t>
  </si>
  <si>
    <t>Строительство участка ВЛ-10 кВ от опоры № 189, ВЛ-10 кВ № 3, ПС 35/10 кВ «Краснодонецкая», ТП 10/0,4 кВ и ВЛ-0,4 кВ от РУ-0,4 кВ  новой ТП 10/0,4 кВ, для подключения нежилой застройки Дубинина В.В., расположенной по адресу; Ростовская область, Белокалитвинский район, на северо-восток от х. Усть-Быстрый, КН ЗУ 61:04:0600017:139 (ориентировочная протяженность ЛЭП –0,030 км, трансформаторная мощность – 0,025 МВА, прибор учёта электроэнергии - 1шт)</t>
  </si>
  <si>
    <t>Строительство участка ВЛ-10 кВ от Л 86 ВЛ-10 кВ № 5, ПС 110/10 кВ  «Волченская ПТФ», ТП 10/0,4 кВ и участка ВЛ-0,4 кВ от РУ-0,4 кВ Новой ТП 10/0,4 кВ, Объекта жилищно-коммунального хозяйства Администрации Каменского района, расположенного по адресу: Ростовская обл., Каменский р-н, х. Малая Каменка, западная окраина, КНЗУ 61:15:00790101:4030 (ориентировочная протяженность ЛЭП – 0,701 км, трансформаторная мощность – 0,063 МВА, прибор учёта электроэнергии - 1шт)</t>
  </si>
  <si>
    <t>Строительство участка ВЛ-10 кВ от опоры № 19 отпайки Л 138, ВЛ-10 кВ № 1, ПС110/35/10 кВ «Милютинская», ТП 10/0,4 кВ  и  двух участковВЛ-0,4 кВ от РУ-0,4 кВ новой ТП 10/0,4 кВ, для подключения зерноочистительного комплекса и зернохранилища ООО «Колос», расположенных по адресу: Ростовская обл., Милютинский р-н, примерно в 0,6 км на юго – восток от п. Светоч, к.н.з.у. 61:23:0600017:783; примерно в 1 км на юго – восток от п. Светоч, к.н.з.у. 61:23:0600017:784  (ориентировочная протяженность ЛЭП – 0,520 км, трансформаторная мощность – 0,160 МВА, прибор учёта электроэнергии - 2 шт)</t>
  </si>
  <si>
    <t>Строительство участка ВЛ-10 кВ от ВЛ-10 кВ № 1, ПС 35/10 кВ «Артемовская», ТП 10/0,4 кВ и участка ВЛ-0,4 кВ от РУ-0,4 кВ новой  ТП 10/0,4 кВ, для подключения ВРУ-0,4 кВ (карбоновый полигон) ФНЦ агроэкологии РАН, расположенной по адресу: Ростовская обл., Обливский р-н, вблизи п. Сосновый, к.н.з.у.: 61:27:0600009:3 (ориентировочная протяженность  ЛЭП – 0,025 км, трансформаторная мощность – 0,025 МВА, прибор учёта электроэнергии - 1шт)</t>
  </si>
  <si>
    <t>Строительство ВЛ 0,4 кВ от РУ 0,4 кВ проектируемого  ТП 10/0,4 кВ, строительство ТП 10/0,4 кВ, строительство ВЛ 10 кВ от ВЛ 10 кВ № 1 ПС 110/35/10 Чалтырь отпайки на ТП 10/0,4 кВ № 1-183 А, запитанной от ВЛ 10 кВ № 13 ПС 110/35/10 кВ Чалтырь, для технологического присоединения индивидуальных жилых домов Заявителей: (Керимова Л.К., Карпенко А. Н.) по адресу: Ростовская область Мясниковский район х. Ленинаван, ул. Мясникяна, 70-летия Победы, Октябрьская  (ориентировочная протяжённость ЛЭП 0,455 км; мощность силового трансформатора-0,16 МВА )</t>
  </si>
  <si>
    <t>Строительство ВЛ 0,4 кВ от РУ 0,4 кВ новой ТП 10/0,4 кВ, строительство ТП 10/0,4 кВ, строительство ВЛ 10 кВ от ВЛ 10 кВ №5 ПС 35/10 кВ Б.Салы для технологического присоединения жилых домов Заявителей: (Гаркуша О.В., Берберян Д.С., Берберян С.К., Матосян Н.К., Арзиева С.С.) по адресу: Ростовская область, Мясниковский район, с. Большие Салы, ул. Партизанская, (ориентировочная протяженность ЛЭП 0,285 км; мощность силового трансформатора – 100 кВА)</t>
  </si>
  <si>
    <t>Строительство ВЛ 0,4 кВ от РУ 0,4 кВ ТП 10/0,4 кВ, строительство ТП 10/0,4 кВ, строительство ВЛ 10 кв от опоры ВЛ 10 кВ № 1 ПС 110/35/10 кВ "Чалтырь" для технологического присоединения Заявителей: (Мазницин И. В., Хатламаджиян И. В., Хатламаджиян Х. В., Рейдин А. Г., Бузина Н. Г., Галоян Р. Т.) по адресу: Мясниковский район х. Ленинакан (ориентировочная протяжённость ЛЭП 1,05 км; мощность силового трансформатора-0,16 МВА)</t>
  </si>
  <si>
    <t>Строительство ВЛ 0,4 кВ от новой ТП 10/0,4 кВ, строительство ТП 10/0,4 кВ, строительство ВЛ 10 кВ от ВЛ 10 кВ №3 ПС 110/35/10 кВ «Чалтырь», для технологического присоединения складское здание Заявителя (Чубарян С.Х.) по адресу: Ростовская область, Мясниковский район, с. Крым, ул. Большесальская, д. 26/б, к.н. 61:25:0201026:291 (ориентировочная протяженность ЛЭП 0,26 км; мощность силового трансформатора 0,16 МВА)</t>
  </si>
  <si>
    <t>Строительство ВЛ 0,4 кВ от новой ТП 10/0,4 кВ, строительство ТП 10/0,4 кВ, строительство ВЛ 10 кВ от ВЛ 10 кВ № 6 ПС 35/10 кВ "Б. Салы", для технологического присоединения жилых домов Заявителей (Чебанян Д. К., Есаян Н. Ш., Токарев М. К., Егиазарян А. С., Шеховцова А. Д.) по адресу: Ростовская область, Мясниковский район, с. Большие Салы (ориентировочная протяжённость ЛЭП 2,22 км; ориентировочная мощность трансформатора  0,4 МВА)</t>
  </si>
  <si>
    <t>Строительство ВЛ 0,4 кВ от новой ТП 10/0,4 кВ, строительство ТП 10/0,4 кВ, строительство ВЛ 10 кВ от ВЛ 10 кВ № 13 ПС 110/35/10 кВ "Чалтырь", для технологического присоединения жилых домов Заявителей (Бликян В. Ш., Нухрикян С. С., Нухрикян Э. Н., Нухрикян Н. Р., Бликян М. В., Нухрикян Н. Н.) по адресу: Ростовская область, Мясниковский район, х. Ленинакан (ориентировочная протяжённость ЛЭП 1,24 км; ориентировочная мощность трансформатора  0,25 МВА)</t>
  </si>
  <si>
    <t>Строительство ВЛ 0,4кВ от новой ТП 10/0,4кВ, строительство ТП 10/0,4кВ, строительство ВЛ 10кВ от ВЛ 10кВ №6 ПС 35/10кВ Б.Салы, отпайки на ТП №5-44А ПС 35/10кВ Б.Салы для технологического присомединения  производственного цеха Заявителя (ООО "Селма") по адресу: Ростовская область, Мясниковский район, с. Чалтырь, в границах участка ориентир 7км + 40м от автодороги Ростов-на-Дону - Новошахтинск к.н. 61:25:0600401:532 (ориентировочная протяженность ЛЭП 0,08км, мощность силового трансформатора 160кВА)</t>
  </si>
  <si>
    <t>Строительство ВЛИ 0,4 кВ от новой ТП 10/0,4 кВ, строительство ТП 10/0,4 кВ, строительство ВЛ 10 кВ от ВЛ 10 кВ №2 ПС 35/10 кВ Политотдельская, для технологического присоединения ВРУ-0,38кВ для питания хозпостройки Заявителя (Бочко Р.Ю.) по адресу: Ростовская область, М-Курганский район, примерно 95 м на юг от с. Камышевка, ул. Восточная 1, к.н. 61:21:0600008:1444 (ориентировочная протяженность ЛЭП 0,025 км; мощность силового трансформатора 0,025 МВА)</t>
  </si>
  <si>
    <t>Строительство ВЛ 0,4 кВ от новой ТП 10/0,4 кВ, строительство ТП 10/0,4 кВ, строительство ВЛ 10 кВ от вновь смонтированной опоры в пролете опор №19-20 отпайки на ТП 10/0,4 кВ №5-15 по ВЛ 10 кВ №5 ПС 35/10 кВ «Петровская», для технологического присоединения жилых домов Заявителей (Вахорина С.А., Селезнева Ю.В., Назаренко Я.В., Нитутина А.М., Щаднева М.Е.) по адресу: Ростовская область, Мясниковский район, СТ «Крокус» (ориентировочная протяженность ЛЭП 1,34 км; мощность силового трансформатора 0,04 МВА)</t>
  </si>
  <si>
    <t>Строительство ВЛ 0,4 кВ от новой ТП 10/0,4 кВ, строительство ТП 10/0,4 кВ, строительство ВЛ 10 кВ от опоры по ВЛ 10 кВ №7 ПС 110/35/10 кВ «Синявская», отпайки на ТП 10/0,4 кВ №7-14, для технологического присоединения жилых домов Заявителей (Павлов Д.Ф., Наумов С.О., Каплин А.Я., Нечепуренко И.Г.) по адресу: Ростовская область, Мясниковский район, х. Хапры, пер. Восточный, пер. Никаноровский (ориентировочная протяженность ЛЭП 0,71 км; мощность силового трансформатора 0,1 МВА</t>
  </si>
  <si>
    <t>«Строительство ВЛ 0,4 кВ от новой ТП 10/0,4 кВ, строительство ТП 10/0,4 кВ, строительство ВЛ 10 кВ от опоры по ВЛ 10 кВ №6 ПС 35/10 кВ «Б. Салы», для технологического присоединения жилого дома Заявителя (Григоренко Н.В.) по адресу: Ростовская область, Мясниковский район, с. Большие Салы (ориентировочная протяженность ЛЭП 0,49 км; мощность силового трансформатора 0,025 МВА)»</t>
  </si>
  <si>
    <t>Строительство ВЛ 0,4 кВ от новой ТП 10/0,4 кВ, строительство ТП 10/0,4 кВ, строительство ВЛ 10 кВ от ВЛ 10 кВ №1/3 ПС 110/35/10 кВ «Троицкая-1», для технологического присоединения Административное здание Заявителя (ООО «ТрансБалт») по адресу: Ростовская область, г. Таганрог, Николаевское Шоссе, д.11, к.н. 61:58:0006073:8 (ориентировочная протяженность ЛЭП 0,040 км; мощность силового трансформатора 0,160 МВА)</t>
  </si>
  <si>
    <t>Строительство ВЛ 0,4 кВ от новой ТП 10/0,4 кВ, строительство ТП 10/0,4 кВ, строительство ВЛ 10 кВ от ВЛ 10 кВ №8 ПС 35/10 кВ «Русский Колодец», для технологического присоединения объекта Заявителя (ИП Галат М.И.) по адресу: Ростовская область, Неклиновский район, х. Русский Колодец, хозяйство СПК к-з «Прогресс», поле №35, 116, 36, 117, к.н. 61:26:0600023:449 (ориентировочная протяженность ЛЭП 0,31 км; мощность силового трансформатора 0,16 МВА)</t>
  </si>
  <si>
    <t>Строительство двух ВЛ 0,4 кВ, строительство 2-х ТП 10/0,4 кВ, строительство ВЛ 10 кВ от опоры ВЛ 10 кВ № 1 ПС 110/35/10 кВ «Чалтырь», отпайки на ТП 10/0,4 кВ №1-27А ПС Чалтырь, строительство ВЛ 10 кВ от опоры ВЛ 10 кВ №6 ПС 35/10 кВ «Б.Салы» для технологического присоединения муниципального бюджетного детского образовательного учреждения Заявителя: (МУ «Отдел образования Администрации Мясниковского района») по адресу: Ростовская обл. Мясниковский р-н, х.Красный Крым, ул. 2-я Молодежная, д. 35, к.н. 61:25:0030101:2074 (ориентировочная протяженность ЛЭП - 0,69 км; мощность силовых трансформаторов – 2 х 0,16 МВА)</t>
  </si>
  <si>
    <t>Строительство ВЛ 0,4 кВ от новой ТП 10/0,4 кВ, строительство ТП 10/0,4 кВ, строительство ВЛ 10 кВ от вновь смонтированной опоры в пролете опор №19-20 отпайки на ТП 10/0,4 кВ №5-15 по ВЛ 10 кВ №5 ПС 35/10 кВ «Петровская», для технологического присоединения жилых домов Заявителей (Марцев Е.В., Дрожжова Е.А., Филонов Н.Н., Наумова М.Н., Семенихина Е.В., Романеева Л.А., Гойдина В.М., Муртазова И.Н., Моисеева И.Е., Демчук Я.С., Тарновецкий Д.А., Путивец В.Н., Чижкова Е.Н., Путинцева Н.Н., Зеркаль И.А.) по адресу: Ростовская область, Мясниковский район, СТ «Крокус» (ориентировочная протяженность ЛЭП 1,47 км; мощность силового трансформатора 0,16 МВА)</t>
  </si>
  <si>
    <t>Строительство ВЛ 0,4 кВ от новой ТП 10/0,4 кВ, строительство ТП 10/0,4 кВ, строительство ВЛ 10 кВ от опоры по ВЛ 10 кВ №13 ПС 110/35/10 кВ «Чалтырь», для технологического присоединения объектов Заявителя (ИП Карапетян С.А., ИП Карапетян Ж.А.) по адресу: Ростовская область, Мясниковский район, к.н. 61:25:0600401:25103, 61:25:0600401:25101 (ориентировочная протяженность ЛЭП 0,19 км; мощность силового трансформатора 0,4 МВА)</t>
  </si>
  <si>
    <t>Строительство ВЛ 0,4 кВ от новой ТП 10/0,4 кВ, строительство ТП 10/0,4 кВ, строительство ВЛ 10 кВ от ВЛ 10 кВ №1/3 ПС 110/35/10 кВ «Троицкая-1», для технологического присоединения производственного здания Заявителя (ИП Тригубко И.В.) по адресу: Ростовская область, Неклиновский район, к.н. 61:26:0600014:2427 (ориентировочная протяженность ЛЭП 0,270 км; мощность силового трансформатора 0,100 МВА)</t>
  </si>
  <si>
    <t>Строительство ВЛ 0,4 кВ от новой ТП 10/0,4 кВ, строительство ТП 10/0,4 кВ, строительство ВЛ 10 кВ от опоры по ВЛ 10 кВ №2 ПС 110/35/10 кВ «Чалтырь», отпайки на ТП 10/0,4 кВ №2-2А, для технологического присоединения объектов Заявителя (ИП Шутов М.Е., ИП Спиваков А.А., ИП Стамболиди М.С.) по адресу: Ростовская область, Мясниковский район, к.н. 61:25:0600401:21155, 61:25:0600401:21158, 61:25:0600401:19498, 61:25:0600401:21154 (ориентировочная протяженность ЛЭП 0,71 км; мощность силового трансформатора 0,63 МВА)</t>
  </si>
  <si>
    <t>Строительство ВЛ 10 кВ от ВЛ 10 кВ №1/3 ПС 110/35/10 кВ «Троицкая-1» для технологического присоединения ТП 10/0,4 кВ заявителя Администрации Неклиновского района по адресу: Ростовская область, Неклиновский р-н, с. Николаевка, ул. Ферганская, 1 Д, к.н. № 61:26:0110101:9380 (ориентировочная протяженность ЛЭП – 0,3 км)</t>
  </si>
  <si>
    <t>Строительство ВЛ 0,4 кВ от новой ТП 10/0,4 кВ, строительство ТП 10/0,4 кВ, строительство ВЛ 10 кВ от ВЛ 10 кВ №1/3 ПС 110/35/10 кВ «Троицкая-1», для технологического присоединения производственное здание Заявителя (ИП Саакян А.С.) по адресу: Ростовская область, Неклиновский район, к.н. 61:26:0600014:2446 (ориентировочная протяженность ЛЭП 0,035 км; мощность силового трансформатора 0,160 МВА)</t>
  </si>
  <si>
    <t xml:space="preserve">Строительство ТП 10/04 кВ, ВЛ 0,4 кВ, ВЛ 10 кВ от ВЛ 10 кВ №105 ПС 110 кВ АС1 для электроснабжения объекта сельскохозяйственного производства Кротовой Л.Д. в ст-це Ольгинская Аксайского района Ростовской области </t>
  </si>
  <si>
    <t xml:space="preserve">Строительство КТП 10/0,4 кВ, ВЛ 0,4 кВ, ВЛ 10 кВ от ВЛ 10 кВ №105 ПС 110 кВ АС1 для электроснабжения объекта сельскохозяйственного производства ООО «БизнесЭйр» на участке с КН 61:02:0600015:7452 Аксайского района Ростовской области </t>
  </si>
  <si>
    <t xml:space="preserve">Строительство ТП 10/0,4 кВ, ВЛ 0,4 кВ, ВЛ 10 кВ по ВЛ 10 кВ №1205 ПС 110 кВ АС-12, для электроснабжения ВРУ 0,4 кВ жилых домов Кузнецовой Н.Н. на участках с КН 61:02:0600007:2736., КН 61:02:0600002:3150 в поселке Рассвет Аксайского района РО </t>
  </si>
  <si>
    <t xml:space="preserve">Строительство ТП 10/0,4 кВ, ВЛ 0,4 кВ, ВЛ 10 кВ по ВЛ 10 кВ №1101 ПС 110кВ АС11 для электроснабжения нежилого здания ООО «ДонСвязьКонструкция» на участке с КН 61:02:0600009:2217 в ст-це Мишкинская Аксайского района Ростовской области </t>
  </si>
  <si>
    <t xml:space="preserve">Строительство ТП 10/0,4 кВ, ВЛ 0,4 кВ, ВЛ 10 кВ от ВЛ 10 кВ №706 ПС 35 кВ АС-7 для электроснабжения рамной конструкции Системы Стационарного Контроля №582 "Платон" по адресу: РО., р-н. Аксайский, п. Аглос, на а/д М-4 Дон км 1045+188 широта 47.372133 долгота 39.903089, КН: 61:02:0000000:165 </t>
  </si>
  <si>
    <t xml:space="preserve">Строительство ТП 10/0,4 кВ, ВЛ 0,4 кВ, ВЛ 10 кВ от ВЛ 10 кВ №1207 ПС 110 кВ АС12 для электроснабжения нежилого здания Габреляна В. М. на участке с КН 61:02:0600006:6345 в п. Щепкин Аксайского района Ростовской области </t>
  </si>
  <si>
    <t>Строительство ТП 10/0,4 кВ, ВЛ 0,4 кВ, ВЛ 10 кВ от ВЛ 10 кВ №263 ПС 110 кВ БГ2 для электроснабжения дачных домов Амирян В.Н., ООО «ГеоЭкоПроект» по адресу: Ростовская обл., р-н. Багаевский, х. Арпачин, к.н.: 61:03:0600007:1308, к.н. 61:03:0600007:1309, к.н. 61:03:0600007:1310, к.н. 61:03:0600007:1311, к.н. 61:03:0600007:1312, к.н. 61:03:0600007:1313, к.н. 61:03:0600007:1314, к.н. 61:03:0600007:1315, к.н. 61:03:0600007:1316, к.н. 61:03:0600007:1317, к.н. 61:03:0600007:1318, к.н. 61:03:0600007:1319, к.н. 61:03:0600007:1320, к.н. 61:03:0600007:1322, к.н. 61:03:0600007:1323, к.н. 61:03:0600007:1325, к.н. 61:03:0600007:1327, к.н. 61:03:0600007:1328, к.н. 61:03:0600007:1329, к.н. 61:03:0600007:1307, к.н. 61:03:0600007:1324, к.н. 61:03:0600007:1326.</t>
  </si>
  <si>
    <t xml:space="preserve">Строительство ТП 10/0,4 кВ, ВЛ 0,4 кВ, ВЛ 10 кВ от ВЛ 10 кВ №1109 ПС 110 кВ АС11 для электроснабжения торгового комплекса ООО “ТРИАР” на участке с КН 61:02:0600002:1313 в Аксайском районе Ростовской области </t>
  </si>
  <si>
    <t xml:space="preserve">Строительство ТП 10/0,4 кВ, ВЛ 0,4 кВ, ВЛ 10 кВ от ВЛ 10 кВ №102 ПС 110 кВ АС1 для электроснабжения объекта сельскохозяйственного производства ИП Федотовой О. Н. на участке с КН 61:02:0600017:3561 в границах плана земель КСП «Пригородное» Аксайского района Ростовской области </t>
  </si>
  <si>
    <t xml:space="preserve">Строительство ТП 10/0,4 кВ, ВЛ 0,4 кВ, ВЛ 10 кВ от ВЛ 10 кВ №3 ПС 35 кВ Б. Салы для электроснабжения ВРУ 0,22 кВ жилых домов Алексанян Э. М., Гандилян В. А. и ВРУ 0,4 кВ жилого дома Арушанова В. А. в Аксайском районе Ростовской области </t>
  </si>
  <si>
    <t xml:space="preserve">Строительство ТП 10/0,4 кВ, ВЛ 0,4 кВ, ВЛ 10 кВ от ВЛ 10 кВ №706 ПС 35 кВ АС-7 для электроснабжения объекта сельскохозяйственного производства ФГБУ "Федерального Ростовского аграрного научного центра" по адресу: РО., р-н. Аксайский, КН: 61:02:0000000:413 </t>
  </si>
  <si>
    <t xml:space="preserve">Строительство ТП 10/0,4 кВ, ВЛ 0,4 кВ, ВЛ 10 кВ по ВЛ 10 кВ №1208 ПС 110/10 кВ АС12 для электроснабжения нежилого помещения ИП Маилян М. С. на участке с КН 61:02:0600004:3378 в АО «Аксайское» на поле №30 Аксайского района Ростовской области </t>
  </si>
  <si>
    <t xml:space="preserve">Строительство ТП 6/0,4 кВ, ВЛ 0,4 кВ, ВЛ 6 кВ по ВЛ 6 кВ №807 ПС 35/6 кВ АС8 для электроснабжения нежилого здания ИП Лобовой Е.И. на участке с КН 61:02:0600010:21730 по ул. Калинина, в х. Большой Лог Аксайского района Ростовской области </t>
  </si>
  <si>
    <t xml:space="preserve">Строительство ТП 10/0,4 кВ, ВЛ 0,4 кВ, ВЛ 10 кВ от ВЛ 10 кВ №409 ПС 110 кВ АС4 для электроснабжения складского здания/помещения Шаповаловой Е. В. в х. Ленина Аксайского района РО </t>
  </si>
  <si>
    <t>Строительство ТП 10/0,4 кВ, ВЛ 0,4 кВ, ВЛ 10 кВ от ВЛ 10 кВ №102 ПС 110 кВ АС1 для электроснабжения ВРУ 0,4 кВ жилых домов по ул. Левобережная в ст-це Ольгинской Аксайского района Ростовской области</t>
  </si>
  <si>
    <t>Строительство ТП 10/0,4 кВ, ВЛ 0,4 кВ, ВЛ 10 кВ от ВЛ 10 кВ №1207 ПС 110 кВ АС12 для электроснабжения ВРУ 0,4 кВ жилых домов по ул. Ясная, ул. Степная в п. Октябрьский Аксайского района Ростовской области</t>
  </si>
  <si>
    <t>Строительство ТП 6/0,4 кВ, ВЛ 0,4 кВ, ВЛ 6 кВ от ВЛ 6 кВ №305 ПС 35 кВ АС3 для электроснабжения нежилой застройки ООО «СпецТехСтрой-Юг» по адресу: Ростовская область, р-н Аксайский, п. Российский, ул. Молодежная, 2А, участок с КН 61:02:0600010:11286 (ориентировочная мощность трансформатора 0,16 МВА, ориентировочная протяженность ЛЭП 0,06 км)</t>
  </si>
  <si>
    <t>Строительство ТП 10/0,4 кВ, ВЛ 0,4 кВ, ВЛ 10 кВ от ВЛ 10 кВ №1003 ПС 110 кВ АС10 для электроснабжения объекта сельскохозяйственного производства ООО НПК «Сокол-Фарм» по адресу: Ростовская область, р-н Аксайский, в границах плана бывшего совхоза «Новочеркасский», участок с КН 61:02:0600002:355 (ориентировочная мощность трансформатора 0,16 МВА, ориентировочная протяженность ЛЭП 0,3 км)</t>
  </si>
  <si>
    <t>Строительство ТП 10/0,4 кВ, ВЛ 0,4 кВ, ВЛ 10 кВ от ВЛ 10 кВ №3 ПС 35 кВ Б. Салы для электроснабжения жилых домов Картухова С. Е. на участках с КН 61:02:0080501:47, 61:02:0080501:2 в п. Щепкин Аксайского района Ростовской области (ориентировочная мощность трансформатора 0,16 МВА, ориентировочная протяженность ЛЭП 0,36 км)</t>
  </si>
  <si>
    <t>Строительство ТП 10/0,4 кВ, ВЛ 0,4 кВ, ВЛ 10 кВ от ВЛ 10 кВ №1406 ПС 35 кВ АС14 для электроснабжения складских и производственных помещений по адресу: РО, р-н Аксайский, п. Рассвет, ул. Комсомольская, участки с КН 61:02:0600008:2147, 61:02:0600008:2148, 61:02:0600008:2149 (ориентировочная мощность трансформатора 0,63 МВА, ориентировочная протяженность ЛЭП 0,19 км)</t>
  </si>
  <si>
    <t>Строительство ТП 10/0,4 кВ, ВЛ 0,4 кВ, ВЛ 10 кВ от ВЛ 10 кВ №1103 ПС 110кВ АС6 для электроснабжения ВРУ 0,4 кВ жилых домов Лазарева А.Л и Курчавовой И.А. на участках с КН 61:02:060009:3561, 61:02:060009:3630 в Аксайском районе Ростовской области (ориентировочная мощность трансформатора 0,04 МВА, ориентировочная протяженность ЛЭП 1,345 км)</t>
  </si>
  <si>
    <t xml:space="preserve">Строительство ВЛ 10 кВ от ВЛ 10 кВ №1208 ПС 110 кВ АС12 и установка пункта коммерческого учета для электроснабжения производственного здания/помещения ИП Галенко В. С. на участке с КН 61:02:0600004:2508 в АО «Октябрьское» Аксайского района Ростовской области </t>
  </si>
  <si>
    <t xml:space="preserve">Строительство ВЛ 10 кВ от проектируемой ВЛ 10 кВ (по договору №61-1-21-00610855 от 01.11.2021 г.) от ВЛ 10 кВ №111 ПС 110 кВ АС1 и установка пункта коммерческого учета для электроснабжения складского здания/помещения ИП Бондаренко Ю. Е. на участке с КН 61:02:0600016:3588 в х. Маяковского Аксайского района Ростовской области </t>
  </si>
  <si>
    <t xml:space="preserve">Строительство ВЛ 10 кВ от ВЛ 10 кВ №103 ПС 110 кВ АС1 и установка ПКУ для электроснабжения объектов жилищно-коммунального хозяйства УКДХ Администрации Аксайского района Ростовской области по адресу: Ростовская обл., р-н Аксайский, х. Истомино, участок с КН 61:02:0600021:2213 </t>
  </si>
  <si>
    <t xml:space="preserve">Строительство ВЛ 10 кВ от ВЛ 10 кВ №105 ПС 110 кВ АС1 и установка ПКУ для электроснабжения объектов жилищно-коммунального хозяйства УКДХ Администрации Аксайского района Ростовской области по адресу: РО, р-н Аксайский, х. Нижнеподпольный, участок с КН 61:02:0000000:6549 </t>
  </si>
  <si>
    <t xml:space="preserve">Строительство ВЛ 10 кВ от ВЛ 10 кВ №107 ПС 110 кВ АС1 и установка ПКУ для электроснабжения объектов жилищно-коммунального хозяйства УКДХ Администрации Аксайского района Ростовской области по адресу: Ростовская обл., р-н Аксайский, п. Дивный, участок с КН 61:02:0600018:160 </t>
  </si>
  <si>
    <t>Строительство участка ВЛ-10 кВ от опоры №2/2 ВЛ 10 кВ №4 ПС 110 кВ Вербовая, с установкой ТП-10/0,4 кВ, строительство ВЛИ-0,4 кВ от РУ-0,4 кВ вновь установленной ТП-10/0,4 кВ и установка шкафа коммерческого учета электрической энергии (мощности) в точке поставки для присоединения объекта сельскохозяйственного производства ООО «ЮгАгроХолдинг», расположенного по адресу: Ростовская область, Дубовский район, х. Вербовый Лог, к.н.з.у.: 61:09:0600003:1249 (ориентировочная протяженность ЛЭП 0,04 км, ориентировочная мощность трансформатора 0,16 МВА)</t>
  </si>
  <si>
    <t>Строительство участка ВЛ-10 кВ от опоры №91 ВЛ 10 кВ №11 ПС 35 кВ Рябичевская, с установкой ТП-10/0,4 кВ, строительство ВЛИ-0,4 кВ от РУ-0,4 кВ вновь установленной ТП-10/0,4 кВ и установка прибора коммерческого учета электрической энергии (мощности) в точке поставки для присоединения объекта сельскохозяйственного производства ООО «Агро-Дон», расположенного по адресу: Ростовская область, Волгодонской район, ЗАО «Дон» в 1,8 км на запад от х. Ясырев, к.н.з.у.: 61:08:0601601:110 (ориентировочная протяженность ЛЭП 0,03 км, ориентировочная мощность трансформатора 0,16 МВА)</t>
  </si>
  <si>
    <t>Строительство участка ВЛ-10 от опоры №15 ВЛ 10 кВ №4 ПС 110 кВ Дубенцовская, с установкой ТП-10/0,4 кВ, строительство ВЛИ-0,4 кВ от РУ-0,4 кВ вновь установленной ТП-10/0,4 кВ и установка шкафа коммерческого учета электрической энергии (мощности) в точке поставки для присоединения объекта сельскохозяйственного производства ИП Рыжкина П.Е., расположенного по адресу: Ростовская область, Волгодонской район, станица Дубенцовская, за чертой населенного пункта станицы Дубенцовская на расстоянии 20 м, удален от трассы районного значения на 50 м в северо-восточном направлении, к.н.з.у.: 61:08:0600201:36 (ориентировочная протяженность ЛЭП 0,04 км, ориентировочная мощность трансформатора 0,25 МВА)</t>
  </si>
  <si>
    <t>Строительство ВЛ- 0,4 кВ от РУ- 0,4 кВ КТП- 10/0,4 кВ №169 по ВЛ-10 кВ №4 ПС 110/10 кВ "Новоселовская", обеспечение коммерческим учетом электрической энергии (мощности) в точке поставки и установка шкафа 0,4 кВ с коммутационным аппаратом, для технологического присоединения жилого дома заявителя, Семенкова Ю.А., расположенного  Ростовская область, Кашарский р-н, с. Фомино- Свечниково, ул. Большая, д. 21 (к.н.з.у. 61:16:0170601:69), (ориентировочная протяженность ЛЭП- 0,64 км)</t>
  </si>
  <si>
    <t>«Строительство ВЛ-10 кВ от опоры № 64/166 по ВЛ-10 кВ № 3 ПС 35/10 кВ «Мальчевская» с установкой КТП и строительством ВЛ-0,4 кВ, установка прибора учета электрической энергии (мощности) в точке поставки и установка шкафа 0,4 кВ с коммутационным аппаратом (2 шт.), для электроснабжения объекта сельскохозяйственного производства Заявителя, ИП Салманова З.Ф. и электроснабжения гостиницы Заявителя, ИП Ченцовой С.В.,  расположенных в Ростовской области, Миллеровский р-н, х. Ленина, (к.н.з.у. 61:22:0600008:1321), (к.н.з.у. 61:22:0070701:370), (ориентировочная протяженность ЛЭП – 0,316 км, ориентировочная мощность ТП – 0,250 МВА)»</t>
  </si>
  <si>
    <t>Строительство ВЛ 0,4 кВ от РУ 0,4 кВ, вновь построенной ТП 10/0,4 кВ, строительство ВЛ 10 кВ от опоры № 8  по ВЛ 10 кВ №8 ПС 110/10 кВ «Миллеровская», установка прибора учета электрической энергии (мощности) в точке поставки и установка шкафа 0,4 кВ с коммутационным аппаратом (3 шт.), для технологического присоединения ВРУ 0,4 кВ, для электроснабжения жилого дома, Заявителя, Ткаченко Е.В.,  для ведения садоводства и огородничества Заявителей, Кнышовой Г.А.и Ескиной Е.А.,  расположенных в Ростовской области, Миллеровский р-н, г. Миллерово, ООО «Маслодел», (ориентировочная   протяженность ЛЭП – 0,54 км, ориентировочная мощность ТП – 0,063 МВА)</t>
  </si>
  <si>
    <t>Строительство двух ВЛ 0,4 кВ от РУ 0,4 кВ, вновь перенесенной ТП 10/0,4 кВ №255, строительство ВЛ 10 кВ от опоры № 274  по ВЛ 10 кВ №6 ПС 110/35/10 кВ «Вешенская 1», установка приборов учета электрической энергии (мощности) в точке поставки и установка шкафа 0,4 кВ с коммутационным аппаратом (2 шт.), для электроснабжения жилых домов, Заявителей, Тимофеева Н.И. и Тимофеева С.И.,  расположенных в Ростовской области, Шолоховский р-н, х. Черновский, ул. Заречная, д. 14, ул. Песочная, д. 54, (ориентировочная   протяженность ЛЭП – 0,27 км, ориентировочная мощность существующей ТП – 0,1 МВА)</t>
  </si>
  <si>
    <t>Строительство ВЛ-10 кВ от опоры № 61 по ВЛ-10 кВ № 3 ПС 110/27,5/10 кВ «Старая Станица»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технологического присоединения объекта сельскохозяйственного производства, Заявителя,  ООО МДЦ «АвтоНиКа», расположенного в Ростовской области, Миллеровский р-н, Верхнеталовское сельское поселение, (61:22:0600026:515) (ориентировочная   протяженность ЛЭП – 0,05 км, ориентировочная мощность ТП – 0,25 МВА)</t>
  </si>
  <si>
    <t>«Строительство ВЛ-10 кВ от опоры № 92 по ВЛ-10 кВ № 2 ПС 110/10 кВ «Туриловская»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электроснабжения молочной фермы Заявителя, ИП Глава К(Ф)Х Скляров В.А. расположенной в Ростовской области, Миллеровский р-н, х. Кузмичевка, (61:22:0600004:979) (ориентировочная   протяженность ЛЭП – 0,59 км, ориентировочная мощность ТП – 0,25 МВА)»</t>
  </si>
  <si>
    <t>«Строительство ВЛ-10 кВ от опоры № 7/14 по ВЛ-10 кВ № 1 ПС 35/10 кВ «Мальчевская»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технологического присоединения ангара, Заявителя,  ИП Глава К(Ф)Х Коник Я.А., расположенного в Ростовской области, Миллеровский р-н, ст. Мальчевская, ул. Готальского, (61:22:0070101:4948) (ориентировочная   протяженность ЛЭП – 0,4 км, ориентировочная мощность ТП – 0,25 МВА)»</t>
  </si>
  <si>
    <t>Строительство ВЛ-0,4 кВ от опоры №2/8, ВЛ 0,4 кВ №1, КТП-10/0,4 кВ №284 по ВЛ-10 кВ №3 ПС  35/10 кВ «Дударевская», установка прибора коммерческого учета электрической энергии (мощности) в точке поставки и установка шкафа 0,4 кВ с коммутационным аппаратом, (1 шт.) для технологического присоединения здания модульного дома культуры заявителя, Администрация Дударевского сельского поселения, расположенного по адресу: Ростовская область, Шолоховский р-н, х. Дударевский, ул. Клубная, д. 43, (к.н.з.у. 61:43:0040101:1659) (ориентировочная протяженность ЛЭП – 0,02 км)</t>
  </si>
  <si>
    <t>Строительство ВЛ-10 кВ от опоры № 153 по ВЛ-10 кВ № 3 ПС 110/10 кВ «Промзона»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технологического присоединения складов хранения и переработки сельскохозяйственной продукции, Заявителя, ИП Глава КФХ Тарадин П.В., расположенных в Ростовской области, Миллеровский р-н, х. Терновой, ул. Луговая, д. 52, корп. А, (61:22:0061001:548) (ориентировочная   протяженность ЛЭП – 0,09 км, ориентировочная мощность ТП – 0,16 МВА)</t>
  </si>
  <si>
    <t>Строительство ВЛ-10 кВ, от опоры №42 по ВЛ-10 кВ №2 ПС 35/10 кВ «Долотинская» с установкой КТП и строительством ВЛ-0,4 кВ, установка коммерческого учета (1 шт.) электрической энергии (мощности) в точке поставки и установка шкафа 0,4 кВ с коммутационными аппаратами, для электроснабжения перекачивающего устройства сливо-наливной ЖД эстакады Заявителя, ООО «ГПН-Аэро» расположенной в Ростовской области, Миллеровский р-н, п. Долотинка, (к.н.з.у. 61:22:0600029:363), (ориентировочная протяженность ЛЭП – 0,122 км, ориентировочная мощность ТП – 0,160 МВА</t>
  </si>
  <si>
    <t>Строительство ВЛ-10 кВ от опоры № 89 по ВЛ-10 кВ № 5 ПС 110/35/10 кВ «ГОК» с установкой КТП и строительством ВЛ-0,4 кВ, установку коммерческого учета (1 шт.) электрической энергии (мощности) в точке поставки и установка шкафа 0,4 кВ с коммутационным аппаратом, для технологического присоединения жилого дома (площадью 272,5 кв.м, из них жилой 29.3 кв.м.), Заявителя, ООО «АКВА.РУ», расположенного в Ростовской области, Миллеровский р-н, х. Новоандреевка, ул. Донецкая, д. 2, к/н, (61:22:0010801:56) (ориентировочная   протяженность ЛЭП – 0,01 км, ориентировочная мощность ТП – 0,16 МВА)</t>
  </si>
  <si>
    <t>Строительство участка ВЛ-6 кВ от опоры № 140 по ВЛ – 6 кВ «Орошение» ПС Ш-9, с установкой на границе земельного участка заявителя ПКУ для объектов жилищно-коммунального хозяйства ООО «Экострой-Дон», по адресу: примерно в 2 км по направлению на юго-запад от п. Аютинский, Красносулинский район, Ростовская область, К.Н З.М: 61:18:0600022:567. (ориентировочная протяженность ЛЭП – 1,18 км.)</t>
  </si>
  <si>
    <t>Строительство ТП-6/0,4, от оп. №38 отпайки к КТП №696 ВЛ 6 кВ Совхоз-10 ПС Ш-12 и ВЛИ-0,4 кВ от вновь установленной ТП-6/0,4 кВ для присоединения нежилой застройки ИП Коваленко Д.О. по адресу: Октябрьский район, Красюковское сельское поселение, слева автомобильной дороги М-4 «Дон» км 1014+370, (ориентировочная протяженность ЛЭП 0,01 км, ориентировочная мощность трансформатора 250 кВА)</t>
  </si>
  <si>
    <t>Строительство ВЛ 0,4 кВ от новой ТП 6/0,4 кВ, строительство ТП 6/0,4 кВ, строительство ВЛ 6 кВ от ВЛ 6 кВ №2 ПС 110/35/6 кВ «Т-25», для технологического присоединения Заявителей (Михайлецкая Г.И., Михайлецский И.С.) по адресу: Ростовская область, г. Таганрог, ул. Поляковское шоссе, 19, к.н.: 61:58:0002500:806, к.н.: 61:58:0002500:805,(Гаражно-строительный кооператив №34) по адресу: Ростовская область, г. Таганрог, ул. Сызранова, 7, к.н. 61:58:05265:0049 (ориентировочная протяженность ЛЭП 0,302 км; мощность силового трансформатора 0,16 МВА)</t>
  </si>
  <si>
    <t>Строительство  ВЛ 0,4 кВ от РУ 0,4 кВ проектируемого ТП 10/0,4 кВ, строительство ТП 10/0,4 кВ, строительство ВЛ 10 кВ от ВЛ 10 кВ № 1 ПС 110/35/10 кВ Чалтырь отпайки на ТП 10/0,4 кВ № 1-182, для технологического присоединения индивидуальных жилых домов Заявителей: (Тащиян А. А., Восканян Т. Д., Явруян А. А., Устимова В. М., Хурдаян Л. Д., Тухикян С. М., Османян Х. М., Поркшеян Н. С., Хатламаджиев В. В., Мошиян А. Э., Тащиян А.А., Хурдаян А. А., Килафян В. М., Мелконян Е. А., Хурдаян А. В.) по адресу: Ростовская область, Мясниковский район, х. Ленинаван, ул. Орджоникидзе (ориентировочная протяжённость ЛЭП-0,73 км, мощность силового трансформатора- 0,25 МВА )</t>
  </si>
  <si>
    <t>Строительство ВЛ 0,4 кВ от опоры по ВЛ 0,4 кВ № 2 ТП 10/0,4 кВ № 5-3 по ВЛ 10 кВ № 5 ПС 110/35/10 кВ Чалтырь, для технологического присоединения индивидуальных жилых домов Заявителей: (Худоярова А. А., Егиян А. А., Алеворян С. С., Олаян В. Б., Саргсян С. И., Долаков А. С.) по адресу: Ростовская область, Мясниковский район, с. Чалтырь, ул. Красноармейская, ул. Абовяна  (ориентировочная протяжённость ЛЭП 0,295 км)</t>
  </si>
  <si>
    <t>Строительство ВЛ 0,4 кВ от ВЛ 0,4 кВ №4 ТП 6/0,4 кВ №103 для электроснабжения жилого дома заявителя (Чуприна В.А.) по адресу: Ростовская область, г. Таганрог, ул. Гастелло, д.82, к.н. 61:58:0003165:21. (ориентировочная протяженность ЛЭП - 0,145 км)</t>
  </si>
  <si>
    <t xml:space="preserve">Строительство ВЛ 0,4кВ от РУ 0,4кВ ТП 6/0,4кВ №117 по КЛ 6кВ №1702 ПС 110/6кВ Т-17 для электроснабжения нежилого помещения заявителя (ИП Ильянов И.А.) по адресу: Ростовская обл., г. Таганрог, ул. Чехова, д.104 корп. А., к.н. 61:58:0001140:279. (ориентировочная протяженность ЛЭП - 0,23км.)
</t>
  </si>
  <si>
    <t>Строительство ВЛ 0,4 кВ от ТП 6/0,4 кВ №6 по КЛ 6 кВ №5 ПС 110/6 кВ Т-5 для технологического присоединения нежилого помещения Заявителя (ИП Элбакян В.Л.) по адресу: Ростовская область, Таганрог, ул. Чехова, д.170/8-й переулок, д.29, к.н.:61:58:0002092:32. (ориентировочная протяженность ЛЭП 0,23 км)</t>
  </si>
  <si>
    <t>Строительство ВЛ 0,4 кВ от РУ 0,4 кВ ТП 10/0,4 кВ № 6-2 по ВЛ 10 кВ № 6 ПС 110/35/10 кВ Чалтырь, для технологического присоединения Заявителей (Хабаликян А. А., Тащиян Н. И., Гайбарян А. А., Гайбарян С. А., ИП Поповян К. А.) по адресу: Ростовская область, Мясниковский район, с. Чалтырь, ул. 3-я линия, 36, 36/а, 38, 43/б, ул. Октябрьская, 28  (ориентировочная протяжённость ЛЭП 0,62 км)</t>
  </si>
  <si>
    <t>Строительство ВЛ 0,4 кВ от ВЛ 0,4 кВ проектируемой по договору № 61-1-18-00373925 от 23.05.2018г Таранова А.В. для технологического присоединения подсобного хозяйств Заявителей (Стражникова Ю.В., Самохвалова Е.В.) по адресу: Ростовская область, Неклиновский район, с. Анреево-Мелентьево, пер. Сквозной, д. 5, 5а (ориентировочная протяженность ЛЭП 0,26 км)</t>
  </si>
  <si>
    <t>Строительство ВЛ 0,4 кВ от РУ 0,4 кВ ТП 10/0,4 кВ №1-210 по ВЛ 10 кВ №1 ПС 110/35/10 кВ Чалтырь для технологического присоединения складского помещения Заявителя (ИП Радякин Н.А.) по адресу: Мясниковский район, 370 м. влево автодороги Ростов-на-Дону – Новошахтинск, к.н. 61:25:0600401:9859 (ориентировочная протяженность ЛЭП 0,21 км)</t>
  </si>
  <si>
    <t>Строительство ВЛ 0,4 кВ от опоры, проектируемой по договору №61-1-21-00599769 для технологического присоединения жилого дома Заявителя (Соколовский В.В.) по адресу: Ростовская область, Мясниковский район, с. Крым, ул. генерала Джелаухова, д. 52/в, к.н. 61:25:0600201:1581 (ориентировочная протяженность ЛЭП 0,06 км)</t>
  </si>
  <si>
    <t xml:space="preserve">Строительство ВЛ 0,4 кВ от КТП 10/0,4 кВ №846 ВЛ 10 кВ №1/3 ПС 110/35/10 кВ «Троицкая-1» для технологического присоединения производственного помещения Заявителя (ООО «Прогресс») по адресу: Ростовская область, Неклиновский район, с. Николаевка, к.н. 61:26:0600014:2025 (ориентировочная протяженность ЛЭП 0,15 км)
</t>
  </si>
  <si>
    <t>Строительство ВЛ 0,4 кВ от опоры по ВЛ 0,4 кВ №1 ТП 10/0,4 кВ №6-7 по ВЛ 10 кВ №6 ПС 35/10 кВ Б.Салы для технологического присоединения жилого дома Заявителя (Пугач В.В.) по адресу: Ростовская область, Мясниковский район, с. Б.Салы, ул. Вишневая, д.13 к.н. №61:25:0600501:1980, (ориентировочная протяженность ЛЭП 0,5 км)</t>
  </si>
  <si>
    <t>Строительство ВЛ 0,4 кВ от новой ТП 10/0,4 кВ, строительство ТП 10/0,4 кВ, строительство ВЛ 10 кВ от опоры по ВЛ 10 кВ №6 ПС 35/10 кВ «Б.Салы», для технологического присоединения жилых домов Заявителя (Поповян А.М.) по адресу: Ростовская область, Мясниковский район, 10 м на юг от южной окраины с. Большие Салы (ориентировочная протяженность ЛЭП 2,85 км; мощность силового трансформатора 0,25 МВА)</t>
  </si>
  <si>
    <t>Строительство ВЛ 0,4 кВ от РУ 0,4 кВ  КТП 10/0,4 кВ №63м ВЛ 10 кВ №2 ПС 110/10 кВ «Носовская» для технологического присоединения малоэтажной жилой застройки (ООО «Транс Марин Лоджик») по адресу: Ростовская область, Неклиновский район, с. Ивановка, ул. Миусская, д.15-Б к.н. 61:26:0150401:113 (ориентировочная протяженность ЛЭП 0,270 км)</t>
  </si>
  <si>
    <t>Строительство ВЛ 0,4 кВ от новой ТП 6/0,4 кВ, строительство ТП 6/0,4 кВ, строительство КЛ 6 кВ от новой ТП 6/0,4 кВ до места врезки в КЛ 6 кВ №801 от РП 6 кВ №8 по КЛ 6 кВ 108/1 ПС 110/35/6 кВ Т-1 для электроснабжения производственной базы и АЗС с магазином, заявителей ИП Кумейко С.А., ИП Бызова Е.С. по адресу: РО г. Таганрог, ул. Социалистическая, 150У, 150/4 (ориентировочная протяженность ЛЭП - 0,075 км, ориентировочная мощность силового трансформатора – 250 кВА)</t>
  </si>
  <si>
    <t>«Строительство ВЛ 0,4 кВ от новой ТП 10/0,4 кВ, строительство ТП 10/0,4 кВ, строительство ВЛ 10 кВ от ВЛ 10 кВ №2 ПС 35/10 кВ «Таганрогская», для технологического присоединения объект торговли Заявителя (ИП Тимченко А.С.) по адресу: Ростовская область, Неклиновский район, х. Рожок, ул. Северная, д. 27-Б, к.н. 61:26:0100401:2621 (ориентировочная протяженность ЛЭП 0,025 км; мощность силового трансформатора 0,160 МВА)»</t>
  </si>
  <si>
    <t>Строительство ВЛ 0,4 кВ от ВЛ 0,4 кВ №23 ТП 6/0,4 кВ №294 по КВЛ 6 кВ №80 ПС-35/6 кВ Т-8, для технологического присоединения медицинского учреждения Заявителя (ИП Албатова Е.Н.) по адресу: Ростовская область, г. Таганрог, ул. Бакинская, 56 к.н. 61658:0004487:70 (ориентировочная протяженность ЛЭП 0,45 км)</t>
  </si>
  <si>
    <t>Строительство ВЛ 0,4 кВ от новой ТП 10/0,4 кВ, строительство ТП 10/0,4 кВ, строительство ВЛ 10 кВ от ВЛ 10 кВ №1 ПС 110/35/10 кВ «Синявская», для технологического присоединения объекта сельскохозяйственного производства Заявителя (Бабаев К.Ф.) по адресу: Ростовская область, Мясниковский район, СПК «Пролетарская диктатура», к.н. 61:25:0600801:275 (ориентировочная протяженность ЛЭП 1,11 км; мощность силового трансформатора 0,160 МВА)</t>
  </si>
  <si>
    <t>Строительство ВЛ 0,4 кВ от ВЛ 0,4 кВ №1 КТП 10/0,4 кВ №845 ВЛ 10 кВ №6 ПС 110/10 кВ Самбек, для технологического присоединения АГЗС Заявителя (ООО «ГАЗМАРКЕТ Газозаправочные станции. Ростов») по адресу: Ростовская область, Неклиновский район, 62 км. а/д Ростов-Таганрог, 61:26:0600015:5235 (ориентировочная протяженность ЛЭП 0,100 км)</t>
  </si>
  <si>
    <t>Строительство двух ВЛ 0,4 кВ, строительство 2-х трансформаторной ТП 10/0,4 кВ, строительство ВЛ 10 кВ от ВЛ 10 кВ №8 ПС 35/10 кВ Куйбышево-1, строительство ВЛ 10 кВ от ВЛ 10 кВ №3 ПС 35/10 кВ Куйбышево-1, для технологического присоединения детского сада (МБОУ детский сад «Аленушка») по адресу: Ростовская обл., р-н Куйбышевский, с. Куйбышево, ул. Кузьменко, 3-а, к.н. 61:19:0000000:545 (ориентировочная протяженность ЛЭП - 0,49 км; мощность силового трансформатора – 2х0,16 МВА)</t>
  </si>
  <si>
    <t>Строительство ВЛ 0,4 кВ от новой ТП 10/0,4 кВ, строительство ТП 10/0,4 кВ от ВЛ 10 кВ №8 ПС 35/10 кВ «Куйбышево-1», для технологического присоединения дошкольной образовательной организации Заявителя (МБДОУ детский сад комбинированного вида №1 «Колокольчик») по адресу: Ростовская область, Куйбышевский район, село Куйбышево, пер. Овчаренко, д. 6. к.н 61:19:0010159:7 (ориентировочная протяженность ЛЭП 0,9 км; мощность силового трансформатора 0,16 МВА)</t>
  </si>
  <si>
    <t>Строительство ВЛ 0,4 кВ от РУ 0,4 кВ ТП 10/0,4 кВ №7-23 по ВЛ 10 кВ №7 ПС110/35/10 кВ Синявская, для технологического присоединения жилых домов Заявителей (Салюк В.В., Салюк О.В.) по адресу: Ростовская область, Мясниковский район, х. Хапры, пер. Таганрогский, д. 6/ж, 6/з, к.н. №61:25:0070201:2185., 61:25:0070201:2183, (ориентировочная протяженность ЛЭП 0,21 км)</t>
  </si>
  <si>
    <t>«Строительство двух КВЛ 0,4 кВ от ВЛ 0,4 кВ №17 ТП 6/0,4 кВ №298 РП 6 кВ №15 по КЛ 6 кВ №172/1, 172/2 ПС 110/6 кВ Т-17 до границ земельных участков Заявителя (ООО «Континент») по адресу: Ростовская область, г. Таганрог, ул. Портовая, д. 2-г, к.н. 61:58:0001174:14, Заявителя (Федерального государственного унитарного  предприятия «Росморпорт») по адресу: Ростовская область, г. Таганрог, ул. Портовая, д. 2-20, к.н. 61:58:0001172:124 (ориентировочная протяженность ЛЭП 2х0,21 км)»</t>
  </si>
  <si>
    <t>Строительство ВЛ 0,4 кВ от ВЛ 0,4 кВ №10 ТП 6/0,4 кВ №571 по КЛ 10 кВ №2702 ПС-110/10 кВ Т-27, для технологического присоединения объекта торговли Заявителя (ИП Ярызько С.А.) по адресу: Ростовская область, г. Таганрог, ул. Мариупольское шоссе, 8-1 (ориентировочная протяженность ЛЭП 0,08 км)</t>
  </si>
  <si>
    <t>Строительство ВЛ 0,4 кВ от новой ТП 10/0,4 кВ, строительство ТП 10/0,4 кВ, строительство ВЛ 10 кВ от опоры по ВЛ 10 кВ №1 ПС 110/35/10 кВ «Чалтырь», запитанной от ВЛ 10 кВ №13 ПС 110/35/10 кВ ПС «Чалтырь», для технологического присоединения складского здания/помещения Заявителя (ИП Каровко А.А.) по адресу: Ростовская область, Мясниковский район, 1-й км автодороги Ростов-на-Дону – Новошахтинск, уч. 1/2 (ориентировочная протяженность ЛЭП 0,195 км; мощность силового трансформатора 0,16 МВА)</t>
  </si>
  <si>
    <t>Строительство ВЛ 0,4 кВ от опоры по ВЛ 0,4 кВ №1 ТП 10/0,4 кВ №3-37 по ВЛ 10 кВ №3 ПС 110/35/10 кВ Чалтырь, для технологического присоединения жилых домов Заявителей (Скворцов М.В., Чибичян Х.М.) по адресу: Ростовская область, Мясниковский район, с. Чалтырь, ул. Победы (ориентировочная протяженность ЛЭП 0,46 км)</t>
  </si>
  <si>
    <t>Строительство ВЛ 0,4 кВ от опоры ВЛ 0,4 кВ №13  КТП 6/0,4 кВ №560 по КВЛ 6 кВ №2 ПС-110/35/6 кВ Т-25, для технологического присоединения сборочного цеха Заявителя (АО «АВИАОК») по адресу: Ростовская область, г. Таганрог, пл. Авиаторов, д. 1, к.н. 61:58:0002501:412 (ориентировочная протяженность ЛЭП 0,05 км)</t>
  </si>
  <si>
    <t>Строительство ВЛ 0,4 кВ от опоры №2-00/14 ВЛ 0,4 кВ Л-2 КТП 10/0,4 кВ №483 по ВЛ 10 кВ Л-1 Фрунзе 1, для электроснабжения объекта – «гостевой дом», расположенного по адресу: Российская Федерация, Ростовская обл, р-н Сальский, Манычское сельское поселение, кадастровый номер земельного участка 61:34:0600001:2612, заявитель Толстенко Т.В.» (Ориентировочная протяженность ЛЭП – 0,12 км)</t>
  </si>
  <si>
    <t>«Строительство ВЛ-0,4 кВ от КТП 10/0,4 кВ № 19 по ВЛ-10 кВ Л-8 Пролетарская, для электроснабжения объекта «нежилое здание», расположенного по адресу: Российская Федерация, Ростовская обл., р-н. Пролетарский, ЗАО им 50-летия СССР, отделение 5, р.у. 41, к.н.з.у: 61:31:0600008:1701, заявитель Басов С.И.» (Ориентировочная протяженность ЛЭП – 0,25 км)</t>
  </si>
  <si>
    <t>«Строительство ВЛ 10 кВ от опоры №1-00/223 ВЛ 10 кВ Л-1 Ново-Донская, строительство КТП 10/0,4 и ВЛ 0,4 кВ для электроснабжения объекта – «объект сельскохозяйственного производства», расположенного по адресу: РФ, Ростовская обл., р-н. Целинский, с. Средний Егорлык, Среднеегорлыкское с/п, СПК «Московский», кадастровое поле №20, к.н. земельного участка 61:40:0600015:4043, заявитель ИП Винокуров А.Ю.»  (Ориентировочная протяженность ЛЭП – 0,41 км, ориентировочная мощность ТП – 0,025 МВА)»</t>
  </si>
  <si>
    <t>«Строительство ВЛ 0,4 кВ от КТП 10/0,4 кВ №319 по ВЛ 10 кВ Л-5 Степная для электроснабжения объекта – «жилой дом», расположенного по адресу: РФ, Ростовская обл., р-н. Пролетарский, х. Степной, ул. Первомайская, д. 27, заявитель Гасанов М.А.»  (Ориентировочная протяженность ЛЭП – 0,48 км)»</t>
  </si>
  <si>
    <t>«Строительство ВЛ 0,4 кВ от КТП №130 по ВЛ 10 кВ Л-4 Уютная и установка системы учета электрической энергии (мощности) на границе земельного участка для электроснабжения объекта «жилой дом», расположенного по адресу: Российская Федерация, Ростовская обл., р-н. Пролетарский, х. Уютный, сад. Заречное, кадастровый номер земельного участка: 61:31:0500401:116, заявитель Горнушко Т.Н.»  (Ориентировочная протяженность ЛЭП – 0,22 км)».</t>
  </si>
  <si>
    <t>«Строительство ВЛИ 0,4 кВ от существующей опоры 1-00/7 ВЛ 0,4 кВ Л-1 КТП 10/0,4 кВ №246 ВЛ 10 кВ Л-4 Плодородненская для технологического присоединения «объект сельскохозяйственного производства», расположенного по адресу: РФ, Ростовская область, Целинский район,  с. Плодородное, в границах ОАО «Плодородное», к.н.з.у.:61:40:0600006:2159, заявитель ИП глава КФХ Рудненко П.М.» (Ориентировочная протяженность ЛЭП-0,3 км)»</t>
  </si>
  <si>
    <t xml:space="preserve"> "Строительство ВЛИ 0,4 кВ от опоры 1-00/10 ВЛ 0,4 кВ Л-1 от КТП 10/0,4 кВ, № 137 по  ВЛ 10 кВ Л-2Коневод   для электроснабжения объектов - "жилой  дом"  расположенных  по адресу: РФ, Ростовская область, Целинский район х.Образцовый, ул.Кирпичная, д.23 ( с к.н.61:40:0030501:11), д.29, ( с к.н. 61:40:0030501:2), заявитель С.И.Винокурова, заявитель А.В.Елизарова  (ориентировочная протяженность ЛЭП 0,63 км; )"</t>
  </si>
  <si>
    <t>«Строительство ВЛ 0,4 кВ от опоры №4-00/16 ВЛ 0,4 кВ Л-4 КТП №956 по ВЛ 10кВ Л-2 Ганчуковская для электроснабжения объекта –«нестационарный торговый объект», расположенного по адресу: 347557 Российская Федерация, Ростовская обл., р-н. Пролетарский, х. Ганчуков, в кадастровом квартале 61:31:0070101, заявитель ИП Никифорова Т.Н.»  (Ориентировочная протяженность ЛЭП – 0,11 км)</t>
  </si>
  <si>
    <t>«Строительство ВЛ 0,4 кВ от опоры №2-00/6 ВЛ 0,4 кВ Л-2 КТП 10/0,4 кВ №49 по ВЛ 10 кВ Л-21 Сальская и установка системы учета электрической энергии (мощности) на границе земельного участка, для электроснабжения объекта – «гостиница», расположенного по адресу: Российская Федерация, Ростовская обл., Сальский р-н, п. Конезавод имени Буденного, ул. Восточная,    д. 60, кадастровый номер земельного участка 61:34:0600006:856, заявитель Тамоян С.Х.»</t>
  </si>
  <si>
    <t>Строительство ВЛ 0,4 кВ от РУ 0,4 кВ КТП 10/0,4 кВ № 483 по ВЛ 10 кВ Л-1 Фрунзе 1, для электроснабжения объекта – «нежилая застройка (хозяйственная постройка, нежилое здание)», расположенного по адресу: Российская Федерация, Ростовская область, р-н. Сальский, п. Степной Курган, в кадастровом квартале 61:34:0600001 с условным центром в п. Степной Курган, отд. №5 поле 24г, кадастровый номер земельного участка: 61:34:0600001:2599, заявитель Евко В.Н. (Ориентировочная протяженность ЛЭП – 0,5 км)</t>
  </si>
  <si>
    <t>Строительство ВЛ 0,4 кВ от опоры №1-00/4 ВЛ 0,4 кВ Л-1 КТП 10/0,4 кВ № 431 по ВЛ 10 кВ Л­3 Фрунзе 1 и установка системы учета электрической энергии (мощности) на границе земельного участка для электроснабжения объекта – «Малоэтажная жилая застройка», расположенного по адресу: Российская Федерация, Ростовская обл., Сальский район, с условным центром в п. Степной Курган, в 1 км на юго-запад от п. Лужки, кадастровый номер земельного участка: 61:34:0600001:684, заявитель Шкуринский А.С.» (Ориентировочная протяженность ЛЭП – 0,38 км)</t>
  </si>
  <si>
    <t>Строительство ВЛИ 0,4 кВ от КТП 10/0,4 кВ №40 по ВЛ 10 кВ Л-1 Ново-Донская для электроснабжения объектов – «жилой дом», расположенных по адресу: РФ, Ростовская область, Целинский район, х. Дачный, ул. Дачная, д. 25, (с к.н. 61:40:0080201:64), д. 29, (с к.н. 61:40:0080201:23), заявитель В.В. Пак, заявитель  М.Н. Мартынов (Ориентировочная протяженность ЛЭП-2,04 км)</t>
  </si>
  <si>
    <t>«Строительство ВЛ 10 кВ от опоры 3-00/96 по ВЛ 10 кВ Л-3 Целинская, строительство КТП 10/0,4 кВ, ВЛ 0,4 кВ и установка системы учета электрической энергии (мощности) на границе земельного участка для электроснабжения объекта – «парковка автомобилей и гараж», расположенного по адресу: РФ, Ростовская обл., р-н. Целинский, п. Целина, кадастровый номер земельного участка 61:40:0600011:2925, заявитель АО «Агрокомплекс Развильное» (Ориентировочная протяженность ЛЭП – 0,02 км, ориентировочная мощность ТП – 0,1 МВА)</t>
  </si>
  <si>
    <t>«Строительство ВЛИ 0,4 кВ от существующей опоры №1-00/1 ВЛ 0,4 кВ Л-1 КТП 10/0,4 кВ №109 по ВЛ 10 кВ Л-2 Жуковская и установка системы учета электрической энергии (мощности) на границе земельного участка для электроснабжения объекта «магазин», расположенного по адресу: 347567, РФ, Ростовская область, Песчанокопский район, с. Жуковское, ул. Ленина, д. 152, к.н.з.у.: 61:30:0030101:4353, заявитель ИП Масалитин И.В.»</t>
  </si>
  <si>
    <t>«Строительство ВЛ 10 кВ от опоры №206/76 ВЛ 10 кВ (собственник Апарников Н.Н.) по ВЛ 10 кВ Л-2 «Буденовская», строительство КТП 10/0,4 и ВЛ 0,4 кВ для электроснабжения объектов – «производственная база» заявитель Кобяков С.А. и «дом рыбака» заявитель Дергачев А.Н., расположенных по адресу: РФ, Ростовская обл., Пролетарский район, Буденновское сельское поселение, р.у. 130, к.н. 61:31:0600007:700, 61:31:0600007:569» (Ориентировочная протяженность ЛЭП – 2,71 км, ориентировочная мощность ТП – 0,04 МВА)</t>
  </si>
  <si>
    <t>«Строительство ВЛ 0,4 кВ от опоры No3-00/16 ВЛ 0,4 кВ Л-3 КТП 10/0,4 кВ No 517  по ВЛ 10  кВ Л-5 Ивановская и установка системы учета электрической энергии (мощности) на границе земельного участка для электроснабжения объекта  – «Объект крестьянского (фермерского) хозяйства», расположенного по адресу: Российская Федерация, Ростовская обл., р-н.Сальский, в кадастровом квартале  61:34:0600018  с условным центром в с.Ивановка, кадастровый номер земельного участка: 61:34:0600018:1973, заявитель Черненко А.В.» (Ориентировочная протяженность ЛЭП  –  0,32  км)</t>
  </si>
  <si>
    <t>«Строительство ВЛ 0,4 кВ от РУ 0,4 кВ КТП 10/0,4 кВ №116 по ВЛ 10 кВ Л-21 Сальская и установка системы учета электрической энергии (мощности) на границе земельного участка, для электроснабжения объекта – «магазин», расположенного по адресу: Российская Федерация, Ростовская обл., р-н. Сальский, п. Конезавод имени Буденного, ул. Восточная, земельный участок 59 А, кадастровый номер земельного участка 61:34:0040101:4572, заявитель ИП Тубольцев Р.В.»</t>
  </si>
  <si>
    <t>«Строительство ВЛ 10 кВ от опоры No4-01/31 Л-4 ГПЗ, строительство ТП 10/0,4 и ВЛ 0,4 кВ и установка системы учета электрической энергии (мощности) на границе земельного участка для электроснабжения  объекта - дом  рыбака, расположенного по адресу: РФ, Ростовская область, Пролетарский район, № участка  116, заявитель ИП Тимченко С.Н.» (Ориентировочная протяженность ЛЭП – 1,31 км, ориентировочная мощностьТП – 0,025 МВА)»</t>
  </si>
  <si>
    <t>"Строительство ВЛ 0,4 кВ от РУ 0,4 кВ КТП 10/0,4 кВ №48 по ВЛ 10 кВ Л-2 РП 21 С и установка системы учета электрической энергии (мощности) на границе земельного участка, для электроснабжения объекта – «объект торговли», расположенного по адресу: Российская Федерация, Ростовская обл, р-н Сальский, п. Конезавод имени Буденного, ул. Чумакова, д. 1 Г, кадастровый номер земельного участка 61:34:0040101:4560, заявитель ИП Акопян К.П.» (Ориентировочная протяженность ЛЭП – 0,2 км)"</t>
  </si>
  <si>
    <t>«Строительство ВЛ 0,4 кВ от РУ 0,4 кВ КТП 10/0,4 кВ №184 по ВЛ 10 кВ Л-9 Трубецкая и установка системы учета электрической энергии (мощности) на границе земельного участка для электроснабжения объекта «складское здание/помещение», расположенного по адресу: Российская Федерация, Ростовская область, р-н. Сальский, п. Гигант, отделение №5, кадастровый номер земельного участка: 61:34:0010601:455, заявитель ИП Попов О.П.» (Ориентировочная протяженность ЛЭП – 0,285 км)</t>
  </si>
  <si>
    <t>«Строительство ВЛ 10 кВ от опоры 7-02/42 по ВЛ 10 кВ Л-7 Львовская, строительство КТП 10/0,4 кВ, ВЛ 0,4 кВ и установка системы учета электрической энергии (мощности) на границе земельного участка для электроснабжения объекта – «объект крестьянского (фермерского) хозяйства», расположенного по адресу: Российская Федерация, Ростовская обл., р-н. Орловский, х. Николаевский, ул. Степная, д.4,  кадастровый номер земельного участка: 61:29:0080301:28, заявитель Зубайриев А.А.» (Ориентировочная протяженность ЛЭП – 0,51 км, ориентировочная мощность ТП – 0,16 МВА).</t>
  </si>
  <si>
    <t>«Строительство ВЛ 10 кВ от опоры №5-00/88 ВЛ 10 кВ Л-5 Шаблиевская, строительство ТП 10/0,4 кВ, ВЛ 0,4 кВ и установка системы учета электрической энергии (мощности) на границе земельного участка для электроснабжения объекта – «Нежилая застройка», расположенного по адресу: Российская Федерация, Ростовская обл., р-н. Сальский, с. Шаблиевка, кадастровый номер земельного участка 61:34:0600009:974, заявитель ООО «ЮгХолодМонтаж»</t>
  </si>
  <si>
    <t>«Строительство ВЛ 10 кВ от опоры №5-00/10 ВЛ 10 кВ Л-5 Трубецкая, строительство ТП 10/0,4 кВ, ВЛ 0,4 кВ и установка системы учета электрической энергии (мощности) на границе земельного участка для электроснабжения объекта – «Нежилые помещения», расположенного по адресу: Российская Федерация, Ростовская обл., Сальский, Гигантовское сельское поселение, п. Гигант, ул. Северная, 1 б, кадастровый номер земельного участка 61:34:0010113:219, заявитель ООО «Агрофирма-ССМ»</t>
  </si>
  <si>
    <t>«Строительство ВЛ 0,4 кВ от РУ 0,4 кВ КТП 10/0,4 кВ № 274 по ВЛ 10 кВ Л­9 Трубецкая и установка системы учета электрической энергии (мощности) на границе земельного участка для электроснабжения объекта – «нежилое здание», расположенного по адресу: Российская Федерация, Ростовская обл., р-н. Сальский, п. Загорье, 235 м севернее п. Загорье, кадастровый номер земельного участка: 61:34:0600005:3983, заявитель Хворост А.В.»</t>
  </si>
  <si>
    <t>«Строительство ВЛ  0,4 кВ от опоры  3-00/21 ВЛ-0,4 кВ Л-3 КТП 10/0,4 кВ No 259 по ВЛ 10 кВ Л-1 Черкесская и установка  системы  учета  электрической  энергии (мощности)  на  границе  земельного  участка  для электроснабжения  объекта– «нежилое  здание», расположенного по адресу: Российская Федерация, Ростовская обл., р-н. Орловский, х. Черкесский, ул. Транспортная д.  46,  кадастровый номер земельного участка:  61:29:0600010:1414, заявитель Гамзатова С.М.» (Ориентировочная протяженность ЛЭП – 0,415 км)</t>
  </si>
  <si>
    <t>«Строительство ВЛИ 0,4 кВ от существующей опоры № 2­00/6 ВЛ 0,4 кВ №2 КТП № 80 по ВЛ 10 кВ Л­3 Пролетарская и установка системы учета электрической энергии (мощности) на границе земельного участка для электроснабжения объекта – «дачный дом», расположенного по адресу: Российская Федерация, Ростовская обл., р-н. Пролетарский, г. Пролетарск, ул. СТФ, д. 7, кадастровый номер земельного участка: 61:31:0110402:215, заявитель Свинарёва Н.А.» (Ориентировочная протяженность ЛЭП – 0,06 км)</t>
  </si>
  <si>
    <t xml:space="preserve">Строительство ВЛ 0,4 кВ от РУ 0,4 кВ КТП 10/0,4 кВ №70А ВЛ 10 кВ №3 ПС 35 кВ Б. Салы для электроснабжения ВРУ 0,4 кВ жилых домов Ступко К.А. на участках с КН 61:02:0600005:11413, КН 61:02:0600005:11389, КН 61:02:0600005:11412, КН 61:02:0600005:11397 в п. Темерницкий  Аксайского района Ростовской области </t>
  </si>
  <si>
    <t xml:space="preserve">Строительство ВЛ 0,4 кВ от РУ 0,4 кВ с заменой трансформатора ТП 10/0,4 кВ №944 ВЛ 10 кВ №3 ПС 35/10 кВ Б. Салы для электроснабжения ВРУ 0,4 кВ жилых домов Ступко К.А. на участках с на участках с КН 61:02:0600005:11381, КН 61:02:0600005:11416 в п. Темерницкий Аксайского района Ростовской области </t>
  </si>
  <si>
    <t xml:space="preserve">Строительство ВЛ 0,4 кВ от проектируемой ВЛ 0,4 кВ (по договору №61-1-21-00598231 от 02.09.2021 г.) от РУ 0,4 кВ ТП 10 кВ №271 ВЛ 10 кВ №1513 ПС 110 кВ АС15 для электроснабжения ВРУ 0,4 кВ жилого дома Рогальской Л. И. на участке с КН 61:02:0010146:6 в п. Янтарный Аксайского района Ростовской области </t>
  </si>
  <si>
    <t xml:space="preserve">Строительство ВЛ 0,4 кВ от проектируемой ВЛ 0,4 кВ (по договору №61-1-21-00601061 от 13.09.2021 г.) техперевооружаемой ТП 6 кВ №188 ВЛ 6 кВ №804 ПС 35 кВ АС8 для электроснабжения жилого дома Ермолаева М. А. на участке с КН 61:02:0010301:332 в п. Российский Аксайского района Ростовской области </t>
  </si>
  <si>
    <t xml:space="preserve">Строительство ВЛ 0,4 кВ от РУ 0,4 кВ  КТП 10 кВ №45, ВЛ 10 кВ №160 ПС 110 кВ В1 для электроснабжения жилого дома Ахметова Р. У.  на участке с КН 61:06:0010141:568 в Веселовском районе РО, п. Веселый, ул. Береговая, 15-е </t>
  </si>
  <si>
    <t xml:space="preserve">Строительство ВЛ 0,4 кВ от РУ 0,4 кВ ТП 10 кВ №923 ВЛ 10 кВ №3 ПС 35 кВ Б. Салы для электроснабжения ВРУ-0.4 кВ жилых домов Коковой Т. С. и Ромащенко Д. В. по адресу: Ростовская обл., р-н. Аксайский, п. Щепкин, КН: 61:02:0600006:6930, 61:02:0600006:6933 </t>
  </si>
  <si>
    <t xml:space="preserve">Строительство ВЛ 0,4 кВ от проектируемой ВЛ 0,4 кВ (по договору №61-1-20-00523945 от 11.08.2020 г.) от РУ 0,4 кВ ТП 10 кВ №653 ВЛ 10 кВ №403 ПС 110 кВ АС4 для электроснабжения ВРУ 0,4 кВ жилого дома Панина И. А. на участке с КН 61:02:0600016:3892 в х. Ленина Аксайского района Ростовской области </t>
  </si>
  <si>
    <t xml:space="preserve">Строительство ВЛ 0,4 кВ от РУ 0,4 кВ ТП-10/0,4 кВ №113 ВЛ 10 кВ №702 ПС 35 кВ АС7 для электроснабжения объекта крестьянского (фермерского) хозяйства ООО «РИДЕР» на участке с КН 61:02:0600009:1743 в п. Красный, ул. Дорожная, д. 4, Аксайского района, Ростовской области </t>
  </si>
  <si>
    <t>Строительство ВЛ 0,4 кВ по ВЛ 0,4 кВ №1 техперевооружаемого ТП-10/0,4 кВ 639 (по договору №61-1-22-00650597) ВЛ 10 кВ №101 ПС 110 кВ АС-1 для электроснабжения ВРУ-0,4 кВ жилого дома Мальченко И. С. на участке с КН 61:02:0090301:526 в х. Махин Аксайского района Ростовской области</t>
  </si>
  <si>
    <t xml:space="preserve">Строительство ВЛ 0,4 кВ от ВЛ 0,4 кВ №3 КТП-10/0,4 кВ №615 ВЛ 10 кВ №101 ПС 110 кВ АС-1 для электроснабжения ВРУ-0,4 кВ жилого дома Москачевой Т.Н. на участке с КН 61:02:0090301:411 в ст-це Ольгинской Аксайского района Ростовской области </t>
  </si>
  <si>
    <t xml:space="preserve">Строительство КТП 10/0,4 кВ, ВЛ 0,4 кВ, ВЛ 10 кВ от проектируемой КВЛ 10 кВ (по договору №61-1-19-00491643 от 26.12.2019 г.) от КВЛ 10 кВ №3Ф5 РП 10 кВ №3 ПС 110 кВ АС15 для электроснабжения малоэтажной жилой застройки ООО “КапиталСтрой” на участке с КН 61:02:0600010:16697 в г. Аксае Аксайского района РО </t>
  </si>
  <si>
    <t xml:space="preserve">Строительство ВЛ 0,4 кВ от проектируемой ВЛ 0,4 кВ (договор №61-1-22-00630117 от 21.02.2022 г.) с заменой трансформатора в ТП-10/0,4 кВ ВЛ 10 кВ №101 ПС 110 кВ АС-1 для электроснабжения жилых домов Хаширова И.Д., Поповой Н.С., Чулкова Д.С., Сомик Г.К., Белоусовой Л.И. в РО, Аксайский р-н, х. Махин КН: 61:02:0600015:8159, 61:02:0600015:8103, 61:02:0600015:8100, 61:02:0600015:8102, 61:02:0600015:8093 </t>
  </si>
  <si>
    <t xml:space="preserve">Строительство ВЛ 0,4 кВ по ВЛ 0,4 кВ №1 ТП 10/0,4 кВ №453 ВЛ 10 кВ №1109 ПС 110 кВ АС11 для электроснабжения ВРУ 0,4 кВ жилого дома Ржакинского В.Ю. на участке с КН 61:02:0600010:1064 по пер. Рахманинский, д. 149 в ст. Грушевская, Аксайского района Ростовской области </t>
  </si>
  <si>
    <t xml:space="preserve">Строительство ВЛ 0,4 кВ от проектируемой ВЛ 0,4 кВ (по договору №61-1-22-00627353 от 14.02.2022 г.) ВЛ 10 кВ №101 ПС 110/35/10 кВ АС-1 для электроснабжения ВРУ-0.4 кВ жилого дома Резниковой Т.Ю. ст-ца. Ольгинская Аксайского района Ростовской области КН: 61:02:0600015:7925 </t>
  </si>
  <si>
    <t>Строительство ВЛ 0,4 кВ от проектируемой ВЛ 0,4 кВ (по договору №61-1-22-00642031 от18.04.2022) ТП 10 кВ №944 ВЛ 10 кВ №3 ПС 35 кВ Б. Салы    для электроснабжения ВРУ 0,4 кВ жилого дома Коваленко Е.А. по адресу: Ростовская обл., р-н Аксайский, п. Темерницкий, кадастровый номер земельного участка 61:02:0600005:12667</t>
  </si>
  <si>
    <t xml:space="preserve">Строительство ВЛ 0,4 кВ от РУ 0,4 кВ ТП 10 кВ №192 ВЛ 10 кВ №441 ПС 220 кВ Р4 для электроснабжения ВРУ 0,4 кВ жилого дома Ващук В. С. на участке с КН 61:02:0010130:7 в п. Янтарный Аксайского района Ростовской области </t>
  </si>
  <si>
    <t xml:space="preserve">Строительство ВЛ 0,4 кВ от ВЛ 0,4 кВ №3 КТП-6/0,4 кВ №169 ВЛ 6 кВ №807 ПС 35/6 кВ АС-8 для электроснабжения ВРУ-0,4 кВ жилого дома Колесниковой С. И. на участке с КН 61:02:0010201:7397 в х. Большой Лог Аксайского района Ростовской области </t>
  </si>
  <si>
    <t xml:space="preserve">Техперевооружение существующего КТП-10/04 кВ № 635, строительство ВЛ 0,4 кВ по ВЛ 0,4 кВ № 1 КТП 10/0,4 кВ №635 ВЛ 10 кВ №101 ПС 110 кВ АС 1 для электроснабжения жилого дома Бондарева И.А. расположенного по адресу РО., р-н. Аксайский, ст Ольгинская. ул. Кузнецкая, 126-В </t>
  </si>
  <si>
    <t xml:space="preserve">Строительство ВЛ 0,4 кВ от ВЛ 0,4 кВ №1 КТП-10/0,4 кВ №17 ВЛ 10 кВ №655 ПС 110/10 кВ АС-6 для электроснабжения ВРУ 0,4 кВ жилого дома Редкиной Е.А. по адресу: Ростовская обл., р-н. Аксайский, ст-ца. Старочеркасская, ул. Московская, д. 8-а, КН: 61:02:0110102:3372 </t>
  </si>
  <si>
    <t xml:space="preserve">Строительство ВЛ 0,4 кВ от проектируемой ВЛ 0,4 кВ (по
договору №61-1-21-00602853 от 21.09.2021 года) ТП-10/0,4 кВ №940 ВЛ 10 кВ №403 ПС 110 кВ АС-4,  для электроснабжения ВРУ-0,4 кВ жилого дома Авериной А.А. по адресу: РО., р-н. Аксайский, х. Ленина, ул. Севастопольская, д. 31, К.Н.:61:02:0600016:4454 
</t>
  </si>
  <si>
    <t xml:space="preserve">Строительство ВЛ 0,4 кВ от концевой проектируемой ВЛ 0,4 кВ (по договору №61-1-21-00617285 от 07.12.2021 года) от опоры №13 ВЛ 0,4 кВ №1 КТП-10/0,4 кВ №19 ВЛ 10 кВ №655 ПС 110/10 кВ АС-6,  для электроснабжения ВРУ-0,4 кВ жилого дома Шалиной Тамары Александровны по адресу: Ростовская обл., р-н. Аксайский, ст-ца. Старочеркасская, ул. Лесная, д. 19, кадастровый номер земельного участка: 61:02:0110102:3183. </t>
  </si>
  <si>
    <t xml:space="preserve">Строительство ВЛ 0,4 кВ от ВЛ 0,4 кВ №2 КТП-10/0,4 кВ №923 ВЛ 10 кВ №3 ПС 35/10 кВ Б. Салы для электроснабжения ВРУ-0.4 кВ жилого дома Попова Алексея Викторовича по адресу: Ростовская обл., р-н. Аксайский, п. Щепкин, проезд Серебряный, д. 4, кадастровый номер земельного участка: 61:02:0600006:6100 </t>
  </si>
  <si>
    <t xml:space="preserve">Строительство ВЛ 0,4 кВ по ВЛ 0,4 кВ №2 ТП №14 ВЛ 10 кВ №657 ПС 110 кВ АС-6 для электроснабжения ВРУ-0.4 кВ жилого дома Ткаченко Ю.В по адресу: РО р-н. Аксайский, ст. Старочеркасская, ул. Береговая, д. 2-Б, КН: 61:02:0110102:4473 </t>
  </si>
  <si>
    <t xml:space="preserve">Строительство ВЛ 0,4 кВ от ВЛ 0,4 кВ №2 КТП-10/0,4 кВ №265 ВЛ 10 кВ №1208 ПС 110/10 кВ АС-12 для электроснабжения ВРУ-0.4 кВ складского здания ООО "Наш сервис" по адресу: Ростовская обл., Аксайский р-н, п. АО «Октябрьское», кадастровый номер земельного участка: 61:02:0600004:3352 </t>
  </si>
  <si>
    <t xml:space="preserve">Строительство ВЛ 0,4 кВ от ВЛ 0,4 кВ №1 ТП 10 кВ №1 ВЛ 10 кВ №657 ПС 110 кВ АС6 для электроснабжения ВРУ 0,4 кВ жилого дома Набока Н. Л. на участке с КН 61:02:0600013:2066 в ст-це Старочеркасская Аксайского района Ростовской области </t>
  </si>
  <si>
    <t>Строительство ТП 10/0,4 кВ, ВЛ 0,4 кВ, ВЛ 10 кВ от ВЛ 10 кВ №207 ПС 110 кВ СМ2 для электроснабжения ВРУ-0,4 кВ жилых домов заявителя Агеева Е.В. по адресу: РФ, Ростовская обл., р-н. Семикаракорский, ст-ца. Задоно-Кагальницкая, 1,3,4,5,10,11 восточная часть контура № 12, северная часть контура № 12 массива земель реорганизованного с/х предприятия ОАО " Задоно-Кагальницкая птицефабрика", КН ЗУ: 61:35:0600008:404 (ориентировочная мощность трансформатора 0,025 МВА, ориентировочная протяжённость ЛЭП 1,02км)</t>
  </si>
  <si>
    <t xml:space="preserve">Строительство ТП 10/0,4 кВ, ВЛ 0,4 кВ, ВЛ 10 кВ от ВЛ 10 кВ №401 ПС 110 кВ АС4 для электроснабжения складских зданий/помещений Игнатьева Г. Н. на участке с КН 61:02:600016:2121 в х. Ленина Аксайского района Ростовской области </t>
  </si>
  <si>
    <t xml:space="preserve">Строительство ВЛ 0,4 кВ от ВЛ 0,4 кВ №1 КТП-10/0,4 кВ №679 ВЛ 10 кВ №102 ПС 110 кВ АС-1 для электроснабжения малоэтажной жилой застройки Бабаева В.А. по адресу: РО, р-н. Аксайский, ст-ца. Ольгинская, ул. Левобережная, д. 4, с/т "Донское", д.521, КН: 61:02:0504301:43 </t>
  </si>
  <si>
    <t xml:space="preserve">Строительство ВЛ 0,4 кВ от ВЛ 0,4 кВ №2 КТП-6/0,4 кВ №169 ВЛ 6 кВ №807 ПС 35/6 кВ АС-8 для электроснабжения ВРУ-0,4 кВ Малоэтажной жилой застройки Антоновой И. Н. по адресу: Ростовская обл., р-н. Аксайский, х. Большой Лог, ул. Пушкина, д. 35а, кадастровый номер земельного участка: 61:02:0010201:7248 </t>
  </si>
  <si>
    <t xml:space="preserve">Строительство ВЛ 0,4 кВ от РУ 0,4 кВ проектируемой ТП 10/0,4 кВ (по договору №61-1-20-00506489 от 27.05.2020 г.) по ВЛ 10 кВ №401 ПС 110 кВ АС4 для электроснабжения нежилой застройки Бободжонова А. К. на участке с КН 61:02:0600016:4628 в х. Ленина Аксайского района Ростовской области </t>
  </si>
  <si>
    <t>Строительство ТП 10/0,4 кВ, ВЛ 0,4 кВ, КВЛ 10 кВ от КЛ 10 кВ №2ф7 РП 10 кВ №2 ПС 110 кВ АС15 для электроснабжения нежилых застроек и складских зданий/сооружений Соколовой Е. А. на пр-кте Аксайском в г. Аксае (ориентировочная мощность трансформатора 1,0 МВА, ориентировочная протяженность ЛЭП 0,41 км)</t>
  </si>
  <si>
    <t xml:space="preserve">Строительство ТП 10/0,4 кВ, ВЛ 0,4 кВ, ВЛ 10 кВ от ВЛ 10 кВ №441 ПС 220 кВ Р4 для электроснабжения производственного здания/помещения ООО «МБ-Авто» на участке с КН 61:02:0600010:7562 в г. Аксай, пр-т Аксайский, д. 19-в </t>
  </si>
  <si>
    <t xml:space="preserve">Строительство ТП 10/0,4 кВ, ВЛ 0,4 кВ, КЛ 10 кВ от проектируемой ЛЭП 10 кВ (по договору №61-1-20-00494737 от 17.02.2020 г.) от ячейки 10 кВ №23 ПС 110 кВ АС10 для электроснабжения хозяйственных помещений ИП Маилян М. С. по адресу: РО, г. Новочеркасск, участок с КН 61:55:0010901:7 </t>
  </si>
  <si>
    <t xml:space="preserve">Строительство ВЛ 0,4 кВ от проектируемой ВЛ 0,4 кВ (по договору №61-1-20-00505785 от 13.04.2020 г.) техперевооружаемой КТП №292 ВЛ 6 кВ №804 ПС 35 кВ АС8 для электроснабжения ВРУ 0,4 кВ жилого дома Кубениной Л. А. на участке с КН 61:02:0600010:11054 в п. Российский Аксайского района Ростовской области </t>
  </si>
  <si>
    <t xml:space="preserve">Строительство ВЛ 0,4 кВ от РУ ТП 10/0,4 кВ №111 по КЛ 10 кВ №625, №628 ПС 110 Р6 для электроснабжения нежилого помещения Назарян Ш. Ю. по адресу: РО, г. Ростов-на-Дону, СНТ «Донподход», уч 0-30, КН: 61:44:0070902:41 </t>
  </si>
  <si>
    <t>Строительство ТП 10/0,4 кВ, ВЛ 0,4 кВ, ВЛ 10 кВ от проектируемой ВЛ 10 кВ (по договору №61-1-21-00559549 от 10.03.2021 г.) от КВЛ 10 кВ №3Ф5 РП 10 кВ №3 ПС 110 кВ АС15 для электроснабжения объекта торговли ИП Париевой Е. А. в балке Капранова Аксайского района Ростовской области (ориентировочная мощность трансформатора 0,16 МВА, ориентировочная протяжённость ЛЭП 0,06 км)</t>
  </si>
  <si>
    <t>Строительство ВЛ 0,4 кВ от РУ 0,4 кВ ТП 10 кВ №200 ВЛ 10 кВ №3 ПС 35 кВ Б. Салы для электроснабжения нежилой застройки ООО «Системы управления» по адресу: Ростовская обл., р-н. Аксайский, п. Темерницкий, ул. Задонская, 7, кадастровый номер земельного участка: 61:02:0081101:84 (ориентировочная протяжённость ЛЭП 0,335 км)</t>
  </si>
  <si>
    <t>Строительство ТП-10/0,4, ЛЭП-10 кВ от оп. №69 за Р-5 ВЛ 10 кВ Аграфеновка ПС Ш-15, и ВЛИ-0,4 кВ от вновь установленной ТП-10/0,4 кВ для присоединения объекта крестьянского (фермерского) хозяйства ИП Оноприенко А.В.: Родионово-Несветайский район, участок находится примерно в 1500 м по направлению на северо-запад от ориентира земельного участка, расположенного по адресу: сл. Аграфеновка, ул. Гагарина, 62. КН 61:33:0600002:469 (ориентировочная протяженность ЛЭП 0,05 км, ориентировочная мощность трансформатора 0,16 МВА)</t>
  </si>
  <si>
    <t>Строительство участка ВЛ-10 кВ от опоры № 11 на отпайке Л-53 по  ВЛ-10 кВ № 6, ПС 110/35/10 кВ «Обливская-1», ТП 10/0,4 кВ и участка  ВЛ-0,4 кВ от РУ-0,4 кВ проектируемой ТП 10/0,4 кВ , для подключения   склада Фокина А.А., здания мясосклада Николаева И.С., подъездной дороги Строганова В.А., расположенных по адресу: Ростовская область, Обливский район, станица Обливская, улица Калиманова, дома: № 25, № 26 д, № 26 а, к.н.з.у.: 61:27:0070147:33, 61:27:0070147:377, 61:27:0070147:95 (ориентировочная протяженность ЛЭП – 0,260 км, трансформаторная мощность – 0,063 МВА, прибор учёта электроэнергии - 3 шт.)</t>
  </si>
  <si>
    <t>Строительство участка ВЛ-10 кВ от опоры № 2 отпайки Л-374 по ВЛ-10 кВ № 1, ПС 35/10 кВ «Тарасовская СХТ», ТП 10/0,4 кВ и участка ВЛ-0,4 кВ от РУ-0,4 кВ новой ТП 10/0,4 кВ, для электроснабжения строящейся базы ИП К(Ф)Х Матиева М.К., расположенной по адресу: Ростовская область, Тарасовский район, сл.Дячкино , КН ЗУ 61:37:0600012:1644 (ориентировочная протяженность ЛЭП – 0,15 км, ориентировочная мощность ТП – 0,16 МВА)</t>
  </si>
  <si>
    <t>Строительство участка ВЛ-10 кВ от опоры № 73 ВЛ-10 кВ, Л-28 фид № 14, ПС 110/35/10 кВ «Б-3» от РП-28, ТП 10/0,4 кВ  и  участка ВЛ-0,4 кВ от РУ-0,4 кВ новой ТП 10/0,4 кВ, для подключения Садоводства Остащенко Д.Н., расположенных по адресу: Ростовская область, Белокалитвинский район,  Нижнепоповское сельское поселение, к.н.з.у.: 61:04:0600011:1196 (ориентировочная протяженность ЛЭП – 0,626 км, трансформаторная мощность – 0,025 МВА, прибор учёта электроэнергии - 1 шт)</t>
  </si>
  <si>
    <t>Строительство участка ВЛ-10 кВ от опоры № 9 Л-24, ВЛ-10 кВ № 6, ПС 35/10 кВ «Вишневецкая», ТП 10/0,4 кВ и участка ВЛ-0,4 кВ от РУ-0,4 кВ новой ТП 10/0,4 кВ, для электроснабжения туристического комплекса ИП Рудакова Д.В., расположенного по адресу: Ростовская обл., Каменский р-н, 600 м к югу от х. Филипенков на берегу р. Северский Донец примыкает к ЗУ с КН 61:15:0602101:1441, КН ЗУ 61:15:0602101:2553 (ориентировочная протяженность ЛЭП – 1,500 км, ориентировочная мощность ТП – 0,16 МВА)</t>
  </si>
  <si>
    <t>Строительство участка ВЛ-0,4 кВ от РУ 0,4 кВ новой ТП 10/0,4 кВ, строительство ТП 10/0,4 кВ, строительство участка ВЛ 10 кВ от опоры № 17, Л-205 ВЛ-10 кВ №3, ПС 35/10 кВ «Каменская СХТ», для подключения строящегося склада ИП Рудакова Д.В., расположенного по адресу: Ростовская обл., Каменский р-н, Старостаничное сельское поселение, АКХ «Колос», пастбище р. уч. № 12,КН 61:15:0602101:2613 (ориентировочная протяженность ЛЭП–1,150 км, ориентировочная мощность – 0,160 МВА)</t>
  </si>
  <si>
    <t>Строительство участка ВЛ-10 кВ от ВЛ-10 кВ № 6 ПС 110/35/10 кВ  «Обливская-1», ТП 10/0,4 кВ и участка ВЛ-0,4 кВ от  РУ-0,4 кВ новой ТП 10/0,4 кВ, для подключения нежилой застройки  ИП Чехонина И.М., расположенной по адресу: Ростовская обл., Обливский р-н,   станица  Обливская,  ул.  Калиманова,  д.  21 В,  КНЗУ 61:27:0070147:614 (ориентировочная       протяженность   ЛЭП  –  0,017  км,  трансформаторная мощность – 0,160 МВА, прибор учёта электроэнергии - 1шт)</t>
  </si>
  <si>
    <t>Строительство участка ВЛ-10 кВ от опоры № 18, ВЛ-10 кВ № 5,ПС 110/35/10 кВ «Б-11», ТП 10/0,4 кВ и участка ВЛ-0,4 кВ от РУ-0,4 кВ новой ТП 10/0,4 кВ, для электроснабжения садового домика Гасанбекова М.Р., расположенного по адресу: Ростовская обл., г. Морозовск, СТ «Вагонник», ул. Верхняя, 1, КН ЗУ 61:24:0014000:478 (ориентировочная протяженность ЛЭП – 0,620 км, ориентировочная мощность ТП – 0,025 МВА)</t>
  </si>
  <si>
    <t>Строительство участка ВЛ-10 кВ от опоры № 144, Л-5А, ВЛ-10 кВ№8, ПС 110/35/10 кВ «Советская 2», ТП 10/0,4 кВ, ВЛ-0,4кВ от РУ проектируемой ТП 10/0,4 для подключения двухэтажного многоквартирного жилого дома ООО «Дом Строй», расположенного по адресу: Ростовская обл., Советский р-н, ст-ца. Советская, ул. В.Попова, д. 11, (ориентировочная протяженность ЛЭП – 0,230 км, ориентировочная трансформаторная мощность 0,16 мВА)</t>
  </si>
  <si>
    <t>Строительство участка ВЛ-10 кВ от опоры № 66 на отпайке Л 427,  ВЛ-10 кВ № 4, ПС 35/10 кВ «Курнолиповская», ТП 10/0,4 кВ и участка   ВЛ-0,4 кВ от РУ-0,4 кВ новой ТП 10/0,4 кВ, для подключения объекта К(Ф)Х ИП главы К(Ф)Х Гаммаева М.Д., расположенного по адресу: Ростовская область, Тарасовский район, Курно-Липовское сельское поселение, 900 м на север от х. Грачи, КН ЗУ 61:37:0600022:1451 (ориентировочная протяженность ЛЭП – 0,44 км, ориентировочная мощность ТП – 0,025 МВА)</t>
  </si>
  <si>
    <t>Строительство участка ВЛ-10 кВ от отпайки Л-116 П ВЛ-10 кВ № 4, ПС 35/10 кВ «Войковская», для подключения «ДКС Марковского месторождения, в составе стройки «ПИР будущих лет» ООО «Газпром добыча Краснодар», расположенной по адресу: Ростовская обл., Тарасовский р-н, Тарасовское лесничество, Митякинское участковое лесничество, квартал 83 выдел 18,25,26,45, к.н. 61:37:0600018:147 (ориентировочная протяженность ЛЭП – 0,1 км, прибор учёта электроэнергии - 1 шт.)</t>
  </si>
  <si>
    <t>Строительство участка ВЛ-10 кВ от отпайки Л-252, ВЛ-10 кВ № 6, ПС35/10 кВ «Селивановская», ТП 10/0,4 кВ и участка ВЛ-0,4 кВ от РУ-0,4 кВ новой ТП 10/0,4 кВ, для подключения ООО «РЗК «Ресурс», расположенного по адресу: Ростовская обл., Милютинский р-н, х. Севостьянов, участок находится примерно в 500 м по направлению на север от ориентира х. Севостьянов, К.Н.З.У.: 61:23:0600004:393 (ориентировочная протяженность ЛЭП – 0,105 км, трансформаторная мощность – 0,160 МВА, прибор учёта электроэнергии - 1 шт.)</t>
  </si>
  <si>
    <t>Строительство участка ВЛ-10 кВ от опоры № 20, ВЛ-10 № 3 , ПС 35/10 кВ «Каменская СХТ», ТП 10/0,4 кВ и участка ВЛ-0,4 кВ от РУ-0,4 кВ новой ТП 10/0,4 кВ, для подключения объекта туристической отрасли Донскова С.И., расположенного по адресу: Ростовская обл., Каменский р-н, х Лесной, ул. Лермонтова, д. 17 Б, к.н.з.у. 61:15:0130501:1631 (ориентировочная протяженность ЛЭП – 0,056 км, трансформаторная мощность – 0,160 МВА, прибор учёта электроэнергии - 1 шт.)</t>
  </si>
  <si>
    <t>Строительство участка ЛЭП-10 кВ от отпайки Л-20 ВЛ-10 кВ № 2, ПС  110/35/10/6  кВ  «К-4», ТП  10/0,4 кВ  и  участка  ВЛ-0,4  кВ  от  РУ-0,4  кВ новой ТП 10/0,4 кВ, для подключения объекта сельскохозяйственного производства ООО «Грин К», расположенного по адресу: Ростовская область, Каменский р-н, х. Харьковка, к.н.з.у.: 61:15:0602101:1879 (ориентировочная протяженность ЛЭП – 1,515 км, трансформаторная мощность – 0,063 МВА, прибор учёта   электроэнергии - 1шт.)</t>
  </si>
  <si>
    <t>Строительство участка ВЛ-10 кВ от опоры № 4 на отпайке Л 372,  ВЛ-10 кВ № 1, ПС 35/10 кВ «Тарасовская СХТ», ТП 10/0,4 кВ и участка   ВЛ-0,4 кВ от РУ-0,4 кВ новой ТП 10/0,4 кВ, для подключения производственного здания/помещения Карагёзян А.Р., расположенного по адресу: Ростовская область, Тарасовский р-н, Дячкинское сельское поселение, северо-восточнее, сл. Дячкино, КН ЗУ 61:37:0600012:1929 (ориентировочная протяженность ЛЭП – 1,37 км, ориентировочная  мощность ТП – 0,025 МВА)</t>
  </si>
  <si>
    <t>Строительство ВЛ 10 кВ от отпайки на ТП 10/0,4 кВ №1-41А по ВЛ 10 кВ №1 ПС 110/35/10 кВ Чалтырь для технологического присоединения жилой застройки Заявителя: (ИП Грибцов К.А.) по адресу: Ростовская обл. Мясниковский р-н, х. Ленинаван, ул. Баттиччели, д. 20, к.н. 61:25:0600401:8141 (ориентировочная протяженность ЛЭП -1 км)</t>
  </si>
  <si>
    <t>Строительство двух КВЛ 10 кВ от ПС 110/10 кВ Р-29 для технологического присоединения водоочистных сооружений Заявителя: (Администрация Мясниковского района), по адресу: Мясниковский район, юго-западная окраина х. Мокрый Чалтырь (ориентировочная протяженность ЛЭП 15,1 км)</t>
  </si>
  <si>
    <t xml:space="preserve">Строительство ВЛ 10 кВ от ВЛ 10 кВ №1005 ПС 110 кВ АС10 и установка пункта коммерческого учета для электроснабжения склада ООО “Горизонт” на участке с КН 61:02:0600002:274 в ст-це Грушевская Аксайского района Ростовской области, </t>
  </si>
  <si>
    <t>0,4 кВ</t>
  </si>
  <si>
    <t>Строительство участка ВЛИ-0,4 кВ от опоры № 5, ВЛ-0,4 кВ № 1, КТП № 21, ВЛ-10 кВ № 2, ПС 35/10 кВ "Кустоватовская", для подключения ВРУ-0,4 кВ жилого дома Логинова А.Н., расположенного по адресу: Ростовская область, Тацинский район, х. Кустоватов, ул. Пролетарская, д. 16, к.н. 61:38:0090401:42 (ориентировочная протяженность ЛЭП – 0,048 км, прибор учёта электроэнергии - 1шт)</t>
  </si>
  <si>
    <t>Строительство участка ЛЭП-0,22 кВ от ВЛ-0,4 кВ № 3, КТП № 515,   ВЛ-10 кВ № 2, Л-СП-3, ПС 110/10 кВ «Богатовская ПТФ», для подключения жилого дома Репко Е.М., расположенного по адресу: Ростовская область, район Белокалитвинский, х. Богатов, ул. Береговая, д. 39, к.н.з.у.: 61:04:0080202:175 (ориентировочная протяженность ЛЭП – 0,025 км, прибор учёта электроэнергии - 1шт)</t>
  </si>
  <si>
    <t>Строительство участка ВЛ-0,4 кВ от опоры № 8, ВЛ-0,4 кВ №1, КТП № 375, ВЛ-10 кВ № 2, ПС 35/10 кВ «Нижнепоповская» для подключения объекта медицинского учреждения Муниципального бюджетного учреждения здравоохранения Белокалитвинского района «Центральная районная больница», расположенного по адресу: Ростовская область, р-он Белокалитвинский, х. Погорелов, ул. Школьная, д.23 к.н. 61:04:0130202:579 (ориентировочная протяженность ВЛ – 0,025 км, прибор учёта  электроэнергии - 1шт)</t>
  </si>
  <si>
    <t>Строительство участка ЛЭП-0,4 кВ от опоры № 2, ВЛ-0,4 кВ №1, КТП № 464, ВЛ-10 кВ Л-28 Фид. №14, ПС 110/35/10 кВ «Б-3 РП 28» для подключения малоэтажной жилой постройки Свиридова А.С., расположенной по адресу: Ростовская область, Белокалитвинский р-он, х. Дороговский, пер. Кривой, д.6, к.н. 61:04:0150301:250 (ориентировочная протяженность ЛЭП – 0,060 км, прибор учёта электроэнергии - 1шт)</t>
  </si>
  <si>
    <t>Строительство участка ЛЭП-0,4 кВ от ВЛ-0,4 кВ № 4, КТП № 419, ВЛ-10 кВ № 3, ПС 35/10 кВ «Нижнепоповская», для подключения строящегося жилого дома Мельникова М.А., расположенного по адресу: Ростовская область, Белокалитвинский р-он, п. Сосны, ул. Сосновая, д. 2,  к.н. 61:04:0150415:45 (ориентировочная протяженность ЛЭП – 0,095 км, прибор учёта электроэнергии - 1шт)</t>
  </si>
  <si>
    <t>Строительство участка ВЛ-0,4 кВ от опоры № 39 ВЛ-0,4 кВ № 3, КТП № 51, ВЛ-10 кВ № 1, ПС 35/10 кВ «Владимировская», для подключения жилого дома Жиренко Николая Дмитриевича, расположенного по адресу: Ростовская обл., Морозовский р-н, х. Беляев, ул. Центральная, д. 23, к.н.з.у. 61:24:0070104:40 (ориентировочная   протяженность ЛЭП – 0,07 км, прибор учёта электроэнергии - 1шт)</t>
  </si>
  <si>
    <t>Строительство участка ВЛИ-0,4 кВ от опоры № 11, ВЛ-0,4 кВ № 2, КТП № 259, ВЛ-10 кВ № 3, ПС 35/10 кВ «Алифановская» для подключения ВРУ-0,4 кВ жилого дома Шинкарева С.В., расположенного по адресу: Ростовская область, Тацинский район, х. Потапов, ул. Мира, д. 24, к.н. 61:38:0030901:28 (ориентировочная протяженность ЛЭП – 0,36 км, прибор учёта электроэнергии - 1шт)</t>
  </si>
  <si>
    <t>Строительство участка ЛЭП-0,4 кВ от опоры № 38, ВЛ-0,4 кВ №1, КТП № 113, ВЛ-10 кВ № 4, ПС 110/10 кВ «Головокалитвинская» для подключения базовой станции/оборудования сотовой связи  ПАО «Ростелеком», расположенной по адресу: Ростовская область, р-он Белокалитвинский, х. Демишев к.н. 00:00:00000:000 (ориентировочная протяженность ЛЭП –   0,249 км, прибор учёта электроэнергии - 1шт.)</t>
  </si>
  <si>
    <t>Строительство участка ЛЭП-0,4 кВ от опоры № 17, ВЛ-0,4 кВ №1, КТП № 54, ВЛ-10 кВ № 2, ПС 110/10 кВ «Головокалитвинская» для подключения жилых домов Сулименко Ю.И. и Юрова А.Н., расположенных по адресу: Ростовская область, р-он Белокалитвинский, х. Ильинка, ул. Юбилейная, д.38, д.34,  к.н. 61:04:0140105:82, к.н.61:04:0140105:86 (ориентировочная протяженность ЛЭП – 0,210 км, прибор учёта электроэнергии – 2 шт.)</t>
  </si>
  <si>
    <t>Строительство участка ВЛ-0,4 кВ от опоры № 23, ВЛ-0,4 кВ №1, КТП № 579, ВЛ-10 кВ №1, ПС 35/10 кВ «Первомайская» для подключения дома оператора ООО «Газпром межрегионгаз», расположенного по адресу: Ростовская обл., Каменский р-н, х. Гусев (ориентировочная протяженность ЛЭП – 0,074 км)</t>
  </si>
  <si>
    <t>Строительство участка ВЛИ-0,22 кВ от опоры № 68, ВЛ-0,4кВ № 1, КТП № 282, ВЛ-10 кВ № 6, ПС 35/10 кВ «Вишневецкая» для подключения жилого дома Кириллова Е.А., расположенного по адресу: Ростовская обл., Каменский р-н, х. Вишневецкий, ул. Набережная, д. № 24, к.н.з.у. 61:15:0100101:339 (ориентировочная протяженность ЛЭП – 0, 086 км, прибор учёта электроэнергии - 1 шт)</t>
  </si>
  <si>
    <t>Строительство участка ВЛИ - 0,22 кВ от опоры № 48 ВЛ-0,4 кВ № 2, ЗТП № 110, ВЛ-10 кВ № 2, ПС 110/35/10/6 кВ «К-4» для подключения жилого дома Чепурко С.Д., расположенного по адресу: Ростовская обл.,Каменский р-н, х. Красновка, ул. Мостовая, д. № 104, к.н.з.у. 61:15:0080103:115 (ориентировочная протяженность ЛЭП – 0, 036 км, прибор учёта электроэнергии - 1 шт)</t>
  </si>
  <si>
    <t>Строительство участка ВЛИ-0,4 кВ от опоры № 38/7, ВЛ-0,4 кВ № 1, КТП № 172, ВЛ-10 кВ № 2, ПС 110/35/10/6 кВ «К - 4» для подключения базовой станции сотовой связи ООО «Т2 Мобайл», расположенной по адресу: Ростовская область, Каменский район, хутор Березовый, южнее земельного участка с КН 61:15:0020101:5, КНЗУ 00:00:000000:00 (ориентировочная протяженность ЛЭП – 0,076 км, прибор учёта электроэнергии - 1 шт.)</t>
  </si>
  <si>
    <t>Строительство участка ЛЭП-0,4 кВ от опоры №1 ВЛ-0,4кВ №3 КТП № 153 ВЛ-10 кВ № 3, ПС 35/10 кВ «Каменская СХТ» для подключения объекта туристической отрасли Донскова С.И., расположенного по адресу: Ростовская область, Каменский р-н, Старостаничное сп., х. Лесной, ул. Лермонтова д.17В, к.н.з.у. 61:157:0130501:2304 (ориентировочная протяженность ЛЭП – 0,124 км, прибор учёта   электроэнергии - 1шт.)</t>
  </si>
  <si>
    <t>Строительство участка ВЛИ-0,4 кВ от РУ-0,4 кВ КТП № 400, ВЛ-10 кВ № 4, ПС 35/10 кВ «Каменская СХТ», для подключения ВРУ-0,4 кВ насоса для полива Соколова А.П., расположенного по адресу: Ростовская область, Каменский район, хутор Абрамовка, ул. Ленина, д. № 61, корпус Б, КНЗУ 61:15:0602101:2483 (ориентировочная протяженность ЛЭП – 0,352 км, прибор учёта электроэнергии - 1 шт.)</t>
  </si>
  <si>
    <t>Строительство участка ВЛИ-0,4 кВ от опоры №34 ВЛ-0,4кВ №2 КТП № 12 ВЛ-10 кВ № 2, ПС 110/35/10 кВ «Обливская-1»  для подключения жилого дома Мишуренко О.В., расположенного по адресу: Ростовская область, Обливский р-он, хутор Ковыленский, улица Терновая, дом №9 к.н.з.у. 61:27:0071103:88 (ориентировочная протяженность ЛЭП – 0,250 км, прибор учёта электроэнергии - 1шт)</t>
  </si>
  <si>
    <t>Строительство участка ВЛ-0,22 кВ от оп. № 20 ВЛ-0,4 кВ № 2, КТП № 398, ВЛ-10 кВ № 3, ПС 35/10 кВ «Курнолиповская» для подключения строящегося помещения для животных Слепченко Г.И. расположенного по адресу: Ростовская обл., Тарасовский р-н, х. Мартыновка, участок находится примерно в 1,8 км от ориентира по направлению на северо-восток, КН 61:37:0600015:1202 (ориентировочная протяженность ЛЭП – 0,1 км, прибор учёта электроэнергии - 1шт)</t>
  </si>
  <si>
    <t>Строительство участка ВЛИ-0,4 кВ от опоры № 2/11, ВЛ-0,4 кВ № 1, КТП № 356, ВЛ-10 кВ № 4, ПС 35/10 кВ "Верхне-Кольцовская", для подключения ВРУ-0,4 кВ жилого дома Диденко О.Н., расположенного по адресу: Ростовская область, Тацинский район, ст. Ермаковская, ул. Попова, д. 93, корп. А, к.н. 61:38:0080101:1748 (ориентировочная протяженность ЛЭП – 0,03 км, прибор учёта электроэнергии - 1шт)</t>
  </si>
  <si>
    <t>Строительство участка ВЛИ-0,4 кВ от РУ-0,4кВ, КТП № 231, ВЛ-10 кВ № 5, ПС 35/10 кВ «Верхнекольцовская», для подключения ВРУ-0,4 кВ жилого дома Курбанова А.М., расположенного по адресу: Ростовская область, Тацинский район, п. Лубяной, ул. Восточная, д. 14, к.н. 61:38:0100301:1 (ориентировочная протяженность ЛЭП – 0,6 км, прибор учёта электроэнергии - 1шт)</t>
  </si>
  <si>
    <t>Строительство участка ВЛ-0,4 кВ от ВЛ-0,4 кВ № 4, КТП № 419, ВЛ-10 кВ № 3, ПС-35/10 кВ «Нижнепоповская», для подключения строящегося магазина Венглярского С.Г., расположенного по адресу: Ростовская обл., Белокалитвинский р-н, п. Сосны, ул. 50 лет СССР, уч № 24, КНЗУ 61:04:0150401:659 (ориентировочная   протяженность ЛЭП – 0,020 км, прибор учёта электроэнергии - 1шт)</t>
  </si>
  <si>
    <t>Строительство участка ЛЭП-0,4 кВ от ВЛ-0,4 кВ № 2, КТП № 953,ВЛ-10 кВ фид. «Западной», ПС 35/10 кВ «Ш-26», для подключения жилого дома Хиропулос Е П., расположенного по адресу: Ростовская область, Белокалитвинский р-н, х. Западный, ул. Садовая, д. 21. к.н.з.у.: 61:04:0080301:115 (ориентировочная протяженность ЛЭП – 0,356 км,прибор учёта электроэнергии - 1шт.)</t>
  </si>
  <si>
    <t>Строительство участка ЛЭП-0,4 кВ от ВЛ-0,4 кВ № 2, КТП № 678, ВЛ-6 кВ «Восход», ПС 110/6 кВ «Б-1», для подключения жилого дома  Иовенко А.Н., расположенного по адресу: Ростовская область, Белокалитвинский р-н, х. Поцелуев, ул. Солнечная, д. 37, кв. 2., к.н. 61:04:0050103:124 (ориентировочная протяженность ЛЭП – 0,366 км, прибор учёта электроэнергии - 1шт)</t>
  </si>
  <si>
    <t>Строительство участка ВЛИ-0,4 кВ от ВЛ-0,4 кВ № 1, КТП № 10, ВЛ-10 кВ № 3, ПС 35/10 кВ «Каменская СХТ», для подключения ВРУ-0,4 кВ базовой станции сотовой связи АО «Первая Башенная Компания», расположенной по адресу: Ростовская область, Каменский район, х. Старая Станица, ул. 50 лет Победы, участок в 130 м от № 1, корпус Б, КНЗУ 00:00:00000000:00 (ориентировочная протяженность ЛЭП – 0,307 км, прибор учёта электроэнергии - 1 шт.)</t>
  </si>
  <si>
    <t>Строительство участка ВЛИ-0,4 кВ от ВЛ – 0,4 кВ № 2, КТП № 294, ВЛ-10 кВ № 3, ПС 110/35/10/6 кВ «К - 4», для подключения жилого дома Мартыновой Г.И., расположенного по адресу: Ростовская обл.,  Каменский р-н, х. Старая Станица, ул. Еланская, КНЗУ 61:15:06022101:2944 (ориентировочная протяженность ЛЭП – 0,157 км, прибор учёта электроэнергии - 1 шт.)</t>
  </si>
  <si>
    <t>Строительство участка ВЛ-10 кВ отпайки Л-124, ВЛ-10 кВ № 3, ПС 35/10 кВ «Каменская СХТ», ТП 10/0,4 кВ и участков ВЛИ-0,4 кВ от РУ-0,4 кВ новой ТП 10/0,4 кВ, для подключения жилых домов Калининой М.А., Федотова Ю.Н., Алиной Е.А., расположенных по адресу: Ростовская обл., Каменский р-н, х. Старая Станица, ул. 50 лет Победы, дома № 4, № 1, корп. Д, № 3 корп. Б,  к.н.з.у. 61:15:0130103:4262, к.н.з.у. 61:15:0130103:4986, к.н.з.у. 61:15:0130103:4716 (ориентировочная протяженность ЛЭП – 0,181 км, трансформаторная мощность – 0,100 МВА, прибор учёта электроэнергии -  3 шт.)</t>
  </si>
  <si>
    <t>Строительство участка ВЛ-0,4 кВ от опоры № 10 ВЛ-0,4 кВ № 1, КТП № 266, ВЛ-10 кВ № 3, ПС 35/10 кВ «Селивановская», для присоединения ВРУ-0,4 кВ Базовая станция (оборудования сотовой связи) ООО «Ресурс», расположенного по адресу: Ростовская область, Милютинский район, ст.Селивановская, пер. Вишнёвый д. 9, к.н.з.у. 61:23:0080101 (ориентировочная протяжённость ЛЭП - 0,03 км, прибор учёта электроэнергии 15 кВт - 1шт)</t>
  </si>
  <si>
    <t>Строительство участка ВЛ-0,4 кВ от опоры № 13, ВЛ-0,4 кВ № 1,КТП № 14, ВЛ-10 кВ № 4, ПС110/35/10 кВ " Милютинская", для подключения нежилого здания Магомедова Гусайни Магомедовича, расположенного по адресу: Ростовская область, Милютинский район, х. Старокузнецов, пер. Грушевский, в 100 м от д. 11, к.н.з.у. 61:23:0600013:612 (ориентировочная протяженность ЛЭП – 0,120 км, прибор учёта электроэнергии - 1шт)</t>
  </si>
  <si>
    <t>Строительство участка ВЛ-0,4 кВ от опоры № 27 ВЛ-0,4 кВ № 2, КТП № 295, ВЛ-10 кВ № 7, ПС 35/10 кВ "Селивановская", для подключения ВРУ- 0,4 кВ склада ИП Главы К(Ф)Х Штоколова А.А., расположенного по адресу: Ростовская обл., Милютинский р-н, х. Степаново-Савченский, примерно в 300 м севернее х. Степаново-Савченский, к.н.з.у. 61:23:00600005:394 (ориентировочная протяженность ЛЭП – 0,105 км, прибор учёта  электроэнергии - 1шт)</t>
  </si>
  <si>
    <t>Строительство участка ВЛ-0,4 кВ от РУ-0,4 кВ КТП №181, ВЛ 10 кВ №3 ПС 35/10 кВ «Семеновская» для подключения складского здания    Рычкова Д.В., расположенного по адресу: Ростовская обл., Милютинский р-н, п. Доброполье, пер. Короткий, д.10, к.н.з.у. 61:23:0060201:798 (ориентировочная протяженность ЛЭП – 0,210 км, прибор учёта электроэнергии - 1 шт.)</t>
  </si>
  <si>
    <t>Строительство участка ВЛ-0,4 кВ от ВЛ-0,4 кВ № 3, КТП № 213,  ВЛ-10 кВ № 1, ПС 35/10 кВ «Элеватор», для присоединения Зерносклада   ИП главы КФХ Земцова И.И., расположенного по адресу: Ростовская обл., Морозовский р-н, х. Морозов, ул. Заречная, д. 5 а, к.н.з.у. 61:24:0080103:244 (ориентировочная   протяженность ЛЭП – 0,175 км, прибор учёта электроэнергии - 1шт)</t>
  </si>
  <si>
    <t>Строительство участка ВЛ-10 кВ от ВЛ-10 кВ № 3, ПС 35/10 кВ «Вольно-Донская», ТП 10/0,4 кВ и участка ВЛ-0,4 кВ от РУ-0,4 кВ новой ТП 10/0,4 кВ, для подключения Зернохранилища №1 ИП Главы К(Ф)Х Зайцевой Анны Александровны, расположенного по адресу: Ростовская обл., Морозовский р-н, х. Сибирьки, 308 м юго-западнее ул. Степная, 41, КНЗУ 61:24:0600007:1003, (ориентировочная   протяженность ЛЭП – 0,260 км, трансформаторная мощность – 0,025 МВА, прибор учёта электроэнергии - 1шт)</t>
  </si>
  <si>
    <t>Строительство участка ВЛИ-0,4 кВ от опоры № 30 ВЛ-0,4кВ №2 КТП № 106 ВЛ-10 кВ № 2, ПС 35/10 кВ «Обливская-2», для подключения жилого дома Паршина Ю.А., расположенного по адресу: Ростовская область, Обливский  р-он, хутор Алексеевский, улица Зеленая, дом №23 к.н.з.у. 61:27:0020101:450 (ориентировочная протяженность ЛЭП – 0,105 км, прибор учёта   электроэнергии - 1шт)</t>
  </si>
  <si>
    <t>Строительство участка ВЛИ-0,4 кВ от опоры №16 ВЛ-0,4кВ №2 КТП № 107 ВЛ-10 кВ № 2, ПС 35/10 кВ «Обливская-2», для подключения жилого дома Агекян М.А., расположенного по адресу: Ростовская область, Обливский р-он, хутор Алексеевский, улица Ленина, дом №75 к.н.з.у. 61:27:0020101:332 (ориентировочная протяженность ЛЭП – 0,205 км, прибор учёта электроэнергии - 1шт)</t>
  </si>
  <si>
    <t>Строительство участка ВЛ-0,4 кВ от РУ-0,4 кВ КТП № 391, ВЛ-10 кВ № 2, ПС 35/10 кВ «Курнолиповская», для подключения водонасосной станции, нежилого здания (бытовка) Пивоварова А.С. расположенных по адресу: Ростовская обл.,Тарасовский р-н, х. Новоалексеевка, 500м на восток от ориентира х. Новоалексеевка, КН 61:37:0000000:1957, 61:37:0000000:1956 (ориентировочная протяженность ЛЭП – 0,1 км, прибор учёта электроэнергии 15 кВт - 1шт)</t>
  </si>
  <si>
    <t>Строительство участка ЛЭП-0,4 кВ от РУ-0,4 кВ КТП № 369 ВЛ-10 кВ № 1, ПС 35/10 кВ «Тарасовская СХТ» и установка АВ-0,4 кВ в КТП № 369 ВЛ-10 кВ № 1, ПС 35/10 кВ «Тарасовская СХТ», для подключения строящегося склада для хранения с/х продукции ИП Зареченского А.Н., расположенного по адресу: Ростовская область, Тарасовский р-он, с восточной стороны от сл. Дячкино, к.н. 61:37:0600012:1505 (ориентировочная протяженность ЛЭП – 0,210 км, прибор учёта электроэнергии - 1шт)</t>
  </si>
  <si>
    <t>Строительство участка ВЛИ-0,4 кВ от КТП № 501, ВЛ-6 кВ "ЗРП-1",ПС 35/6 кВ "Б-6", для подключения строящегося здания Синякова В.А., расположенного по адресу: Ростовская область, Тацинский район,  п. Быстрогорский, примерно в 343 м по направлению на северо-восток от ул. Погудина, д. 8, к.н. 61:38:0600008:1915 (ориентировочнаяпротяженность ЛЭП – 0,27 км, прибор учёта электроэнергии - 1шт)</t>
  </si>
  <si>
    <t>Строительство участка ВЛИ-0,4 кВ от опоры № 42 ВЛ-0,4 кВ № 2,КТП № 297, ВЛ-10 кВ № 3, ПС 35/10 кВ "Скосырская", для подключения ВРУ-0,4 кВ жилого дома Харченко Н.Н., расположенного по адресу: Ростовская область, Тацинский район, х. Качалин, ул. Мира, д. 1, к.н. 61:38:0070501:125 (ориентировочная протяженность ЛЭП – 0,16 км, прибор учёта электроэнергии - 1шт)</t>
  </si>
  <si>
    <t>Строительство участка ВЛИ-0,4 кВ от ВЛ-0,4 кВ № 1, КТП № 360, ВЛ-10 кВ № 2, ПС 35/10 кВ "Верхне-Кольцовская", для подключения ВРУ-0,4 кВ строящегося здания Исаева И.М., расположенного по адресу: Ростовская область, Тацинский район, х. Пуличёв, ул. Кривая, д. 3, к.н. 61:38:0020401:264 (ориентировочная протяженность ЛЭП – 0,08 км, прибор учёта электроэнергии - 1шт)</t>
  </si>
  <si>
    <t>Строительство участка ВЛ-0,4 кВ от ВЛ-0,4 кВ      № 6, КТП №353, ВЛ-6 кВ «Курский карьер», ПС-110/35/6 кВ «Б-2»,  для подключения  Антенно–мачтового соооружения  61-11252 АО «Первая Башенная Компания», расположенного по адресу: Ростовская обл., Белокалитвинский р-н, х. Крутинский, ул. Центральная, вблизи д.10, КНЗУ 00:00:000000:000 (ориентировочная   протяженность ЛЭП – 0,040 км, прибор учёта электроэнергии - 1шт)</t>
  </si>
  <si>
    <t>Строительство участка ВЛ-10 кВ от опоры № 1 Л-99, ВЛ-10 кВ № 1, ПС 35/10 кВ «Глубокинская», ТП 10/0,4 кВ и участка ВЛ-0,4 кВ от  РУ-0,4 кВ новой ТП 10/0,4 кВ для подключения придорожного сервиса Панфиловой А.И., расположенного по адресу: Ростовская обл., Каменский р-н, р.п. Глубокий, примыкает к з.у. с к.н. 61:15:0010111:70, к.н.з.у. 61:15:0010111:78 (ориентировочная протяженность ЛЭП – 0,137 км, трансформаторная мощность – 0,160 МВА, прибор учёта электроэнергии - 1шт.)</t>
  </si>
  <si>
    <t>Строительство участка КВЛ-6 кВ от опоры № 128 ВЛ-6 кВ «Атлас, ПС 110/35/10/6 кВ «К-4», ТП 6/0,4 кВ и ВЛ-0,4 кВ от РУ-0,4 кВ проектируемой  ТП 6/0,4 кВ, для подключения базовой станции сотовой связи БС61-02338       ПАО «Мобильные Теле Системы», расположенной по адресу: Ростовская обл., Каменский р-н, СПК колхоз «Березовый» р.у. № 89, КН ЗУ 61:15:0600701:1150 (ориентировочная протяженность ЛЭП –2,365 км, трансформаторная мощность – 0,025 МВА, прибор учёта электроэнергии - 1шт)</t>
  </si>
  <si>
    <t>Строительство участка ВЛИ-0,4 кВ от опоры № 4/2, ВЛ-0,4 кВ № 1,  КТП № 518, ВЛ-10 кВ № 3, ПС 35/10 кВ «Первомайская» для подключения жилого дома Миронова М.Н. расположенного по адресу: Ростовская обл., Каменский р-н, х. Груцинов, ул. Молодежная, д. № 1, КНЗУ 61:15:050101:0016 (ориентировочная протяженность ЛЭП – 0,020 км, прибор учёта электроэнергии - 1шт)</t>
  </si>
  <si>
    <t>Строительство участка ВЛ-0,4 кВ от ВЛ-0,4 кВ № 1, КТП № 480, ВЛ-10 кВ № 3, ПС 35/10 кВ «Глубокинская», для подключения ВРУ -0,4 кВ базовой станции сотовой связи №2298 ООО «Т2 Мобайл», расположенной по адресу: Ростовская обл., Каменский р-н, х.Урывский, в северном направлении от ул. Молодёжная д. 64, координаты 48.556977/40.243863 (ориентировочная протяженность ЛЭП – 0,045 км, прибор учёта электроэнергии - 1 шт.)</t>
  </si>
  <si>
    <t>Строительство участка ВЛИ-0,4 кВ от опоры № 8, ВЛ – 0,4 кВ № 3,КТП № 432, ВЛ-10 кВ № 1, ПС 35/10 кВ «ЗСК», для подключения базовой станции сотовой связи ООО «Т2 Мобайл», расположенной по адресу: Ростовская обл., Каменский р-н, х. Верхний Пиховкин, восточнее земельного участкас КН 61:15:0120101:2225, координаты 48.557331/40.330926(ориентировочная протяженность ЛЭП – 0,033 км, прибор учёта электроэнергии - 1 шт.)</t>
  </si>
  <si>
    <t>Строительство участка ВЛИ-0,4 кВ от ВЛ-0,4 кВ № 1, КТП № 31, ВЛ-10 кВ № 5, ПС 35/10 кВ «Калитвенская», для подключения строящегося жилого дома Назарова Р.П., расположенного по адресу: Ростовская обл., Каменский     р-н, ст-ца Калитвенская, ул. Фурманова, д.10, КН ЗУ 61:15:070101:6151 (ориентировочная протяженность ЛЭП – 0,036 км, прибор учёта электроэнергии - 1 шт.)</t>
  </si>
  <si>
    <t>Строительство участка ВЛИ-0,4 кВ от ВЛ-0,4 кВ № 4, КТП № 400, ВЛ-10 кВ № 5, ПС 35/10 кВ «Каменская СХТ», для подключения жилого дома Сыпченко А.Г. расположенного по адресу: Ростовская обл., Каменский р-н, х. Абрамовка, ул. Ленина, с северной стороны примыкает к земельному участку с КН 61:15:0000000:6012, КН ЗУ 61:15:0602101:2651 (ориентировочная протяженность ЛЭП – 0,025 км, прибор учёта электроэнергии - 1 шт.)</t>
  </si>
  <si>
    <t>Строительство участка ЛЭП-0,4 кВ от ВЛ-0,4 кВ № 2, КТП № 36, ВЛ-10 кВ  № 5, ПС 35/10 кВ «Владимировская», для подключения Склада хранения техники ЗАО «Нива», расположенного по адресу: Ростовская область, Морозовский р-н, с/п Широко-Атамановское, х. Чекалов, территория ЗАО «Нива» 200 метров на север от ул. Дружбы 1, к.н. 61:24:0600015:327 (ориентировочная протяженность ЛЭП – 0,18 км, прибор учёта электроэнергии - 1 шт.)</t>
  </si>
  <si>
    <t>Строительство участка ЛЭП-0,4 кВ от ВЛ-0,4 кВ № 1, КТП № 204, ВЛ-10 кВ  № 4, ПС 110/35/10 кВ «Б-11», для подключения Малоэтажной    жилой застройки (Индивидуального жилого дома) Сухоставской Валентины Ивановны, расположенного по адресу: Ростовская область, Морозовский р-н, г. Морозовск, ул. Каруна, д. 8/136, к.н. 61:24:0014007:308 (ориентировочная протяженность ЛЭП – 0,065 км, прибор учёта электроэнергии - 1 шт.)</t>
  </si>
  <si>
    <t>Строительство участка ЛЭП-0,4 кВ от ВЛ-0,4 кВ №2, КТП № 258,ВЛ-10 кВ № 1, ПС 35/10 кВ «Элеватор», для подключения Объекта сельскохозяйственного производства Кобцева А.И., расположенного по адресу: Ростовская область, Морозовский р-н, х. Морозов, ул. Дорожная, д.2 ж, к.н. 61:24:0080102:770 (ориентировочная протяженность ЛЭП – 0,32 км, прибор учёта электроэнергии - 1 шт.)</t>
  </si>
  <si>
    <t>Строительство участка ВЛ-0,22 кВ от опоры № 4/7 ВЛ-0,4 кВ № 1, КТП № 570, ВЛ-10 кВ № 6, ПС 35/10 кВ «Тацинская СХТ», для присоединения ВРУ-0,22 кВ объекта наружного освещения Администрации Тацинского района, расположенного по адресу: Ростовская обл., Тацинский р-н, ст. Тацинская, Автомобильная дорога ст. Тацинская – п.Углегорский,к.н.з.у.61:38:0000000:5466 (ориентировочная протяженность ЛЭП– 0,215 км, прибор учёта электроэнергии - 1шт.)</t>
  </si>
  <si>
    <t>Строительство участка ВЛИ-0,4 кВ от ВЛ-0,4 кВ № 2, КТП № 90, ВЛ-10 кВ № 1, ПС 35/10 кВ "Верхне-Кольцовская", для подключения ВРУ-0,4 кВ жилого дома Васильевой Х.Р., расположенного по адресу: Ростовская область, Тацинский район, х. Новороссошанский, ул. Комунистическая, д. 10, к.н. 61:38:0080401:142 (ориентировочная протяженность ЛЭП – 0,088 км, прибор учёта электроэнергии - 1шт)</t>
  </si>
  <si>
    <t>Строительство участка ЛЭП-0,4 кВ от ВЛ-0,4 кВ № 1, КТП № 158,    ВЛ-10 кВ № 4, ПС 110/35/10 кВ «Б-11» для подключения Кормоцеха КРС МТФ Зрожаева Н.В., расположенного по адресу: Ростовская область, Морозовский р-н, х. Общий, ул. Энтузиастов, д. 1 д, к.н.з.у.: 61:24:0050103:86 (ориентировочная протяженность ЛЭП – 0,16 км, прибор учёта электроэнергии - 1шт)</t>
  </si>
  <si>
    <t>Строительство участка ВЛ-0,4 кВ от РУ-0,4 кВ КТП № 163, ВЛ-10 кВ № 3, ПС 110/35/10 кВ «Чеботовская» для подключения строящегося гаража Курочкина С.А., расположенного по адресу: местоположение установлено относительно ориентира, расположенного в границах участка. Почтовый адрес ориентира: Ростовская область, район Тарасовский, х. Зеленовка к.н. 61:37:0600021:42 (ориентировочная протяженность ЛЭП – 0,135 км, прибор учёта электроэнергии - 1шт)</t>
  </si>
  <si>
    <t>Строительство участка ВЛИ-0,4 кВ от РУ-0,4 кВ КТП № 249, ВЛ-6 кВ «Михайловка-1», ПС 110/35/6 кВ "Б-8", для подключения ВРУ-0,4 кВ жилого дома Коротков В.В., расположенного по адресу: Ростовская область, Тацинский район, х. Потапов, пер. Полевой, д. 3, к.н. 61:38:0030901:68 (ориентировочная протяженность ЛЭП – 0,36 км, прибор учёта электроэнергии - 1шт)</t>
  </si>
  <si>
    <t>Строительство участка ЛЭП-0,4 кВ от ВЛ-0,4 кВ №1, КТП № 707, ВЛ-6 кВ «Донец», ПС 110/6 кВ «Б-1», для подключения жилого дома Фомичевой А.В., расположенного по адресу: Ростовская область, р-он Белокалитвинский, х. Какичев, ул. Крайняя, д. 2, к.н. 61:04:0160503:86 (ориентировочная протяженность ЛЭП – 0,114 км, прибор учёта электроэнергии - 1шт)</t>
  </si>
  <si>
    <t>Строительство участка ЛЭП-0,4 кВ от ВЛ-0,4 кВ № 1, КТП № 418, ВЛ-10 кВ № 3, ПС 35/10 кВ «Нижнепоповская», для подключения строящегося жилого дома Каплуна Ю.М., расположенного по адресу: Ростовская  область,    р-он Белокалитвинский, п. Сосны, ул. Крайняя, уч. № 12, к.н.61:04:0150405:534 (ориентировочная протяженность ЛЭП – 0,150 км, прибор учёта электроэнергии - 1шт)</t>
  </si>
  <si>
    <t>Строительство участка ВЛИ-0,4 кВ от ВЛ-0,4 кВ № 2, КТП № 15, ВЛ-10 кВ № 5, ПС 35/10 кВ «Каменская СХТ», для подключения строящегося жилого дома Юхневича И.В., расположенного по адресу: Ростовская обл., Каменский р-н, х. Диченский , ул. Левитана, д.42 корп.Б, КН ЗУ 61:15:0130301:1678  (ориентировочная протяженность ЛЭП – 0,045 км, прибор учёта электроэнергии - 1 шт.)</t>
  </si>
  <si>
    <t>Строительство участка ЛЭП-0,22 кВ от ВЛ-0,4 кВ № 1, КТП № 154, ВЛ-10 кВ № 4, ПС 35/10 кВ «Широко-Атамановская», для подключения Индивидуального жилого дома Джамаловой З.И., расположенного по адресу: Ростовская область, р-н Морозовский, х. Троицкий, д. 4,к.н. 61:24:0600013:206 (ориентировочная протяженность ЛЭП – 0,27 км, прибор учёта электроэнергии - 1 шт.)</t>
  </si>
  <si>
    <t>Строительство участка ВЛ-10 кВ от отпайки Л-187, ВЛ-10 кВ № 3, ПС 110/35/10 кВ «Чеботовская», ТП 10/0,4 кВ и участка ВЛ-0,4 кВ от РУ-0,4 кВ новой ТП 10/0,4 кВ, для подключения объекта К(Ф)Х ИП Главы К(Ф)Х Сафронова И.А., расположенной по адресу: Ростовская обл., Тарасовский р-н, Зеленовское сельское поселение, х. Верхние Грачики, 40 м. на северо-запад от жилого дома по ул. Школьная, д. 3, к.н.з.у.: 61:37:0600021:1592 (ориентировочная протяженность ЛЭП – 0,08 км, трансформаторная мощность – 0,063 МВА, прибор учёта электроэнергии - 1 шт.)</t>
  </si>
  <si>
    <t>Строительство участка ЛЭП-0,4 кВ от ВЛ-0,4 кВ №2, КТП № 558, ВЛ-10 кВ № 5, ПС 35/10 кВ «Колушкинская» для подключения  зернового склада Филенко Н.В., расположенного по адресу: Ростовская область, р-он Тарасовский, примерно в 300 м от х. Рыновка по направлению на восток,   к.н. 61:37:0600023:926  (ориентировочная протяженность ЛЭП – 0,11 км, прибор учёта электроэнергии - 1шт)</t>
  </si>
  <si>
    <t>Строительство участка ВЛИ-0,4 кВ от ВЛ-0,4 кВ № 2, КТП № 259, ВЛ-10 кВ № 3, ПС 35/10 кВ "Алифановская", для подключения ВРУ-0,4 кВ жилого дома Гапонова А.Б., расположенного по адресу: Ростовская область, Тацинский район, х. Потапов, ул. Мира, д. 11, к.н. 61:38:0030901:38 (ориентировочная протяженность ЛЭП – 0,16 км, прибор учёта электроэнергии - 1шт)</t>
  </si>
  <si>
    <t>Строительство участка ВЛИ-0,4 кВ от опоры № 2 ВЛ-0,4 кВ № 2, КТП № 281, ВЛ-10 кВ № 4, ПС 35/10 кВ "Скосырская", для подключения ВРУ-0,4 кВ жилого дома Гавриленко С.Г., расположенного по адресу: Ростовская область, Тацинский район, х. Надежёвка, ул. Колхозная, д. 31, к.н. 61:38:0060901:58 (ориентировочная протяженность ЛЭП – 0,120 км, прибор учёта электроэнергии - 1шт)</t>
  </si>
  <si>
    <t>Строительство участка ВЛИ-0,4 кВ    ВЛ-0,4 кВ № 1, КТП № 264, ВЛ-10 кВ № 3, ПС 35/10 кВ "Алифановская", для подключения ВРУ-0,4 кВ строящегося здания Лупушор В.В., расположенного по адресу: Ростовская область, Тацинский район, х. Новопавловка, ул. Садовая, д. 3 а, к.н. 61:38:0030801:348 (ориентировочная протяженность ЛЭП – 0,16 км, прибор учёта электроэнергии - 1шт)</t>
  </si>
  <si>
    <t>Строительство участка ЛЭП-0,4 кВ от опоры № 6, ВЛ-0,4 кВ №1, КТП № 395, ВЛ-10 кВ № 2, ПС 35/10 кВ «Нижнепоповская» для подключения жилого дома Егоровой Н.В., расположенного по адресу: Ростовская область, р-он Белокалитвинский, х. Верхнепопов, ул. Верхняя, д.21 к.н. 61:04:0150101:006 (ориентировочная протяженность ЛЭП – 0,110 км, прибор учёта электроэнергии - 1шт)</t>
  </si>
  <si>
    <t>Строительство участка ЛЭП-0,4 кВ от ВЛ-0,4 кВ №1, КТП № 516, ВЛ-10 кВ №2, Л-СП3, ПС 110/10 кВ «Богатовская ПТФ», для подключения строящегося жилого дома Чайкиной Л.В., расположенного по адресу: Ростовская область, Белокалитвинский район, хутор Богатов, ул. Набережная, д. 51 А,  к.н.з.у.: 61:04:0080201:1366 (ориентировочная протяженность ЛЭП – 0,145 км, прибор учёта электроэнергии - 1шт)</t>
  </si>
  <si>
    <t>Строительство участка ЛЭП-0,4 кВ от ВЛ-0,4 кВ № 1, КТП № 522,  ВЛ-10 кВ №2 Л-СП-3, ПС 110/10 кВ «Богатовская ПТФ», для подключения  Объекта сельскохозяйственного назначения Карапетова А.А., расположенного по адресу: Ростовская обл., Белокалитвинский р-он, г. Белая Калитва, КН ЗУ: 61:04:0600013:283 (ориентировочная протяженность ЛЭП - 0,400 км, прибор учёта электроэнергии - 1шт)</t>
  </si>
  <si>
    <t>Строительство участка ЛЭП-0,4 кВ от ВЛ-0,4 кВ №2, КТП № 277, ВЛ-6 кВ «х. Рудаков», ПС 110/35/6 кВ «Б-2» РП-Горняцкий для подключения жилого дома Устиновой Е.И., расположенного по адресу: Ростовская область, р-он Белокалитвинский, х. Рудаков, ул. Пышкинская, д № 8, к.н. ,61:04:0100201:128 (ориентировочная протяженность ЛЭП – 0,330 км, прибор учёта электроэнергии - 1шт)</t>
  </si>
  <si>
    <t>Строительство участка ВЛ-0,4 кВ от конечной опоры проектируемой ВЛ-0,4 кВ, от РУ 0,4 кВ новой ТП 10/0,4 кВ (по договорам: № 61-1-22-00666401 от 05.09.2022 г. Калининой М.А., № 61-1-22-00666407 от 07.09.2022 г. Федотова Ю.Н.), ВЛ 10 кВ № 3, ПС-35/10 кВ «Каменская СХТ», для подключения жилого дома Спирина А.А., расположенного по адресу: Ростовская обл., Каменский р-н, х. Старая Станица, ул. 50 лет Победы, примыкает к ЗУ с КН 61:15:0130103:4228, КН ЗУ61:15:0130103:5008 (ориентировочная   протяженность ЛЭП – 0,174 км, прибор учёта электроэнергии - 1шт)</t>
  </si>
  <si>
    <t>Строительство участка ВЛИ-0,4 кВ от ВЛ- 0,4 кВ № 1, КТП № 146, ВЛ-10 кВ № 3, ПС 35/10 кВ «Каменская СХТ», для подключения базовой станции сотовой связи ООО «Тауэр», расположенной по адресу: Ростовская обл., Каменский р-н, х. Старая Станица, ул. Буденного, юго-восточнее 45 м от участка с КН 61:15:0130104:2182 (48.330327/40.305690), КН ЗУ 00:00:0000000:00 (ориентировочная протяженность ЛЭП – 0,174 км, прибор учёта электроэнергии - 1 шт.)</t>
  </si>
  <si>
    <t>Строительство участка ЛЭП-0,4 кВ от ВЛ-0,4 кВ № 1, КТП № 167, ВЛ-10 кВ № 5, ПС 35/10 кВ «Владимировская», для подключения Объекта сельскохозяйственного производства Петряковой Н.А., расположенного по адресу: Ростовская область, р-н Морозовский, х. Чекалов, ЗАО "Нива" пастбища слева от въезда в х. Чекалов, к.н. 61:24:0600015:685 (ориентировочная протяженность ЛЭП – 0,400 км, прибор учёта электроэнергии - 1 шт.)</t>
  </si>
  <si>
    <t>Строительство участка ЛЭП-0,4 кВ от КТП №93 ВЛ-10кВ №6 ПС 110/35/10кВ «Б-11», для подключения Индивидуального жилого дома Пасько Н.А., расположенного по адресу: Ростовская область, р-н Морозовский, г. Морозовск, снт Заря, 27, к.н. 61:24:0014000:675 (ориентировочная протяженность ЛЭП – 0,365 км, прибор учёта электроэнергии - 1 шт.)</t>
  </si>
  <si>
    <t>Строительство участка ЛЭП-0,22 кВ от ВЛ-0,4 кВ № 1, КТП № 694, ВЛ-6 кВ «Донец», ПС 110/6 кВ «Б-1», для подключения жилого дома  ИП  Михайловского  М.Г.,   расположенного  по   адресу:  Ростовская  область, Белокалитвинский р-он, х. Богураев, ул. Центральная, д. 55, к.н. 61:04:0160108:196 (ориентировочная протяженность ЛЭП – 0,020 км, прибор учёта электроэнергии - 1шт)</t>
  </si>
  <si>
    <t>Строительство участка ЛЭП-0,4 кВ от ВЛ-0,4 кВ № 3, КТП № 352,  ВЛ-10 кВ № 3, ПС 35/10 кВ «Знаменская», для подключения ВРУ-0,4 кВ склада Булановой Н.Н., расположенного по адресу: Ростовская обл., Милютинский р-он, х. Нижнепетровский, ул. Промышленная, д № 13, КН ЗУ 61:23:0020901:611 (ориентировочная протяженность  ЛЭП – 0,040 км, прибор учёта электроэнергии - 1шт)</t>
  </si>
  <si>
    <t>Строительство участка ВЛ-0,4 кВ от ВЛ-0,4 кВ № 1, КТП № 539,  ВЛ-10 кВ № 4,  ПС 35/10 кВ  «Колушкинская»,  для  подключения  жилого дома Фастовец О.П. расположенного по адресу: Ростовская область, Тарасовский р-он, сл. Александровка, ул.  Лесная, д. 4, к.н. 61:37:0080201:295, (ориентировочная протяженность ЛЭП – 0,16 км, прибор учёта электроэнергии - 1шт)</t>
  </si>
  <si>
    <t>Строительство участка ВЛИ-0,4 кВ от ВЛ-0,4 кВ № 3, КТП № 7, ВЛ-10 кВ № 3, ПС 35/10 кВ "Кустоватовская", для подключения ВРУ-0,4 кВ жилого дома Ермакова Н.И., расположенного по адресу: Ростовская область, Тацинский р-н, х. Зазерский, ул. Новая, д. 8, кф./оф. 2, к.н. 61:38:090101:0192 (ориентировочная протяженность ЛЭП – 0,03 км, прибор учёта  электроэнергии - 1шт)</t>
  </si>
  <si>
    <t>Строительство участка ЛЭП-0,4 кВ от ВЛ-0,4 кВ № 2, КТП № 145,   ВЛ-10 кВ № 1, ПС 35/10 кВ «Советская-1», для подключения  Базовой станции сотовой связи ПАО «Ростелеком»,  которая будет располагаться Ростовская область, Советский район, село Чистяково , примерно 87 м  по направлению на запад от границ участка по адресу: ул. Западная, д. 2 ,  КН  61:37:0020101:ЗУ1, КН ЗУ заявителя 61:36:00101301:ЗУ1 (ориентировочная протяженность  ЛЭП – 0,045 км, прибор учёта электроэнергии - 1шт)</t>
  </si>
  <si>
    <t>Строительство участка ВЛИ-0,4 кВ от опоры № 10, ВЛ-0,4 кВ № 1, КТП № 522, ВЛ-6 кВ "Жилпоселок", ЗРП-6 кВ "БКУ", ВЛ-6 кВ "ЗРП-2", ПС 35/6 кВ "Б-6", для подключения ВРУ-0,4 кВ квартиры Кудашова И.Х., расположенного по адресу: Ростовская область, Тацинский район, п. Быстрогорский, ул. Волгодонская, д. 2, кф./оф. 5, к.н. 00:00:0000:000 (ориентировочная протяженность ЛЭП – 0,15 км, прибор учёта электроэнергии - 1шт)</t>
  </si>
  <si>
    <t>Строительство участка ВЛИ-0,4 кВ от РУ-0,4кВ, КТП № 231, ВЛ-10 кВ № 5, ПС 35/10 кВ «Верхнекольцовская», для подключения строящегося здания Курбановой Ш.М., расположенного по адресу: Ростовская область, Тацинский район, п. Лубяной, ул. Восточная, д. 9, корп. а, к.н. 61:38:01003011:238 (ориентировочная протяженность ЛЭП – 0,200 км, прибор учёта  электроэнергии - 1шт.)</t>
  </si>
  <si>
    <t>Строительство участка ЛЭП-0,4 кВ  от ВЛ-0,4 кВ №2, КТП № 517,  ВЛ-10 кВ № 2 Л-СП-3, ПС 110/10 кВ «Богатовская ПТФ» для подключения Дачного участка Федченко А.С., расположенного по адресу: Ростовская область, р-он Белокалитвинский, х. Богатов, ул. Набережная, д № 29А,  к.н. 61:04:0080201:207 (ориентировочная протяженность ЛЭП – 0,050 км, прибор учёта электроэнергии - 1шт)</t>
  </si>
  <si>
    <t>Строительство участка ЛЭП-0,4 кВ от ВЛ-0,4 кВ № 2, КТП № 863,  ВЛ-10 кВ № 2, ПС 35/10 кВ «Грушевская» для подключения Жилого дома Соколова С.В., расположенного по адресу: Ростовская область, р-он Белокалитвинский, х. Грушевка, ул. Учительская, д № 49, к.н. 61:04:0110102:122 (ориентировочная протяженность ЛЭП – 0,040 км,  прибор учёта электроэнергии - 1шт)</t>
  </si>
  <si>
    <t>Строительство участка ЛЭП-0,22 кВ от ВЛ-0,4 кВ № 1, КТП № 680, ВЛ-6 кВ «Восход», ПС 110/6 кВ «Б-1», для подключения Индивидуального жилого дома Кудинова И.П., расположенного по адресу: Ростовская область, р-н Белокалитвинский, х. Поцелуев, ул. Старцева д. 29 А, к.н. 61:04:0050101:332 (ориентировочная протяженность ЛЭП – 0,040 км, прибор учёта электроэнергии - 1 шт.)</t>
  </si>
  <si>
    <t>Строительство участка ЛЭП-0,4 кВ от ВЛ-0,4 кВ № 2, КТП № 419,ВЛ-10 кВ № 3, ПС 35/10 кВ «Нижнепоповская» для подключения строящегося жилого дома Липового В.Е., расположенного по адресу: Ростовская область, р-он Белокалитвинский, п. Сосны, ул. Сосновая, уч № 13, к.н.61:04:0150415:64 (ориентировочная протяженность ЛЭП – 0,035 км, прибор учёта электроэнергии - 1шт)</t>
  </si>
  <si>
    <t>Строительство участка ЛЭП-0,22 кВ от ВЛ-0,4 кВ № 1, КТП № 11, ВЛ-10 кВ №1, ПС 35/10 кВ «Вольно-Донская», для подключения Объекта сельскохозяйственного производства Шадманова А.Я., расположенного по адресу: Ростовская обл., р-н. Морозовский, х. Власов, в границах землепользования реорганизованного с/х предприятия -  колхоз "Борец за коммунизм", к.н.:  61:24:0600007:719, (ориентировочная протяженность  ЛЭП – 0,2 км, прибор учёта электроэнергии - 1 шт.)</t>
  </si>
  <si>
    <t>Строительство участка ЛЭП-0,4 кВ от ВЛ-0,4 кВ № 2, КТП № 252,  ВЛ-10 кВ № 2, ПС 35/10 кВ «Митякинская», для подключения  базовой станции/оборудование сотовой связи ПАО «Ростелеком» с условным КН 61:37:0040101:ЗУ1, которые будут располагаться примерно в 30 м по направлению на северо-запад от границы адресного ориентира  ЗУ с КН 61:37:0040101:63, расположенного по адресу: Ростовская область,  Тарасовский район, п. Весенний, ул. 13 Героев, д.2 кв.1 (ориентировочная протяженность ЛЭП – 0,035 км,  прибор учёта электроэнергии - 1шт)</t>
  </si>
  <si>
    <t>Строительство участка ВЛИ-0,4 кВ от ВЛ-0,4 кВ № 2, КТП № 369, ВЛ-10 кВ № 2, ПС 35/10 кВ «Верхне-Кольцовская», для подключения ВРУ-0,4 кВ нестационарного торгового объекта ИП Фетисова В.В., расположенного по адресу: Ростовская область, Тацинский район,  п. Быстрогорский, ул. Спортивная, д. 7, кв./оф. 1, к.н. 00:00:00000:00 (ориентировочная протяженность ЛЭП – 0,03 км, прибор учёта электроэнергии - 1шт)</t>
  </si>
  <si>
    <t>Строительство   ВЛ 10 кВ  от опоры № 5/72/166 по ВЛ 10 кВ №3 ПС 35/10кВ «Мальчевская», строительство ПКУ на границе балансовой принадлежности, для технологического присоединения нежилой застройки,  Заявителя ИП Коваленко Д.О., расположенной в Ростовской области, Миллеровский р-н, (61:22:0600008:1641), (ориентировочная   протяженность ЛЭП – 0,46 км.)</t>
  </si>
  <si>
    <t>Строительство ВЛ 0,4 кВ от опоры №70-1 ВЛ-0,4 №1 КТП-70 ВЛ-10 716 ПС 110 кВ Юбилейная и установка коммерческого учета электрической энергии (мощности) на границе земельного участка для электроснабжения объекта сельскохозяйственного производства заявителя ИП Бакулиной А.В., Ростовская область, Кагальницкий р-н, п. Воронцовка, ул. 40 лет Победы д.19/14, к.н. 61:14:0600018:274 (ориентировочная протяженность ЛЭП – 0,14 км)</t>
  </si>
  <si>
    <t>Строительство ВЛ 0,4 кВ РУ-0,4 КТП 10/0,4 кВ №50 по ВЛ 10 кВ №211 ПС 35/10 кВ А-2 и установка коммерческого учета электрической энергии (мощности) на границе земельного участка для электроснабжения хозяйственной постройки заявителя ООО «АгроДонЭкспорт», ул. Победы, д. 54, х. Новоалександровка, Азовский район, Ростовская область, к.н. 61:01:0110101:3261 (ориентировочная протяженность ЛЭП – 0,37 км)</t>
  </si>
  <si>
    <t>Строительство ВЛ 0,4 кВ от РУ-0,4 кВ ТП 10/0,4 кВ №50 ВЛ 10 кВ 211 ПС 35/10 кВ А-2 и установка коммерческого учета электрической энергии (мощности) на границе земельного участка для электроснабжения объекта складское здание/помещение заявителя ИП Стеничев Н.В., х. Новоалександровка, Азовский район, Ростовская область, к.н. 61:01:0110101:921 (ориентировочная протяженность ЛЭП – 0,03 км)</t>
  </si>
  <si>
    <t>Строительство КЛ 10 кВ от опоры №9-17 по ВЛ 10 кВ №107Н ПС 110/6/10 кВ НС-1, ТП 10/0,4 кВ, ВЛИ 0,4 кВ и установка системы учета электрической энергии (мощности) на границе земельного участка для электроснабжения хозяйственной постройки заявителя ИП Барсегян А.Г., ул. Кравченко, д. 8, п. Овощной, Азовский район, Ростовская область, к.н. 61:01:0130101:1490(ориентировочная протяженность КВЛ– 0,215 км, ориентировочная трансформаторная мощность – 0,250 МВА)</t>
  </si>
  <si>
    <t>Строительство ВЛ 0,4 кВ от РУ 0,4 кВ КТП 10/0,4 кВ №231 ВЛ-10 кВ №105Н ПС 110/10/6 кВ НС-1 и установка коммерческого учета электрической энергии (мощности) на границе земельного участка для электроснабжения объекта жилого дома заявителя Мазина В.Г., пер. Проездной, 10 в, х. Усть-Койсуг, Азовский район, Ростовская область, к.н. 61:01:0030901:1179 (ориентировочная протяженность ЛЭП – 0,02 км)</t>
  </si>
  <si>
    <t xml:space="preserve">Строительство ВЛ 0,4 кВ от РУ 0,4 кВ ТП 10/0,4 кВ №207 ВЛ-10 кВ№3129 ПС 110/35/10 кВ А-31 и установка коммерческого учета электрической энергии (мощности) на границе земельного участка для электроснабжения объекта сельскохозяйственного производства заявителя ИП Глава крестьянского (фермерского) хозяйства Дорошенко Р. И., с. Пешково, Азовский район, Ростовская область, к.н. 61:01:0600012:683 (ориентировочная протяженность ЛЭП – 0,1 км) </t>
  </si>
  <si>
    <t>Строительство ЛЭП 10 кВ от опоры №85 по ВЛ 10 кВ №3113 ПС 110/35/10 кВ А-31, ТП 10/0,4 кВ, ЛЭП 0,4 кВ и установка системы учета электрической энергии (мощности) на границе земельного участка для электроснабжения объекта сельскохозяйственного производства заявителя ИП Прокофьев М.А., с. Пешково, Азовский район, Ростовская область, к.н. 61:01:0600012:1382, к.н. 61:01:0600012:1383 (ориентировочная протяженность ЛЭП– 0,190 км, ориентировочная трансформаторная мощность – 0,400 МВА)</t>
  </si>
  <si>
    <t>Строительство ЛЭП-0,4 кВ от РУ-0,4 кВ ТП 10/0,4кВ №218 по ВЛ 10кВ №3125 ПС 110/35/10 кВ А-31 и установка коммерческого учета электрической энергии (мощности) на границе земельного участка для электроснабжения объекта нежилого помещения заявителя Мироненко А.М., с. Пешково, Азовский район, Ростовская область, к.н. 61:01:0140101:8908 (ориентировочная протяженность ЛЭП – 0,07 км)</t>
  </si>
  <si>
    <t>Строительство ЛЭП 10 кВ от опоры №197 ВЛ 10 кВ №716 ПС 110 кВ Юбилейная, ТП 10/0,4 кВ, ЛЭП 0,4 кВ и установка системы учета электрической энергии (мощности) на границе земельного участка для электроснабжения объекта крестьянского (фермерского) хозяйства заявителя ИП Бакулина А.В., Ростовская обл., Кагальницкий р-н, п. Воронцовка, ул. 40 лет Победы д.19-Б к.н. 61:14:0600018:582 (ориентировочная протяженность ЛЭП – 0,02 км, ориентировочная трансформаторная мощность – 0,160 МВА)</t>
  </si>
  <si>
    <t>Строительство участка ВЛ-10 кВ от опоры № 16 отпайки Л-242, ВЛ-10 кВ № 1, ПС110/35/10/6 кВ «К-4», ТП 10/0,4 кВ и участка ВЛ-0,4 кВ от РУ-0,4 кВ новой ТП 10/0,4 кВ, для подключения ООО «Кварц», расположенного по адресу: Ростовская обл., Каменский р-н, х. Астахов, в 0,3 км к западу от окраины х. Астахов, к.н.з.у. 61:15:0600701:935 (ориентировочная протяженность ЛЭП – 0,165 км, трансформаторная мощность – 0,160 МВА, прибор учёта электроэнергии - 1 шт.)</t>
  </si>
  <si>
    <t>Строительство участка ЛЭП-0,4 кВ от ВЛ-0,4 кВ № 2, КТП № 543, ПС 35/10 кВ «Первомайская», для подключения объектов крестьянско-фермерских хозяйств ИП Трушко и ИП Хоперскова В.И., расположенных по адресу: Ростовская область, Каменский р-н, Гусевское сп., х. Гусев, к.н.з.у.:61:15:0601701:1087, х. Гусев, ТОО «Гусевское», пашня р.у. № 9,  10,12,13,19,24, пастбище р.у. № 1,  № 12, к.н.з.у.: 61:15:0601701:2001 (ориентировочная протяженность ЛЭП – 0,400 км, прибор учёта электроэнергии – 2 шт.)</t>
  </si>
  <si>
    <t>Строительство участка ВЛ-10 кВ от опоры № 50, ВЛ-10 кВ № 1, ПС 35/10 кВ «Глубокинская», ТП 10/0,4 кВ и участка ВЛ-0,4 кВ от РУ-0,4 кВ новой ТП 10/0,4 кВ, для подключения АЗС № 61322 ООО «ЛУКОЙЛ - Югнефтепродукт», расположенной по адресу: Ростовская обл., Каменский р-н, р.п. Глубокий, 907 км автомагистрали М-4 «Дон», в 30 м от дорожного полотна справа по ходу километража, к.н.з.у. 61:15:0010111:75 (ориентировочная протяженность ЛЭП – 0,063 км, трансформаторная мощность – 0,160 МВА, прибор учёта электроэнергии - 1 шт.)</t>
  </si>
  <si>
    <t>Строительство участка ВЛ-10 кВ от ВЛ-10 кВ, Л-28, Фид. №14, ПС 110/35/10 кВ «Б-3» РП-28, ТП-10/0,4 кВ и участка ВЛ-0,4 кВ от РУ-0,4 кВ новой ТП 10/0,4 кВ, для подключения нежилого производственного здания ООО «Завод Эксклюзивстрой» расположенного по адресу: Ростовская обл., Белокалитвинский р-н, г. Белая Калитва, участок находится примерно в 630м на северо-восток от ориентира пункт полигометрии № 5098, КНЗУ ориентира: 61:04:0600011:1457 (ориентировочная протяженность ЛЭП-0,040 км, трансформаторная мощность - 0,160 МВА, прибор учета электроэнергии - 1шт)</t>
  </si>
  <si>
    <t>Строительство участка ВЛ-10 кВ от опоры № 8, Л-163 ВЛ-10 кВ № 1, ПС 110/10 кВ «К-4», ТП 10/0,4 кВ и участка ВЛ-0,4 кВ от РУ-0,4 кВ новой ТП 10/0,4 кВ для электроснабжения оборудования для хранения и переработки с/х продукции ООО «Содействие», расположенного по адресу: Ростовская обл., Каменский р-он, АКХ «Колос»,  КН ЗУ 61:15:0601101:2966 (ориентировочная протяженность ЛЭП – 1,742 км, ориентировочная мощность ТП – 0,160 МВА)</t>
  </si>
  <si>
    <t>Строительство участка ВЛ-0,4 кВ от опоры № 10 ВЛ-0,4 кВ №1 КТП №953, ВЛ 10 кВ фид. «Западной» ПС35/10-Ш-26 для подключения нежилой застройки Жебрякова О.Н., расположенной по адресу: Ростовская обл., Белокалитвинский р-н, х. Западный, ул. Садовая, д.2б, к.н.з.у. 61:04:00803021:149 (ориентировочная протяженность ЛЭП – 0,111 км,     прибор учёта электроэнергии - 1 шт.)</t>
  </si>
  <si>
    <t>Строительство   ВЛ 10 кВ от опоры № 85, ВЛ 10 кВ №8 ПС 110/35/10кВ «Ал. Лозовская», строительство   ВЛ 10 кВ от опоры № 85, ВЛ 10 кВ №9 ПС 110/35/10кВ «Ал. Лозовская», строительство ПКУ (2 шт.) на границе балансовой принадлежности, для технологического присоединения объекта: «Автомобильная дорога М-4 «Дон» Москва-Воронеж-Ростов-на-Дону-Краснодар-Новороссийск.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933 в Ростовской области. Электроснабжение», расположенных (которые будут располагаться) Ростовская обл., р-н Чертковский, в границах кадастрового квартала 61:42:0600015, пастбищный участок №2, вдоль автомагистрали М-4 «Дон-2» слева по ходу километража, примерно в 2,5 км на юго-запад от западной окраины с. Алексеево-Лозовское, вводная ТП на км 802+810 автомобильной дороги М-4 «Дон», (2-я категория надёжности) кадастровый номер земельного участка: 61:42:0600015:878»,   Заявитель, Государственная компания «Российские автомобильные дороги», (ориентировочная   протяженность ЛЭП – 0,97 км.)</t>
  </si>
  <si>
    <t>Строительство ВЛ-10 кВ от опоры №25/8/164 по ВЛ-10 кВ №2 ПС 110/35/10кВ «Сохрановская», находящейся на балансе ООО «ЛУКОЙЛ-ЮГнефтепродукт», строительство ПКУ (1 шт.) на границе балансовой принадлежности, для технологического присоединения объекта: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расположенной (которая будет располагаться) Российская Федерация, Ростовская обл., р-н. Чертковский, автомагистраль М-4 «Дон-2», вводная трансформаторная подстанция на км 777+210 автомобильной дороги М-4 «Дон», кадастровый номер земельного участка: 61:42:0000000:47. Заявитель, Государственная компания «Российские автомобильные дороги», (ориентировочная   протяженность ЛЭП – 0,59 км.)</t>
  </si>
  <si>
    <t>Строительство ВЛ 10 кВ от опоры №258 по ВЛ 10 кВ 6 ПС 110/35/10кВ «Сохрановская», строительство ПКУ на границе балансовой принадлежности, для технологического присоединения объекта сельскохозяйственного производства, Заявитель ООО «Агро-Союз», расположенного в Ростовской области, Чертковский р-н, 600 метров на запад от с. Тихая Журавка, (61:42:0600004:676), (ориентировочная  протяженность ЛЭП – 0,04 км.)</t>
  </si>
  <si>
    <t>Строительство   ВЛ 10 кВ от опоры №77, ВЛ 10 кВ №6 ПС 110/35/10кВ «Сохрановская», строительство ПКУ (1 шт.) на границе балансовой принадлежности, для технологического присоединения объекта: наружное освещение комплексного обустройства для организации последующей эксплуатации на платной основе дороги М-4 «Дон» на км. 782+900 расположенного по адресу: Российская Федерация, Ростовская обл., р-н. Чертковский, автомагистраль М-4 "Дон", км 782+900, кадастровый номер земельного участка: 61:42:0000000:47. Заявитель, Государственная компания «Российские автомобильные дороги», (ориентировочная   протяженность ЛЭП – 0,03 км.)</t>
  </si>
  <si>
    <t>Строительство   ВЛ 10 кВ от опоры №41, ВЛ 10 кВ №6 ПС 110/35/10кВ «Сохрановская», строительство ПКУ (1 шт.) на границе балансовой принадлежности, для технологического присоединения объекта: наружное освещение комплексного обустройства для организации последующей эксплуатации на платной основе дороги М-4 "Дон" на км 784+800, расположенного по адресу: Российская Федерация, Ростовская обл., р-н. Чертковский, автомагистраль М-4 "Дон", км 784+800, кадастровый номер земельного участка: 61:42:0000000:47. Заявитель, Государственная компания «Российские автомобильные дороги», (ориентировочная   протяженность ЛЭП – 0,03 км.)</t>
  </si>
  <si>
    <t>Строительство   ВЛ 10 кВ от опоры №107, ВЛ 10 кВ №6 ПС 110/35/10кВ «Сохрановская», строительство ПКУ (1 шт.) на границе балансовой принадлежности, для технологического присоединения объекта: «Автомобильной дороги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от Москвы через Воронеж, Ростов-на-Дону, Краснодар до Новороссийска на участке км 777 - км 933 в Ростовской области, расположенной (которая будет располагаться) Российская Федерация, Ростовская обл., р-н. Чертковский, п. Чертково,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Электроснабжение Вводная трансформаторная подстанция на км 781+020 автомобильной дороги М-4 Дон, кадастровый номер земельного участка: 61:42:0000000:47. Заявитель, Государственная компания «Российские автомобильные дороги», (ориентировочная   протяженность ЛЭП – 0,03 км.)</t>
  </si>
  <si>
    <t>Строительство   ВЛ 10 кВ от опоры № 1/138, ВЛ 10 кВ №3 ПС 110/35/10кВ «Ал. Лозовская», строительство ПКУ (1 шт.) на границе балансовой принадлежности, для технологического присоединения объекта: автомобильная дорога М-4 «Дон» Москва – Воронеж – Ростов-на-Дону – Краснодар –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Вводная трансформаторная подстанция на км 799+682 автомобильной дороги М-4 «Дон», по адресу: Российская Федерация, Ростовская обл., р-н. Чертковский, автомагистраль М-4 «Дон», кадастровый номер земельного участка: 61:42:0000000:47. Заявитель, Государственная компания «Российские автомобильные дороги», (ориентировочная   протяженность ЛЭП – 1,0 км.)</t>
  </si>
  <si>
    <t>Строительство   ВЛ 10 кВ от опоры № 31/10, ВЛ 10 кВ №6 ПС 110/35/10кВ «Сохрановская», строительство ПКУ (1 шт.) на границе балансовой принадлежности, для технологического присоединения объекта: автомобильная дорога М-4 «Дон» Москва – Воронеж – Ростов-на-Дону – Краснодар –Новороссийск.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Вводная трансформаторная подстанция км 787+705 автомобильной дороги М-4 «Дон», по адресу: Российская Федерация, Ростовская обл., р-н. Чертковский, автомагистраль М-4 «Дон», кадастровый номер земельного участка: 61:42:0000000:47. Заявитель, Государственная компания «Российские автомобильные дороги», (ориентировочная   протяженность ЛЭП – 0,7 км.)</t>
  </si>
  <si>
    <t>Строительство ВЛ-10 кВ от опоры № 49/90/50/121 по ВЛ-10 кВ №2 ПС 110/35/10кВ «Ал. Лозовская»,  строительство ПКУ (1 шт.) на границе балансовой принадлежности, для технологического присоединения наружного освещения на объекте: «Комплексное обустройство для организации последующей эксплуатации на платной основе дороги М-4 "Дон" – от Москвы через Воронеж, Ростов-на-Дону, Краснодар до Новороссийска на участке км 777 – км 933 в Ростовской области», расположенного по адресу: Ростовская область, Чертковский район, автомагистраль М-4 «Дон», кадастровый номер земельного участка: 61:42:0000000:47, км 791+040. Заявитель, Государственная компания «Российские автомобильные дороги», (ориентировочная   протяженность ЛЭП – 0,95 км.)</t>
  </si>
  <si>
    <t>Строительство участка ВЛ-10 кВ от отпайки Л-101 по ВЛ-10 кВ № 5,ПС 35/10 кВ «Войковская», для подключения объекта торговли Овеяна И.И., расположенного по адресу: Ростовская обл., Тарасовский р-н, ст. Митякинская, ул. Красноармейская, к.н.з.у. 61:37:0100101:4617 (ориентировочная протяженность ЛЭП – 0,125 км, прибор учёта электроэнергии - 1 шт.)</t>
  </si>
  <si>
    <t>Строительство ВЛ 0,4 кВ от РУ 0,4 кВ ТП 10/0,4 кВ, строительство ТП 10/0,4 кВ, строительство ВЛ 10 кВ от ВЛ 10 кВ №4 ПС 110/35/10 кВ Чалтырь, отпайки на ТП 10/0,4 кВ №4-3, для технологического присоединения жилого дома Заявителя: (Киракосян Х.Т.), по адресу: Мясниковский район, с. Крым, ул. Крестьянская, д. 1, корп. Л, к.н. 61:25:0201029:19 (ориентировочная протяженность ЛЭП 0,02 км; мощность силового трансформатора – 25 кВА)</t>
  </si>
  <si>
    <t>Строительство ВЛ 0,4 кВ от новой ТП 10/0,4 кВ, строительство ТП 10/0,4 кВ, строительство ВЛ 10 кВ от ВЛ 10 кВ №5 ПС 35/10 кВ «Русский Колодец», для технологического присоединения мобильного пункта обогрева и питания  Заявителя (Администрация Неклиновского района) по адресу: Ростовская область, Неклиновский район, Поляковское сельское поселение, 85 км. Федеральной трассы А-280, к.н. 61:26:0070701:ЗУ1, 61:26:0600023:ЗУ1. (ориентировочная протяженность ЛЭП 0,050 км; мощность силового трансформатора 0,063 МВА)</t>
  </si>
  <si>
    <t>«Строительство ВЛ 10 кВ от опоры 3-00/96 по ВЛ 10 кВ Л-3 Целинская, строительство КТП 10/0,4 кВ, ВЛ 0,4 кВ и установка системы учета электрической энергии (мощности) на границе земельного участка для электроснабжения объекта – «парковка автомобилей и гараж», расположенного по адресу: РФ, Ростовская обл., р-н. Целинский, п. Целина, кадастровый номер земельного участка 61:40:0600011:2925, заявитель  АО «Агрокомплекс Развильное»</t>
  </si>
  <si>
    <t>Строительство двух дополнительных проводов от опоры №2 до опоры №18 ВЛ 0,4 кВ №1 ТП 6/0,4 кВ №93 по КЛ 6 кВ №11 ПС 110/6 кВ Т-5 для технологического присоединения нежилого помещения Заявителя (Хачунц Н.С.) по адресу: Ростовская область, Таганрог, ул. Октябрьская, д.93/1, к.н.:61:58:0002161:14. (ориентировочная протяженность ЛЭП 0,2 км)</t>
  </si>
  <si>
    <t>«Строительство ТП 10/0,4 кВ от опоры №11-00/102 ВЛ 10 кВ Л-11 Трубецкая, строительство ВЛ 0,4 кВ от РУ 0,4 кВ ТП 10/0,4 кВ ВЛ 10 кВ Л-11 Трубецкая и установка системы учета электрической энергии (мощности) на границе земельного участка для электроснабжения объекта – «Объекты жилищно-коммунального хозяйства», расположенного по адресу: Российская Федерация, Ростовская обл., р-н. Сальский, 750 м к востоку от  п. Глубокая Балка, кадастровый номер земельного участка 61:34:0600005:3001, заявитель Администрация Сальского района»</t>
  </si>
  <si>
    <t>Строительство   ВЛ 10 кВ  от опоры № 2/110/73 по ВЛ 10 кВ №5 ПС 110/10кВ «Дёгтевская», строительство ПКУ на границе балансовой принадлежности, для технологического присоединения объекта торговли,  Заявитель ООО «МАК-Лоджистик»., расположенного в Ростовской области, Миллеровский р-н, с северной стороны от х. Грай - Воронец  (61:22:0600006:1204), (ориентировочная   протяженность ЛЭП – 0,005 км.)</t>
  </si>
  <si>
    <t>Строительство двух КЛ 6 кВ от резервных ячеек 6 кВ ТП 6/0,4 кВ №103 по КЛ кВ №37-07, №37-10 ПС 110 кВ Р37 для электроснабжения многоквартирных жилых домов в г. Ростов-на-Дону, ул. 26-я линия</t>
  </si>
  <si>
    <t xml:space="preserve">Строительство ТП 10/0,4 кВ, ЛЭП 0,4 кВ, ЛЭП 10 кВ от ВЛ 10 кВ №401 ПС 110 кВ АС4 для электроснабжения ВРУ 0,4 кВ нежилых помещений и застроек в пос. АО «Родина» Аксайского района Ростовской области </t>
  </si>
  <si>
    <t>Строительство ЛЭП 0,4 кВ от РУ 0,4 кВ ТП 10/0,4 кВ №20 по КВЛ 10 кВ №1205, 1211 ПС 110/10 кВ А-12 и установка коммерческого учета электрической энергии (мощности) на границе земельного участка для электроснабжения объекта нестационарного павильона заявителя ИП Подушко Е.В., с. Кулешовка, Азовский район, Ростовская область, (ориентировочная протяженность ЛЭП – 0,34 км)</t>
  </si>
  <si>
    <t>Строительство двух КЛ 6 кВ от КЛ 6 кВ №68/1 (на участке между ТП 6/0,4 кВ № 127 и ТП 6/0,4 кВ №210) от РП 6 кВ №7 по КЛ 6 кВ №137/1 ПС 110/35/6 кВ Т-13 до проектируемой ТП 6/0,4 кВ. Строительство ТП 6/0,4 кВ для технологического присоединения Заявителя (МБУЗ «Консультативно-диагностический центр») по адресу: Ростовская обл., г. Таганрог, ул. Дзержинского, д. 156, к.н. 61:58:003484:11 (ориентировочная протяженность ЛЭП 0,024 км; мощность силового трансформатора 0,40 МВА)</t>
  </si>
  <si>
    <t>Строительство участка КЛ 6 кВ от КЛ 6 кВ №512/1 до РУ 6 кВ ТП 6/0,4 кВ №1 для подключения многоэтажного жилого дома Заявителя (ООО «Чайка») по адресу: Ростовская область, г. Таганрог, ул. Александровская д. 93. (ориентировочная протяженность ЛЭП – 0,2 км)</t>
  </si>
  <si>
    <t xml:space="preserve">Строительство ТП 10/0,4 кВ, КЛ 0,4 кВ, КЛ 10 кВ от РУ 10 кВ БКТП 10 кВ №687 ВЛ 10 кВ №401 ПС 110 кВ АС4 для электроснабжения нежилых застроек ИП Гулуа Р. З. на участках с КН 61:02:0600016:4651, 61:02:0600016:4652, 61:02:0600016:4653, 61:02:0600016:4647 в х. Ленина Аксайского района Ростовской области </t>
  </si>
  <si>
    <t>Строительство ТП 10/0,4 кВ, ЛЭП 0,4 кВ, ЛЭП 10 кВ от ВЛ 10 кВ №401 ПС 110 кВ АС4 для электроснабжения нежилых застроек ИП Гулуа Р. З. на участках с КН 61:02:0600016:4536, 61:02:0600016:4537 в х. Ленина Аксайского района Ростовской области (ориентировочная мощность трансформатора 0,4 МВА, ориентировочная протяженность ЛЭП 0,2 км)</t>
  </si>
  <si>
    <t>"Строительство ЛЭП 6 кВ в разрез КЛ 6 кВ №79 от ПС 35/6 кВ Т-8 для технологического присоединения Заявителя (ИП Болмат И.Е) по адресу: Ростовская область, г. Таганрог, пер. 7-й Новый 110к к.н. 61:58:0004482:580 (ориентировочная протяженность ЛЭП 0,02 км)"</t>
  </si>
  <si>
    <t>Строительство ЛЭП 6 кВ в разрез КЛ 6 кВ №79 от ПС 35/6 кВ Т-8 для технологического присоединения Заявителя (ИП Болмат Е.Г) по адресу: Ростовская область, г. Таганрог, пер. 7-й Новый 110л к.н. 61:58:0000000:47630   (ориентировочная протяженность ЛЭП 0,02 км)</t>
  </si>
  <si>
    <t>Строительство ЛЭП 6 кВ в разрез КЛ 6 кВ №79 от ПС 35/6 кВ Т-8 для технологического присоединения Заявителя (ИП Болмат И.Е) по адресу: Ростовская область, г. Таганрог, пер. 7-й Новый 110м к.н. 61:58:0004482:581 (ориентировочная протяженность ЛЭП 0,02 км)</t>
  </si>
  <si>
    <t>Строительство ВЛ 35 кВ от опоры №69 по ВЛ-35 кВ КГ2 – КГ3, ТП 35/0,4 кВ, для обеспечения возможности технологического присоединения садового дома заявителя Гаспаряна Т.П., Ростовская область, Кагальницкий р-н, с/т «Кагальник» уч.205 к.н. 61:14:0503601:1098 (ориентировочная протяженность ВЛ 35 – 0,02 км, ориентировочная трансформаторная мощность – 0,025 МВА)</t>
  </si>
  <si>
    <t xml:space="preserve">Строительство ТП 10/0,4 кВ, ВЛ 0,4 кВ, КВЛ 10 кВ от яч. №4ф17 РП 10 кВ №4 КЛ 10 кВ №1008, №1010, №1033, №1034 ПС 110 кВ АС10 для электроснабжения базовой станции/оборудование сотовой связи ПАО «МТС» в Аксайском районе Ростовской области </t>
  </si>
  <si>
    <t>Строительство ТП 10/0,4 кВ, ВЛ 0,4 кВ, ВЛ 10 кВ по ВЛ 10 кВ №307 ПС 35 кВ БГ3 для электроснабжения жилых домов Шакировой Ш.Н.  и Махмудова Д.С. по адресу: Ростовская обл., р-н. Багаевский, х. Елкин, пер. Степной, 12 участок 4, к.н. 61:03:0030122:29, пер. Степной, 12 участок 5, к.н. 61:03:0030122:30</t>
  </si>
  <si>
    <t>Строительство ТП 10/0,4 кВ с переводом ВЛ 0,4 кВ №1 на вновь построенную ТП 10/0,4кВ по ВЛ 10 кВ №6 ПС 110/35/10 кВ «Б-11», для подключения жилого дома Белименко Светланы Михайловны, расположенного по адресу: Ростовская обл., Морозовский р-н, х. Рязанкин, ул. Луговая, д. 11, КНЗУ 61:24:0020401:91, (ориентировочная трансформаторная мощность –  0,1 МВА, прибор учёта электроэнергии - 1шт)</t>
  </si>
  <si>
    <t>Строительство новой ТП 10/0,4 кВ, присоединение новой ТП 10/0,4 кВ выполнить от опоры № 6, ВЛ-10 кВ № 1, ПС 35/10 кВ «Владимировская», для электроснабжения объекта животноводства ООО «РЗК «Ресурс», расположенного по адресу: Ростовская область, Морозовский район, Широко-Атамановское сельское поселение, х. Беляев в 800 м на юг отул. Чумакова, 28, КН ЗУ 61:24:0600014:306 (ориентировочная мощность – 0,160 МВА, прибор учёта электроэнергии - 1 шт.)</t>
  </si>
  <si>
    <t>«Строительство ВЛ 10 кВ от опоры 7-02/42 по ВЛ 10 кВ Л-7 Львовская, строительство КТП 10/0,4 кВ, ВЛ 0,4 кВ и установка системы учета электрической энергии (мощности) на границе земельного участка для электроснабжения объекта – «объект крестьянского (фермерского) хозяйства», расположенного по адресу: Российская Федерация, Ростовская обл., р-н. Орловский, х. Николаевский, ул. Степная, д.4,  кадастровый номер земельного участка: 61:29:0080301:28, заявитель Зубайриев А.А.» (Ориентировочная протяженность ЛЭП – 0,51 км, ориентировочная мощность ТП – 0,16 МВА)</t>
  </si>
  <si>
    <t>Установка прибора коммерческого учета электрической энергии (мощности) на границе земельного участка, подключенного от опоры №136-34 ВЛ 0,4 кВ №1 КТП 10/0,4кВ №136 ВЛ 10кВ №803 ПС 35/10 кВ А-8 для технологического присоединения энергопринимающих устройств жилого дома Заявителя Монаховой Л.А., с. Семибалки,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</si>
  <si>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ВЛ-0,4, КТП 10/0,4 кВ №336 Котиева Т.М.) ВЛ 10кВ №211 ПС 35/10 кВ А-2 для технологического присоединения энергопринимающих устройств жилого дома Заявителя Свиридовой Е.В., х. 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</si>
  <si>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№9 (балансовая принадлежность ООО «Рыбколхоз им. Ленина) ВЛ 10кВ №1815 ПС 35/10 кВ А-18 для технологического присоединения энергопринимающих устройств жилого дома Заявителя Хандрос В.Л.,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</si>
  <si>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 кВ № КТП 10/0,4 кВ №277 (балансовая принадлежность Администрация Елизаветинского сельского поселения) ВЛ 10 кВ №1815 ПС 35/10 кВ А-18 для технологического присоединения энергопринимающих устройств строительной площадки Заявителя Кузнецова Д.В.,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</si>
  <si>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№55-20 ВЛ-0,4кВ №1 КТП 10/0,4кВ №55 (балансовая принадлежность Азовский ф-л ФГБУ «Управление «Ростовмелиоводхоз») ВЛ-10кВ №3113 ПС 35/10 кВ А-31 для технологического присоединения энергопринимающих устройств жилого дома Заявителя Вершанского Н.Н., с. Пешково, Азовский район, Ростовская область, к.н. 61:01:0140101:8767 (1 шт.)</t>
  </si>
  <si>
    <t xml:space="preserve">Установка прибора коммерческого учета электрической энергии (мощности) на границе земельного участка, подключенного от опоры №б/н ВЛ-0,4 кВ КТП 10/0,4 кВ №279 (балансовая принадлежность ИП Усачев В.И. (п.Беловодье) по ВЛ 10 кВ №1815 ПС 35/10 кВ А-18 для технологического присоединения энергопринимающих устройств жилого дома Заявителя Грязнова А.С., х.Обуховка, Азовский район, Ростовская область, к.н. 61:01:0600002:1626 (1 шт.)
</t>
  </si>
  <si>
    <t>Установка прибора коммерческого учета электрической энергии (мощности) на границе земельного участка, подключенного от опоры №155-21 ВЛ 0,4 кВ №2 КТП 10/0,4кВ №155 ВЛ 10кВ №1910 РП-19 ПС 110/35/10 кВ Самарская для технологического присоединения энергопринимающих устройств жилого дома Заявителя Пикаловой А.И., х.Ельбузд, Азовский район, Ростовская область, к.н. 61:01:0041301:905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</si>
  <si>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№9 (балансовая принадлежность ООО «Рыбколхоз им. Ленина) ВЛ 10кВ №1815 ПС 35/10 кВ А-18 для технологического присоединения энергопринимающих устройств жилого дома Заявителя Пензевой Ю.П.,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</si>
  <si>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№44-64 ВЛ 0,4 кВ №3 КТП 10/0,4кВ №44 ВЛ 10кВ №1107 ПС 35/10 кВ А-11 для технологического присоединения энергопринимающих устройств жилого дома Заявителя Блашко А.М., с.Кагальник, Азовский район, Ростовская область, к.н. 61:01:0060101:10861 (1 шт.)</t>
  </si>
  <si>
    <t>Установка прибора коммерческого учета электрической энергии (мощности) на границе земельного участка, подключенного от опоры №323-1 ВЛ-0,4кВ №1 КТП-10/0,4 кВ №323 ВЛ-10кВ №202Н ПС 110/6/10 кВ НС-2 для технологического присоединения энергопринимающих устройств жилого дома Заявителя Мотуз А.А., с.Кулешовка, Азовский район, Ростовская область, к.н. 61:01:0600006:8070(1 шт.)</t>
  </si>
  <si>
    <t>Установка прибора коммерческого учета электрической энергии (мощности) на границе земельного участка, подключенного от опоры №57-5 ВЛ 0,4 кВ №1 КТП 10/0,4кВ №57 ВЛ 10кВ №1019 ПС 110/35/10 кВ Самарская для технологического присоединения энергопринимающих устройств жилого дома Заявителя Бабаян Ю.В., х.Победа, Азовский район, Ростовская область, к.н. 61:01:0041001:2276 (1 шт.)</t>
  </si>
  <si>
    <t>Установка прибора коммерческого учета электрической энергии (мощности) на границе земельного участка, подключенного от опоры №24-53 ВЛ 0,4 кВ №1 КТП 10/0,4кВ №24 ВЛ 10кВ №1815 ПС 35/10 кВ А-18 для технологического присоединения энергопринимающих устройств жилого дома Заявителя Коновалова А.А., х.Колузаево, Азовский район, Ростовская область, к.н. 61:01:0030501:2179 (1 шт.)</t>
  </si>
  <si>
    <t>Установка прибора коммерческого учета электрической энергии (мощности) на границе земельного участка, подключенного от опоры №329-43 ВЛ-0,4кВ №3 КТП-10/0,4 кВ №329 ВЛ-10кВ №106Н ПС 110/6/10 кВ НС-1 для технологического присоединения энергопринимающих устройств жилого дома Заявителя Дьяченко А.В., ДНТ «Виктория», Азовский район, Ростовская область, к.н. 61:01:0600006:6039(1 шт.)</t>
  </si>
  <si>
    <t>Установка прибора коммерческого учета электрической энергии (мощности) на границе земельного участка, подключенного от опоры №153-16 ВЛ-0,4кВ №1 КТП-10/0,4 кВ №153 ВЛ-10кВ №915 ПС 35/10 кВ А-9 для технологического присоединения энергопринимающих устройств жилого дома Заявителя Игнатенко Е.Н., с.Платоно-Петровка, Азовский район, Ростовская область, к.н. 61:01:0110601:1207(1 шт.)</t>
  </si>
  <si>
    <t>Установка прибора коммерческого учета электрической энергии (мощности) на границе земельного участка, подключенного от опоры №311-12 ВЛ-0,4 кВ №3 КТП 10/0,4 кВ №311 по ВЛ 10 кВ №106 Н ПС 110/6/10 кВ НС-1 для технологического присоединения энергопринимающих устройств жилого дома Заявителя Коваленко Н.Д., Азовский район, Ростовская область, к.н. 61:01:0600006:5023 (1 шт.)</t>
  </si>
  <si>
    <t>Установка прибора коммерческого учета электрической энергии (мощности) на границе земельного участка, подключенного от опоры №138-25 ВЛ-0,4кВ №1 КТП-10/0,4 кВ №138 ВЛ-10кВ №1708 ПС 35/10 кВ А-17 для технологического присоединения энергопринимающих устройств жилого дома Заявителя Кузнецовой Т.В., с.Круглое, Азовский район, Ростовская область, к.н. 61:01:0070101:2758(1 шт.)</t>
  </si>
  <si>
    <t>Установка прибора коммерческого учета электрической энергии (мощности) на границе земельного участка, подключенного от опоры №253-203 ВЛ-0,4кВ №2 КТП-6/0,4 кВ №253 ВЛ-6кВ №10701 ПС 110/35/6 кВ А-1 для технологического присоединения энергопринимающих устройств светофорного объекта Заявителя Муниципальное казенное учреждение г.Азова Департамент жилищно-коммунального хозяйства., г.Азов,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</si>
  <si>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№226-139 ВЛ-0,4кВ № 3 КТП-10/0,4 кВ №226 ВЛ-10кВ №2608 ПС 110/10 кВ А-26 для технологического присоединения энергопринимающих устройств жилого дома Заявителя Турсунова Р.А., СТ «Ягодка-2», Азовский район, Ростовская область, к.н. 61:01:0502401:422 (1 шт.)</t>
  </si>
  <si>
    <t>Установка прибора коммерческого учета электрической энергии (мощности) на границе земельного участка, подключенного от опоры №62-34 ВЛ-0,4кВ № 2 КТП-10/0,4 кВ №62 ВЛ-10кВ №302Н ПС 110/35/6/10 кВ НС-3 для технологического присоединения энергопринимающих устройств жилого дома Заявителя Кулешовой М.Ю., СТ «Надежда-2», Азовский район, Ростовская область, к.н. 61:01:0503701:2300(1 шт.)</t>
  </si>
  <si>
    <t>Установка прибора коммерческого учета электрической энергии (мощности) на границе земельного участка, подключенного от опоры №3-79 ВЛ-0,4кВ № 1 КТП-10/0,4 кВ №3 ВЛ-10кВ №2903 РП-29 ПС 35/10 кВ А-18 для технологического присоединения энергопринимающих устройств объекта жилого дома Заявителя Горбунева Савелия Сергеевича, в лице законного представителя Горбуневой О.Н., х. Обуховка, Азовский район, Ростовская область, к.н. 61:01:0030801:2599(1 шт.)</t>
  </si>
  <si>
    <t>Установка прибора коммерческого учета электрической энергии (мощности) на границе земельного участка, подключенного от опоры №218-40 ВЛ-0,4кВ № 2 КТП-10/0,4 кВ №218 ВЛ-10кВ №901 ПС 35/10 кВ А-9 для технологического присоединения энергопринимающих устройств объекта сельскохозяйственного производства Заявителя Алексеенко Д.В., с/п Новоалександровское, Азовский район, Ростовская область, к.н. 61:01:0600005:1618(1 шт.)</t>
  </si>
  <si>
    <t>Установка прибора коммерческого учета электрической энергии (мощности) на границе земельного участка, подключенного от опоры №63-114 ВЛ-0,4кВ № 2 КТП-10/0,4 кВ №63 ВЛ-10кВ №609 ПС 35/10 кВ А-6 для технологического присоединения энергопринимающих устройств хозяйственной постройки Заявителя Семенова Ю.В., с.Маргаритово, Азовский район, Ростовская область, к.н. 61:01:0100101:2179(1 шт.)</t>
  </si>
  <si>
    <t>Установка прибора коммерческого учета электрической энергии (мощности) на границе земельного участка, подключенного от опоры №187-4 ВЛ-0,4кВ № 3 КТП-10/0,4 кВ №187 ВЛ-10кВ №106Н ПС 110/6/10 кВ НС-1 для технологического присоединения энергопринимающих устройств объекта жилого дома Заявителя Чобанян И.А., ДНТ «Кулешовка», Азовский район, Ростовская область, к.н. 61:01:0600006:1677(1 шт.)</t>
  </si>
  <si>
    <t>Установка прибора коммерческого учета электрической энергии (мощности) на границе земельного участка, подключенного от опоры №136-74 ВЛ-0,4кВ № 2 КТП-10/0,4 кВ №136 ВЛ-10кВ №803 ПС 35/10 кВ А-8 для технологического присоединения энергопринимающих устройств объекта жилого дома Заявителя Малик Л.В., с. Семибалки, Азовский район, Ростовская область, к.н. 61:01:0180101:1666 (1 шт.)</t>
  </si>
  <si>
    <t>Установка прибора коммерческого учета электрической энергии (мощности) на границе земельного участка, подключенного от опоры №122-18 ВЛ-0,4кВ № 1 КТП-10/0,4 кВ №122 ВЛ-10кВ №3017 ПС 220/110/10 кВ А-30 для технологического присоединения энергопринимающих устройств объекта жилого дома Заявителя Мамедова Ф.Р., с. Кугей, Азовский район, Ростовская область, к.н. 61:01:0080101:830(1 шт.)</t>
  </si>
  <si>
    <t>Установка прибора коммерческого учета электрической энергии (мощности) на границе земельного участка, подключенного от опоры №100-4 ВЛ-0,4кВ № 1 КТП-10/0,4 кВ №100 ВЛ-10кВ №1020 ПС 110/35/10 кВ Самарская для технологического присоединения энергопринимающих устройств объекта жилого дома Заявителя Сугян М.Р., п. Суходольск, Азовский район, Ростовская область, к.н. 61:01:0170501:1399(1 шт.)</t>
  </si>
  <si>
    <t>Установка прибора коммерческого учета электрической энергии (мощности) на границе земельного участка, подключенного от опоры №100-12 ВЛ-0,4кВ № 3 КТП-10/0,4 кВ №100 ВЛ-10кВ №2412 ПС 35/10 кВ А-24 для технологического присоединения энергопринимающих устройств объекта жилого дома Заявителя Апарина Н.В., х. Лагутник, Азовский район, Ростовская область, к.н. 61:01:0160201:55(1 шт.)</t>
  </si>
  <si>
    <t>Установка прибора коммерческого учета электрической энергии (мощности) на границе земельного участка, подключенного от опоры №257-4 ВЛ-0,4кВ № 1 КТП-6/0,4 кВ №257 ВЛ-6кВ №10701 ПС 110/35/10 кВ А-1 для технологического присоединения энергопринимающих устройств объекта жилого дома Заявителя Кикоть Н.Н., г. Азов, Ростовская область, к.н. 61:45:0000464:82(1 шт.)</t>
  </si>
  <si>
    <t>Установка прибора коммерческого учета электрической энергии (мощности) на границе земельного участка, подключенного от опоры №109-2 ВЛ-0,4кВ №1 КТП-10/0,4 кВ №109 ВЛ-10кВ №2412 ПС 35/10 кВ А-24 для технологического присоединения энергопринимающих устройств объекта жилого дома Заявителя Кийко Н.К., п. Топольки, Азовский район, Ростовская область, к.н. 61:01:0160401:386 (1 шт.)</t>
  </si>
  <si>
    <t>Установка прибора коммерческого учета электрической энергии (мощности) на границе земельного участка, подключенного от опоры №84-45 ВЛ-0,4кВ № 2 КТП-10/0,4 кВ №84 ВЛ-10кВ №2608 ПС 110/10 кВ А-26 для технологического присоединения энергопринимающих устройств объекта жилого дома Заявителя Тармасина В.С., с. Кулешовка, Азовский район, Ростовская область, к.н. 61:01:0090102:2293(1 шт.)</t>
  </si>
  <si>
    <t>Установка прибора коммерческого учета электрической энергии (мощности) на границе земельного участка, подключенного от опоры №223-10/2 ВЛ-0,4кВ № 1 КТП-10/0,4 кВ №223 ВЛ-10кВ №901 ПС 35/10 кВ А-9 для технологического присоединения энергопринимающих устройств Заявителя Кодирова Ш.Х.., с. Высочино, Азовский район, Ростовская область, к.н. 61:01:0110201:2107(1 шт.)</t>
  </si>
  <si>
    <t>Установка прибора коммерческого учета электрической энергии (мощности) на границе земельного участка, подключенного от опоры №36-37 ВЛ-0,4кВ № 1 КТП-10/0,4 кВ №36 ВЛ-10кВ №1702 ПС 35/10 кВ А-17 для технологического присоединения энергопринимающих устройств объекта жилого дома Заявителя Стороженко Ю.В., с. Стефанидинодар, Азовский район, Ростовская область, к.н. 61:01:0070201:1349(1 шт.)</t>
  </si>
  <si>
    <t>Установка прибора коммерческого учета электрической энергии (мощности) на границе земельного участка, подключенного от опоры №381-92 ВЛ-0,4кВ № 2 КТП-10/0,4 кВ №381 ВЛ-10кВ №106Н ПС 110/6/10 кВ НС-1 для технологического присоединения энергопринимающих устройств объекта жилого дома Заявителя Сомовой А.Е., Азовский район, Ростовская область, к.н. 61:01:0600006:1666(1 шт.)</t>
  </si>
  <si>
    <t>Установка прибора коммерческого учета электрической энергии (мощности) на границе земельного участка, подключенного от опоры №122-18 ВЛ-0,4 кВ №1 КТП 10/0,4кВ №122 ВЛ-10кВ №1101 ПС 35/10 кВ «А-11» для технологического присоединения энергопринимающих устройств термобокса с оборудованием связи Заявителя Бахвалова Н.С.,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</si>
  <si>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№190-11 ВЛ-0,4кВ №1 КТП-10/0,4 кВ №190 ВЛ-10кВ №1802 ПС 35/10 кВ А-18 для технологического присоединения энергопринимающих устройств жилого дома Заявителя Шишкина Н.И., х.Петровский, Азовский район, Ростовская область, к.н. 61:01:0060401:35(1 шт.)</t>
  </si>
  <si>
    <t>Установка прибора коммерческого учета электрической энергии (мощности) на границе земельного участка, подключенного от опоры №121-12 ВЛ-0,4кВ №1 КТП-10/0,4 кВ №121 ВЛ-10кВ №1904 РП-19 ПС 110/35/10 кВ Самарская для технологического присоединения энергопринимающих устройств объекта жилого дома Заявителя Ардатьева П.В., с. Новотроицкое, Азовский район, Ростовская область, к.н. 61:01:0040801:1854 (1 шт.)</t>
  </si>
  <si>
    <t>Установка прибора коммерческого учета электрической энергии (мощности) на границе земельного участка, подключенного от опоры №187-1 ВЛ-0,4кВ № 1 КТП-10/0,4 кВ №187 ВЛ-10кВ №106Н ПС 110/6/10 кВ НС-1 для технологического присоединения энергопринимающих устройств объекта жилого дома Заявителя Белоусовой А.А., Азовский район, Ростовская область, к.н. 61:01:0600006:1672(1 шт.)</t>
  </si>
  <si>
    <t>Установка прибора коммерческого учета электрической энергии (мощности) на границе земельного участка, подключенного от опоры №334-8 ВЛ-0,4кВ №1 КТП-10/0,4 кВ №334 ВЛ-10кВ №202Н ПС 110/6/10 кВ НС-2 для технологического присоединения энергопринимающих устройств объекта жилого дома Заявителя Зайцевой Т.Н., ЗАО «Обильное», Азовский район, Ростовская область, к.н. 61:01:0600006:3816 (1 шт.)</t>
  </si>
  <si>
    <t>Установка прибора коммерческого учета электрической энергии (мощности) на границе земельного участка, подключенного от опоры №34-32 ВЛ-0,4кВ №1 КТП-10/0,4 кВ №34 ВЛ-10кВ №2907 РП-29 ПС 35/10 кВ А-18 для технологического присоединения энергопринимающих устройств объекта жилого дома Заявителя Косилова Н.Н., ст-ца Елизаветинская, Азовский район, Ростовская область, к.н. 61:01:0030101:1389 (1 шт.)</t>
  </si>
  <si>
    <t>Установка прибора коммерческого учета электрической энергии (мощности) на границе земельного участка, подключенного от опоры №80-34 ВЛ 0,4 кВ № 1 КТП 10/0,4кВ №80 ВЛ 10кВ №613 ПС 35/10 кВ А-6 для технологического присоединения энергопринимающих устройств жилого дома Заявителя Костенко О.А., с. Новомаргаритово, Азовский район Ростовская область, 61:01:0100201:434 (1 шт.)</t>
  </si>
  <si>
    <t>Установка прибора коммерческого учета электрической энергии (мощности) на границе земельного участка, подключенного от опоры №188-23 ВЛ-0,4кВ №2 КТП-10/0,4 кВ №188 ВЛ-10кВ №1802 ПС 35/10 кВ А-18 для технологического присоединения энергопринимающих устройств объекта жилого дома Заявителя Макарова А.С., х. Донской, Азовский район, Ростовская область, к.н. 61:01:0060201:502 (1 шт.)</t>
  </si>
  <si>
    <t>Установка прибора коммерческого учета электрической энергии (мощности) на границе земельного участка, подключенного от опоры №244-121 ВЛ-0,4кВ №2 КТП-10/0,4 кВ №244 ВЛ-10кВ №2008 ПС 220/110/10 кВ А-20 для технологического присоединения энергопринимающих устройств объекта жилого дома Заявителя Мерлин В.В., ДНТ «Донские зори», Азовский район, Ростовская область, к.н. 61:01:0501901:535(1 шт.)</t>
  </si>
  <si>
    <t>Установка прибора коммерческого учета электрической энергии (мощности) на границе земельного участка, подключенного от опоры №45-77 ВЛ-0,4кВ №2 КТП-10/0,4 кВ №45 ВЛ-10кВ №211 ПС 35/10 кВ А-2 для технологического присоединения энергопринимающих устройств объекта жилого дома Заявителя Моисеенко Р.С., х. Новоалександровка, Азовский район, Ростовская область, к.н. 61:01:0110101:758 (1 шт.)</t>
  </si>
  <si>
    <t>Установка прибора коммерческого учета электрической энергии (мощности) на границе земельного участка, подключенного от опоры      №124-18 ВЛ-0,4 №1 КТП-124 ВЛ-10 313 ПС 35 кВ КГ3 для технологического присоединения энергопринимающих устройств малоэтажной жилой застройки Юдина Е.А., Ростовская обл., р-н. Кагальницкий, п. Березовая Роща, Аксайский р-н, в юго-восточном направлении 850м от центра х.Истомино СНТ "Железнодорожник" уч.3226, кад.н. земельного участка: 61:02:0504801:697</t>
  </si>
  <si>
    <t>Установка прибора коммерческого учета электрической энергии (мощности) на границе земельного участка, подключенного от опоры  №15-64 ВЛ-0,4  №2 КТП-15  ВЛ-10 605 ПС 35 кВ КГ6 для технологического присоединения энергопринимающих устройств малоэтажной жилой застройки Заявителя Скорик Р.В. Ростовская область, Кагальницкий р-н, с. Новобатайск  ул. Степная д.3е  к.н. 61:14:0040147:390(1 шт.)</t>
  </si>
  <si>
    <t>Установка прибора коммерческого учета электрической энергии (мощности) на границе земельного участка, подключенного от опоры №48-74 ВЛ-0,4кВ №1 КТП-10/0,4 кВ №48 ВЛ-10кВ №1815 ПС 35/10 кВ А-18 для технологического присоединения энергопринимающих устройств объекта жилого дома Заявителя Рыбенцева Ю.В., Азовский район, Ростовская область, к.н. 61:01:0600002:2777 (1 шт.)</t>
  </si>
  <si>
    <t>Установка прибора коммерческого учета электрической энергии (мощности) на границе земельного участка, подключенного от опоры №389-18 ВЛ-0,4кВ №1 КТП-10/0,4 кВ №389 ВЛ-10кВ №2008 ПС 220/110/10 кВ А-20 для технологического присоединения энергопринимающих устройств объекта жилого дома Заявителя Тюфановой М.Г., ДНТ «Донские зори», Азовский район, Ростовская область, к.н. 61:01:0501901:800 (1 шт.)</t>
  </si>
  <si>
    <t>Установка прибора коммерческого учета электрической энергии (мощности) на границе земельного участка, подключенного от опоры №173-17 ВЛ 0,4 кВ №1 КТП 10/0,4кВ №173 ВЛ 10кВ №902 ПС 35/10 кВ А-9 для технологического присоединения энергопринимающих устройств гаража Заявителя Борина Д.В., х. Павловка, Азовский район, Ростовская область, к.н. 61:01:0110401:2018 (1 шт.)</t>
  </si>
  <si>
    <t>Установка прибора коммерческого учета электрической энергии (мощности) на границе земельного участка, подключенного от опоры №136-1 ВЛ 0,4кВ №1 КТП 10/0,4 кВ №136 ВЛ 10кВ №1107 ПС 35/10 кВ А-11 для технологического присоединения энергопринимающих устройств жилого дома Заявителя Калинина В.Н., х. Узяк, Азовский район, Ростовская область, к.н. 61:01:0060501:980 (1 шт.)</t>
  </si>
  <si>
    <t>Установка прибора коммерческого учета электрической энергии (мощности) на границе земельного участка, подключенного от опоры №124-8 ВЛ-0,4кВ №1 КТП-10/0,4 кВ №124 ВЛ-10кВ №3016 ПС 220/110/10 кВ А-30 для технологического присоединения энергопринимающих устройств объекта гаража Заявителя Курбет П.В., с. Кугей, Азовский район, Ростовская область, к.н. 61:01:0080101:3427 (1 шт.)</t>
  </si>
  <si>
    <t>Установка прибора коммерческого учета электрической энергии (мощности) на границе земельного участка, подключенного от опоры №9-1 ВЛ-0,4кВ №1 КТП-10/0,4 кВ №9 ВЛ-10кВ №3125 ПС 110/35/10 кВ А-31 для технологического присоединения энергопринимающих устройств объекта жилого дома Заявителя Кальва А.В., с. Пешково, Азовский район, Ростовская область, к.н. 61:01:0140101:8691 (1 шт.)</t>
  </si>
  <si>
    <t>Установка прибора коммерческого учета электрической энергии (мощности) на границе земельного участка, подключенного от опоры №233-7 ВЛ-0,4кВ №1 КТП-10/0,4 кВ №233 ВЛ-10кВ №1815 ПС 35/10 кВ А-18 для технологического присоединения энергопринимающих устройств объекта жилого дома Заявителя Пронченко О.В., СТ «Надежда-4», Азовский район, Ростовская область, к.н. 61:01:0500301:208 (1 шт.)</t>
  </si>
  <si>
    <t>Установка прибора коммерческого учета электрической энергии (мощности) на границе земельного участка, подключенного от опоры №113-35 ВЛ-0,4кВ №1 КТП-10/0,4 кВ №113 ВЛ-10кВ №1020 ПС 110/35/10 кВ Самарская для технологического присоединения энергопринимающих устройств объекта жилого дома Заявителя Гейль И.А., п. Суходольск, Азовский район, Ростовская область, к.н. 61:01:0170501:1424 (1 шт.)</t>
  </si>
  <si>
    <t>Установка прибора коммерческого учета электрической энергии (мощности) на границе земельного участка, подключенного от опоры №58-70 ВЛ-0,4кВ №2 КТП-10/0,4 кВ №58 ВЛ-10кВ №2204 РП 22 ПС 110/35/10 кВ Самарская для технологического присоединения энергопринимающих устройств объекта жилого дома Заявителя Павленко Р.Н., х.Левобережный, Азовский район, Ростовская область, к.н. 61:01:0040701:482 (1 шт.)</t>
  </si>
  <si>
    <t>Установка прибора коммерческого учета электрической энергии (мощности) на границе земельного участка, подключенного от опоры №350-46 ВЛ-0,4кВ №2 КТП-10/0,4 кВ №350 ВЛ-10кВ №207Н ПС 110/6/10 кВ Самарская для технологического присоединения энергопринимающих устройств объекта жилого дома Заявителя Погорелова В.Н., СТ «Квант», Азовский район, Ростовская область, к.н. 61:01:0502901:1925 (1 шт.)</t>
  </si>
  <si>
    <t>Установка прибора коммерческого учета электрической энергии (мощности) на границе земельного участка, подключенного от опоры №120-8 ВЛ-0,4кВ №1 КТП-10/0,4 кВ №120 ВЛ-10кВ №1107 ПС 35/10 кВ А-11 для технологического присоединения энергопринимающих устройств объекта жилого дома Заявителя Кажановой И.В., с. Кагальник, Азовский район, Ростовская область, к.н. 61:01:0060101:2647 (1 шт.)</t>
  </si>
  <si>
    <t>Установка прибора коммерческого учета электрической энергии (мощности) на границе земельного участка, подключенного от опоры №10-20 ВЛ-0,4кВ №1 КТП-10/0,4 кВ №10 ВЛ-10кВ №3125 ПС 110/35/10 кВ А-31 для технологического присоединения энергопринимающих устройств объекта жилого дома Заявителя Прядкина С.М., с. Пешково, Азовский район, Ростовская область, к.н. 61:01:0140101:7573 (1 шт.)</t>
  </si>
  <si>
    <t>Установка прибора коммерческого учета электрической энергии (мощности) на границе земельного участка, подключенного от опоры №154-31 ВЛ-0,4кВ №1 КТП-10/0,4 кВ №154 ВЛ-10кВ №1101 ПС 35/10 кВ А-11 для технологического присоединения энергопринимающих устройств объекта жилого дома Заявителя Гребенниковой А.И., с. Кагальник, Азовский район, Ростовская область, к.н. 61:01:0060101:12563 (1 шт.)</t>
  </si>
  <si>
    <t>Установка прибора коммерческого учета электрической энергии (мощности) на границе земельного участка, подключенного от опоры №105-78 ВЛ-0,4кВ №2 КТП-10/0,4 кВ №105 ВЛ-10кВ №2608 ПС 110/10 кВ А-26 для технологического присоединения энергопринимающих устройств объекта жилого дома Заявителя Агеева В.В., х. Новоалександровка, Азовский район, Ростовская область, к.н. 61:01:0600003:819 (1 шт.)</t>
  </si>
  <si>
    <t>Установка прибора коммерческого учета электрической энергии (мощности) на границе земельного участка, подключенного от опоры №86-44 ВЛ-0,4кВ №2 КТП-10/0,4 кВ №86 ВЛ-10кВ №1107 ПС 35/10 кВ А-11 для технологического присоединения энергопринимающих устройств объекта жилого дома Заявителя Лесового В.А., х. Узяк, Азовский район, Ростовская область, к.н. 61:01:0060501:139 (1 шт.)</t>
  </si>
  <si>
    <t>Установка прибора коммерческого учета электрической энергии (мощности) на границе земельного участка, подключенного от опоры №244-23 ВЛ-0,4кВ №1 КТП-10/0,4 кВ №244 ВЛ-10кВ №2008 ПС 220/110/10 кВ А-20 для технологического присоединения энергопринимающих устройств объекта жилого дома Заявителя Шкенева В.В., ДНТ «Донские Зори», Азовский район, Ростовская область, к.н. 61:01:0501901:539 (1 шт.)</t>
  </si>
  <si>
    <t>Установка прибора коммерческого учета электрической энергии (мощности) на границе земельного участка, подключенного от опоры №139-1 ВЛ-0,4кВ №1 КТП-10/0,4 кВ №139 ВЛ-10кВ №1708 ПС 35/10 кВ А-17 для технологического присоединения энергопринимающих устройств объекта жилого дома Заявителя Романовой М.Г., с. Круглое, Азовский район, Ростовская область, к.н. 61:01:0070101:8022 (1 шт.)</t>
  </si>
  <si>
    <t>Установка прибора коммерческого учета электрической энергии (мощности) на границе земельного участка, подключенного от опоры №139-1 ВЛ-0,4кВ №1 КТП-10/0,4 кВ №139 ВЛ-10кВ №1708 ПС 35/10 кВ А-17 для технологического присоединения энергопринимающих устройств объекта жилого дома Заявителя Михай Л.П., с. Круглое, Азовский район, Ростовская область, к.н. 61:01:0070101:8024 (1 шт.)</t>
  </si>
  <si>
    <t>Установка прибора коммерческого учета электрической энергии (мощности) на границе земельного участка, подключенного от опоры         №45-21 ВЛ-0,4 №1 КТП-45 ВЛ-10 103 ПС 110 кВ Звонкая для технологического присоединения энергопринимающих устройств малоэтажной жилой застройки Заявителя Жукова И.Н., Ростовская обл., Кагальницкий р-н, п. Новонатальин, ул. Садовая д.17 к.н.61:14:0050802:104 (1 шт.)</t>
  </si>
  <si>
    <t>Установка прибора коммерческого учета электрической энергии (мощности) на границе земельного участка, подключенного от опоры №б/н ВЛ-0,4кВ КТП-10/0,4 кВ №35 (балансовая принадлежность Администрация Елизаветинского сельского поселения) ВЛ-10кВ №1814 ПС 35/10 кВ А-18 для технологического присоединения энергопринимающих устройств объекта жилого дома Заявителя Беркутовой И.П., х. Дугино, Азовский район, Ростовская область, к.н. 61:01:0030301:1929(1 шт)</t>
  </si>
  <si>
    <t>Установка прибора коммерческого учета электрической энергии (мощности) на границе земельного участка, подключенного от опоры №52-117 ВЛ-0,4 №4 КТП-52 ВЛ-10 319 ПС 35 кВ КГ3 для технологического присоединения энергопринимающих устройств малоэтажной жилой застройки Заявителя Полеевой Т.М., Ростовская обл., Кагальницкий р-н, ст. Кировская, ул. Чехова д.20Б к.н.61:14:0050135:204</t>
  </si>
  <si>
    <t>«Установка прибора коммерческого учета электрической энергии (мощности) на границе земельного участка, подключенного от опоры №137-58 ВЛ-0,4 №1 КТП-137 ВЛ-10 605 ПС 35 кВ КГ6 для технологического присоединения энергопринимающих устройств малоэтажной жилой застройки Заявителя Симакова А.С., Ростовская обл., Кагальницкий р-н, с. Новобатайск, ул. Степная д.16 к.н.61:14:0040147:378 (1 шт.)</t>
  </si>
  <si>
    <t>Установка прибора коммерческого учета электрической энергии (мощности) на границе земельного участка, подключенного от опоры  №121-57  ВЛ-0,4  №1  КТП-121 ВЛ-10 313 ПС 35 кВ КГ3 для технологического присоединения энергопринимающих устройств жилого дома Заявителя Диденко В.Б. Ростовская область, Аксайский р-н. , СНТ «Садко» уч. 754 к.н. 61:02:0504701:3316 (1 шт.)</t>
  </si>
  <si>
    <t>Установка прибора коммерческого учета электрической энергии (мощности) на границе земельного участка, подключенного от опоры №130-25 ВЛ-0,4 №1 КТП-130 ВЛ-10 805 ПС 110 кВ БОС для технологического присоединения энергопринимающих устройств малоэтажной жилой застройки Заявителя Оскольской Е.А., Ростовская обл., Кагальницкий р-н, п. Мокрый Батай, ул. Вишневая д.65 к.н.61:14:0060104:529 (1 шт.)</t>
  </si>
  <si>
    <t>Установка прибора коммерческого учета электрической энергии (мощности) на границе земельного участка, подключенного от опоры №135-139 ВЛ-0,4 №4 КТП-135 ВЛ-10 805 ПС 110 кВ БОС для технологического присоединения энергопринимающих устройств малоэтажной жилой застройки Заявителя Борзенко М.Н., Ростовская обл., Кагальницкий р-н, п. Мокрый Батай, ул. Школьная д.16А к.н.61:14:0060107:854 (1 шт.)</t>
  </si>
  <si>
    <t>Установка прибора коммерческого учета электрической энергии (мощности) на границе земельного участка, подключенного от опоры  №15-63 ВЛ-0,4  №2  КТП-15  ВЛ-10 605 ПС 35 кВ КГ6 для технологического присоединения энергопринимающих устройств малоэтажной жилой застройки Заявителя Кин А.В. Ростовская область, Кагальницкий р-н. с. Новобатайск ул. Степная д. 3д  к.н. 61:12:0040147:389 (1 шт.)</t>
  </si>
  <si>
    <t>Установка прибора коммерческого учета электрической энергии (мощности) на границе земельного участка, подключенного от опоры         №202-5 ВЛ-0,4 №1 КТП-202 ВЛ-10 319 ПС 35 кВ КГ3 для технологического присоединения энергопринимающих устройств малоэтажной жилой застройки Заявителя Андриянченко М.Е., Ростовская обл., Кагальницкий р-н, п. Мокрый Батай, ул. Солнечная д.63 к.н.61:14:0060109:773 (1 шт.)</t>
  </si>
  <si>
    <t>Установка прибора коммерческого учета электрической энергии (мощности) на границе земельного участка, подключенного от опоры № 27-1   ВЛ-0,4 № 1 СТП-27 ВЛ-10  101  ПС 35кВ Е-1 для технологического присоединения энергопринимающих устройств нежилой застройки (вагончик) Заявителя Шкаринова П.Ф., Ростовская область Егорлыкский район участок 262 б, кадастровый номер земельного участка: 61:10:0500101:994, 1шт.</t>
  </si>
  <si>
    <t>Установка прибора коммерческого учета электрической энергии (мощности) на границе земельного участка, подключенного от опоры № 290-38 ВЛ-0,4 № 4 КТП-290 ВЛ-10  908  ПС 110кВ Балко-Грузская для технологического присоединения энергопринимающих устройств здания библиотеки (с/библиотека х.Мирный) Заявителя МБУК Егорлыкского района "Межпоселенческая центральная библиотека", Ростовская область Егорлыкский район х. Мирный,  кадастровый номер земельного участка: 61:10:0020301:3000, 1шт.</t>
  </si>
  <si>
    <t>Установка прибора коммерческого учета электрической энергии (мощности) на границе земельного участка, подключенного от опоры №б/н ВЛ-0,4кВ (на балансе Барсукова) ЗТП-6/0,4 кВ №24 КЛ-10кВ №1211 ПС 110/10 кВ А-12 для технологического присоединения энергопринимающих устройств магазина Заявителя Настенко Г.В., с. Кулешовка, Азовский район, Ростовская область,к.н. 61:01:0090103:75(1 шт.)</t>
  </si>
  <si>
    <t>Установка прибора коммерческого учета электрической энергии (мощности) на границе земельного участка, подключенного от опоры №40-21 ВЛ-0,4кВ №1 КТП-10/0,4 кВ №40 ВЛ-10кВ №1802 ПС 35/10 кВ А-18 для технологического присоединения энергопринимающих устройств объекта жилого дома Заявителя Лемешева Ю.А., х. Рогожкино, Азовский район, Ростовская область, к.н. 61:01:0160101:3201 (1 шт.)</t>
  </si>
  <si>
    <t>Установка прибора коммерческого учета электрической энергии (мощности) на границе земельного участка, подключенного от опоры №б/н ВЛ 0,4 кВ № 1 КТП 10/0,4кВ №277 (ВЛ-0,4 кВ, ТП № 277 бесхозные) ВЛ 10кВ №1815 ПС 35/10 кВ А-18 для технологического присоединения энергопринимающих устройств жилого дома Заявителя Ефремова В.С., х. Обуховка, Азовский район Ростовская область, 61:01:0500101:126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</si>
  <si>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№279 (балансовая принадлежность ИП Усачев В.И. (п. Беловодье) ВЛ 10кВ №1815 ПС 35/10 кВ А-18 для технологического присоединения энергопринимающих устройств жилого дома Заявителя Недоруб В.А., х. Обуховка, Азовский район Ростовская область, 61:01:0600002:352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</si>
  <si>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№279 (балансовая принадлежность ИП Усачев В.И. (п. Беловодье) ВЛ 10кВ №1815 ПС 35/10 кВ А-18 для технологического присоединения энергопринимающих устройств жилого дома Заявителя Недоруб В.А., х. Обуховка, Азовский район Ростовская область, 61:01:0600002:1605 (1 шт.)</t>
  </si>
  <si>
    <t>Установка прибора коммерческого учета электрической энергии (мощности) на границе земельного участка, подключенного от опоры №48-46 ВЛ-0,4кВ №2 КТП-10/0,4 кВ №48 ВЛ-10кВ №1107 ПС 35/10 кВ А-11 для технологического присоединения энергопринимающих устройств объекта жилого дома Заявителя Вершанской Л.И., с. Кагальник, Азовский район, Ростовская область, к.н. 61:01:0060101:330 (1 шт.)</t>
  </si>
  <si>
    <t>Установка прибора коммерческого учета электрической энергии (мощности) на границе земельного участка, подключенного от опоры №122-50  ВЛ-0,4кВ №1 КТП-10/0,4 кВ №122 ВЛ-10кВ №1101 ПС 35/10 кВ А-11 для технологического присоединения энергопринимающих устройств объекта жилого дома Заявителя Пластуновой Ю.А., с. Кагальник, Азовский район, Ростовская область, к.н. 61:01:0060101:12827 (1 шт.)</t>
  </si>
  <si>
    <t>Установка прибора коммерческого учета электрической энергии (мощности) на границе земельного участка, подключенного от опоры №206-22  ВЛ-0,4кВ №2 КТП-10/0,4 кВ №206 ВЛ-10кВ №3113 ПС 110/35/10 кВ А-31 для технологического присоединения энергопринимающих устройств объекта жилого дома Заявителя Шакун М.В., с. Пешково, Азовский район, Ростовская область, к.н. 61:01:0140101:8676 (1 шт.)</t>
  </si>
  <si>
    <t>Установка прибора коммерческого учета электрической энергии (мощности) на границе земельного участка, подключенного от опоры №226-67  ВЛ-0,4кВ №2 КТП-10/0,4 кВ №226 ВЛ-10кВ №2608 ПС 110/10 кВ А-26 для технологического присоединения энергопринимающих устройств объекта жилого дома Заявителя Беловол Р.С., ДНТ «Ягодка-2», Азовский район, Ростовская область, к.н. 61:01:0502401:497 (1 шт.)</t>
  </si>
  <si>
    <t>Установка прибора коммерческого учета электрической энергии (мощности) на границе земельного участка, подключенного от опоры №54-70  ВЛ-0,4кВ №2 КТП-10/0,4 кВ №54 ВЛ-10кВ №1702 ПС 35/10 кВ А-17 для технологического присоединения энергопринимающих устройств объекта жилого дома Заявителя Евтуховой Д.Г., с. Стефанидинодар, Азовский район, Ростовская область, к.н. 61:01:0070201:777 (1 шт.)</t>
  </si>
  <si>
    <t>Установка прибора коммерческого учета электрической энергии (мощности) на границе земельного участка, подключенного от опоры №77-33  ВЛ-0,4кВ №2 КТП-10/0,4 кВ №77 ВЛ-10кВ №3125 ПС 110/35/10 кВ А-31 для технологического присоединения энергопринимающих устройств объекта жилого дома Заявителя Поцебенко Д.В., с. Головатовка, Азовский район, Ростовская область, к.н. 61:01:0140301:2811 (1 шт.)</t>
  </si>
  <si>
    <t>Установка прибора коммерческого учета электрической энергии (мощности) на границе земельного участка, подключенного от опоры №111-48 ВЛ 0,4 кВ №2 КТП 10/0,4кВ №111 ВЛ 10кВ №3113 ПС 110/35/10 кВ А-31 для технологического присоединения энергопринимающих устройств объекта жилого дома Заявителя Сергеевой С.Ю., с. Пешково, Азовский район, Ростовская область, к.н. 61:01:0140101:7546 (1 шт.)</t>
  </si>
  <si>
    <t>Установка прибора коммерческого учета электрической энергии (мощности) на границе земельного участка, подключенного от опоры №173-103/1  ВЛ-0,4кВ №2 КТП-10/0,4 кВ №173 ВЛ-10кВ №902 ПС 35/10 кВ А-9 для технологического присоединения энергопринимающих устройств объекта жилого дома Заявителя Фальченко Н.И., х. Павловка, Азовский район, Ростовская область, к.н. 61:01:0110401:2225 (1 шт.)</t>
  </si>
  <si>
    <t>Установка прибора коммерческого учета электрической энергии (мощности) на границе земельного участка, подключенного от опоры №10-95 ВЛ-0,4кВ №3 КТП-10/0,4 кВ №10 ВЛ-10кВ №3125 ПС 110/35/10 кВ А-31 для технологического присоединения энергопринимающих устройств объекта жилого дома Заявителя Сирота А.В., с. Пешково, Азовский район, Ростовская область, к.н. 61:01:0140101:8688 (1 шт.)</t>
  </si>
  <si>
    <t>Установка прибора коммерческого учета электрической энергии (мощности) на границе земельного участка, подключенного от опоры №17-93 ВЛ-0,4кВ №2 КТП-10/0,4 кВ №17 ВЛ-10кВ №107Н ПС 110/6/10 кВ НС-1 для технологического присоединения энергопринимающих устройств объекта жилого дома Заявителя Литвиненко В.Н., п. Овощной, Азовский район, Ростовская область, к.н. 61:01:0130101:5174 (1 шт.)</t>
  </si>
  <si>
    <t>Установка прибора коммерческого учета электрической энергии (мощности) на границе земельного участка, подключенного от опоры №390-2 ВЛ-0,4кВ №1 КТП-10/0,4 кВ №390 ВЛ-6кВ №10701 ПС 110/35/6 кВ А-1 для технологического присоединения энергопринимающих устройств объекта жилого дома Заявителя Тужакова С.П., г. Азов, Ростовская область, к.н. 61:45:0000455:520 (1 шт.)</t>
  </si>
  <si>
    <t>Установка прибора коммерческого учета электрической энергии (мощности) на границе земельного участка, подключенного от опоры №390-2 ВЛ-0,4кВ №1 КТП-10/0,4 кВ №390 ВЛ-6кВ №10701 ПС 110/35/6 кВ А-1 для технологического присоединения энергопринимающих устройств объекта жилого дома Заявителя Тужакова С.П., г. Азов, Ростовская область, к.н. 61:45:0000455:521 (1 шт.)</t>
  </si>
  <si>
    <t>Установка прибора коммерческого учета электрической энергии (мощности) на границе земельного участка, подключенного от опоры №390-2 ВЛ-0,4кВ №1 КТП-10/0,4 кВ №390 ВЛ-6кВ №10701 ПС 110/35/6 кВ А-1 для технологического присоединения энергопринимающих устройств объекта жилого дома Заявителя Тужакова С.П., г. Азов, Ростовская область, к.н. 61:45:0000455:522 (1 шт.)</t>
  </si>
  <si>
    <t>Установка прибора коммерческого учета электрической энергии (мощности) на границе земельного участка, подключенного от опоры №41-48 ВЛ-0,4кВ №2 ЗТП-10/0,4 кВ №41 (бесхозная) ВЛ-10кВ №2608 ПС 110/10 кВ А-26 для технологического присоединения энергопринимающих устройств объекта жилого дома Заявителя Тимченко Е.С., с. Кулешовка, Азовский район, Ростовская область, к.н. 61:01:0090102:2134 (1 шт.)</t>
  </si>
  <si>
    <t>Установка прибора коммерческого учета электрической энергии (мощности) на границе земельного участка, подключенного от опоры №59-39 ВЛ-0,4кВ №1 КТП-10/0,4 кВ №59 ВЛ-10кВ №613 ПС 35/10 кВ А-6 для технологического присоединения энергопринимающих устройств объекта жилого дома Заявителя Слабогуз Л.Г., с. Маргаритово, Азовский район, Ростовская область, к.н. 61:01:0100101:559 (1 шт.)</t>
  </si>
  <si>
    <t>Установка прибора коммерческого учета электрической энергии (мощности) на границе земельного участка, подключенного от опоры №3-46 ВЛ-0,4кВ №2 КТП-10/0,4 кВ №3 ВЛ-10кВ №2903 РП-29 ПС 35/10 кВ А-18 для технологического присоединения энергопринимающих устройств объекта жилого дома Заявителя Орловой А.С., х. Обуховка, Азовский район, Ростовская область, к.н. 61:01:0030801:2830 (1 шт.)</t>
  </si>
  <si>
    <t>Установка прибора коммерческого учета электрической энергии (мощности) на границе земельного участка, подключенного от опоры №45-9 ВЛ-0,4кВ №1 КТП-10/0,4 кВ №45 ВЛ-10кВ №803 ПС 35/10 кВ А-8 для технологического присоединения энергопринимающих устройств объекта жилого дома дома Заявителя Червяткина С.В., с. Семибалки, Азовский район, Ростовская область, к.н. 61:01:0180101:5060 (1 шт.)</t>
  </si>
  <si>
    <t>Установка прибора коммерческого учета электрической энергии (мощности) на границе земельного участка, подключенного от опоры №7-55 ВЛ-0,4кВ №3 КТП-10/0,4 кВ №7 ВЛ-10кВ №3125 ПС 110/35/10 кВ А-31 для технологического присоединения энергопринимающих устройств объекта жилой застройки дома Заявителя Ленникова П.С., Азовский район, Ростовская область, к.н. 61:01:0140101:9031 (1 шт.)</t>
  </si>
  <si>
    <t>Установка прибора коммерческого учета электрической энергии (мощности) на границе земельного участка, подключенного от опоры №67-21 ВЛ-0,4кВ №1 КТП-10/0,4 кВ №67 ВЛ-10кВ №307Н ПС 110/35/6/10 кВ НС-3 для технологического присоединения энергопринимающих устройств объекта жилого дома дома Заявителя Ивановой В.В., с. Васильево-Петровское, Азовский район, Ростовская область, к.н. 61:01:0040301:280 (1 шт.)</t>
  </si>
  <si>
    <t>Установка прибора коммерческого учета электрической энергии (мощности) на границе земельного участка, подключенного от опоры №57-10 ВЛ-0,4кВ №1 КТП-10/0,4 кВ №57 ВЛ-10кВ №3127 ПС 110/35/10 кВ А-31 для технологического присоединения энергопринимающих устройств объекта жилого дома Заявителя Винниковой И.А., х. Береговой, Азовский район, Ростовская область, к.н. 61-61-03/045/2005-228 (1 шт.)</t>
  </si>
  <si>
    <t>Установка прибора коммерческого учета электрической энергии (мощности) на границе земельного участка, подключенного от опоры №166-26 ВЛ-0,4кВ №2 КТП-10/0,4 кВ №166 ВЛ-10кВ №1701 ПС 35/10 кВ А-17 для технологического присоединения энергопринимающих устройств объекта жилого дома Заявителя Горчаковской А.Н., с. Круглое, Азовский район, Ростовская область, к.н. 61:01:0070101:8118 (1 шт.)</t>
  </si>
  <si>
    <t>Установка прибора коммерческого учета электрической энергии (мощности) на границе земельного участка, подключенного от опоры №100-148 ВЛ-0,4кВ №3 КТП-10/0,4 кВ №100 ВЛ-10кВ №2412 ПС 35/10 кВ А-24 для технологического присоединения энергопринимающих устройств объекта жилого дома Заявителя Анохина И.В., х. Лагутник, Азовский район, Ростовская область, к.н. 61:01:0160201:39 (1 шт.)</t>
  </si>
  <si>
    <t>Установка прибора коммерческого учета электрической энергии (мощности) на границе земельного участка, подключенного от опоры №111-91 ВЛ-0,4кВ №3 КТП-10/0,4 кВ №111 ВЛ-10кВ №3113 ПС 110/35/10 кВ А-31 для технологического присоединения энергопринимающих устройств объекта жилого дома Заявителя Казарян Т.А., с. Пешково, Азовский район, Ростовская область, к.н. 61:01:0140101:9229 (1 шт.)</t>
  </si>
  <si>
    <t>Установка прибора коммерческого учета электрической энергии (мощности) на границе земельного участка, подключенного от опоры №187-35 ВЛ-0,4кВ №4 КТП-10/0,4 кВ №187 ВЛ-10кВ №106Н ПС 110/6/10 кВ НС-1 для технологического присоединения энергопринимающих устройств объекта жилого дома Заявителя Чернышовой Ю.Б., ДНТ «Кулешовка», Азовский район, Ростовская область, к.н. 61:01:0600006:1603 (1 шт.)</t>
  </si>
  <si>
    <t>Установка прибора коммерческого учета электрической энергии (мощности) на границе земельного участка, подключенного от опоры №77-33 ВЛ-0,4кВ №2 КТП-10/0,4 кВ №77 ВЛ-10кВ №1613 ПС 35/10 кВ А-16 для технологического присоединения энергопринимающих устройств объекта жилого дома Заявителя Мартиросян А.В., х. Гусарева Балка, Азовский район, Ростовская область, к.н. 61:01:0050101:1169 (1 шт.)</t>
  </si>
  <si>
    <t>Установка прибора коммерческого учета электрической энергии (мощности) на границе земельного участка, подключенного от опоры №175-5 ВЛ-0,4кВ №1 КТП-10/0,4 кВ №175 ВЛ-10кВ №3105 ПС 110/35/10 кВ А-31 для технологического присоединения энергопринимающих устройств объекта жилого дома Заявителя Железняковой С.В., с. Займо-Обрыв, Азовский район, Ростовская область, к.н. 61:01:0140401:2990 (1 шт.)</t>
  </si>
  <si>
    <t>Установка прибора коммерческого учета электрической энергии (мощности) на границе земельного участка, подключенного от опоры №329-40 ВЛ-0,4кВ №3 КТП-10/0,4 кВ №329 ВЛ-10кВ №106Н ПС 110/6/10 кВ НС-1 для технологического присоединения энергопринимающих устройств объекта жилого дома Заявителя Погосян Ш.В., ДНТ «Виктория», Азовский район, Ростовская область, к.н. 61:01:0600006:6059 (1 шт.)</t>
  </si>
  <si>
    <t>Установка прибора коммерческого учета электрической энергии (мощности) на границе земельного участка, подключенного от опоры №43-17 ВЛ-0,4кВ №1 КТП-10/0,4 кВ №43 ВЛ-10кВ №1802 ПС 35/10 кВ А-18 для технологического присоединения энергопринимающих устройств объекта жилого дома Заявителя Терехова В.В., х. Рогожкино, Азовский район, Ростовская область, к.н. 61:01:0160101:3311 (1 шт.)</t>
  </si>
  <si>
    <t>Установка прибора коммерческого учета электрической энергии (мощности) на границе земельного участка, подключенного от опоры №112-50 ВЛ-0,4кВ №1 КТП-10/0,4 кВ №112 ВЛ-10кВ №3113 ПС 110/35/10 кВ А-31 для технологического присоединения энергопринимающих устройств объекта жилого дома Заявителя Бочегаева В.А., с. Пешково, Азовский район, Ростовская область, к.н. 61:01:0140101:9257 (1 шт.)</t>
  </si>
  <si>
    <t>Установка прибора коммерческого учета электрической энергии (мощности) на границе земельного участка, подключенного от опоры №48-55 ВЛ-0,4кВ №2 КТП-10/0,4 кВ №48 ВЛ-10кВ №1815 ПС 35/10 кВ А-18 для технологического присоединения энергопринимающих устройств объекта жилого дома Заявителя Волова Д.В., рыболовецкий колхоз им.Ленина, Азовский район, Ростовская область, к.н. 61:01:0600002:2649 (1 шт.)</t>
  </si>
  <si>
    <t>Установка прибора коммерческого учета электрической энергии (мощности) на границе земельного участка, подключенного от опоры №181-22 ВЛ-0,4кВ №1 КТП-10/0,4 кВ №181 ВЛ-10кВ №3113 ПС 110/35/10 кВ А-31 для технологического присоединения энергопринимающих устройств объекта жилого дома Заявителя Сидоренко А.В., с. Пешково, Азовский район, Ростовская область, к.н. 61:01:0140101:2141 (1 шт.)</t>
  </si>
  <si>
    <t>Установка прибора коммерческого учета электрической энергии (мощности) на границе земельного участка, подключенного от опоры №21-27 ВЛ-0,4кВ №3 КТП-10/0,4 кВ №21 ВЛ-10кВ №1815 ПС 35/10 кВ А-18 для технологического присоединения энергопринимающих устройств объекта жилого дома Заявителя Маматковой В.Р., х. Городище, Азовский район, Ростовская область, к.н. 61:01:0030201:1101 (1 шт.)</t>
  </si>
  <si>
    <t>Установка прибора коммерческого учета электрической энергии (мощности) на границе земельного участка, подключенного от опоры №240-47 ВЛ-0,4кВ №2 КТП-10/0,4 кВ №240 ВЛ-10кВ №106Н ПС 110/6/10 кВ НС-1 для технологического присоединения энергопринимающих устройств объекта жилого дома Заявителя Петрова Ю.И., п. Овощной, Азовский район, Ростовская область, к.н. 61:01:0130101:846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</si>
  <si>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проектируемой ВЛ-0,4кВ, (по договору ТП № 61-1-22-00624381 от 20.01.2022г) КТП-10/0,4 кВ №48 ВЛ 10кВ №1815 ПС 35/10 кВ А-18 для технологического присоединения энергопринимающих устройств жилого дома Заявителя Головина О.В., Рыболовецкий колхоз им.Ленина,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</si>
  <si>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61:01:0600006:3226 (1 шт.)</t>
  </si>
  <si>
    <t xml:space="preserve">Установка прибора коммерческого учета электрической энергии (мощности) на границе земельного участка, подключенного от опоры №б/н ВЛ-0,4 кВ КТП 10/0,4 кВ №279 (балансовая принадлежность ИП Усачев В.И. (п.Беловодье) по ВЛ 10 кВ №1815 ПС 35/10 кВ А-18 для технологического присоединения энергопринимающих устройств жилого дома Заявителя Грязнова А.С., х.Обуховка, Азовский район, Ростовская область, к.н. 61:01:0600002:805 (1 шт.)
</t>
  </si>
  <si>
    <t>Установка прибора коммерческого учета электрической энергии (мощности) на границе земельного участка, подключенного от опоры №70-60 ВЛ-0,4кВ №2 КТП-10/0,4 кВ №70 ВЛ-10кВ №2608 ПС 110/10 кВ А-26 для технологического присоединения энергопринимающих устройств объекта жилого дома Заявителя Волкова А.А., с. Кулешовка, Азовский район, Ростовская область, к.н. 61:01:0090101:8803 (1 шт.)</t>
  </si>
  <si>
    <t>Установка прибора коммерческого учета электрической энергии (мощности) на границе земельного участка, подключенного от опоры №57-2 ВЛ-0,4кВ №1 КТП-10/0,4 кВ №57 ВЛ-10кВ №3127 ПС 110/35/10 кВ А-31 для технологического присоединения энергопринимающих устройств объекта жилого дома Заявителя Ли-Чун-Шан Д.А., х. Береговой, Азовский район, Ростовская область, к.н. 61:01:0140201:261 (1 шт.)</t>
  </si>
  <si>
    <t>Установка прибора коммерческого учета электрической энергии (мощности) на границе земельного участка, подключенного от опоры № 223-4 ВЛ-0,4 № 1 КТП-223 ВЛ-10  1106  ПС 35 кВ Е-11 для технологического присоединения энергопринимающих устройств нежилого помещения (склад). Заявителя Педаева А.В., Ростовская область Егорлыкский р-он 434 м. на север от северной окраины х.Изобильный, кадастровый номер земельного участка: 61:10:0600002:3122 (1 шт)</t>
  </si>
  <si>
    <t>Установка прибора коммерческого учета электрической энергии (мощности) на границе земельного участка, подключенного от опоры № 205-26 ВЛ-0,4 № 1 КТП-205 ВЛ-10  612  ПС 35 кВ Е-6 для технологического присоединения энергопринимающих устройств жилой дом Заявителя Арутюнян А.Т., Ростовская область Егорлыкский р-он х. Шаумяновский, ул. Южная,  д. 126а, кадастровый номер земельного участка: 61:10:0090101:2151 (1 шт)». код объекта</t>
  </si>
  <si>
    <t>Установка прибора коммерческого учета электрической энергии (мощности) на границе земельного участка, подключенного от опоры №67-18 ВЛ-0,4 №1 КТП-7 ВЛ-10 114 ПС 220 кВ Зерновая для технологического присоединения энергопринимающих устройств объекта малоэтажной жилой застройки Заявителя Васюкова К.Н., Ростовская область, Зерноградский р-н. г. Зерноград ул. им. Назарова д.47   к.н. 61:12:0040805:37 (1 шт.)</t>
  </si>
  <si>
    <t>Установка прибора коммерческого учета электрической энергии (мощности) на границе земельного участка, подключенного от опоры №141-54 ВЛ-0,4 №1 КТП-117 ВЛ-10 805 ПС 110 кВ БОС для технологического присоединения энергопринимающих устройств объекта малоэтажной жилой застройки Заявителя Гноевая О.А., Ростовская область, Кагальницкий, п. Мокрый Батай  ул.  Октябрьская д.2 к.н. 61:14:0060107:822 (1 шт.)</t>
  </si>
  <si>
    <t>Установка прибора коммерческого учета электрической энергии (мощности) на границе земельного участка, подключенного от опоры №67-18 ВЛ-0,4 №1 КТП-67 ВЛ-10 1210 ПС 110 кВ Манычская для технологического присоединения энергопринимающих устройств объекта малоэтажной жилой застройки Заявителя Коротаева Л.Н., Ростовская область, Зерноградский р-н. п. Сорговый ул. Шоссейная д.10   к.н. 61:12:0060305:408 (1 шт.)</t>
  </si>
  <si>
    <t>Установка прибора коммерческого учета электрической энергии (мощности) на границе земельного участка, подключенного от опоры №141-54 ВЛ-0,4 №1 КТП-117 ВЛ-10 305 ПС 35 кВ КГ3 для технологического присоединения энергопринимающих устройств объекта малоэтажной жилой застройки Заявителя Оганьян Г.А., Ростовская область, Кагальницкий, ст. Кировская ул. Кривошлыкова д.76 А к.н. 61:14:0050150:708 (1 шт.)</t>
  </si>
  <si>
    <t>Установка прибора коммерческого учета электрической энергии (мощности) на границе земельного участка, подключенного от опоры №28-266 ВЛ-0,4 №1 ЗТП-28 ВЛ-10 313 ПС 35 кВ КГ3 для технологического присоединения энергопринимающих устройств малоэтажной жилой застройки Заявителя Шульженко А.В., Ростовская обл., Кагальницкий р-н, ст. Кировская, ул. Космонавтов д.30А к.н.61:14:0050126:518 (1 шт.)</t>
  </si>
  <si>
    <t>Установка прибора коммерческого учета электрической энергии (мощности) на границе земельного участка, подключенного от опоры  №79-12 ВЛ-0,4  №1  КТП-79 ВЛ-10 1501 ПС 110 кВ ЗР15 для технологического присоединения энергопринимающих устройств малоэтажной жилой застройки Заявителя Агабабовой Л.Н, Ростовская область, Зерноградский р-н, х. Каменный, ул. Мичурина д.88 к.н. 61:12:050201:0114</t>
  </si>
  <si>
    <t xml:space="preserve">Установка прибора коммерческого учета электрической энергии (мощности) на границе земельного участка, подключенного от опоры №223-96 ВЛ-0,4кВ №4 КТП-10/0,4 кВ №223 ВЛ-10кВ №901 ПС 35/10 кВ А-9 для технологического присоединения энергопринимающих устройств жилого дома Заявителя Соболева А.Б., с.Высочино, Азовский район, Ростовская область, к.н. 61:01:0110201:71(1 шт.)
</t>
  </si>
  <si>
    <t>Установка прибора коммерческого учета электрической энергии (мощности) на границе земельного участка, подключенного от опоры №б/н ВЛ-0,4кВ КТП-10/0,4 кВ №37 (балансовая принадлежность Администрация Елизаветинского сельского поселения) ВЛ-10кВ №1802 ПС 35/10 кВ А-18 для технологического присоединения энергопринимающих устройств жилого дома Заявителя Тимофеевой Л.Л., х. Дугино, Азовский район, Ростовская область, к.н. 61:01:0030301:607(1 шт.)</t>
  </si>
  <si>
    <t xml:space="preserve">Установка прибора коммерческого учета электрической энергии (мощности) на границе земельного участка, подключенного от опоры №223-57 ВЛ-0,4кВ № 3 КТП-10/0,4 кВ №223 ВЛ-10кВ №901 ПС 35/10 кВ А-9 для технологического присоединения энергопринимающих устройств жилого дома Заявителя Давыдова В.И., с. Высочино, Азовский район, Ростовская область, к.н. 61:01:0110201:2387(1 шт.) </t>
  </si>
  <si>
    <t xml:space="preserve">Установка прибора коммерческого учета электрической энергии (мощности) на границе земельного участка, подключенного от опоры №б/н ВЛ-0,4кВ КТП-10/0,4 кВ №35 (балансовая принадлежность Администрация Елизаветинского сельского поселения)  ВЛ-10кВ №1814 ПС 35/10 кВ А-18 для технологического присоединения энергопринимающих устройств жилого дома Заявителя Саинчук М.В., х. Обуховка, Азовский район, Ростовская область, к.н. 61:01:0030801:1107(1 шт.)  </t>
  </si>
  <si>
    <t xml:space="preserve"> Установка прибора коммерческого учета электрической энергии (мощности) на границе земельного участка, подключенного от опоры №24-17 ВЛ-0,4кВ №1 ЗТП-10/0,4 кВ №24 КВЛ-10кВ №1211 ПС 35/10 кВ А-2 для технологического присоединения энергопринимающих устройств объекта жилого дома Заявителя Сергунина С.А., с. Кулешовка, Азовский район, Ростовская область, к.н. 61:01:0090101:2552 (1 шт.)  </t>
  </si>
  <si>
    <t xml:space="preserve">Установка прибора коммерческого учета электрической энергии (мощности) на границе земельного участка, подключенного от опоры №21-30 ВЛ-0,4кВ №3 КТП-10/0,4 кВ №21 ВЛ-10кВ №1815 ПС 35/10 кВ А-18 для технологического присоединения энергопринимающих устройств объекта жилого дома Заявителя Кулиевой Н.А., х. Городище, Азовский район, Ростовская область, к.н. 61:01:0030201:331 (1 шт.)  </t>
  </si>
  <si>
    <t>Установка прибора коммерческого учета электрической энергии (мощности) на границе земельного участка, подключенного от опоры №217-43 ВЛ 0,4 кВ №2 КТП 10/0,4кВ №217 ВЛ 10кВ №1107 ПС 35/10 кВ А-11 для технологического присоединения энергопринимающих устройств объекта жилого дома Заявителя Нужного Е.В., с. Кагальник, Азовский район, Ростовская область, к.н. 61:01:0060101:12812 (1 шт.)</t>
  </si>
  <si>
    <t>Установка прибора коммерческого учета электрической энергии (мощности) на границе земельного участка, подключенного от опоры №б/н ВЛ-0,4кВ КТП-10/0,4 кВ №203 (на балансе СТ «Ягодка») ВЛ-10кВ №2608 ПС 110/10 кВ А-26 для технологического присоединения энергопринимающих устройств объекта жилого дома Заявителя Лысенко Л.И., Азовский район, Ростовская область, к.н. 61:01:0501301:276 (1 шт.)</t>
  </si>
  <si>
    <t xml:space="preserve">Установка прибора коммерческого учета электрической энергии (мощности) на границе земельного участка, подключенного от опоры №48-60 ВЛ-0,4кВ №3 КТП-10/0,4 кВ №48 ВЛ-10кВ №1107 ПС 35/10 кВ А-11 для технологического присоединения энергопринимающих устройств объекта жилого дома Заявителя Громакова С.В., с. Кагальник, Азовский район, Ростовская область, к.н. 61:01:0060101:12177 (1 шт.) </t>
  </si>
  <si>
    <t xml:space="preserve">Установка прибора коммерческого учета электрической энергии (мощности) на границе земельного участка, подключенного от опоры №311-19 ВЛ-0,4кВ №3 КТП-10/0,4 кВ №311 ВЛ-10кВ №106Н ПС 110/6/10 кВ НС-1 для технологического присоединения энергопринимающих устройств объекта жилого дома Заявителя Саакян К.Г., Азовский район, Ростовская область, к.н. 61:01:0600006:5016 (1 шт.)  </t>
  </si>
  <si>
    <t xml:space="preserve">Установка прибора коммерческого учета электрической энергии (мощности) на границе земельного участка, подключенного от опоры №226-78 ВЛ-0,4кВ №3 КТП-10/0,4 кВ №226 ВЛ-10кВ №2608 ПС 110/10 кВ А-26 для технологического присоединения энергопринимающих устройств объекта жилого дома Заявителя Загировой С.Ю., ДНТ «Ягодка-2», Азовский район, Ростовская область, к.н. 61:01:0502401:399 (1 шт.)  </t>
  </si>
  <si>
    <t>Установка прибора коммерческого учета электрической энергии (мощности) на границе земельного участка, подключенного от опоры №27-76 ВЛ-0,4кВ №3 КТП-10/0,4 кВ №27 ВЛ-10кВ №1815 ПС 35/10 кВ А-18 для технологического присоединения энергопринимающих устройств объекта сельскохозяйственного производства Заявителя ИП Пескового Ю.Ю., х. Городище, Азовский район, Ростовская область, к.н. 61:01:0030201:214 (1 шт.)</t>
  </si>
  <si>
    <t xml:space="preserve">Установка прибора коммерческого учета электрической энергии (мощности) на границе земельного участка, подключенного от опоры №169-71 ВЛ-0,4кВ №2 КТП-10/0,4 кВ №169 ВЛ-10кВ №3127 ПС 110/35/10 кВ А-31 для технологического присоединения энергопринимающих устройств объекта жилого дома Заявителя Басенко А.С., х. Береговой, Азовский район, Ростовская область, к.н. 61:01:0140201:1332 (1 шт.)  </t>
  </si>
  <si>
    <t xml:space="preserve">Установка прибора коммерческого учета электрической энергии (мощности) на границе земельного участка, подключенного от опоры №119-92 ВЛ-0,4кВ №2 КТП-10/0,4 кВ №119 ВЛ-10кВ №1101 ПС 35/10 кВ А-11 для технологического присоединения энергопринимающих устройств объекта жилого дома Заявителя Багаева Р.Р., с. Кагальник, Азовский район, Ростовская область, к.н. 61:01:0060101:12680 (1 шт.) </t>
  </si>
  <si>
    <t>Установка прибора коммерческого учета электрической энергии (мощности) на границе земельного участка, подключенного от опоры №239-113 ВЛ-0,4кВ №5 КТП-10/0,4 кВ №239 ВЛ-10кВ №106Н ПС 110/6/10 кВ НС-1 для технологического присоединения энергопринимающих устройств объекта жилого дома Заявителя Спектор М.В., п. Овощной, Азовский район, Ростовская область, к.н. 61:01:0130101:3388 (1 шт.)</t>
  </si>
  <si>
    <t xml:space="preserve">Установка прибора коммерческого учета электрической энергии (мощности) на границе земельного участка, подключенного от опоры №239-137 ВЛ-0,4кВ №5 КТП-10/0,4 кВ №239 ВЛ-10кВ №106Н ПС 110/6/10 кВ НС-1 для технологического присоединения энергопринимающих устройств объекта жилого дома Заявителя Зубенко А.В., п. Овощной, Азовский район, Ростовская область, к.н. 61:01:0130101:717 (1 шт.) </t>
  </si>
  <si>
    <t xml:space="preserve">Установка прибора коммерческого учета электрической энергии (мощности) на границе земельного участка, подключенного от опоры №48-55 ВЛ-0,4кВ №2 КТП-10/0,4 кВ №48 ВЛ-10кВ №1815 ПС 35/10 кВ А-18 для технологического присоединения энергопринимающих устройств объекта жилого дома Заявителя Банько В.А., Азовский район, Ростовская область, к.н. 61:01:0600002 (1 шт.) </t>
  </si>
  <si>
    <t xml:space="preserve">Установка прибора коммерческого учета электрической энергии (мощности) на границе земельного участка, подключенного от опоры №17-68 ВЛ-0,4кВ №2 КТП-10/0,4 кВ №17 ВЛ-10кВ №107Н ПС 110/6/10 кВ НС-1 для технологического присоединения энергопринимающих устройств объекта жилого дома Заявителя Калачева А.А., п. Овощной, Азовский район, Ростовская область, к.н. 61:01:0130101:5233 (1 шт.) </t>
  </si>
  <si>
    <t xml:space="preserve">Установка прибора коммерческого учета электрической энергии (мощности) на границе земельного участка, подключенного от опоры №323-17 ВЛ-0,4кВ №1 МТП-10/0,4 кВ №323 ВЛ-10кВ №202Н ПС 110/6/10 кВ НС-2 для технологического присоединения энергопринимающих устройств объекта жилого дома Заявителя Бадировой Н.А., с. Кулешовка, Азовский район, Ростовская область, к.н. 61:01:0600006:8080 (1 шт.)  </t>
  </si>
  <si>
    <t xml:space="preserve">Установка прибора коммерческого учета электрической энергии (мощности) на границе земельного участка, подключенного от опоры №35-12 ВЛ-0,4кВ №1 КТП-10/0,4 кВ №35 ВЛ-10кВ №1904 РП-19 ПС 110/35/10 кВ Самарская для технологического присоединения энергопринимающих устройств объекта жилого дома Заявителя Тамоян М.А., с. Новотроицкое, Азовский район, Ростовская область, к.н. 61:01:0040801:1742 (1 шт.) </t>
  </si>
  <si>
    <t xml:space="preserve">Установка прибора коммерческого учета электрической энергии (мощности) на границе земельного участка, подключенного от опоры №352-32/31 ВЛ-0,4кВ №2 КТП-10/0,4 кВ №352 ВЛ-10кВ №207Н ПС 110/6/10 кВ НС-2 для технологического присоединения энергопринимающих устройств объекта хозяйственной постройки Заявителя Золотарева Т.И., СТ «Квант», Азовский район, Ростовская область, к.н. 61:01:0502901:1183 (1 шт.) </t>
  </si>
  <si>
    <t xml:space="preserve">Установка прибора коммерческого учета электрической энергии (мощности) на границе земельного участка, подключенного от опоры №72-4 ВЛ-0,4кВ №1 КТП-10/0,4 кВ №72 ВЛ-10кВ №3127 ПС 110/35/10 кВ А-31 для технологического присоединения энергопринимающих устройств объекта жилого дома Заявителя Назарько А.И., Азовский район, Ростовская область, к.н. 61:01:0140401:3378 (1 шт.)  </t>
  </si>
  <si>
    <t xml:space="preserve">Установка прибора коммерческого учета электрической энергии (мощности) на границе земельного участка, подключенного от опоры №104-28 ВЛ-0,4кВ №2 КТП-10/0,4 кВ №104 (бесхозные) ВЛ-10кВ №601 ПС 35/10 кВ А-6 для технологического присоединения энергопринимающих устройств объекта жилого дома Заявителя Бирюкова Р.Г., х. Чумбур-Коса, Азовский район, Ростовская область, к.н. 61:01:0100501:309 (1 шт.) </t>
  </si>
  <si>
    <t>Установка прибора коммерческого учета электрической энергии (мощности) на границе земельного участка, подключенного от опоры №б/н  ВЛ-0,4кВ КТП-10/0,4 кВ №336 (балансовая принадлежность Котиева Т.М.) ВЛ-10кВ №211 ПС 35/10 кВ А-2 для технологического присоединения энергопринимающих устройств объекта жилого дома Заявителя Вербицкой А.С., х. Новоалександровка, Азовский район, Ростовская область, к.н. 61:01:0600005:2913 (1 шт.)</t>
  </si>
  <si>
    <t xml:space="preserve">Установка прибора коммерческого учета электрической энергии (мощности) на границе земельного участка, подключенного от опоры №99-26 ВЛ-0,4кВ №1 КТП-10/0,4 кВ №99 ВЛ-10кВ №106Н ПС 110/6/10 кВ НС-1 для технологического присоединения энергопринимающих устройств объекта жилого дома Заявителя Нос А.Н., п. Овощной, Азовский район, Ростовская область, к.н. 61:01:0130101:5319 (1 шт.) </t>
  </si>
  <si>
    <t xml:space="preserve">Установка прибора коммерческого учета электрической энергии (мощности) на границе земельного участка, подключенного от опоры №56-16 ВЛ-0,4кВ №2 КТП-10/0,4 кВ №56 ВЛ-10кВ №2907 РП-29 ПС 35/10 кВ А-18 для технологического присоединения энергопринимающих устройств объекта жилого дома Заявителя Исправниковой М.С., х. Обуховка, Азовский район, Ростовская область, к.н. 61:01:0030801:1167 (1 шт.) </t>
  </si>
  <si>
    <t xml:space="preserve">Установка прибора коммерческого учета электрической энергии (мощности) на границе земельного участка, подключенного от опоры №185-33 ВЛ-0,4кВ №2 КТП-10/0,4 кВ №185 ВЛ-10кВ №3125 ПС 110/35/10 кВ А-31 для технологического присоединения энергопринимающих устройств объекта жилого дома Заявителя Шевченко В.С., с. Пешково, Азовский район, Ростовская область, к.н. 61:01:0140101:9100 (1 шт.) </t>
  </si>
  <si>
    <t xml:space="preserve">Установка прибора коммерческого учета электрической энергии (мощности) на границе земельного участка, подключенного от опоры №160-32 ВЛ-0,4кВ №1 КТП-10/0,4 кВ №160 ВЛ-10кВ №1702 ПС 35/10 кВ А-17 для технологического присоединения энергопринимающих устройств объекта жилого дома Заявителя Митько Н.А., с. Стефанидинодар, Азовский район, Ростовская область, к.н. 61:01:0070201:918 (1 шт.) </t>
  </si>
  <si>
    <t xml:space="preserve">Установка прибора коммерческого учета электрической энергии (мощности) на границе земельного участка, подключенного от опоры №3-70 ВЛ-0,4кВ №3 КТП-10/0,4 кВ №3 ВЛ-10кВ №2903 РП-29 ПС 35/10 кВ А-18 для технологического присоединения энергопринимающих устройств объекта жилого дома Заявителя Шевченко С.В., х. Обуховка, Азовский район, Ростовская область, к.н. 61:01:0030801:168 (1 шт.)  </t>
  </si>
  <si>
    <t xml:space="preserve">Установка прибора коммерческого учета электрической энергии (мощности) на границе земельного участка, подключенного от опоры №71-50 ВЛ-0,4кВ №2 КТП-10/0,4 кВ №71 ВЛ-10кВ №105Н ПС 110/6/10 кВ НС-1 для технологического присоединения энергопринимающих устройств объекта жилого дома Заявителя Пузыренко В.Н., х. Усть-Койсуг, Азовский район, Ростовская область, к.н. 61:01:0030901:772 (1 шт.) </t>
  </si>
  <si>
    <t>Установка прибора коммерческого учета электрической энергии (мощности) на границе земельного участка, подключенного от опоры №135-153 ВЛ-0,4 №1 КТП-135 ВЛ-10 805 ПС 110 кВ БОС для технологического присоединения энергопринимающих устройств объекта малоэтажной жилой застройки Заявителя Андреева В.Н., Ростовская область, Кагальницкий, п. Мокрый Батай ул. Школьная  д.40 к.н. 61:14:0060107:696 (1 шт.)</t>
  </si>
  <si>
    <t>Установка прибора коммерческого учета электрической энергии (мощности) на границе земельного участка, подключенного от оп. №85-6 ВЛ-0,4 №1 КТП-85 ВЛ-10 122 от ПС 220 кВ Зерновая для технологического присоединения энергопринимающих устройств объекта малоэтажной жилой застройки Заявителя  Епихин А.В., Ростовская обл., р-н Зерноградский, п. Дубки, ул. Возного д.8А к.н. 61:12:0050601:651 (1 шт.)</t>
  </si>
  <si>
    <t>Установка прибора коммерческого учета электрической энергии (мощности) на границе земельного участка, подключенного от оп. №130-42 ВЛ-0,4 №1 КТП-130 ВЛ-10 1608 от ПС 35 кВ ЗР16 для технологического присоединения энергопринимающих устройств объекта малоэтажной жилой застройки Заявителя Зокировой Л.С., Ростовская обл., р-н Зерноградский, х. 1-й Россошинский, ул. Степная д.75-А к.н. 61:12:0030310:265</t>
  </si>
  <si>
    <t>Установка прибора коммерческого учета электрической энергии (мощности) на границе земельного участка, подключенного от опоры №16-60 ВЛ-0,4 №3 КТП-16 ВЛ-10 605 ПС 35 кВ КГ6 для технологического присоединения энергопринимающих устройств объекта малоэтажной жилой застройки Заявителя Литвиненко О.С., Ростовская область, Кагальницкий р-н. с Новобатайск , пер. Ткачевский д.18а    к.н. 61:14:00401545:128 (1 шт.)</t>
  </si>
  <si>
    <t>Установка прибора коммерческого учета электрической энергии (мощности) на границе земельного участка, подключенного от оп. №89-5 ВЛ-0,4 №2 КТП-89 ВЛ-10 1207 от ПС 110 кВ Манычская для технологического присоединения энергопринимающих устройств объекта малоэтажной жилой застройки Заявителя Прилёпа Е.А., Ростовская обл., р-н Зерноградский, п. Сорговый, ул. Заполосная д.11 к.н. 61:12:0060306:106 (1 шт.)</t>
  </si>
  <si>
    <t>Установка прибора коммерческого учета электрической энергии (мощности) на границе земельного участка, подключенного от оп. №9-35 ВЛ-0,4 №4 КТП-9 ВЛ-10 612 от ПС 35 кВ КГ6 для технологического присоединения энергопринимающих устройств объекта малоэтажной жилой застройки Заявителя Чичкова А.В., Ростовская обл., р-н Кагальницкий, с. Новобатайск, пер. Широкий д.27 к.н. 61:14:0040102:295 (1 шт.)</t>
  </si>
  <si>
    <t>Установка прибора коммерческого учета электрической энергии (мощности) на границе земельного участка, подключенного от оп. №84-58 ВЛ-0,4 №2 КТП-84 ВЛ-10 415 от ПС 35 кВ КГ4 для технологического присоединения энергопринимающих устройств объекта малоэтажной жилой застройки Заявителя Шахайловой Н.А., Ростовская обл., р-н Кагальницкий, х. Черниговский, пер. Донской д.6-А к.н. 61:14:0031201:11 (1 шт.)</t>
  </si>
  <si>
    <t>Установка прибора коммерческого учета электрической энергии (мощности) на границе земельного участка, подключенного от опоры №189-25 ВЛ-0,4кВ № 2 КТП-10/0,4 кВ №189 ВЛ-10кВ №1802 ПС 35/10 кВ А-18 для технологического присоединения энергопринимающих устройств объекта жилого дома Заявителя Грошева Ю.П., х. Донской, Азовский район, Ростовская область, к.н. 61:01:0060201:169(1 шт.)</t>
  </si>
  <si>
    <t>Установка прибора коммерческого учета электрической энергии (мощности) на границе земельного участка, подключенного от опоры №188-10 ВЛ-0,4кВ №1 КТП-10/0,4 кВ №188 ВЛ-10кВ №1802 ПС 35/10 кВ А-18 для технологического присоединения энергопринимающих устройств объекта жилого дома Заявителя Смородина Н.П., х. Донской, Азовский район, Ростовская область, к.н. 61:01:0060201:714 (1 шт.)</t>
  </si>
  <si>
    <t>Установка прибора коммерческого учета электрической энергии (мощности) на границе земельного участка, подключенного от опоры №40-15 ВЛ-0,4кВ №1 КТП-10/0,4 кВ №40 ВЛ-10кВ №1802 ПС 35/10 кВ А-18 для технологического присоединения энергопринимающих устройств объекта жилого дома Заявителя Камолиддинзода Мухаммадджамол, х. Рогожкино, Азовский район, Ростовская область, к.н. 61:01:0160101:1225 (1 шт.)</t>
  </si>
  <si>
    <t>Установка прибора коммерческого учета электрической энергии (мощности) на границе земельного участка, подключенного от опоры №б/н  ВЛ-0,4кВ (бесхозная) КТП-6/0,4 кВ №101 ВЛ-6кВ №10701 ПС 110/35/6 кВ А-1 для технологического присоединения энергопринимающих устройств объекта жилого дома Заявителя Недоводей М.Ю., г. Азов, Азовский район, Ростовская область, к.н. 61:45:0000450:126 (1 шт.)</t>
  </si>
  <si>
    <t>Установка прибора коммерческого учета электрической энергии(мощности)награницеземельногоучастка,подключенногоотопорыNo214-93ВЛ-0,4кВ No3 КТП-10/0,4 кВ No214 ВЛ-10кВ No910 ПС 35/10 кВ А-9 длятехнологического присоединения энергопринимающих устройств объектадачного домика Заявителя Джавахишвили Э.В., СНТ «Южное», Азовскийрайон,Ростовскаяобласть,к.н. 61:01:0000380:240 (1 шт.)</t>
  </si>
  <si>
    <t>Установка прибора коммерческого учета электрической энергии (мощности) на границе земельного участка, подключенного от опоры №55-20  ВЛ-0,4кВ №1 КТП-10/0,4 кВ №55 (балансовая принадлежность Азовкий ф-л ФГБУ «Управление «Ростовмелиоводхоз») ВЛ-10кВ №3113 ПС 35/10 кВ А-31 для технологического присоединения энергопринимающих устройств объекта жилого дома Заявителя Уварова Р.Г., с. Пешково, Азовский район, Ростовская область, к.н. 61:01:0140101:9151 (1 шт.)</t>
  </si>
  <si>
    <t>Установка прибора коммерческого учета электрической энергии (мощности) на границе земельного участка, подключенного от опоры №б/н  ВЛ-0,4кВ КТП-10/0,4 кВ №38 (балансовая принадлежноть Администрация Елизаветинского сельского поселения) ВЛ-10кВ №1802 ПС 35/10 кВ А-18 для технологического присоединения энергопринимающих устройств объекта жилого дома Заявителя Колесникова Н.Н., х. Дугино, Азовский район, Ростовская область, к.н. 61-61-03/020/2008-367 (1 шт.)</t>
  </si>
  <si>
    <t>Установка прибора коммерческого учета электрической энергии (мощности) на границе земельного участка, подключенного от опоры №34-10 ВЛ-0,4кВ №1 КТП-10/0,4 кВ №10 ВЛ-10кВ №2907 РП-29 ПС 35/10 кВ А-18 для технологического присоединения энергопринимающих устройств объекта жилого дома Заявителя Ксенжонок Н.В., х. Коса, Азовский район, Ростовская область, к.н. 61:01:0030601:6350 (1 шт.)</t>
  </si>
  <si>
    <t>Установка прибора коммерческого учета электрической энергии (мощности) на границе земельного участка, подключенного от опоры №127-30 ВЛ-0,4кВ №1 КТП-10/0,4 кВ №127 ВЛ-10кВ №1310 ПС 35/10 кВ А-13 для технологического присоединения энергопринимающих устройств объекта православного прихода храма Успения Пресвятой богородицы с. Елизаветовка Азовского района Ростовской области Заявителя Местная религиозная организация Православный приход храма Успения Пресвятой богородицы с. Елизаветовка Азовского района Ростовской области Религиозной организации «Ростовская-на-Дону Епархия Русской Православной церкви (Московский патриархат), с. Елизаветовка, Азовский район, Ростовская область, к.н. 61:01:0020101:2011 (1 шт.)</t>
  </si>
  <si>
    <t>Установка прибора коммерческого учета электрической энергии (мощности) на границе земельного участка, подключенного от опоры №99-34 ВЛ-0,4кВ №4 КТП-10/0,4 кВ №99 ВЛ-10кВ №106Н ПС 110/6/10 кВ НС-1 для технологического присоединения энергопринимающих устройств объекта жилого дома Заявителя Нос А.Н., п. Овощной, Азовский район, Ростовская область, к.н. 61:01:0130101:5318 (1 шт.)</t>
  </si>
  <si>
    <t>Установка прибора коммерческого учета электрической энергии (мощности) на границе земельного участка, подключенного от опоры №99-34 ВЛ-0,4кВ №4 КТП-10/0,4 кВ №99 ВЛ-10кВ №106Н ПС 110/6/10 кВ НС-1 для технологического присоединения энергопринимающих устройств объекта жилого дома Заявителя Нос А.Н., п. Овощной, Азовский район, Ростовская область, к.н. 61:01:0130101:5317 (1 шт.)</t>
  </si>
  <si>
    <t>Установка прибора коммерческого учета электрической энергии (мощности) на границе земельного участка, подключенного от опоры №99-34 ВЛ-0,4кВ №4 КТП-10/0,4 кВ №99 ВЛ-10кВ №106Н ПС 110/6/10 кВ НС-1 для технологического присоединения энергопринимающих устройств объекта жилого дома Заявителя Нос А.Н., п. Овощной, Азовский район, Ростовская область, к.н. 61:01:0130101:5316 (1 шт.)</t>
  </si>
  <si>
    <t>Установка прибора коммерческого учета электрической энергии (мощности) на границе земельного участка, подключенного от опоры №381-65 ВЛ-0,4кВ №1 КТП-10/0,4 кВ №381 ВЛ-10кВ №106Н ПС 110/6/10 кВ НС-1 для технологического присоединения энергопринимающих устройств объекта жилого дома Заявителя Нерсисян С.А., ДНТ «Кулешовка», Азовский район, Ростовская область, к.н. 61:01:0600006:1257 (1 шт.)</t>
  </si>
  <si>
    <t>Установка прибора коммерческого учета электрической энергии (мощности) на границе земельного участка, подключенного от опоры №134-43 ВЛ-0,4кВ №2 КТП-10/0,4 кВ №134 ВЛ-10кВ №1101 ПС 35/10 кВ А-11 для технологического присоединения энергопринимающих устройств объекта жилого дома Заявителя Варнакова А.Д., с. Кагальник, Азовский район, Ростовская область, к.н. 61:01:0060101:4223 (1 шт.)</t>
  </si>
  <si>
    <t>Установка прибора коммерческого учета электрической энергии (мощности) на границе земельного участка, подключенного от опоры №185-52 ВЛ-0,4кВ №2 КТП-10/0,4 кВ №185 ВЛ-10кВ №3125 ПС 110/35/10 кВ А-31 для технологического присоединения энергопринимающих устройств объекта жилого дома Заявителя Ткаченко С.М., с. Пешково, Азовский район, Ростовская область, к.н. 61:01:0140101:6891 (1 шт.)</t>
  </si>
  <si>
    <t>Установка прибора коммерческого учета электрической энергии (мощности) на границе земельного участка, подключенного от опоры №228-6 ВЛ-0,4кВ №1 КТП-10/0,4 кВ №228 ВЛ-10кВ №106Н ПС 110/6/10 кВ НС-1 для технологического присоединения энергопринимающих устройств объекта жилого дома Заявителя Чобанян М.А., п. Овощной, Азовский район, Ростовская область, к.н. 61:01:0130101:5195 (1 шт.)</t>
  </si>
  <si>
    <t>Установка прибора коммерческого учета электрической энергии (мощности) на границе земельного участка, подключенного от опоры №97-30 ВЛ-0,4кВ №2 КТП-10/0,4 кВ №97 ВЛ-10кВ №1101 ПС 35/10 кВ А-11 для технологического присоединения энергопринимающих устройств объекта жилого дома Заявителя Скопиной Н.А., с. Кагальник, Азовский район, Ростовская область, к.н. 61:01:0060101:12920 (1 шт.)</t>
  </si>
  <si>
    <t>Установка прибора коммерческого учета электрической энергии (мощности) на границе земельного участка, подключенного от опоры №105-61 ВЛ-0,4кВ №1 КТП-10/0,4 кВ №105 ВЛ-10кВ №2608 ПС 110/10 кВ А-26 для технологического присоединения энергопринимающих устройств объекта жилого дома Заявителя Алавердовой А.М., х. Новоалександровка, Азовский район, Ростовская область, к.н. 61:01:0600005:3679 (1 шт.)</t>
  </si>
  <si>
    <t>Установка прибора коммерческого учета электрической энергии (мощности) на границе земельного участка, подключенного от опоры №101-61 ВЛ-0,4кВ №2 КТП-10/0,4 кВ №101 ВЛ-10кВ №2412 РП-29 ПС 35/10 кВ А-24 для технологического присоединения энергопринимающих устройств объекта жилого дома Заявителя Бирюкова В.Ю., х. Полушкин, Азовский район, Ростовская область, к.н. 61:01:0160301:370 (1 шт.)</t>
  </si>
  <si>
    <t>Установка прибора коммерческого учета электрической энергии (мощности) на границе земельного участка, подключенного от опоры №89-1 ВЛ-0,4кВ №1 КТП-10/0,4 кВ №89 ВЛ-10кВ №1014 ПС 110/35/10 кВ Самарская для технологического присоединения энергопринимающих устройств объекта жилого дома Заявителя Турченко Н.М., х. Ельбузд, Азовский район, Ростовская область, к.н. 61:01:00041301:896 (1 шт.)</t>
  </si>
  <si>
    <t>Установка прибора коммерческого учета электрической энергии (мощности) на границе земельного участка, подключенного от опоры №112-11 ВЛ-0,4кВ №1 КТП-10/0,4 кВ №112 ВЛ-10кВ №3113 ПС 110/35/10 кВ А-31 для технологического присоединения энергопринимающих устройств объекта жилого дома Заявителя Чекулаева М.И., с. Пешково, Азовский район, Ростовская область, к.н. 61:01:0140101:8385 (1 шт.)</t>
  </si>
  <si>
    <t>Установка прибора коммерческого учета электрической энергии (мощности) на границе земельного участка, подключенного от опоры №245-87 ВЛ-0,4кВ №2 КТП-10/0,4 кВ №245 ВЛ-10кВ №2008 ПС 220/110/10 кВ А-20 для технологического присоединения энергопринимающих устройств объекта жилого дома Заявителя Тагановой Е.С., СТ «Искра», Азовский район, Ростовская область, к.н. 61:01:0501801:1576 (1 шт.)</t>
  </si>
  <si>
    <t>Установка прибора коммерческого учета электрической энергии (мощности) на границе земельного участка, подключенного от опоры №44-2 ВЛ-0,4кВ №1 КТП-10/0,4 кВ №44 ВЛ-10кВ №1107 ПС 35/10 кВ А-11 для технологического присоединения энергопринимающих устройств объекта жилого дома Заявителя Вершанской Л.И., с. Кагальник, Азовский район, Ростовская область, к.н. 61:01:0060101:12536 (1 шт.)</t>
  </si>
  <si>
    <t>Установка прибора коммерческого учета электрической энергии (мощности) на границе земельного участка, подключенного от опоры №86-53 ВЛ-0,4кВ №2 КТП-10/0,4 кВ №86 ВЛ-10кВ №1107 ПС 35/10 кВ А-11 для технологического присоединения энергопринимающих устройств объекта жилого дома Заявителя Гудкова П.П., х. Узяк, Азовский район, Ростовская область, к.н. 61:01:0060501:722 (1 шт.)</t>
  </si>
  <si>
    <t>Установка прибора коммерческого учета электрической энергии (мощности) на границе земельного участка, подключенного от опоры №161-41 ВЛ-0,4кВ №3 КТП-10/0,4 кВ №161 ВЛ-10кВ №1101 ПС 35/10 кВ А-11 для технологического присоединения энергопринимающих устройств объекта жилого дома Заявителя Гордиковой О.В., с Кагальник, Азовский район, Ростовская область, к.н. 61:01:0060101:3371 (1 шт.)</t>
  </si>
  <si>
    <t>Установка прибора коммерческого учета электрической энергии (мощности) на границе земельного участка, подключенного от опоры №100-87 ВЛ-0,4кВ №3 КТП-10/0,4 кВ №100 ВЛ-10кВ №2412 ПС 35/10 кВ А-24 для технологического присоединения энергопринимающих устройств объекта жилого вагончика Заявителя Зимарина Э.А., х. Лагутник, Азовский район, Ростовская область, к.н. 61:01:0160201:673 (1 шт.)</t>
  </si>
  <si>
    <t>Установка прибора коммерческого учета электрической энергии (мощности) на границе земельного участка, подключенного от опоры №196-34 ВЛ-0,4кВ №2 КТП-10/0,4 кВ №196 ВЛ-10кВ №3113 ПС 110/35/10 кВ А-31 для технологического присоединения энергопринимающих устройств объекта жилого дома Заявителя Бортикова А.Г., с. Головатовка, Азовский район, Ростовская область, к.н. 61:01:0140301:2129 (1 шт.)</t>
  </si>
  <si>
    <t>Установка прибора коммерческого учета электрической энергии (мощности) на границе земельного участка, подключенного от опоры №226-95 ВЛ-0,4кВ №3 КТП-10/0,4 кВ №226 ВЛ-10кВ №2608 ПС 110/10 кВ А-26 для технологического присоединения энергопринимающих устройств объекта жилого дома Заявителя Сарафановой О.Г., ДНТ «Ягодка», Азовский район, Ростовская область, к.н. 61:01:0502401:363 (1 шт.)</t>
  </si>
  <si>
    <t>Установка прибора коммерческого учета электрической энергии (мощности) на границе земельного участка, подключенного от опоры №236-23 ВЛ-0,4кВ №2 КТП-10/0,4 кВ №236 ВЛ-10кВ №2608 ПС 110/10 кВ А-26 для технологического присоединения энергопринимающих устройств объекта жилого дома Заявителя Омельченко Е.Г., с. Кулешовка, Азовский район, Ростовская область, к.н. 61:01:0090101:8244 (1 шт.)</t>
  </si>
  <si>
    <t>Установка прибора коммерческого учета электрической энергии (мощности) на границе земельного участка, подключенного от опоры №74-102 ВЛ-0,4кВ №3 КТП-10/0,4 кВ №74 ВЛ-10кВ №613 ПС 35/10 кВ А-6 для технологического присоединения энергопринимающих устройств объекта жилого дома Заявителя Федорова Д.А., с. Новомаргаритово, Азовский район, Ростовская область, к.н. 61:01:0100201:1701 (1 шт.)</t>
  </si>
  <si>
    <t>Установка прибора коммерческого учета электрической энергии (мощности) на границе земельного участка, подключенного от опоры №240-144 ВЛ-0,4кВ №3 КТП-10/0,4 кВ №240 ВЛ-10кВ №106Н ПС 110/6/10 кВ НС-1 для технологического присоединения энергопринимающих устройств объекта жилого дома Заявителя Карпун Ю.И., п. Овощной, Азовский район, Ростовская область, к.н. 61:01:0130101:5076 (1 шт.)</t>
  </si>
  <si>
    <t>Установка прибора коммерческого учета электрической энергии (мощности) на границе земельного участка, подключенного от опоры №51-84 ВЛ-0,4кВ №2 КТП-10/0,4 кВ №51 ВЛ-10кВ №211 ПС 35/10 кВ А-2 для технологического присоединения энергопринимающих устройств объекта жилого дома Заявителя Ишиной И.А., х. Новоалександровка, Азовский район, Ростовская область, к.н. 61:01:0110101:3537 (1 шт.)</t>
  </si>
  <si>
    <t>Установка прибора коммерческого учета электрической энергии (мощности) на границе земельного участка, подключенного от опоры №211-82 ВЛ-0,4кВ №4 КТП-10/0,4 кВ №211 ВЛ-10кВ №910 ПС 35/10 кВ А-9 для технологического присоединения энергопринимающих устройств объекта жилого дома Заявителя Абрамова М.В., ДНТ «Звездное», Азовский район, Ростовская область, к.н. 61:01:0000380:654 (1 шт.)</t>
  </si>
  <si>
    <t>Установка прибора коммерческого учета электрической энергии (мощности) на границе земельного участка, подключенного от опоры №240-153 ВЛ-0,4кВ №3 КТП-10/0,4 кВ №240 ВЛ-10кВ №106Н ПС 110/6/10 кВ НС-1 для технологического присоединения энергопринимающих устройств объекта жилого дома Заявителя Авдеева Ю.Н., п. Овощной, Азовский район, Ростовская область, к.н. 61:01:0130101:1246 (1 шт.)</t>
  </si>
  <si>
    <t>Установка прибора коммерческого учета электрической энергии (мощности) на границе земельного участка, подключенного от опоры №48-13 ВЛ-0,4кВ №1 КТП-10/0,4 кВ №48 ВЛ-10кВ №1815 ПС 35/10 кВ А-18 для технологического присоединения энергопринимающих устройств объекта жилого дома Заявителя Сангинова Р.А., Рыболовецкий колхоз им. Ленина, Азовский район, Ростовская область, к.н. 61:01:0600002:2474 (1 шт.)</t>
  </si>
  <si>
    <t>Установка прибора коммерческого учета электрической энергии (мощности) на границе земельного участка, подключенного от опоры №350-53/2 ВЛ-0,4кВ №2 КТП-6/0,4 кВ №350 ВЛ-6кВ №207Н ПС 110/6/10 кВ НС-2 для технологического присоединения энергопринимающих устройств объекта жилого дома Заявителя Шестакова Н.В., СТ «Квант», Азовский район, Ростовская область, к.н. 61:01:0502901:1108 (1 шт.)</t>
  </si>
  <si>
    <t>Установка прибора коммерческого учета электрической энергии (мощности) на границе земельного участка, подключенного от опоры №32-86 ВЛ-0,4кВ №3 КТП-10/0,4 кВ №32 ВЛ-10кВ №2907 РП-29 ПС 35/10 кВ А-18 для технологического присоединения энергопринимающих устройств объекта жилого дома Заявителя Игнатьева М.А., х. Коса, Азовский район, Ростовская область, к.н. 61:01:0030601:640 (1 шт.)</t>
  </si>
  <si>
    <t>Установка прибора коммерческого учета электрической энергии (мощности) на границе земельного участка, подключенного от опоры №44-97 ВЛ-0,4кВ №2 КТП-10/0,4 кВ №44 ВЛ-10кВ №803 ПС 35/10 кВ А-8 для технологического присоединения энергопринимающих устройств объекта жилого дома Заявителя Прокиной Ю.А., с. Семибалки, Азовский район, Ростовская область, к.н. 61:01:0180101:5046 (1 шт.)</t>
  </si>
  <si>
    <t>Установка прибора коммерческого учета электрической энергии (мощности) на границе земельного участка, подключенного от опоры №146-45 ВЛ-0,4кВ №2 КТП-10/0,4 кВ №146 ВЛ-10кВ №1701 ПС 35/10 кВ А-17 для технологического присоединения энергопринимающих устройств объекта жилого дома Заявителя Бонь А.Н., с. Круглое, Азовский район, Ростовская область, к.н. 61:01:0070101:2898 (1 шт.)</t>
  </si>
  <si>
    <t>Установка прибора коммерческого учета электрической энергии (мощности) на границе земельного участка, подключенного от оп. №124-9 ВЛ-0,4 №1 КТП-124 ВЛ-10 313 от ПС 35 кВ КГ3 для технологического присоединения энергопринимающих устройств объекта малоэтажной жилой застройки Заявителя Коноваловой А.В., Ростовская обл., Аксайский р-н, СТ «Садко» уч.3387 к.н. 61:12:0504701:833 (1 шт.)</t>
  </si>
  <si>
    <t>Установка прибора коммерческого учета электрической энергии (мощности) на границе земельного участка, подключенного от оп. №121-40 ВЛ-0,4 №1 КТП-121 ВЛ-10 313 от ПС 35 кВ КГ3 для технологического присоединения энергопринимающих устройств объекта малоэтажной жилой застройки Заявителя Корниенко О.А., Ростовская обл., Аксайский р-н, СТ «Садко» уч.788 к.н. 61:02:0504701:54 (1 шт.)</t>
  </si>
  <si>
    <t>Установка прибора коммерческого учета электрической энергии (мощности) на границе земельного участка, подключенного от оп. №130-15 ВЛ-0,4 №1 КТП-130 ВЛ-10 805 от ПС 110 кВ БОС для технологического присоединения энергопринимающих устройств объекта малоэтажной жилой застройки Заявителя Тохян Л.В., Ростовская обл., р-н Кагальницкий, п. Мокрый Батай, ул. Вишневая д.61 б  к.н. 61:14:0060104:981 (1 шт.)</t>
  </si>
  <si>
    <t>Установка прибора коммерческого учета электрической энергии (мощности) на границе земельного участка, подключенного от опоры №244-143 ВЛ-0,4кВ №1 КТП-10/0,4 кВ №244 ВЛ-10кВ №2008 ПС 220/110/10 кВ А-20 для технологического присоединения энергопринимающих устройств объекта дачного участка Заявителя Пушковой В.Ю., ДНТ «Донские Зори», Азовский район, Ростовская область, к.н. 61:01:0501901:777 (1 шт.)</t>
  </si>
  <si>
    <t>Установка прибора коммерческого учета электрической энергии (мощности) на границе земельного участка, подключенного от опоры №389-38 ВЛ-0,4кВ №1 КТП-10/0,4 кВ №389 ВЛ-10кВ №2008 ПС 220/110/10 кВ А-20 для технологического присоединения энергопринимающих устройств объекта дачного дома Заявителя Сафиуллиной А.Р., ДНТ «Донские зори», Азовский район, Ростовская область, к.н. 61:01:0501901:323 (1 шт.)</t>
  </si>
  <si>
    <t>Установка прибора коммерческого учета электрической энергии (мощности) на границе земельного участка, подключенного от опоры №115-7 ВЛ-0,4кВ №1 КТП-10/0,4 кВ №115 ВЛ-10кВ №3125 ПС 110/35/10 кВ А-31 для технологического присоединения энергопринимающих устройств объекта жилого дома Заявителя Кутир П.А., с. Пешково, Азовский район, Ростовская область, к.н. 61:01:0140101:9202 (1 шт.)</t>
  </si>
  <si>
    <t>Установка прибора коммерческого учета электрической энергии (мощности) на границе земельного участка, подключенного от опоры №10-94 ВЛ-0,4кВ №3 КТП-10/0,4 кВ №10 ВЛ-10кВ №3125 ПС 110/35/10 кВ А-31 для технологического присоединения энергопринимающих устройств объекта жилого дома Заявителя Вилькота А.В., с. Пешково, Азовский район, Ростовская область, к.н. 61:01:0140101:8719 (1 шт.)</t>
  </si>
  <si>
    <t>Установка прибора коммерческого учета электрической энергии (мощности) на границе земельного участка, подключенного от опоры №184-6 ВЛ 0,4 кВ №1 КТП 10/0,4кВ №184 ВЛ 10кВ №3113 ПС 110/35/10 кВ А-31 для технологического присоединения энергопринимающих устройств объекта жилого дома Заявителя Мелкозерова Д.А., с. Пешково, Азовский район, Ростовская область, к.н. 61:01:0140101:9265 (1 шт.)</t>
  </si>
  <si>
    <t>Установка прибора коммерческого учета электрической энергии (мощности) на границе земельного участка, подключенного от опоры №389-12 ВЛ 0,4 кВ №1 КТП 10/0,4кВ №389 ВЛ 10кВ №2008 ПС 220/110/10 кВ А-20 для технологического присоединения энергопринимающих устройств объекта жилого дома Заявителя Малая А.А., ДНТ «Донские Зори», Азовский район, Ростовская область, к.н. 61:01:0501901:71 (1 шт.)</t>
  </si>
  <si>
    <t>Установка прибора коммерческого учета электрической энергии (мощности) на границе земельного участка, подключенного от опоры №211-128 ВЛ 0,4 кВ №5 КТП 10/0,4кВ №211 ВЛ 10кВ №910 ПС 35/10 кВ А-9 для технологического присоединения энергопринимающих устройств объекта жилого дома Заявителя Бондарцевой О.Ю., СНТ «Южное», Азовский район, Ростовская область, к.н. 61:01:0502601:743 (1 шт.)</t>
  </si>
  <si>
    <t>Установка прибора коммерческого учета электрической энергии (мощности) на границе земельного участка, подключенного от опоры №136-42 ВЛ-0,4кВ №2 КТП-10/0,4 кВ №136 ВЛ-10кВ №3113 ПС 110/35/10 кВ А-31 для технологического присоединения энергопринимающих устройств объекта жилого дома Заявителя Калачева А.А., с. Пешково, Азовский район, Ростовская область, к.н. 61:01:0140101:7694 (1 шт.)</t>
  </si>
  <si>
    <t>Установка прибора коммерческого учета электрической энергии (мощности) на границе земельного участка, подключенного от опоры №184-38 ВЛ-0,4кВ №1 КТП-10/0,4 кВ №184 ВЛ-10кВ №3113 ПС 110/35/10 кВ А-31 для технологического присоединения энергопринимающих устройств объекта жилого дома Заявителя Носовой Н.В., с. Пешково, Азовский район, Ростовская область, к.н. 61:01:0140101:8449 (1 шт.)</t>
  </si>
  <si>
    <t>Установка прибора коммерческого учета электрической энергии (мощности) на границе земельного участка, подключенного от опоры б/н ВЛ-0,4 кВ КТП 10/0,4 кВ №336 (балансовая принадлежность ВЛ-0,4, КТП 10/0,4 кВ №336 Котиева Т.М.) ВЛ 10 кВ №211 ПС 35/10 кВ А-2 для технологического присоединения энергопринимающих устройств жилого дома Заявителя Тагировой З.Н., х. Новоалександровка, Азовский район, Ростовская область, к.н. 61:01:0600005:2999 (1 шт)</t>
  </si>
  <si>
    <t>Установка прибора коммерческого учета электрической энергии (мощности) на границе земельного участка, подключенного от опоры №265-10 ВЛ-0,4кВ №1 КТП-10/0,4 кВ №265 ВЛ-10кВ №2608 ПС 110/10 кВ А-26 для технологического присоединения энергопринимающих устройств объекта жилого дома Заявителя Никипорцева Р.А., с. Кулешовка, Азовский район, Ростовская область, к.н. 61:01:0090101:3193 (1 шт.)</t>
  </si>
  <si>
    <t>Установка прибора коммерческого учета электрической энергии (мощности) на границе земельного участка, подключенного от опоры №311-5/9 ВЛ-0,4кВ №2 КТП-10/0,4 кВ №311 ВЛ-10кВ №106Н ПС 110/6/10 кВ НС-1 для технологического присоединения энергопринимающих устройств объекта жилого дома Заявителя Валиева С.М., ТСН «СНТ Белгорос», Азовский район, Ростовская область, к.н. 61:01:0600006:4914 (1 шт.)</t>
  </si>
  <si>
    <t>Установка прибора коммерческого учета электрической энергии (мощности) на границе земельного участка, подключенного от опоры №17-23 ВЛ-0,4кВ №2 КТП-10/0,4 кВ №17 ВЛ-10кВ №107Н ПС 110/6/10 кВ НС-1 для технологического присоединения энергопринимающих устройств объекта жилого дома Заявителя Винокурова А.В., п. Овощной, Азовский район, Ростовская область, к.н. 61:01:0130101:1113 (1 шт.)</t>
  </si>
  <si>
    <t>Установка прибора коммерческого учета электрической энергии (мощности) на границе земельного участка, подключенного от опоры №105-41 ВЛ-0,4кВ №1 КТП-10/0,4 кВ №105 ВЛ-10кВ №2608 ПС 110/10 кВ А-26 для технологического присоединения энергопринимающих устройств объекта жилого дома Заявителя Василейко А.А., х. Новоалександровка, Азовский район, Ростовская область, к.н. 61:01:0110101:132 (1 шт.)</t>
  </si>
  <si>
    <t>Установка прибора коммерческого учета электрической энергии (мощности) на границе земельного участка, подключенного от опоры №9-72 ВЛ-0,4кВ №2 КТП-10/0,4 кВ №9 ВЛ-10кВ №3125 ПС 110/35/10 кВ А-31 для технологического присоединения энергопринимающих устройств объекта жилого дома Заявителя Кальва А.В., с. Пешково, Азовский район, Ростовская область, к.н. 61:01:0140101:9017 (1 шт.)</t>
  </si>
  <si>
    <t>Установка прибора коммерческого учета электрической энергии (мощности) на границе земельного участка, подключенного от опоры №9-72 ВЛ-0,4кВ №2 КТП-10/0,4 кВ №9 ВЛ-10кВ №3125 ПС 110/35/10 кВ А-31 для технологического присоединения энергопринимающих устройств объекта жилого дома Заявителя Кальва А.В., с. Пешково, Азовский район, Ростовская область, к.н. 61:01:0140101:9018 (1 шт.)</t>
  </si>
  <si>
    <t>Установка прибора коммерческого учета электрической энергии (мощности) на границе земельного участка, подключенного от опоры №112-31 ВЛ-0,4кВ №2 КТП-10/0,4 кВ №112 ВЛ-10кВ №3113 ПС 110/35/10 кВ А-31 для технологического присоединения энергопринимающих устройств объекта жилого дома Заявителя Резван А.А., с. Пешково, Азовский район, Ростовская область, к.н. 61:01:0140101:9214 (1 шт.)</t>
  </si>
  <si>
    <t>Установка прибора коммерческого учета электрической энергии (мощности) на границе земельного участка, подключенного от опоры №185-16 ВЛ-0,4кВ №1 КТП-10/0,4 кВ №185 ВЛ-10кВ №3125 ПС 110/35/10 кВ А-31 для технологического присоединения энергопринимающих устройств объекта жилого дома Заявителя Бедевко С.К., с. Пешково, Азовский район, Ростовская область, к.н. 61:01:0140101:9247 (1 шт.)</t>
  </si>
  <si>
    <t>Установка прибора коммерческого учета электрической энергии (мощности) на границе земельного участка, подключенного от опоры №226-164 ВЛ-0,4кВ №4 КТП-10/0,4 кВ №266 ВЛ-10кВ №2608 ПС 110/10 кВ А-26 для технологического присоединения энергопринимающих устройств объекта жилого дома Заявителя Манжинова А.А., ДНТ «Ягодка-2», Азовский район, Ростовская область, к.н. 61:01:0502401:7009 (1 шт.)</t>
  </si>
  <si>
    <t>Установка прибора коммерческого учета электрической энергии (мощности) на границе земельного участка, подключенного от опоры №70-134 ВЛ-0,4кВ №3 КТП-10/0,4 кВ №70 ВЛ-10кВ №2608 ПС 110/10 кВ А-26 для технологического присоединения энергопринимающих устройств объекта жилого дома Заявителя Гаспарян И.С., с. Кулешовка, Азовский район, Ростовская область, к.н. 61:01:0090101:8800 (1 шт.)</t>
  </si>
  <si>
    <t>Установка прибора коммерческого учета электрической энергии (мощности) на границе земельного участка, подключенного от опоры №381-62 ВЛ-0,4кВ №1 КТП-10/0,4 кВ №381 ВЛ-10кВ №106Н ПС 110/6/10 кВ НС-1 для технологического присоединения энергопринимающих устройств объекта жилого дома Заявителя Гаспарян А.В., ДНТ «Кулешовка», Азовский район, Ростовская область, к.н. 61:01:0600006:1251 (1 шт.)</t>
  </si>
  <si>
    <t>Установка прибора коммерческого учета электрической энергии (мощности) на границе земельного участка, подключенного от опоры №118-117 ВЛ-0,4кВ №3 КТП-10/0,4 кВ №118 ВЛ-10кВ №1101 ПС 35/10 кВ А-11 для технологического присоединения энергопринимающих устройств объекта жилого дома Заявителя Жамкочян С.Р., с. Кагальник, Азовский район, Ростовская область, к.н. 61:01:0060101:2766 (1 шт.)</t>
  </si>
  <si>
    <t>Установка прибора коммерческого учета электрической энергии (мощности) на границе земельного участка, подключенного от опоры №187-41 ВЛ-0,4кВ №2 КТП-10/0,4 кВ №187 ВЛ-10кВ №106Н ПС 110/6/10 кВ НС-1 для технологического присоединения энергопринимающих устройств объекта жилого дома Заявителя Пивень В.В., ДНТ «Кулешовка», Азовский район, Ростовская область, к.н. 61:01:0600006:1605 (1 шт.)</t>
  </si>
  <si>
    <t>Установка прибора коммерческого учета электрической энергии (мощности) на границе земельного участка, подключенного от опоры №78-13 ВЛ-0,4кВ №2 КТП-10/0,4 кВ №78 ВЛ-10кВ №2608 ПС 110/10 кВ А-26 для технологического присоединения энергопринимающих устройств объекта жилого дома Заявителя Полюхович И.И., с. Кулешовка, Азовский район, Ростовская область, к.н. 61:01:0090101:8744 (1 шт.)</t>
  </si>
  <si>
    <t>Установка прибора коммерческого учета электрической энергии (мощности) на границе земельного участка, подключенного от опоры №180-19 ВЛ-0,4кВ №2 КТП-10/0,4 кВ №180 ВЛ-10кВ №1101 ПС 35/10 кВ А-11 для технологического присоединения энергопринимающих устройств объекта нежилой застройки Заявителя Махмудова Р.Ф., с. Кагальник, Азовский район, Ростовская область, к.н. 61:01:0060101:5227 (1 шт.)</t>
  </si>
  <si>
    <t>Установка прибора коммерческого учета электрической энергии (мощности) на границе земельного участка, подключенного от опоры №59-29 ВЛ-0,4кВ №1 КТП-10/0,4 кВ №59 ВЛ-10кВ №2608 ПС 110/10 кВ А-26 для технологического присоединения энергопринимающих устройств объекта жилого дома Заявителя Политовой И.П., с. Кулешовка, Азовский район, Ростовская область, к.н. 61:01:0090101:8108 (1 шт.)</t>
  </si>
  <si>
    <t>Установка прибора коммерческого учета электрической энергии (мощности) на границе земельного участка, подключенного от опоры №180-9 ВЛ-0,4кВ №1 КТП-10/0,4 кВ №180 ВЛ-10кВ №1101 ПС 35/10 кВ А-11 для технологического присоединения энергопринимающих устройств объекта жилого дома Заявителя Кряжевой Е.И., с. Кагальник, Азовский район, Ростовская область, к.н. 61:01:0060101:5399 (1 шт.)</t>
  </si>
  <si>
    <t>Установка прибора коммерческого учета электрической энергии (мощности) на границе земельного участка, подключенного от опоры №187-1 ВЛ-0,4кВ №1 КТП-10/0,4 кВ №187 ВЛ-10кВ №106Н ПС 110/6/10 кВ НС-1 для технологического присоединения энергопринимающих устройств объекта жилого дома Заявителя Куцеволова В.А., ДНТ «Кулешовка», Азовский район, Ростовская область, к.н. 61:01:0600006:1646 (1 шт.)</t>
  </si>
  <si>
    <t>Установка прибора коммерческого учета электрической энергии (мощности) на границе земельного участка, подключенного от опоры №381-32 ВЛ-0,4кВ №1 КТП-10/0,4 кВ №381 ВЛ-10кВ №106Н ПС 110/6/10 кВ НС-1 для технологического присоединения энергопринимающих устройств объекта жилого дома Заявителя Маринич В.И., ДНТ СН «Кулешовка-2», Азовский район, Ростовская область, к.н. 61:45:0600006:8033 (1 шт.)</t>
  </si>
  <si>
    <t>Установка прибора коммерческого учета электрической энергии (мощности) на границе земельного участка, подключенного от опоры №48-46 ВЛ-0,4кВ №2 КТП-10/0,4 кВ №48 ВЛ-10кВ №1107 ПС 35/10 кВ А-11 для технологического присоединения энергопринимающих устройств объекта жилого дома Заявителя Плигуновой Е.А., с. Кагальник, Азовский район, Ростовская область, к.н. 61:01:006001:13050 (1 шт.)</t>
  </si>
  <si>
    <t>Установка прибора коммерческого учета электрической энергии (мощности) на границе земельного участка, подключенного от опоры №44-83 ВЛ-0,4кВ №3 КТП-10/0,4 кВ №44 ВЛ-10кВ №1107 ПС 35/10 кВ А-11 для технологического присоединения энергопринимающих устройств объекта жилого дома Заявителя Семененко Н.Н., с. Кагальник, Азовский район, Ростовская область, к.н. 61:01:0060101:4902 (1 шт.)</t>
  </si>
  <si>
    <t>Установка прибора коммерческого учета электрической энергии (мощности) на границе земельного участка, подключенного от опоры №381-42 ВЛ-0,4кВ №1 КТП-10/0,4 кВ №381 ВЛ-10кВ №106Н ПС 110/6/10 кВ НС-1 для технологического присоединения энергопринимающих устройств объекта жилого дома Заявителя Ященкова П.М., ДНТ СН «Кулешовка-2», Азовский район, Ростовская область, к.н. 61:01:000006:7999 (1 шт.)</t>
  </si>
  <si>
    <t>Установка прибора коммерческого учета электрической энергии (мощности) на границе земельного участка, подключенного от опоры №329-5 ВЛ-0,4кВ №1 КТП-10/0,4 кВ №329 ВЛ-10кВ №106Н ПС 110/6/10 кВ НС-1 для технологического присоединения энергопринимающих устройств объекта жилого дома Заявителя Алиева Г.Д., Азовский район, Ростовская область, к.н. 61:01:0600006:5860 (1 шт.)</t>
  </si>
  <si>
    <t>Установка прибора коммерческого учета электрической энергии (мощности) на границе земельного участка, подключенного от оп. №218-28 ВЛ-0,4 №1 КТП-218 ВЛ-10 605 от ПС 35 кВ КГ6 для технологического присоединения энергопринимающих устройств объекта малоэтажной жилой застройки Заявителя Божко Ю.А., Ростовская обл., Кагальницкий р-н, с. Новобатайск, пер. Братский д.2-Б к.н. 61:14:0000000:7764 (1 шт.)</t>
  </si>
  <si>
    <t>Установка прибора коммерческого учета электрической энергии (мощности) на границе земельного участка, подключенного от оп. №134-64 ВЛ-0,4 №1 КТП-134 ВЛ-10 101 от ПС 220 кВ Зерновая для технологического присоединения энергопринимающих устройств объекта малоэтажной жилой застройки Заявителя Борзенкова А.О., Ростовская обл., Зерноградский р-н, г. Зерноград, ул. Аксайская д.20 к.н. 61:12:0040573:47 (1 шт.)</t>
  </si>
  <si>
    <t>Установка прибора коммерческого учета электрической энергии (мощности) на границе земельного участка, подключенного от оп. №50-50 ВЛ-0,4 №2 КТП-50 ВЛ-10 1004 от ПС 110 кВ Полячки для технологического присоединения энергопринимающих устройств объекта малоэтажной жилой застройки Заявителя Гречко О.П., Ростовская обл., Кагальницкий р-н, х.Жуково-Татаринский, ул. Ленина д.28 к.н. 61:14:0080102:158 (1 шт.)</t>
  </si>
  <si>
    <t>Установка прибора коммерческого учета электрической энергии (мощности) на границе земельного участка, подключенного от оп. №188-70 ВЛ-0,4 №2 КТП-188 (на балансе ООО «Агросетка-Юг») ВЛ-10 319 от ПС 35 кВ КГ3 для технологического присоединения энергопринимающих устройств объекта малоэтажной жилой застройки Заявителя Деев В.В., Ростовская обл., Кагальницкий р-н, ст. Кировская, ул. Декабристов д.24 к.н. 61:14:0050116:198 (1 шт.)</t>
  </si>
  <si>
    <t>Установка прибора коммерческого учета электрической энергии (мощности) на границе земельного участка, подключенного от оп. №94-11 ВЛ-0,4 №1 КТП-94 (на балансе администрации Зерноградского г.п.) ВЛ-10 1505 от ПС 110 кВ ЗР15 для технологического присоединения энергопринимающих устройств объекта малоэтажной жилой застройки Заявителя Каргиной Т.В., Ростовская обл., Зерноградский р-н, п. Экспериментальный, ул. Остапенко д.23 кв.1 к.н. 61:12:0050401:140 (1 шт.)</t>
  </si>
  <si>
    <t>Установка прибора коммерческого учета электрической энергии (мощности) на границе земельного участка, подключенного от оп. №126-8 ВЛ-0,4 №1 КТП-126 ВЛ-10 313 от ПС 35 кВ КГ3 для технологического присоединения энергопринимающих устройств объекта малоэтажной жилой застройки Заявителя Мургузовой Н.Б., Ростовская обл., Аксайский р-н, СТ «Железнодорожник» уч.3126 к.н. 61:02:0504801:442 (1 шт.)</t>
  </si>
  <si>
    <t>Установка прибора коммерческого учета электрической энергии (мощности) на границе земельного участка, подключенного от оп. №188-71 ВЛ-0,4 №2 КТП-188 (на балансе ООО «Агросетка-Юг») ВЛ-10 319 от ПС 35 кВ КГ3 для технологического присоединения энергопринимающих устройств объекта малоэтажной жилой застройки Заявителя Паладий А.П., Ростовская обл., Кагальницкий р-н, ст. Кировская, ул. Декабристов д.26 к.н. 61:14:0050116:50 (1 шт.)</t>
  </si>
  <si>
    <t>Установка прибора коммерческого учета электрической энергии (мощности) на границе земельного участка, подключенного от оп. №28-232 ВЛ-0,4 №2 ЗТП-28 ВЛ-10 313 от ПС 35 кВ КГ3 для технологического присоединения энергопринимающих устройств объекта малоэтажной жилой застройки Заявителя Прончева Н.Д., Ростовская обл., Кагальницкий р-н, ст. Кировская, ул. Жукова д.10-А к.н. 61:14:0050129:632 (1 шт.)</t>
  </si>
  <si>
    <t>Установка прибора коммерческого учета электрической энергии (мощности) на границе земельного участка, подключенного от оп. №126-47 ВЛ-0,4 №1 КТП-126 ВЛ-10 313 от ПС 35 кВ КГ3 для технологического присоединения энергопринимающих устройств объекта малоэтажной жилой застройки Заявителя Рощиной Л.Ф., Ростовская обл., Аксайский р-н, СТ «Природа» уч.2849 к.н. 61:02:0504601:637 (1 шт.)</t>
  </si>
  <si>
    <t>Установка прибора коммерческого учета электрической энергии (мощности) на границе земельного участка, подключенного от оп. №7-22 ВЛ-0,4 №2 КТП-7 ВЛ-10 114 от ПС 220 кВ Зерновая для технологического присоединения энергопринимающих устройств объекта малоэтажной жилой застройки Заявителя Сысенко О.А., Ростовская обл., Зерноградский р-н, г. Зерноград, ул. Алтайская д.15 к.н. 61:12:0040808:34 (1 шт.)</t>
  </si>
  <si>
    <t>Установка прибора коммерческого учета электрической энергии (мощности) на границе земельного участка, подключенного от опоры №б/н ВЛ-0,4кВ КТП-10/0,4 кВ №29 (на балансе Администрации Елизаветинского сельского поселения) ВЛ-10кВ №2907 РП-29 ПС 35/10 кВ А-18 для технологического присоединения энергопринимающих устройств объекта жилого дома Заявителя Мужикова С.С., х. Казачий Ерик, Азовский район, Ростовская область, к.н. 61:01:0030401:1574 (1 шт.)</t>
  </si>
  <si>
    <t>Установка прибора коммерческого учета электрической энергии (мощности) на границе земельного участка, подключенного от опоры №б/н ВЛ-0,4кВ КТП-10/0,4 кВ №94 (на балансе Администрации Елизаветинского сельского поселения) ВЛ-10кВ №2907 РП-29 ПС 35/10 кВ А-18 для технологического присоединения энергопринимающих устройств объекта жилого дома Заявителя Калюжного В.Г., х. Казачий Ерик, Азовский район, Ростовская область, к.н. 61:01:0030401:710 (1 шт.)</t>
  </si>
  <si>
    <t>Установка прибора коммерческого учета электрической энергии (мощности) на границе земельного участка, подключенного от опоры №233-64 ВЛ-0,4кВ №2 КТП-10/0,4 кВ №233 ВЛ-10кВ №1815 ПС 35/10 кВ А-18 для технологического присоединения энергопринимающих устройств объекта земельного участка Заявителя Гончарова Д.Е., Рыболовецкий колхоз им. Ленина, Азовский район, Ростовская область, к.н. 61:01:0600002:3294 (1 шт.)</t>
  </si>
  <si>
    <t>Установка прибора коммерческого учета электрической энергии (мощности) на границе земельного участка, подключенного от опоры №57-2 ВЛ-0,4кВ №1 КТП-10/0,4 кВ №57 ВЛ-10кВ №3127 ПС 110/35/10 кВ А-31 для технологического присоединения энергопринимающих устройств объекта жилого дома Заявителя Зарайченко А.Е., х. Береговой, Азовский район, Ростовская область, к.н. 61:01:0140201:720 (1 шт.)</t>
  </si>
  <si>
    <t>Установка прибора коммерческого учета электрической энергии (мощности) на границе земельного участка, подключенного от опоры №17-17 ВЛ-0,4кВ №1 КТП-10/0,4 кВ №17 ВЛ-10кВ №107Н ПС 110/6/10 кВ НС-1 для технологического присоединения энергопринимающих устройств объекта жилого дома Заявителя Степанян Г.О., п. Овощной, Азовский район, Ростовская область, к.н. 61:01:0130101:1427 (1 шт.)</t>
  </si>
  <si>
    <t>Установка прибора коммерческого учета электрической энергии (мощности) на границе земельного участка, подключенного от опоры №63-32 ВЛ-0,4кВ №1 КТП-10/0,4 кВ №36 ВЛ-10кВ №609 ПС 35/10 кВ А-6 для технологического присоединения энергопринимающих устройств объекта жилого дома Заявителя Новиковой В.К., с. Маргаритово, Азовский район, Ростовская область, к.н. 61:01:0100101:604 (1 шт.)</t>
  </si>
  <si>
    <t>Установка прибора коммерческого учета электрической энергии (мощности) на границе земельного участка, подключенного от опоры №42-128 ВЛ-0,4кВ №2 КТП-10/0,4 кВ №42 ВЛ-10кВ №1802 ПС 35/10 кВ А-18 для технологического присоединения энергопринимающих устройств объекта жилого дома Заявителя Ковтун Г.А., х. Рогожкино, Азовский район, Ростовская область, к.н. 61:01:0160101:3360 (1 шт.)</t>
  </si>
  <si>
    <t>Установка прибора коммерческого учета электрической энергии (мощности) на границе земельного участка, подключенного от опоры №257-88 ВЛ-0,4кВ №2 КТП-6/0,4 кВ №257 ВЛ-6кВ №10701 ПС 110/35/6 кВ А-1 для технологического присоединения энергопринимающих устройств объекта жилого дома Заявителя Вершанской Л.И., г. Азов, Ростовская область, к.н. 61:45:0000455:187 (1 шт.)</t>
  </si>
  <si>
    <t>Установка прибора коммерческого учета электрической энергии (мощности) на границе земельного участка, подключенного от опоры №16-40 ВЛ-0,4кВ №2 КТП-10/0,4 кВ №16 ВЛ-10кВ №3127 ПС 110/35/10 кВ А-31 для технологического присоединения энергопринимающих устройств объекта жилого дома Заявителя Чернявского А.А., с. Займо-Обрыв, Азовский район, Ростовская область, к.н. 61:01:0140401:3399 (1 шт.)</t>
  </si>
  <si>
    <t>Установка прибора коммерческого учета электрической энергии (мощности) на границе земельного участка, подключенного от опоры №168-36 ВЛ-0,4кВ №1 КТП-10/0,4 кВ №168 ВЛ-10кВ №1708 ПС 35/10 кВ А-17 для технологического присоединения энергопринимающих устройств объекта жилого дома Заявителя Попова А.Г., с. Круглое, Азовский район, Ростовская область, к.н. 61:45:0600006:8033 (1 шт.)</t>
  </si>
  <si>
    <t>Установка прибора коммерческого учета электрической энергии (мощности) на границе земельного участка, подключенного от опоры №70-21 ВЛ 0,4 кВ №1 МТП 10/0,4кВ №70 ВЛ 10кВ №803 ПС 35/10 кВ А-8 для технологического присоединения энергопринимающих устройств объекта жилого дома Заявителя Чуба Г.Р., с. Семибалки, Азовский район, Ростовская область, к.н. 61:01:0180101:101 (1 шт.)</t>
  </si>
  <si>
    <t>Установка прибора коммерческого учета электрической энергии (мощности) на границе земельного участка, подключенного от опоры №б/н ВЛ-0,4кВ КТП-10/0,4 кВ №249 ( КТП № 249, ВЛ-0,4 кВ бесхозные) ВЛ-10кВ №2907 РП-29 ПС 35/10 кВ А-18 для технологического присоединения энергопринимающих устройств объекта жилого дома Заявителя Ковалевой А.Н., х. Курган, Азовский район, Ростовская область, к.н. 61:01:0500401:21 (1 шт.)</t>
  </si>
  <si>
    <t>Установка прибора коммерческого учета электрической энергии (мощности) на границе земельного участка, подключенного от опоры №329-12 ВЛ-0,4кВ №1 КТП-10/0,4 кВ №329 ВЛ-10кВ №106Н ПС 110/35/10 кВ НС-1 для технологического присоединения энергопринимающих устройств объекта жилого дома Заявителя Милорадова М.Ю., с/п Кулешовское, Азовский район, Ростовская область, к.н. 61:01:0600006:10207 (1 шт.)</t>
  </si>
  <si>
    <t>Установка прибора коммерческого учета электрической энергии (мощности) на границе земельного участка, подключенного от опоры №33-4 ВЛ-0,4кВ №1 КТП-10/0,4 кВ №33 ВЛ-10кВ №2907 РП-29 ПС 35/10 кВ А-18 для технологического присоединения энергопринимающих устройств объекта жилого дома Заявителя Краковской В.Н., х. Коса, Азовский район, Ростовская область, к.н. 61:01:0030601:83 (1 шт.)</t>
  </si>
  <si>
    <t>Установка прибора коммерческого учета электрической энергии (мощности) на границе земельного участка, подключенного от опоры №185-20 ВЛ-0,4кВ №2 КТП-10/0,4 кВ №185 ВЛ-10кВ №106Н ПС 110/6/10 кВ НС-1 для технологического присоединения энергопринимающих устройств объекта жилого дома Заявителя Шепелева С.И., с. Кулешовка, Азовский район, Ростовская область, к.н. 61:01:0090101:8147 (1 шт.)</t>
  </si>
  <si>
    <t>Установка прибора коммерческого учета электрической энергии (мощности) на границе земельного участка, подключенного от опоры №311-11/9 ВЛ-0,4кВ №1 КТП-10/0,4 кВ №311 ВЛ-10кВ №106Н ПС 110/6/10 кВ НС-1 для технологического присоединения энергопринимающих устройств объекта жилого дома Заявителя Медянникова В.В., ТСН «СНТ Белгорос», Азовский район, Ростовская область, к.н. 61:01:0600006:4602 (1 шт.)</t>
  </si>
  <si>
    <t>Установка прибора коммерческого учета электрической энергии (мощности) на границе земельного участка, подключенного от опоры №44-41 ВЛ-0,4кВ №3 КТП-10/0,4 кВ №44 ВЛ-10кВ №1107 ПС 35/10 кВ А-11 для технологического присоединения энергопринимающих устройств объекта жилого дома Заявителя Бедаш Е.Б., с. Кагальник, Азовский район, Ростовская область, к.н. 61:01:0600002:2474 (1 шт.)</t>
  </si>
  <si>
    <t>Установка прибора коммерческого учета электрической энергии (мощности) на границе земельного участка, подключенного от опоры №151-7 ВЛ-0,4кВ №1 КТП-10/0,4 кВ №151 ВЛ-10кВ №505 ПС 35/10 кВ А-5 для технологического присоединения энергопринимающих устройств объекта административного/офисного здания Заявителя Муниципальное бюджетное учреждение здравоохранения «Центральная районная больница» Азовского района Ростовской области, с. Отрадовка, Азовский район, Ростовская область, к.н. 61:01:0120101:317 (1 шт.)</t>
  </si>
  <si>
    <t>Установка прибора коммерческого учета электрической энергии (мощности) на границе земельного участка, подключенного от опоры №45-50 ВЛ-0,4кВ №3 КТП-10/0,4 кВ №45 ВЛ-10кВ №2907 РП-29 ПС 35/10 кВ А-18 для технологического присоединения энергопринимающих устройств объекта жилого дома Заявителя Анпилогова Н.А., х. Курган, Азовский район, Ростовская область, к.н. 61:01:0030701:120 (1 шт.)</t>
  </si>
  <si>
    <t>Установка прибора коммерческого учета электрической энергии (мощности) на границе земельного участка, подключенного от опоры №82-12 ВЛ-0,4кВ №1 КТП-10/0,4 кВ №82 ВЛ-10кВ №1802 ПС 35/10 кВ А-18 для технологического присоединения энергопринимающих устройств объекта жилого дома Заявителя Исаковой О.А., х. Рогожкино, Азовский район, Ростовская область, к.н. 61:01:0160101:3374 (1 шт.)</t>
  </si>
  <si>
    <t>Установка прибора коммерческого учета электрической энергии (мощности) на границе земельного участка, подключенного от опоры №122-78 ВЛ 0,4 кВ №3 КТП 10/0,4кВ №122 ВЛ 10кВ №1101 ПС 35/10 кВ А-11 для технологического присоединения энергопринимающих устройств объекта дачного дома Заявителя Макаренко И.В., с. Кагальник, Азовский район, Ростовская область, к.н. 61:01:0006101:4720 (1 шт.)</t>
  </si>
  <si>
    <t>Установка прибора коммерческого учета электрической энергии (мощности) на границе земельного участка, подключенного от опоры №5-4 ВЛ 0,4 кВ №1 КТП 10/0,4кВ №5 ВЛ 10кВ №1702 ПС 35/10 кВ А-17 для технологического присоединения энергопринимающих устройств объекта дачного дома Заявителя Петровой Ю.Г., с. Стефанидинодар, Азовский район, Ростовская область, к.н. 61:01:0070201:3838 (1 шт.)</t>
  </si>
  <si>
    <t>Установка прибора коммерческого учета электрической энергии (мощности) на границе земельного участка, подключенного от опоры №27-20 ВЛ-0,4кВ №1 КТП-10/0,4 кВ №27 ВЛ-10кВ №1701 ПС 35/10 кВ А-17 для технологического присоединения энергопринимающих устройств объекта жилого дома Заявителя Зелениной В.Н., с. Круглое, Азовский район, Ростовская область, к.н. 61:01:0030701:8093 (1 шт.)</t>
  </si>
  <si>
    <t>Установка прибора коммерческого учета электрической энергии (мощности) на границе земельного участка, подключенного от опоры №166-10 ВЛ-0,4кВ №1 КТП-10/0,4 кВ №166 ВЛ-10кВ №914 ПС 35/10 кВ А-9 для технологического присоединения энергопринимающих устройств объекта жилого дома Заявителя Галуза З.С., х. Павловка, Азовский район, Ростовская область, к.н. 61:01:0110401:331 (1 шт.)</t>
  </si>
  <si>
    <t>Установка прибора коммерческого учета электрической энергии (мощности) на границе земельного участка, подключенного от опоры №б/н ВЛ-0,4кВ КТП-10/0,4 кВ №199 (на балансе СТ «Дружба») ВЛ-10кВ №1010 ПС 220/110/10 кВ А-20 для технологического присоединения энергопринимающих устройств объекта торговли Заявителя Мурадова М., Азовский район, Ростовская область, к.н. 61:45:0035410:4788 (1 шт.)</t>
  </si>
  <si>
    <t>Установка прибора коммерческого учета электрической энергии (мощности) на границе земельного участка, подключенного от опоры оп. №40-24 ВЛ 0,4 кВ №1 КТП 10/0,4кВ №40 ВЛ 10кВ №1802 ПС 35/10 кВ А-18 для технологического присоединения энергопринимающих устройств объекта нежилой застройки Заявителя Подойницына С.Я., х. Рогожкино, Азовский район, Ростовская область, к.н. 61:01:0160101:1457 (1 шт.)</t>
  </si>
  <si>
    <t>Установка прибора коммерческого учета электрической энергии (мощности) на границе земельного участка, подключенного от опоры №32-63 ВЛ 0,4 кВ №3 КТП 10/0,4кВ №32 ВЛ 10кВ №2907 РП-29 ПС 35/10 кВ А-18 для технологического присоединения энергопринимающих устройств объекта жилого дома Заявителя Корсунской Е.А., х. Коса, территория СНТ Экран, Азовский район, Ростовская область, к.н. 61:01:0500501:303 (1 шт.)</t>
  </si>
  <si>
    <t>Установка прибора коммерческого учета электрической энергии (мощности) на границе земельного участка, подключенного от опоры №173-49 ВЛ 0,4 кВ №1 КТП 10/0,4кВ №173 ВЛ 10кВ №902 ПС 35/10 кВ А-9 для технологического присоединения энергопринимающих устройств объекта жилого дома Заявителя Рябчинского А.Н., х. Павловка, Азовский район, Ростовская область, к.н. 61:01:0110401:2163 (1 шт.)</t>
  </si>
  <si>
    <t>Установка прибора коммерческого учета электрической энергии (мощности) на границе земельного участка, подключенного от опоры №43-46 ВЛ 0,4 кВ №1 КТП 10/0,4кВ №43 ВЛ 10кВ №105Н ПС 110/6/10 кВ НС-1 для технологического присоединения энергопринимающих устройств объекта жилого дома Заявителя Чикало А.Н., х. Шмат, Азовский район, Ростовская область, к.н. 61:01:0031001:34 (1 шт.)</t>
  </si>
  <si>
    <t>Установка прибора коммерческого учета электрической энергии (мощности) на границе земельного участка, подключенного от опоры №225-32 ВЛ 0,4 кВ №1 КТП 10/0,4кВ №225 ВЛ 10кВ №2907 ПС 35/10 кВ А-18 для технологического присоединения энергопринимающих устройств объекта жилого дома Заявителя Крестьяниновой О.М., х. Коса, Азовский район, Ростовская область, к.н. 61:01:0030601:6343 (1 шт.)</t>
  </si>
  <si>
    <t>Установка прибора коммерческого учета электрической энергии (мощности) на границе земельного участка, подключенного от опоры №45-36 ВЛ 0,4 кВ №2 КТП 10/0,4кВ №45 ВЛ 10кВ №803 ПС 35/10 кВ А-8 для технологического присоединения энергопринимающих устройств объекта жилого дома Заявителя Фирсова А.В., с. Семибалки, Азовский район, Ростовская область, к.н. 61:01:0180101:4653 (1 шт.)</t>
  </si>
  <si>
    <t xml:space="preserve">Установка прибора коммерческого учета электрической энергии (мощности) на границе земельного участка, подключенного от опоры №32-31 ВЛ 0,4 кВ №2 КТП 10/0,4кВ №32 ВЛ 10кВ №2907 ПС 35/10 кВ А-18 для технологического присоединения энергопринимающих устройств объекта жилого дома Заявителя Землянского А.В., х. Коса, Азовский район, Ростовская область, к.н. 61:01:0030601:7265 (1 шт.) </t>
  </si>
  <si>
    <t>Установка прибора коммерческого учета электрической энергии (мощности) на границе земельного участка, подключенного от опоры №249-67 ВЛ 0,4 кВ №2 КТП 10/0,4кВ №249 ВЛ 10кВ №2008 ПС 220/110/10 кВ А-20 для технологического присоединения энергопринимающих устройств объекта жилого дома Заявителя Ниловой О. И., СТ «Искра», Азовский район, Ростовская область, к.н. 61:01:0501801:1232 (1 шт.)</t>
  </si>
  <si>
    <t>Установка прибора коммерческого учета электрической энергии (мощности) на границе земельного участка, подключенного от опоры №381-55 ВЛ 0,4 кВ №1 КТП 10/0,4кВ №381 ВЛ 10кВ №106Н ПС 110/6/10 кВ НС-1 для технологического присоединения энергопринимающих устройств объекта жилого дома Заявителя Степанян Г.О., ДНТ СН «Кулешовка-2», Азовский район, Ростовская область, к.н. 61:01:0600006:8010 (1 шт.)</t>
  </si>
  <si>
    <t>Установка прибора коммерческого учета электрической энергии (мощности) на границе земельного участка, подключенного от опоры №241-66 ВЛ 0,4 кВ №3 ЗТП 10/0,4кВ №241 (на балансе Администрации Кагальницкого сп) ВЛ 10кВ №1101 ПС 35/10 кВ А-11 для технологического присоединения энергопринимающих устройств объекта жилого дома Заявителя Жамкочян С.Р., с. Кагальник, Азовский район, Ростовская область, к.н. 61:01:0060101:9503 (1 шт.)</t>
  </si>
  <si>
    <t>Установка прибора коммерческого учета электрической энергии (мощности) на границе земельного участка, подключенного от опоры №381-60 ВЛ 0,4 кВ №1 КТП 10/0,4кВ №381 ВЛ 10кВ №106Н ПС 110/6/10 кВ НС-1 для технологического присоединения энергопринимающих устройств объекта жилого дома Заявителя Гавриловой Р.М., ДНТ «Кулешовка», Азовский район, Ростовская область, к.н. 61:01:0600006:3064 (1 шт.)</t>
  </si>
  <si>
    <t>Установка прибора коммерческого учета электрической энергии (мощности) на границе земельного участка, подключенного от опоры №245-88 ВЛ 0,4 кВ №2 КТП 10/0,4кВ №245 ВЛ 10кВ №2008 ПС 220/110/10 кВ А-20 для технологического присоединения энергопринимающих устройств объекта жилого дома Заявителя Козырева Г.Д., СТ «Искра», Азовский район, Ростовская область, к.н. 61:01:0501801:1572 (1 шт.)</t>
  </si>
  <si>
    <t>Установка прибора коммерческого учета электрической энергии (мощности) на границе земельного участка, подключенного от опоры №241-27 ВЛ 0,4 кВ №1 ЗТП 10/0,4кВ №241 (бесхозная) ВЛ 10кВ №1101 ПС 35/10 кВ А-11 для технологического присоединения энергопринимающих устройств объекта жилого дома Заявителя Бирюкова С.Л., с. Кагальник, Азовский район, Ростовская область, к.н. 61:01:0060101:13029 (1 шт.)</t>
  </si>
  <si>
    <t>Установка прибора коммерческого учета электрической энергии (мощности) на границе земельного участка, подключенного от опоры №215-66 ВЛ 0,4 кВ №3 КТП 10/0,4кВ №215 ВЛ 10кВ №1101 ПС 35/10 кВ А-11 для технологического присоединения энергопринимающих устройств объекта жилого дома Заявителя Бойко А.Г., с. Кагальник, Азовский район, Ростовская область, к.н. 61:01:0060101:10985 (1 шт.)</t>
  </si>
  <si>
    <t>Установка прибора коммерческого учета электрической энергии (мощности) на границе земельного участка, подключенного от опоры №336-16 ВЛ 0,4 кВ КТП 10/0,4кВ №336 (балансовая принадлежность Котиева Т.М.) ВЛ 10кВ №211 ПС 35/10 кВ А-2 для технологического присоединения энергопринимающих устройств объекта жилого дома Заявителя Бегмурадова М.О., х. Новоалександровка, Азовский район, Ростовская область, к.н. 61:01:0600005:3090 (1 шт.)</t>
  </si>
  <si>
    <t>Установка прибора коммерческого учета электрической энергии (мощности) на границе земельного участка, подключенного от оп. №28-9 ВЛ-0,4 №1 КТП-28 по ВЛ-10 801 от ПС 35 кВ ЗР8 для технологического присоединения энергопринимающих устройств объекта малоэтажной жилой застройки Заявителя Администрация Зерноградского р-на, Ростовская обл., Зерноградский р-н, х. Красноармейский к.н. 61:12:0000000:16500 (1 шт.)</t>
  </si>
  <si>
    <t>Установка прибора коммерческого учета электрической энергии (мощности) на границе земельного участка, подключенного от оп. №103-24 ВЛ-0,4 №2 КТП-103 по ВЛ-10 608 от ПС 35 кВ КГ6 для технологического присоединения энергопринимающих устройств объекта малоэтажной жилой застройки Заявителя Волков А.А., Ростовская обл., Кагальницкий р-н, с. Новобатайск, пер. Безымянный д.8 к.н. 61:14:0040131:37 (1 шт.)</t>
  </si>
  <si>
    <t>Установка прибора коммерческого учета электрической энергии (мощности) на границе земельного участка, подключенного от оп. №130-68 ВЛ-0,4 №3 КТП-130 по ВЛ-10 805 от ПС 110 кВ БОС для технологического присоединения энергопринимающих устройств объекта малоэтажной жилой застройки Заявителя Карташова С.Г., Ростовская обл., Кагальницкий р-н, п. Мокрый Батай, ул. Молодежная д.10 к.н. 61:14:0060110:591 (1 шт.)</t>
  </si>
  <si>
    <t>Установка прибора коммерческого учета электрической энергии (мощности) на границе земельного участка, подключенного от оп.121-56 ВЛ-0,4 №1 КТП-121 ВЛ-10 313 от ПС 35 кВ КГ3 для технологического присоединения энергопринимающих устройств объекта малоэтажной жилой застройки Заявителя Кириченко М.А., Ростовская обл., Аксайский р-н, СНТ «Садко» уч.765 к.н. 61:02:0504701:67 (1 шт.)</t>
  </si>
  <si>
    <t>Установка прибора коммерческого учета электрической энергии (мощности) на границе земельного участка, подключенного от оп. №128-96 ВЛ-0,4 №5 КТП-128 ВЛ-10 313 от ПС 35 кВ КГ3 для технологического присоединения энергопринимающих устройств объекта малоэтажной жилой застройки Заявителя Клименко Д.В., Ростовская обл., Кагальницкий р-н, ст. Кировская, ул. Вишневая д.29 к.н. 61:14:0050105:275 (1 шт.)</t>
  </si>
  <si>
    <t>Установка прибора коммерческого учета электрической энергии (мощности) на границе земельного участка, подключенного от оп. №135-84 ВЛ-0,4 №3 КТП-135 ВЛ-10 805 от ПС 110 кВ БОС для технологического присоединения энергопринимающих устройств объекта малоэтажной жилой застройки Заявителя Молчанов И.Г., Ростовская обл., Кагальницкий р-н, п. Мокрый Батай, ул. Мира д.40 к.н. 61:14:0060103:657 (1 шт.)</t>
  </si>
  <si>
    <t>Установка прибора коммерческого учета электрической энергии (мощности) на границе земельного участка, подключенного от оп. №85-54 ВЛ-0,4 №3 КТП-85 ВЛ-10 119 от ПС 220 кВ Зерновая для технологического присоединения энергопринимающих устройств объекта малоэтажной жилой застройки Заявителя Тунян А.В., Ростовская обл., Зерноградский р-н, п. Дубки, ул. Косарева д.22-Б к.н. 61:12:0050601:910 (1 шт.)</t>
  </si>
  <si>
    <t>Установка прибора коммерческого учета электрической энергии (мощности) на границе земельного участка, подключенного от оп. №97-18 ВЛ-0,4 №1 КТП-97 по ВЛ-10 805 от ПС 110 кВ БОС для технологического присоединения энергопринимающих устройств объекта малоэтажной жилой застройки Заявителя Шульга Л.Н., Ростовская обл., Кагальницкий р-н, п. Мокрый Батай, ул. Садовая д.11 кв.18 к.н. 61:14:0000000:195 (1 шт.)</t>
  </si>
  <si>
    <t>Установка прибора коммерческого учета электрической энергии (мощности) на границе земельного участка, подключенного от опоры №152-75 ВЛ-0,4кВ №2 КТП-10/0,4 кВ №152 ВЛ-10кВ №3207 ПС 110/35/10 кВ А-32 для технологического присоединения энергопринимающих устройств объекта жилого дома Заявителя Матвиенко В.И., с. Александровка, Азовский район, Ростовская область, к.н. 61:01:0010101:8056 (1 шт.)</t>
  </si>
  <si>
    <t>Установка прибора коммерческого учета электрической энергии (мощности) на границе земельного участка, подключенного от опоры №136-15 ВЛ-0,4кВ №1 КТП-10/0,4 кВ №136 ВЛ-10кВ №3113 ПС 110/35/10 кВ А-31 для технологического присоединения энергопринимающих устройств объекта жилого дома Заявителя Ивахненко В.В., с. Пешково, Азовский район, Ростовская область, к.н. 61:01:0140101:9306 (1 шт.)</t>
  </si>
  <si>
    <t>Установка прибора коммерческого учета электрической энергии (мощности) на границе земельного участка, подключенного от оп. №188-71 ВЛ-0,4 №2 КТП-188 (на балансе ООО «Агросетка-Юг») ВЛ-10 319 от ПС 35 кВ КГ3 для технологического присоединения энергопринимающих устройств объекта малоэтажной жилой застройки Заявителя Алексановой Е.Ю., Ростовская обл., Кагальницкий р-н, ст. Кировская, ул. Декабристов д.25 к.н. 61:14:0050117:12 (1 шт.)</t>
  </si>
  <si>
    <t>Установка прибора коммерческого учета электрической энергии (мощности) на границе земельного участка, подключенного от оп. №35-12 ВЛ-0,4 №1 КТП-35 по ВЛ-10 313 от ПС 35 кВ КГ3 для технологического присоединения энергопринимающих устройств объекта административного здания Заявителя ИП Белякова Ю.Н., Ростовская обл., Кагальницкий р-н, ст. Кировская, ул. Кирова д.84-Г к.н. 61:14:0050109:96 (1 шт.)</t>
  </si>
  <si>
    <t>Установка прибора коммерческого учета электрической энергии (мощности) на границе земельного участка, подключенного от оп. №7-74 ВЛ-0,4 №2 КТП-7 ВЛ-10 114 от ПС 220 кВ Зерновая для технологического присоединения энергопринимающих устройств объекта малоэтажной жилой застройки Заявителя Рашанская Е.В., Ростовская обл., Зерноградский р-н, г. Зерноград, ул. Котлярова д.33 к.н. 61:12:0040806:29 (1 шт.)</t>
  </si>
  <si>
    <t>Установка прибора коммерческого учета электрической энергии (мощности) на границе земельного участка, подключенного от оп. №13-3 ВЛ-0,4 №2 КТП-13 ВЛ-10 122 от ПС 220 кВ Зерновая для технологического присоединения энергопринимающих устройств объекта малоэтажной жилой застройки Заявителя Сумина Т.В., Ростовская обл., Зерноградский р-н, п. Комсомольский, ул. Чернышевского д.3 к.н. 61:12:0050901:424 (1 шт.)</t>
  </si>
  <si>
    <t>Установка прибора коммерческого учета электрической энергии (мощности) на границе земельного участка, подключенного от оп. №7-6 ВЛ-0,4 №1 КТП-7 ВЛ-10 114 от ПС 220 кВ Зерновая для технологического присоединения энергопринимающих устройств объекта малоэтажной жилой застройки Заявителя Федоров Р.Ю., Ростовская обл., Зерноградский р-н, г. Зерноград, ул. Назарова д.27 к.н. 61:12:0040807:2 (1 шт.)</t>
  </si>
  <si>
    <t>Установка прибора коммерческого учета электрической энергии (мощности) на границе земельного участка, подключенного от оп. №122-33 ВЛ-0,4 №2 КТП-122 ВЛ-10 313 от ПС 35 кВ КГ3 для технологического присоединения энергопринимающих устройств объекта малоэтажной жилой застройки Заявителя Хмыров В.В., Ростовская обл., Аксайский р-н, СНТ «Садко» 28 линия уч.2757 к.н. 61:02:0504701:401 (1 шт.)</t>
  </si>
  <si>
    <t>Установка прибора коммерческого учета электрической энергии (мощности) на границе земельного участка, подключенного от опоры №128-5 ВЛ-0,4 №1 КТП-128 ВЛ-10 313 ПС 35 кВ КГ3 для технологического присоединения энергопринимающих устройств малоэтажной жилой застройки Заявителя Бибик С.Я., Ростовская область, Кагальницкий р-н, ст. Кировская, ул. Дружбы д.13 к.н. 61:14:0050106:19 (1 шт.)</t>
  </si>
  <si>
    <t>Установка прибора коммерческого учета электрической энергии (мощности) на границе земельного участка, подключенного от опоры №105-117 ВЛ 0,4 кВ №2 КТП 10/0,4кВ №105 ВЛ 10кВ №2608 ПС 110/10 кВ А-26 для технологического присоединения энергопринимающих устройств объекта жилого дома Заявителя Алешина А.В., х. Новоалександровка, Азовский район, Ростовская область, к.н. 61:01:0000000:1990 (1 шт.)</t>
  </si>
  <si>
    <t>Установка прибора коммерческого учета электрической энергии (мощности) на границе земельного участка, подключенного от опоры №211-170/2 ВЛ 0,4 кВ №5 КТП 10/0,4кВ №211 ВЛ 10кВ №910 ПС 35/10 кВ А-9 для технологического присоединения энергопринимающих устройств объекта жилого дома Заявителя Бильдюгова В.Н., ДНТ «Южное», Азовский район, Ростовская область, к.н. 61:01:0502601:676 (1 шт.)</t>
  </si>
  <si>
    <t>Установка прибора коммерческого учета электрической энергии (мощности) на границе земельного участка, подключенного от опоры №240-146 ВЛ 0,4 кВ №3 КТП 10/0,4кВ №240 ВЛ 10кВ №106Н ПС 110/6/10 кВ НС-1 для технологического присоединения энергопринимающих устройств объекта жилого дома Заявителя Карпун Ю.Н., п. Овощной, Азовский район, Ростовская область, к.н. 61:01:0130101:3485 (1 шт.)</t>
  </si>
  <si>
    <t>Установка прибора коммерческого учета электрической энергии (мощности) на границе земельного участка, подключенного от опоры №365-13 ВЛ 0,4 кВ №1 КТП 10/0,4кВ №365 ВЛ 10кВ №107Н ПС 110/6/10 кВ НС-1 для технологического присоединения энергопринимающих устройств объекта жилого дома Заявителя Авдеевой И.В., п. Овощной, Азовский район, Ростовская область, к.н. 61:01:0130101:5156 (1 шт.)</t>
  </si>
  <si>
    <t>Установка прибора коммерческого учета электрической энергии (мощности) на границе земельного участка, подключенного от опоры №365-13/1 ВЛ 0,4 кВ №1 КТП 10/0,4кВ №365 ВЛ 10кВ №107Н ПС 110/6/10 кВ НС-1 для технологического присоединения энергопринимающих устройств объекта жилого дома Заявителя Авдеевой С.М., п. Овощной, Азовский район, Ростовская область, к.н. 61:01:130101:5333 (1 шт.)</t>
  </si>
  <si>
    <t>Установка прибора коммерческого учета электрической энергии (мощности) на границе земельного участка, подключенного от опоры №365-13/2 ВЛ 0,4 кВ №1 КТП 10/0,4кВ №365 ВЛ 10кВ №107Н ПС 110/6/10 кВ НС-1 для технологического присоединения энергопринимающих устройств объекта жилого дома Заявителя Авдеевой С.М., п. Овощной, Азовский район, Ростовская область, к.н. 61:01:130101:5334 (1 шт.)</t>
  </si>
  <si>
    <t>Установка прибора коммерческого учета электрической энергии (мощности) на границе земельного участка, подключенного от опоры №228-17 ВЛ 0,4 кВ №2 КТП 10/0,4кВ №228 ВЛ 10кВ №106Н ПС 110/6/10 кВ НС-1 для технологического присоединения энергопринимающих устройств объекта гаража Заявителя Кирпичевой О.А., п. Овощной, Азовский район, Ростовская область, к.н. 61:01:0130101:4237 (1 шт.)</t>
  </si>
  <si>
    <t>Установка прибора коммерческого учета электрической энергии (мощности) на границе земельного участка, подключенного от опоры №245-47 ВЛ 0,4 кВ №2 КТП 10/0,4кВ №245 ВЛ 10кВ №2008 ПС 220/110/10 кВ А-20 для технологического присоединения энергопринимающих устройств объекта земельного участка Заявителя Нехаевой И.В., ДНТ «Искра», Азовский район, Ростовская область, к.н. 61:01:0501801:1006 (1 шт.)</t>
  </si>
  <si>
    <t>Установка прибора коммерческого учета электрической энергии (мощности) на границе земельного участка, подключенного от опоры №136-44/3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61:01:0140101:9376 (1 шт.)</t>
  </si>
  <si>
    <t>Установка прибора коммерческого учета электрической энергии (мощности) на границе земельного участка, подключенного от опоры №136-44/1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61:01:0140101:9195 (1 шт.)</t>
  </si>
  <si>
    <t>Установка прибора коммерческого учета электрической энергии (мощности) на границе земельного участка, подключенного от опоры №136-44/3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61:01:0140101:9199 (1 шт.)</t>
  </si>
  <si>
    <t>Установка прибора коммерческого учета электрической энергии (мощности) на границе земельного участка, подключенного от опоры №136-44/3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61:01:0140101:9200 (1 шт.)</t>
  </si>
  <si>
    <t>Установка прибора коммерческого учета электрической энергии (мощности) на границе земельного участка, подключенного от опоры №136-44/4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61:01:0140101:9198 (1 шт.)</t>
  </si>
  <si>
    <t>Установка прибора коммерческого учета электрической энергии (мощности) на границе земельного участка, подключенного от опоры №136-44/1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61:01:0140101:9194 (1 шт.)</t>
  </si>
  <si>
    <t>Установка прибора коммерческого учета электрической энергии (мощности) на границе земельного участка, подключенного от опоры №136-44/5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61:01:0140101:9374 (1 шт.)</t>
  </si>
  <si>
    <t>Установка прибора коммерческого учета электрической энергии (мощности) на границе земельного участка, подключенного от опоры №136-44/2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61:01:0140101:9377 (1 шт.)</t>
  </si>
  <si>
    <t>Установка прибора коммерческого учета электрической энергии (мощности) на границе земельного участка, подключенного от опоры №136-44/4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61:01:0140101:9375 (1 шт.)</t>
  </si>
  <si>
    <t>Установка прибора коммерческого учета электрической энергии (мощности) на границе земельного участка, подключенного от опоры №136-44/2 ВЛ 0,4 кВ №2 КТП 10/0,4кВ №136 ВЛ 10кВ №3113 ПС 110/35/10 кВ А-31 для технологического присоединения энергопринимающих устройств объекта жилого дома Заявителя Оганнисян А.А., с. Пешково, Азовский район, Ростовская область, к.н. 61:01:0140101:9393 (1 шт.)</t>
  </si>
  <si>
    <t>Установка прибора коммерческого учета электрической энергии (мощности) на границе земельного участка, подключенного от опоры №111-83 ВЛ 0,4 кВ №3 КТП 10/0,4кВ №111 ВЛ 10кВ №3113 ПС 110/35/10 кВ А-31 для технологического присоединения энергопринимающих устройств объекта жилого дома Заявителя Недоводей М.Ю., с. Пешково, Азовский район, Ростовская область, к.н. 61:01:0140101:9035 (1 шт.)</t>
  </si>
  <si>
    <t>Установка прибора коммерческого учета электрической энергии (мощности) на границе земельного участка, подключенного от опоры №111-83/2 ВЛ 0,4 кВ №3 КТП 10/0,4кВ №111 ВЛ 10кВ №3113 ПС 110/35/10 кВ А-31 для технологического присоединения энергопринимающих устройств объекта жилого дома Заявителя Недоводей М.Ю., с. Пешково, Азовский район, Ростовская область, к.н. 61:01:0140101:9038 (1 шт.)</t>
  </si>
  <si>
    <t>Установка прибора коммерческого учета электрической энергии (мощности) на границе земельного участка, подключенного от опоры №111-83/2 ВЛ 0,4 кВ №3 КТП 10/0,4кВ №111 ВЛ 10кВ №3113 ПС 110/35/10 кВ А-31 для технологического присоединения энергопринимающих устройств объекта жилого дома Заявителя Недоводей М.Ю., с. Пешково, Азовский район, Ростовская область, к.н. 61:01:0140101:9037 (1 шт.)</t>
  </si>
  <si>
    <t>Установка прибора коммерческого учета электрической энергии (мощности) на границе земельного участка, подключенного от опоры №184-116 ВЛ 0,4 кВ №3 КТП 10/0,4кВ №184 ВЛ 10кВ №3113 ПС 110/35/10 кВ А-31 для технологического присоединения энергопринимающих устройств объекта жилого дома Заявителя Кузьменко В.Ю., с. Пешково, Азовский район, Ростовская область, к.н. 61:01:0140101:9115 (1 шт.)</t>
  </si>
  <si>
    <t>Установка прибора коммерческого учета электрической энергии (мощности) на границе земельного участка, подключенного от опоры №18-28 ВЛ 0,4 кВ №1 КТП 10/0,4кВ №18 ВЛ 10кВ №3113 ПС 110/35/10 кВ А-31 для технологического присоединения энергопринимающих устройств объекта жилого дома Заявителя Кузьменко В.Ю., с. Пешково, Азовский район, Ростовская область, к.н. 61:01:0140101:9119</t>
  </si>
  <si>
    <t>Установка прибора коммерческого учета электрической энергии (мощности) на границе земельного участка, подключенного от опоры №172-20 ВЛ 0,4 кВ №1 КТП 10/0,4кВ №172 ВЛ 10кВ №1702 ПС 35/10 кВ А-17 для технологического присоединения энергопринимающих устройств объекта жилого дома Заявителя Симоненко Е.В., с. Стефанидинодар, Азовский район, Ростовская область, к.н. 61:01:0070201:3825 (1 шт.)</t>
  </si>
  <si>
    <t>Установка прибора коммерческого учета электрической энергии (мощности) на границе земельного участка, подключенного от опоры №187-13 ВЛ 0,4 кВ №1 КТП 10/0,4кВ №187 ВЛ 10кВ №1815 ПС 35/10 кВ А-18 для технологического присоединения энергопринимающих устройств объекта жилого дома Заявителя Саенко И.И., х. Курган, Азовский район, Ростовская область, к.н. 61:01:0030701:247 (1 шт.</t>
  </si>
  <si>
    <t>Установка прибора коммерческого учета электрической энергии (мощности) на границе земельного участка, подключенного от опоры №249-9 ВЛ 0,4 кВ №1 КТП 10/0,4кВ №249 ВЛ 10кВ №2907 РП-29 ПС 35/10 кВ А-18 для технологического присоединения энергопринимающих устройств объекта жилого дома Заявителя Момотенко Е.О., х. Курган, Азовский район, Ростовская область, к.н. 61:01:0030701:418 (1 шт.)</t>
  </si>
  <si>
    <t>Установка прибора коммерческого учета электрической энергии (мощности) на границе земельного участка, подключенного от опоры №144-8 ВЛ 0,4 кВ №1 КТП 10/0,4кВ №144 ВЛ 10кВ №1019 ПС 110/35/10 кВ Самарская для технологического присоединения энергопринимающих устройств объекта жилого дома Заявителя Сербул Е.И., х. Победа, Азовский район, Ростовская область, к.н. 61:01:0041001:2316 (1 шт.)</t>
  </si>
  <si>
    <t>Установка прибора коммерческого учета электрической энергии (мощности) на границе земельного участка, подключенного от опоры №156-39 ВЛ 0,4 кВ №2 КТП 10/0,4кВ №156 ВЛ 10кВ №910 ПС 35/10 кВ А-9 для технологического присоединения энергопринимающих устройств объекта жилого дома Заявителя Астафьевой Л.Н., х. Павловка, Азовский район, Ростовская область, к.н. 61:01:0110401:2486 (1 шт.)</t>
  </si>
  <si>
    <t>Установка прибора коммерческого учета электрической энергии (мощности) на границе земельного участка, подключенного от опоры №27-54 ВЛ 0,4 кВ №2 КТП 10/0,4кВ №27 ВЛ 10кВ №1701 ПС 35/10 кВ А-17 для технологического присоединения энергопринимающих устройств объекта жилого дома Заявителя Муратиди К.Х., с. Круглое, Азовский район, Ростовская область, к.н. 61:01:0070101:2260 (1 шт.)</t>
  </si>
  <si>
    <t>Установка прибора коммерческого учета электрической энергии (мощности) на границе земельного участка, подключенного от опоры №32-23 ВЛ 0,4 кВ №1 КТП 10/0,4кВ №32 ВЛ 10кВ №2907 РП-29 ПС 35/10 кВ А-18 для технологического присоединения энергопринимающих устройств объекта жилого дома Заявителя Пожидаева Г.Е., х. Коса, Азовский район, Ростовская область, к.н. 61:01:0030601:614 (1 шт.)</t>
  </si>
  <si>
    <t>Установка прибора коммерческого учета электрической энергии (мощности) на границе земельного участка, подключенного от опоры №27-25 ВЛ 0,4 кВ №2 КТП 10/0,4кВ №27 ВЛ 10кВ №1701 ПС 35/10 кВ А-17 для технологического присоединения энергопринимающих устройств объекта жилого дома Заявителя Шкондина А.А., с. Круглое, Азовский район, Ростовская область, к.н. 61:01:0070101:7634 (1 шт.)</t>
  </si>
  <si>
    <t>Установка прибора коммерческого учета электрической энергии (мощности) на границе земельного участка, подключенного от опоры №29-53 ВЛ 0,4 кВ №2 КТП 10/0,4кВ №29 ВЛ 10кВ №3113 ПС 110/35/10 кВ А-31 для технологического присоединения энергопринимающих устройств объекта жилого дома Заявителя Демидовой Л.В., с. Головатовка, Азовский район, Ростовская область, к.н. 61:01:0140301:2252 (1 шт.)</t>
  </si>
  <si>
    <t>Установка прибора коммерческого учета электрической энергии (мощности) на границе земельного участка, подключенного от опоры №223-53/1 ВЛ 0,4 кВ №2 КТП 10/0,4кВ №223 ВЛ 10кВ №901 ПС 35/10 кВ А-9 для технологического присоединения энергопринимающих устройств объекта жилого дома Заявителя Беренжук А.С., с. Высочино, Азовский район, Ростовская область, к.н. 61:01:0110201:491 (1 шт.)</t>
  </si>
  <si>
    <t>Установка прибора коммерческого учета электрической энергии (мощности) на границе земельного участка, подключенного от опоры №120-17 ВЛ 0,4 кВ №1 КТП 10/0,4кВ №120 ВЛ 10кВ №1107 ПС 35/10 кВ А-11 для технологического присоединения энергопринимающих устройств объекта жилого дома Заявителя Вершанской Л.И., с. Кагальник, Азовский район, Ростовская область, к.н. 61:01:0060101:11753 (1 шт.)</t>
  </si>
  <si>
    <t>Установка прибора коммерческого учета электрической энергии (мощности) на границе земельного участка, подключенного от опоры №81-6 ВЛ 0,4 кВ №1 КТП 10/0,4кВ №81 ВЛ 10кВ №803 ПС 35/10 кВ А-8 для технологического присоединения энергопринимающих устройств объекта жилого дома Заявителя Гусева Д.А., с. Семибалки, Азовский район, Ростовская область, к.н. 61:01:0180101:439 (1 шт.)</t>
  </si>
  <si>
    <t>Установка прибора коммерческого учета электрической энергии (мощности) на границе земельного участка, подключенного от опоры №43-29 ВЛ 0,4 кВ №2 КТП 10/0,4кВ №43 ВЛ 10кВ №1019 ПС 110/35/10 кВ Самарская для технологического присоединения энергопринимающих устройств объекта жилого дома Заявителя Журавлева В.Н., х. Победа, Азовский район, Ростовская область, к.н. 61:01:0041001:1744 (1 шт.)</t>
  </si>
  <si>
    <t>Установка прибора коммерческого учета электрической энергии (мощности) на границе земельного участка, подключенного от опоры №44-2 ВЛ 0,4 кВ №1 КТП 10/0,4кВ №44 ВЛ 10кВ №1107 ПС 35/10 кВ А-11 для технологического присоединения энергопринимающих устройств объекта жилого дома Заявителя Кибировой А.Б., с. Кагальник, Азовский район, Ростовская область, к.н. 61:01:0060101:13086 (1 шт.)</t>
  </si>
  <si>
    <t>Установка прибора коммерческого учета электрической энергии (мощности) на границе земельного участка, подключенного от опоры №44-34 ВЛ 0,4 кВ №1 КТП 10/0,4кВ №44 ВЛ 10кВ №1107 ПС 35/10 кВ А-11 для технологического присоединения энергопринимающих устройств объекта жилого дома Заявителя Осипенко А.В., с. Кагальник, Азовский район, Ростовская область, к.н. 61:01:0060101:11734</t>
  </si>
  <si>
    <t>Установка прибора коммерческого учета электрической энергии (мощности) на границе земельного участка, подключенного на КТП-62 ВЛ-10  405  ПС 35кВ Е-4 для технологического присоединения энергопринимающих устройств наружного освещения Заявителя Администрация Ильинского сельского поселения, Ростовская область, Егорлыкский р-он, х. Ильинский, ул. Северная, (1шт.)</t>
  </si>
  <si>
    <t>Установка прибора коммерческого учета электрической энергии (мощности) на границе земельного участка, подключенного на КТП-63 ВЛ-10  405  ПС 35кВ Е-4 для технологического присоединения энергопринимающих устройств наружного освещения Заявителя Администрация Ильинского сельского поселения, Ростовская область, Егорлыкский р-он, х. Ильинский, ул. Парковая, (1шт.)</t>
  </si>
  <si>
    <t>Установка прибора коммерческого учета электрической энергии (мощности) на границе земельного участка, подключенного от опоры №54-50 ВЛ 0,4 кВ №2 КТП-54 ВЛ 10кВ №318 ПС 35 кВ КГ3 для технологического присоединения энергопринимающих устройств объекта земельного участка Заявителя Бадаловой С.Г., Ростовская область Кагальницкий район, ст. Кировская ул. Буденновского д.63А , к.н. 61:14:0050119:827 (1 шт.)</t>
  </si>
  <si>
    <t>Установка прибора коммерческого учета электрической энергии (мощности) на границе земельного участка, подключенного от оп. №124-31 ВЛ-0,4 №1 КТП-124 ВЛ-10 313 от ПС 35 кВ КГ3 для технологического присоединения энергопринимающих устройств объекта малоэтажной жилой застройки Заявителя Коронцевич В.С., Ростовская обл., Аксайский р-н, СТ «Железнодорожник» уч.3261 к.н. 61:02:0504801:675 (1 шт.)</t>
  </si>
  <si>
    <t>Установка прибора коммерческого учета электрической энергии (мощности) на границе земельного участка, подключенного от опоры №166-58 ВЛ 0,4 кВ №2 КТП-166 ВЛ 10кВ №313 ПС 35 кВ КГ3 для технологического присоединения энергопринимающих устройств объекта земельного участка Заявителя Нагырняк В.В., Ростовская обл., р-н. Кагальницкий, р-н Аксайский, в юго-восточном направлении 2300 м от центра х. Истомино, СНТ "Природа" уч.II-36-2116, кад. н.: 61:02:0504601:4947. (1 шт.)</t>
  </si>
  <si>
    <t>Установка прибора коммерческого учета электрической энергии (мощности) на границе земельного участка, подключенного от опоры №148П-16 ВЛ 0,4 кВ №3 КТП 10/0,4кВ №148П (балансовая принадлежность Шацкого Ю.В.)  ВЛ 10кВ №106Н ПС 110/6/10 кВ НС-1 для технологического присоединения энергопринимающих устройств объекта жилого дома Заявителя Пархоменко А.А., п. Овощной, Азовский район, Ростовская область, к.н. 61:01:0600006:8653 (1 шт.)</t>
  </si>
  <si>
    <t>Установка прибора коммерческого учета электрической энергии (мощности) на границе земельного участка, подключенного от опоры №136-15 ВЛ 0,4 кВ №1 КТП 10/0,4кВ №136 ВЛ 10кВ №3113 ПС 110/35/10 кВ А-31 для технологического присоединения энергопринимающих устройств объекта жилого дома Заявителя Ивахненко В.В., с. Пешково, Азовский район, Ростовская область, к.н. 61:01:0140101:9307 (1 шт.)</t>
  </si>
  <si>
    <t>Установка прибора коммерческого учета электрической энергии (мощности) на границе земельного участка, подключенного от опоры №16-73 ВЛ 0,4 кВ №3 КТП 10/0,4кВ №16 ВЛ 10кВ №2608 ПС 110/10 кВ А-26 для технологического присоединения энергопринимающих устройств объекта жилого дома Заявителя Радченко И.А., с. Кулешовка, Азовский район, Ростовская область, к.н. 61:01:0090101:8841 (1 шт.)</t>
  </si>
  <si>
    <t>Установка прибора коммерческого учета электрической энергии (мощности) на границе земельного участка, подключенного от опоры №167-35 ВЛ 0,4 кВ №3 КТП 10/0,4кВ №167 ВЛ 10кВ №106Н ПС 110/6/10 кВ НС-1 для технологического присоединения энергопринимающих устройств объекта жилого дома Заявителя Квашина П.П., ДНТ «Кулешовка», Азовский район, Ростовская область, к.н. 61:01:0600006:1746 (1 шт.)</t>
  </si>
  <si>
    <t>Установка прибора коммерческого учета электрической энергии (мощности) на границе земельного участка, подключенного от опоры №167-39 ВЛ 0,4 кВ №3 КТП 10/0,4кВ №167 ВЛ 10кВ №106Н ПС 110/6/10 кВ НС-1 для технологического присоединения энергопринимающих устройств объекта жилого дома Заявителя Мартиросян А.С., ДНТ «Кулешовка», Азовский район, Ростовская область, к.н. 61:01:0600006:10393 (1 шт.)</t>
  </si>
  <si>
    <t>Установка прибора коммерческого учета электрической энергии (мощности) на границе земельного участка, подключенного от опоры №167-39 ВЛ 0,4 кВ №3 КТП 10/0,4кВ №167 ВЛ 10кВ №106Н ПС 110/6/10 кВ НС-1 для технологического присоединения энергопринимающих устройств объекта жилого дома Заявителя Мартиросян А.С., ДНТ «Кулешовка», Азовский район, Ростовская область, к.н. 61:01:0600006:10394 (1 шт.)</t>
  </si>
  <si>
    <t>Установка прибора коммерческого учета электрической энергии (мощности) на границе земельного участка, подключенного от опоры №167-39 ВЛ 0,4 кВ №3 КТП 10/0,4кВ №167 ВЛ 10кВ №106Н ПС 110/6/10 кВ НС-1 для технологического присоединения энергопринимающих устройств объекта жилого дома Заявителя Мартиросян А.С., ДНТ «Кулешовка», Азовский район, Ростовская область, к.н. 61:01:0600006:10395 (1 шт.)</t>
  </si>
  <si>
    <t>Установка прибора коммерческого учета электрической энергии (мощности) на границе земельного участка, подключенного от опоры №184-116 ВЛ 0,4 кВ №3 КТП 10/0,4кВ №184 ВЛ 10кВ №3113 ПС 110/35/10 кВ А-31 для технологического присоединения энергопринимающих устройств объекта жилого дома Заявителя Кузьменко В.Ю., с. Пешково, Азовский район, Ростовская область, к.н. 61:01:0140101:9123 (1 шт.)</t>
  </si>
  <si>
    <t>Установка прибора коммерческого учета электрической энергии (мощности) на границе земельного участка, подключенного от опоры №187-32 ВЛ 0,4 кВ №2 КТП 10/0,4кВ №187 ВЛ 10кВ №106Н ПС 110/6/10 кВ НС-1 для технологического присоединения энергопринимающих устройств объекта жилого дома Заявителя Мартиросян А.С., ДНТ «Кулешовка», Азовский район, Ростовская область, к.н. 61:0600006:1710 (1 шт.)</t>
  </si>
  <si>
    <t>Установка прибора коммерческого учета электрической энергии (мощности) на границе земельного участка, подключенного от опоры №381-32 ВЛ 0,4 кВ №1 КТП 10/0,4кВ №381 ВЛ 10кВ №106Н ПС 110/6/10 кВ НС-1 для технологического присоединения энергопринимающих устройств объекта жилого дома Заявителя Антонян А.А., ДНТ СН Кулешовка-2, Азовский район, Ростовская область, к.н. 61:01:0600006:10346 (1 шт.)</t>
  </si>
  <si>
    <t>Установка прибора коммерческого учета электрической энергии (мощности) на границе земельного участка, подключенного от опоры №244-64 ВЛ 0,4 кВ №2 КТП 10/0,4кВ №244 ВЛ 10кВ №2008 ПС 220/110/10 кВ А-20 для технологического присоединения энергопринимающих устройств объекта жилого дома Заявителя Тараниной Л.А., ДНТ «Донские зори», Азовский район, Ростовская область, к.н. 61:01:0501901:833 (1 шт.)</t>
  </si>
  <si>
    <t>Установка прибора коммерческого учета электрической энергии (мощности) на границе земельного участка, подключенного от опоры №111-83/1 ВЛ 0,4 кВ №3 КТП 10/0,4кВ №111 ВЛ 10кВ №3113 ПС 110/35/10 кВ А-31 для технологического присоединения энергопринимающих устройств объекта жилого дома Заявителя Недоводей М.Ю., с. Пешково, Азовский район, Ростовская область, к.н. 61:01:0140101:9036 (1 шт.)</t>
  </si>
  <si>
    <t>Установка прибора коммерческого учета электрической энергии (мощности) на границе земельного участка, подключенного от опоры №240-153 ВЛ 0,4 кВ №3 КТП 10/0,4кВ №240 ВЛ 10кВ №106Н ПС 110/6/10 кВ НС-1 для технологического присоединения энергопринимающих устройств объекта жилого дома Заявителя Авдеева Ю.Н., п. Овощной, Азовский район, Ростовская область, к.н. 61:01:0130101:5398 (1 шт.)</t>
  </si>
  <si>
    <t>Установка прибора коммерческого учета электрической энергии (мощности) на границе земельного участка, подключенного от опоры №16-87 ВЛ 0,4 кВ №3 КТП 10/0,4кВ №16 ВЛ 10кВ №2608 ПС 110/10 кВ А-26 для технологического присоединения энергопринимающих устройств объекта жилого дома Заявителя Джагинян А.Д., с. Кулешовка, Азовский район, Ростовская область, к.н. 61:01:0090101:8862 (1 шт.)</t>
  </si>
  <si>
    <t>Установка прибора коммерческого учета электрической энергии (мощности) на границе земельного участка, подключенного от опоры №16-86 ВЛ 0,4 кВ №3 КТП 10/0,4кВ №16 ВЛ 10кВ №2608 ПС 110/10 кВ А-26 для технологического присоединения энергопринимающих устройств объекта жилого дома Заявителя Джагинян А.Д., с. Кулешовка, Азовский район, Ростовская область, к.н. 61:01:0090101:8863 (1 шт.)</t>
  </si>
  <si>
    <t>Установка прибора коммерческого учета электрической энергии (мощности) на границе земельного участка, подключенного от опоры №381-61 ВЛ 0,4 кВ №1 КТП 10/0,4кВ №381 ВЛ 10кВ №106Н ПС 110/6/10 кВ НС-1 для технологического присоединения энергопринимающих устройств объекта жилого дома Заявителя Зотовой Е.С., ДНТ «Кулешовка», Азовский район, Ростовская область, к.н. 61:01:0600006:1780 (1 шт.)</t>
  </si>
  <si>
    <t>Установка прибора коммерческого учета электрической энергии (мощности) на границе земельного участка, подключенного от опоры №93-7 ВЛ 0,4 кВ №2 КТП 10/0,4кВ №93 ВЛ 10кВ №202Н ПС 110/6/10 кВ НС-2 для технологического присоединения энергопринимающих устройств объекта жилого дома Заявителя Недоводова А.В., с. Кулешовка, Азовский район, Ростовская область, к.н. 61:01:0600006:10206 (1 шт.)</t>
  </si>
  <si>
    <t>Установка прибора коммерческого учета электрической энергии (мощности) на границе земельного участка, подключенного от опоры №381-89 ВЛ 0,4 кВ №2 КТП 10/0,4кВ №381 ВЛ 10кВ №106Н ПС 110/6/10 кВ НС-1 для технологического присоединения энергопринимающих устройств объекта жилого дома Заявителя Погосян Е.А., ДНТ «Кулешовка», Азовский район, Ростовская область, к.н. 61:01:0600006:1552 (1 шт.)</t>
  </si>
  <si>
    <t>Установка прибора коммерческого учета электрической энергии (мощности) на границе земельного участка, подключенного от опоры №158-76 ВЛ 0,4 кВ №4 КТП 10/0,4кВ №158 ВЛ 10кВ №1019 ПС 110/35/10 кВ Самарская для технологического присоединения энергопринимающих устройств объекта нежилого здания Заявителя Даничкиной Л.И., х. Победа, Азовский район, Ростовская область, к.н. 61:01:0041001:2363 (1 шт.)</t>
  </si>
  <si>
    <t>Установка прибора коммерческого учета электрической энергии (мощности) на границе земельного участка, подключенного от опоры №187-17 ВЛ 0,4 кВ №1 КТП 10/0,4кВ №187 ВЛ 10кВ №1815 ПС 35/10 кВ А-18 для технологического присоединения энергопринимающих устройств объекта жилого дома Заявителя Кучеровой Т.Т., х. Курган, Азовский район, Ростовская область, к.н. 61:01:0030701:1181 (1 шт.)</t>
  </si>
  <si>
    <t>Установка прибора коммерческого учета электрической энергии (мощности) на границе земельного участка, подключенного от опоры №61-42 ВЛ 0,4 кВ №4 КТП 10/0,4кВ №61 ВЛ 10кВ №3127 ПС 110/35/10 кВ А-31 для технологического присоединения энергопринимающих устройств объекта жилого дома Заявителя Воржевой Т.В., с. Займо-Обрыв, Азовский район, Ростовская область, к.н. 61:01:0140401:3076 (1 шт.)</t>
  </si>
  <si>
    <t>Установка прибора коммерческого учета электрической энергии (мощности) на границе земельного участка, подключенного от оп. №7-63 ВЛ-0,4 №1 КТП-7 ВЛ-10 114 от ПС 220 кВ Зерновая для технологического присоединения энергопринимающих устройств объекта малоэтажной жилой застройки Заявителя Лаптевой Г.В., Ростовская обл., Зерноградский р-н, г. Зерноград, ул. Назарова д.42 к.н. 61:12:0040806:60 (1 шт.)</t>
  </si>
  <si>
    <t>Установка прибора коммерческого учета электрической энергии (мощности) на границе земельного участка, подключенного от оп. №199-4 ВЛ-0,4 №1 КТП-199 ВЛ-10 805 от ПС 110 кВ БОС для технологического присоединения энергопринимающих устройств объекта малоэтажной жилой застройки заявителя Магдесян С.Л., Ростовская обл., Кагальницкий р-н, п. Мокрый Батай, ул. Вишневая д.37 к.н. 1:14:0060104:979 (1 шт.)</t>
  </si>
  <si>
    <t>Установка прибора коммерческого учета электрической энергии (мощности) на границе земельного участка, подключенного от оп. №3-6 ВЛ-0,4 №1 КТП-3 ВЛ-10 501 от ПС 35 кВ ЗР5 для технологического присоединения энергопринимающих устройств объекта ЛПХ Заявителя Чушков А.В., Ростовская обл., Зерноградский р-н, х. Гуляй-Борисовка, пер. 50 лет Победы д.14-А к.н. 61:12:0011226:443 (1 шт.)</t>
  </si>
  <si>
    <t>Установка прибора коммерческого учета электрической энергии (мощности) на границе земельного участка, подключенного от оп. №84-54 ВЛ-0,4 №1 КТП-84 ВЛ-10 415 от ПС 35 кВ КГ4 для технологического присоединения энергопринимающих устройств объекта малоэтажной жилой застройки Заявителя Шульдайс М.В., Ростовская обл., Кагальницкий р-н, х. Черниговский, пер. Донской д.3-Б к.н. 61:14:0031201:423 (1 шт.)</t>
  </si>
  <si>
    <t>Установка прибора коммерческого учета электрической энергии (мощности) на границе земельного участка, подключенного от опоры №265-27 ВЛ 0,4 кВ №2 КТП 10/0,4кВ №265 ВЛ 10кВ №2608 ПС 110/10 кВ А-26 для технологического присоединения энергопринимающих устройств объекта жилого дома Заявителя Андреасян А.С., с. Кулешовка, Азовский район, Ростовская область, к.н. 61:01:0090101:8873 (1 шт.)</t>
  </si>
  <si>
    <t>Установка прибора коммерческого учета электрической энергии (мощности) на границе земельного участка, подключенного от опоры №265-27 ВЛ 0,4 кВ №2 КТП 10/0,4кВ №265 ВЛ 10кВ №2608 ПС 110/10 кВ А-26 для технологического присоединения энергопринимающих устройств объекта жилого дома Заявителя Гаспарян А.В., с. Кулешовка, Азовский район, Ростовская область, к.н. 61:01:0090101:8872 (1 шт.)</t>
  </si>
  <si>
    <t>Установка прибора коммерческого учета электрической энергии (мощности) на границе земельного участка, подключенного от опоры №93-43 ВЛ 0,4 кВ №2 КТП 10/0,4кВ №93 ВЛ 10кВ №202Н ПС 110/6/10 кВ НС-2 для технологического присоединения энергопринимающих устройств объекта жилого дома Заявителя Шепеленко В.В., с. Кулешовка, Азовский район, Ростовская область, к.н. 61:01:060006:6222 (1 шт.)</t>
  </si>
  <si>
    <t>Установка прибора коммерческого учета электрической энергии (мощности) на границе земельного участка, подключенного от опоры №29-23 ВЛ 0,4 кВ №1 ЗТП 10/0,4кВ №29 КЛ 10кВ №1205 ПС 110/10 кВ А-12 для технологического присоединения энергопринимающих устройств объекта жилого дома Заявителя Волкова А.А., с. Кулешовка, Азовский район, Ростовская область, к.н. 61:01:0090102:2686 (1 шт.)</t>
  </si>
  <si>
    <t>Установка прибора коммерческого учета электрической энергии (мощности) на границе земельного участка, подключенного от опоры №316-11 ВЛ 0,4 кВ №1 МТП 10/0,4кВ №316 ВЛ 10кВ №211 ПС 35/10 кВ А-2 для технологического присоединения энергопринимающих устройств объекта жилого дома Заявителя Шабановой З.А., х. Новоалександровка, Азовский район, Ростовская область, к.н. 61:01:0110101:3263 (1 шт.)</t>
  </si>
  <si>
    <t>Установка прибора коммерческого учета электрической энергии (мощности) на границе земельного участка, подключенного от опоры №389-61 ВЛ 0,4 кВ №1 КТП 10/0,4кВ №389 ВЛ 10кВ №2008 ПС 220/110/10 кВ А-20 для технологического присоединения энергопринимающих устройств объекта жилого дома Заявителя Дурасова Ю.И., ДНТ «Донский зори», Азовский район, Ростовская область, к.н. 61:01:0501901:596 (1 шт.)</t>
  </si>
  <si>
    <t>Установка прибора коммерческого учета электрической энергии (мощности) на границе земельного участка, подключенного от опоры №41-4 ВЛ 0,4 кВ №1 ЗТП 10/0,4кВ №41 (бесхозная) ВЛ 10кВ №2608 ПС 110/10 кВ А-26 для технологического присоединения энергопринимающих устройств объекта дорожного хозяйства (светофорные объекты, объекты видеофиксации) Заявителя Министерство транспорта Ростовской области, Азовский район, Ростовская область, к.н. 61:01:0000000:189 (1 шт.)</t>
  </si>
  <si>
    <t>Установка прибора коммерческого учета электрической энергии (мощности) на границе земельного участка, подключенного от опоры №240-5 ВЛ 0,4 кВ №1 КТП 10/0,4кВ №240 ВЛ 10кВ №106Н ПС 110/6/10 кВ НС-1 для технологического присоединения энергопринимающих устройств объекта жилого дома Заявителя Гаспарян А.В., п. Овощной, Азовский район, Ростовская область, к.н. 61:01:0130101:5415 (1 шт.)</t>
  </si>
  <si>
    <t>Установка прибора коммерческого учета электрической энергии (мощности) на границе земельного участка, подключенного от опоры №289-41 ВЛ 0,4 кВ №1 КТП 10/0,4кВ №289 ВЛ 10кВ №2008 ПС 220/110/10 кВ А-20 для технологического присоединения энергопринимающих устройств объекта жилого дома Заявителя Панченко А.В., ДНТ «Донские зори», Азовский район, Ростовская область, к.н. 61:01:0501901:517 (1 шт.)</t>
  </si>
  <si>
    <t>Установка прибора коммерческого учета электрической энергии (мощности) на границе земельного участка, подключенного от опоры №381-33 ВЛ 0,4 кВ №1 КТП 10/0,4кВ №381 ВЛ 10кВ №106Н ПС 110/6/10 кВ НС-1 для технологического присоединения энергопринимающих устройств объекта жилого дома Заявителя Антонян А.А., Азовский район, Ростовская область, к.н. 61:01:0600006:10347 (1 шт.)</t>
  </si>
  <si>
    <t>Установка прибора коммерческого учета электрической энергии (мощности) на границе земельного участка, подключенного от опоры №14-94 ВЛ 0,4 кВ №3 КТП 10/0,4кВ №14 ВЛ 10кВ №106Н ПС 110/6/10 кВ НС-1 для технологического присоединения энергопринимающих устройств объекта жилого дома Заявителя Саркисян К.К., п. Овощной, Азовский район, Ростовская область, к.н. 61:01:0130101:5394 (1 шт.)</t>
  </si>
  <si>
    <t>Установка прибора коммерческого учета электрической энергии (мощности) на границе земельного участка, подключенного от опоры №17-92 ВЛ 0,4 кВ №1 КТП 10/0,4кВ №17 ВЛ 10кВ №107Н ПС 110/6/10 кВ НС-1 для технологического присоединения энергопринимающих устройств объекта жилого дома Заявителя Антонян А.А., п. Овощной, Азовский район, Ростовская область, к.н. 61:01:0130101:5424 (1 шт.)</t>
  </si>
  <si>
    <t>Установка прибора коммерческого учета электрической энергии (мощности) на границе земельного участка, подключенного от опоры №146-10 ВЛ 0,4 кВ №1 КТП 10/0,4кВ №146 ВЛ 10кВ №1701 ПС 35/10 кВ А-17 для технологического присоединения энергопринимающих устройств объекта жилого дома Заявителя Сокольского П.И., с. Круглое, Азовский район, Ростовская область, к.н. 61:01:0070101:8132 (1 шт.)</t>
  </si>
  <si>
    <t>Установка прибора коммерческого учета электрической энергии (мощности) на границе земельного участка, подключенного от опоры №146-11 ВЛ 0,4 кВ №1 КТП 10/0,4кВ №146 ВЛ 10кВ №1701 ПС 35/10 кВ А-17 для технологического присоединения энергопринимающих устройств объекта жилого дома Заявителя Сокольского П.И., с. Круглое, Азовский район, Ростовская область, к.н. 61:01:0070101:8131 (1 шт.)</t>
  </si>
  <si>
    <t>Установка прибора коммерческого учета электрической энергии (мощности) на границе земельного участка, подключенного от опоры №136-42 ВЛ 0,4 кВ №2 КТП 10/0,4кВ №136 ВЛ 10кВ №3113 ПС 110/35/10 кВ А-31 для технологического присоединения энергопринимающих устройств объекта жилого дома Заявителя Калачева А.А., с. Пешково, Азовский район, Ростовская область, к.н. 61:01:0140101:9428 (1 шт.)</t>
  </si>
  <si>
    <t>Установка прибора коммерческого учета электрической энергии (мощности) на границе земельного участка, подключенного от опоры №72-22 ВЛ 0,4 кВ №1 КТП 10/0,4кВ №72 ВЛ 10кВ №3127 ПС 110/35/10 кВ А-31 для технологического присоединения энергопринимающих устройств объекта жилого дома Заявителя Хейло Л.И., с. Займо-Обрыв, Азовский район, Ростовская область, к.н. 61:01:0140401:3659 (1 шт.)</t>
  </si>
  <si>
    <t>Установка прибора коммерческого учета электрической энергии (мощности) на границе земельного участка, подключенного от опоры №115-23 ВЛ 0,4 кВ №2 КТП 10/0,4кВ №115 ВЛ 10кВ №3125 ПС 110/35/10 кВ А-31 для технологического присоединения энергопринимающих устройств объекта жилого дома Заявителя Ивахненко В.В., с. Пешково, Азовский район, Ростовская область, к.н. 61:01:0140101:9471 (1 шт.)</t>
  </si>
  <si>
    <t>Установка прибора коммерческого учета электрической энергии (мощности) на границе земельного участка, подключенного от опоры №27-28 ВЛ 0,4 кВ №3 КТП 10/0,4кВ №27 ВЛ 10кВ №1701 ПС 35/10 кВ А-17 для технологического присоединения энергопринимающих устройств объекта жилого дома Заявителя Блок Е.А., с. Круглое, Азовский район, Ростовская область, к.н. 61:01:00701101:8046 (1 шт.)</t>
  </si>
  <si>
    <t>Установка прибора коммерческого учета электрической энергии (мощности) на границе земельного участка, подключенного от опоры №172-53 ВЛ 0,4 кВ №2 КТП 10/0,4кВ №172 ВЛ 10кВ №1702 ПС 35/10 кВ А-17 для технологического присоединения энергопринимающих устройств объекта жилого дома Заявителя Луценко В.Н., с. Стефанидинодар, Азовский район, Ростовская область, к.н. 61:01:0070201:4424 (1 шт.)</t>
  </si>
  <si>
    <t>Установка прибора коммерческого учета электрической энергии (мощности) на границе земельного участка, подключенного от опоры №10-22 ВЛ 0,4 кВ №1 КТП 10/0,4кВ №10 ВЛ 10кВ №3125 ПС 110/35/10 кВ А-31 для технологического присоединения энергопринимающих устройств объекта жилого дома Заявителя Едрышова И.Ю., с. Пешково, Азовский район, Ростовская область, к.н. 61:01:0140101:8685 (1 шт.)</t>
  </si>
  <si>
    <t>Установка прибора коммерческого учета электрической энергии (мощности) на границе земельного участка, подключенного от опоры №75-1 ВЛ 0,4 кВ №1 КТП 10/0,4кВ №75 ВЛ 10кВ №3125 ПС 110/35/10 кВ А-31 для технологического присоединения энергопринимающих устройств объекта жилого дома Заявителя Фенёва А.Ю., с. Пешково, Азовский район, Ростовская область, к.н. 61:01:0140101:6964 (1 шт.)</t>
  </si>
  <si>
    <t>Установка прибора коммерческого учета электрической энергии (мощности) на границе земельного участка, подключенного от оп. №134-1 ВЛ-0,4 №1 КТП-134 ВЛ-10 101 от ПС 220 кВ Зерновая для технологического присоединения энергопринимающих устройств объекта малоэтажной жилой застройки заявителя Бондарчук О.А., Ростовская обл., Зерноградский р-н, г. Зерноград, пер. Ярославский уч.14 к.н. 61:12:0040572:472 (1 шт.)</t>
  </si>
  <si>
    <t>Установка прибора коммерческого учета электрической энергии(мощности) награнице земельного участка, подключенного от оп.No31-49ВЛ-0,4  No2 КТП-31 ВЛ-10   801  от ПС   35  кВ ЗР8 для технологического присоединения энергопринимающих устройств объекта малоэтажной жилой застройки заявителя Земляков А.Ю., Ростовскаяобл., Зерноградскийр-н, х.Пишванов, ул.Интернациональная д.8к.н. 61:12:0000000:00 (1 шт.)</t>
  </si>
  <si>
    <t>Установка прибора коммерческого учета электрической энергии (мощности) на границе земельного участка, подключенного от оп. №169-131 ВЛ-0,4 №3 КТП-169 ВЛ-10 313 от ПС 35 кВ КГ3 для технологического присоединения энергопринимающих устройств объекта малоэтажной жилой застройки заявителя Клишин Э.И., Ростовская обл., Аксайский р-н, в юго-восточном направлении 2300м от центра х. Истомино, СНТ «Природа» уч.IV-19-4081 к.н. 61:02:0504601:4217 (1 шт.)</t>
  </si>
  <si>
    <t>Установка прибора коммерческого учета электрической энергии (мощности) на границе земельного участка, подключенного от оп. №19-13 ВЛ-0,4 №1 КТП-19 ВЛ-10 102 от ПС 110 кВ Звонкая для технологического присоединения энергопринимающих устройств объекта малоэтажной жилой застройки заявителя Ламтёв Д.В., Ростовская обл., Кагальницкий р-н, х. Первомайский, ул. Майская д.5 кв.1 к.н. 61:14:0070401:184 (1 шт.)</t>
  </si>
  <si>
    <t>Установка прибора коммерческого учета электрической энергии (мощности) на границе земельного участка, подключенного от оп. №46-16 ВЛ-0,4 №1 КТП-46 ВЛ-10 313 от ПС 35 кВ КГ3 для технологического присоединения энергопринимающих устройств объекта малоэтажной жилой застройки заявителя Рега Ю.С., Ростовская обл., Кагальницкий р-н, ст. Кировская, ул. Космонавтов д.41 к.н. 61:14:0050126:533 (1 шт.)</t>
  </si>
  <si>
    <t>Установка прибора коммерческого учета электрической энергии (мощности) на границе земельного участка, подключенного от опоры №32-29 ВЛ 0,4 кВ №2 КТП 10/0,4кВ №32 ВЛ 10кВ №2907 РП-29 ПС 35/10 кВ А-18 для технологического присоединения энергопринимающих устройств объекта жилого дома Заявителя Зарубиной А.М., х. Коса, Азовский район, Ростовская область, к.н. 61:01:0030601:6834 (1 шт.)</t>
  </si>
  <si>
    <t>Установка прибора коммерческого учета электрической энергии (мощности) на границе земельного участка, подключенного от опоры №66-1 ВЛ 0,4 кВ №1 КТП 10/0,4кВ №66 (бесхозная) ВЛ 10кВ №1815 ПС 35/10 кВ А-18 для технологического присоединения энергопринимающих устройств объекта жилого дома Заявителя Кайтамба Р.И., х. Курган, Азовский район, Ростовская область, к.н. 61:01:0030701:281:51 (1 шт.)</t>
  </si>
  <si>
    <t>Установка прибора коммерческого учета электрической энергии (мощности) на границе земельного участка, подключенного от опоры №25-133 ВЛ 0,4 кВ №1 КТП 10/0,4кВ №25 ВЛ 10кВ №1815 ПС 35/10 кВ А-18 для технологического присоединения энергопринимающих устройств объекта жилого дома Заявителя Самохиной А.В., х. Колузаево, Азовский район, Ростовская область, к.н. 61:01:0030501:1995 (1 шт.)</t>
  </si>
  <si>
    <t>Установка прибора коммерческого учета электрической энергии (мощности) на границе земельного участка, подключенного от опоры №50-2 ВЛ 0,4 кВ №1 КТП 10/0,4кВ №50 ВЛ 10кВ №3017 ПС 220/110/10 кВ А-30 для технологического присоединения энергопринимающих устройств объекта жилого дома Заявителя Снисарь Я.Н., с. Кугей, Азовский район, Ростовская область, к.н. 61:01:0080101:3443 (1 шт.)</t>
  </si>
  <si>
    <t>Установка прибора коммерческого учета электрической энергии (мощности) на границе земельного участка, подключенного от опоры №б/н ВЛ-0,4кВ КТП-10/0,4 кВ №35 (на балансе Администрации Елизаветинского сельского поселения) ВЛ-10кВ №1814 ПС 35/10 кВ А-18 для технологического присоединения энергопринимающих устройств объекта жилого дома Заявителя Шубинцевой О.Н., х. Обуховка, Азовский район, Ростовская область, к.н. 61:01:0030801:462 (1 шт.)</t>
  </si>
  <si>
    <t>Установка прибора коммерческого учета электрической энергии (мощности) на границе земельного участка, подключенного от опоры №б/н ВЛ-0,4кВ КТП-10/0,4 кВ №35 (на балансе Администрации Елизаветинского сельского поселения) ВЛ-10кВ №1814 ПС 35/10 кВ А-18 для технологического присоединения энергопринимающих устройств объекта жилого дома Заявителя Шиленко М.Э., х. Обуховка, Азовский район, Ростовская область, к.н. 61:01:030801:0509 (1 шт.)</t>
  </si>
  <si>
    <t>Установка прибора коммерческого учета электрической энергии (мощности) на границе земельного участка, подключенного от опоры №б/н ВЛ-0,4кВ КТП-10/0,4 кВ №37 (на балансе Администрации Елизаветинского сельского поселения) ВЛ-10кВ №1802 ПС 35/10 кВ А-18 для технологического присоединения энергопринимающих устройств объекта жилого дома Заявителя Журавлева И.А., х. Дугино, Азовский район, Ростовская область, к.н. 61:01:0030301:709 (1 шт.)</t>
  </si>
  <si>
    <t>Установка прибора коммерческого учета электрической энергии (мощности) на границе земельного участка, подключенного от опоры №326-16 ВЛ 0,4 кВ №1 КТП 10/0,4кВ №326 ВЛ 10кВ №202Н ПС 110/6/10 кВ НС-2 для технологического присоединения энергопринимающих устройств объекта жилого дома Заявителя Асташкиной И.В., с. Кулешовка, Азовский район, Ростовская область, к.н. 61:01:0090101:184 (1 шт.)</t>
  </si>
  <si>
    <t>Установка прибора коммерческого учета электрической энергии (мощности) на границе земельного участка, подключенного от опоры №184-11 ВЛ 0,4 кВ №2 КТП 10/0,4кВ №184 ВЛ 10кВ №1001 ПС 110/35/10 кВ Самарская для технологического присоединения энергопринимающих устройств объекта складского здания Заявителя Кооперативное хозяйство (коопхоз) Сельскохозяйственная Артель (колхоз) «Центральный», Азовский район, Ростовская область, к.н. 61:01:0041001:1444 (1 шт.)</t>
  </si>
  <si>
    <t>Установка прибора коммерческого учета электрической энергии (мощности) на границе земельного участка, подключенного от опоры №б/н ВЛ-0,4кВ КТП-10/0,4 кВ №38 (на балансе Администрации Елизаветинского сельского поселения) ВЛ-10кВ №1802 ПС 35/10 кВ А-18 для технологического присоединения энергопринимающих устройств объекта жилого дома Заявителя Константинова И.Г., х. Дугино, Азовский район, Ростовская область, к.н. 61:01:0030301:2225 (1 шт.)</t>
  </si>
  <si>
    <t>Установка прибора коммерческого учета электрической энергии (мощности) на границе земельного участка, подключенного от опоры №б/н ВЛ-0,4кВ КТП-10/0,4 кВ №9 (балансовая принадлежность ООО «Рыбколхоз им. Ленина») ВЛ-10кВ №1815 ПС 35/10 кВ А-18 для технологического присоединения энергопринимающих устройств объекта жилого дома Заявителя Подкалюк Д.А., х. Городище, Азовский район, Ростовская область, к.н. 61:01:0600002:1744 (1 шт.)</t>
  </si>
  <si>
    <t>Установка прибора коммерческого учета электрической энергии (мощности) на границе земельного участка, подключенного от опоры №34-30 ВЛ 0,4 кВ №2 КТП 10/0,4кВ №34 ВЛ 10кВ №1101 ПС 35/10 кВ А-11 для технологического присоединения энергопринимающих устройств объекта дорожного хозяйства (светофорные объекты, объекты видеофиксации) Заявителя Министерство транспорта Ростовской области, Азовский район, Ростовская область, к.н. 61:01:000000:0:49 (1 шт.)</t>
  </si>
  <si>
    <t>Установка прибора коммерческого учета электрической энергии (мощности) на границе земельного участка, подключенного от опоры №120-17 ВЛ 0,4 кВ №1 КТП 10/0,4кВ №120 ВЛ 10кВ №1107 ПС 35/10 кВ А-11 для технологического присоединения энергопринимающих устройств объекта жилого дома Заявителя Вершанской Л.И., с. Кагальник, Азовский район, Ростовская область, к.н. 61:01:0060101:13147 (1 шт.)</t>
  </si>
  <si>
    <t>Установка прибора коммерческого учета электрической энергии (мощности) на границе земельного участка, подключенного от опоры №168-30 ВЛ 0,4 кВ №2 КТП 10/0,4кВ №168 ВЛ 10кВ №1606 ПС 35/10 кВ А-16 для технологического присоединения энергопринимающих устройств объекта жилого дома Заявителя Живоглядовой Л.И., п. Новомирский, Азовский район, Ростовская область, к.н. 61:01:0050801:2044 (1 шт.)</t>
  </si>
  <si>
    <t>Установка прибора коммерческого учета электрической энергии (мощности) на границе земельного участка, подключенного от опоры №212-47 ВЛ 0,4 кВ №2 КТП 10/0,4кВ №212 ВЛ 10кВ №910 ПС 35/10 кВ А-9 для технологического присоединения энергопринимающих устройств объекта жилого дома Заявителя Кашеварова И.В., ДНТ «Звёздное», Азовский район, Ростовская область, к.н. 61:01:0000380:577 (1 шт.)</t>
  </si>
  <si>
    <t>Установка прибора коммерческого учета электрической энергии (мощности) на границе земельного участка, подключенного от опоры №233-2 ВЛ 0,4 кВ №2 СТП 10/0,4 кВ №233 ВЛ 10 кВ №1002 ПС 110/35/10 кВ Самарская для технологического присоединения энергопринимающих устройств объекта жилой застройки Заявителя Фетисова В.И., Азовский район, Ростовская область, к.н. 45:01:0600014:2900 (1 шт.)</t>
  </si>
  <si>
    <t>Установка прибора коммерческого учета электрической энергии (мощности) на границе земельного участка, подключенного от РУ 0,4 кВ КТП 6/0,4кВ №63 КЛ 6кВ №131 ПС 110/35/6 кВ А-1 для технологического присоединения энергопринимающих устройств объекта торговли (магазин) Заявителя ИП Дрон Е.В., г. Азов, Азовский район, Ростовская область, к.н. 61:45:0000291:1518 (1 шт.)</t>
  </si>
  <si>
    <t>Установка прибора коммерческого учета электрической энергии (мощности) на границе земельного участка, подключенного от опоры №134-19 ВЛ 0,4 кВ №1 КТП 10/0,4кВ №134 ВЛ 10кВ №1101 ПС 35/10 кВ А-11 для технологического присоединения энергопринимающих устройств объекта жилого дома Заявителя Жамкочян С.Р., с. Кагальник, Азовский район, Ростовская область, к.н. 61:01:0060101:4257 (1 шт.)</t>
  </si>
  <si>
    <t>Установка прибора коммерческого учета электрической энергии (мощности) на границе земельного участка, подключенного от опоры №214-77 ВЛ 0,4 кВ №4 КТП 10/0,4кВ №214 ВЛ 10кВ №910 ПС 35/10 кВ А-9 для технологического присоединения энергопринимающих устройств объекта жилого дома Заявителя Золотаревой Л.В., г.Азов, Азовский район, Ростовская область, к.н. 61:45:0000380:293 (1 шт.)</t>
  </si>
  <si>
    <t>Установка прибора коммерческого учета электрической энергии (мощности) на границе земельного участка, подключенного от опоры №148-47 ВЛ 0,4 кВ №2 КТП 10/0,4кВ №148 ВЛ 10кВ №1019 ПС 110/35/10 кВ Самарская для технологического присоединения энергопринимающих устройств объекта жилого дома Заявителя Самарской Н.В., х. Победа, Азовский район, Ростовская область, к.н. 61:01:004001:77 (1 шт.)</t>
  </si>
  <si>
    <t>Установка прибора коммерческого учета электрической энергии (мощности) на границе земельного участка, подключенного от опоры №44-36 ВЛ 0,4 кВ №1 КТП 10/0,4кВ №44 ВЛ 10кВ №1107 ПС 35/10 кВ А-11 для технологического присоединения энергопринимающих устройств объекта жилого дома Заявителя Вершанской Л.И., с. Кагальник, Азовский район, Ростовская область, к.н. 61:01:0060101:4952 (1 шт.)</t>
  </si>
  <si>
    <t>Установка прибора коммерческого учета электрической энергии (мощности) на границе земельного участка, подключенного от опоры №44-36 ВЛ 0,4 кВ №1 КТП 10/0,4кВ №44 ВЛ 10кВ №1107 ПС 35/10 кВ А-11 для технологического присоединения энергопринимающих устройств объекта жилого дома Заявителя Вершанской Л.И., с. Кагальник, Азовский район, Ростовская область, к.н. 61:01:0060101:5312 (1 шт.)</t>
  </si>
  <si>
    <t>Установка прибора коммерческого учета электрической энергии (мощности) на границе земельного участка, подключенного от опоры 0,4 кВ ВЛ-0,4 кВ №1 КТП 10/0,4 кВ №169 по ВЛ 10 кВ №3127 ПС 110/35/10 кВ А-31 для технологического присоединения энергопринимающих устройств жилого дома Заявителя Дениченко М.М., х. Береговой, Азовский район, Ростовская область, к.н. 61:01:0140201:988 (1 шт)</t>
  </si>
  <si>
    <t>Установка прибора коммерческого учета электрической энергии (мощности) на границе земельного участка, подключенного от опоры №65-1 ВЛ 0,4 кВ №1 ТП 10/0,4кВ №65 ВЛ 10кВ №1814 ПС 35/10 кВ А-18 для технологического присоединения энергопринимающих устройств объекта строительной площадки для возведения каркасного здания (строительный вагончик) Заявителя ИП Галенков А.С., х. Дугино, Азовский район, Ростовская область, к.н. 61:01:0030301:2266 (1 шт.)</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</si>
  <si>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 Нежлукченко О.М., расположенной по адресу: Ростовская область, Волгодонской район,станица Романовская, ул. Смолякова, д. 7, К.Н.З.у.: 61:08:070101:0173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</si>
  <si>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Асеева Л.Ю, расположенного по адресу: Ростовская обл., г. Волгодонск, СНТ Машиностроитель, ул. 33-я линия д. 47 ндр, 61:48:0020703:299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</si>
  <si>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Бурлакова Л.И., расположенного по адресу: Ростовская обл, г. Волгодонск р-н, ст. Романовская, ул. 75 лет Победы, д.70, к.н.61:08:0600601:4626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</si>
  <si>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Гончаров В.Ф, расположенного по адресу: Ростовская обл., Волгодонской р-он, х. Лагутники, ул. Луговая д.6а, 61:08:0070209:382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</si>
  <si>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Лаптева Е.М, расположенного по адресу: Ростовская обл., Волгодонской р-н, ст. Романовская, пер. Бобровский,д.66Б,к.н.з.у.: 61:08:0070108:564</t>
  </si>
  <si>
    <t>Установка прибора коммерческого учетаэлектрической энергии (мощности) в точке поставки и монтаж ответвления от ВЛИ к вводу для присоединения малоэтажной жилой застройки(индивидуального жилого дома/садового/дачного дома ) Лукашева АА,расположенной по адресу: Ростовская область, Волгодонской район, станица Романовская, ул. Забазновой, д. 5, к.н.з.у.:61:08:0070113:360</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</si>
  <si>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Волгодонской район, х. Морозов, пер. Почтовый, д. 17, пом. №3, к.н.з.у.: 61:08:0020203:332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</si>
  <si>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Харисов Р.А, расположенного по адресу: Ростовская обл., Волгодонской р-н, ст. Романовская, пер. Котова, д. 11а, 61:08:0070129:218:429</t>
  </si>
  <si>
    <t>Установка прибора коммерческого учета электрической энергии (мощности) в точке поставки и монтажа ответвлений от ВЛИ к вводу для присоединения малоэтажной жилой застройки Томской В.К., расположенной по адресу:Ростовская область, Мартыновский район, х. Денисов, ул.Южная д.56 к.н.з.у.:61:20:0060201:2095</t>
  </si>
  <si>
    <t>Установка прибора коммерческого учета электрической энергии (мощности) в точке поставки и монтаж ответвления от ВЛ к вводу для присоединения магазина ИП Фетисова Г.И., расположенного по адресу: Ростовская область, Цимлянский район, станица Терновская, ул. Центральная, д. 50а, к.н.з.у.: 61:41:0060302:1</t>
  </si>
  <si>
    <t>Установка прибора коммерческого учетаэлектрической энергии (мощности) в точке поставки и монтаж ответвления от ВЛк вводу для присоединения малоэтажной жилой застройки Бондаренко Д.Д.,расположенной по адресу: Ростовская область, Волгодонской район, станицаРомановская, пер. Советский, д. 115Б, К.Н.З.у.:61:08:0070107:1181</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</si>
  <si>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 Хадановой О.В.,расположенной по адресу: Ростовская область, Волгодонской район, станицаРомановская, ул. 75 лет Победы, д. 72, К.Н.З.у.:61:08:0600601:4628</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</si>
  <si>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 Плешканевой Г.А., расположенной по адресу: Ростовская область, Волгодонской район,станица Романовская, ул. Весенняя, д. 13А, К.Н.З.у.: 61:08:0070114:593</t>
  </si>
  <si>
    <t>Установка прибора коммерческого учета электрической энергии (мощности) в точке поставки для присоединения жилого дома ООО "Колос", расположенного по адресу 347460 Российская Федерация, Ростовская обл., р-н. Зимовниковский, п. Зимовники, пер. Клубный,  д. 11, кадастровый номер 61:13:0010336:30</t>
  </si>
  <si>
    <t xml:space="preserve">Установка прибора коммерческого учетаэлектрической энергии (мощности) в точке поставки и монтаж ответвления от ВЛИ к вводу для присоединения малоэтажной жилой застройки(индивидуального жилого дома/садового/дачного дома) Медведева С.С.,расположенной по адресу: Ростовская область, Заветинский район, х. Шебалин,ул. Василия Зиновеевича Коломейцева, д. 7, К.Н.З.у.: 61:11:0090101:1685 </t>
  </si>
  <si>
    <t>Установка прибора коммерческого учетаэлектрической энергии (мощности) в точке поставки и монтаж ответвления отВЛИ к вводу для присоединения нежилой застройки (хозяйственной постройки,нежилого здания) 000 «Племзавод Федосеевский», расположенной по адресу:Ростовская область, Заветинский район, с. Федосеевка, ул. Центральная, д. 12А,К.Н.З.у.: 61:11:0070101:1253</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</si>
  <si>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(квартиры) Шаламовой Т.В.,расположенного по адресу: Ростовская область, Волгодонской район, х.Рябичев, ул. Мира, д. 10, кв. 1, К.Н.З.у.: 61:08:0030103:86</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</si>
  <si>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Пашенцева А.Г., расположенной по адресу: Ростовская область, Константиновский район, станица Николаевская, ул. Крупской, д. 109, кв. 2, к.н.з.у.: 61:17:0050101:893</t>
  </si>
  <si>
    <t>Установка прибора коммерческого учетаэлектрической энергии (мощности) в точке поставки и монтаж ответвления отВЛ к вводу для присоединения парка села Первомайское Администрации Первомайского сельского поселения Ремонтненского района Ростовскойобласти, расположенного по адресу: Ростовская область, Ремонтненский район, с. Первомайское, парк в центре села Первомайское между ул. Октябрьская и ул.Богданова, К.Н.З.у.: 61:32:0080102:2701.</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</si>
  <si>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в жилом доме Сулеймановой А.А., расположенной по адресу: Ростовская область, Дубовский район, х. Присальский, ул.Центральная д.10 кв.1, к.н.з.у: 61:09:0070101:98</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</si>
  <si>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(индивидуальногожилого дома/садового/дачного дома) Гончарова В.А., расположенной по адресу:Ростовская область, Зимовниковский район, х. Озерский, ул. Приозерная, д. 16,к.н.з.у.:61:13:0020501:31О</t>
  </si>
  <si>
    <t>Установка прибора коммерческого учета электрической энергии (мощности) в точке поставки и монтаж ответвления от ВЛИ к вводу для присоединения строительной площадки Серебрякова А.В., расположенной по адресу: Ростовская область, Волгодонской район, станица Романовская, пер. Союзный, д. 98-а, к.н.з.у.:61:08:0070107:879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</si>
  <si>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Байгаринова А.А., расположенной' по адресу: Ростовская область, Волгодонской район, станица Романовская, пер. Рубиновый, д. 9а, к.н.з.у.: 61:08:0070114:1036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</si>
  <si>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Сукачевой А.С., расположенной по адресу: Ростовская область, Волгодонской район, станица Романовская, ул. 75 лет Победы, д. 68, к.н.з.у.: 61:08:0600601:4624</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</si>
  <si>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ИП глав К(Ф)Х Батченко О. Н., расположенного по адресу: Ростовская обл., р-н. Дубовский, х. Веселый, в границах кадастрового квартала 61:09:0600006, к.н.з.у.: 61:09:0600006:342</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</si>
  <si>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 (Индивидуальный жилой дом/Садовый/Дачный дом) Разгуляевой М.В.,расположенной по адресу: Ростовская область, Волгодонской район, станицаРомановская, ул. Шолохова, д. 10, к.н.з.у.:61:08:0600601:5026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</si>
  <si>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Игнатенко Г.Г., расположенной по адресу: Ростовская область, г. Волгодонск, ул. Отдыха, земельный участок 39в1, к.н.з.у.:61:48:00201 01:1876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</si>
  <si>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Шевченко В.В., расположенной по адресу: Ростовская область, Волгодонской район, станица Романовская, пер. Гагарина, д. 38, к.н.з.у.: 61:08:0070109:17</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</si>
  <si>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Лихолетовой М.В., расположенного по адресу: Ростовская область, Волгодонской район, станица Романовская, ул. Одесская, д. 11, к.н.з.у.: 61:08:0600601:3842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</si>
  <si>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Лукашевой Н.А., расположенной по адресу: Ростовская область, Волгодонской район, станица Романовская, ул. Забазновой, д. 3, к.н.з.у.: 61:08:0070113:661</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</si>
  <si>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Пустовой И.Т., расположенной по адресу: Ростовская область, г. Волгодонск, ул. Отдыха, д. 3, к.н.з.у.: 61:48:0020101:1283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</si>
  <si>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Бережного В.И., расположенной по адресу: Ростовская область, Волгодонской район, станица Каргальская, ул. Центральная, д. 27, к.н.з.у.: 61:08:0040501:92</t>
  </si>
  <si>
    <t>Установка прибора коммерческогоучета электрической энергии (мощности) в точке поставки и монтажответвления от ВЛИ к вводу для присоединения малоэтажной жилой застройки Мельчаковой Л.Ю., расположенной по адресу: Ростовская область, г. Волгодонск, СНТ «Машиностроитель», ул. 45 линия, д. 1094 а, К.Н.З.у.:61:48:0020702:139</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</si>
  <si>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Сердюкова А.В., расположенного по адресу: Ростовская область, Волгодонской район, станица Романовская, ул. Одесская, д. 3-а, к.н.з.у.: 61:08:0600601:3889</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</si>
  <si>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Борисычевой Н.В., расположенного по адресу: Ростовская область, Волгодонской район, станица Романовская, ул. 75 лет Победы, д. 58, к.н.з.у.:61:08:0600601:4615</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</si>
  <si>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Батухтина Д.Г., расположенного по адресу: Ростовская область, Константиновский район, х. Нижнекалинов, ул. Мира, д. 16, к.н.з.у.: 61:17:0060801:248</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</si>
  <si>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Битиевой М.З., расположенной по адресу: Ростовская область, Заветинский район, х. Фрунзе, ул. Садовая, д. 2, кв. 1, к.н.з.у.:61:61:14:010:2008:120»</t>
  </si>
  <si>
    <t>Установка прибора коммерческого учета электрической энергии (мощности) в точке поставки и монтаж ответвления от ВЛ к вводу для скважины ИП главы КФХ Губашева З.Х.,расположенной по адресу: Ростовская область, Дубовский район, х. Мирный, в границах кадастрового квартала 60 00 14 Мирненской с/а, к.н.з.у.: 61:09:0600014:563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</si>
  <si>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застройки (Индивидуальный жилой дом/Садовый/Дачный дом) Айвазова А.К., расположенной по адресу: Ростовская область, Мартыновский район, х. Арбузов, ул. Школьная д. 14а, к.н.з.у.: 61:20:0080201:3050</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</si>
  <si>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Князевой Н.Ю., расположенного по адресу: Ростовская область, Волгодонской район, станица Романовская, ул. Язева, д. 9, к.н.з.у.: 61:08:0600601:3825</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</si>
  <si>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Еременко А.А., расположенной по адресу: Ростовская область, Волгодонской район, станица Романовская, ул. 75 лет Победы, д. 80, К.Н.З.у.:61 :08:0600601 :4636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</si>
  <si>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Зеленской И.А., расположенной по адресу: Ростовская область, Волгодонской район, станица Романовская, ул. 75 лет Победы, д. 82, к.н.з.у.: 61:08:0600601:4638</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</si>
  <si>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Махмудова Р.Р.., расположенной по адресу: Ростовская область, Мартыновский район, х. Типчаковый, ул. Западная земельный участок номер 19, к.н.з.у.: 61:20:0080901:1087)</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</si>
  <si>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Денисенко Е.В., расположенного по адресу: Ростовская область, Цимлянский район, станица Красноярская, пер. Кривой, д. 21, к.н.з.у.: 61:41:0020103:465</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</si>
  <si>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Кадочниковой Е.Ю., расположенной по адресу: Ростовская область, Волгодонской район, станица Романовская, ул. Базарная, д. 33А, к.н.з.у.: 61:08:0070117:873</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</si>
  <si>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Лунева А.В., расположенного по адресу: Ростовская область, Волгодонской район, станица Романовская, пер. Комсомольский, д. 9А, к.н.з.у.: 61:08:0070129:789</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</si>
  <si>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Василенко А.А., расположенного по адресу: Ростовская область, Волгодонской район, станица Романовская, ул. Язева, д. 55, к.н.з.у.: 61:08:0600601:4727</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</si>
  <si>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Могиленко М.А., расположенного по адресу: Ростовская область, Волгодонской район, станица Романовская, пер. Шолохова, д. 23, к.н.з.у.: 61:08:0600601:4987</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</si>
  <si>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Демидова Н.П., расположенного по адресу: Ростовская область, Волгодонской район, станица Романовская, пер. Шолохова, д. 13, к.н.з.у.: 61:08:0600601:4992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</si>
  <si>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Следневой О.О., расположенной по адресу: Ростовская область, Волгодонской район, станица Романовская, пер. Котова, д. 119, к.н.з.у.: 61:08:0070126:895</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</si>
  <si>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Следневой О.О., расположенной по адресу: Ростовская область, Волгодонской район, станица Романовская, пер. Котова, д. 119а, к.н.з.у.: 61:08:0070126:894</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</si>
  <si>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Чижиковой Н.Н., расположенного по адресу: Ростовская область, Волгодонской район, станица Романовская, пер. Шолохова, д. 8, к.н.з.у.: 61:08:0600601:5015</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</si>
  <si>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Масловского В.С., расположенного по адресу: Ростовская область, Волгодонской район, станица Романовская, пер. Шолохова, д. 16, к.н.з.у.: 61:08:0600601:5059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</si>
  <si>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Бутко Н.Н., расположенной по адресу: Ростовская область, г. Волгодонск, СНТ Машиностроитель, ул. 41-я линия, земельный участок 213, к.н.з.у.: 61:48:0020702:182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</si>
  <si>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Варвы А.Н., расположенной по адресу: Ростовская область, Волгодонской район, станица Романовская, пер. Шолохова, д. 25, к.н.з.у.: 61:08:0600601:4986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</si>
  <si>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Камаловой И.И., расположенной по адресу: Ростовская область, Мартыновский район, х. Сальский Кагальник, пер. Зеленый, д. 3, к.н.з.у.: 61:20:0060501:2366</t>
  </si>
  <si>
    <t>Установка прибора коммерческого учета электрической энергии (мощности) в точке поставки и монтаж ответвления от ВЛ к вводу для присоединения здания от кормплощадки КХ «Расул», расположенной по адресу: Ростовская область, Ремонтненский район, п. Новопривольный, ул. Прудовая, д. 15, к.н.о.: 61:32:0000000:2258</t>
  </si>
  <si>
    <t xml:space="preserve">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Местной религиозной организации православный Приход храма преподобного Сергия Радонежского села Подгорное Ремонтненского района Ростовской области Религиозной организации «Волгодонская Епархия Русской Православной Церкви (Московский Патриархат)», расположенный по адресу: Ростовская область, Ремонтненский район, с. Подгорное, ул. Советская, д. 6, к.н.о.: 61:32:0090101:1730, к.н.з.у.: 61:32:0090101:1729 </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</si>
  <si>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Казьмичевой А.Г., расположенного по адресу: Ростовская область, Цимлянский район, х. Лозной, пер. Космонавтов, д. 45-б, к.н.з.у.: 61:41:0030112:42</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</si>
  <si>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объектов наружного освещения Администрации Красноярского сельского поселения, расположенных по адресу: Ростовская область, Цимлянский район, станица Красноярская, восточнее земельного участка с к.н. 61:41:0020113:10, к.н.з.у.: 61:41:0020113:844</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</si>
  <si>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Прощай В.А., расположенного по адресу: Ростовская область, Волгодонской район, станица Романовская, ул. 75 лет Победы, д. 28, к.н.з.у.: 61:08:0600601 :4585</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</si>
  <si>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Гречко Г.М., расположенной по адресу: Ростовская область, г. Волгодонск, СНТ Машиностроитель, улица 36-линия, земельный участок 805, к.н.з.у.: 61:48:0020703:29</t>
  </si>
  <si>
    <t>Установка прибора коммерческого учета электрической энергии (мощности) в точке поставки и монтаж ответвления от ВЛИ к вводу для присоединения нежилой застройки (хозяйственная постройка, нежилое здание) ПАО «Газпром газораспределение Ростов-на-Дону», расположенной по адресу: Ростовская область,Цимлянский район, г.Цимлянск, ул.Победы, д. 116е, к.н.з.у.: 61:41:0010506:112 (1 шт)</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</si>
  <si>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Михайлова А.А., расположенного по адресу: Ростовская область, Константиновский район, х. Гапкин, ул. Мира, д. 3, к.н.з.у.: 61:17:0040101:749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</si>
  <si>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Перова В.А., расположенной по адресу: Ростовская область, Цимлянский район, станица Красноярская, ул. Строителей, д. 21, к.н.з.у.: 61:41:0020120:73</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</si>
  <si>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Айналимова С.К., расположенного по адресу: Ростовская область, Волгодонской район, станица Романовская, пер. Шолохова, д. 19, к.н.з.у.: 61:08:0600601:4989</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</si>
  <si>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Палашкина С.В., расположенной по адресу: Ростовская область, Волгодонской район, станица Романовская, ул. Одесская, 52, к.н.з.у.: 61:08:0600601:3865</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</si>
  <si>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Поляковой Р.М., расположенной по адресу: Ростовская область, г. Волгодонск, садоводческое товарищество «Машиностроитель», уч. 227 др, к.н.з.у.:61:48:0020704:578</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</si>
  <si>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Маковецкого А.И., расположенного по адресу: Ростовская область, Волгодонской район, станица Романовская, пер. Союзный, д. 130, к.н.з.у: 61 :08:0070113:345</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</si>
  <si>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Малеваной И.А., расположенного по адресу: Ростовская область, Волгодонской район, станица Романовская, ул. Красноармейская, д. 20, к.н.з.у.: 61:08:0070105:1118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</si>
  <si>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Лазаревой А.В., расположенной по адресу: Ростовская область, г. Волгодонск, ул. Отдыха, д. 3, к.н.з.у.: 61:48:0020101:1278</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</si>
  <si>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Бутыриной О.Ю., расположенного по адресу: Ростовская область, Волгодонской район, станица Романовская, пер. Шолохова, 18, к.н.з.у.: 61:08:0600601:5070</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</si>
  <si>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Семибратовой Н.В., расположенного по адресу: Ростовская область, Константиновский район, х. Ведерников, ул. Октябрьская, д. 26Б, к.н.з.у.: 61:17:0010502:343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</si>
  <si>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Бондарева А.Н., расположенной по адресу: Ростовская область, Константиновский район, х. Ведерников, ул. Донская, д. 4а, к.н.о.: 61:17:0000000:8164, к.н.з.у.: 61:17:0010602:18</t>
  </si>
  <si>
    <t>Установка прибора коммерческого учета электрической энергии (мощности) в точке поставки и монтаж ответвления от ВЛ к вводу для присоединения административного/офисного здания ПАО "Сбербанк" расположенного по адресу:Ростовская область, Мартыновский район, слобода Большая Орловка, ул. Революционная, д. 67, к.н.з.у.:61:20:002010112509</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</si>
  <si>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Марченко Л.В., расположенного по адресу: Ростовская область, Цимлянский район, х. Лозной, ул. Мира, д. 48А, к.н.з.у.: 61:41:0030108:103</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</si>
  <si>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Штепа В.И., расположенного по адресу: Ростовская область, Волгодонской район, станица Романовская, пер. Кожанова, д. 71а, к.н.з.у.: 61:08:0070107:1196</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</si>
  <si>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Шевченко И.Ю., расположенного по адресу: Ростовская область, Волгодонской район, станица Романовская, пер. Стахановский, д. 84, к.н.з.у.: 61:08:0070125:383</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</si>
  <si>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Рахимовой С.И., расположенного по адресу: Ростовская область, Волгодонской район, станица Романовская, пер. Чехова, д. 3, к.н.з.у.: 61:08:0070133:17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</si>
  <si>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Лукашева А.А., расположенного по адресу: Ростовская область, Волгодонской район, станица Романовская, ул. Базарная, д. 14, корп. а, к.н.з.у.: 61:08:0070107:1194</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</si>
  <si>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Трикозовой И.П., расположенной по адресу: Ростовская область, Зимовниковский район, х.Нижнежировский, ул. Нижнежировская, д.28 кв.1, к.н.з.у.: 61:13:0020401:52</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</si>
  <si>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Савковской О.Н., расположенной по адресу: Ростовская область, Волгодонской район, станица Романовская, ул. Язева, д. 59, к.н.з.у.: 61:08:0600601:4717</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</si>
  <si>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Харламова Д.А., расположенного по адресу: Ростовская область, Волгодонской район, станица Романовская, ул. 75 лет Победы, д. 86, к.н.з.у.: 61:08:0600601:4642</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</si>
  <si>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объекта наружного освещения ООО «Арт сити», расположенного по адресу: Ростовская область, г. Волгодонск, ул. Отдыха, д. 39, к.н.з.у.: 61:40:0020101:1875</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</si>
  <si>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Барбаянова Г.В., расположенного по адресу: Ростовская область, Волгодонской район, станица Романовская, пер. Союзный, д. 136, к.н.з.у.: 61:08:0070113:379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</si>
  <si>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Есипко А.П., расположенной по адресу: Ростовская область, Волгодонской район, станица Романовская, пер. Котова, д. 36а к.н.з.у.: 61:08:0070128:1213</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</si>
  <si>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Гайдая А.В., расположенной по адресу: Ростовская область, Волгодонской район, станица Романовская, пер. Шолохова, д. 17, к.н.з.у.: 61:08:0600601:4990</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</si>
  <si>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Афанасьевой Е.Г., расположенного по адресу: Ростовская область, Волгодонской район, станица Романовская, пер. Шолохова, д. 2, к.н.з.у.: 61:08:0600601:4982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</si>
  <si>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Розумматовой Ю.И., расположенной по адресу: Ростовская область, Волгодонской район, станица Романовская, пер. Изумрудный, д. 18А, к.н.з.у.: 61:08:0070114:714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</si>
  <si>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Чуб О.Л., расположенной по адресу: Ростовская область, Константиновский район, х. Ведерников, ул. Садовая, д. 9, к.н.з.у.: 61:17:0010601:581</t>
  </si>
  <si>
    <t>Установка прибора коммерческого учета электрической энергии (мощности) в точке поставки и монтаж ответвления от ВЛ к вводу для присоединения здания аптеки ИП Лаврентьевой Е.И.,расположенного по адресу: Ростовская область, Ремонтненский район, с.Подгорное, ул. Советская, д. 23, к.н.з.у.: 61:32:0090101:530, к.н.о.:61:32:0090101:1597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</si>
  <si>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Власовой К.Н., расположенной по адресу: Ростовская область, Мартыновский район, х. Арбузов, ул. Школьная, д. 58-а, к.н.з.у.: 61:20:0080201:2790</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</si>
  <si>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Мосеева Н.М., расположенной по адресу: Ростовская область, Мартыновский район, слобода Большая Орловка, пер. Зеленый, д. 2, кв. 2, к.н.з.у.: 61:20:0020101:7505</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</si>
  <si>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Айгумова М.Г.А., расположенного по адресу: Ростовская область, Цимлянский район, станица Новоцимлянская, ул. Молодежная, д. 20, к.н.з.у.: 61:41:0070108:266</t>
  </si>
  <si>
    <t>Установка прибора коммерческого учета электрической энергии (мощности) в точке поставки и монтаж ответвления от ВЛ к вводу для присоединения квартиры в жилом доме Джамалхановой М.Р., расположенной по адресу: Ростовская область, Дубовский район, х. Присальский, ул. Степная, д. 3, кв. 2, к.н.з.у.: 61:09:0070101:255</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</si>
  <si>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прочее) ИП Ускова А.А., расположенного по адресу: Ростовская область, Дубовский район, станица Жуковская, ул. Чапаева, д. 22, к.н.з.у.: 61:09:0030101:2896</t>
  </si>
  <si>
    <t>Строительство участка ВЛИ-0,4 кВ от опоры №2/4 ВЛИ-0,4 кВ №1 КТП 8262 ВЛ 6 кВ №15 ПС 35 кВ Романовская и установка прибора коммерческого учета электрической энергии (мощности) в точке поставки, с монтажом ответвления от ВЛИ к вводу, для присоединения жилого дома Герасимовой М.М., расположенного по адресу: Ростовская область, Волгодонской район, станица Романовская, ул. Шолохова, д. 7, к.н.з.у.: 61:08:0600601:4996 (ориентировочная протяженность ЛЭП 0,025 км)</t>
  </si>
  <si>
    <t>Установка прибора учета для технологического присоединения уличного освещения заявителя Администрация муниципального образования «Кутейниковское сельское поселение», расположенного по адресу: Ростовская область, Чертковский район, с. Кутейниково, ул. Кирова (1шт.)</t>
  </si>
  <si>
    <t>Установка прибора учета для тех. прис. жилого дома заявителя Коробкиной Н.Н., расположен.: РО, Чертковский район, х. Петровский, ул. Заречная</t>
  </si>
  <si>
    <t>Установка прибора учета для технологического присоединения личного подсобного хозяйства заявителя Кошелева А.И., расположенного по адресу: Ростовская область, Миллеровский район, х. Журавка, ул. Луговая, д. 2, к.н.з.у. 61:22:0060501:79 (1шт.)</t>
  </si>
  <si>
    <t>Установка прибора учета для технологического присоединения объектов наружного освещения заявителя Администрации муниципального образования «Алексеево-Лозовское сельское поселение», расположенного по адресу: Ростовская область, Чертковский район, с. Алексеево-Лозовское, ул. Рабочая (1шт.)</t>
  </si>
  <si>
    <t>Установка прибора учета для технологического присоединения объектов наружного освещения заявителя Администрации муниципального образования «Алексеево-Лозовское сельское поселение», расположенного по адресу: Ростовская область, Чертковский район, х. Малая Лозовка, ул. Мира, ул. Торговая (1шт.)</t>
  </si>
  <si>
    <t>Установка прибора учета для технологического присоединения жилого дома заявителя Карпенко А.Н., расположенного по адресу: Ростовская область, Боковский район, ст. Боковская, пер. Абрикосовый, д. 3, к.н.з.у. 61:05:0600004:288 (1шт.)</t>
  </si>
  <si>
    <t>Установка прибора учета для технологического присоединения жилого дома заявителя Филимоновой Л.Н., расположенного по адресу: Ростовская область, Боковский район, х. Попов, ул. Заречная, д. 11, к.н.з.у. 61:05:0040703:8 (1шт.)</t>
  </si>
  <si>
    <t>Установка прибора учета для технологического присоединения жилого дома заявителя Кочетова В.Н., расположенного по адресу: Ростовская область, Боковский район,ст.Каргинская, ул.Чирская,д.23 А,к.н.з.у.61:05:0040101:259 (1 шт.)</t>
  </si>
  <si>
    <t>Установка прибора учета для технологического присоединения жилого дома заявителя Кузнецов М.М., расположенного по адресу: Ростовская область, Боковский район, х. Земцов, ул. Школьная, д. 35 Б, к.н.з.у. 61:05:0070502:412 (1шт.)</t>
  </si>
  <si>
    <t>Установка прибора учета для технологического присоединения объектов наружного освещения заявителя Администрация муниципального образования «Алексеево-Лозовское сельское поселение», расположенного по адресу: Ростовская область, Чертковский район, с. Греково-Степановка, ул. Дружбы (1шт.)</t>
  </si>
  <si>
    <t>Установка прибора учета для технологического присоединения Малоэтажная жилая застройка (Индивидуальный жилой дом/Садовый/ Дачный дом) заявителя Резановой И.Н., расположенного по адресу: Ростовская область, Кашарский район, сл. Кашары, ул. Заречная, д. 49, кв./оф.2, к.н.з.у. 61:16:0010104:115 (1 шт.)</t>
  </si>
  <si>
    <t>Установка прибора учета для технологического присоединения квартиры заявителя Денисова В.Н., расположенного по адресу: Ростовская область, Верхнедонской район, п. Придонской, ул. Придонская, д. 26, кв/оф. 4, к.н. 61:07:0090101:573 (1шт.)</t>
  </si>
  <si>
    <t>Установка прибора учета для технологического присоединения жилого дома заявителя Воронина Д.А., расположенного по адресу: Ростовская область, Верхнедонской район, х. Поповка, ул. Атаманская, д. 41, к.н.з.у. 61:07:0040401:594 (1шт.)</t>
  </si>
  <si>
    <t>Установка прибора учета для технологического присоединения жилого дома заявителя Кругликовой А.О., расположенного по адресу: Ростовская область, Боковский район, ст-ца Краснокутская, ул. Молодежная, д. 26, к.н.з.у. 61:05:0060108:305 (1шт.)</t>
  </si>
  <si>
    <t>Установка прибора учета для технологического присоединения здания гпража заявителя Кривошеева Ю.П., расположенного по адресу: Ростовская область, Боковский район, ст-ца Боковская, пер. Чкалова, д. 104 Б, к.н.з.у. 61:05:0010104:389 (1шт.)</t>
  </si>
  <si>
    <t>Установка прибора учета для технологического присоединения личного подсобного хозяйства заявителя Ломаковой М.С., расположенного по адресу: Ростовская область, Кашарский район, сл. Кашары, ул. Заводская, д. 7А, к.н.з.у. 61:16:0010178:138 (1 шт.)</t>
  </si>
  <si>
    <t>Установка прибора учета для технологического присоединения магазина заявителя ИП Романченко Е.А., расположенного по адресу: Ростовская область, Кашарский район, х. Талловеров, ул. Киевская, д. 62А, к.н.з.у. 61:16:0160101:1548 (1 шт.)</t>
  </si>
  <si>
    <t>Установка прибора учета для технологического присоединения объектов наружного освещения заявителя Администрация муниципального образования «Алексеево-Лозовское сельское поселение», расположенного по адресу: Ростовская область, Чертковский район, х. Малая Лозовка, ул. Лесная (1шт.)</t>
  </si>
  <si>
    <t>Установка прибора учета для технологического присоединения личного подсобного хозяйства заявителя Домме Н..А., расположенного по адресу: Ростовская область, Миллеровский район, х. Журавка, ул. Степная, д. 9, к.н.з.у. 61:22:0060501:109 (1шт.)</t>
  </si>
  <si>
    <t>Установка прибора учета для технологического присоединения магазина заявителя ИП Пичкур В.В., расположенного по адресу: Ростовская область, Миллеровский район, сл. Рогалик, ул. Дружбы, д. 56, корп.а, к.н.з.у. 61:22:0130101:1064 (1шт.)</t>
  </si>
  <si>
    <t>Установка прибора учета для технологического присоединения объектов уличного освещения заявителя Администрация муниципального образования «Маньковское сельское поселение», расположенного по адресу: Ростовская область, Чертковский район, с. Маньково-Калитвенское, пер. Некрасова (1шт.)</t>
  </si>
  <si>
    <t>Установка прибора учета для технологического присоединения жилого дома заявителя Ковалева С.А., расположенного по адресу: Ростовская область, Кашарский район, х. Семеновка, ул. Заречная, д. 61, к.н.з.у. 61:16:0130701:96 (1 шт.)</t>
  </si>
  <si>
    <t>Установка прибора учета для технологического присоединения личного подсобного хозяйства, заявитель Задорожний В.В., расположенного по адресу: Ростовская область, Миллеровский район, х. Каменка, ул. Вишневая, д. 48, к.н.з.у. 61:22:0100401:209 (1шт.)</t>
  </si>
  <si>
    <t>Установка прибора учета для технологического присоединения строительство подъезда к х. Коньков заявителя, Администрация Боковского района, расположенного по адресу: Ростовская область, Боковский район, х. Коньков, (1шт.)</t>
  </si>
  <si>
    <t>Установка прибора учета для технологического присоединения земельного участка для ведения личного подсобного хозяйства заявителя Осикова Ю.П., расположенного по адресу: Ростовская область, Кашарский район, х. Анисимовка, ул. Садовая, д. 10, к.н.з.у. 61:16:0030201:12 (1 шт.)</t>
  </si>
  <si>
    <t>Установка прибора учета для технологического присоединения жилого дома заявителя Дроновой А.И., расположенного по адресу: Ростовская область, Верхнедонской район, ст-ца Мешковская, ул. Ватутина, д. 19, к.н.з.у. 61:07:0110501:505 (1шт.)</t>
  </si>
  <si>
    <t>Установка прибора учета для технологического присоединения объектов наружного освещения заявителя Администрация муниципального образования «Кутейниковское сельское поселение», расположенного по адресу: Ростовская область, Чертковский район, х. Маньковский, ул. Маньковская (1шт.)</t>
  </si>
  <si>
    <t>Установка прибора учета для технологического присоединения земельного участка для электроснабжения жилого дома заявителя Петрикий Н.С., расположенного по адресу: Ростовская область, Кашарский район, х. Новодонецкий, ул. Ольховая, д. 68, к.н.з.у. 61:16:0010201:885 (1 шт.)</t>
  </si>
  <si>
    <t>Установка прибора учета для технологического присоединения жилого дома Заявителя Логиневской Г.В., расположенного по адресу: Ростовская область, Кашарский район, с. Поповка, ул. Большая Садовая, д. 31, к.н.з.у. 61:16:0130101:476 (1 шт.)</t>
  </si>
  <si>
    <t>Установка прибора учета для технологического присоединения гаража, заявителя Сукиасян Г.М.,расположенного по адресу:Ростовская область,Чертковский район,с.Маньково - Калитвенское,пер.Почтовый,д.62 а,к.н.з.у. 61:42:0080113:395(1шт.)</t>
  </si>
  <si>
    <t>Установка прибора учета для технологического присоединения жилого дома заявителя Карташовой Н.С., расположенного по адресу: Ростовская область, Верхнедонской район, х. Солонцовский, ул. Солонцовская, д. 67, к.н.з.у. 61:07:0060401:110 (1шт.)</t>
  </si>
  <si>
    <t>Установка прибора учета для технологического присоединения личного подсобного хозяйства заявителя Хавхалюк Т.В., расположенного по адресу: Ростовская область, Миллеровский район, х. Северный Сад, ул. Молодежная, д. 38, корп. А, к.н.з.у. 61:22:0121201:207, (1шт.)</t>
  </si>
  <si>
    <t>Установка прибора учета для технологического присоединения жилой застройки заявителя Зубковой О.А., расположенного по адресу: Ростовская область, Миллеровский район, х. Банниково-Александровский, ул. Строителей, д. 11, к.н.з.у. 61:22:0010201:41, (1шт.)</t>
  </si>
  <si>
    <t>Установка прибора учета для технологического присоединения жилого дома заявителя Ильясовой Ц.К., расположенного по адресу: Ростовская область, Боковский район, п. Краснозоринский, ул. Луговая, д. 10, к.н. 61:05:0050108:294 (1шт.)</t>
  </si>
  <si>
    <t>Установка прибора учета для технологического присоединения жилого здания заявителя Копылец Л.В., расположенного по адресу: Ростовская область, Чертковский район, с. Маньково-Калитвенское, ул. Октябрьская, д. 17 (1шт.)</t>
  </si>
  <si>
    <t>Установка прибора учета для технологического присоединения нежилого здания заявителя Колосова А.А., расположенного по адресу: Ростовская область, Шолоховский р-н, х. Пигаревский, к.н.з.у. 61:43:0500101:189, (1шт.)</t>
  </si>
  <si>
    <t>Установка прибора учета для технологического присоединения жилого дома заявителя АО «Маяк», расположенного по адресу: Ростовская область, Боковский район, х. Евлантьев, ул. Садовая, д. 8, к.н. 61:05:0070402:250 (1шт.)</t>
  </si>
  <si>
    <t>Установка прибора учета для технологического присоединения автоматической телефонной станции заявителя ПАО «Ростелеком», расположенного по адресу: Ростовская область, Миллеровский район, х. Еритовка, ул. Центральная, д. 14, (1шт.)</t>
  </si>
  <si>
    <t>Установка прибора учета для технологического присоединения квартиры заявителя Богачевой Л.М., расположенного по адресу: Ростовская область, Верхнедонской район, х. Верхняковский, ул. Комсомольская, д. 12, кв. 2, к.н.з.у. 61:07:0100501:243 (1шт.)</t>
  </si>
  <si>
    <t>Установка прибора учета для технологического присоединения квартиры заявителя Собакаревой А.С., расположенного по адресу: Ростовская область, Верхнедонской район, х. Озерский, ул. Центральная, д. 75, кв. 2, (1шт.)</t>
  </si>
  <si>
    <t>Установка прибора учета для технологического присоединения жилого дома заявителя Алангериева Д.Ч., расположенного по адресу: Ростовская область, Боковский район, х. Верхнечирский, ул. Мира, д. 151, к.н.з.у. 61:05:0020103:47 (1шт.)</t>
  </si>
  <si>
    <t>Установка прибора учета для технологического присоединения жилого дома заявителя Семионова В.В., расположенного по адресу: Ростовская область, Боковский район, ст. Боковская, пер. Виноградный, д.  к.н.з.у. 61:05:0600004:233 (1шт.)</t>
  </si>
  <si>
    <t>Установка прибора учета для технологического присоединения жилого дома заявителя Лозовой К.Г., расположенного по адресу: Ростовская область, Чертковский район, с. Ольховчик, ул. Набережная, д. 10, к.н.з.у. 61:42:0110101:94 (1шт.)</t>
  </si>
  <si>
    <t>Установка прибора учета для технологического присоединения жилого дома заявителя Кузнецовой Ж.Н., расположенного по адресу: Ростовская область, Чертковский район, с. Ольховчик, ул. Комсомольская, д. 53, к.н.з.у. 61:42:0110101:1053 (1шт.)</t>
  </si>
  <si>
    <t>Установка прибора учета для технологического присоединения пункта охраны правопорядка, заявителя Отдел МВД России по Миллеровскому району, расположенного по адресу: Ростовская область, Миллеровский район, х. Сулин, Сулинское сельское поселение, с юго-восточной стороны от х. Сулин, (1шт.)</t>
  </si>
  <si>
    <t>Установка прибора учета для технологического присоединения жилого дома заявителя Омарова З.И., расположенного по адресу: Ростовская область, Шолоховский район, х. Кружилинский, ул. Янтарная, д. 12, к.н.з.у. 61:43:0070101:178, (1 шт.)</t>
  </si>
  <si>
    <t>Установка прибора учета для технологического присоединения личного подсобного хозяйства заявителя ООО «Дон-Агро», расположенного по адресу: Ростовская область, Чертковский район, х. Галдин, ул. Набережная, д. 11, кв а, к.н.з.у. 61:42:0160201:25 (1шт.)</t>
  </si>
  <si>
    <t>Установка прибора учета для технологического присоединения жилого дома заявителя ООО «Дон-Агро», расположенного по адресу: Ростовская область, Чертковский район, х. Галдин, ул. Почтовая, д. 4, к.н.з.у. 61:42:0160201:43 (1шт.)</t>
  </si>
  <si>
    <t>Установка прибора учета для технологического присоединения уличного освещения заявителя Администрация Кружилинского сельского поселения, расположенного по адресу: Ростовская область, Шолоховский район, х. Кружилинский, ул. Центральная от дом 2 до дома 10, к.н.з.у. 61:43:0000000:118, (1шт.)</t>
  </si>
  <si>
    <t>Установка прибора учета для технологического присоединения жилого дома заявителя Череп Л.Ю., расположенного по адресу: Ростовская область, Шолоховский район, х. Зубковский, ул. Решетовская, д. 33, к.н.з.у. 61:43:0030301:120, (1 шт.)</t>
  </si>
  <si>
    <t>Установка прибора учета для технологического присоединения квартиры заявителя Романенко Г.Н., расположенного по адресу: Ростовская область, Кашарский район, х. Первомайский, ул. Мира, д. 29, кв./оф.2, к.н.з.у. 61:16:0130501:82 (1 шт.)</t>
  </si>
  <si>
    <t>Установка прибора учета для технологического присоединения жилого дома заявителя ООО «Дон-Агро», расположенного по адресу: Ростовская область, Чертковский район, с. Тарасово-Меловское, ул. Степная, д. 17, к.н.з.у 61:42:0160101:1376 (1шт.)</t>
  </si>
  <si>
    <t>Установка прибора учета для технологического присоединения жилого дома заявителя ООО «Дон-Агро», расположенного по адресу: Ростовская область, Чертковский район, с. Тарасово-Меловское, ул. Степная, д. 17а, к.н.з.у 61:42:0160101:1377 (1шт.)</t>
  </si>
  <si>
    <t>Установка прибора учета для технологического присоединения жилого дома заявителя ООО «Дон-Агро», расположенного по адресу: Ростовская область, Чертковский район, с. Тарасово-Меловское, ул. Степная, д. 19, к.н.з.у 61:42:0160101:152 (1шт.)</t>
  </si>
  <si>
    <t>Установка прибора учета для технологического присоединения уличного освещения заявителя Администрация Дубровского сельского поселения, расположенного по адресу: Ростовская область, Шолоховский район, х. Дубровский, ул. Ольховая, к.н.з.у. 61:43:0030101, (1шт.)</t>
  </si>
  <si>
    <t>Установка прибора учета для технологического присоединения жилого дома заявителя Белановой И.В., расположенного по адресу: Ростовская область, Боковский район, ст-ца. Боковская, пер. Первомайский,д. 39 «б» к.н.з.у. 61:05:0010101:163, (1шт.)</t>
  </si>
  <si>
    <t>Установка прибора учета для технологического присоединения объекта наружного освещения заявителя Администрация Дударевского сельского поселения, расположенного по адресу: Ростовская область, Шолоховский район, х. Дударевский, ул. Южная, от дома №1 до дома №11, к.н.з.у. 61:43:0040101, (1шт.)</t>
  </si>
  <si>
    <t>Установка прибора учета для Установка прибора учета для технологического присоединения объекта наружного освещения заявителя Администрация Дударевского сельского поселения, расположенного по адресу: Ростовская область, Шолоховский район, х. Лосевский, ул. Зеленый Клин от дома №6 до дома №12, к.н.з.у. 61:43:0040301, (1шт.)</t>
  </si>
  <si>
    <t>Установка прибора учета для присоединения жилого дома Казаченко А.А., расположенного по адресу: Ростовская обл., Родионово-Несветайский р-н., сл. Аграфеновка, ул. Щербакова, д. 7, КН ЗУ: 61:33:0010101:408. (1шт)</t>
  </si>
  <si>
    <t>Установка прибора учета для присоединения объектов дорожного хозяйства (светофорные объекты, объекты видеофиксации) Министерства транспорта Ростовской области, расположенного по адресу: Ростовская область, р-н. Усть-Донецкий, х. Листопадов, на автомобильной дороге общего пользования, КН ЗУ: 61:39:000000000:0:52</t>
  </si>
  <si>
    <t>Установка прибора учета для присоединения объекта малоэтажной жилой застройки Ажогина А.И., расположенного по адресу: Ростовская область, р-н. Усть-Донецкий, р.п. Усть-Донецкий, ул. Дачная, д. 16, КН ЗУ: 61:39:0010104:194</t>
  </si>
  <si>
    <t>«Установка прибора учета для присоединения объекта малоэтажная жилая застройка Шпак Г.И., расположенного по адресу: Ростовская область, р-н. Октябрьский, ст-ца. Кривянская, ул. Некрасова, д. 9»</t>
  </si>
  <si>
    <t>Установка прибора учета для присоединения объекта малоэтажной жилой застройки Сулина С.Н., расположенного по адресу: Ростовская область, р-н. Октябрьский, п. Нижнедонской, ул. Юбилейная, д. 2/2, КН ЗУ: 61:28:0060301:1160</t>
  </si>
  <si>
    <t>«Установка прибора учета для присоединения объекта малоэтажная жилая застройка Баранчука А.Ю., расположенного по адресу: Ростовская область, р-н. Октябрьский, ст-ца. Кривянская, ул. Чехова, д. 121»</t>
  </si>
  <si>
    <t>Установка прибора учета для присоединения объекта малоэтажная жилая застройка (Литвинов Д.В.), расположенного по адресу: Ростовская область, Октябрьский р-н, рп. Каменоломни, ул. Гвардейская, д.33</t>
  </si>
  <si>
    <t>"Установка прибора учета для присоединения малоэтажной жилой застройки, расположенной по адресу: Ростовская область, р-н. Октябрьский, п. Красногорняцкий, ул. Парковая, д. 8 (Дьяченко Д.С.)"</t>
  </si>
  <si>
    <t>Установка прибора учета для присоединения жилого дома Никишина В.И., расположенного по адресу: Ростовская обл., Родионово-Несветайский р-н., сл. Родионово-Несветайская, ул. Ворошилова, д. 24 А, КН ЗУ: 61:33:0040112:284</t>
  </si>
  <si>
    <t>Установка прибора учета для присоединения жилого дома Дронова О.В., расположенного по адресу: Ростовская обл., Родионово-Несветайский р-н., х. Октябрьский, СНТ "Комбайностроитель", участок 1-735, КН ЗУ: 61:33:0500101:3562 (1шт.)</t>
  </si>
  <si>
    <t>Установка прибора учета для присоединения жилого дома Ларичев В.А., расположенного по адресу: Ростовская обл., Родионово-Несветайский р-н., х. Красильников, ул. Первомайская, д. 6, кадастровый номер земельного участка: 61:33:0020901:8.</t>
  </si>
  <si>
    <t xml:space="preserve"> «Установка прибора учета для присоединения объект торговли Перепелица А.И., расположенного по адресу: Ростовская обл., Родионово-Несветайский р-н.,  сл.Родионово-Несветайская, ул.Гвардейцев-Танкистов 24А на земельном участке 25 кв.м, кадастровый квартал 61:33:0040125.</t>
  </si>
  <si>
    <t>«Установка прибора учета для присоединения жилого дома Кочетова Д.А., расположенного по адресу: Ростовская обл., р-н. Родионово-Несветайский, х. Греково-Балка, ул. Верхняя,  д. 4, КН ЗУ: 61:33:0021001:459.»</t>
  </si>
  <si>
    <t>Установка прибора учета для присоединения малоэтажной жилой застройки, расположенной по адресу: Ростовская область, р-н. Октябрьский, садоводческое товарищество "Дон", уч. №426 (Бухтояров В.Н.)</t>
  </si>
  <si>
    <t>«Установка прибора учета для присоединения нежилой застройки, расположенной по адресу: Ростовская область, р-н. Октябрьский, х. Новая Бахмутовка, ул. Возрождение, д. 15 (ИП Калашникова В.В.)»</t>
  </si>
  <si>
    <t>«Установка прибора учета для присоединения малоэтажной жилой застройки, расположенной по адресу: Ростовская область, р-н. Октябрьский, садоводческое товарищество «Электровозостроитель», уч. №151 (Клименко А.Г.)»</t>
  </si>
  <si>
    <t>«Установка прибора учета для присоединения малоэтажной жилой застройки, расположенной по адресу: Ростовская область, р-н. Октябрьский, ст-ца. Кривянская, ул. Матвеевка, д. 50А (Ландар В.А.)»</t>
  </si>
  <si>
    <t>«Установка прибора учета для присоединения малоэтажной жилой застройки, расположенной по адресу: Ростовская область, р-н. Октябрьский, х. Калинин, ул. Донская, к.н.з.у. 61:28:0030201:3980 (Легкодымов А.Г.)</t>
  </si>
  <si>
    <t>«Установка прибора учета для присоединения малоэтажной жилой застройки, расположенной по адресу: Ростовская область, р-н. Октябрьский, х. Калинин, ул. Донская, д.38-А (Мамонов А.А.)»</t>
  </si>
  <si>
    <t>«Установка прибора учета для присоединения малоэтажной жилой застройки, расположенной по адресу: Ростовская область, р-н. Октябрьский, п. Новосветловский, пер. Комсомольский, д.2-а (Медведев А.С.)»</t>
  </si>
  <si>
    <t>«Установка прибора учета для присоединения малоэтажной жилой застройки, расположенной по адресу: Ростовская область, р-н. Октябрьский, рп. Каменоломни, ул. Комарова, д.53 (Сиденко И.Н.)»</t>
  </si>
  <si>
    <t>«Установка прибора учета для присоединения малоэтажной жилой застройки, расположенной по адресу: Ростовская область, р-н. Октябрьский, х. Калинин, ул. Донская, к.н.з.у. 61:28:0030201:3981 (Токарев А.Н.)»</t>
  </si>
  <si>
    <t>«Установка прибора учета для присоединения малоэтажной жилой застройки, расположенного по адресу: Ростовская область, р-н. Октябрьский, садоводческое товарищество «Электровозостроитель», уч. 74 (Тележный П.А.)»</t>
  </si>
  <si>
    <t>«Установка прибора учета для присоединения малоэтажной жилой застройки Бережного Михаила Борисовича, расположенного по адресу: Ростовская область, Красносулинский район, ст-ца. Владимировская, ул. Колхозная, д. 32. (1шт.)»</t>
  </si>
  <si>
    <t>Установка прибора учета для присоединения объекта наружного освещения МБУ Администрации Мокрологского с/п, расположенного по адресу: Ростовская область, р-н. Октябрьский, х. Николаевка, ул. Луговая, КН ЗУ: 61:28:0000000:23061</t>
  </si>
  <si>
    <t xml:space="preserve"> Установка прибора учета для присоединения объекта малоэтажной жилой застройки Добряковой Ю.В., расположенного по адресу: Ростовская область, р-н. Усть-Донецкий, х. Коныгин, примерно 1м на юго-восток от ЗУ КН 61:39:0600011:283, КН ЗУ: 61:39:0600011:616</t>
  </si>
  <si>
    <t>Установка прибора учета для присоединения объекта малоэтажной жилой застройки Волочай Д.В., расположенного по адресу: Ростовская область, р-н. Семикаракорский, ст-ца. Кочетовская, ул. Народная, д. 78А, КН ЗУ: 61:35:0080101:4088</t>
  </si>
  <si>
    <t xml:space="preserve"> Установка прибора учета для присоединения объекта малоэтажной жилой застройки Лапковой О.В., расположенного по адресу: Ростовская область, р-н. Усть-Донецкий, п. Керчикский, ул. Лесная, д. 8, КН ЗУ: 61:39:0020301:205</t>
  </si>
  <si>
    <t>Установка прибора учета для присоединения объекта малоэтажной жилой застройки Корнеева Е.В., расположенного по адресу: Ростовская область, р-н. Усть-Донецкий, х. Евсеевский, ул. Энергетическая, д. 4 кв./оф. А, КН ЗУ: 61:39:0070401:409</t>
  </si>
  <si>
    <t>Установка прибора учета для присоединения объекта малоэтажной жилой застройки Закурдаевой В.О., расположенного по адресу: Ростовская область, р-н. Усть-Донецкий, ст. Раздорская, ул. Дачная, д. 15, КН ЗУ: 61:39:0030101:222</t>
  </si>
  <si>
    <t>«Установка прибора учета для присоединения малоэтажной жилой застройки, расположенной по адресу: Ростовская область, р-н. Октябрьский, сл. Красюковская, ул. Красюкова, д.41-в (Герасимова Т.Н.)»</t>
  </si>
  <si>
    <t>«Установка прибора учета для присоединения малоэтажной жилой застройки (Пырков Г.Г.), расположенной по адресу: Ростовская область, х. Яново-Грушевский, ул. Речная, д.19»</t>
  </si>
  <si>
    <t>«Установка прибора учета для присоединения малоэтажной жилой застройки (Майорова Т.А.), расположенной по адресу: Ростовская область, с/т «Электровозостроитель», уч.121»</t>
  </si>
  <si>
    <t>«Установка прибора учета для присоединения малоэтажной жилой застройки (Руднев А.Н.), расположенной по адресу: Ростовская область, х. Калинин, пер. Казачий, д. 8а»</t>
  </si>
  <si>
    <t>Установка прибора учета для присоединения садового дома Русакова К.А., расположенного по адресу: Ростовская область, Октябрьский район, садоводческое товарищество «Электровозостроитель», уч. №47, к.н.з.у.: 61:28:0502501:322</t>
  </si>
  <si>
    <t>Установка прибора учета для присоединения малоэтажной жилой застройки (Слепков В.Е.), расположенной по адресу: Ростовская область, Октябрьский р-н, ст. Кривянская, ул. Комарова, д.88</t>
  </si>
  <si>
    <t>«Установка прибора учета для присоединения малоэтажной жилой застройки, расположенной по адресу: Ростовская область, р-н. Октябрьский, п. Интернациональный, ул. Молодежная, д.18, к.н.з.у. 61:28:0080701:2728 (Пугина С.В.)</t>
  </si>
  <si>
    <t>Установка прибора учета для присоединения малоэтажной жилой застройки, расположенной по адресу: Ростовская область, р-н. Октябрьский, рп. Каменоломни, ул. Пролетарская, д.47 (Бодло С.Э.)</t>
  </si>
  <si>
    <t>Установка прибора учета для присоединения малоэтажной жилой застройки, расположенной по адресу: Ростовская область, р-н. Октябрьский, х. Яново-Грушевский, сад. Электровозостроитель, д.227 (Чухряева А.И.)</t>
  </si>
  <si>
    <t>«Установка прибора учета для присоединения жилого дома (Цыпочка Т.В.), расположенного по адресу: Ростовская область, Октябрьский р-н, п. Интернациональный, ул. Майская, д.13»</t>
  </si>
  <si>
    <t>«Установка прибора учета для присоединения малоэтажной жилой застройки( Морозова Н.В.), расположенной по адресу: Ростовская область, р-н. Октябрьский, х. Калинин, пер. Тупиковый, д.8В»</t>
  </si>
  <si>
    <t>«Установка прибора учета для присоединения малоэтажной жилой застройки (Лилия Л.В.), расположенной по адресу: Ростовская область, с/т «Электровозостроитель», уч.186»</t>
  </si>
  <si>
    <t>«Установка прибора учета для присоединения малоэтажной жилой застройки (Камнев С.В.), расположенной по адресу: Ростовская область, с/т «Электровозостроитель», уч.76»</t>
  </si>
  <si>
    <t>«Установка прибора учета для присоединения малоэтажной жилой застройки (Сукачева Т.А.), расположенной по адресу: Ростовская область, с/т «Электровозостроитель», уч.4»</t>
  </si>
  <si>
    <t xml:space="preserve"> «Установка прибора учета для присоединения объектов дорожного хозяйства (Минтранс РО), расположенной по адресу: Ростовская область, х. Костиков»</t>
  </si>
  <si>
    <t>«Установка прибора учета для присоединения нежилой застройки (Ходаева В.Б.), расположенной по адресу: Ростовская область, Октябрьский р-н, с/т «Электровозостроитель», уч.120»</t>
  </si>
  <si>
    <t>«Установка прибора учета для присоединения малоэтажной жилой застройки (Ткаченко А.В.), расположенной по адресу: Ростовская область, Октябрьский р-н, с/т «Электровозостроитель», уч.149/1»</t>
  </si>
  <si>
    <t>Установка прибора учета для присоединения малоэтажной жилой застройки (Рындин С.В.), расположенной по адресу: Ростовская область, Октябрьский р-н, с/т "Электровозостроитель", уч.185</t>
  </si>
  <si>
    <t>«Установка прибора учета для присоединения малоэтажной жилой застройки (Рубликова А.С.), расположенной по адресу: Ростовская область, Октябрьский р-н, сл. Красюковская, ул. Абрикосовая»</t>
  </si>
  <si>
    <t>«Установка прибора учета для присоединения садового дома (Мацкевич В.Н.), расположенного по адресу: Ростовская область, Октябрьский р-н, с/т «Электровозостроитель», уч.88»</t>
  </si>
  <si>
    <t>«Установка прибора учета для присоединения малоэтажной жилой застройки (Лавренова Н.М.), расположенной по адресу: Ростовская область, Октябрьский р-н, с/т «Электровозостроитель», уч.150»</t>
  </si>
  <si>
    <t>«Установка прибора учета для присоединения малоэтажной жилой застройки (Занина Е.А.), расположенной по адресу: Ростовская область, Октябрьский р-н, с/т «Электровозостроитель», уч. 2»</t>
  </si>
  <si>
    <t>Установка прибора учета для присоединения малоэтажной жилой застройки (Грибов А.Г.), расположенной по адресу: Ростовская область, Октябрьский р-н, п. Персиановский, ул. Заречная, уч. 4, литера А</t>
  </si>
  <si>
    <t>Установка прибора учета для присоединения объекта малоэтажной жилой застройки Абраменко Л.А., расположенного по адресу: Ростовская область, р-н. Усть-Донецкий, х. Листопадов, ул. Центральная, д. 19, КН ЗУ: 61:39:0060401:51</t>
  </si>
  <si>
    <t>Установка прибора учета для присоединения объекта малоэтажной жилой застройки Громовой Г.Н., расположенного по адресу: Ростовская область, р-н. Усть-Донецкий, ст-ца. Раздорская, пер. Песчаный, д. 6, КН ЗУ: 61:39:0030103:272</t>
  </si>
  <si>
    <t>Установка прибора учета для присоединения объекта малоэтажной жилой застройки Бабкова М.И., расположенного по адресу: Ростовская область, р-н. Усть-Донецкий, ст-ца. Раздорская, ул. Калинина, д. 41, кв./оф. а КН ЗУ: 61:39:0030103:409</t>
  </si>
  <si>
    <t>Установка прибора учета для присоединения объекта малоэтажной жилой застройки Метиль О.В., расположенного по адресу: Ростовская область, р-н. Усть-Донецкий, ст-ца. Мелиховская, садоводческое товарищество «Южанка», 61, КН ЗУ: 61:39:0500601:87</t>
  </si>
  <si>
    <t>Установка прибора учета для присоединения жилого застройки Булахова Николая Александровича расположенного по адресу: Ростовская область, Красносулинский район, х. Платово, ул. Шурфофая, д. 7</t>
  </si>
  <si>
    <t>«Установка прибора учета для присоединения малоэтажной жилой застройки (Коломыцев Д.А.), расположенной по адресу: Ростовская область, Октябрьский р-н, сл. Красюковская, ул. Красюкова, д.41г»</t>
  </si>
  <si>
    <t>Установка прибора учета для присоединения малоэтажной жилой застройки (Кузнецова Е.А.), расположенной по адресу: Ростовская область, Октябрьский р-н, с/т "Электровозостроитель ", уч.10</t>
  </si>
  <si>
    <t>«Установка прибора учета для присоединения малоэтажной жилой застройки (Кулеша Т.Д.), расположенной по адресу: Ростовская область, Октябрьский р-н, с/т «Электровозостроитель», уч. 13»</t>
  </si>
  <si>
    <t>«Установка прибора учета для присоединения малоэтажной жилой застройки (Малашенко Е.В.), расположенной по адресу: Ростовская область, Октябрьский р-н, с/т «Электровозостроитель», уч.144»</t>
  </si>
  <si>
    <t>«Установка прибора учета для присоединения малоэтажной жилой застройки (Махнач А.Б.), расположенной по адресу: Ростовская область, Октябрьский р-н, с/т «Электровозостроитель», уч. 57»</t>
  </si>
  <si>
    <t>«Установка прибора учета для присоединения малоэтажной жилой застройки (Нарыжная К.В.), расположенной по адресу: Ростовская область, Октябрьский р-н, с/т «Электровозостроитель», уч.154»</t>
  </si>
  <si>
    <t>«Установка прибора учета для присоединения малоэтажной жилой застройки (Попов О.И.), расположенной по адресу: Ростовская область, Октябрьский р-н, с/т «Электровозостроитель», уч. 15а»</t>
  </si>
  <si>
    <t>«Установка прибора учета для присоединения малоэтажной жилой застройки (Пронин С.В.), расположенной по адресу: Ростовская область, Октябрьский р-н, сл. Красюковская, ул. Красюкова, д.22б»</t>
  </si>
  <si>
    <t>«Установка прибора учета для присоединения малоэтажной жилой застройки (Семенова Н.В.), расположенной по адресу: Ростовская область, Октябрьский р-н, ст. Бессергеневская, ул. Советская, д.59Б»</t>
  </si>
  <si>
    <t>«Установка прибора учета для присоединения малоэтажной жилой застройки (Федоренко Е.А.), расположенной по адресу: Ростовская область, Октябрьский р-н, сл. Красюковская, пер. Советский 3-й, д.8»</t>
  </si>
  <si>
    <t>«Установка прибора учета для присоединения малоэтажной жилой застройки (Фролова Т.Н.), расположенной по адресу: Ростовская область, Октябрьский р-н, с/т «Электровозостроитель», уч. 96»</t>
  </si>
  <si>
    <t>«Установка прибора учета для присоединения малоэтажной жилой застройки (Шаповалов Ю.А.), расположенной по адресу: Ростовская область, Октябрьский р-н, с/т «Электровозостроитель», уч.153»</t>
  </si>
  <si>
    <t>«Установка прибора учета для присоединения малоэтажной жилой застройки (Шнырев С.И.), расположенной по адресу: Ростовская область, Октябрьский р-н, х. Ильичевка, ул. Заречная, д.47»</t>
  </si>
  <si>
    <t>«Установка прибора учета для присоединения жилого дома Коверина В.В.., расположенного по адресу: Ростовская обл., Родионово-Несветайский р-н х. Таврический N20, ул. Степная,  д. 5, кн зу :  61:33:0020401:70.»</t>
  </si>
  <si>
    <t>«Установка прибора учета для присоединения малоэтажной жилой застройки Федорова А.М., расположенного по адресу: Ростовская обл., Родионово-Несветайский р-н, сл. Родионово-Несветайская, ул. Айвовая,  д. 31, кн зу:  61:33:0040123:263.»</t>
  </si>
  <si>
    <t>Установка прибора учета для присоединения гибридного инвертора Sila Pro 5600MH (объект микрогенерации) (Нечаенко А.В. расположенного по адресу: 346376 Российская Федерация, Ростовская обл., р-н. Красносулинский, ст-ца. Владимировская, ул. Заречная,  д. 28. (1шт.)</t>
  </si>
  <si>
    <t>«Установка прибора учета для присоединения малоэтажной жилой застройки (Банных П.В.), расположенной по адресу: Ростовская область, Октябрьский р-н, ст. Кривянская, ул. Мостовая, д.7-б»</t>
  </si>
  <si>
    <t>«Установка прибора учета для присоединения малоэтажной жилой застройки (Галактионова А.А.), расположенной по адресу: Ростовская область, Октябрьский р-н, х. Яново-Грушевский, сад. Электровозостроитель, д. 65»</t>
  </si>
  <si>
    <t>Установка прибора учета для присоединения малоэтажной жилой застройки (Дементьева С.Н.), расположенной по адресу: Ростовская область, Октябрьский р-н, сад. «Электровозостроитель», д. 78</t>
  </si>
  <si>
    <t>«Установка прибора учета для присоединения малоэтажной жилой застройки (Кулинченко О.А.), расположенной по адресу: Ростовская область, Октябрьский р-н, сл. Красюковская, ул. Делегатская, д.129-а»</t>
  </si>
  <si>
    <t>Установка прибора учета для присоединения малоэтажной жилой застройки (Сидорова О.Н.), расположенной по адресу: Ростовская область, Октябрьский р-н, с/т «Дон», к.н.61628:0000000:23539</t>
  </si>
  <si>
    <t>Установка прибора учета для присоединения малоэтажной жилой застройки (Фазизянова В.М.), расположенной по адресу: Ростовская область, Октябрьский р-н, ст-ца Бессергеневская, ул. Аксайская, д. 47</t>
  </si>
  <si>
    <t>Установка прибора учета для присоединения малоэтажной жилой застройки (Чмиль Е.Н.), расположенной по адресу: Ростовская область, Октябрьский р-н, п. Новокадамово, ул. Первомайская, д. 20</t>
  </si>
  <si>
    <t>«Установка прибора учета для присоединения жилого дома Олейникова И.О., расположенного по адресу: Ростовская обл., р-н. Родионово-Несветайский, сл. Аграфеновка, ул. Просвещения, д. 75, КН ЗУ:  61:33:0010101:336.»</t>
  </si>
  <si>
    <t>Установка прибора учета для присоединения объекта малоэтажной жилой застройки Голубниченко В.А.., расположенного по адресу: Ростовская область, р-н. Усть-Донецкий, х. Пухляковский, ул. Школьная, д.1б, КН ЗУ: 61:39:0090101:1285</t>
  </si>
  <si>
    <t>Установка прибора учета для присоединения объекта малоэтажной жилой застройки Щербакова А.П., расположенного по адресу: Ростовская область, р-н. Семикаракорский, ст-ца. Кочетовская, ул. Ленина, д.18а, КН ЗУ: 61:35:0080101:348</t>
  </si>
  <si>
    <t>«Установка прибора учета для присоединения малоэтажной жилой застройки (Пархоменко Д.Н.), расположенной по адресу: Ростовская область, Октябрьский р-н, с/т «Электровозостроитель», уч.119а»</t>
  </si>
  <si>
    <t>«Установка прибора учета для присоединения малоэтажной жилой застройки (Ручкин А.В.), расположенной по адресу: Ростовская область, Октябрьский р-н, сад. Электровозостроитель, уч. 76»</t>
  </si>
  <si>
    <t>«Установка прибора учета для присоединения аппаратно-программного комплекса фото и видеофиксации нарушений ПДД КРИС-П (ИП Андреев В.А.) расположенного по адресу: Ростовская область, Октябрьский р-н, ст. Кривянская, ул. Большая, в районе д.28»</t>
  </si>
  <si>
    <t>«Установка прибора учета для присоединения малоэтажной жилой застройки (Новиков С.А.), расположенной по адресу: Ростовская область, Октябрьский р-н, п. Каменоломни, ул. Комарова, д.50»</t>
  </si>
  <si>
    <t>«Установка прибора учета для присоединения нежилой застройки (Руденко А.Н.) расположенной по адресу: Ростовская область, Октябрьский р-н, с/т «Дон», уч.№281»</t>
  </si>
  <si>
    <t>Установка прибора учета для присоединения объекта малоэтажной жилой застройки Горбункова В.В., расположенного по адресу: Ростовская область, р-н. Усть-Донецкий, ст-ца. Раздорская, ул. Красноармейская, д.49, КН ЗУ: 61:39:0030101:340</t>
  </si>
  <si>
    <t>Установка прибора учета для присоединения объекта малоэтажной жилой застройки Герасимовой М.Н., расположенного по адресу: Ростовская область, р-н. Усть-Донецкий, х. Пухляковский, ул. Западная, д.37, КН ЗУ: 61:39:0090101:22, Усть-Донецкий РЭС</t>
  </si>
  <si>
    <t>Установка прибора учета для присоединения объекта малоэтажной жилой застройки Зосимова А.С., расположенного по адресу: Ростовская область, р-н. Усть-Донецкий, х. Пухляковский, ул. Механизаторов, д. 41, КН ЗУ: 61:39:0090103:171, Усть-Донецкий РЭС</t>
  </si>
  <si>
    <t>Установка прибора учета для присоединения объекта малоэтажной жилой застройки Торопкова И.К., расположенного по адресу: Ростовская область, р-н. Усть-Донецкий, х. Пухляковский, пер. Городской, д.4, КН ЗУ: 61:39:0090102:17, Усть-Донецкий РЭС</t>
  </si>
  <si>
    <t>Установка прибора учета для присоединения объекта малоэтажной жилой застройки Соколенковой Н.А., расположенного по адресу: Ростовская область, р-н. Усть-Донецкий, х. Апаринский, ул. Виноградная, д. 36, КН ЗУ: 61:39:0050101:489, Усть-Донецкий РЭС</t>
  </si>
  <si>
    <t>"Установка прибора учета для присоединения памятника "Захоронения воинов ВОВ, расположенного по адресу:Ростовская обл., р-н.Родионово-Несветайский, сл.Алексеево-Тузловка, ул. Просвещения, 1А, кн зу:61:33:0051001:824"</t>
  </si>
  <si>
    <t>«Установка прибора учета для присоединения жилого дома Муталибовой С.А., расположенного по адресу: Ростовская обл., р-н. Родионово-Несветайский, Родионово-Несветайский, сл. Родионово-Несветайская, ул. 30 лет Победы,  д. 19, кн. зу:  61:33:0040123:515»</t>
  </si>
  <si>
    <t>«Установка прибора учета для присоединения жилого дома Ахмадьяр Р.А.., расположенного по адресу: Ростовская обл., р-н. Родионово-Несветайский, СНТ "Комбайностроитель", участок №1, сад 633., кн зу:  61:33:0500101:394»</t>
  </si>
  <si>
    <t>Установка прибора учета для присоединения жилого дома Богомазовой Н.К., расположенного по адресу: Ростовская обл., р-н. Родионово-Несветайский, СНТ "Комбайностроитель", уч.1-696, кн зу: 61:33:0500101:443</t>
  </si>
  <si>
    <t>"Установка прибора учета для присоединения жилого дома Шафорост А.Н., расположенного по адресу: Ростовская обл., р-н. Родионово-Несветайский, сл.Родионово-Несветайская, ул.Садовая,д.2А, кн зу 61:33:0040123:663"</t>
  </si>
  <si>
    <t>Установка прибора учета для присоединения жилого дома Кузнецова В.В., расположенного по адресу: Ростовская обл., р-н. Родионово-Несветайский, с. Генеральское, ул. Советская, д. 6Д, кн зу: 61:33:0070601:2480</t>
  </si>
  <si>
    <t>Установка прибора учета для присоединения малоэтажная жилая застройка (Кириллова И.А.) расположенного по адресу: Ростовская область, Красносулинский район, х. Пушкин, ст. Обогатитель, д. 26. (1шт.)</t>
  </si>
  <si>
    <t>Установка прибора учета для присоединения малоэтажной жилая застройка (Цыганков Г.Г.), расположенного по адресу: Ростовская область, Красносулинский район, п. Первомайский, ул. Почтовая, д. 4, кв./оф. 1. (1шт.)</t>
  </si>
  <si>
    <t>Установка прибора учета для присоединения объекта малоэтажной жилой застройки Алексеева И.И., расположенного по адресу: Ростовская область, р-н. Усть-Донецкий, х. Крымский, пер. Южный, д. 2, КН ЗУ: 61:39:0040101:257, Усть-Донецкий РЭС</t>
  </si>
  <si>
    <t>Установка прибора учета для присоединения малоэтажной жилой застройки (Гуляев С.А.), расположенной по адресу: Ростовская область, Октябрьский р-н, х. Суворовка, ул. Красноармейская, д.31-а</t>
  </si>
  <si>
    <t>«Установка прибора учета для присоединения малоэтажной жилой застройки (Данилов И.В.), расположенной по адресу: Ростовская область, Октябрьский р-н, п. Красногорняцкий, ул. Петренко, д.1»</t>
  </si>
  <si>
    <t>«Установка прибора учета для присоединения малоэтажной жилой застройки (Закиров А.В.) расположенной по адресу: Ростовская область, Октябрьский р-н, Октябрьский р-н, сл. Красюковская, ул. Красюкова, д. 22-а»</t>
  </si>
  <si>
    <t>«Установка прибора учета для присоединения малоэтажной жилой застройки (Семченкова И.И.), расположенной по адресу: Ростовская область, Октябрьский р-н, с/т «Электровозостроитель», уч.105»</t>
  </si>
  <si>
    <t>«Установка прибора учета для присоединения объектов наружного освещения (Администрация Алексеевского сельского поселения), расположенных по адресу: Ростовская область, Октябрьский р-н, х. Ильичевка, ул. Заречная, 46»</t>
  </si>
  <si>
    <t>«Установка прибора учета для присоединения малоэтажной жилой застройки (Охрина Н.Ю.), расположенной по адресу: Ростовская область, Октябрьский р-н, х. Калинин, ул. Центральная, д.318-А»</t>
  </si>
  <si>
    <t>«Установка прибора учета для присоединения малоэтажной жилой застройки (Дементьева Л.В.) расположенной по адресу: Ростовская область, Октябрьский р-н, с/т «Электровозостроитель», уч.33»</t>
  </si>
  <si>
    <t>«Установка прибора учета для присоединения малоэтажной жилой застройки (Рогожкина Н.В.), расположенной по адресу: Ростовская область, Октябрьский р-н, п. Малая Сопка, ул. Центральная, д.12»</t>
  </si>
  <si>
    <t>«Установка прибора учета для присоединения объектов дорожного хозяйства (ГК «Росавтодор»), расположенных по адресу: Ростовская область, Октябрьский р-н, а/д М-4 «Дон» км 1023+750»</t>
  </si>
  <si>
    <t>"Установка прибора учета для присоединения жилого дома Матвеева Е.В., расположенного по адресу: Ростовская обл., Родионово-Несветайский р-он, х.Красильников, ул.Первомайская, д.3, КН ЗУ:61:33:0020901:14"</t>
  </si>
  <si>
    <t>«Установка прибора учета для присоединения малоэтажной жилой застройки Жихарева А.И., расположенного по адресу: Ростовская обл., р-н. Родионово-Несветайский, СО "Весна", участок №276, КН ЗУ:  61:33:0500301:277»</t>
  </si>
  <si>
    <t>«Установка прибора учета для присоединения малоэтажной жилой застройки Жиренко С.И., расположенного по адресу: Ростовская обл., р-н. Родионово-Несветайский, х. Веселый, ул. Дачная, д. 13, КН ЗУ:  61:33:0040701:287»</t>
  </si>
  <si>
    <t>«Установка прибора учета для присоединения «объекты наружного освещения» Министерство транспорта Ростовской области, расположенных по адресу: Ростовская обл., р-н. Родионово-Несветайский, автодорога п.Матвеев-Курган-сл.Большекрепинская-сл.Родионово-Несветайская, проектируемый участок: км29+427-км31+867 (с.Греково-Ульяновка), кадастровый номер земельного участка: 61:33:0000000:56»</t>
  </si>
  <si>
    <t>Установка прибора учета для присоединения малоэтажной жилой застройки (Азарянсков Е.А.) расположенной по адресу: Ростовская область, Октябрьский р-н, Октябрьский р-н, ст. Кривянская, ул. Матвеевка, д. 57-Г</t>
  </si>
  <si>
    <t>Установка прибора учета для присоединения малоэтажной жилой застройки (Каленик Н.М.) расположенного по адресу: Ростовская область, Октябрьский р-н, рп. Каменоломни, ул. Гвардейская, д.28</t>
  </si>
  <si>
    <t>«Установка прибора учета для присоединения малоэтажной жилой застройки (Лисовой В.В.), расположенной по адресу: Ростовская область, Октябрьский р-н, с/т «Электровозостроитель», уч.152»</t>
  </si>
  <si>
    <t>Установка прибора коммерческого учёта электрической энергии для присоединения строящегося жилого дома Новикова В.С., расположенного по адресу: Ростовская область, Белокалитвинский р-н, п. Сосны, ул. Донская, д. 33, к.н.з.у.: 61:04:0150413:184 (прибор учёта электроэнергии - 1шт.)</t>
  </si>
  <si>
    <t>Установка прибора коммерческого учёта электрической энергии, для присоединения строящегося жилого дома Полухиной Л.А., расположенного по адресу: Ростовская область, Белокалитвинский р-н,  х. Богураев, ул. Камнедобытчиков, к.н.з.у. 61:04:0160111:217 (прибор учёта электроэнергии - 1шт)</t>
  </si>
  <si>
    <t>Установка прибора коммерческого учёта электрической энергии, для присоединения объекта наружного освещения Администрации Малокаменского сельского поселения, расположенного по адресу: Ростовская область, Каменский район, х. Акатновка, ул. Скалистая, к.н. 00:00:0000:00 (прибор учёта электроэнергии - 1шт.)</t>
  </si>
  <si>
    <t>Установка прибора коммерческого учета электрической энергии, для присоединения ВРУ-0,4кВ жилого дома Максименцевой Н.И., расположенного по адресу: Ростовская область, Каменский р-н, х. Масаловка, ул. Московская, дом 47А, К.Н.61:15:0080201:4679 (прибор учета электроэнергии - 1 шт.)</t>
  </si>
  <si>
    <t>Установка прибора коммерческого учёта электрической энергии для присоединения ВРУ-0,22кВ садового дома, Луканина Д,А., расположенного по адресу: Ростовская область, Каменский р-н, х. Абрамовка, снт. Колос,  ул. Цветочная, д. 75, к.н. 61:15:0500501:6 (прибор учёта электроэнергии – 1 шт.)</t>
  </si>
  <si>
    <t>Установка прибора коммерческого учёта электрической энергии, для присоединения ВРУ-0,22 кВ магазина ИП Лисица В.И., расположенного по адресу: Ростовская область, Тацинский район, х. Крылов, ул. Цветочная, д. 28, к.н. 61:38:0100201:1750 (прибор учёта электроэнергии - 1шт.)</t>
  </si>
  <si>
    <t>Установка прибора коммерческого учёта электрической энергии для присоединения ВРУ-0,22кВ уличного освещения Администрации Верхнеобливского сельского поселения, расположенного по адресу: Ростовская область, Тацинский р-н, х. Верхнеобливский, ул. Школьная, д. 46 к.н. 00:00:0000:000 (прибор учёта электроэнергии – 1 шт.)</t>
  </si>
  <si>
    <t>Установка прибора коммерческого учёта электрической энергии для присоединения ВРУ-0,22кВ уличного освещения Администрации Верхнеобливского сельского поселения, расположенного по адресу: Ростовская область, Тацинский р-н, х. Верхнеобливский, ул. Школьная, д. 39 к.н. 00:00:0000:000 (прибор учёта электроэнергии – 1 шт.)</t>
  </si>
  <si>
    <t>Установка прибора коммерческого учёта электрической энергии для присоединения объекта наружного освещения Администрации Зазерского сельского поселения, расположенного по адресу: Ростовская область, Тацинский р-н, х. Араканцев, ул. 70 лет Октября, к.н. 00:00:0000:000 (прибор учёта электроэнергии – 1 шт.)</t>
  </si>
  <si>
    <t>Установка прибора коммерческого учёта электрической энергии для присоединения объекта наружного освещения Администрации Зазерского сельского поселения, расположенного по адресу: Ростовская область, Тацинский р-н, х. Араканцев, ул. Садовая, к.н. 00:00:0000:000 (прибор учёта электроэнергии – 1 шт.)</t>
  </si>
  <si>
    <t>Установка прибора коммерческого учёта электрической энергии для присоединения объекта наружного освещения Администрации Зазерского сельского поселения, расположенного по адресу: Ростовская область, Тацинский р-н, х. Араканцев, ул. Луговая, к.н. 00:00:0000:000 (прибор учёта электроэнергии – 1 шт.)</t>
  </si>
  <si>
    <t>Установка прибора коммерческого учёта электрической энергии для присоединения ВРУ-0,22кВ уличного освещения Администрации Верхнеобливского сельского поселения, расположенного по адресу: Ростовская область, Тацинский р-н, х. Верхнеобливский, ул. Школьная, д. 16 к.н. 00:00:0000:000 (прибор учёта электроэнергии – 1 шт.)»</t>
  </si>
  <si>
    <t>Установка прибора коммерческого учёта электрической энергии, для присоединения уличного освещения внутрипоселковой грунтовой дороги Администрации Митякинского сельского поселения, расположенной по адресу: Ростовская область, Тарасовский район, ст-ца Митякинская, ул. Мира, к. н 61:37:0100101:3986 (прибор учёта электроэнергии - 1шт)</t>
  </si>
  <si>
    <t>Установка прибора коммерческого учёта электрической энергии, для присоединения жилого дома   Даниловой С.В., расположенного по адресу: Ростовская область, Тарасовский район, сл. Дячкино, ул. Моховатая, д. 19, к.н.з.у. 61:37:0030101:210 (прибор учёта электроэнергии - 1шт)</t>
  </si>
  <si>
    <t>Установка прибора коммерческого учёта электрической энергии для присоединения жилого дома Товарищества на вере «Гладышев и К»., расположенного по адресу: Ростовская область, Белокалитвинского р-н, х. Мечетный, ул. Бузиновская, д. 1, к.н.з.у.: 61:04:0160702:75 (прибор учёта электроэнергии – 1 шт.)</t>
  </si>
  <si>
    <t>Установка прибора коммерческого учёта электрической энергии, для присоединения жилого дома Сорочинского А.В., расположенного по адресу: Ростовская область, Белокалитвинский р-н, п. Сосны, ул. Гагарина, д. 5, кв. 2, кадастровый номер земельного участка: 61:04:0150404:290 (прибор учёта электроэнергии – 1 шт.)</t>
  </si>
  <si>
    <t>Установка прибора коммерческого учета электрической энергии, для присоединения ВРУ-0,4кВ жилого дома Науменко А.Ю., расположенного по адресу: Ростовская область, Каменский район, х. Старая Станица, ул. Театральная, д. 90, к. н. з.у. 61:15:0130101:5 (прибор учета электроэнергии - 1 шт.)</t>
  </si>
  <si>
    <t>Установка прибора коммерческого учёта электрической энергии, для присоединения ВРУ-0,4кВ жилого дома, Морозова В.В., расположенного по адресу: Ростовская область, Каменский район, х. Кудинов, ул. Речная, д. 6, к.н. 61:15:0070301:14 (прибор учёта электроэнергии –  1 шт.)</t>
  </si>
  <si>
    <t>Установка прибора коммерческого учёта электрической энергии, для присоединения освещения автомобильной дороги Администрации Зеленовского сельского поселения Тарасовского района, расположенного по адресу: Ростовская обл., Тарасовский р-н,  х. Чеботовка, ул. Центральная, от примыкания к автодороге Тарасовка-Можаевка до отметки 25,0 м от дома № 28 по ул. Центральная, к.н. 61:37:0070701:0:53 (прибор учёта электроэнергии - 1шт)</t>
  </si>
  <si>
    <t>Установка прибора коммерческого учета электрической энергии, для присоединения «жилого дома» Сафонова Сергея Николаевича, расположенного по адресу: 347832 Российская Федерация, Ростовская обл., р-н. Каменский, ст-ца. Калитвенская, ул. Садовая,  д. 9, кадастровый номер земельного участка: 61:15:0070101:3279. (прибор учета электроэнергии - 1 шт.)</t>
  </si>
  <si>
    <t>Установка прибора коммерческого учета электрической энергии, для присоединения жилого дома Змеева Е.Г., расположенного по адресу: Ростовская область, Каменский район, х. Красновка, ул. Мостовая, 37, КН 61:15:0080104:135 (прибор учета электроэнергии - 1 шт.)</t>
  </si>
  <si>
    <t>Установка прибора коммерческого учета электрической энергии, для присоединения жилого дома Кишко В.В., расположенного по адресу: Ростовская область, Каменский район, х. Старая Станица, пер. 2-й Зеленый, 4, КН 61:15:0130104:2446 (прибор учета электроэнергии - 1 шт.)</t>
  </si>
  <si>
    <t>Установка прибора коммерческого учёта электрической энергии, для присоединения ВРУ-0,22 кВ объекта наружного освещения, расположенного по адресу: Ростовская область, Милютинский район,  ст. Селивановская, ул. Титова, ул. Молодежная, (прибор учёта электроэнергии - 1 шт.)</t>
  </si>
  <si>
    <t>Установка прибора коммерческого учёта электрической энергии, для присоединения «Объекта наружного освещения» Администрации Гагаринского сельского поселения, расположенного по адресу: Ростовская область, Морозовский р-н, х. Морозов, ул. Восточная, кадастровый номер земельного участка: 00:00:000000:00 (прибор учёта электроэнергии – 1 шт.)</t>
  </si>
  <si>
    <t>Установка прибора коммерческого учёта электрической энергии, для присоединения объекта «Нежилое помещение» Администрации Гагаринского сельского поселения, расположенного по адресу: Ростовская область, Морозовский р-н, х. Морозов, ул. Дорожная, д. 46, помещение 1,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</si>
  <si>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объекта «Объекты наружного освещения» Администрации Вознесенского сельского поселения, расположенного по адресу: Ростовская область, Морозовский р-н,  х. Вознесенский, ул. Вознесенская, Степная,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</si>
  <si>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ВРУ-0,22кВ жилого дома Васильченко Е.В., расположенного по адресу: Ростовская область, Тацинский р-н, х. Ковылкин, ул. Советская, д. 6, к.н. 61:38:0110101:32 (прибор учёта электроэнергии – 1 шт.)</t>
  </si>
  <si>
    <t>Установка прибора коммерческого учёта электрической энергии для присоединения ВРУ-0,22кВ жилого дома Шпаковой Е.В., расположенного по адресу: Ростовская область, Тацинский р-н, х. Ковылкин, ул. Советская, д. 4 к.н. 61:38:0110101:40 (прибор учёта электроэнергии – 1 шт.)</t>
  </si>
  <si>
    <t>Установка прибора коммерческого учёта электрической энергии, для присоединения огорода Саакян А.А., расположенного по адресу: Ростовская область, Белокалитвинский район, х. Богатов, ул. Береговая, к.н. 61:04:0600016:334 (прибор учета электроэнергии 5 кВт– 1шт)</t>
  </si>
  <si>
    <t>Установка прибора коммерческого учёта электрической энергии, для присоединения строящегося жилого дома Ушаковой Е.В., расположенного по адресу: Ростовская область, Белокалитвинский р-н, х. Живые Ключи, ул. Железнодорожная,  д. 22, к.н. 61:04:12040:7475 (прибор учёта электроэнергии - 1шт.)</t>
  </si>
  <si>
    <t>Установка прибора коммерческого учёта электрической энергии, для присоединения жилого дома Сизякина И.Б. расположенного по адресу: Ростовская область, Белокалитвинский р-н, х. Голубинка, ул. Набережная, д. 5 кадастровый номер земельного участка: 61:04:0110202:119 (прибор учёта электроэнергии – 1 шт.)</t>
  </si>
  <si>
    <t>Обеспечение коммерческим учетом электрической энергии в точке поставки, по присоединению строящегося жилого дома Гагулиной Е.И., расположенного по адресу: Ростовская область, Каменский район, х. Старая Станица, ул. Садовая д. № 88, корп. Б, к.н. 61:15:0130102:3060 (прибор учета электроэнергии – 1шт).</t>
  </si>
  <si>
    <t>Установка прибора коммерческого учёта электрической энергии, для присоединения жилого дома Бокаревой И.В., расположенного по адресу: Ростовская область, Каменский район, х. Абрамовка, ул. Ленина, д.№7, корп. В, к.н. 61:15:0130201:1903(прибор учёта электроэнергии - 1шт.).</t>
  </si>
  <si>
    <t>Установка прибора коммерческого учёта электрической энергии, для присоединения жилого дома Илларионова В.И., расположенного по адресу: Ростовская область, Каменский район, х. Филиппенков, пер. Клубный, д. № 2, к.н. 00:00:000000 (прибор учёта электроэнергии  - 1шт.</t>
  </si>
  <si>
    <t>Установка прибора коммерческого учёта электрической энергии, для присоединения ВРУ-0,22 кВ садового дома Никитиной Ж.Г., расположенной по адресу: Ростовская область, Каменский р-н, х. Абрамовка, тер. СНТ «Отдых», пер. Урожайный, д. 43, к.н. 61:15:0500201:179 (прибор учёта электроэнергии - 1шт)</t>
  </si>
  <si>
    <t>Установка прибора коммерческого учёта электрической энергии для присоединения жилого дома Дудко А.В., расположенного по адресу: Ростовская область, Каменский район, х. Абрамовка, пер. Светлый, д. № 35, к.н.з.у. 61:15:0130201:1524 (прибор учёта электроэнергии - 1шт.)</t>
  </si>
  <si>
    <t>Установка прибора коммерческого учёта электрической энергии, для присоединения хозяйственной постройки Чебан А.А., расположенной по адресу: Ростовская область, Каменский район, п. Каменногорье, ул. 1 Апреля, д. № 24, к.н.з.у. 61:15:0010301:1307 (прибор учёта электроэнергии - 1шт.)</t>
  </si>
  <si>
    <t>Установка прибора коммерческого учета электрической энергии, для присоединения жилого дома Васильченко И.Ю., расположенного по адресу: Ростовская область, Каменский район, х. Старая Станица, ул. Садовая, 59, КН 61:15:0080104:135 (прибор учета электроэнергии - 1 шт.)</t>
  </si>
  <si>
    <t>Установка прибора коммерческого учета электрической энергии, для присоединения жилого дома Хлебовой Е.А. расположенного по адресу: Ростовская область, Каменский район, х. Абрамовка, пер. Тополевый, севернее пер. Тополевый, 7, КН 61:15:0130201:363 (прибор учета электроэнергии - 1 шт.)</t>
  </si>
  <si>
    <t>Установка прибора коммерческого учёта электрической энергии, для присоединения «Объекта уличного освещения (ул. Речная КТП №75 ф-1)» Администрации Костино-Быстрянского сельского поселения, расположенного по адресу: Ростовская область, Морозовский р-н, х. Новопроциков, ул. Речная, кадастровый номер земельного участка: 00:00:000000:00 (прибор учёта электроэнергии – 1 шт.)</t>
  </si>
  <si>
    <t>Установка прибора коммерческого учета электрической энергии, для присоединения ВРУ-0,22 кВ жилого дома Воротилиной О.С., расположенного по адресу: Ростовская область, Советский р-н, сл. Калач-Куртлак,  ул. Григорьевская, дом №28, К.Н. 61:36:0040101:332 (прибор учета электроэнергии -1 шт.)</t>
  </si>
  <si>
    <t>Установка прибора коммерческого учета электрической энергии, для присоединения ВРУ-0,22 кВ квартиры   Лебедевой Н.А., расположенной по адресу: Ростовская область, Советский р-н, п. Чирский, ул. Дорожная, дом № 2, кв.2, К.Н. 61:36:0030101:184 (прибор учета электроэнергии - 1 шт.)</t>
  </si>
  <si>
    <t>Установка прибора коммерческого учета электрической энергии, для присоединения ВРУ-0,22 кВ квартиры Крыловой Г.П., расположенного по адресу: Ростовская область, Советский р-н, х. Усть-Грязновский, ул. Речная, дом №2, кв. 2, К.Н. 61:36:0030901:547 (прибор учета электроэнергии - 1 шт.)</t>
  </si>
  <si>
    <t>Установка прибора коммерческого учёта электрической энергии, для присоединения ВРУ-0,22кВ освещения дорог Администрации Дячкинского сельского поселения, расположенного по адресу: Ростовская область, Тарасовский район,  сл. Дячкино, ул. Молодежная (к.н. 61:37:0000000:1557), ул. Садовая (к.н. 61:37:0000000:1558), пер. Терновой (к.н. 61:37:0030101:1999), ул. Вишневая (к.н. 61:37:0030101:2000) (прибор учёта электроэнергии - 1шт)</t>
  </si>
  <si>
    <t>Установка прибора коммерческого учёта электрической энергии, для присоединения объектов наружного освещения Гришкова Д.А., расположенного по адресу: Ростовская область, Тарасовский район, Зеленовское сельское поселение, х. Зеленовка, к.н. 61:37:0600021:1614 (прибор учёта электроэнергии - 1шт)</t>
  </si>
  <si>
    <t>Установка прибора коммерческого учёта электрической энергии для присоединения Малоэтажной жилой застройки (Индивидуальный жилой дом) Яковлева А.А., расположенного по адресу: Ростовская область, Белокалитвинского р-н, х. Дороговский, Нижнепоповское сельское поселение, территория садоводческого некоммерческого товарищества «Калитва» земельный участок № 141, к.н.з.у.: 61:04:0000000:6371 (прибор учёта электроэнергии – 1 шт.)</t>
  </si>
  <si>
    <t>Установка прибора коммерческого учёта электрической энергии для присоединения строящегося жилого дома Дьякова М.Э., расположенного по адресу: Ростовская область, Белокалитвинский р-н, х. Дубовой, ул. Абашина, уч. №3а, к.н.з.у.: 61:04:0110501:290 (прибор учёта электроэнергии - 1шт.)</t>
  </si>
  <si>
    <t>Установка прибора коммерческогоучёта электрической энергии, для присоединения объекта «Жилого дома» Гаврик Ольги Игоревны, расположенного по адресу: Ростовская область, р-н Морозовский, х. Вербочки, ул. Восточная, д.  44,  кадастровый номер земельного участка: 61:24:0030104:23 (прибор учёта электроэнергии – 1 шт.</t>
  </si>
  <si>
    <t>Установка прибора коммерческого учёта электрической энергии для присоединения ВРУ-0,22кВ уличного освещения Администрации Скосырского сельского поселения расположенного по адресу: Ростовская область, Тацинский р-н, х. Крюков, ул. Школьная, д. 26, кв. 1 к.н. 00:00:0000000:00 (прибор учёта электроэнергии – 1 шт.)</t>
  </si>
  <si>
    <t>Установка прибора коммерческого учёта электрической энергии для присоединения ВРУ-0,22 кВ жилого дома Жученко О.А., расположенного по адресу :Ростовская область,Тацинский р-н, ст.Скосырская, ул.Советская, д. 19,  к.н. 61:38:0060101:91 (прибор учёта электроэнергии – 1 шт.)</t>
  </si>
  <si>
    <t>Установка прибора коммерческого учёта электрической энергии для присоединения гаража Какичева С.А., расположенного по адресу: Ростовская область, Белокалитвинского р-н,  п. Сосны, ул. Энергетиков, к.н.з.у.: 61:04:0150406:631 (прибор учёта электроэнергии – 1 шт.)</t>
  </si>
  <si>
    <t>Установка прибора коммерческого учёта электрической энергии для присоединения жилого дома Михайлова В.Г., расположенного по адресу: Ростовская область, Белокалитвинский р-н, п. Сосны, пер. Советский, д.2, к.н.з.у.: 61:04:0150401:216 (прибор учёта электроэнергии – 1 шт.)</t>
  </si>
  <si>
    <t>Установка прибора коммерческого учёта электрической энергии для присоединения жилого дома Устенко М.С., расположенного по адресу: Ростовская область, Белокалитвинского р-н, п. Сосны, ул. Энергетиков, д.35, к.н.з.у.: 61:04:150407:34 (прибор учёта электроэнергии – 1 шт.)</t>
  </si>
  <si>
    <t>Обеспечение коммерческим учетом электрической энергии в точке поставки, по присоединению гаража Юдиной Н.Р., расположенного по адресу: Ростовская область, Каменский район,  х. Лесной, 111 м. северо-восточнее жилого дома по ул. Лермонтова д. № 6, к.н. 61:15:0130501:1913 (прибор учета электроэнергии – 1шт) .</t>
  </si>
  <si>
    <t>Обеспечение коммерческим учетом электрической энергии  в точке поставки, по присоединению строящегося жилого дома Софьиной Е.В., расположенного по адресу: Ростовская область, Каменский район,  х. Старая Станица, ул. Вишневая, д. № 6, к.н. 61:15:0130103:4736 (прибор учета электроэнергии – 1шт)</t>
  </si>
  <si>
    <t>Установка прибора коммерческого учета электрической энергии, для присоединения «жилого дома» Акшова А.М. расположенного по адресу: Российская Федерация, Ростовская обл., р-н. Каменский, х. х. Старая Станица, ул. Космонавтов, 33, КН 61:15:0130103:4568, (прибор учета электроэнергии - 1 шт.)</t>
  </si>
  <si>
    <t>Установка прибора коммерческого учёта электрической энергии, для присоединения ВРУ-0,4кВ жилого дома, Поляковой Л.А., расположенного по адресу: Ростовская область, Каменский район, х. Старая Станица, примыкает к земельному участку с к.н. 61:15:0130105:1832, к.н. з/у 61:15: 0130105:2089 (прибор учёта электроэнергии –  1 шт.)</t>
  </si>
  <si>
    <t>Установка прибора коммерческого учета электрической энергии, для присоединения «дачного дома» Самошкиной А.В. расположенного по адресу: Российская Федерация, Ростовская обл., р-н. Каменский, х. Абрамовка, тер. СНТ «Восток», пер. Абрикосовый, 338, КН 61:15:0500101:420, (прибор учета электроэнергии - 1 шт.)</t>
  </si>
  <si>
    <t>Установка прибора коммерческого учёта электрической энергии, для присоединения ВРУ-0,22 кВ освещения дороги асфальтобетонной Администрации Ефремово-Степановского сельского поселения, расположенного по адресу: Ростовская область, Тарасовский район,  х. Нижнемакеевский, ул. Молодежная,  к.н. 61:37:0080301:557 (прибор учёта электроэнергии - 1шт)</t>
  </si>
  <si>
    <t>Установка прибора коммерческого учёта электрической энергии, для присоединения ВРУ-0,22 кВ освещения сооружений дорожного транспорта-автомобильная дорога Администрации Ефремово-Степановского сельского поселения, расположенного по адресу: Ростовская область, Тарасовский район,  х. Нижнемакеевский, пер. Вишневый, к.н. 61:37:0080301:619 (прибор учёта электроэнергии - 1шт)</t>
  </si>
  <si>
    <t>Установка прибора коммерческого учёта электрической энергии, для присоединения ВРУ-0,22 кВ освещения сооружений дорожного транспорта-автомобильная дорога Администрации Ефремово-Степановского сельского поселения, расположенного по адресу: Ростовская область, Тарасовский район, сл. Ефремово-Степановка, ул. Ленина  к.н. 61:37:0080101:2089 (прибор учёта электроэнергии - 1шт)</t>
  </si>
  <si>
    <t>Установка прибора коммерческого учёта электрической энергии, для присоединения ВРУ-0,22 кВ освещения грунтовой дороги Администрации Войковского сельского поселения, расположенного по адресу: 346091 Российская Федерация, Ростовская обл., р-н. Тарасовский, х. Можаевка,   ул. Заречная, к. н. 61:37:0110101:137 (прибор учёта электроэнергии - 1шт)</t>
  </si>
  <si>
    <t>Установка прибора коммерческого учёта электрической энергии, для присоединения ВРУ-0,22 кВ уличного освещения автомобильной дороги (КТП № 473) Администрации Колушкинского сельского поселения, расположенного по адресу: Ростовская обл., р-н. Тарасовский, Колушкинское сельское поселение, сл. Колушкино, ул. Советская,  к.н 61:37:0090101:1709 (прибор учёта электроэнергии - 1шт)</t>
  </si>
  <si>
    <t>Установка прибора коммерческого учёта электрической энергии, для присоединения ВРУ-0,22 кВ уличного освещения автомобильной дороги (КТП № 500) Администрации Колушкинского сельского поселения, расположенного по адресу: Ростовская обл., р-н. Тарасовский, Колушкинское сельское поселение, сл. Колушкино, ул. Советская,  к.н 61:37:0090101:1709 (прибор учёта электроэнергии - 1шт)</t>
  </si>
  <si>
    <t>Установка прибора коммерческого учёта электрической энергии для присоединения торгового павильона некапитального типа Зуева А.Л., расположенного по адресу: Ростовская область, Каменский р-н, х. Нижнесазонов, ул. Колхозная, д. № 11, корп. А, к.н. 61:15:0030601:243(прибор учета электроэнергии – 1шт).</t>
  </si>
  <si>
    <t>Установка прибора коммерческого учёта электрической энергии для присоединения жилого дома Загорулько В.А., расположенного по адресу: Ростовская область, Каменский район, х. Старая Станица, ул. Театральная,  д. № 98, к.н.з.у. 61:15:0130101:12914 (прибор учёта электроэнергии - 1 шт.)</t>
  </si>
  <si>
    <t>Установка прибора коммерческого учёта электрической энергии, для присоединения садового дома Мосенцева  И.С., расположенного по адресу: Ростовская область, Каменский район, х. Абрамовка, СНТ Мичуренец, ул. Солнечная, д. № 18, к.н.з.у. 61:15:0500801:465 (прибор учёта электроэнергии - 1 шт.)</t>
  </si>
  <si>
    <t>Установка прибора коммерческого учета электрической энергии, для присоединения «жилого дома» Овсянникова С.С. расположенного по адресу: Российская Федерация, Ростовская обл., р-н. Каменский, х. Старая Станица, ул. 2-я Садовая, 58А, КН 61:15:0130105:1743(прибор учета электроэнергии  -  1  шт.)</t>
  </si>
  <si>
    <t>Установка прибора коммерческого учёта электрической энергии, для присоединения жилого дома Плотникова Д.Л., расположенного по адресу: Ростовская область, Каменский район, х. Харьковка, ул. Фурманова, д. № 54, к.н.з.у. 61:15:0080401:29 (прибор учёта электроэнергии - 1 шт.)</t>
  </si>
  <si>
    <t>Установка прибора коммерческогоучёта электрической энергии для присоединения жилого дома Кормильцева А.В.,расположенного по адресу :Ростовская область, Белокалитвинский р-н ,п. Сосны, ул. Гагарина, д.25А, к.н.з.у.:   61:04:0150404:417   (прибор учёта электроэнергии  –  1  шт.)</t>
  </si>
  <si>
    <t>Установка прибора коммерческого учёта электрической энергии для присоединения жилого дома Ноздрина Е.В., расположенного по адресу: Ростовская область, Белокалитвинский р-н, п. Сосны, ул. Сосновая, д.12, к.н.з.у.: 61:04:0150415:61 (прибор учёта электроэнергии – 1 шт.)</t>
  </si>
  <si>
    <t>Установка прибора коммерческого учёта электрической энергии для присоединения объектов животноводства Джанунц С.Б., расположенного по адресу: Ростовская область, Белокалитвинского р-н, х. Васильевский, ул. Васильевская, уч 8а, к.н.з.у.: 61:04:0141001:495 (прибор учёта электроэнергии – 1 шт.)</t>
  </si>
  <si>
    <t>Установкаприборакоммерческогоучетаэлектрическойэнергии,для присоединения «жилого дома» Косых В.И. расположенного по адресу:Российская Федерация, Ростовская обл., р-н. Каменский, х. Красновка, Сурикова, 28А, КН61:15:0080107:1267 (прибор учета электроэнергии - 1 шт.)</t>
  </si>
  <si>
    <t>Установка прибора коммерческого учета электрической энергии, дляприсоединения «садового дома» Гриднева М.И .расположенного по адресу: Российская Федерация, Ростовская обл., р-н.  Каменский, снт.«Колос», ул.Тополиная,  160 КН  61:15:0500501:288 (прибор учета электроэнергии - 1 шт.)</t>
  </si>
  <si>
    <t>Установка прибора коммерческого учета электрической энергии, для присоединения «садового дома» Санжарова Г.Т. расположенного поадресу: Российская Федерация, Ростовская обл., р-н. Каменский, снт.«Восток», пер. Майский,  131,  КН 61:15:0500101:567 (прибор учета электроэнергии  -  1 шт.)</t>
  </si>
  <si>
    <t>Установка прибора коммерческого учёта электрической энергии для присоединения Малоэтажной жилой застройки Колесниковой С.В., расположенного по адресу:Ростовская область, Белокалитвинский р-н, х. Погорелов, ул. Шахтерская, д.9, к.н.з.у.:61:04:0130201:496 (прибор учёт аэлектроэнергии – 1 шт.)</t>
  </si>
  <si>
    <t>Установка прибора коммерческого учёта электрической  энергии, для присоединения объекта «Малоэтажная жилая застройка» Холошенко А.И.,расположенного по адресу: Ростовская область, Милютинский район,ст.Селивановская,ул.Песчаная,земельный участок №  8, кадастровый номер земельного участка:  61:23:0080102:8 (прибор учёта электроэнергии  –  1 шт.)</t>
  </si>
  <si>
    <t>Установка прибора коммерческого учёта электрической энергии, для присоединения жилого дома (квартира) Бенько П.Ю., расположенного по адресу: Ростовская область, Тарасовский район, сл. Колушкино, ул. Молодежная, д.11 кв.2,  к.н. 61:37:0090101:2017 (прибор учёта электроэнергии - 1шт)</t>
  </si>
  <si>
    <t>Установка прибор акоммерческого учёта электрической энергии ,для присоединения ВРУ-0,22кВ жилого дома Войновой А.Н., расположенного по адресу: Ростовская область, Тацинский район, х. Нижнекольцов, ул. Колхозная,д. 26,  к.н. 61:38:0080301:27 (прибор учёта электроэнергии –  1 шт.)</t>
  </si>
  <si>
    <t>Установка прибора коммерческого учёта электрической энергии,для присоединения жилого дома Морозова А.А, расположенного по адресу: Ростовская область, Каменский район, ст-ца Калитвенская, ул. Фрунзе, д. № 1, к.н.з.у. 61:15:0070101:636 (прибор учёта электроэнергии - 1шт.)</t>
  </si>
  <si>
    <t>Установка прибора коммерческого учета электрической энергии, для присоединения «жилого дома Дроздова Д.О., расположенного по адресу: Российская Федерация, Ростовская обл., р-н. Каменский, х. Старая Станица, ул. Мигулинская, 26, КН 61:15:0130101:2875 (прибор учета электроэнергии - 1 шт.)</t>
  </si>
  <si>
    <t>Установка прибора коммерческого учета электрической энергии, для присоединения «жилого дома» Патрушева С.В., расположенного по адресу: Российская Федерация, Ростовская обл., р-н. Каменский, х.Филиппенков, ул. Набережная, 13А, КН  61:15:0080501:2254  (прибор учета электроэнергии  -  1 шт.)</t>
  </si>
  <si>
    <t>Установка прибора коммерческого учета электрической энергии, для присоединения «жилого дома» Сушкиной Н.Н., расположенного по адресу: Российская Федерация, Ростовская обл., р-н. Каменский, ст. Калитвенская,ул.Кирова, 16, КН 61:15:0070101:1024 (прибор учета электроэнергии - 1 шт.)</t>
  </si>
  <si>
    <t>Установка прибора коммерческого учёта электрической энергии, для  присоединения ВРУ-0,22кВ объекта наружного освещения Администрации Верхнеобливского сельского поселения, расположенного по адресу: Ростовская область, Тацинский район, х. Новониколаевский, ул. Ленина, д. 37А, к.н.00:00:000000:00  (прибор учёта электроэнергии  –    1  шт.)</t>
  </si>
  <si>
    <t>Установка прибора коммерческого учёта электрической энергии, для присоединения ВРУ-0,22 кВ строящегося здания Гладышевой Л.Н., расположенного по адресу: Ростовская область, Тацинский район, п. Быстрогорский, ул. Санаторная, д. 8-г, к.н. 61:38:0040101:453 (прибор учёта электроэнергии –  1 шт.)</t>
  </si>
  <si>
    <t>Установка прибора коммерческогоучёта электрической энергии для присоединения Малоэтажной жилой застройки Лукьяновой Г.И., расположенной по адресу: Ростовская область, Белокалитвинский р-н, п. Сосны, ул. Севастопольская, д  6,  кв.  1,  к.н.з.у.:61:04:0150405:495 (прибор учёта электроэнергии – 1 шт.)</t>
  </si>
  <si>
    <t>Установка прибора коммерческого учёта электрической энергии, для присоединения жилого дома  Сироштан Н.Ю., расположенного по адресу: Ростовская область, Белокалитвинский р-н, х. Поцелуев, ул. Газодобытчиков, д 17, к.н.з.у.: 61:04:0050104:45 (прибор учёта электроэнергии – 1 шт.)</t>
  </si>
  <si>
    <t>Установка прибора коммерческого учёта электрической энергии, для присоединения жилого дома  Стекольщикова С.М., расположенного по адресу: Ростовская область, Белокалитвинский р-н, х. Дороговский, ул. Раздольная, д 13, к.н.з.у.: 61:04:01503031:602 (прибор учёта электроэнергии – 1 шт.)</t>
  </si>
  <si>
    <t>Установка прибора коммерческого учёта электрической энергии для присоединения жилого дома Иванцовой А.С., расположенного по адресу: Ростовская область, Белокалитвинского р-н,  х. Ленина, ул. Нагорная, д. 13, к.н.з.у.: 61:04:0100102:58 (прибор учёта электроэнергии – 1 шт.)</t>
  </si>
  <si>
    <t>Установка прибора коммерческого учёта электрической энергии, для присоединения объекта «Жилого дома» Кобцева Ивана Александровича, расположенного по адресу: Ростовская область, р-н Морозовский, х. Морозов, ул. Молодежная, 3, кадастровый номер земельного участка: 61:24:0080101:981 (прибор учёта электроэнергии - 1шт.)</t>
  </si>
  <si>
    <t>Установка прибора коммерческого учёта электрической энергии, для присоединения «жилой дом» Смольниковой В.А.,расположенного по адресу: Ростовская область, Обливский район, хутор Алексеевский,  улица Ленина,  дом 39, к.н.з.у. 61:27:0020101:365 (прибор учёта электроэнергии -1шт.)</t>
  </si>
  <si>
    <t>Установка прибора коммерческого учёта электрической энергии, для присоединения объект наружного освещения  Администрация муниципального образования «Советского сельского поселения» Советского района Ростовской области), расположенного по адресу: Ростовская область, Советский район, хутор Русаков, ул. Петровская, к (прибор учёта электроэнергии - 1шт)</t>
  </si>
  <si>
    <t>Установка прибора коммерческого учёта электрической энергии, для присоединения жилого дома Омаргаджиева Магомедгаджи, расположенного по адресу: Ростовская область,Тарасовский район, сл. Большинка, ул. Башмакова И.В., д.43, к.н.  61:37:0120101:3431 (прибор учёта электроэнергии  -  1шт)</t>
  </si>
  <si>
    <t>Установка прибора коммерческого учёта электрической энергии, для присоединения жилого дома Сорочинского В.В., расположенного по адресу: Ростовская обл.,р-н.Тарасовский, сл. Ефремово-Степановка, ул. Кирова, д.43 (прибор учёта электроэнергии  -  1шт)</t>
  </si>
  <si>
    <t>Установка системы учета для технологического присоединения энергопринимающих устройств Заявителя (Соколов С.А.) по адресу: Ростовская область, г. Таганрог, ул. Поселковая, д. 27а, к.н.: 61:58:0004265:279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</si>
  <si>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пер. Смирновский, д. 139/1 (1 шт.)</t>
  </si>
  <si>
    <t>Установка системы учета для технологического присоединения энергопринимающих устройств Заявителя (Рябичев Д.В.) по адресу: Ростовская область, г. Таганрог, пер. 4-й Мариупольский, д. 10, к.н.: 61:58:0005216:38 (1 шт.)</t>
  </si>
  <si>
    <t>Установка системы учета для технологического присоединения энергопринимающих устройств Заявителя (Шумской А.А.) по адресу: Ростовская область, г. Таганрог, пер. 5-й Мариупольский, д. 11, к.н.: 61:58:0005218:45 (1 шт.)</t>
  </si>
  <si>
    <t>Установка системы учета для технологического присоединения энергопринимающих устройств Заявителя (Скляренко О.Д.) по адресу: Ростовская область, г. Таганрог, ул. Торговая, д. 25а, к.н.: 61:58:0002346:285 (1 шт.)</t>
  </si>
  <si>
    <t>Установка системы учета для технологического присоединения энергопринимающих устройств Заявителя (Каплин Е.В.) по адресу: Ростовская область, г. Таганрог, пер. 11-й Мариупольский, д. 68, к.н. 61:58:0005223:342 (1 шт.)</t>
  </si>
  <si>
    <t>Установка системы учета для технологического присоединения энергопринимающих устройств Заявителя (Рябичев Д.В.) по адресу: Ростовская область, г. Таганрог, ул. Бартини, д. 42/1, к.н.: 61:58:0005233:257 (1 шт.)</t>
  </si>
  <si>
    <t>Установка системы учета для технологического присоединения энергопринимающих устройств Заявителя (Лубенцова С.В.) по адресу: Ростовская область, Неклиновский район, с. Николаевка, СНТ «Коммунальник», д. 191, к.н. 61:26:0513701:123 (1 шт.)</t>
  </si>
  <si>
    <t>Установка системы учета для технологического присоединения энергопринимающих устройств Заявителя (ИП Кареньких А.П.) по адресу: Ростовская область, г. Таганрог, ул. Дзержинского/ ул. Морозова, к.н. 61:58:0003279:1023 (1 шт.)</t>
  </si>
  <si>
    <t>Установка системы учета для технологического присоединения энергопринимающих устройств Заявителя (Печеный А.А.) по адресу: Ростовская область, г. Таганрог, пер. 4-й Мариупольский, д. 11, к.н. 61:58:0005217:47 (1 шт.)</t>
  </si>
  <si>
    <t>Установка системы учета для технологического присоединения энергопринимающих устройств Заявителя (Лаптев С.Б.) по адресу: Ростовская область, г. Таганрог, пер. Южный, д. 15, к.н.: 61:58:0003039:6 (1 шт.)</t>
  </si>
  <si>
    <t>Установка системы учета для технологического присоединения энергопринимающих устройств Заявителя (Безруков А.С.) по адресу: Ростовская область, М-Курганский район, п. Матвеев Курган, ул. Московская, д. 33, к.н. 61:21:00101113:695 (1 шт.)</t>
  </si>
  <si>
    <t>Установка системы учета для технологического присоединения энергопринимающих устройств Заявителя (Комарков А.Б.) по адресу: Ростовская область, г. Таганрог, СНТ «Мир», участок №86., к.н.: 61:58:0005189:1034 (1 шт.)</t>
  </si>
  <si>
    <t>Установка системы учета для технологического присоединения энергопринимающих устройств Заявителя (Колесников В.Н.) по адресу: Ростовская область, Неклиновский район, с. Новобессергеневка, ул. Свободы, д. 41-В, к.н. 61:26:0600024:6545 (1 шт.)</t>
  </si>
  <si>
    <t>Установка системы учета для технологического присоединения энергопринимающих устройств Заявителя (Васьков К.В.) по адресу: Ростовская область, Неклиновский район, с. Новобессергеневка, ул. Свободы, д. 41-Б, к.н. 61:26:0600024:6546 (1 шт.)</t>
  </si>
  <si>
    <t>Установка системы учета для технологического присоединения энергопринимающих устройств Заявителя (Шкребнева О.В.) по адресу: Ростовская область, Неклиновский район, с. Новобессергеневка, ул. Свободы, д. 39-А, к.н. 61:26:0600024:6551 (1 шт.)</t>
  </si>
  <si>
    <t>Установка системы учета для технологического присоединения энергопринимающих устройств Заявителя (Рыбалко А.М.) по адресу: Ростовская область, г. Таганрог, пер. 7-й Мариупольский, д. 17, к.н.: 61:58:0005220:44 (1 шт.)</t>
  </si>
  <si>
    <t>Установка системы учета для технологического присоединения энергопринимающих устройств Заявителя (Бохан А.Д.) по адресу: Ростовская область, г. Таганрог, ул. Кузнечная, д. 37, кв. 5, к.н. 61-61-42/016/2007-287 (1 шт.)</t>
  </si>
  <si>
    <t>Установка системы учета для технологического присоединения энергопринимающих устройств Заявителя (Горковец В.А.) по адресу: Ростовская область, Неклиновский район, с. Самбек, ул. Центральная, д. 108-Б , к.н. 61:26:0020101:5452 (1 шт.)</t>
  </si>
  <si>
    <t>Установка системы учета для технологического присоединения энергопринимающих устройств Заявителя (ООО «50 лет Октября») по адресу: Ростовская область, М-Курганский район, с. Марьевка, ул. Молодежная, д. 9, к.н. 61:21:0090101:205 (1 шт.)</t>
  </si>
  <si>
    <t>Установка системы учета для технологического присоединения энергопринимающих устройств Заявителя (Хачатрян Х.А.) по адресу: Ростовская область, М-Курганский район, с. Латоново, ул. Ленина, д. 67, к.н. 61:21:0070101:682 (1 шт.)</t>
  </si>
  <si>
    <t>Установка системы учета для технологического присоединения энергопринимающих устройств Заявителя (Пивова А.В.) по адресу: Ростовская область, г. Таганрог, ул. Надежды Сигиды, д. 1-1, ДНТ «Орешек», уч. №47, к.н. 61:58:0007037:47 (1 шт.)</t>
  </si>
  <si>
    <t>Установка системы учета для технологического присоединения энергопринимающих устройств Заявителя (Семеняченко А.В.) по адресу: Ростовская область, г. Таганрог, пер. 7-й Мариупольский, д. 15, к.н. земельного участка: 61:58:0005220:295 (1 шт.)</t>
  </si>
  <si>
    <t>Установка системы учета для технологического присоединения энергопринимающих устройств Заявителя (Васильева И.Э.) по адресу: Ростовская область, Неклиновский район, с. Новобессергеневка, ул. Свободы, д. 32-А, к.н. 61:26:0600024:6476 (1 шт.)</t>
  </si>
  <si>
    <t>Установка системы учета для технологического присоединения энергопринимающих устройств Заявителя (Рыбалко А.М.) по адресу: Ростовская область, г. Таганрог, пер. 6-й Мариупольский, земельный участок 18а, к.н.: 61:58:0005218:331 (1 шт.)</t>
  </si>
  <si>
    <t>Установка системы учета для технологического присоединения энергопринимающих устройств Заявителя (Галицкий Я.М.) по адресу: Ростовская область, г. Таганрог, пер. 17-й Мариупольский, д. 44, к.н. 61:58:0005202:25 (1 шт.)</t>
  </si>
  <si>
    <t>Установка системы учета для технологического присоединения энергопринимающих устройств Заявителя (Коробкова С.И.) по адресу: Ростовская область, Неклиновский район, х. Рожок, ул. Украинская, д. 47, к.н. 61:26:0100401:482 (1 шт.)</t>
  </si>
  <si>
    <t>Установка системы учета для технологического присоединения энергопринимающих устройств Заявителя (Верхогляд В.В.) по адресу: Ростовская область, Неклиновский район, с. Новобессергеневка, ул. Дзержинского, д. 52-А, к.н. 61:26:0180101:8064 (1 шт.)</t>
  </si>
  <si>
    <t>Установка системы учета для технологического присоединения энергопринимающих устройств Заявителя (Ковтунов А.В.) по адресу: Ростовская область, г. Таганрог, ул. Бакинская, к.н.: 61:58:0004523:1029 (1 шт.)</t>
  </si>
  <si>
    <t>Установка системы учета для технологического присоединения энергопринимающих устройств Заявителя (Аненков С.А.) по адресу: Ростовская область, Неклиновский район с. Новобессергеневка, ул. Солнечная, д.37-Д к.н. 61:26:0600024:7912 (1 шт.)</t>
  </si>
  <si>
    <t>Установка системы учета для технологического присоединения энергопринимающих устройств Заявителя (Андреев В.И.) по адресу: Ростовская область, Неклиновский район с. Новобессергеневка, ул. Лескова, д.23-А к.н. 61:26:0600024:8201 (1 шт.)</t>
  </si>
  <si>
    <t>Установка системы учета для технологического присоединения энергопринимающих устройств Заявителя (Иващенко В.Е.) по адресу: Ростовская область, Неклиновский район с. Новобессергеневка, ул. Лескова, д. 10-А, к.н. 61:26:0600024:4410 (1 шт.)</t>
  </si>
  <si>
    <t>Установка системы учета для технологического присоединения энергопринимающих устройств Заявителя (Поляков В.К.) по адресу: Ростовская область, Неклиновский район с. Новобессергеневка, ул. Солнечная, д. 37-А, к.н. 61:26:0600024:7914 (1 шт.)</t>
  </si>
  <si>
    <t>Установка системы учета для технологического присоединения энергопринимающих устройств Заявителя (Колесников А.В.) по адресу: Ростовская область, Неклиновский район с. Петрушино, пер. Садовый, д. 31-А, к.н. 61:26:0600024:6885 (1 шт.)</t>
  </si>
  <si>
    <t>Установка системы учета для технологического присоединения энергопринимающих устройств Заявителя (Мирошниченко В.Ю.) по адресу: Ростовская область, Неклиновский район, п. Комаровка, ул. Советская, д.23-а, к.н. 61:26:0180301:1234 (1 шт.)</t>
  </si>
  <si>
    <t>Установка системы учета для технологического присоединения энергопринимающих устройств Заявителя (Воронин С.Г.) по адресу: Ростовская область, г. Таганрог, ул. Дачная, д. 185, к.н.: 61:58:0004462:84 (1 шт.)</t>
  </si>
  <si>
    <t>Установка системы учета для технологического присоединения энергопринимающих устройств Заявителя (Комарова Н.А.) по адресу: Ростовская область, Неклиновский район с. Новобессергеневка, ул. Лескова, д.10-Б, к.н. 61:26:0600024:4411 (1 шт.)</t>
  </si>
  <si>
    <t xml:space="preserve">Установка системы учета для технологического присоединения энергопринимающих устройств Заявителя (Комарова И.В.) по адресу: Ростовская область, Мясниковский район, х. Красный Крым, ул. Верхняя, д. 51, к.н. 61:25:0600401:17509 (1 шт.) </t>
  </si>
  <si>
    <t>Установка системы учета для технологического присоединения энергопринимающих устройств Заявителя (Комарова И.В.) по адресу: Ростовская область, Мясниковский район, х. Красный Крым, ул. Верхняя, д. 39, к.н. 61:25:0600401:17503 (1 шт.)</t>
  </si>
  <si>
    <t>Установка системы учета для технологического присоединения энергопринимающих устройств Заявителя (Лиховайдо И.К.) по адресу: Ростовская область, Мясниковский район, х. Красный Крым, ул. Налбандяна, д. 6, к.н. 61:25:0600401:17804 (1 шт.)</t>
  </si>
  <si>
    <t xml:space="preserve">Установка системы учета для технологического присоединения энергопринимающих устройств Заявителя (Мелконьянц А.М.) по адресу: Ростовская область, Мясниковский район, х. Красный Крым, ул. Налбандяна, д. 8, к.н. 61:25:0600401:17804 (1 шт.) </t>
  </si>
  <si>
    <t>Установка системы учета для технологического присоединения энергопринимающих устройств Заявителя (Гольдман Н.Н.) по адресу: Ростовская область, Мясниковский район, х. Ленинаван, ул. Абовяна, д. 2/в, к.н. 61:25:0030202:975 (1 шт.)</t>
  </si>
  <si>
    <t xml:space="preserve">Установка системы учета для технологического присоединения энергопринимающих устройств Заявителя (Мощенок С.М.) по адресу: Ростовская область, Мясниковский район, х. Красный Крым, ул. Лесная, д. 12, к.н. 61:25:0600401:18867 (1 шт.) </t>
  </si>
  <si>
    <t>Установка системы учета для технологического присоединения энергопринимающих устройств Заявителя (Байкаданов А.А.) по адресу: Ростовская область, Мясниковский район, х. Красный Крым, ул. Лермонтовская, д. 19, к.н. 61:25:0600401:17083 (1 шт.)</t>
  </si>
  <si>
    <t>Установка системы учета для технологического присоединения энергопринимающих устройств Заявителя (Беликова Л.П.) по адресу: Ростовская область, Мясниковский район, с. Чалтырь, ул. Центральная, д. 47/а, к.н. 61:25:0101232:681 (1 шт.)</t>
  </si>
  <si>
    <t>Установка системы учета для технологического присоединения энергопринимающих устройств Заявителя (Аракелян Т.В.) по адресу: Ростовская область, Мясниковский район, с. Большие Салы, ул. Тбилисская, д. 16, к.н. 61:25:0600501:2542 (1 шт.)</t>
  </si>
  <si>
    <t>Установка системы учета для технологического присоединения энергопринимающих устройств Заявителя (Косыченко Д.М.) по адресу: Ростовская область, Мясниковский район, х. Ленинакан, ул. Осенняя, д. 3/а, к.н. 61:25:0600401:19644 (1 шт.)</t>
  </si>
  <si>
    <t>Установка системы учета для технологического присоединения энергопринимающих устройств Заявителя (Секизян М.М.) по адресу: Ростовская область, Мясниковский район, х. Красный Крым, ул. Налбандяна, д. 4, к.н. 61:25:0600401:17803 (1 шт.)</t>
  </si>
  <si>
    <t>Установка системы учета для технологического присоединения энергопринимающих устройств Заявителя (Кондратенко О.К.) по адресу: Ростовская область, Мясниковский район, с. Чалтырь, ул. Пионерская, д. 19/о, к.н. 61:25:0101130:325 (1 шт.)</t>
  </si>
  <si>
    <t>Установка системы учета для технологического присоединения энергопринимающих устройств Заявителя (Демченко И.М.) по адресу: Ростовская область, Мясниковский район, х. Красный Крым, ул. Сатхинская, д. 51, к.н. 61:25:0600401:17241 (1 шт.)</t>
  </si>
  <si>
    <t>Установка системы учета для технологического присоединения энергопринимающих устройств Заявителя (Билык Е.А.) по адресу: Ростовская область, Мясниковский район, х. Красный Крым, ул. Лермонтовская, д. 14, к.н. 61:25:0600401:17025 (1 шт.)</t>
  </si>
  <si>
    <t>Установка системы учета для технологического присоединения энергопринимающих устройств Заявителя (Удалых М.Ю.) по адресу: Ростовская область, Мясниковский район, х. Ленинакан, ул. Майская, д. 13/а, к.н. 61:25:0600401:16752 (1 шт.)</t>
  </si>
  <si>
    <t>Установка системы учета для технологического присоединения энергопринимающих устройств Заявителя (Харитонова Т.В.) по адресу: Ростовская область, Мясниковский район, х. Ленинакан, ул. Осенняя, д. 1/1, к.н. 61:25:0600401:17941 (1 шт.)</t>
  </si>
  <si>
    <t>Установка системы учета для технологического присоединения энергопринимающих устройств Заявителя (Дерюшев С.В.) по адресу: Ростовская область, Мясниковский район, х. Красный Крым, ул. Капитальная, д. 2, к.н. 61:25:0600401:17187 (1 шт.)</t>
  </si>
  <si>
    <t>Установка системы учета для технологического присоединения энергопринимающих устройств Заявителя (Колесникова Н.П.) по адресу: Ростовская область, Мясниковский район, с. Крым, ул. Александра Суворова, д. 17/а, к.н. 61:25:0600201:1530 (1 шт.)</t>
  </si>
  <si>
    <t>Установка системы учета для технологического присоединения энергопринимающих устройств Заявителя (Галеев А.Д.) по адресу: Ростовская область, Мясниковский район, х. Ленинаван, ул. Удачная, д. 4, к.н. 61:25:0600401:15966 (1 шт.)</t>
  </si>
  <si>
    <t>Установка системы учета для технологического присоединения энергопринимающих устройств Заявителя (Бабиян К.Х.) по адресу: Ростовская область, Мясниковский район, с. Чалтырь, ул. Первомайская, д. 81/а, к.н. 61:25:0101326:337 (1 шт.)</t>
  </si>
  <si>
    <t>Установка системы учета для технологического присоединения энергопринимающих устройств Заявителя (Ткаченко И.Н.) по адресу: Ростовская область, Мясниковский район, х. Красный Крым, ул. Верхняя, д. 35, к.н. 61:25:0600401:17516 (1 шт.)</t>
  </si>
  <si>
    <t>Установка системы учета для технологического присоединения энергопринимающих устройств Заявителя (Ткаченко И.Н.) по адресу: Ростовская область, Мясниковский район, х. Красный Крым, ул. Верхняя, д. 37, к.н. 61:25:0600401:17517 (1 шт.)</t>
  </si>
  <si>
    <t>Установка системы учета для технологического присоединения энергопринимающих устройств Заявителя (Шульгин К.И.) по адресу: Ростовская область, Мясниковский район, х. Ленинаван, ул. Парижская, д. 18/2, к.н. 61:25:0600401:18637 (1 шт.)</t>
  </si>
  <si>
    <t>Установка системы учета для технологического присоединения энергопринимающих устройств Заявителя (Однороб С.В.) по адресу: Ростовская область, Мясниковский район, х. Ленинаван, ул. Абовяна, д. 11/6, к.н. 61:25:0030202:5053 (1 шт.)</t>
  </si>
  <si>
    <t>Установка системы учета для технологического присоединения энергопринимающих устройств Заявителя (Однороб С.В.) по адресу: Ростовская область, Мясниковский район, х. Ленинаван, ул. Абовяна, д. 11/4, к.н. 61:25:0030202:5051 (1 шт.)</t>
  </si>
  <si>
    <t>Установка системы учета для технологического присоединения энергопринимающих устройств Заявителя (Однороб С.В.) по адресу: Ростовская область, Мясниковский район, х. Ленинаван, ул. Абовяна, д. 11/3, к.н. 61:25:0030202:5050 (1 шт.)</t>
  </si>
  <si>
    <t>Установка системы учета для технологического присоединения энергопринимающих устройств Заявителя (Однороб С.В.) по адресу: Ростовская область, Мясниковский район, х. Ленинаван, ул. Абовяна, д. 11/2, к.н. 61:25:0030202:5049 (1 шт.)</t>
  </si>
  <si>
    <t>Установка системы учета для технологического присоединения энергопринимающих устройств Заявителя (Однороб С.В.) по адресу: Ростовская область, Мясниковский район, х. Ленинаван, ул. Абовяна, д. 11/5, к.н. 61:25:0030202:5052 (1 шт.)</t>
  </si>
  <si>
    <t>Установка системы учета для технологического присоединения энергопринимающих устройств Заявителя (Гашпарев Д.В.) по адресу: Ростовская область, Мясниковский район, с. Чалтырь, ул. Тащияна, д. 48/е, к.н. 61:25:0101602:636 (1 шт.)</t>
  </si>
  <si>
    <t>Установка системы учета для технологического присоединения энергопринимающих устройств Заявителя (Тирацуян М.М.) по адресу: Ростовская область, Мясниковский район, х. Ленинаван, ул. Абовяна, д. 69/4, к.н. 61:25:0030202:4930 (1 шт.)</t>
  </si>
  <si>
    <t>Установка системы учета для технологического присоединения энергопринимающих устройств Заявителя (Тирацуян М.М.) по адресу: Ростовская область, Мясниковский район, х. Ленинаван, ул. Абовяна, д. 69/3, к.н. 61:25:0030202:4929 (1 шт.)</t>
  </si>
  <si>
    <t>Установка системы учета для технологического присоединения энергопринимающих устройств Заявителя (Тирацуян М.М.) по адресу: Ростовская область, Мясниковский район, х. Ленинаван, ул. Абовяна, д. 69/2, к.н. 61:25:0030202:4928 (1 шт.)</t>
  </si>
  <si>
    <t>Установка системы учета для технологического присоединения энергопринимающих устройств Заявителя (Однороб С.В.) по адресу: Ростовская область, Мясниковский район, х. Ленинаван, ул. Абовяна, д. 11/1, к.н. 61:25:0030202:5048 (1 шт.)</t>
  </si>
  <si>
    <t>Установка системы учета для технологического присоединения энергопринимающих устройств Заявителя (Хейсулов Ф.А.) по адресу: Ростовская область, Мясниковский район, х. Красный Крым, ул. Лермонтовская, д. 15, к.н. 61:25:0600401:17085 (1 шт.)</t>
  </si>
  <si>
    <t>Установка системы учета для технологического присоединения энергопринимающих устройств Заявителя (Ильдаров А.Э.) по адресу: Ростовская область, Мясниковский район, х. Ленинаван, ул. Удачная, д. 3, к.н. 61:25:0600401:16215 (1 шт.)</t>
  </si>
  <si>
    <t>Установка системы учета для технологического присоединения энергопринимающих устройств Заявителя (Ямина А.К.) по адресу: Ростовская область, Мясниковский район, х. Красный Крым, ул. Лермонтовская, д. 9, к.н. 61:25:0600401:17088 (1 шт.)</t>
  </si>
  <si>
    <t>Установка системы учета для технологического присоединения энергопринимающих устройств Заявителя (Хордаев Б.Б.) по адресу: Ростовская область, Мясниковский район, х. Ленинакан, ул. Цветочная, д. 2/а, к.н. 61:25:0030301:1379 (1 шт.)</t>
  </si>
  <si>
    <t>Установка системы учета для технологического присоединения энергопринимающих устройств Заявителя (Тышкевич И.А.) по адресу: Ростовская область, Мясниковский район, х. Красный Крым, ул. Сатхинская, д. 32, к.н. 61:25:0600401:17219 (1 шт.)</t>
  </si>
  <si>
    <t>Установка системы учета для технологического присоединения энергопринимающих устройств Заявителя (Ялтырян М.М.) по адресу: Ростовская область, Мясниковский район, с. Крым, ул. Советская, д. 89, к.н. 61:25:0000000:6482 (1 шт.)</t>
  </si>
  <si>
    <t>Установка системы учета для технологического присоединения энергопринимающих устройств Заявителя (Потапова В.Ф.) по адресу: Ростовская область, Неклиновский район, с. Натальевка, ул. Чехова, д. 193, к.н. 61:26:0030101:716 (1 шт.)</t>
  </si>
  <si>
    <t>Установка системы учета для технологического присоединения энергопринимающих устройств Заявителя (Маждул Абдеррахман) по адресу: Ростовская область, Мясниковский район, С/Т «Здоровье», д. 1021 к.н. 61:25:0501301:1019 (1 шт.)</t>
  </si>
  <si>
    <t>Установка системы учета для технологического присоединения энергопринимающих устройств Заявителя (Стоянов В.И.) по адресу: Ростовская область, г. Таганрог,  Северо-Западное шоссе,  д. 3, СНТ «Дружба», аллея 7, уч. 166, к.н. 61:58:0005294:160 (1 шт.)</t>
  </si>
  <si>
    <t>Установка системы учета для технологического присоединения энергопринимающих устройств Заявителя (Свиридов Л.Е.) по адресу: Ростовская область, Неклиновский район, с. Малофедоровка, ул. Миусская, д. 23, к.н. 61:26:0160201:705 (1 шт.)</t>
  </si>
  <si>
    <t>Установка системы учета для технологического присоединения энергопринимающих устройств Заявителя (Самойленко Р.В.) по адресу: Ростовская область, г. Таганрог, пер. 2-й Мариупольский, земельный участок 1б, к.н.: 61:58:0005213:281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</si>
  <si>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пер. Смирновский (между тупиком и обрывом у моря), около пер. Смирновский, д.113, к.н.: 61:58:0000000:47381 (1 шт.)»</t>
  </si>
  <si>
    <t>Установка системы учета для технологического присоединения энергопринимающих устройств Заявителя (Ефремов И.Т.) по адресу: Ростовская область, Неклиновский район, с. Николаевка, ул. Лермонтова, д. 23, к.н. 61:26:0110101:9571 (1 шт.)</t>
  </si>
  <si>
    <t>Установка системы учета для технологического присоединения энергопринимающих устройств Заявителя (Шалыгина Д.А.) по адресу: Ростовская область, Неклиновский район с. Новобессергеневка, ул. Инициативная, д.28-Б, к.н. 61:26:0600024:7716 (1 шт.)</t>
  </si>
  <si>
    <t>Установка системы учета для технологического присоединения энергопринимающих устройств Заявителя (Молодыка С.А.) по адресу: Ростовская область, Неклиновский район с. Новобессергеневка, ул. Инициативная, д.8 к.н. 61:26:0600024:2129 (1 шт.)</t>
  </si>
  <si>
    <t>Установка системы учета для технологического присоединения энергопринимающих устройств Заявителя Иващенко В.А.) по адресу: Ростовская область, Неклиновский район с. Новобессергеневка, ул. Янтарная, д.32, к.н. 61:26:0600024:7632 (1 шт.)</t>
  </si>
  <si>
    <t>Установка системы учета для технологического присоединения энергопринимающих устройств Заявителя (Малышева Я.В.) по адресу: Ростовская область, Неклиновский район с. Новобессергеневка, ул. Новостройки, д.10-Б к.н. 61:26:0180101:5274 (1 шт.)</t>
  </si>
  <si>
    <t>Установка системы учета для технологического присоединения энергопринимающих устройств Заявителя (Нецветай А.Ю.) по адресу: Ростовская область, Неклиновский район с. Новобессергеневка, ул. Солнечная, д. 26-А к.н. 61:26:0600024:6758 (1 шт.)</t>
  </si>
  <si>
    <t>Установка системы учета для технологического присоединения энергопринимающих устройств Заявителей (Карпова Е.А.) по адресу: Ростовская область, Неклиновский район с. Новобессергеневка, ул. Солнечная д. 37-Б (1 шт.)</t>
  </si>
  <si>
    <t>Установка системы учета для технологического присоединения энергопринимающих устройств Заявителя (Богданов Р.А.) по адресу: Ростовская область, Неклиновский район х. Красный Десант, ул. Октябрьская, д.62, к.н. 61:26:0070101:154 (1 шт.)</t>
  </si>
  <si>
    <t>Установка системы учета для технологического присоединения энергопринимающих устройств Заявителя (Барлит Л.Л.) по адресу: Ростовская область, Неклиновский район с. Лакедемоновка, пер. Красный, д.2-а к.н. 61:26:0160101:2543 (1 шт.)</t>
  </si>
  <si>
    <t>Установка системы учета для технологического присоединения энергопринимающих устройств Заявителя (Карпенко Е.В.) по адресу: Ростовская область,  Неклиновский район, с. Петрушино, пер. Садовый, д. 29, к.н. 61:26:0600024:2138  (1 шт.)</t>
  </si>
  <si>
    <t>Установка системы учета для технологического присоединения энергопринимающих устройств Заявителя (Синякова И.В.) по адресу: Ростовская область, Неклиновский район, с. Новобессергеневка, ул. Инициативная, д. 21-В, к.н. 61:26:0600024:7615 (1 шт.)</t>
  </si>
  <si>
    <t>Установка системы учета для технологического присоединения энергопринимающих устройств Заявителя (Николаева И.Е.) по адресу: Ростовская область, Неклиновский район, с. Новобессергеневка, ул. Лескова, д. 13, к.н. 61:26:0600024:7597 (1 шт.)</t>
  </si>
  <si>
    <t>Установка системы учета для технологического присоединения энергопринимающих устройств Заявителя (Буряков Д.С.) по адресу: Ростовская область, Неклиновский район, с. Новобессергеневка, ул. Лескова, д. 17-А, к.н. 61:26:0600024:5383 (1 шт.)</t>
  </si>
  <si>
    <t>Установка системы учета для технологического присоединения энергопринимающих устройств Заявителя (Ильяшова Е.А.) по адресу: Ростовская область, Неклиновский район, с. Боцманово, ул. Приморская, д. 25-А, к.н. 61:26:0070801:614 (1 шт.)</t>
  </si>
  <si>
    <t>Установка системы учета для технологического присоединения энергопринимающих устройств Заявителя (Чердынцева Е.В.) по адресу: Ростовская область, Неклиновский район, с. Новобессергеневка, ул. Лескова, 
д. 17, к.н. 61:26:0600024:5381 (1 шт.)</t>
  </si>
  <si>
    <t>Установка системы учета для технологического присоединения энергопринимающих устройств Заявителя (ИП Манукян Г.Ш.) по адресу: Ростовская область, Неклиновский район, с. Николаевка, к.н. 61:26:0600014:2021 (1 шт.)</t>
  </si>
  <si>
    <t>Установка системы учета для технологического присоединения энергопринимающих устройств Заявителя (Зал Д.И.) по адресу: Ростовская область, Неклиновский район, с. Новобессергеневка, ул. Чапаева, д. 2-А, к.н. 61:26:0180101:1984 (1 шт.)</t>
  </si>
  <si>
    <t>Установка системы учета для технологического присоединения энергопринимающих устройств Заявителя (Астахова А.А.) по адресу: Ростовская область, Неклиновский район, х. Ключникова Балка, ул. Слободская, д. 18, к.н. 61:26:0070501:48 (1 шт.)</t>
  </si>
  <si>
    <t>Установка системы учета для технологического присоединения энергопринимающих устройств Заявителя (Самойленко А.В.) по адресу: Ростовская область, Неклиновский район, с. Новобессергеневка, ул. Островского, д. 19-Б, к.н. 61:26:0180101:8050 (1 шт.)</t>
  </si>
  <si>
    <t>Установка системы учета для технологического присоединения энергопринимающих устройств Заявителя (Семёшина В.А.) по адресу: Ростовская область, Неклиновский район, с. Новобессергеневка, ул. Строительная, д. 71-А, к.н. 61:26:0180101:7860 (1 шт.).</t>
  </si>
  <si>
    <t>Установка системы учета для технологического присоединения энергопринимающих устройств Заявителя (Кубанова В.П.) по адресу: Ростовская область, Неклиновский район, с. Вареновка, ул. Социалистическая, д. 106, к.н. 61:26:0040101:411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</si>
  <si>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Фрунзе (между пер. Украинский и ул. Тельмана), около ул. Площадь Восстания, д. 3-7, к.н. 61:58:0003004:455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</si>
  <si>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пер. Смирновский (между тупиком и обрывом у моря), около ул. Площадь Восстания, д. 3В к.н. 61:58:0000000:47322 (1 шт.)</t>
  </si>
  <si>
    <t>Установка системы учета для технологического присоединения энергопринимающих устройств Заявителя (Лихоманов В.И.) по адресу: Ростовская область, г. Таганрог,  ул. Энгельса, д.73, к.н. 61:58:0001098:157(1 шт.)</t>
  </si>
  <si>
    <t>Установка двунаправленной (реверсивной) системы коммерческого учета с установкой аппаратуры обеспечивающей техническое ограничение выдачи электрической энергии в сеть с регулированием напряжения, для технологического присоединения энергопринимающих устройств Заявителя (Дерба О.В.) по адресу: Ростовская область, Неклиновский район, пер. Вечность, д. 4-1/СНТ Автошкола ОСТО, уч.10, к.н. 61:58:0006012:81 (1 шт.)</t>
  </si>
  <si>
    <t>Установка системы учета для технологического присоединения энергопринимающих устройств Заявителя (Сасунов С.М.) по адресу: Ростовская обл., Куйбышевский р-н., с. Куйбышево, ул. Октябрьская, д. 20б, к.н.: 61:19:0010129:407 (1 шт.)</t>
  </si>
  <si>
    <t>Установка системы учета для технологического присоединения энергопринимающих устройств Заявителя (Кушхов К.Т.) по адресу: 346940 Российская Федерация, Ростовская обл., р-н. Куйбышевский, с. Куйбышево, ул. Шейнова, д. 10, к.н: 61:19:0000000:1672 (1 шт.)»</t>
  </si>
  <si>
    <t>Установка системы учета для технологического присоединения энергопринимающих устройств Заявителя (Боев В.В.) по адресу: Ростовская область, г. Таганрог, ул. Нахимова, д.40, к.н.: 61:58:0002278:566, 61:58:0002278:23 (1 шт.)</t>
  </si>
  <si>
    <t>Установка системы учета для технологического присоединения энергопринимающих устройств Заявителя (Шмидко А.А.) по адресу: Ростовская область, г. Таганрог, ул. Надежды, д. 3-Г, к.н. 61:58:0007026:268 (1 шт.)</t>
  </si>
  <si>
    <t>Установка системы учета для технологического присоединения энергопринимающих устройств Заявителя (Велегина Е.А.) по адресу: Ростовская область, г. Таганрог, ул. Шишкина, д. 10/9, к.н. 61:58:0006027:643 (1 шт.)</t>
  </si>
  <si>
    <t>Установка системы учета для технологического присоединения энергопринимающих устройств Заявителя (Долгопятов В.А.) по адресу: Ростовская область, г. Таганрог, ул. Варданяна, д. 12, к.н. 61:58:0006027:531 (1 шт.)</t>
  </si>
  <si>
    <t>Установка системы учета для технологического присоединения энергопринимающих устройств Заявителя (Муравицкая Ю.С.) по адресу: Ростовская область, г. Таганрог, ул. Варданяна, д. 30, к.н. 61:58:0006027:553 (1 шт.)</t>
  </si>
  <si>
    <t>Установка системы учета для технологического присоединения энергопринимающих устройств Заявителя (Мануйленко Ю.А.) по адресу: Ростовская область, г. Таганрог, ул. Надежды, уч. 7, к.н. 61:58:0007004:357 (1 шт.)</t>
  </si>
  <si>
    <t>Установка системы учета для технологического присоединения энергопринимающих устройств Заявителей: Малева Е.А., Бурячинский А.Д., Улуханян В.Г., Сонаян Л.Ю., Еговцова Е.В., Багдасарян Р.Ц., Налбандян О.А., Атоев А.В., Жарков И.С., Зеленков Е.А.  в Мясниковском районе Ростовской области (12 шт.)</t>
  </si>
  <si>
    <t>Установка системы учета для технологического присоединения энергопринимающих устройств Заявителей: Суворов С.В., Юдин Р.Г., Хурдаев Ю.М., Рякин А.В., Сафарян А.А., Прудников А.С., Папазоглуян В.С., Визиренко И.С., Саргсян В.М., Наскевич С.Ю., Хейгетян В.С., Нестеренко Е.С., Головко Н.В., Зданович А.В., в Мясниковском районе Ростовской области (14 шт.)</t>
  </si>
  <si>
    <t>Установка системы учета для технологического присоединения энергопринимающих устройств Заявителей: Мкртчян Г.Г., Исаков В.А., Танкаян О.А., Кармазина В.А., Витовский М.Ф., Аштаев Д.С., Колесников В.В., Калинина М.Е. в Мясниковском районе Ростовской области (8 шт.)</t>
  </si>
  <si>
    <t>Установка системы учета для технологического присоединения энергопринимающих устройств Заявителя (Папазоглуян А.К.) по адресу: Ростовская область, Мясниковский район, с. Чалтырь, ул. Первомайская, д. 9/а к.н. 61:25:0101306:58 (1 шт.)</t>
  </si>
  <si>
    <t>Установка системы учета для технологического присоединения энергопринимающих устройств Заявителя (Репка О.Б.) по адресу: Ростовская область, Мясниковский район, х. Красный Крым, ул. Звездная, д. 36,  к.н. 61:25:0600401:18124 (1 шт.)</t>
  </si>
  <si>
    <t>Установка системы учета для технологического присоединения энергопринимающих устройств Заявителя (Надолинский И.Р.) по адресу: Ростовская область, Мясниковский район, х. Ленинаван, ул. Шаумяна, д. 29/б, к.н. 61:25:0030202:4873 (1 шт.)</t>
  </si>
  <si>
    <t>Установка системы учета для технологического присоединения энергопринимающих устройств Заявителя (Нанаян М.С.) по адресу: Ростовская область, Мясниковский район, х. Красный Крым, ул. Сатхинская, д. 19, к.н. 61:25:0600401:17259 (1 шт.)</t>
  </si>
  <si>
    <t>Установка системы учета для технологического присоединения энергопринимающих устройств Заявителя (Явруева Е.М.) по адресу: Ростовская область, Мясниковский район, х. Красный Крым, ул. Налбандяна, д. 14, к.н. 61:25:0600401:17808 (1 шт.)</t>
  </si>
  <si>
    <t>Установка системы учета для технологического присоединения энергопринимающих устройств Заявителя (Титаренко В.М.) по адресу: Ростовская область, Мясниковский район, х. Ленинаван, ул. Ландышевая, д. 5/а, к.н. 61:25:0600401:19525 (1 шт.)</t>
  </si>
  <si>
    <t>Установка системы учета для технологического присоединения энергопринимающих устройств Заявителя (Срабионян С.Д.) по адресу: Ростовская область, Мясниковский район, х. Красный Крым, ул. Налбандяна, д. 12, к.н. 61:25:0600401:17807 (1 шт.)</t>
  </si>
  <si>
    <t>Установка системы учета для технологического присоединения энергопринимающих устройств Заявителя (Полумеева Е.М.) по адресу: Ростовская область, Мясниковский район, х. Красный Крым, ул. Баграмяна, д. 9, к.н. 61:25:0600401:18276 (1 шт.)</t>
  </si>
  <si>
    <t>«Строительство системы учета для технологического присоединения энергопринимающих устройств Заявителей: Мартюшова Г.П., Роговой В.И., Журкина А.П., Белашова Т.П., Халафьян Л.В., Чучмин Р.Г., Погосян А.Л., Алмасян В.О.  в Мясниковском районе Ростовской области»</t>
  </si>
  <si>
    <t>Установка системы учета для технологического присоединения энергопринимающих устройств Заявителя (Соболева А.С.) по адресу: Ростовская область, г. Таганрог, СНТ «Педагог», участок №318 (1 шт.)</t>
  </si>
  <si>
    <t>Установка системы учета для технологического присоединения энергопринимающих устройств Заявителя (Фоминых С.Ю) по адресу: Ростовская область, г. Таганрог, пер Комсомольский, д.40б к.н. 61:58:0001149:592 (1 шт.)</t>
  </si>
  <si>
    <t>Установка системы учета для технологического присоединения энергопринимающих устройств Заявителя (Николаенко А.В.) по адресу: Ростовская область, г. Таганрог, СНТ «Дачное-1», уч. 1, аллея 0, к.н.: 61:58:0006056:1059 (1 шт.)</t>
  </si>
  <si>
    <t>Установка системы учета для технологического присоединения энергопринимающих устройств Заявителя (Жмайлов К.А.) по адресу: Ростовская область, г. Таганрог, пер. 9-й Мариупольский, д. 29, к.н.: 61:58:0005222:50 (1 шт.)</t>
  </si>
  <si>
    <t>Установка системы учета для технологического присоединения энергопринимающих устройств Заявителя (Галкина Э.И.) по адресу: Ростовская область, г. Таганрог, Северо-Западное Шоссе, 1-в, СНТ «Дачное-3», аллея 2, уч. №17, к.н.: 61:58:0006051:358 (1 шт.)</t>
  </si>
  <si>
    <t>Установка системы учета для технологического присоединения энергопринимающих устройств Заявителя (Горланов В.Л.) по адресу: Ростовская область, г. Таганрог, Северо-Западное шоссе, д. 10, ДНТ «Омега», уч. 55, к.н. 61:58:0006038:443 (1 шт.)</t>
  </si>
  <si>
    <t>Установка системы учета для технологического присоединения энергопринимающих устройств Заявителя (Демина Н.Ф.) по адресу: Ростовская область, г. Таганрог, пер. 2-й Мариупольский, д. 6, к.н.: 61:58:0005233:16 (1 шт.)</t>
  </si>
  <si>
    <t>Установка системы учета для технологического присоединения энергопринимающих устройств Заявителя (ИП Думик Ю.А.) по адресу: Ростовская область, г. Таганрог, ул. Транспортная/ул. 2-я Советская (1 шт.)</t>
  </si>
  <si>
    <t>Установка системы учета для технологического присоединения энергопринимающих устройств Заявителя (Думик Ю.А.) по адресу: Ростовская область, г. Таганрог, ул. Александровская/ул. Большой проспект, 10 (1 шт.)</t>
  </si>
  <si>
    <t>Установка системы учета для технологического присоединения энергопринимающих устройств Заявителя (Ляшков Л.В.) по адресу: Ростовская область, г. Таганрог, ул. Панфилова, 210, к.н. земельного участка 61:58:0005041:29 (1 шт.)</t>
  </si>
  <si>
    <t>Установка системы учета для технологического присоединения энергопринимающих устройств Заявителя (Гончаров Д.И.) по адресу: Ростовская область, г. Таганрог, пер. 3-й Мариупольский, д. 6, к.н.: 61:58:0005213:42  (1 шт.)</t>
  </si>
  <si>
    <t>Установка системы учета для технологического присоединения энергопринимающих устройств Заявителя (Лоянич А.В.) по адресу: Ростовская область, г. Таганрог, пер. 6-й Мариупольский, д. 15, к.н.: 61:58:0005219:46 (1 шт.)</t>
  </si>
  <si>
    <t>Установка системы учета для технологического присоединения энергопринимающих устройств Заявителя (Министерство транспорта Ростовской области) по адресу: Ростовская область, г. Таганрог, Мариупольское шоссе пересечение с ул. Нестерова, д. 25, к.н.: 61:00:0000000:561 (1 шт.)</t>
  </si>
  <si>
    <t>Установка системы учета для технологического присоединения энергопринимающих устройств Заявителя (Министерство транспорта Ростовской области) по адресу: Ростовская область, г. Таганрог, Мариупольское шоссе пересечение с ул. Ореховая, к.н.: 61:00:0000000:561 (1 шт.)</t>
  </si>
  <si>
    <t>Установка системы учета для технологического присоединения энергопринимающих устройств Заявителя (Министерство транспорта Ростовской области) по адресу: Ростовская область, г. Таганрог, Мариупольское шоссе пересечение с ул. 21-я аллея, к.н. 61:00:0000000:561 (1 шт.)</t>
  </si>
  <si>
    <t>Установка системы учета для технологического присоединения энергопринимающих устройств Заявителя (Грачев М.Ф.) по адресу: Ростовская область, г. Таганрог, 7-й Мариупольский, д. 15а, к.н.: 61:58:0005220:294 (1 шт.)</t>
  </si>
  <si>
    <t>Установка системы учета для технологического присоединения энергопринимающих устройств Заявителя (Министерство транспорта Ростовской области) по адресу: Ростовская область, г. Таганрог, Мариупольское шоссе пересечение с ул. 19-я аллея, к.н.: 61:00:0000000:561 (1 шт.)</t>
  </si>
  <si>
    <t>Установка системы учета для технологического присоединения энергопринимающих устройств Заявителя (Абакумова А.А.) по адресу: Ростовская область, г. Таганрог, пер. 5-й Мариупольский, д. 27, к.н. 61:58:0005232:17 (1 шт.)</t>
  </si>
  <si>
    <t>Установка системы учета для технологического присоединения энергопринимающих устройств Заявителя (Бритикова Е.Г.) по адресу: Ростовская область, Мясниковский район, х. Красный Крым, ул. Урожайная, д. 25, к.н. 61:25:0600401:16270 (1 шт.)</t>
  </si>
  <si>
    <t>Установка системы учета для технологического присоединения энергопринимающих устройств Заявителя (Гогчян Л.И.) по адресу: Ростовская область, Мясниковский район, х. Красный Крым, ул. Урожайная, д. 21, к.н. 61:25:0600401:16272 (1 шт.)</t>
  </si>
  <si>
    <t>Установка системы учета для технологического присоединения энергопринимающих устройств Заявителя (Колодько С.М.) по адресу: Ростовская область, Мясниковский район, х. Красный Крым, ул. Урожайная, д. 23, к.н. 61:25:0600401:16271 (1 шт.)</t>
  </si>
  <si>
    <t>Установка системы учета для технологического присоединения энергопринимающих устройств Заявителя (Лушникова А.С.) по адресу: Ростовская область, Мясниковский район, х. Хапры, пер. Сафьяновский, д. 5/а, к.н. 61:25:0070201:610 (1 шт.)</t>
  </si>
  <si>
    <t>Установка системы учета для технологического присоединения энергопринимающих устройств Заявителя (Кузнецова Е.Н.) по адресу: Ростовская область, Мясниковский район х. Красный Крым, ул. Юбилейная, д. 23/в, к.н. 61:25:0600401:17362 (1 шт.)</t>
  </si>
  <si>
    <t>Установка системы учета для технологического присоединения энергопринимающих устройств Заявителя (Осипян С.А.) по адресу: Ростовская область, Мясниковский район, с. Большие Салы, ул. Кооперативная, д. 40-а, к.н. 61:25:0040101:5080 (1 шт.)</t>
  </si>
  <si>
    <t>Установка системы учета для технологического присоединения энергопринимающих устройств Заявителя (Ткачева Т.А.) по адресу: Ростовская область, Мясниковский район, х. Красный Крым, ул. Пшеничная, д. 22-а, к.н. 61:25:0600401:20741 (1 шт.)</t>
  </si>
  <si>
    <t>Установка системы учета для технологического присоединения энергопринимающих устройств Заявителя (Толочко В.С.) по адресу: Ростовская область, Мясниковский район, х. Красный Крым, ул. Юбилейная, д. 39, к.н. 61:25:0600401:21602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</si>
  <si>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д.10, к.н. 61:25:0600401:22898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</si>
  <si>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д.10-а, к.н. 61:25:0600401:22899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</si>
  <si>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д.10-б, к.н. 61:25:0600401:22900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</si>
  <si>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д.11, к.н. 61:25:0600401:21663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</si>
  <si>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д.11/1, к.н. 61:25:0600401:21662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</si>
  <si>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д.11/2, к.н. 61:25:0600401:21661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</si>
  <si>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д.11/3, к.н. 61:25:0600401:21660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</si>
  <si>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 13, к.н. 61:25:0600401:21654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</si>
  <si>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 13/1, к.н. 61:25:0600401:21656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</si>
  <si>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 13/2, к.н. 61:25:0600401:21657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</si>
  <si>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 13/3, к.н. 61:25:0600401:21658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</si>
  <si>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Красный Крым, ул. Новая, д. 13/4, к.н. 61:25:0600401:21659 (1 шт.)</t>
  </si>
  <si>
    <t>Установка системы учета для технологического присоединения энергопринимающих устройств Заявителя (Ткачева Е.Ю.) по адресу: Ростовская область, Мясниковский район, х. Красный Крым, ул. Пшеничная, д. 24-а, к.н. 61:25:0600401:20745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</si>
  <si>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Тбилисская, д. 1-а, к.н. 61:25:0600501:3290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</si>
  <si>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Тбилисская, д. 1-б, к.н. 61:25:0600501:3291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</si>
  <si>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Тбилисская, д. 1-в, к.н. 61:25:0600501:3292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</si>
  <si>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Тбилисская, д. 1-г, к.н. 61:25:0600501:3293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</si>
  <si>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Армянская, д. 6, к.н. 61:25:0600501:3294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</si>
  <si>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Армянская, д. 6-в, к.н. 61:25:0600501:3297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</si>
  <si>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Армянская, д. 6-г, к.н. 61:25:0600501:3298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</si>
  <si>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Армянская, д. 6-б, к.н. 61:25:0600501:3296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</si>
  <si>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Большие Салы, ул. Армянская, д. 6-а, к.н. 61:25:0600501:3295 (1 шт.)</t>
  </si>
  <si>
    <t>Установка системы учета для технологического присоединения энергопринимающих устройств Заявителя (Андриянова А.А.) по адресу: Ростовская область, Мясниковский район, х. Красный Крым, ул. Юбилейная, д. 41/2, к.н. 61:25:0600401:21596 (1 шт.)</t>
  </si>
  <si>
    <t xml:space="preserve">Установка системы учета для технологического присоединения энергопринимающих устройств Заявителя (Кудрявцев Е.А.) по адресу: Ростовская область, Неклиновский район, с. Новобессергеневка, ул. Восточная, д. 31, к.н. 61:26:0600024:1464 (1 шт.) </t>
  </si>
  <si>
    <t>Установка системы учета для технологического присоединения энергопринимающих устройств Заявителя (Кудрявцев Е.А.) по адресу: Ростовская область, Неклиновский район, с. Новобессергеневка, ул. Восточная, д. 33, к.н. 61:26:0600024:1467 (1 шт.)</t>
  </si>
  <si>
    <t>Установка системы учета для технологического присоединения энергопринимающих устройств Заявителя (Троянкин А.Б.) по адресу: Ростовская область, Неклиновский район, с. Новобессергеневка, ул. Восточная, д. 31-А, к.н. 61:26:0600024:1465 (1 шт.)</t>
  </si>
  <si>
    <t>Установка системы учета для технологического присоединения энергопринимающих устройств Заявителя (Юрченко Ю.А.) по адресу: Ростовская область, Неклиновский район, с. Троицкое, ул. Чехова, д. 7-Г, к.н. 61:26:0010101:5688 (1 шт.)</t>
  </si>
  <si>
    <t>Установка системы учета для технологического присоединения энергопринимающих устройств Заявителя (Амирханян С.С.) по адресу: Ростовская область, Неклиновский район, с. Троицкое, пер. Межевой, д. 7, к.н. 61:26:0010101:1298 (1 шт.)</t>
  </si>
  <si>
    <t>Установка системы учета для технологического присоединения энергопринимающих устройств Заявителя (Гаврилова Н.В.) по адресу: Ростовская область, Неклиновский район, с. Николаевка, ул. Петровская, д. 52-А, к.н. 61:26:0110101:8480 (1 шт.)</t>
  </si>
  <si>
    <t>Установка системы учета для технологического присоединения энергопринимающих устройств Заявителя (Грибкова В.Е.) по адресу: Ростовская область,  Неклиновский район, с. Новобессергеневка, ул. Морозова, д. 12-Е, к.н. 61:26:0600024:4253 (1 шт.)</t>
  </si>
  <si>
    <t>Установка системы учета для технологического присоединения энергопринимающих устройств Заявителя (Дмитриева Л.К.) по адресу: Ростовская область, Неклиновский район, с. Покровское, ул. Полевая, д. 50, к.н. 61:26:0050114:1395 (1 шт.)</t>
  </si>
  <si>
    <t>Установка системы учета для технологического присоединения энергопринимающих устройств Заявителя (Нечаев А.П.) по адресу: Ростовская область, Неклиновский район, с. Новобессергеневка, ул. Лескова, д. 47, к.н. 61:26:0600024:4249 (1 шт.)</t>
  </si>
  <si>
    <t>Установка системы учета для технологического присоединения энергопринимающих устройств Заявителя (Луценко А.В.) по адресу: Ростовская область, Неклиновский район с. Покровское, ул. Цветочная, д.5, к.н. 61:26:0050114:218 (1 шт.)</t>
  </si>
  <si>
    <t>Установка системы учета для технологического присоединения энергопринимающих устройств Заявителя (ИП Пескишев О.А.) по адресу: Ростовская область, Неклиновский район с. Покровское, ул. Привокзальная, д. 40, к.н. 61:26:0050136:84 (1 шт.)</t>
  </si>
  <si>
    <t>Установка системы учета для технологического присоединения энергопринимающих устройств Заявителя (Тарасова Л.В.) по адресу: Ростовская область, Неклиновский район, х. Гаевка, ул. Тургенева, д. 9, к.н. 61:26:0110201:94 (1 шт.)</t>
  </si>
  <si>
    <t>Установка системы учета для технологического присоединения энергопринимающих устройств Заявителя (Нечаева А.А.) по адресу: Ростовская область, Неклиновский район с. Новобессергеневка, ул. Инициативная, д. 45-А, к.н. 61:26:0600024:8835 (1 шт.)</t>
  </si>
  <si>
    <t>Установка системы учета для технологического присоединения энергопринимающих устройств Заявителя (Гласный А.Г.) по адресу: Ростовская область, Неклиновский район с. Новобессергеневка, ул. Свободы, д. 13-А, к.н. 61:26:0600024:7584 (1 шт.)</t>
  </si>
  <si>
    <t>Установка системы учета для технологического присоединения энергопринимающих устройств Заявителя (Лужбин Д.А.) по адресу: Ростовская область, Неклиновский район, с. Покровское, ул. Луговая, д. 32, к.н. 61:26:0050114:139 (1 шт.)</t>
  </si>
  <si>
    <t>Установка системы учета для технологического присоединения энергопринимающих устройств Заявителя (Самойленко Н.И.) по адресу: Ростовская область, Неклиновский район с. Новобессергеневка, ул. Инициативная, д. 11, к.н. 61:26:0600024:1501 (1 шт.)</t>
  </si>
  <si>
    <t>Установка системы учета для технологического присоединения энергопринимающих устройств Заявителя (Кадырова О.А.) по адресу: Ростовская область, Неклиновский район с. Новобессергеневка, ул. Лескова, д. 39-а, к.н. 61:26:0600024:8839 (1 шт.)</t>
  </si>
  <si>
    <t>Установка системы учета для технологического присоединения энергопринимающих устройств Заявителя (Франчук В.Н.) по адресу: Ростовская область, Неклиновский район, х. Мержаново, СНТ «Металлург-6», уч. 1088, к.н. 61:26:0505901:518 (1 шт.)</t>
  </si>
  <si>
    <t>Установка системы учета для технологического присоединения энергопринимающих устройств Заявителя (Синицина Е.А.) по адресу: Ростовская область, Неклиновский район, х. Мержаново, СНТ «Металлург-6», уч. 1066, к.н. 61:26:0505901:540 (1 шт.)</t>
  </si>
  <si>
    <t>Установка системы учета для технологического присоединения энергопринимающих устройств Заявителя (Кириченко С.Э.) по адресу: Ростовская область, Неклиновский район, с. Покровское, ул. Газетная, д. 9-Б, к.н. 61:26:0050136:1401 (1 шт.)</t>
  </si>
  <si>
    <t>Установка системы учета для технологического присоединения энергопринимающих устройств Заявителя (Архипова Н.А.) по адресу: Ростовская область, Неклиновский район, х. Мержаново, СНТ «Металлург-6», уч. 1107, к.н. 61:26:0505901:498 (1 шт.)</t>
  </si>
  <si>
    <t>Установка системы учета для технологического присоединения энергопринимающих устройств Заявителя (Долженко А.А.) по адресу: Ростовская область, Неклиновский район, с. Новобессергеневка, ул. Лескова, д. 20-В, к.н. 61:26:0600024:8307 (1 шт.)</t>
  </si>
  <si>
    <t>Установка системы учета для технологического присоединения энергопринимающих устройств Заявителя (Зацарный М.Н.) по адресу: Ростовская область, Неклиновский район, с. Новобессергеневка, ул. Лескова, д. 18, к.н. 61:26:0600024:8311 (1 шт.)</t>
  </si>
  <si>
    <t>Установка системы учета для технологического присоединения энергопринимающих устройств Заявителя (Сергеева Н.Н.) по адресу: Ростовская область, Неклиновский район, х. Мержаново, СНТ «Металлург-6», уч. 1103, к.н. 61:26:0505901:503 (1 шт.)</t>
  </si>
  <si>
    <t>Установка системы учета для технологического присоединения энергопринимающих устройств Заявителя (Михеева В.С.) по адресу: Ростовская область, Неклиновский район, х. Мержаново, ул. Первомайская, д. 10, к.н. 61:26:0060301:497 (1 шт.)</t>
  </si>
  <si>
    <t>Установка системы учета для технологического присоединения энергопринимающих устройств Заявителя (Шульгиненко Ю.А.) по адресу: Ростовская область, Неклиновский район, с. Николаевка, ДНТ «Коммунальник», уч. 111, к.н. 61:26:0513701:208 (1 шт.)</t>
  </si>
  <si>
    <t>Установка системы учета для технологического присоединения энергопринимающих устройств Заявителя (Ткачев А.И.) по адресу: Ростовская область, Неклиновский район, с. Новобессергеневка, ул. Космонавтов, д. 26, к.н. 61:26:0180301:1232 (1 шт.)</t>
  </si>
  <si>
    <t>Установка системы учета для технологического присоединения энергопринимающих устройств Заявителя (Миронов Я.К.) по адресу: Ростовская область, Неклиновский район, с. Новобессергеневка, ул. Лескова, д. 20, к.н. 61:26:0600024:8304 (1 шт.)</t>
  </si>
  <si>
    <t>Установка системы учета для технологического присоединения энергопринимающих устройств Заявителя (Ткачев А.И.) по адресу: Ростовская область, Неклиновский район, с. Новобессергеневка, ул. Янтарная, д. 31-А , к.н. 61:26:0600024:5009 (1 шт.)</t>
  </si>
  <si>
    <t>Установка системы учета для технологического присоединения энергопринимающих устройств Заявителя (Голда М.Г.) по адресу: Ростовская область, Неклиновский район, с. Новобессергеневка, ул. Лескова, д. 20-Б , к.н. 61:26:0600024:8306 (1 шт.)</t>
  </si>
  <si>
    <t>Установка системы учета для технологического присоединения энергопринимающих устройств Заявителя (Герман Н.С.) по адресу: Ростовская область, Неклиновский район, х. Мержаново, СНТ «Металлург-6», уч. 1090 , к.н. 61:26:0505901:516 (1 шт.)</t>
  </si>
  <si>
    <t>Установка системы учета для технологического присоединения энергопринимающих устройств Заявителя (Комаричева М.Ю.) по адресу: Ростовская область, Неклиновский район, с. Новобессергеневка, ул. Свободы, д. 27 , к.н. 61:26:0600024:1130 (1 шт.)</t>
  </si>
  <si>
    <t>Установка системы учета для технологического присоединения энергопринимающих устройств Заявителя (Абрамов С.А.) по адресу: Ростовская область, Неклиновский район, с. Новобессергеневка, ул. Куйбышева, д. 77-А , к.н. 61:26:0180201:4630 (1 шт.)</t>
  </si>
  <si>
    <t>Установка системы учета для технологического присоединения энергопринимающих устройств Заявителя (Цапова А.С.) по адресу: Ростовская область, Неклиновский район, с. Новобессергеневка, ул. Солнечная, д. 26-В, к.н. 61:26:0600024:6756 (1 шт.)</t>
  </si>
  <si>
    <t>Установка системы учета для технологического присоединения энергопринимающих устройств Заявителя (Ивченко О.Н.) по адресу: Ростовская область, Неклиновский район, с. Новобессергеневка, ул. Солнечная, д. 26-Б, к.н. 61:26:0600024:6757 (1 шт.)</t>
  </si>
  <si>
    <t>Установка системы учета для технологического присоединения энергопринимающих устройств Заявителя (Сальный Ю.А.) по адресу: Ростовская область, Неклиновский район, с. Покровское, ул. Луговая, д. 33, к.н. 61:26:0050101:360 (1 шт.)</t>
  </si>
  <si>
    <t>Установка системы учета для технологического присоединения энергопринимающих устройств Заявителя (Шумарев В.В.) по адресу: Ростовская область, Неклиновский район, с. Новобессергеневка, ул. Энгельса, д. 1-А , к.н. 61:26:0180101:2169 (1 шт.)</t>
  </si>
  <si>
    <t xml:space="preserve">Установка системы учета для технологического присоединения энергопринимающих устройств Заявителя (Шевченко И.А.) по адресу: Ростовская область,  Неклиновский район, с. Новобессергеневка, ул. Инициативная, д. 28, к.н. 61:26:0600024:8521 (1 шт.)
</t>
  </si>
  <si>
    <t>Установка системы учета для технологического присоединения энергопринимающих устройств Заявителя (Спиринцев Е.А.) по адресу: Ростовская область, Мясниковский район, х. Ленинаван, ул. Удачная, д. 2/а, к.н. 61:25:0600401:14524 (1 шт.)</t>
  </si>
  <si>
    <t>Установка системы учета для технологического присоединения энергопринимающих устройств Заявителя (Антонов Р.А.) по адресу: Ростовская область, Мясниковский район, х. Ленинаван, ул. Орджоникидзе, д. 10/1, к.н. 61:25:0030202:5021 (1 шт.)</t>
  </si>
  <si>
    <t>Установка системы учета для технологического присоединения энергопринимающих устройств Заявителя (Викторова А.С.) по адресу: Ростовская область, Мясниковский район, х. Красный Крым, ул. Крымская, д. 65, к.н. 61:25:0600401:16893 (1 шт.)</t>
  </si>
  <si>
    <t>Установка системы учета для технологического присоединения энергопринимающих устройств Заявителя (Чубарян Х.Е.) по адресу: Ростовская область, Мясниковский район с. Крым, ул. Мясникяна, д. 2/б, к.н. 61:25:0201013:483 (1 шт.)</t>
  </si>
  <si>
    <t>Установка системы учета для технологического присоединения энергопринимающих устройств Заявителя (Горохов Д.В.) по адресу: Ростовская область, Мясниковский район х. Ленинаван, ул. Удачная, д. 8, к.н. 61:25:0600401:18169 (1 шт.)</t>
  </si>
  <si>
    <t>Установка системы учета для технологического присоединения энергопринимающих устройств Заявителя (Полетаева Н.И.) по адресу: Ростовская область, Мясниковский район, х. Красный Крым, ул. Крымская, д. 59, к.н. 61:25:0600401:16885 (1 шт.)</t>
  </si>
  <si>
    <t>Установка системы учета для технологического присоединения энергопринимающих устройств Заявителя (Антонов Р.А.) по адресу: Ростовская область, Мясниковский район, х. Ленинаван, ул. Орджоникидзе, д. 10/2, к.н. 61:25:0030202:5022 (1 шт.)</t>
  </si>
  <si>
    <t>Установка системы учета для технологического присоединения энергопринимающих устройств Заявителя (Сагамонова О.И.) по адресу: Ростовская область, Мясниковский район, х. Ленинаван, ул. Садовая, д. 1/6, к.н. 61:25:0030202:4239 (1 шт.)</t>
  </si>
  <si>
    <t>Установка системы учета для технологического присоединения энергопринимающих устройств Заявителя (Сагамонова О.И.) по адресу: Ростовская область, Мясниковский район, х. Ленинаван, ул. Садовая, д. 1/9, к.н. 61:25:0030202:4242 (1 шт.)</t>
  </si>
  <si>
    <t>Установка системы учета для технологического присоединения энергопринимающих устройств Заявителя (Ляшенко Л.П.) по адресу: Ростовская область, Мясниковский район, х. Красный Крым, ул. Братьев Баян, д. 62, к.н. 61:25:0600401:10446 (1 шт.)</t>
  </si>
  <si>
    <t>Установка системы учета для технологического присоединения энергопринимающих устройств Заявителя (Самогов Р.А.) по адресу: Ростовская область, Мясниковский район, х. Ленинаван, ул. Штрауса, д. 15/а, к.н. 61:25:0600401:16169 (1 шт.)</t>
  </si>
  <si>
    <t>Установка системы учета для технологического присоединения энергопринимающих устройств Заявителя (Кахкцян Г.С.) по адресу: Ростовская область, Мясниковский район, х. Ленинакан, ул. Лукашина, д. 3/а, к.н. 61:25:0030301:1938 (1 шт.)</t>
  </si>
  <si>
    <t>Установка системы учета для технологического присоединения энергопринимающих устройств Заявителя (Краснокуцкая Е.В.) по адресу: Ростовская область, Мясниковский район, х. Красный Крым, ул. Сатхинская, д. 4, к.н. 61:25:0600401:21891 (1 шт.)</t>
  </si>
  <si>
    <t>Установка системы учета для технологического присоединения энергопринимающих устройств Заявителя (Мишакин А.А.) по адресу: Ростовская область, Мясниковский район, х. Ленинакан, ул. Майская, д. 28-а, к.н. 61:25:0600401:17934 (1 шт.)</t>
  </si>
  <si>
    <t>Установка системы учета для технологического присоединения энергопринимающих устройств Заявителя (Князь И.А.) по адресу: Ростовская область, Мясниковский район, х. Красный Крым, ул. Георгиевская, д. 43, к.н. 61:21:06004011:8064 (1 шт.)</t>
  </si>
  <si>
    <t>Установка системы учета для технологического присоединения энергопринимающих устройств Заявителя (Йулдашова З.Ж.) по адресу: Ростовская область, Мясниковский район, х. Ленинакан, ул. Осенняя, д. 46, к.н. 61:25:0600401:19327 (1 шт.)</t>
  </si>
  <si>
    <t>Установка системы учета для технологического присоединения энергопринимающих устройств Заявителя (Панкратов В.Ю.) по адресу: Ростовская область, Мясниковский район, х. Ленинакан, ул. 4-я линия, д. 3, к.н. 61:25:0600401:24125 (1 шт.)</t>
  </si>
  <si>
    <t>Установка системы учета для технологического присоединения энергопринимающих устройств Заявителя (Иванова О.В.) по адресу: Ростовская область, Мясниковский район, х. Ленинакан, ул. Майская, д. 4, к.н. 61:25:0600401:17388 (1 шт.)</t>
  </si>
  <si>
    <t>Установка системы учета для технологического присоединения энергопринимающих устройств Заявителя (Бурым О.В.) по адресу: Ростовская область, Мясниковский район, с. Большие Салы, ул. Московская, д. 10-а, к.н. 61:25:0600501:3339 (1 шт.)</t>
  </si>
  <si>
    <t>Установка системы учета для технологического присоединения энергопринимающих устройств Заявителя (Бурым О.В.) по адресу: Ростовская область, Мясниковский район, с. Большие Салы, ул. Московская, д. 12, к.н. 61:25:0600501:3340 (1 шт.)</t>
  </si>
  <si>
    <t>Установка системы учета для технологического присоединения энергопринимающих устройств Заявителя (Подкопаева Ю.К.) по адресу: Ростовская область, Мясниковский район, х. Красный Крым, ул. Садовая,     д. 21, к.н. 61:25:0600401:21161 (1 шт.)</t>
  </si>
  <si>
    <t>Установка системы учета для технологического присоединения энергопринимающих устройств Заявителя (Недотюкова М.В.) по адресу: Ростовская область, Мясниковский район, х. Красный Крым, ул. Пшеничная, д. 13-а, к.н. 61:25:0600401:20274 (1 шт.)</t>
  </si>
  <si>
    <t>Установка системы учета для технологического присоединения энергопринимающих устройств Заявителя (Антонян В.А.) по адресу: Ростовская область, Мясниковский район, х. Красный Крым, ул. Урожайная, д. 36, к.н. 61:25:0600401:16096 (1 шт.)</t>
  </si>
  <si>
    <t>Установка системы учета для технологического присоединения энергопринимающих устройств Заявителя (Савина Л.Г.) по адресу: Ростовская область, Мясниковский район, х. Красный Крым, ул. Урожайная, д. 34, к.н. 61:25:0600401:16097 (1 шт.)</t>
  </si>
  <si>
    <t>Установка системы учета для технологического присоединения энергопринимающих устройств Заявителя (Кузин В.Н.) по адресу: Ростовская область, Мясниковский район, х. Красный Крым, ул. Урожайная, д. 32, к.н. 61:25:0600401:16098 (1 шт.)</t>
  </si>
  <si>
    <t>Установка системы учета для технологического присоединения энергопринимающих устройств Заявителя (Лебедев М.С.) по адресу: Ростовская область, Мясниковский район, с. Крым, ул. Советская, д. 79-б, к.н. 61:25:0000000:6475 (1 шт.)</t>
  </si>
  <si>
    <t>Установка системы учета для технологического присоединения энергопринимающих устройств Заявителя (Асланян Д.А.) по адресу: Ростовская область, Мясниковский район, с. Крым, ул. Александра Суворова, д. 13-а, к.н. 61:25:0600201:1482 (1 шт.)</t>
  </si>
  <si>
    <t>Установка системы учета для технологического присоединения энергопринимающих устройств Заявителя (Овлашенко Е.О.) по адресу: Ростовская область, Мясниковский район, х. Ленинакан, ул. Майская, д. 25, к.н. 61:25:0600401:20715 (1 шт.)</t>
  </si>
  <si>
    <t>Установка системы учета для технологического присоединения энергопринимающих устройств Заявителя (Могильная Н.Н.) по адресу: Ростовская область, Мясниковский район, х. Красный Крым, ул. Урожайная, д. 24, к.н. 61:25:0600401:16102 (1 шт.)</t>
  </si>
  <si>
    <t>Установка системы учета для технологического присоединения энергопринимающих устройств Заявителя (Ивлев А.В.) по адресу: Ростовская область, Мясниковский район, х. Красный Крым, ул. Баграмяна, д. 45, к.н. 61:25:0600401:18264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</si>
  <si>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Красный Крым, ул. Лесная, д. 25, к.н. 61:25:0600401:22528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</si>
  <si>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Красный Крым, ул. Лесная, д. 23, к.н. 61:25:0600401:22527 (1 шт.)</t>
  </si>
  <si>
    <t>Установка системы учета для технологического присоединения энергопринимающих устройств Заявителя (Попов И.А.) по адресу: Ростовская область, Мясниковский район, х. Красный Крым, ул. Благодатная, д. 37, к.н. 61:25:0600401:19200 (1 шт.)</t>
  </si>
  <si>
    <t>Установка системы учета для технологического присоединения энергопринимающих устройств Заявителя (Коверзнева Е.Н.) по адресу: Ростовская область, Мясниковский район, х. Красный Крым, ул. Пшеничная, д.11-а, к.н. 61:25:0600401:21603 (1 шт.)</t>
  </si>
  <si>
    <t>Установка системы учета для технологического присоединения энергопринимающих устройств Заявителя (Бирюля И.М.) по адресу: Ростовская область, Мясниковский район, х. Красный Крым, ул. Верхняя, д.32, к.н. 61:25:0600401:18726 (1 шт.)</t>
  </si>
  <si>
    <t>Установка системы учета для технологического присоединения энергопринимающих устройств Заявителя (Чумачёк А.Л.) по адресу: Ростовская область, Мясниковский район, х. Красный Крым, ул. Крымская, д.19, к.н. 61:25:0600401:16897 (1 шт.)</t>
  </si>
  <si>
    <t>Установка системы учета для технологического присоединения энергопринимающих устройств Заявителя (Якунин В.Е.) по адресу: Ростовская область, Мясниковский район, х. Красный Крым, ул. Славная, д.9, к.н. 61:25:0600401:21278 (1 шт.)</t>
  </si>
  <si>
    <t>Установка системы учета для технологического присоединения энергопринимающих устройств Заявителя (Канц О.М.) по адресу: Ростовская область, Мясниковский район, х. Ленинаван, ул. Орджоникидзе, д.14-а, к.н. 61:25:0030202:3666 (1 шт.)</t>
  </si>
  <si>
    <t>Установка системы учета для технологического присоединения энергопринимающих устройств Заявителя (Машкова М.А.) по адресу: Ростовская область, Мясниковский район, с. Крым, ул. Советская, д.81, к.н. 61:25:0000000:6478 (1 шт.)</t>
  </si>
  <si>
    <t>Установка системы учета для технологического присоединения энергопринимающих устройств Заявителя (Васильев Д.Ю.) по адресу: Ростовская область, Мясниковский район, х. Красный Крым, ул. Южная, д.34, к.н. 61:25:0600401:20783 (1 шт.)</t>
  </si>
  <si>
    <t>Установка системы учета для технологического присоединения энергопринимающих устройств Заявителя (Цветкова Л.В.) по адресу: Ростовская область, Мясниковский район, х. Ленинакан, ул. Осенняя, д.21-а, к.н. 61:25:0600401:23538 (1 шт.)</t>
  </si>
  <si>
    <t>Установка системы учета для технологического присоединения энергопринимающих устройств Заявителя (Гончарова И.А.) по адресу: Ростовская область, Мясниковский район, х. Ленинакан, ул. Осенняя, д.2-а, к.н. 61:25:0600401:22100 (1 шт.)</t>
  </si>
  <si>
    <t>Установка системы учета для технологического присоединения энергопринимающих устройств Заявителя (Удовиченко А.В.) по адресу: Ростовская область, Мясниковский район, х. Ленинаван, ул. Мясникяна, д. 22/11, к.н. 61:25:0030202:5156 (1 шт.)</t>
  </si>
  <si>
    <t>Установка системы учета для технологического присоединения энергопринимающих устройств Заявителя (Маковеева Я.В.) по адресу: Ростовская область, Мясниковский район, х. Ленинаван, ул. Ландышевая, д. 1-б, к.н. 61:25:0600401:19530 (1 шт.)</t>
  </si>
  <si>
    <t>Установка системы учета для технологического присоединения энергопринимающих устройств Заявителя (Ермоленко Р.Х.) по адресу: Ростовская область, Мясниковский район, х. Красный Крым, ул. Георгиевская, д. 17, к.н. 61:25:0600401:18050 (1 шт.)</t>
  </si>
  <si>
    <t>Установка системы учета для технологического присоединения энергопринимающих устройств Заявителя (Персидская Ю.С.) по адресу: Ростовская область, Мясниковский район, х. Красный Крым, ул. Урожайная, д. 26, к.н. 61:25:0600401:21900 (1 шт.)</t>
  </si>
  <si>
    <t>Установка системы учета для технологического присоединения энергопринимающих устройств Заявителя (Абраамян Н.Р.) по адресу: Ростовская область, Мясниковский район, с. Большие Салы, ул. Московская, д. 8, к.н. 61:25:0600501:3183 (1 шт.)</t>
  </si>
  <si>
    <t>Установка системы учета для технологического присоединения энергопринимающих устройств Заявителя (Мирзоян Т.З.) по адресу: Ростовская область, Мясниковский район, с. Большие Салы, ул. Московская, д. 4-б, к.н. 61:25:0600501:3188 (1 шт.)</t>
  </si>
  <si>
    <t>Установка системы учета для технологического присоединения энергопринимающих устройств Заявителя (Микоян А.А.) по адресу: Ростовская область, Мясниковский район, с. Крым, ул. Комсомольская, д. 23, к.н. 61:25:0201019:1081 (1 шт.)</t>
  </si>
  <si>
    <t>Установка системы учета для технологического присоединения энергопринимающих устройств Заявителя (Микоян А.А.) по адресу: Ростовская область, Мясниковский район, с. Крым, ул. Комсомольская,   д. 21-а, к.н. 61:25:0201019:1082 (1 шт.)</t>
  </si>
  <si>
    <t>Установка системы учета для технологического присоединения энергопринимающих устройств Заявителя (Микоян А.А.) по адресу: Ростовская область, Мясниковский район, с. Крым, ул. Комсомольская, д. 21, к.н. 61:25:0201019:1083 (1 шт.)</t>
  </si>
  <si>
    <t>Установка системы учета для технологического присоединения энергопринимающих устройств Заявителя (Кудряшов Е.Г.) по адресу: Ростовская область, Мясниковский район, с. Крым, ул. Григора Бабияна, д. 40-б, к.н. 61:25:0600201:1449 (1 шт.)</t>
  </si>
  <si>
    <t>Установка системы учета для технологического присоединения энергопринимающих устройств Заявителя (Акопян Г.С.) по адресу: Ростовская область, Мясниковский район, с. Большие Салы, ул. Белорусская, д. 1-б, к.н. 61:25:0600501:3201 (1 шт.)</t>
  </si>
  <si>
    <t>Установка системы учета для технологического присоединения энергопринимающих устройств Заявителя (Назарова А.А.) по адресу: Ростовская область, Мясниковский район, х. Красный Крым, ул. Лермонтовская, д. 35, к.н. 61:25:0600401:17074 (1 шт.)</t>
  </si>
  <si>
    <t>Установка системы учета для технологического присоединения энергопринимающих устройств Заявителя (Шатнёв А.И.) по адресу: Ростовская область, Мясниковский район, х. Ленинакан, ул. Осенняя, д. 2-в, к.н. 61:25:0600401:22098 (1 шт.)</t>
  </si>
  <si>
    <t>Установка системы учета для технологического присоединения энергопринимающих устройств Заявителя (Изюмникова Ю.В.) по адресу: Ростовская область, Мясниковский район, с. Крым, ул. Генерала Джелаухова, д. 46-а, к.н. 61:25:0600201:1613 (1 шт.)</t>
  </si>
  <si>
    <t>Установка системы учета для технологического присоединения энергопринимающих устройств Заявителя (Карпоян А.С.) по адресу: Ростовская область, Мясниковский район, с. Крым, ул. Советская, д. 87, к.н. 61:25:0000000:6481 (1 шт.)</t>
  </si>
  <si>
    <t>Установка системы учета для технологического присоединения энергопринимающих устройств Заявителя (Бурындина А.В.) по адресу: Ростовская область, Мясниковский район, х. Ленинакан, ул. Осенняя, д. 27-а, к.н. 61:25:0600401:18037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</si>
  <si>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Центральная,   д.18-б, к.н. 61:25:0600401:23985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</si>
  <si>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Центральная,   д. 18-а, к.н. 61:25:0600401:23984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</si>
  <si>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Центральная, д. 18, к.н. 61:25:0600401:23983 (1 шт.)</t>
  </si>
  <si>
    <t>Установка системы учета для технологического присоединения энергопринимающих устройств Заявителя (Скорикова О.А.) по адресу: Ростовская область, Мясниковский район, х. Ленинакан, ул. Майская, д. 35/7, к.н. 61:25:0600401:17114 (1 шт.)</t>
  </si>
  <si>
    <t>Установка системы учета для технологического присоединения энергопринимающих устройств Заявителя (Прищепов В.С.) по адресу: Ростовская область, Мясниковский район, х. Красный Крым, ул. Южная, д. 48, к.н. 61:25:0600401:20804 (1 шт.)</t>
  </si>
  <si>
    <t>Установка системы учета для технологического присоединения энергопринимающих устройств Заявителя (Солодовникова С.В.) по адресу: Ростовская область, Мясниковский район, х. Красный Крым, ул. Верхняя, д. 11, к.н. 61:25:0600401:22707 (1 шт.)</t>
  </si>
  <si>
    <t>Установка системы учета для технологического присоединения энергопринимающих устройств Заявителя (Шахбазян С.С.) по адресу: Ростовская область, Мясниковский район, х. Ленинакан, ул. Осенняя, д. 1/2, к.н. 61:25:0600401:17940 (1 шт.)</t>
  </si>
  <si>
    <t>Установка системы учета для технологического присоединения энергопринимающих устройств Заявителя (Геворкян А.К.) по адресу: Ростовская область, Мясниковский район, х. Ленинакан, ул. Осенняя, д. 9, к.н. 61:25:0600401:18012 (1 шт.)</t>
  </si>
  <si>
    <t>Установка системы учета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Российская, д.23, к.н. 61:25:0600401:18595 (1 шт.)</t>
  </si>
  <si>
    <t>Установка системы учета для технологического присоединения энергопринимающих устройств Заявителя (Дзиваян С.Х.) по адресу: Ростовская область, Мясниковский район, х. Красный Крым, ул. Российская, д.23, корп. а, к.н. 61:25:0600401:18594 (1 шт.)</t>
  </si>
  <si>
    <t>Установка системы учета для технологического присоединения энергопринимающих устройств Заявителя (Халилов И.А.) по адресу: Ростовская область, Мясниковский район, х. Красный Крым, ул. Крымская, д.48, к.н. 61:25:0600401:16911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</si>
  <si>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д.28, к.н. 61:25:0600401:21389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</si>
  <si>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Лесная, д.33, к.н. 61:25:0600401:22822 (1 шт.)</t>
  </si>
  <si>
    <t>Установка системы учета для технологического присоединения энергопринимающих устройств Заявителя (Терещенко И.А.) по адресу: Ростовская область, Мясниковский район, х. Красный Крым, ул. Георгиевская, д.32, к.н. 61:25:0600401:21670 (1 шт.)</t>
  </si>
  <si>
    <t>Установка системы учета для технологического присоединения энергопринимающих устройств Заявителя (Меженская К.А.) по адресу: Ростовская область, Мясниковский район, х. Красный Крым, ул. Южная, д.42, к.н. 61:25:0600401:20831 (1 шт.)</t>
  </si>
  <si>
    <t>Установка системы учета для технологического присоединения энергопринимающих устройств Заявителя (Харин М.В.) по адресу: Ростовская область, Мясниковский район, х. Красный Крым, ул. Благодатная, д. 19, к.н. 61:25:0600401:19190 (1 шт.)</t>
  </si>
  <si>
    <t>Установка системы учета для технологического присоединения энергопринимающих устройств Заявителя (Трегубова О.С.) по адресу: Ростовская область, Мясниковский район, х. Красный Крым, ул. Баграмяна, д. 17, к.н. 61:25:0600401:18249 (1 шт.)</t>
  </si>
  <si>
    <t>Установка системы учета для технологического присоединения энергопринимающих устройств Заявителя (Труханова Е.В.) по адресу: Ростовская область, Мясниковский район, х. Красный Крым, ул. Крымская, д. 39, к.н. 61:25:0600401:16866 (1 шт.)</t>
  </si>
  <si>
    <t>Установка системы учета для технологического присоединения энергопринимающих устройств Заявителя (Омельченко О.Л.) по адресу: Ростовская область, Мясниковский район, х. Красный Крым, ул. Верхняя, д. 15-б, к.н. 61:25:0600401:19814 (1 шт.)</t>
  </si>
  <si>
    <t>Установка системы учета для технологического присоединения энергопринимающих устройств Заявителя (Эккерт А.Ф.) по адресу: Ростовская область, Мясниковский район, х. Красный Крым, ул. Крымская, д. 45, к.н. 61:25:0600401:16891 (1 шт.)</t>
  </si>
  <si>
    <t>Установка системы учета для технологического присоединения энергопринимающих устройств Заявителя (Габузян А.А.) по адресу: Ростовская область, Мясниковский район, с. Большие Салы, ул. Московская, д. 4-в, к.н. 61:25:0600501:3187 (1 шт.)</t>
  </si>
  <si>
    <t>Установка системы учета для технологического присоединения энергопринимающих устройств Заявителя (Малхасян Д.Л.) по адресу: Ростовская область, Мясниковский район, х. Ленинаван, ул. Набережная, д. 9/1, к.н. 61:25:0030202:4906 (1 шт.)</t>
  </si>
  <si>
    <t>Установка системы учета для технологического присоединения энергопринимающих устройств Заявителя (Восканян В.С.) по адресу: Ростовская область, Мясниковский район, х. Ленинаван, ул. Дружбы, д. 49-д, к.н. 61:25:0030202:5058 (1 шт.)</t>
  </si>
  <si>
    <t>Установка системы учета для технологического присоединения энергопринимающих устройств Заявителя (Радисюк М.П.) по адресу: Ростовская область, Мясниковский район, с. Чалтырь, ул. Западная, д. 80, к.н. 61:25:0101602:898 (1 шт.)</t>
  </si>
  <si>
    <t>Установка системы учета для технологического присоединения энергопринимающих устройств Заявителя (Гришаева Ю.А.) по адресу: Ростовская область, Мясниковский район, с. Чалтырь, ул. Западная, д. 87-д, к.н. 61:25:0101602:881 (1 шт.)</t>
  </si>
  <si>
    <t>Установка системы учета для технологического присоединения энергопринимающих устройств Заявителя (Асланян Д.А.) по адресу: Ростовская область, Мясниковский район, с. Крым, ул. Александра Суворова, д. 13-б, к.н. 61:25:0600201:1483 (1 шт.)</t>
  </si>
  <si>
    <t>Установка системы учета для технологического присоединения энергопринимающих устройств Заявителя (Тоноян Г.Е.) по адресу: Ростовская область, Мясниковский район, с. Крым, ул. Пролетарская 2-я, д.23-в, к.н. 61:25:0201024:790 (1 шт.)</t>
  </si>
  <si>
    <t>Установка системы учета для технологического присоединения энергопринимающих устройств Заявителя (Пушкарев В.А.) по адресу: Ростовская область, Мясниковский район, с. Крым, ул. Маршала Баграмяна, д. 41-г, к.н. 61:25:0600201:1676 (1 шт.)</t>
  </si>
  <si>
    <t>Установка системы учета для технологического присоединения энергопринимающих устройств Заявителя (Лобян Р.Э.) по адресу: Ростовская область, Мясниковский район, с. Крым, ул. Советская, д. 85, к.н. 61:25:0000000:6480 (1 шт.)</t>
  </si>
  <si>
    <t>Установка системы учета для технологического присоединения энергопринимающих устройств Заявителя (Шмакова Л.В.) по адресу: Ростовская область, Мясниковский район, с. Крым, ул. Маршала Баграмяна, д. 41-д, к.н. 61:25:0600201:1610 (1 шт.)</t>
  </si>
  <si>
    <t>Установка системы учета для технологического присоединения энергопринимающих устройств Заявителя (Зосимова А.Н.) по адресу: Ростовская область, Мясниковский район, х. Красный Крым, ул. Южная, д. 44, к.н. 61:25:0600401:20826 (1 шт.)</t>
  </si>
  <si>
    <t>Установка системы учета для технологического присоединения энергопринимающих устройств Заявителя (Насонова В.В.) по адресу: Ростовская область, Мясниковский район, х. Красный Крым, ул. Благодатная, д. 11, к.н. 61:25:0600401:19185 (1 шт.)</t>
  </si>
  <si>
    <t>Установка системы учета для технологического присоединения энергопринимающих устройств Заявителя (Гижларян Т.А.) по адресу: Ростовская область, Мясниковский район, с. Крым, ул. Советская, д. 83, к.н. 61:25:0000000:6479 (1 шт.)</t>
  </si>
  <si>
    <t>Установка системы учета для технологического присоединения энергопринимающих устройств Заявителя (Липявкин В.П.) по адресу: Ростовская область, Мясниковский район, с. Крым, ул. Мадояна, д. 37, к.н. 61:25:0600201:1614 (1 шт.)</t>
  </si>
  <si>
    <t>Установка системы учета для технологического присоединения энергопринимающих устройств Заявителя (Мамонова А.А.) по адресу: Ростовская область, Мясниковский район, х. Ленинакан, ул. Осенняя, д. 19, к.н. 61:25:0600401:18042 (1 шт.)</t>
  </si>
  <si>
    <t>Установка системы учета для технологического присоединения энергопринимающих устройств Заявителя (Бахлян М.М.) по адресу: Ростовская область, Мясниковский район, х. Ленинакан, ул. 4-я линия, д. 5, к.н. 61:25:0600401:22960 (1 шт.)</t>
  </si>
  <si>
    <t>Установка системы учета для технологического присоединения энергопринимающих устройств Заявителя (Губская Н.С.) по адресу: Ростовская область, Мясниковский район, х. Красный Крым, ул. Налбандяна, д. 58, к.н. 61:25:0600401:17832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</si>
  <si>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22, к.н. 61:25:0600401:21386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</si>
  <si>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20, к.н. 61:25:0600401:21385 (1 шт.)</t>
  </si>
  <si>
    <t>Установка системы учета для технологического присоединения энергопринимающих устройств Заявителя (Щелкунова Н.Ю.) по адресу: Ростовская область, Мясниковский район, х. Красный Крым, ул. Благодатная, д. 41, к.н. 61:25:0600401:19202 (1 шт.)</t>
  </si>
  <si>
    <t>Установка системы учета для технологического присоединения энергопринимающих устройств Заявителя (Шульга С.А.) по адресу: Ростовская область, Мясниковский район, х. Красный Крым, ул. Благодатная, д. 9, к.н. 61:25:0600401:19184 (1 шт.)</t>
  </si>
  <si>
    <t>Установка системы учета для технологического присоединения энергопринимающих устройств Заявителя (Терещенко Д.А..) по адресу: Ростовская область, Мясниковский район, х. Красный Крым, ул. Небесная, д. 5-а, к.н. 61:25:0600401:16867 (1 шт.)</t>
  </si>
  <si>
    <t>Установка системы учета для технологического присоединения энергопринимающих устройств Заявителя (Эммануел А.Ч.) по адресу: Ростовская область, Мясниковский район, х. Красный Крым, ул. Крымская, д. 41, к.н. 61:25:0600401:16666 (1 шт.)</t>
  </si>
  <si>
    <t>Установка системы учета для технологического присоединения энергопринимающих устройств Заявителя (Глазко Е.В.) по адресу: Ростовская область, Мясниковский район, х. Красный Крым, ул. Верхняя, д. 19-а, к.н. 61:25:0600401:19816 (1 шт.)</t>
  </si>
  <si>
    <t>Установка системы учета для технологического присоединения энергопринимающих устройств Заявителя (Пойманова Д.А.) по адресу: Ростовская область, Мясниковский район, х. Красный Крым, ул. Александровская, д. 6, к.н. 61:25:0600401:19353 (1 шт.)</t>
  </si>
  <si>
    <t>Установка системы учета для технологического присоединения энергопринимающих устройств Заявителя (Сердюков А.А.) по адресу: Ростовская область, Мясниковский район, х. Красный Крым, ул. Баграмяна, д. 47, к.н. 61:25:0600401:22686 (1 шт.)</t>
  </si>
  <si>
    <t>Установка системы учета для технологического присоединения энергопринимающих устройств Заявителя (Алехина Ю.М.) по адресу: Ростовская область, Мясниковский район, х. Красный Крым, ул. Южная, д. 36, к.н. 61:25:0600401:20834 (1 шт.)</t>
  </si>
  <si>
    <t>Установка системы учета для технологического присоединения энергопринимающих устройств Заявителя (Андреев Е.П.) по адресу: Ростовская область, Мясниковский район, х. Красный Крым, ул. Лесная, д. 6, к.н. 61:25:0600401:18858 (1 шт.)</t>
  </si>
  <si>
    <t>Установка системы учета для технологического присоединения энергопринимающих устройств Заявителя (Скрипка Н.В.) по адресу: Ростовская область, Мясниковский район, х. Красный Крым, ул. Георгиевская, д. 37, к.н. 61:25:0600401:18061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</si>
  <si>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Красный Крым, ул. Крымская, д. 72, к.н. 61:25:0600401:16640 (1 шт.)</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</si>
  <si>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Белорусская, д. 7-а, к.н. 61:25:0600501:3366 (1 шт.)</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</si>
  <si>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Белорусская, д. 5-а, к.н. 61:25:0600501:3368 (1 шт.)</t>
  </si>
  <si>
    <t>Установка системы учета для технологического присоединения энергопринимающих устройств Заявителя (Иванова А.) по адресу: Ростовская область, Мясниковский район, х. Ленинакан, ул. Майская, д. 26-а, к.н. 61:25:0600401:19217 (1 шт.)</t>
  </si>
  <si>
    <t>Установка системы учета для технологического присоединения энергопринимающих устройств Заявителя (Журавлева И.А.) по адресу: Ростовская область, Мясниковский район, х. Ленинакан, ул. Осенняя, д. 3, к.н. 61:25:0600401:20623 (1 шт.)</t>
  </si>
  <si>
    <t>Установка системы учета для технологического присоединения энергопринимающих устройств Заявителя (Кожомбердиев О.А.) по адресу: Ростовская область, Мясниковский район, х. Красный Крым, ул. Крымская, д. 69, к.н. 61:25:0600401:16884 (1 шт.)</t>
  </si>
  <si>
    <t>Установка системы учета для технологического присоединения энергопринимающих устройств Заявителя (Лутпиева А.У.) по адресу: Ростовская область, Мясниковский район, х. Красный Крым, ул. Благодатная, д. 56, к.н. 61:25:0600401:20153 (1 шт.)</t>
  </si>
  <si>
    <t>Установка системы учета для технологического присоединения энергопринимающих устройств Заявителя (Барский В.В.) по адресу: Ростовская область, Мясниковский район, х. Красный Крым, ул. Пушкинская, д. 61, к.н. 61:25:0600401:19150 (1 шт.)</t>
  </si>
  <si>
    <t>Установка системы учета для технологического присоединения энергопринимающих устройств Заявителя (Воропаев А.Ю.) по адресу: Ростовская область, Мясниковский район, х. Красный Крым, ул. Георгиевская, д. 26, к.н. 61:25:0600401:18079 (1 шт.)</t>
  </si>
  <si>
    <t>Установка системы учета для технологического присоединения энергопринимающих устройств Заявителя (Мина Д.С.) по адресу: Ростовская область, Мясниковский район, х. Красный Крым, ул. Георгиевская, д. 24, к.н. 61:25:0600401:18078 (1 шт.)</t>
  </si>
  <si>
    <t>Установка системы учета для технологического присоединения энергопринимающих устройств Заявителя (Хамфри М.А.) по адресу: Ростовская область, Мясниковский район, х. Ленинакан, ул. Осенняя, д. 17-а, к.н. 61:25:0600401:18035 (1 шт.)</t>
  </si>
  <si>
    <t>Установка системы учета для технологического присоединения энергопринимающих устройств Заявителя (Даглдян С.С.) по адресу: Ростовская область, Мясниковский район, х. Ленинакан, ул. 2-я линия, д. 15, к.н. 61:25:0600401:20175 (1 шт.)</t>
  </si>
  <si>
    <t>Установка системы учета для технологического присоединения энергопринимающих устройств Заявителя (Пантелеев С.В.) по адресу: Ростовская область, Мясниковский район, х. Ленинаван, ул. Байкальская, д. 4, к.н. 61:25:0600401:6634 (1 шт.)</t>
  </si>
  <si>
    <t>Установка системы учета для технологического присоединения энергопринимающих устройств Заявителя (Голуб М.Ю.) по адресу: Ростовская область, Мясниковский район, х. Красный Крым, ул. Крымская, д. 51, к.н. 61:25:0600401:16888 (1 шт.)</t>
  </si>
  <si>
    <t>Установка системы учета для технологического присоединения энергопринимающих устройств Заявителя (Калиныч А.П.) по адресу: Ростовская область, Мясниковский район, х. Ленинакан, ул. Осенняя, д. 2-б, к.н. 61:25:0600401:22099 (1 шт.)</t>
  </si>
  <si>
    <t>Установка системы учета для технологического присоединения энергопринимающих устройств Заявителя (Минакова Е.В.) по адресу: Ростовская область, Мясниковский район, х. Ленинакан, ул. Осенняя, д. 11-а, к.н. 61:25:0600401:18027 (1 шт.)</t>
  </si>
  <si>
    <t>Установка системы учета для технологического присоединения энергопринимающих устройств Заявителя (Столбенко А.Н.) по адресу: Ростовская область, Мясниковский район, х. Ленинакан, ул. Осенняя, д. 27, к.н. 61:25:0600401:18038 (1 шт.)</t>
  </si>
  <si>
    <t>Установка системы учета для технологического присоединения энергопринимающих устройств Заявителя (Черный В.А.) по адресу: Ростовская область, Мясниковский район, х. Красный Крым, ул. Благодатная, д. 24, к.н. 61:25:0600401:20136 (1 шт.)</t>
  </si>
  <si>
    <t>Установка системы учета для технологического присоединения энергопринимающих устройств Заявителя (Щебуняева Г.В..) по адресу: Ростовская область, Мясниковский район, х. Красный Крым, ул. Урожайная, д. 22, к.н. 61:25:0600401:16104 (1 шт.)</t>
  </si>
  <si>
    <t>Установка системы учета для технологического присоединения энергопринимающих устройств Заявителя (Фащенко К.Б.) по адресу: Ростовская область, Мясниковский район, х. Красный Крым, ул. Крымская, д. 50, к.н. 61:25:0600401:16914 (1 шт.)</t>
  </si>
  <si>
    <t>Установка системы учета для технологического присоединения энергопринимающих устройств Заявителя (Червоный В.Г.) по адресу: Ростовская область, Мясниковский район, х. Красный Крым, ул. Лесная, д. 4/3, к.н. 61:25:0600401:21917 (1 шт.)</t>
  </si>
  <si>
    <t>Установка системы учета для технологического присоединения энергопринимающих устройств Заявителя (Червоный В.Г.) по адресу: Ростовская область, Мясниковский район, х. Красный Крым, ул. Лесная, д. 4/2, к.н. 61:25:0600401:21916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</si>
  <si>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д.45, к.н. 61:25:0600401:20825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</si>
  <si>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д.12, к.н. 61:25:0600401:20795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</si>
  <si>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д.33, к.н. 61:25:0600401:20819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</si>
  <si>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д.41, к.н. 61:25:0600401:20823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</si>
  <si>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д.37, к.н. 61:25:0600401:20821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</si>
  <si>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д.51, к.н. 61:25:0600401:20829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</si>
  <si>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д.47, к.н. 61:25:0600401:20827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</si>
  <si>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д.39, к.н. 61:25:0600401:20822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</si>
  <si>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д.35, к.н. 61:25:0600401:20820 (1 шт.)</t>
  </si>
  <si>
    <t>Установка системы учета для технологического присоединения энергопринимающих устройств Заявителя (Осадчий В.В.) по адресу: Ростовская область, Мясниковский район, х. Красный Крым, ул. Новая, д. 66, к.н. 61:25:0600401:10301 (1 шт.)</t>
  </si>
  <si>
    <t>Установка системы учета для технологического присоединения энергопринимающих устройств Заявителя (Щелканов А.И.) по адресу: Ростовская область, Мясниковский район, х. Красный Крым, ул. Баграмяна, д. 33, к.н. 61:25:0600401:19723 (1 шт.)</t>
  </si>
  <si>
    <t>Установка системы учета для технологического присоединения энергопринимающих устройств Заявителя (Землякова Е.Г.) по адресу: Ростовская область, Мясниковский район, х. Красный Крым, ул. Баграмяна, д. 25, к.н. 61:25:0600401:19719 (1 шт.)</t>
  </si>
  <si>
    <t>Установка системы учета для технологического присоединения энергопринимающих устройств Заявителя (Трощилов А.С.) по адресу: Ростовская область, Мясниковский район, х. Красный Крым, ул. Георгиевская, д. 23, к.н. 61:25:0600401:18053 (1 шт.)</t>
  </si>
  <si>
    <t>Установка системы учета для технологического присоединения энергопринимающих устройств Заявителя (Прядкина Н.Ю.) по адресу: Ростовская область, Мясниковский район, х. Красный Крым, ул. Благодатная, д. 4, к.н. 61:25:0600401:20134 (1 шт.)</t>
  </si>
  <si>
    <t>Установка системы учета для технологического присоединения энергопринимающих устройств Заявителя (Давыденко Г.Н.) по адресу: Ростовская область, Мясниковский район, х. Ленинакан, ул. Майская, д. 35/2, к.н. 61:25:0600401:17108 (1 шт.)</t>
  </si>
  <si>
    <t>Установка системы учета для технологического присоединения энергопринимающих устройств Заявителя (Фирсова С.В.) по адресу: Ростовская область, Мясниковский район, х. Красный Крым, ул. Крымская, д. 68, к.н. 61:25:0600401:16920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</si>
  <si>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16, к.н. 61:25:0600401:21383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</si>
  <si>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д.14, к.н. 61:25:0600401:21382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</si>
  <si>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д.18, к.н. 61:25:0600401:21384 (1 шт.)</t>
  </si>
  <si>
    <t>Установка системы учета для технологического присоединения энергопринимающих устройств Заявителя (Ермаков В.П.) по адресу: Ростовская область, Мясниковский район, с. Большие Салы, с/т Орион, уч.15, к.н. 61:25:0501201:4832 (1 шт.)</t>
  </si>
  <si>
    <t>Установка системы учета для технологического присоединения энергопринимающих устройств Заявителя (Кахкцян В.К.) по адресу: Ростовская область, Мясниковский район, х. Ленинаван, ул. Суворова, д. 39, к.н. 61:25:0600401:6789 (1 шт.)</t>
  </si>
  <si>
    <t>Установка системы учета для технологического присоединения энергопринимающих устройств Заявителя (Королева А.Н.) по адресу: Ростовская область, Мясниковский район, х. Ленинакан, ул. Майская, д.31/3, к.н. 61:25:0600401:18483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</si>
  <si>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Красный Крым, ул. Лесная, д. 29, к.н. 61:25:0600401:22530 (1 шт.)</t>
  </si>
  <si>
    <t>Установка системы учета для технологического присоединения энергопринимающих устройств Заявителя (Присс А.В.) по адресу: Ростовская область, Мясниковский район, х. Красный Крым, ул. Верхняя, д. 8, к.н. 61:25:0600401:18742 (1 шт.)</t>
  </si>
  <si>
    <t>Установка системы учета для технологического присоединения энергопринимающих устройств Заявителя (Ячменцов Р.М.) по адресу: Ростовская область, Мясниковский район, х. Ленинакан, ул. Осенняя, д. 2-г, к.н. 61:25:0600401:18851 (1 шт.)</t>
  </si>
  <si>
    <t>Установка системы учета для технологического присоединения энергопринимающих устройств Заявителя (Чилингарян Д.Т.) по адресу: Ростовская область, Мясниковский район, с. Крым, ул. Маршала Баграмяна, д. 41-в, к.н. 61:25:0600201:1618 (1 шт.)</t>
  </si>
  <si>
    <t>Установка системы учета для технологического присоединения энергопринимающих устройств Заявителя (Велян К.А.) по адресу: Ростовская область, Мясниковский район, с. Крым, ул. Кардашяна, д.10, к.н. 61:25:0201001:404 (1 шт.)</t>
  </si>
  <si>
    <t>Установка системы учета для технологического присоединения энергопринимающих устройств Заявителя (Арутюнян А.А.) по адресу: Ростовская область, Мясниковский район, с. Крым, ул. Генерала Джелаухова, д. 44, к.н. 61:25:0600201:1648 (1 шт.)</t>
  </si>
  <si>
    <t>Установка системы учета для технологического присоединения энергопринимающих устройств Заявителя (Лысов А.В.) по адресу: Ростовская область, Мясниковский район, х. Ленинаван, ул. Ереванская, д. 14/2, к.н. 61:25:0600401:21264 (1 шт.)</t>
  </si>
  <si>
    <t>Установка системы учета для технологического присоединения энергопринимающих устройств Заявителя (Каплиева В.В.) по адресу: Ростовская область, Мясниковский район, х. Красный Крым, ул. Георгиевская, д. 27, к.н. 61:25:0600401:18055 (1 шт.)</t>
  </si>
  <si>
    <t>Установка системы учета для технологического присоединения энергопринимающих устройств Заявителя (Зварийчук А.А.) по адресу: Ростовская область, Мясниковский район, х. Красный Крым, ул. Александровская, д. 6-а, к.н. 61:25:0600401:19354 (1 шт.)</t>
  </si>
  <si>
    <t>Установка системы учета для технологического присоединения энергопринимающих устройств Заявителя (Черкесова О.Н.) по адресу: Ростовская область, Мясниковский район, х. Красный Крым, ул. Налбандяна, д. 61, к.н. 61:25:0600401:17802 (1 шт.)</t>
  </si>
  <si>
    <t>Установка системы учета для технологического присоединения энергопринимающих устройств Заявителя (Власенкова Т.В.) по адресу: Ростовская область, Мясниковский район, х. Калинин, ул. Школьная, д. 29-б, к.н. 61:25:0050101:8049 (1 шт.)</t>
  </si>
  <si>
    <t>Установка системы учета для технологического присоединения энергопринимающих устройств Заявителя (Овечко А.А.) по адресу: Ростовская область, Мясниковский район, х. Ленинакан, ул. Осенняя, д. 34, к.н. 61:25:0600401:19414 (1 шт.)</t>
  </si>
  <si>
    <t>Установка системы учета для технологического присоединения энергопринимающих устройств Заявителя (Сакменов А.С.) по адресу: Ростовская область, Мясниковский район, х. Ленинакан, ул. Осенняя, д. 30/а, к.н. 61:25:0600401:20597 (1 шт.)</t>
  </si>
  <si>
    <t>Установка системы учета для технологического присоединения энергопринимающих устройств Заявителя (Линова Е.Г.) по адресу: Ростовская область, Мясниковский район, х. Ленинакан, ул. Осенняя, д. 15/а, к.н. 61:25:0600401:18031 (1 шт.)</t>
  </si>
  <si>
    <t>Установка системы учета для технологического присоединения энергопринимающих устройств Заявителя (Галухин В.Н.) по адресу: Ростовская область, Мясниковский район, х. Ленинакан, ул. Майская, д. 35/1, к.н. 61:25:0600401:17109 (1 шт.)</t>
  </si>
  <si>
    <t>Установка системы учета для технологического присоединения энергопринимающих устройств Заявителя (Кореньков В.А.) по адресу: Ростовская область, Мясниковский район, х. Ленинакан, ул. Майская, д. 31/1, к.н. 61:25:0600401:18481 (1 шт.)</t>
  </si>
  <si>
    <t>Установка системы учета для технологического присоединения энергопринимающих устройств Заявителя (Пайлеванян В.Ю.) по адресу: Ростовская область, Мясниковский район, х. Красный Крым, ул. Баграмяна, д. 41, к.н. 61:25:0600401:18262 (1 шт.)</t>
  </si>
  <si>
    <t>Установка системы учета для технологического присоединения энергопринимающих устройств Заявителя (Павлов О.П.) по адресу: Ростовская область, Мясниковский район, х. Красный Крым, ул. Баграмяна, д. 29, к.н. 61:25:0600401:19721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</si>
  <si>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х. Красный Крым, ул. Крымская, д. 24, к.н. 61:25:0600401:16906 (1 шт.)</t>
  </si>
  <si>
    <t>Установка системы учета для технологического присоединения энергопринимающих устройств Заявителя (Бессонова Н.А.) по адресу: Ростовская область, Мясниковский район, х. Красный Крым, ул. Лермонтовская, д. 11, к.н. 61:25:0600401:17087 (1 шт.)</t>
  </si>
  <si>
    <t>Установка системы учета для технологического присоединения энергопринимающих устройств Заявителя (Трунов Д.Ю.) по адресу: Ростовская область, Мясниковский район, х. Красный Крым, ул. Благодатная, д. 15, к.н. 61:25:0600401:19187 (1 шт.)</t>
  </si>
  <si>
    <t>Установка системы учета для технологического присоединения энергопринимающих устройств Заявителя (Морозов Д.П.) по адресу: Ростовская область, Мясниковский район, х. Красный Крым, ул. Молодежная, д. 72, к.н. 61:25:0600401:21608 (1 шт.)</t>
  </si>
  <si>
    <t>Установка системы учета для технологического присоединения энергопринимающих устройств Заявителя (Яковенко Р.М.) по адресу: Ростовская область, Мясниковский район, х. Красный Крым, ул. Баграмяна, д. 39, к.н. 61:25:0600401:18261 (1 шт.)»</t>
  </si>
  <si>
    <t>Установка системы учета для технологического присоединения энергопринимающих устройств Заявителей: Абраменко А.В., Олейникова Е.О., Шагинян Г.А., ИП Бабаян Р.А., Акопян С.А., Багдасарян Р.Ц., Аветисян А.А., Дума Н.А., Литвинов Е.Н., Пилипосян П.А., Баян Г.А., Яркина Т.А. в Мясниковском районе Ростовской области (13 шт.)</t>
  </si>
  <si>
    <t>Установка системы учета для технологического присоединения энергопринимающих устройств Заявителей: Гончарова Л.Ю., Пивоваров В.А., Гаджоглуян М.Г., Шумченко В.А. в Мясниковском районе Ростовской области (4 шт.)</t>
  </si>
  <si>
    <t>Установка системы учета для технологического присоединения энергопринимающих устройств Заявителя (Шаханцева Д.А.) по адресу: Ростовская область, Мясниковский район, х. Красный Крым, ул. Георгиевская, д. 18, к.н. 61:25:0600401:21905 (1 шт.)</t>
  </si>
  <si>
    <t>Установка системы учета для технологического присоединения энергопринимающих устройств Заявителя (Арсентьев П.П.) по адресу: Ростовская область, Мясниковский район, с. Султан Салы, ул. Пролетарская, д. 27/а, к.н. 61:25:0030401:1845 (1 шт.)</t>
  </si>
  <si>
    <t>Установка системы учета для технологического присоединения энергопринимающих устройств Заявителя (Аветисов К.С.) по адресу: Ростовская область, Мясниковский район, х. Ленинаван, ул. Мясникяна, д. 73/а, к.н. 61:25:0600401:16715 (1 шт.)</t>
  </si>
  <si>
    <t>Установка системы учета для технологического присоединения энергопринимающих устройств Заявителя (Киракосян А.Т.) по адресу: Ростовская область, Мясниковский район, х. Красный Крым, ул. Георгиевская, д. 19, к.н. 61:25:00600401:18051 (1 шт.)</t>
  </si>
  <si>
    <t>Установка системы учета для технологического присоединения энергопринимающих устройств Заявителя (Шахмурадян А.Г.) по адресу: Ростовская область, Мясниковский район, с. Крым, ул. Секизяна, д. 13, к.н. 61:25:0201023:614 (1 шт.)</t>
  </si>
  <si>
    <t>Установка системы учета для технологического присоединения энергопринимающих устройств Заявителя (Шпилевой Е.Е.) по адресу: Ростовская область, Мясниковский район, х. Ленинаван, ул. Ландышевая, д.6-а, к.н. 61:25:0600401:20671 (1 шт.)</t>
  </si>
  <si>
    <t>Установка системы учета для технологического присоединения энергопринимающих устройств Заявителя (Пудич А.С.) по адресу: Ростовская область, Мясниковский район, х. Красный Крым, ул. Георгиевская, д. 22, к.н. 61:25:0600401:22056</t>
  </si>
  <si>
    <t>«Установка системы учета для технологического присоединения энергопринимающих устройств Заявителя (Гарбузов А.Ю.) по адресу: Ростовская область, Мясниковский район, х. Красный Крым, ул. Георгиевская, д. 12, к.н. 61:25:0600401:21410 (1 шт.)»</t>
  </si>
  <si>
    <t>Установка системы учета для технологического присоединения энергопринимающих устройств Заявителя (Теплякова Е.Ю.) по адресу: Ростовская область, Мясниковский район, х. Красный Крым, ул. Верхняя, д.54, к.н. 61:25:0600401:18738</t>
  </si>
  <si>
    <t>Установка системы учета для технологического присоединения энергопринимающих устройств Заявителя (Куркулева Л.П.) по адресу: Ростовская область, Мясниковский район, х. Красный Крым, ул. Верхняя, д.6, к.н. 61:25:0600401:18731</t>
  </si>
  <si>
    <t>Установка системы учета для технологического присоединения энергопринимающих устройств Заявителя (Митрофанова М.Ю.) по адресу: Ростовская область, Мясниковский район, с.Крым, ул. Медиков, д. 20-а, к.н. 61:25:0201025:396</t>
  </si>
  <si>
    <t>Установка системы учета для технологического присоединения энергопринимающих устройств Заявителя (Яровая И.А.) по адресу: Ростовская область, Мясниковский район, х. Красный Крым, ул. Георгиевская, д.20, к.н. 61:25:0600401:18076</t>
  </si>
  <si>
    <t>Установка системы учета для технологического присоединения энергопринимающих устройств Заявителя (Девальд В.В.) по адресу: Ростовская область, Мясниковский район, х. Ленинакан, ул. Осенняя, д. 30, к.н. 61:25:0600401:20598</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</si>
  <si>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Верхняя, д. 49, к.н. 61:25:0600401:17514</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</si>
  <si>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Верхняя, д.47, к.н. 61:25:0600401:17513</t>
  </si>
  <si>
    <t>Установка системы учета для технологического присоединения энергопринимающих устройств Заявителя (Анненков Д.В.) по адресу: Ростовская область, Мясниковский район, х. Красный Крым, ул. Лесная, д.8, к.н. 61:25:0600401:18865</t>
  </si>
  <si>
    <t>Установка системы учета для технологического присоединения энергопринимающих устройств Заявителя (Бондарева Е.А.) по адресу: Ростовская область, Мясниковский район, х. Красный Крым, ул. Верхняя, д. 50, к.н. 61:25:0600401:18736</t>
  </si>
  <si>
    <t>Установка системы учета для технологического присоединения энергопринимающих устройств Заявителя (Михайленко К.О.) по адресу: Ростовская область, Мясниковский район, х. Красный Крым, ул. Лермонтовская, д. 59, к.н. 61:25:0600401:19379</t>
  </si>
  <si>
    <t>Установка системы учета для технологического присоединения энергопринимающих устройств Заявителя (Харагезян С.М.) по адресу: Ростовская область, Мясниковский район, х. Ленинакан, ул. Цветочная, д.3-б, к.н. 61:25:0030301:1614</t>
  </si>
  <si>
    <t>Установка системы учета для технологического присоединения энергопринимающих устройств Заявителя (Комарова И.В.) по адресу: Ростовская область, Мясниковский район, х. Красный Крым, ул. Верхняя, д. 43, к.н. 61:25:0600401:17505</t>
  </si>
  <si>
    <t>Установка системы учета для технологического присоединения энергопринимающих устройств Заявителя (Комарова И.В.) по адресу: Ростовская область, Мясниковский район, х. Красный Крым, ул. Верхняя, д. 41, к.н. 61:25:0600401:17504</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</si>
  <si>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Белорусская, д.7, к.н. 61:25:0600501:3344</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</si>
  <si>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Белорусская, д. 5, к.н. 61:25:0600501:3345</t>
  </si>
  <si>
    <t>Установка системы учета для технологического присоединения энергопринимающих устройств Заявителя (Кудряшов Е.Г.) по адресу: Ростовская область, Мясниковский район, с. Крым, ул. Григора Бабияна, д. 40-а, к.н. 61:25:0600201:1448</t>
  </si>
  <si>
    <t>Установка системы учета для технологического присоединения энергопринимающих устройств Заявителя (Куценко Д.В.) по адресу: Ростовская область, Мясниковский район, х. Красный Крым, ул. Налбандяна, д. 64, к.н. 61:25:0600401:17836</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</si>
  <si>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37-а, к.н. 61:25:0600401:17141</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</si>
  <si>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37, к.н. 61:25:0600401:17142</t>
  </si>
  <si>
    <t>Установка системы учета для технологического присоединения энергопринимающих устройств Заявителя (Козлов М.С.) по адресу: Ростовская область, Мясниковский район, с. Несветай, ул. Освобождения, д. 2-а, к.н. 61:25:0040201:530</t>
  </si>
  <si>
    <t>Установка системы учета для технологического присоединения энергопринимающих устройств Заявителя (Чуваков В.М.) по адресу: Ростовская область, Мясниковский район, х. Ленинаван, ул. Байкальская, д. 17, к.н. 61:25:0600401:6638</t>
  </si>
  <si>
    <t>Установка системы учета для технологического присоединения энергопринимающих устройств Заявителя (Базылев Н.В.) по адресу: Ростовская область, Мясниковский район, х. Ленинакан, ул. Осеняя, д. 9-а, к.н. 61:25:0600401:18011</t>
  </si>
  <si>
    <t>Установка системы учета для технологического присоединения энергопринимающих устройств Заявителя (Твердохлебов В.В.) по адресу: Ростовская область, Мясниковский район, х. Ленинакан, ул. Осенняя, д. 1/9, к.н. 61:25:0600401:17944</t>
  </si>
  <si>
    <t>Установка системы учета для технологического присоединения энергопринимающих устройств Заявителя (Данилова Н.А.) по адресу: Ростовская область, Мясниковский район, х. Красный Крым, ул. Сатхинская, д. 23, к.н. 61:25:0600401:17257</t>
  </si>
  <si>
    <t>«Установка системы учета для технологического присоединения энергопринимающих устройств Заявителя (Маргарян С.В.) по адресу: Ростовская область, Мясниковский район, с. Чалтырь, ул. Лазоревая, д. 27-б, к.н. 61:25:0101602:873</t>
  </si>
  <si>
    <t>Установка системы учета для технологического присоединения энергопринимающих устройств Заявителя (Пучкова Т.Г.) по адресу: Ростовская область, Мясниковский район, х. Красный Крым, ул. Благодатная, д. 17, к.н. 61:25:0600401:19189</t>
  </si>
  <si>
    <t>Установка системы учета для технологического присоединения энергопринимающих устройств Заявителя (Смирнов Д.С.) по адресу: Ростовская область, Мясниковский район, х. Красный Крым, ул. Крымская, д. 21, к.н. 61:25:0600401:16898</t>
  </si>
  <si>
    <t>Установка системы учета для технологического присоединения энергопринимающих устройств Заявителя (Проскурина В.А.) по адресу: Ростовская область, Мясниковский район, х. Красный Крым, ул. Турмалиновая, д. 29/а, к.н. 61:25:0600401:20779</t>
  </si>
  <si>
    <t>Установка системы учета для технологического присоединения энергопринимающих устройств Заявителя (Бурым О.В.) по адресу: Ростовская область, Мясниковский район, х. Ленинаван, ул. Московская, д. 10, к.н. 61:25:0600501:3338</t>
  </si>
  <si>
    <t>Установка системы учета для технологического присоединения энергопринимающих устройств Заявителя (Нестеров П.А.) по адресу: Ростовская область, Мясниковский район х. Ленинакан, ул. Осенняя, д. 5/а, к.н. 61:25:0600401:18114</t>
  </si>
  <si>
    <t>Установка системы учета для технологического присоединения энергопринимающих устройств Заявителя (Попова А.И.) по адресу: Ростовская область, Мясниковский район на землях колхоза «Дружба», к.н. 61:25:0600401:20832</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</si>
  <si>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на землях колхоза «Дружба», к.н. 61:25:0600401:20828</t>
  </si>
  <si>
    <t>Установка системы учета для технологического присоединения энергопринимающих устройств Заявителя (Борисова И.А.) по адресу: Ростовская область, Мясниковский район х. Ленинаван, ул. Петровская, д. 15, к.н. 61:25:0600401:6619</t>
  </si>
  <si>
    <t>Установка системы учета для технологического присоединения энергопринимающих устройств Заявителя (Поповян Е.А.) по адресу: Ростовская область, Мясниковский район с. Большие Салы, ул. Лукашина, д. 15 к.н. 61:25:0040101:1063</t>
  </si>
  <si>
    <t>Установка системы учета для технологического присоединения энергопринимающих устройств Заявителя (Шнайдер А.В.) по адресу: Ростовская область, Мясниковский район, х. Ленинаван, ул. 2-я Кавказская, д. 23, к.н. 61:25:0600401:7190</t>
  </si>
  <si>
    <t>Установка системы учета для технологического присоединения энергопринимающих устройств Заявителя (Королева Е.И.) по адресу: Ростовская область, Мясниковский район х. Красный Крым, ул. Урожайная, д. 20, к.н. 61:25:0600401:16105</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</si>
  <si>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Ленинаван, ул. Мясникяна, д. 22/а к.н. 61:25:0030202:4808</t>
  </si>
  <si>
    <t>Установка системы учета для технологического присоединения энергопринимающих устройств Заявителя (Наумова Л.В.) по адресу: Ростовская область, Мясниковский район х. Ленинаван, ул. С. Хатламаджияна, д. 30/43, к.н. 61:25:0030202:4941</t>
  </si>
  <si>
    <t>Установка системы учета для технологического присоединения энергопринимающих устройств Заявителя (Вятюгов Е.С.) по адресу: Ростовская область, Мясниковский район х. Ленинакан, ул. Майская, д. 35, к.н. 61:25:0600401:17110</t>
  </si>
  <si>
    <t>Установка системы учета для технологического присоединения энергопринимающих устройств Заявителя (Гаева А.Ю.) по адресу: Ростовская область, Мясниковский район х. Красный Крым, ул. Георгиевская, д. 15, к.н. 61:25:0600401:18049</t>
  </si>
  <si>
    <t>Установка системы учета для технологического присоединения энергопринимающих устройств Заявителя (Гнитеев И.В.) по адресу: Ростовская область, Мясниковский район х. Красный Крым, ул. Братьев Баян, д. 84, к.н. 61:25:0600401:19311</t>
  </si>
  <si>
    <t>Установка системы учета для технологического присоединения энергопринимающих устройств Заявителя (Григорян Е.М.) по адресу: Ростовская область, Мясниковский район, х. Ленинакан, ул. Кавказская, д. 21/б, к.н. 61:25:0030202:4208</t>
  </si>
  <si>
    <t>Установка системы учета для технологического присоединения энергопринимающих устройств Заявителя (Карпенко А.А.) по адресу: Ростовская область, Мясниковский район, х. Красный Крым, ул. Лермонтовская, д. 61, к.н. 61:25:0600401:19380</t>
  </si>
  <si>
    <t>Установка системы учета для технологического присоединения энергопринимающих устройств Заявителя (Ликаренко В.В.) по адресу: Ростовская область, Мясниковский район, х. Красный Крым, ул. Лесная, д. 22, к.н. 61:25:0600401:18872</t>
  </si>
  <si>
    <t>1.6. «Установка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Красный Крым, ул. Демидовская, д. 12, к.н. 61:25:0600401:21371 (1 шт.)»</t>
  </si>
  <si>
    <t>1.5. «Установка системы учета для технологического присоединения энергопринимающих устройств Заявителя (Моисеев А.С.) по адресу: Ростовская область, Мясниковский район, х. Красный Крым, ул. Александровская, д. 3, к.н. 61:25:0600401:19388 (1 шт.)»</t>
  </si>
  <si>
    <t>1.4. «Установка системы учета для технологического присоединения энергопринимающих устройств Заявителя (Шашуро Е.В.) по адресу: Ростовская область, Мясниковский район, х. Ленинакан, ул. Осенняя, 7,  к.н. 61:25:0600401:18113 (1 шт.)»</t>
  </si>
  <si>
    <t>Установка системы учета для технологического присоединения энергопринимающих устройств Заявителя (Бабаян В.А.) по адресу: Ростовская область, Мясниковский район х. Красный Крым, ул. Верхняя, д. 52 к.н. 61:25:0600401:18737</t>
  </si>
  <si>
    <t>Установка системы учета для технологического присоединения энергопринимающих устройств Заявителя (Явруян С.А.) по адресу: Ростовская область, Мясниковский район х. Ленинаван, ул. Кавказская, д. 39, к.н. 61:25:0030202:4432</t>
  </si>
  <si>
    <t>«Установка системы учета для технологического присоединения энергопринимающих устройств Заявителя (Айвазян А.С.) по адресу: Ростовская область, Мясниковский район, х. Красный Крым, ул. Сатхинская, д. 44, к.н. 61:25:0600401:19223 (1 шт.)»</t>
  </si>
  <si>
    <t>Установка системы учета для технологического присоединения энергопринимающих устройств Заявителя (Афян С.В.) по адресу: Ростовская область, Мясниковский район, х. Красный Крым, ул. Лермонтовская, д. 21, к.н. 61:25:0600401:17082</t>
  </si>
  <si>
    <t>Установка системы учета для технологического присоединения энергопринимающих устройств Заявителя (Пожарова Ю.И.) по адресу: Ростовская область, Мясниковский район, х. Красный Крым, ул. Братьев Баян, д. 82, к.н. 61:25:0600401:19312</t>
  </si>
  <si>
    <t>Установка системы учета для технологического присоединения энергопринимающих устройств Заявителя (Павлов С.Е.) по адресу: Ростовская область, Мясниковский район, х. Красный Крым, ул. Бирюзовая, д. 17, к.н. 61:25:0600401:4786</t>
  </si>
  <si>
    <t>Установка системы учета для технологического присоединения энергопринимающих устройств Заявителя (Топалян С.Л.) по адресу: Ростовская область, Мясниковский район, х. Красный Крым, ул. Турмалиновая, д. 27/а, к.н. 61:25:0600401:20777</t>
  </si>
  <si>
    <t>1.10. «Установка системы учета для технологического присоединения энергопринимающих устройств Заявителя (Бабаян В.А.) по адресу: Ростовская область, Мясниковский район, с. Чалтырь, ул. Западная, д. 87/г, к.н. 61:25:0101602:880 (1 шт.)»</t>
  </si>
  <si>
    <t>1.9. «Установка системы учета для технологического присоединения энергопринимающих устройств Заявителя (Котлубей О.Г.) по адресу: Ростовская область, Мясниковский район, х. Ленинакан, ул. Майская, д. 15, к.н. 61:25:0600401:16751 (1 шт.)»</t>
  </si>
  <si>
    <t>1.8. «Установка системы учета для технологического присоединения энергопринимающих устройств Заявителя (Абраменко И.В.) по адресу: Ростовская область, Мясниковский район, х. Ленинакан, ул. Майская, д. 2/г, к.н. 61:25:0600401:17376 (1 шт.)»</t>
  </si>
  <si>
    <t>1.7. «Установка системы учета для технологического присоединения энергопринимающих устройств Заявителя (Базилев Р.В.) по адресу: Ростовская область, Мясниковский район, х. Красный Крым, ул. Георгиевская, д. 13, к.н. 61:25:0600401:18094 (1 шт.)»</t>
  </si>
  <si>
    <t>1.6. «Установка системы учета для технологического присоединения энергопринимающих устройств Заявителя (Сотниченко Е.О.) по адресу: Ростовская область, Мясниковский район, х. Красный Крым, ул. Налбандяна, д. 56, к.н. 61:25:0600401:17831 (1 шт.)»</t>
  </si>
  <si>
    <t>1.5. «Установка системы учета для технологического присоединения энергопринимающих устройств Заявителя (Кузьмин С.Г.) по адресу: Ростовская область, Мясниковский район, х. Ленинаван, ул. Штрауса, д. 25/б, к.н. 61:25:0600401:17298 (1 шт.)»</t>
  </si>
  <si>
    <t>1.4. «Установка системы учета для технологического присоединения энергопринимающих устройств Заявителя (Шелковникова С.В.) по адресу: Ростовская область, Мясниковский район, х. Ленинаван, ул. Штрауса, д. 17/а, к.н. 61:25:0600401:16437 (1 шт.)»</t>
  </si>
  <si>
    <t>1.3. «Установка системы учета для технологического присоединения энергопринимающих устройств Заявителя (Матвейчук С.В.) по адресу: Ростовская область, Мясниковский район, х. Красный Крым, ул. Александровская, д. 16, к.н. 61:25:0600401:20943 (1 шт.)»</t>
  </si>
  <si>
    <t>Установка системы учета для технологического присоединения энергопринимающих устройств Заявителя (Варданян М.А.) по адресу: Ростовская область, Мясниковский район, х. Ленинакан, ул. Майская, д. 2/б, к.н. 61:25:0600401:17378</t>
  </si>
  <si>
    <t>Установка системы учета для технологического присоединения энергопринимающих устройств Заявителя (Сальникова Е.С.) по адресу: Ростовская область, Мясниковский район, х. Красный Крым, ул. Сатхинская, д. 24, к.н. 61:25:0600401:17224</t>
  </si>
  <si>
    <t>1.1.  «Установка системы учета для технологического присоединения энергопринимающих устройств Заявителя (Кравченко В.С.) по адресу: Ростовская область, Мясниковский район, х. Ленинакан, ул. Майская, д. 19, к.н. 61:25:0600401:16747 (1 шт.)»</t>
  </si>
  <si>
    <t>Установка системы учета для технологического присоединения энергопринимающих устройств Заявителя (Коробцова В.Л.) по адресу: Ростовская область, Мясниковский район, х. Ленинакан, ул. Осенняя, д. 13, к.н. 61:25:0600401:18026</t>
  </si>
  <si>
    <t>Установка системы учета для технологического присоединения энергопринимающих устройств Заявителя (Ломако А.О.) по адресу: Ростовская область, Мясниковский район, х. Красный Крым, ул. Александровская, д. 34/а, к.н. 61:25:0600401:20837</t>
  </si>
  <si>
    <t>Установка системы учета для технологического присоединения энергопринимающих устройств Заявителя (Федотова Л.В.) по адресу: Ростовская область, Мясниковский район, с. Чалтырь, ул. Речная, д. 3/д, к.н. 61:25:0101211:97</t>
  </si>
  <si>
    <t>Установка системы учета для технологического присоединения энергопринимающих устройств Заявителя (Соколов А.В.) по адресу: Ростовская область, Мясниковский район, х. Красный Крым, ул. Пушкинская, 31,  к.н. 61:25:0600401:16335</t>
  </si>
  <si>
    <t>Установка системы учета для технологического присоединения энергопринимающих устройств Заявителя (Бердимуродов А.А.) по адресу: Ростовская область, Мясниковский район, х. Ленинакан, ул. Осенняя, д. 20/а, к.н. 61:25:0600401:18837</t>
  </si>
  <si>
    <t>Установка системы учета для технологического присоединения энергопринимающих устройств Заявителя (Куклин В.А.) по адресу: Ростовская область, Мясниковский район, х. Ленинакан, ул. Майская, д. 2/а, к.н. 61:25:0600401:17379</t>
  </si>
  <si>
    <t>Установка системы учета для технологического присоединения энергопринимающих устройств Заявителя (Киц М.Р.) по адресу: Ростовская область, Мясниковский район, х. Ленинакан, ул. Майская, д. 29/а, к.н. 61:25:0600401:16831</t>
  </si>
  <si>
    <t>Установка системы учета для технологического присоединения энергопринимающих устройств Заявителя (Долголенко Е.С.) по адресу: Ростовская область, Мясниковский район, х. Ленинакан, ул. Майская, д. 2, к.н. 61:25:0600401:17380</t>
  </si>
  <si>
    <t>Установка системы учета для технологического присоединения энергопринимающих устройств Заявителя (Павленко В.А.) по адресу: Ростовская область, Мясниковский район, х. Красный Крым, ул. Демидовская, д. 5, к.н. 61:25:0600401:20118</t>
  </si>
  <si>
    <t>Установка системы учета для технологического присоединения энергопринимающих устройств Заявителя (Антонян С.Э.) по адресу: Ростовская область, Мясниковский район, с. Чалтырь, ул. Первомайская, д. 79/б, к.н. 61:25:0101326:117</t>
  </si>
  <si>
    <t>Установка системы учета для технологического присоединения энергопринимающих устройств Заявителя (Самсонова М.Г.) по адресу: Ростовская область, Мясниковский район, х. Ленинаван, земли колхоза «Дружба»,  к.н. 61:25:0600401:10693</t>
  </si>
  <si>
    <t>Установка системы учета для технологического присоединения энергопринимающих устройств Заявителя (Барсегян А.С.) по адресу: Ростовская область, Мясниковский район, х. Ленинаван, ул. Центральная, д. 17/а, к.н. 61:25:0600401:17532</t>
  </si>
  <si>
    <t>Установка системы учета для технологического присоединения энергопринимающих устройств Заявителя (Герасимова Л.Ш.) по адресу: Ростовская область, Мясниковский район, х. Красный Крым, ул. Юбилейная, д. 36/а, к.н. 61:25:0600401:17415</t>
  </si>
  <si>
    <t>Установка системы учета для технологического присоединения энергопринимающих устройств Заявителя (Гарпеникова Л.Г.) по адресу: Ростовская область, Мясниковский район, х. Калинин, ул. 1-я Советская, д. 18/а к.н. 61:25:0050101:6980</t>
  </si>
  <si>
    <t>Установка системы учета для технологического присоединения энергопринимающих устройств Заявителя (Буданова О.Н.) по адресу: Ростовская область, Мясниковский район, х. Ленинакан, ул. Осенняя, д. 14/а к.н. 61:25:0600401:18144</t>
  </si>
  <si>
    <t>Установка системы учета для технологического присоединения энергопринимающих устройств Заявителя (Куклина Е.Р.) по адресу: Ростовская область, Мясниковский район, х. Ленинаван, ул. Штрауса, д. 23/а к.н. 61:25:0600401:15114</t>
  </si>
  <si>
    <t>Установка системы учета для технологического присоединения энергопринимающих устройств Заявителя (Викторов М.А.) по адресу: Ростовская область, Мясниковский район х. Красный Крым, ул. Крымская, д. 63 к.н. 61:25:0600401:16893</t>
  </si>
  <si>
    <t>Установка системы учета для технологического присоединения энергопринимающих устройств Заявителя (Симонян Т.Г.) по адресу: Ростовская область, Мясниковский район с. Чалтырь, ул. Крутая, д.2-А к.н. 61:25:0101423:85</t>
  </si>
  <si>
    <t>1.10. «Установка системы учета для технологического присоединения энергопринимающих устройств Заявителя (Шахман Г.Н.) по адресу: Ростовская область, Мясниковский район, х. Красный Крым, ул. Александровская, д. 12, к.н. 61:25:0600401:20936 (1 шт.)»</t>
  </si>
  <si>
    <t>1.9. «Установка системы учета для технологического присоединения энергопринимающих устройств Заявителя (Шахман Г.Н.) по адресу: Ростовская область, Мясниковский район, х. Красный Крым, ул. Александровская, д. 12/а, к.н. 61:25:0600401:20937 (1 шт.)»</t>
  </si>
  <si>
    <t>Установка системы учета для технологического присоединения энергопринимающих устройств Заявителя (Есис А.А.) по адресу: Ростовская область, Мясниковский район, х. Красный Крым, ул. Георгиевская, д. 16, к.н. 61:25:0600401:18074</t>
  </si>
  <si>
    <t>Установка системы учета для технологического присоединения энергопринимающих устройств Заявителя (Полетаев В.В.) по адресу: Ростовская область, Мясниковский район, х. Красный Крым, ул. Крымская, д. 61, к.н. 61:25:0600401:16886</t>
  </si>
  <si>
    <t>Установка системы учета для технологического присоединения энергопринимающих устройств Заявителя (Громова О.С.) по адресу: Ростовская область, Мясниковский район, х. Красный Крым, ул. Сатхинская, д. 18, к.н. 61:25:0600401:19106</t>
  </si>
  <si>
    <t>1.5. «Установка системы учета для технологического присоединения энергопринимающих устройств Заявителя (Антонов Р.А.) по адресу: Ростовская область, Мясниковский район, х. Ленинаван, ул. Орджоникидзе, д. 10/4, к.н. 61:25:0030202:5023 (1 шт.)»</t>
  </si>
  <si>
    <t>1.4. «Установка системы учета для технологического присоединения энергопринимающих устройств Заявителя (Лозовой А.А.) по адресу: Ростовская область, Мясниковский район х. Красный Крым, ул. Александровская, д. 40, к.н. 61:25:0600401:18296 (1 шт.)»</t>
  </si>
  <si>
    <t>Установка системы учета для технологического присоединения энергопринимающих устройств Заявителя (Колякова И.А.) по адресу: Ростовская область, Мясниковский район, х. Красный Крым, ул. Сатхинская, д. 35, к.н. 61:25:0600401:17250</t>
  </si>
  <si>
    <t>Установка системы учета для технологического присоединения энергопринимающих устройств Заявителя (Жилин А.А.) по адресу: Ростовская область, Мясниковский район х. Ленинакан, ул. Майская, д. 2/в, к.н. 61:25:0600401:17377</t>
  </si>
  <si>
    <t>1.3. «Установка системы учета для технологического присоединения энергопринимающих устройств Заявителя (Лозовой А.А.) по адресу: Ростовская область, Мясниковский район х. Красный Крым, ул. Александровская, д. 38, к.н. 61:25:0600401:18295 (1 шт.)»</t>
  </si>
  <si>
    <t>Установка системы учета для технологического присоединения энергопринимающих устройств Заявителя (Куповцова И.В.) по адресу: Ростовская область, Мясниковский район х. Ленинакан, ул. Осенняя, д. 1/8, к.н. 61:25:0600401:17945</t>
  </si>
  <si>
    <t>«Установка системы учета для технологического присоединения энергопринимающих устройств Заявителя (Лозовой А.А.) по адресу: Ростовская область, Мясниковский район х. Красный Крым, ул. Александровская, д. 42, к.н. 61:25:0600401:18297 (1 шт.)»</t>
  </si>
  <si>
    <t>Установка системы учета для технологического присоединения энергопринимающих устройств Заявителя (Зайчук Д.А.) по адресу: Ростовская область, Мясниковский район х. Ленинакан, ул. Майская, д. 6/б, к.н. 61:25:0600401:19703</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</si>
  <si>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99, к.н. 61:25:0600401:19063 (1 шт.)»</t>
  </si>
  <si>
    <t>«Установка системы учета для технологического присоединения энергопринимающих устройств Заявителя (Айдарова Н.Г.) по адресу: Ростовская область, Мясниковский район, х. Ленинаван, ул. Кутузова, д. 23, к.н. 61:25:0600401:10410</t>
  </si>
  <si>
    <t>Установка системы учета для технологического присоединения энергопринимающих устройств Заявителя (Бугаенко Т.В.) по адресу: Ростовская область, Мясниковский район, х. Ленинакан, ул. Майская, д. 4/а, к.н. 61:25:0600401:17387 (1 шт.)</t>
  </si>
  <si>
    <t>Установка системы учета для технологического присоединения энергопринимающих устройств Заявителя (Джомардян Е.М.) по адресу: Ростовская область, Мясниковский район, х. Красный Крым, ул. Налбандяна, д. 41, к.н. 61:25:0600401:17791 (1 шт.)</t>
  </si>
  <si>
    <t>Установка системы учета для технологического присоединения энергопринимающих устройств Заявителя (Радченко М.А.) по адресу: Ростовская область, Мясниковский район, х. Красный Крым, ул. Сатхинская, д. 37, к.н. 61:25:0600401:17249 (1 шт.)</t>
  </si>
  <si>
    <t>Установка системы учета для технологического присоединения энергопринимающих устройств Заявителя (Гуртовая А.В.) по адресу: Ростовская область, Мясниковский район, х. Ленинакан, ул. Осенняя, д. 6/а, к.н. 61:25:0600401:18103 (1 шт.)</t>
  </si>
  <si>
    <t>Установка системы учета для технологического присоединения энергопринимающих устройств Заявителя (Стебловская Я.О.) по адресу: Ростовская область, Мясниковский район, х. Ленинакан, ул. Майская, д. 4/в, к.н. 61:25:0600401:17385 (1 шт.)</t>
  </si>
  <si>
    <t>Установка системы учета для технологического присоединения энергопринимающих устройств Заявителя (Кныш Н.Я.) по адресу: Ростовская область, Мясниковский район, х. Красный Крым, ул. Лермонтовская, д. 58/а, к.н. 61:25:0600401:18857 (1 шт.)</t>
  </si>
  <si>
    <t>Установка системы учета для технологического присоединения энергопринимающих устройств Заявителя (Дрантус Е.Л.) по адресу: Ростовская область, Мясниковский район, х. Ленинаван, ул. Штрауса, д. 23, к.н. 61:25:0600401:15112 (1 шт.)</t>
  </si>
  <si>
    <t>Установка системы учета для технологического присоединения энергопринимающих устройств Заявителя (Алексеев А.О.) по адресу: Ростовская область, Мясниковский район, х. Ленинаван, ул. Кавказская, д. 16/б, к.н. 61:25:0030202:3256 (1 шт.)</t>
  </si>
  <si>
    <t>Установка системы учета для технологического присоединения энергопринимающих устройств Заявителя (Рыков А.Н.) по адресу: Ростовская область, Мясниковский район, х. Ленинаван, ул. Удачная, д. 19, к.н. 61:25:0600401:16721 (1 шт.)</t>
  </si>
  <si>
    <t>Установка системы учета для технологического присоединения энергопринимающих устройств Заявителя (Гусева О.С.) по адресу: Ростовская область, Мясниковский район, х. Ленинакан, ул. Майская, д. 2/д, к.н. 61:25:0600401:17375 (1 шт.)</t>
  </si>
  <si>
    <t>Установка системы учета для технологического присоединения энергопринимающих устройств Заявителя (Митуневич Т.Е.) по адресу: Ростовская область, Мясниковский район, с. Большие Салы, ул. Московская, д. 4/а, к.н. 61:25:0600501:3189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</si>
  <si>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И. Айвазовского, д. 36/3, к.н. 61:25:0600401:20925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</si>
  <si>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И. Айвазовского, д. 36/2, к.н. 61:25:0600401:20924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</si>
  <si>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И. Айвазовского, д. 36/1, к.н. 61:25:0600401:20923 (1 шт.)</t>
  </si>
  <si>
    <t>Установка системы учета для технологического присоединения энергопринимающих устройств Заявителей: ИП Ананян С.Г., ИП Пудеян Л.А., Остапенко С.С., Кривко Е.А., Скороходова Е.Н., Бондарь И.И., Зулалян В.А., Гринева О.С. в Мясниковском районе Ростовской области (9 шт.)</t>
  </si>
  <si>
    <t>Установка системы учета для технологического присоединения энергопринимающих устройств Заявителей: Бабаян В.С., Аматуни Е.М., Савченко Е.Ю., Беликов М.В., Тухтарян М.О., Дзиваян Е.А., Дзиваян С.Х., Агаглуян Н.А., Пудеян В.Г., Киляхова А.Т., Мариненко О.С., Абашина В.Н., Сугоняев В.А., Акопян М.А. в Мясниковском районе Ростовской области (17 шт.)</t>
  </si>
  <si>
    <t>Установка системы учета для технологического присоединения энергопринимающих устройств Заявителей: Алексанян Р.А., Поповян И.О., Хавранян А.О., Хавранян А.О., Раджабов К.И., Ячнев А.В., Кочарян А.Г., Гаенко А.В., Дубинина Т.П., Однороб С.В. в Мясниковском районе Ростовской области (10 шт.)</t>
  </si>
  <si>
    <t>Установка системы учета для технологического присоединения энергопринимающих устройств Заявителя (Джалашян А.А.) по адресу: Ростовская область, Мясниковский район, с. Крым, ул. Мясникяна, д. 56/а, к.н. 61:25:0201014:238 (1 шт.)</t>
  </si>
  <si>
    <t>Установка системы учета для технологического присоединения энергопринимающих устройств Заявителя (Ковалёва Н.Е.) по адресу: Ростовская область, Мясниковский район, х. Красный Крым, ул. Александровская, д. 4, к.н. 61:25:0600401:19359 (1 шт.)</t>
  </si>
  <si>
    <t>Установка системы учета для технологического присоединения энергопринимающих устройств Заявителя (Бурова А.Н.) по адресу: Ростовская область, Мясниковский район, х. Красный Крым, ул. Баграмяна, д. 19, к.н. 61:25:0600401:18250 (1 шт.)</t>
  </si>
  <si>
    <t>Установка системы учета для технологического присоединения энергопринимающих устройств Заявителя (Безуглова Г.Д.) по адресу: Ростовская область, Мясниковский район, х. Красный Крым, ул. Сатхинская, д. 17, к.н. 61:25:0600401:17260 (1 шт.)</t>
  </si>
  <si>
    <t>Установка системы учета для технологического присоединения энергопринимающих устройств Заявителя (Ушакова Ю.А.) по адресу: Ростовская область, Мясниковский район, х. Ленинаван, ул. И. Айвазовского, д. 31/49-а, к.н. 61:25:0600401:5407 (1 шт.)</t>
  </si>
  <si>
    <t>Установка системы учета для технологического присоединения энергопринимающих устройств Заявителя (Цайгер М.Г.) по адресу: Ростовская область, Мясниковский район, х. Красный Крым, ул. Лермонтовская, д. 7, к.н. 61:25:0600401:17089 (1 шт.)</t>
  </si>
  <si>
    <t>Установка системы учета для технологического присоединения энергопринимающих устройств Заявителя (Орлов Е.А.) по адресу: Ростовская область, Мясниковский район, х. Красный Крым, ул. Лермонтовская, д. 50, к.н. 61:25:0600401:17093 (1 шт.)</t>
  </si>
  <si>
    <t>Установка системы учета для технологического присоединения энергопринимающих устройств Заявителя (Восканян Е.С.) по адресу: Ростовская область, Мясниковский район, х. Ленинаван, ул. Дружбы, д. 49/б, к.н. 61:25:0030202:5059 (1 шт.)</t>
  </si>
  <si>
    <t>Установка системы учета для технологического присоединения энергопринимающих устройств Заявителя (Корниенко Н.Н.) по адресу: Ростовская область, Мясниковский район, х. Красный Крым, ул. Сатхинская, д. 30, к.н. 61:25:0600401:17220 (1 шт.)</t>
  </si>
  <si>
    <t>Установка системы учета для технологического присоединения энергопринимающих устройств Заявителя (Антонов Р.А.) по адресу: Ростовская область, Мясниковский район, х. Красный Крым, ул. Александровская, д. 8/а, к.н. 61:25:0600401:19434 (1 шт.)</t>
  </si>
  <si>
    <t>Установка системы учета для технологического присоединения энергопринимающих устройств Заявителя (Антонов Р.А.) по адресу: Ростовская область, Мясниковский район, х. Красный Крым, ул. Александровская, д. 8, к.н. 61:25:0600401:19433 (1 шт.)</t>
  </si>
  <si>
    <t>Установка системы учета для технологического присоединения энергопринимающих устройств Заявителя (Тимофеева Ю.С.) по адресу: Ростовская область, Мясниковский район, х. Ленинаван, ул. Ландышевая, д. 3/б, к.н. 61:25:0600401:19527 (1 шт.)</t>
  </si>
  <si>
    <t>Установка системы учета для технологического присоединения энергопринимающих устройств Заявителя (Стадникова Д.В.) по адресу: Ростовская область, Мясниковский район, х. Красный Крым, ул. Лермонтовская, д. 36, к.н. 61:25:0600401:17040 (1 шт.)</t>
  </si>
  <si>
    <t>Установка системы учета для технологического присоединения энергопринимающих устройств Заявителя (Серюга В.П.) по адресу: Ростовская область, Мясниковский район, х. Красный Крым, ул. Лермонтовская, д. 37, к.н. 61:25:0600401:17073 (1 шт.)</t>
  </si>
  <si>
    <t>Установка системы учета для технологического присоединения энергопринимающих устройств Заявителя (Сердюк Е.Г.) по адресу: Ростовская область, Мясниковский район, х. Красный Крым, ул. Капитальная, д. 17, к.н. 61:25:0600401:17197 (1 шт.)</t>
  </si>
  <si>
    <t>Установка системы учета для технологического присоединения энергопринимающих устройств Заявителя (Сварчевская И.А.) по адресу: Ростовская область, Мясниковский район, х. Ленинакан, ул. Осенняя, д. 14, к.н. 61:25:0600401:18145 (1 шт.)</t>
  </si>
  <si>
    <t>Установка системы учета для технологического присоединения энергопринимающих устройств Заявителя (Разбегаева Е.Г.) по адресу: Ростовская область, Мясниковский район, х. Красный Крым, ул. Лермонтовская, д. 58, к.н. 61:25:0600401:18856 (1 шт.)</t>
  </si>
  <si>
    <t>Установка системы учета для технологического присоединения энергопринимающих устройств Заявителя (Попов И.А.) по адресу: Ростовская область, Мясниковский район, х. Красный Крым, ул. Лермонтовская, д. 4, к.н. 61:25:0600401:17058 (1 шт.)</t>
  </si>
  <si>
    <t>Установка системы учета для технологического присоединения энергопринимающих устройств Заявителя (Пенечко И.В.) по адресу: Ростовская область, Мясниковский район, х. Ленинаван, ул. Штрауса, д. 13/а, к.н. 61:25:0600401:16166 (1 шт.)</t>
  </si>
  <si>
    <t>Установка системы учета для технологического присоединения энергопринимающих устройств Заявителя (Коротаева А.С.) по адресу: Ростовская область, Мясниковский район, х. Ленинакан, ул. Осенняя, д. 1, к.н. 61:25:0600401:17942 (1 шт.)</t>
  </si>
  <si>
    <t>Установка системы учета для технологического присоединения энергопринимающих устройств Заявителя (Афян С.В.) по адресу: Ростовская область, Мясниковский район, х. Красный Крым, ул. Лермонтовская, д. 23, к.н. 61:25:0600401:17081 (1 шт.)</t>
  </si>
  <si>
    <t>Установка системы учета для технологического присоединения энергопринимающих устройств Заявителя (Горин В.В.) по адресу: Ростовская область, Мясниковский район, х. Ленинаван, ул. Штрауса, д. 19, к.н. 61:25:0600401:15147 (1 шт.)</t>
  </si>
  <si>
    <t>Установка системы учета для технологического присоединения энергопринимающих устройств Заявителя (Рожко Ю.С.) по адресу: Ростовская область, Мясниковский район, х. Красный Крым, ул. Небесная, д. 41/а, к.н. 61:25:0600401:16934 (1 шт.)</t>
  </si>
  <si>
    <t>Установка системы учета для технологического присоединения энергопринимающих устройств Заявителя (Осетров Д.С.) по адресу: Ростовская область, Мясниковский район, х. Ленинаван, ул. Штрауса, д. 25, к.н. 61:25:0600401:15115 (1 шт.)</t>
  </si>
  <si>
    <t>Установка системы учета для технологического присоединения энергопринимающих устройств Заявителя (Шахмурадян А.Г.) по адресу: Ростовская область, Мясниковский район, с. Крым, ул. Мадояна, д. 14, к.н. 61:25:0600201:1111 (1 шт.)</t>
  </si>
  <si>
    <t>Установка системы учета для технологического присоединения энергопринимающих устройств Заявителя (Албул Ю.Н.) по адресу: Ростовская область, Мясниковский район, х. Ленинаван, ул. 1-я Кольцевая, д. 35, к.н. 61:25:0600401:13884 (1 шт.)</t>
  </si>
  <si>
    <t>Установка системы учета для технологического присоединения энергопринимающих устройств Заявителя (Кабанец А.А.) по адресу: Ростовская область, Мясниковский район, х. Ленинаван, ул. Штрауса, д. 17/б, к.н. 61:25:0600401:15119 (1 шт.)</t>
  </si>
  <si>
    <t>Установка системы учета для технологического присоединения энергопринимающих устройств Заявителя (Дупенко Н.А.) по адресу: Ростовская область, Мясниковский район, х. Ленинаван, ул. Штрауса, д. 25/а, к.н. 61:25:0600401:17299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</si>
  <si>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3, к.н. 61:25:0600401:20117 (1 шт.)</t>
  </si>
  <si>
    <t>Установка системы учета для технологического присоединения энергопринимающих устройств Заявителя (Шевченко А.С.) по адресу: Ростовская область, Мясниковский район, х. Ленинакан, ул. Осенняя, д. 11, к.н. 61:25:0600401:18028 (1 шт.)</t>
  </si>
  <si>
    <t>Установка системы учета для технологического присоединения энергопринимающих устройств Заявителя (Петренко Я.Н.) по адресу: Ростовская область, Мясниковский район, х. Красный Крым, ул. Баграмяна, д. 11, к.н. 61:25:0600401:18277 (1 шт.)</t>
  </si>
  <si>
    <t>Установка системы учета для технологического присоединения энергопринимающих устройств Заявителя (Синявский О.А.) по адресу: Ростовская область, Мясниковский район, х. Ленинакан, ул. Майская, д. 28, к.н. 61:25:0600401:17935 (1 шт.)</t>
  </si>
  <si>
    <t>Установка системы учета для технологического присоединения энергопринимающих устройств Заявителя (Пузенко Н.М.) по адресу: Ростовская область, Мясниковский район, с. Крым, ул. Гаражная, д. 13, к.н. 61:25:0201026:0079 (1 шт.)</t>
  </si>
  <si>
    <t>Установка системы учета для технологического присоединения энергопринимающих устройств Заявителя (Перевертайло М.С.) по адресу: Ростовская область, Мясниковский район, х. Ленинакан, ул. Осенняя, д. 18, к.н. 61:25:0600401:19115 (1 шт.)</t>
  </si>
  <si>
    <t>Установка системы учета для технологического присоединения энергопринимающих устройств Заявителя (Газизов Р.А.) по адресу: Ростовская область, Мясниковский район, х. Ленинаван, ул. Штрауса, д. 27, к.н. 61:25:0600401:15142 (1 шт.)</t>
  </si>
  <si>
    <t>Установка системы учета для технологического присоединения энергопринимающих устройств Заявителя (Когай М.В.) по адресу: Ростовская область, Мясниковский район, х. Красный Крым, ул. Александровская, д. 3/а, к.н. 61:25:0600401:19389 (1 шт.)</t>
  </si>
  <si>
    <t>Установка системы учета для технологического присоединения энергопринимающих устройств Заявителя (Савченко В.В.) по адресу: Ростовская область, Мясниковский район, х. Ленинаван, ул. Штрауса, д. 21/а, к.н. 61:25:0600401:17289 (1 шт.)</t>
  </si>
  <si>
    <t>Установка системы учета для технологического присоединения энергопринимающих устройств Заявителя (Цымбалов А.В.) по адресу: Ростовская область, Мясниковский район, х. Хапры, ул. Первомайская, д. 74/а, к.н. 61:25:0070201:1975 (1 шт.)</t>
  </si>
  <si>
    <t>Установка системы учета для технологического присоединения энергопринимающих устройств Заявителя (Дейнега О.И.) по адресу: Ростовская область, Мясниковский район х. Хапры, ул. Первомайская, д. 15/г, к.н. 61:25:0070201:1854 (1 шт.)</t>
  </si>
  <si>
    <t>Установка системы учета для технологического присоединения энергопринимающих устройств Заявителя (Маницкий Г.А.) по адресу: Ростовская область, Мясниковский район х. Хапры, ул. Первомайская, д. 28/б, к.н. 61:25:0070201:2647 (1 шт.)</t>
  </si>
  <si>
    <t>Установка системы учета для технологического присоединения энергопринимающих устройств Заявителя (Акбарова Р.А.) по адресу: Ростовская область, Мясниковский район, х. Ленинакан, ул. Майская, д. 39, к.н. 61:25:0600401:19557 (1 шт.)</t>
  </si>
  <si>
    <t>Установка системы учета для технологического присоединения энергопринимающих устройств Заявителя (Радыга Е.Г.) по адресу: Ростовская область, Мясниковский район, х. Красный Крым, ул. Верхняя, д. 4, к.н. 61:25:0600401:18720 (1 шт.)</t>
  </si>
  <si>
    <t>Установка системы учета для технологического присоединения энергопринимающих устройств Заявителя (Саркисян С.А.) по адресу: Ростовская область, Мясниковский район, с. Султан Салы, ул. Пролетарская, д. 49/а, к.н. 61:25:0030401:1426 (1 шт.)</t>
  </si>
  <si>
    <t>Установка системы учета для технологического присоединения энергопринимающих устройств Заявителя (Сафонова Н.А.) по адресу: Ростовская область, Мясниковский район, х. Ленинаван, ул. Ландышевая, д. 6, к.н. 61:25:0600401:20672 (1 шт.)</t>
  </si>
  <si>
    <t>Установка системы учета для технологического присоединения энергопринимающих устройств Заявителя (Черпак А.В.) по адресу: Ростовская область, Мясниковский район, х. Красный Крым, ул. Южная, д. 38, к.н. 61:25:0600401:21867 (1 шт.)</t>
  </si>
  <si>
    <t>Установка системы учета для технологического присоединения энергопринимающих устройств Заявителя (Артеменко К.В.) по адресу: Ростовская область, Мясниковский район, х. Красный Крым, ул. Верхняя, д. 10, к.н. 61:25:0600401:18750 (1 шт.)</t>
  </si>
  <si>
    <t>Установка системы учета для технологического присоединения энергопринимающих устройств Заявителей: Жиркова Г.Ф., Альбертян П.Р., Бугаенко Т.В., Антонов Р.А., Домбрян Г.И., Дудкина Т.А., Арутюня С.А., Гончарова Л.Ю., Хабахян Н.А., Пучков О.А., Спесивцев Я.В., Жикаренцева Е.В., Дьяков Д.А. в Мясниковском районе Ростовской области (14 шт.)</t>
  </si>
  <si>
    <t>Установка системы учета для технологического присоединения Заявителя: Наполов Ю.А. в Неклиновском районе Ростовской области (1 шт.)</t>
  </si>
  <si>
    <t>Установка системы учета для технологического присоединения энергопринимающих устройств Заявителя (Аветисян Г.М.) по адресу: Ростовская область, Мясниковский район, с. Крым, ул. генерала Джелаухова, д. 54, к.н. 61:25:0600201:1381 (1 шт.)</t>
  </si>
  <si>
    <t>Установка системы учета для технологического присоединения энергопринимающих устройств Заявителя (Григорьева М.И.) по адресу: Ростовская область, Мясниковский район х. Ленинаван, ул. Жукова, д. 73, к.н. 61:25:0600401:18704 (1 шт.)</t>
  </si>
  <si>
    <t>Установка системы учета для технологического присоединения энергопринимающих устройств Заявителя (Гармашева Н.Ф.) по адресу: Ростовская область, Мясниковский район, х. Ленинаван, ул. Ленина, д. 18-а, к.н. 61:25:0030202:4445 (1 шт.)</t>
  </si>
  <si>
    <t>Установка системы учета для технологического присоединения энергопринимающих устройств Заявителя (Саломатова Ю.А.) по адресу: Ростовская область, Мясниковский район, х. Ленинакан, ул. Трудовая, д. 36/4, к.н. 61:25:0030301:2019 (1 шт.)</t>
  </si>
  <si>
    <t>Установка системы учета для технологического присоединения энергопринимающих устройств Заявителя (Мелконян С.Т.) по адресу: Ростовская область, Мясниковский район, х. Ленинаван, ул. Набережная, д. 17-б, к.н. 61:25:0030202:4142 (1 шт.)</t>
  </si>
  <si>
    <t>Установка системы учета для технологического присоединения энергопринимающих устройств Заявителя (Володина В.А.) по адресу: Ростовская область, Мясниковский район, х. Ленинакан, ул. Трудовая, д. 38/2, к.н. 61:25:0030301:1487 (1 шт.)</t>
  </si>
  <si>
    <t>Установка системы учета для технологического присоединения энергопринимающих устройств Заявителя (Анненко Л.В.) по адресу: Ростовская область, Мясниковский район, с. Чалтырь, ул. Центральная, д. 36-а, к.н. 61:25:0101232:678 (1 шт.)</t>
  </si>
  <si>
    <t>Установка системы учета для технологического присоединения энергопринимающих устройств Заявителя (Гусарова Н.В.) по адресу: Ростовская область, Мясниковский район, с. Чалтырь, ул. Центральная, д. 36, к.н. 61:25:0101232:677 (1 шт.)</t>
  </si>
  <si>
    <t>Установка системы учета для технологического присоединения энергопринимающих устройств Заявителя (Шушанян А.Д.) по адресу: Ростовская область, Мясниковский район, х. Красный Крым, ул. Благодатная, д. 16, к.н. 61:25:0600401:20165 (1 шт.)</t>
  </si>
  <si>
    <t>Установка системы учета для технологического присоединения энергопринимающих устройств Заявителя (Гритчина М.И.) по адресу: Ростовская область, Мясниковский район, х. Красный Крым, ул. Братьев Баян, д. 94, к.н. 61:25:0600401:19306 (1 шт.)</t>
  </si>
  <si>
    <t>Установка системы учета для технологического присоединения энергопринимающих устройств Заявителя (Гукосян А.А.) по адресу: Ростовская область, Мясниковский район, х. Ленинакан, ул. Ростовская, д. 9/в, к.н. 61:25:0030301:1582 (1 шт.)</t>
  </si>
  <si>
    <t>Установка системы учета для технологического присоединения энергопринимающих устройств Заявителя (Сбитнев А.В.) по адресу: Ростовская область, Мясниковский район, х. Ленинаван, ул. Удачная, д. 8/а, к.н. 61:25:0600401:18170 (1 шт.)</t>
  </si>
  <si>
    <t>Установка системы учета для технологического присоединения энергопринимающих устройств Заявителя (Бабян А.А.) по адресу: Ростовская область, Мясниковский район, х. Красный Крым, ул. Александровская, д. 16/а, к.н. 61:25:0600401:20944 (1 шт.)</t>
  </si>
  <si>
    <t>Установка системы учета для технологического присоединения энергопринимающих устройств Заявителя (Велян К.А.) по адресу: Ростовская область, Мясниковский район, с. Крым, ул. Кардашяна, д. 10-а, к.н. 61:25:0201001:405 (1 шт.)</t>
  </si>
  <si>
    <t>Установка системы учета для технологического присоединения энергопринимающих устройств Заявителя (Велян К.А.) по адресу: Ростовская область, Мясниковский район, с. Крым, ул. Кардашяна, д. 10-г, к.н. 61:25:0201001:408 (1 шт.)</t>
  </si>
  <si>
    <t>Установка системы учета для технологического присоединения энергопринимающих устройств Заявителя (Велян К.А.) по адресу: Ростовская область, Мясниковский район, с. Крым, ул. Кардашяна, д. 10-в, к.н. 61:25:0201001:407 (1 шт.)</t>
  </si>
  <si>
    <t>Установка системы учета для технологического присоединения энергопринимающих устройств Заявителя (Велян К.А.) по адресу: Ростовская область, Мясниковский район, с. Крым, ул. Кардашяна, д. 10-б, к.н. 61:25:0201001:406 (1 шт.)</t>
  </si>
  <si>
    <t>Установка системы учета для технологического присоединения энергопринимающих устройств Заявителя (ИП Ананян С.Г.) по адресу: Ростовская область, Мясниковский район, х. Красный Крым, уч. 3/1, к.н. 61:25:0600401:16544 (1 шт.)</t>
  </si>
  <si>
    <t>Установка системы учета для технологического присоединения энергопринимающих устройств Заявителя (Савчук Н.В.) по адресу: Ростовская область, Мясниковский район, х. Ленинаван, ул. Парижская, д. 18/1, к.н. 61:25:0600401:18636 (1 шт.)</t>
  </si>
  <si>
    <t>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ул. Абовяна, д. 63-а, к.н. 61:25:0030202:5041 (1 шт.)</t>
  </si>
  <si>
    <t>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ул. Абовяна, д. 63-в, к.н. 61:25:0030202:5043 (1 шт.)</t>
  </si>
  <si>
    <t>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ул. Абовяна, д. 63-б, к.н. 61:25:0030202:5042 (1 шт.)</t>
  </si>
  <si>
    <t>Установка системы учета для технологического присоединения энергопринимающих устройств Заявителя (ИП Ананян С.Г.) по адресу: Ростовская область, Мясниковский район, х. Красный Крым, уч.8/1, к.н. 61:25:0600401:16543 (1 шт.)</t>
  </si>
  <si>
    <t>Установка системы учета для технологического присоединения энергопринимающих устройств Заявителя (Осипян А.А.) по адресу: Ростовская область, Мясниковский район, с. Крым, ул. Пролетарская, д. 9-б, к.н. 61:25:0201024:799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</si>
  <si>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д.43, к.н. 61:25:0600401:20824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</si>
  <si>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д.8, к.н. 61:25:0600401:20797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</si>
  <si>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д.6, к.н. 61:25:0600401:20798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</si>
  <si>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д.10, к.н. 61:25:0600401:20796 (1 шт.)№66</t>
  </si>
  <si>
    <t>Установка системы учета для технологического присоединения энергопринимающих устройств Заявителя (Червоный В.Г.) по адресу: Ростовская область, Мясниковский район, х. Красный Крым, ул. Лесная, д. 4/1, к.н. 61:25:0600401:21915 (1 шт.)</t>
  </si>
  <si>
    <t>Установка системы учета для технологического присоединения энергопринимающих устройств Заявителя (Зулкарнеева Е.Г.) по адресу: Ростовская область, Мясниковский район, х. Красный Крым, ул. Налбандяна, д. 7, к.н. 61:25:0600401:17801 (1 шт.)</t>
  </si>
  <si>
    <t>Установка системы учета для технологического присоединения энергопринимающих устройств Заявителя (Щербинская О.Л.) по адресу: Ростовская область, Мясниковский район, х. Ленинакан, ул. Трудовая, д. 36/11, к.н. 61:25:0030301:2008 (1 шт.)</t>
  </si>
  <si>
    <t>Установка системы учета для технологического присоединения энергопринимающих устройств Заявителя (Ейде Я.Ю.) по адресу: Ростовская область, Мясниковский район, х. Ленинакан, ул. Трудовая, д. 36/5, к.н. 61:25:0030301:2018 (1 шт.)</t>
  </si>
  <si>
    <t>Установка системы учета для технологического присоединения энергопринимающих устройств Заявителя (Кузнецов Д.С.) по адресу: Ростовская область, Мясниковский район, х. Ленинакан, ул. Трудовая, д. 36/6, к.н. 61:25:0030301:2017 (1 шт.)</t>
  </si>
  <si>
    <t>Установка системы учета для технологического присоединения энергопринимающих устройств Заявителя (Красулин В.В.) по адресу: Ростовская область, Мясниковский район, х. Красный Крым, ул. Братьев Баян, д. 88, к.н. 61:25:0600401:19305 (1 шт.)</t>
  </si>
  <si>
    <t>Установка системы учета для технологического присоединения энергопринимающих устройств Заявителя (Мынкова Е.А.) по адресу: Ростовская область, Мясниковский район, х. Красный Крым, ул. Братьев Баян, д. 90, к.н. 61:25:0600401:19308 (1 шт.)</t>
  </si>
  <si>
    <t>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аллея. Центральная, д. 17, к.н. 61:25:0600401:17533 (1 шт.)</t>
  </si>
  <si>
    <t>Установка системы учета для технологического присоединения энергопринимающих устройств Заявителя (Витютнев А.Н.) по адресу: Ростовская область, Мясниковский район, х. Ленинаван, ул. июньская, д. 42-а, к.н. 61:25:0030202:1151 (1 шт.)</t>
  </si>
  <si>
    <t>Установка системы учета для технологического присоединения энергопринимающих устройств Заявителя (Умаров Б.И.) по адресу: Ростовская область, Мясниковский район, х. Ленинакан, ул. июньская , д. 7, к.н. 61:25:0600401:16694 (1 шт.)</t>
  </si>
  <si>
    <t>Установка системы учета для технологического присоединения энергопринимающих устройств Заявителя (Тарасов А.Р.) по адресу: Ростовская область, Мясниковский район, с. Крым, ул. Ялтыряна, д. 14-а, к.н. 61:25:0201028:588 (1 шт.)</t>
  </si>
  <si>
    <t>Установка системы учета для технологического присоединения энергопринимающих устройств Заявителя (Тарасов А.Р.) по адресу: Ростовская область, Мясниковский район, с. Крым, ул. Ялтыряна, д. 14-б, к.н. 61:25:0201028:589 (1 шт.)</t>
  </si>
  <si>
    <t>Установка системы учета для технологического присоединения энергопринимающих устройств Заявителя (Тарасов А.Р.) по адресу: Ростовская область, Мясниковский район, с. Крым, ул. Ялтыряна, д. 14-в, к.н. 61:25:0201028:590 (1 шт.)</t>
  </si>
  <si>
    <t>Установка системы учета для технологического присоединения энергопринимающих устройств Заявителя (Налбандян К.Ж.) по адресу: Ростовская область, Мясниковский район, х. Ленинаван, ул. Орджоникидзе, д. 6/2, к.н. 61:25:0030202:5038 (1 шт.)</t>
  </si>
  <si>
    <t>Установка системы учета для технологического присоединения энергопринимающих устройств Заявителя (Авакян Д.Б.) по адресу: Ростовская область, Мясниковский район, х. Ленинакан, ул. Цветочная, д. 26/2, к.н. 61:25:0030301:1986 (1 шт.)</t>
  </si>
  <si>
    <t>Установка системы учета для технологического присоединения энергопринимающих устройств Заявителя (Авакян Д.Б.) по адресу: Ростовская область, Мясниковский район, х. Ленинакан, ул. Цветочная, д. 26, к.н. 61:25:0030301:1988 (1 шт.)</t>
  </si>
  <si>
    <t>Установка системы учета для технологического присоединения энергопринимающих устройств Заявителя (Авакян Д.Б.) по адресу: Ростовская область, Мясниковский район, х. Ленинакан, ул. Цветочная, д. 26/1, к.н. 61:25:0030301:1987 (1 шт.)</t>
  </si>
  <si>
    <t>Установка системы учета для технологического присоединения энергопринимающих устройств Заявителя (Авакян Д.Б.) по адресу: Ростовская область, Мясниковский район, х. Ленинакан, ул. Цветочная, д. 26/3, к.н. 61:25:0030301:1985 (1 шт.)</t>
  </si>
  <si>
    <t>Установка системы учета для технологического присоединения энергопринимающих устройств Заявителя (Волченко Н.Н.) по адресу: Ростовская область, Мясниковский район, с. Крым, ул. 21-я линия, д. 12-б, к.н. 61:25:0201027:396 (1 шт.)</t>
  </si>
  <si>
    <t>Установка системы учета для технологического присоединения энергопринимающих устройств Заявителя (Шахмурадян А.Г.) по адресу: Ростовская область, Мясниковский район, с. Крым, ул. Александра Суворова, д. 48-а, к.н. 61:25:0600201:1110 (1 шт.)</t>
  </si>
  <si>
    <t>Установка системы учета для технологического присоединения энергопринимающих устройств Заявителя (Шахмурадян А.Г.) по адресу: Ростовская область, Мясниковский район, с. Крым, ул. Секизяна, д. 11, к.н. 61:25:0201023:613 (1 шт.)</t>
  </si>
  <si>
    <t>Установка системы учета для технологического присоединения энергопринимающих устройств Заявителя (Суров В.Б.) по адресу: Ростовская область, Мясниковский район, х. Красный Крым, ул. Верхняя, д. 11-б, к.н. 61:25:0600401:22709 (1 шт.)</t>
  </si>
  <si>
    <t>Установка системы учета для технологического присоединения энергопринимающих устройств Заявителя (Джагинян Р.А.) по адресу: Ростовская область, Мясниковский район, х. Красный Крым, ул. Молодежная 2-я, д. 9-а, к.н. 61:25:0030101:2452 (1 шт.)</t>
  </si>
  <si>
    <t>Установка системы учета для технологического присоединения энергопринимающих устройств Заявителя (Дигилов Н.Л.) по адресу: Ростовская область, Мясниковский район, х. Красный Крым, ул. Верхняя, д. 3-а, к.н. 61:25:0600401:18817 (1 шт.)</t>
  </si>
  <si>
    <t>Установка системы учета для технологического присоединения энергопринимающих устройств Заявителя (Дигилов Н.Л.) по адресу: Ростовская область, Мясниковский район, х. Красный Крым, ул. Верхняя, д. 3, к.н. 61:25:0600401:18816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</si>
  <si>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Центральная,   д. 18-в, к.н. 61:25:0600401:23986 (1 шт.)</t>
  </si>
  <si>
    <t>Установка системы учета для технологического присоединения энергопринимающих устройств Заявителя (Йулдашова З.Ж.) по адресу: Ростовская область, Мясниковский район, х. Ленинакан, ул. Осенняя, д. 44, к.н. 61:25:0600401:19328 (1 шт.)</t>
  </si>
  <si>
    <t>Установка системы учета для технологического присоединения энергопринимающих устройств Заявителя (Бурым Г.В.) по адресу: Ростовская область, Мясниковский район, х. Красный Крым, ул. Верхняя, д. 11-а, к.н. 61:25:0600401:22708 (1 шт.)</t>
  </si>
  <si>
    <t>Установка системы учета для технологического присоединения энергопринимающих устройств Заявителя (Арутюнян Л.А.) по адресу: Ростовская область, Мясниковский район, с.Чалтырь, ул. Тащияна, д. 166-а, к.н. 61:25:0600401:2197 (1 шт.)</t>
  </si>
  <si>
    <t>Установка системы учета для технологического присоединения энергопринимающих устройств Заявителя (Швецова С.И.) по адресу: Ростовская область, Мясниковский район, х. Красный Крым,  ул. Пушкинская, д.68, к.н. 61:25:0600401:22769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</si>
  <si>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Осенняя, д.24-а, к.н. 61:25:0600401:18533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</si>
  <si>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Осенняя, д.26, к.н. 61:25:0600401:18894 (1 шт.)</t>
  </si>
  <si>
    <t>Установка системы учета для технологического присоединения энергопринимающих устройств Заявителя (Узденов К.Д.) по адресу: Ростовская область, Мясниковский район, х. Ленинакан, ул. Осенняя, д.26-а, к.н. 61:25:0600401:18893 (1 шт.)</t>
  </si>
  <si>
    <t>Установка системы учета для технологического присоединения энергопринимающих устройств Заявителя (Глушкова Л.С.) по адресу: Ростовская область, Мясниковский район, х. Ленинакан, ул. Трудовая, д.36/7, к.н. 61:25:0030301:2015 (1 шт.)</t>
  </si>
  <si>
    <t>Установка системы учета для технологического присоединения энергопринимающих устройств Заявителя (Хурдаян Ю.В.) по адресу: Ростовская область, Мясниковский район, с. Крым, ул. Маршала Жукова, д. 49, к.н. 61:25:0600201:1627 (1 шт.)</t>
  </si>
  <si>
    <t>Установка системы учета для технологического присоединения энергопринимающих устройств Заявителя (Хурдаян Ю.В.) по адресу: Ростовская область, Мясниковский район, с. Крым, ул. Мадояна, уч. 6, к.н. 61:25:0600201:1626 (1 шт.)</t>
  </si>
  <si>
    <t>Установка системы учета для технологического присоединения энергопринимающих устройств Заявителя (Лобян М.А.) по адресу: Ростовская область, Мясниковский район, с. Крым, ул. Линия 19-я, д. 22-е, к.н. 61:25:0201019:1045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</si>
  <si>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Согомоняна, д. 13, к.н. 61:25:0000000:6523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</si>
  <si>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Согомоняна, д. 15, к.н. 61:25:0000000:6522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</si>
  <si>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Согомоняна, д. 17, к.н. 61:25:0000000:6521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</si>
  <si>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Согомоняна, д. 17-а, к.н. 61:25:0000000:6520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</si>
  <si>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Согомоняна, д. 17-б, к.н. 61:25:0000000:6519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</si>
  <si>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Маршала Баграмяна, д. 19, к.н. 61:25:0000000:6524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</si>
  <si>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Маршала Баграмяна, д. 19-а, к.н. 61:25:0000000:6525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</si>
  <si>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Григора Бабияна, д. 20, к.н. 61:25:0000000:6517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</si>
  <si>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с. Крым, ул. Григора Бабияна, д. 20-а, к.н. 61:25:0000000:6518 (1 шт.)</t>
  </si>
  <si>
    <t>Установка системы учета для технологического присоединения энергопринимающих устройств Заявителя (Латиш Д.) по адресу: Ростовская область, Мясниковский район, с. Чалтырь, ул. 50 лет Победы, д. 53, к.н. 61:25:0101602:920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</si>
  <si>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14, к.н. 61:25:0600401:23290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</si>
  <si>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16, к.н. 61:25:0600401:23289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</si>
  <si>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18, к.н. 61:25:0600401:23288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</si>
  <si>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20, к.н. 61:25:0600401:23287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</si>
  <si>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22, к.н. 61:25:0600401:23286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</si>
  <si>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24, к.н. 61:25:0600401:23285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</si>
  <si>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26, к.н. 61:25:0600401:23284 (1 шт.)</t>
  </si>
  <si>
    <t>Установка системы учета для технологического присоединения энергопринимающих устройств Заявителя (Серопян А.А.) по адресу: Ростовская область, Мясниковский район, х. Ленинакан, ул. Центральная, д. 28, к.н. 61:25:0600401:23283 (1 шт.)</t>
  </si>
  <si>
    <t>Установка системы учета для технологического присоединения энергопринимающих устройств Заявителя (Гиносян А.М.) по адресу: Ростовская область, Мясниковский район, х. Красный Крым, ул. Братьев Баян, д. 96, к.н. 61:25:0600401:19307 (1 шт.)</t>
  </si>
  <si>
    <t>Установка системы учета для технологического присоединения энергопринимающих устройств Заявителя (Прокопенко В.Ю.) по адресу: Ростовская область, Мясниковский район, с. Крым, ул. Имени июньи Пегливановой, д. 43, к.н. 61:25:0600201:1690 (1 шт.)</t>
  </si>
  <si>
    <t>Установка системы учета для технологического присоединения энергопринимающих устройств Заявителя (Прокопенко В.Ю.) по адресу: Ростовская область, Мясниковский район, с. Крым, ул. Имени июньи Пегливановой, д. 43-а, к.н. 61:25:0600201:1689 (1 шт.)</t>
  </si>
  <si>
    <t>Установка системы учета для технологического присоединения энергопринимающих устройств Заявителя (Прокопенко В.Ю.) по адресу: Ростовская область, Мясниковский район, с. Крым, ул. Медиков, д. 20, к.н. 61:25:0201025:395 (1 шт.)</t>
  </si>
  <si>
    <t>Установка системы учета для технологического присоединения энергопринимающих устройств Заявителя (Бахдасарян С.А.) по адресу: Ростовская область, Мясниковский район, с. Крым, ул. Советская, д. 91, к.н. 61:25:0000000:6483 (1 шт.)</t>
  </si>
  <si>
    <t>Установка системы учета для технологического присоединения энергопринимающих устройств Заявителя (Шаган В.И.) по адресу: Ростовская область, Мясниковский район, с. Крым, ул. Советская, д. 93, к.н. 61:25:0000000:6484 (1 шт.)</t>
  </si>
  <si>
    <t>Установка системы учета для технологического присоединения энергопринимающих устройств Заявителя (Кудряшов Е.Г.) по адресу: Ростовская область, Мясниковский район, с. Крым, ул. Григора Бабияна,      д. 38, к.н. 61:25:0600201:1601 (1 шт.)</t>
  </si>
  <si>
    <t>Установка системы учета для технологического присоединения энергопринимающих устройств Заявителя (Михайленко А.В.) по адресу: Ростовская область, Мясниковский район, с. Крым, ул. Григора Бабияна, д. 2, к.н. 61:25:0201019:180 (1 шт.)</t>
  </si>
  <si>
    <t>Установка системы учета для технологического присоединения энергопринимающих устройств Заявителя (Яровая Е.В.) по адресу: Ростовская область, Мясниковский район, х. Ленинаван, ул. Удачная, д. 1, к.н. 61:25:0600401:16214 (1 шт.)</t>
  </si>
  <si>
    <t>Установка системы учета для технологического присоединения энергопринимающих устройств Заявителя (Исаченко А.Н.) по адресу: Ростовская область, Мясниковский район, с. Чалтырь, ул. Олимпийская,  д. 21-б, к.н. 61:25:0101243:289 (1 шт.)</t>
  </si>
  <si>
    <t>Установка системы учета для технологического присоединения энергопринимающих устройств Заявителя (Надточий А.А.) по адресу: Ростовская область, Мясниковский район, х. Ленинаван, ул. Баттиччели, д. 5-а, к.н. 61:25:0600401:18138 (1 шт.)</t>
  </si>
  <si>
    <t>Установка системы учета для технологического присоединения энергопринимающих устройств Заявителя (Тамбиева М.Ю.) по адресу: Ростовская область, Мясниковский район, х. Красный Крым, ул. Баграмяна, д. 12, к.н. 61:25:0600401:23274 (1 шт.)</t>
  </si>
  <si>
    <t>Установка системы учета для технологического присоединения энергопринимающих устройств Заявителя (Титов В.А.) по адресу: Ростовская область, Мясниковский район, х. Красный Крым, ул. Александровская, д. 14, к.н. 61:25:0600401:20945 (1 шт.)</t>
  </si>
  <si>
    <t>Установка системы учета для технологического присоединения энергопринимающих устройств Заявителя (Титов В.А.) по адресу: Ростовская область, Мясниковский район, х. Красный Крым, ул. Александровская,    д. 14-а, к.н. 61:25:0600401:20946 (1 шт.)</t>
  </si>
  <si>
    <t>Установка системы учета для технологического присоединения энергопринимающих устройств Заявителя (Шерматова Н.Т.К.) по адресу: Ростовская область, Мясниковский район, х. Ленинакан, ул. Осенняя, д. 52, к.н. 61:25:0600401:19324 (1 шт.)</t>
  </si>
  <si>
    <t>Установка системы учета для технологического присоединения энергопринимающих устройств Заявителя (Левченко Н.И.) по адресу: Ростовская область, Мясниковский район, х. Ленинакан, ул. Осенняя, д. 36/11, к.н. 61:25:0600401:18013 (1 шт.)</t>
  </si>
  <si>
    <t>Установка системы учета для технологического присоединения энергопринимающих устройств Заявителя (Элоян А.Ц.) по адресу: Ростовская область, Мясниковский район, х. Ленинакан, ул. Цветочная,      к.н. 61:25:0030301:2082 (1 шт.)</t>
  </si>
  <si>
    <t>Установка системы учета для технологического присоединения энергопринимающих устройств Заявителя (Пироженко О.В.) по адресу: Ростовская область, Мясниковский район, х. Ленинаван, ул. Баттиччели,   д. 4-а, к.н. 61:25:0600401:18756 (1 шт.)</t>
  </si>
  <si>
    <t>Установка системы учета для технологического присоединения энергопринимающих устройств Заявителя (Царукян М.М.) по адресу: Ростовская область, Мясниковский район, с. Чалтырь, ул. Тащияна, д. 184, к.н. 61:25:0600601:2192 (1 шт.)</t>
  </si>
  <si>
    <t>Установка системы учета для технологического присоединения энергопринимающих устройств Заявителя (Крылов А.В.) по адресу: Ростовская область, Мясниковский район, х. Красный Крым, ул. Славная, д. 25, к.н. 61:25:0600401:21281 (1 шт.)</t>
  </si>
  <si>
    <t>Установка системы учета для технологического присоединения энергопринимающих устройств Заявителя (Гулякин Р.Э.) по адресу: Ростовская область, Мясниковский район, х. Красный Крым, ул. Славная, д. 1, к.н. 61:25:0600401:21280 (1 шт.)</t>
  </si>
  <si>
    <t>Установка системы учета для технологического присоединения энергопринимающих устройств Заявителя (Минасян А.А.) по адресу: Ростовская область, Мясниковский район, х. Ленинаван, ул. Ереванская, д. 14/3, к.н. 61:25:0600401:21265 (1 шт.)</t>
  </si>
  <si>
    <t>Установка системы учета для технологического присоединения энергопринимающих устройств Заявителя (Великанова Г.Е.) по адресу: Ростовская область, Мясниковский район, х. Красный Крым, ул. Георгиевская, д. 14, к.н. 61:25:0600401:21522 (1 шт.)</t>
  </si>
  <si>
    <t>Установка системы учета для технологического присоединения энергопринимающих устройств Заявителя (Крылов А.В.) по адресу: Ростовская область, Мясниковский район, х. Красный Крым, ул. Славная, д. 26, к.н. 61:25:0600401:21299 (1 шт.)</t>
  </si>
  <si>
    <t>Установка системы учета для технологического присоединения энергопринимающих устройств Заявителя (Колесников С.В.) по адресу: Ростовская область, Мясниковский район, х. Ленинаван, ул. Баттиччели, д.10-а, к.н. 61:25:0600401:18140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</si>
  <si>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х. Ленинаван, ул. Мясникяна, д. 22/4, к.н. 61:25:0030202:5093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</si>
  <si>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х. Ленинаван, ул. Мясникяна, д. 22/5, к.н. 61:25:0030202:5092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</si>
  <si>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х. Ленинаван, ул. Мясникяна, д. 22/6, к.н. 61:25:0030202:5091 (1 шт.)</t>
  </si>
  <si>
    <t>Установка системы учета для технологического присоединения энергопринимающих устройств Заявителя (Вашкевич О.А.) по адресу: Ростовская область, Мясниковский район, х. Ленинаван, ул. Баттиччели, д. 15-а, к.н. 61:25:0600401:19461 (1 шт.)</t>
  </si>
  <si>
    <t>Установка системы учета для технологического присоединения энергопринимающих устройств Заявителя (Яранов Е.П.) по адресу: Ростовская область, Мясниковский район, х. Ленинаван, ул. Баттиччели, д. 10, к.н. 61:25:0600401:23279 (1 шт.)</t>
  </si>
  <si>
    <t>Установка системы учета для технологического присоединения энергопринимающих устройств Заявителя (Агаглуян Л.А.) по адресу: Ростовская область, Мясниковский район, с. Крым, ул. 19-я линия, д. 8, к.н. 61:25:0201019:1100 (1 шт.)</t>
  </si>
  <si>
    <t>Установка системы учета для технологического присоединения энергопринимающих устройств Заявителя (Агаглуян Л.А.) по адресу: Ростовская область, Мясниковский район, с. Крым, ул. 19-я линия, д. 8-б, к.н. 61:25:0201019:1099 (1 шт.)</t>
  </si>
  <si>
    <t>Установка системы учета для технологического присоединения энергопринимающих устройств Заявителя (Агаглуян Л.А.) по адресу: Ростовская область, Мясниковский район, с. Крым, ул. 19-я линия, д. 8-в, к.н. 61:25:0201019:1098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</si>
  <si>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июньская, д. 18-а, к.н. 61:25:0030202:5217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</si>
  <si>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июньская, д. 18-б, к.н. 61:25:0030202:5218 (1 шт.)</t>
  </si>
  <si>
    <t>Установка системы учета для технологического присоединения энергопринимающих устройств Заявителя (Агамирян И.А.) по адресу: Ростовская область, Мясниковский район, х. Ленинаван, ул. Боттичелли, д. 4/1, к.н. 61:25:0600401:18133 (1 шт.)</t>
  </si>
  <si>
    <t>Установка системы учета для технологического присоединения энергопринимающих устройств Заявителя (Григоренко Н.Н.) по адресу: Ростовская область, Мясниковский район, х. Ленинакан, ул. 8-я линия, д. 8, к.н. 61:25:0600401:19014 (1 шт.)</t>
  </si>
  <si>
    <t>Установка системы учета для технологического присоединения энергопринимающих устройств Заявителя (Свейко В.Д.) по адресу: Ростовская область, Мясниковский район, х. Ленинакан, ул. 8-я линия, д. 10, к.н. 61:25:0600401:19016 (1 шт.)</t>
  </si>
  <si>
    <t>Установка системы учета для технологического присоединения энергопринимающих устройств Заявителя (Данилов Д.П.) по адресу: Ростовская область, Мясниковский район, х. Ленинакан, ул. 8-я линия, д. 12, к.н. 61:25:0600401:19017 (1 шт.)</t>
  </si>
  <si>
    <t>Установка системы учета для технологического присоединения энергопринимающих устройств Заявителя (Куцов А.С.) по адресу: Ростовская область, Мясниковский район, х. Ленинакан, ул. 8-я линия, д. 14, к.н. 61:25:0600401:19018 (1 шт.)</t>
  </si>
  <si>
    <t>Установка системы учета для технологического присоединения энергопринимающих устройств Заявителя (Казачек М.А.) по адресу: Ростовская область, Мясниковский район, х. Ленинакан, ул. июньская, д. 35/9, к.н. 61:25:0600401:17112 (1 шт.)</t>
  </si>
  <si>
    <t>Установка системы учета для технологического присоединения энергопринимающих устройств Заявителя (Туляков А.Н.) по адресу: Ростовская область, Мясниковский район, х. Красный Крым, ул. Звездная, д. 39-а, к.н. 61:25:0600401:17155 (1 шт.)</t>
  </si>
  <si>
    <t>Установка системы учета для технологического присоединения энергопринимающих устройств Заявителя (Заргарян А.П.) по адресу: Ростовская область, Мясниковский район, с. Крым, ул. 25-я линия, д. 2-в, к.н. 61:25:0201023:602 (1 шт.)</t>
  </si>
  <si>
    <t>Установка системы учета для технологического присоединения энергопринимающих устройств Заявителя (Заргарян А.П.) по адресу: Ростовская область, Мясниковский район, с. Крым, ул. 25-я линия, д. 2-д, к.н. 61:25:0201023:600 (1 шт.)</t>
  </si>
  <si>
    <t>Установка системы учета для технологического присоединения энергопринимающих устройств Заявителя (Самедова С.В.) по адресу: Ростовская область, Мясниковский район, х. Ленинаван, ул. Мясникяна, д. 22/10, к.н. 61:25:0030202:5155 (1 шт.)</t>
  </si>
  <si>
    <t>Установка системы учета для технологического присоединения энергопринимающих устройств Заявителя (Красова Л.З.) по адресу: Ростовская область, Мясниковский район, х. Ленинаван, ул. Орджоникидзе, д. 25/1, к.н. 61:25:0030202:5071 (1 шт.)</t>
  </si>
  <si>
    <t>Установка системы учета для технологического присоединения энергопринимающих устройств Заявителя (Красова Л.З.) по адресу: Ростовская область, Мясниковский район, х. Ленинаван, ул. Орджоникидзе, д. 25/2, к.н. 61:25:0030202:5072 (1 шт.)</t>
  </si>
  <si>
    <t>Установка системы учета для технологического присоединения энергопринимающих устройств Заявителя (Демина О.В.) по адресу: Ростовская область, Мясниковский район, х. Красный Крым, ул. Георгиевская, д. 25, к.н. 61:25:0600401:18054 (1 шт.)</t>
  </si>
  <si>
    <t>Установка системы учета для технологического присоединения энергопринимающих устройств Заявителя (Багаджиян Р.Е.) по адресу: Ростовская область, Мясниковский район, с. Крым, ул. 21-я линия, д. 12-а, к.н. 61:25:0201027:397 (1 шт.)</t>
  </si>
  <si>
    <t>Установка системы учета для технологического присоединения энергопринимающих устройств Заявителя (Беликов М.В.) по адресу: Ростовская область, Мясниковский район, с. Чалтырь, ул. Центральная, д. 43, к.н. 61:25:0101232:688 (1 шт.)</t>
  </si>
  <si>
    <t>Установка системы учета для технологического присоединения энергопринимающих устройств Заявителя (Беликов М.В.) по адресу: Ростовская область, Мясниковский район, с. Чалтырь, ул. Центральная, д. 43-а, к.н. 61:25:0101232:689 (1 шт.)</t>
  </si>
  <si>
    <t>Установка системы учета для технологического присоединения энергопринимающих устройств Заявителя (Родионова М.В.) по адресу: Ростовская область, Мясниковский район, х. Красный Крым, ул. Верхняя, д. 13-б, к.н. 61:25:0600401:19823 (1 шт.)</t>
  </si>
  <si>
    <t>Установка системы учета для технологического присоединения энергопринимающих устройств Заявителя (Свобода Н.О.) по адресу: Ростовская область, Мясниковский район, х. Красный Крым, ул. Крымская, д. 18, к.н. 61:25:0600401:24555 (1 шт.)</t>
  </si>
  <si>
    <t>Установка системы учета для технологического присоединения энергопринимающих устройств Заявителя (Макеев А.С.) по адресу: Ростовская область, Мясниковский район, х. Красный Крым, ул. Георгиевская, д. 42, к.н. 61:25:0600401:21675 (1 шт.)</t>
  </si>
  <si>
    <t>Установка системы учета для технологического присоединения энергопринимающих устройств Заявителя (Чипига Т.С.) по адресу: Ростовская область, Мясниковский район, х. Красный Крым, ул. Георгиевская, д. 46-а, к.н. 61:25:0600401:21506 (1 шт.)</t>
  </si>
  <si>
    <t>Установка системы учета для технологического присоединения энергопринимающих устройств Заявителя (Куценко Д.В.) по адресу: Ростовская область, Мясниковский район, х. Красный Крым, ул. Налбандяна, д. 66, к.н. 61:25:0600401:17837 (1 шт.)</t>
  </si>
  <si>
    <t>Установка системы учета для технологического присоединения энергопринимающих устройств Заявителя (Изотов С.Н.) по адресу: Ростовская область, Неклиновский район, с. Новобессергеневка, ул. Чехова, д. 12-Б, к.н. 61:26:0180101:7966 (1 шт.)</t>
  </si>
  <si>
    <t>Установка системы учета для технологического присоединения энергопринимающих устройств Заявителя (Аксенова О.И.) по адресу: Ростовская область, Неклиновский район, х. Русский Колодец, ул. Новая, д. 9, кв. 2 , к.н. 61:26:0070701:1641 (1 шт.)</t>
  </si>
  <si>
    <t>Установка системы учета для технологического присоединения энергопринимающих устройств Заявителя (Токарев И.С.) по адресу: Ростовская область, Неклиновский район, с. Новобессергеневка, ул. Дзержинского, д. 52-В, к.н. 61:26:0180101:8062 (1 шт.)»</t>
  </si>
  <si>
    <t>Установка системы учета для технологического присоединения энергопринимающих устройств Заявителя (Скалиух Н.А.) по адресу: Ростовская область, Неклиновский район, с. Кошкино, ул. Береговая, д. 77-А, к.н. 61:26:0010301:666 (1 шт.)</t>
  </si>
  <si>
    <t>Установка системы учета для технологического присоединения энергопринимающих устройств Заявителя (Давиденко А.Ю.) по адресу: Ростовская область, Неклиновский район, с. Новобессергеневка, ул. Малая Куйбышева, д. 13-А, к.н. 61:26:0180101:8107 (1 шт.)</t>
  </si>
  <si>
    <t>Установка системы учета для технологического присоединения энергопринимающих устройств Заявителя (Давиденко М.А.) по адресу: Ростовская область, Неклиновский район, с. Новобессергеневка, ул. Малая Куйбышева, д. 13, к.н. 61:26:0180101:8106 (1 шт.)</t>
  </si>
  <si>
    <t>Установка системы учета для технологического присоединения энергопринимающих устройств Заявителя (Байгузин Р.И.) по адресу: Ростовская область, Неклиновский район, с. Новобессергеневка, ул. Янтарная, д. 16-Г, к.н. 61:26:0600024:7580 (1 шт.)</t>
  </si>
  <si>
    <t>Установка системы учета для технологического присоединения энергопринимающих устройств Заявителя (Пахомов В.В.) по адресу: Ростовская область, Неклиновский район, с. Отрадное, ул. Ленина, д. 20, к.н. 61:26:0190101:277:292 (1 шт.)</t>
  </si>
  <si>
    <t>Установка системы учета для технологического присоединения энергопринимающих устройств Заявителя (Карчёнков А.В.) по адресу: Ростовская область, Неклиновский район, п. Ореховый, ул. 2-я Строительная, д. 49, к.н. 61:26:0600014:405 (1 шт.)</t>
  </si>
  <si>
    <t>Установка системы учета для технологического присоединения энергопринимающих устройств Заявителя (Белоусова О.С.) по адресу: Ростовская область, Неклиновский район с. Синявское, ул. Халтурина, д. 64, к.н. 61:26:0060101:52 (1 шт.)</t>
  </si>
  <si>
    <t>Установка системы учета для технологического присоединения энергопринимающих устройств Заявителя (Фролова А.Г.) по адресу: Ростовская область, Неклиновский район, с. Синявское, ул. Крупской, д. 28-Б , к.н. 61:26:0060101:7523 (1 шт.)</t>
  </si>
  <si>
    <t>Установка системы учета для технологического присоединения энергопринимающих устройств Заявителя (Петровский И.Ю.) по адресу: Ростовская область, Неклиновский район с. Горская Порада, ул. Садовая, д.10 к.н. 61:26:0200201:11 (1 шт.)</t>
  </si>
  <si>
    <t>Установка системы учета для технологического присоединения энергопринимающих устройств Заявителя (Васильева Н.В.) по адресу: Ростовская область, Неклиновский район х. Морской Чулек, ул. Молодежная, д. 16 (1 шт.)</t>
  </si>
  <si>
    <t>Установка системы учета для технологического присоединения энергопринимающих устройств Заявителя (Батагова С.С.) по адресу: Ростовская область, Неклиновский район с. Отрадное, ул. Ленина, д. 39, к.н. 61:26:0190101:26 (1 шт.)</t>
  </si>
  <si>
    <t>Установка системы учета для технологического присоединения энергопринимающих устройств Заявителя (Толстиков Д.А.) по адресу: Ростовская область, Неклиновский район, г. Таганрог, ул. Танича, д. 80, к.н. 61:58:0006027:1412 (1 шт.)</t>
  </si>
  <si>
    <t>Установка системы учета для технологического присоединения энергопринимающих устройств Заявителя (Акутин А.В.) по адресу: Ростовская область, Неклиновский район, с. Приморка, ул. Новая-1, д. 50, к.н. 61:26:0120101:657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</si>
  <si>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Инициативная, д. 20-В, к.н. 61:26:0600024:9150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</si>
  <si>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Инициативная, д. 20, к.н. 61:26:0600024:9151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</si>
  <si>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Инициативная, д. 20-Б, к.н. 61:26:0600024:9148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</si>
  <si>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Инициативная, д. 20-А, к.н. 61:26:0600024:9149 (1 шт.)</t>
  </si>
  <si>
    <t>Установка системы учета для технологического присоединения энергопринимающих устройств Заявителя (Плигин М.А.) по адресу: Ростовская область, Неклиновский район, с. Петрушино, пер. Садовый, д. 49, к.н. 61:26:0600024:4398 (1 шт.)</t>
  </si>
  <si>
    <t>Установка системы учета для технологического присоединения энергопринимающих устройств Заявителя (Поденежная С.П.) по адресу: Ростовская область, Неклиновский район, с. Петрушино, ул. Куйбышева, д. 77-б, к.н. 61:26:0180201:4629 (1 шт.)</t>
  </si>
  <si>
    <t>Установка системы учета для технологического присоединения энергопринимающих устройств Заявителя (Капц В.И.) по адресу: Ростовская область, г. Таганрог, ул. Героев Подпольщиков, д. 23 (1 шт.)</t>
  </si>
  <si>
    <t>Установка системы учета для технологического присоединения энергопринимающих устройств Заявителя (Лотос И.В.) по адресу: Ростовская область, г. Таганрог, ул. Шишкина, д. 18, к.н. 61:58:0006027:591 (1 шт.)</t>
  </si>
  <si>
    <t>Установка системы учета для технологического присоединения энергопринимающих устройств Заявителя (Соленая С.В.) по адресу: Ростовская область, Неклиновский район, с. Новобессергеневка, ул. Свободы, д. 9, к.н. 61:26:0600024:7601 (1 шт.)</t>
  </si>
  <si>
    <t xml:space="preserve">Установка системы учета для технологического присоединения энергопринимающих устройств Заявителя (Бондарева М.П.) по адресу: Ростовская область, Неклиновский район, х. Веселый, ул. Островского, д. 35-А, к.н. 61:26:0070901:2147 (1 шт.)  </t>
  </si>
  <si>
    <t>Установка системы учета для технологического присоединения энергопринимающих устройств Заявителя (Белая Л.И.) по адресу: Ростовская область, Неклиновский район, с. Вареновка, ул. Социалистическая, д. 4, к.н. 61:26:0040101:5123 (1 шт.)</t>
  </si>
  <si>
    <t>Установка системы учета для технологического присоединения энергопринимающих устройств Заявителя (Зейналян К.М.) по адресу: Ростовская область, Мясниковский район, с. Крым, ул. 19-я линия, д. 11-а, к.н. 61:25:0201019:252 (1 шт.)</t>
  </si>
  <si>
    <t>Установка системы учета для технологического присоединения энергопринимающих устройств Заявителя (Хабаров Б.В.) по адресу: Ростовская область, Неклиновский район, с. Новобессергеневка, ул. Инициативная, д. 36-А, к.н. 61:26:0600024:6350 (1 шт.)</t>
  </si>
  <si>
    <t>Установка системы учета для технологического присоединения энергопринимающих устройств Заявителя (Лазарева М.С.) по адресу: Ростовская область, Неклиновский район, с. Новобессергеневка, ул. Ленина, д. 63-В, к.н. 61:26:0180101:8116 (1 шт.)</t>
  </si>
  <si>
    <t>Установка системы учета для технологического присоединения энергопринимающих устройств Заявителя (Корниенко З.В.) по адресу: Ростовская область, Неклиновский район, х. Чапаева, ул. Чапаева, д. 38-Б, к.н. 61:26:0160501:498 (1 шт.)</t>
  </si>
  <si>
    <t>Установка системы учета для технологического присоединения энергопринимающих устройств Заявителя (Ковалева Е.О.) по адресу: Ростовская область, Неклиновский район, с. Новобессергеневка, ул. Ленина, д. 63-Г, к.н. 61:26:0180101:8134 (1 шт.)</t>
  </si>
  <si>
    <t>Установка системы учета для технологического присоединения энергопринимающих устройств Заявителя (Ерохин Э.Н.) по адресу: Ростовская область, Неклиновский район, с. Новобессергеневка, ул. Ленина, д. 63-Д, к.н. 61:26:0180101:8132 (1 шт.)</t>
  </si>
  <si>
    <t>Установка системы учета для технологического присоединения энергопринимающих устройств Заявителя (Приходько Е.С.) по адресу: Ростовская область, Неклиновский район, с. Самбек, пер. Севергый, д. 6-А, к.н. 61:26:0020101:4963 (1 шт.)</t>
  </si>
  <si>
    <t>Установка системы учета для технологического присоединения энергопринимающих устройств Заявителя (Ковков П.В.) по адресу: Ростовская область, Неклиновский район, с. Новобессергеневка, ул. Лескова, д. 15, к.н. 61:26:0600024:7595 (1 шт.)</t>
  </si>
  <si>
    <t>Установка системы учета для технологического присоединения энергопринимающих устройств Заявителя (Шабанова А.Н.) по адресу: Ростовская область, Неклиновский район, с. Боцманово, ул. Новая, д. 27-Б, к.н. 61:26:0070801:2327 (1 шт.)</t>
  </si>
  <si>
    <t>Установка системы учета для технологического присоединения энергопринимающих устройств Заявителя (Галыгин А.А.) по адресу: Ростовская область, Неклиновский район, с. Новобессергеневка, ул. Новостройки, д. 13-А , к.н. 61:26:0180101:8105 (1 шт.)</t>
  </si>
  <si>
    <t>Установка системы учета для технологического присоединения энергопринимающих устройств Заявителя (Бодалов Э.Р. оглы) по адресу: Ростовская область, Неклиновский район, с. Новобессергеневка, ул. Лескова, д. 20-А, к.н. 61:26:0600024:8305 (1 шт.)</t>
  </si>
  <si>
    <t>Установка системы учета для технологического присоединения энергопринимающих устройств Заявителя (Гневин А.В.) по адресу: Ростовская область, Неклиновский район, с. Александрова Коса, ул. 8-го Марта, д. 10-А, к.н. 61:26:0180601:2003 (1 шт.)</t>
  </si>
  <si>
    <t>Установка системы учета для технологического присоединения энергопринимающих устройств Заявителя (Оганесян К.А.) по адресу: Ростовская область, Мясниковский район, с. Чалтырь, ул. Социалистическая, д. 25/ю, к.н. 61:25:0101334:1257 (1 шт.)</t>
  </si>
  <si>
    <t>Установка системы учета для технологического присоединения энергопринимающих устройств Заявителя (Сидоров М.В.) по адресу: Ростовская область, Мясниковский район, х. Ленинакан, ул. Малиновая, д. 3/5, к.н. 61:25:0030301:1869 (1 шт.)</t>
  </si>
  <si>
    <t>Установка системы учета для технологического присоединения энергопринимающих устройств Заявителя (Кобозева А.И.) по адресу: Ростовская область, Мясниковский район, х. Ленинаван, ул. Насосная, д. 2/б, к.н. 61:25:0030202:4841 (1 шт.)</t>
  </si>
  <si>
    <t>Установка системы учета для технологического присоединения энергопринимающих устройств Заявителя (Колган А.А.) по адресу: Ростовская область, Мясниковский район, х. Недвиговка, ул. Молодежная, д. 10, к.н. 61:25:0070101:98 (1 шт.)</t>
  </si>
  <si>
    <t>Установка системы учета для технологического присоединения энергопринимающих устройств Заявителя (Кныш Я.А.) по адресу: Ростовская область, Мясниковский район, х. Хапры, ул. Гагарина, д. 2-г, к.н. 61:25:0070201:847</t>
  </si>
  <si>
    <t>Установка системы учета для технологического присоединения энергопринимающих устройств Заявителя (Саркисян Т.Ж.) по адресу: Ростовская область, Мясниковский район, х. Ленинаван, ул. Насосная, д. 2/в, к.н. 61:25:0030202:4842 (1 шт.)</t>
  </si>
  <si>
    <t>Установка системы учета для технологического присоединения энергопринимающих устройств Заявителя (Манченко Т.А.) по адресу: Ростовская область, Мясниковский район, х. Красный Крым, ул. Георгиевская, д. 31, к.н. 61:25:0600401:18057 (1 шт.)</t>
  </si>
  <si>
    <t>Установка системы учета для технологического присоединения энергопринимающих устройств Заявителя (Сидорова И.П.) по адресу: Ростовская область, Мясниковский район, х. Хапры, пер. Северный, д. 11-а, к.н. 61:25:0070201:2637 (1 шт.)</t>
  </si>
  <si>
    <t>Установка системы учета для технологического присоединения энергопринимающих устройств Заявителя (Черкасова Н.В.) по адресу: Ростовская область, Мясниковский район, х. Красный Крым, ул. Юбилейная, д. 23-а, к.н. 61:25:0600401:17360 (1 шт.)</t>
  </si>
  <si>
    <t>Установка системы учета для технологического присоединения энергопринимающих устройств Заявителя (Чекрыгин В.В.) по адресу: Ростовская область, Мясниковский район, х. Красный Крым, ул. Баграмяна, д. 59, к.н. 61:25:0600401:20109 (1 шт.)</t>
  </si>
  <si>
    <t>Установка системы учета для технологического присоединения энергопринимающих устройств Заявителя (Сузанская Л.А.) по адресу: Ростовская область, Мясниковский район, х. Ленинакан, ул. 8-я линия, д. 88, к.н. 61:25:0600401:18935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</si>
  <si>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30, к.н. 61:25:0600401:19027 (1 шт.)</t>
  </si>
  <si>
    <t>Установка системы учета для технологического присоединения энергопринимающих устройств Заявителя (Хабибова М.В.) по адресу: Ростовская область, Мясниковский район, х. Калинин, ул. П.Д. Тер-Акоповой, д. 5, к.н. 61:25:0050101:7583 (1 шт.)</t>
  </si>
  <si>
    <t>Установка системы учета для технологического присоединения энергопринимающих устройств Заявителя (Васильев А.В.) по адресу: Ростовская область, Мясниковский район, х. Красный Крым, ул. Благодатная, д. 55, к.н. 61:25:0600401:19209 (1 шт.)</t>
  </si>
  <si>
    <t>Установка системы учета для технологического присоединения энергопринимающих устройств Заявителя (Морозов А.О.) по адресу: Ростовская область, Мясниковский район, х. Красный Крым, ул. Лесная, д. 20, к.н. 61:25:0600401:18871 (1 шт.)</t>
  </si>
  <si>
    <t>Установка системы учета для технологического присоединения энергопринимающих устройств Заявителя (Скрипка В.П.) по адресу: Ростовская область, Мясниковский район, х. Красный Крым, ул. Георгиевская, д. 51, к.н. 61:25:0600401:21500 (1 шт.)</t>
  </si>
  <si>
    <t>Установка системы учета для технологического присоединения энергопринимающих устройств Заявителя (Гарбузова Е.А.) по адресу: Ростовская область, Мясниковский район, х. Красный Крым, ул. Георгиевская, д. 48, к.н. 61:25:0600401:21504 (1 шт.)</t>
  </si>
  <si>
    <t>Установка системы учета для технологического присоединения энергопринимающих устройств Заявителя (Заушникова М.А.) по адресу: Ростовская область, Мясниковский район, х. Веселый, ул. Луговая, д. 3, к.н. 61:25:0060101:91 (1 шт.)</t>
  </si>
  <si>
    <t>Установка системы учета для технологического присоединения энергопринимающих устройств Заявителя (Коденко А.В.) по адресу: Ростовская область, Мясниковский район, х. Ленинаван, ул. Баттиччели, д. 12, к.н. 61:25:0600401:19474 (1 шт.)</t>
  </si>
  <si>
    <t>Установка системы учета для технологического присоединения энергопринимающих устройств Заявителя (Чернохатов Д.А.) по адресу: Ростовская область, Мясниковский район, х. Ленинаван, ул. Баттиччели, д. 27-а, к.н. 61:25:0600401:15275 (1 шт.)</t>
  </si>
  <si>
    <t>Установка системы учета для технологического присоединения энергопринимающих устройств Заявителя (Фоменко А.А.) по адресу: Ростовская область, Мясниковский район, х. Ленинаван, ул. Баттиччели, д. 25, к.н. 61:25:0600401:15276 (1 шт.)</t>
  </si>
  <si>
    <t>Установка системы учета для технологического присоединения энергопринимающих устройств Заявителя (ИП Клименкова В.О.) по адресу: Ростовская область, Мясниковский район, х. Недвиговка, ул. Ченцова, д. 2-а, к.н. 61:25:0000000:000 (1 шт.)</t>
  </si>
  <si>
    <t>Установка системы учета для технологического присоединения энергопринимающих устройств Заявителя (Адакиенко И.И.) по адресу: Ростовская область, Мясниковский район, х. Ленинаван, ул. Штрауса, д. 15, к.н. 61:25:0600401:16168 (1 шт.)</t>
  </si>
  <si>
    <t>Установка системы учета для технологического присоединения энергопринимающих устройств Заявителя (Фролов В.И.) по адресу: Ростовская область, Мясниковский район, х. Красный Крым, ул. Баграмяна, д. 43, к.н. 61:25:0600401:18263 (1 шт.)</t>
  </si>
  <si>
    <t>Установка системы учета для технологического присоединения энергопринимающих устройств Заявителя (Гапоненко К.С.) по адресу: Ростовская область, Мясниковский район, х. Красный Крым, ул. Георгиевская, д. 39, к.н. 61:25:0600401:18062 (1 шт.)</t>
  </si>
  <si>
    <t>Установка системы учета для технологического присоединения энергопринимающих устройств Заявителя (ИП Демьяшкина И.Н.) по адресу: Ростовская область, Мясниковский район, х. Веселый, ул. Молодежная, д. 19, кв. 2, к.н. 61:25:0060101:622 (1 шт.)</t>
  </si>
  <si>
    <t>Установка системы учета для технологического присоединения энергопринимающих устройств Заявителя (Беликов В.Н.) по адресу: Ростовская область, Мясниковский район, с. Крым, ул. генерала Джелаухова, д. 47, к.н. 61:25:0600201:1041 (1 шт.)</t>
  </si>
  <si>
    <t>Установка системы учета для технологического присоединения энергопринимающих устройств Заявителя (Власов И.) по адресу: Ростовская область, Мясниковский район, х. Красный Крым, ул. Баграмяна, д. 64, к.н. 61:25:0600401:24901 (1 шт.)</t>
  </si>
  <si>
    <t>Установка системы учета для технологического присоединения энергопринимающих устройств Заявителя (Курушин В.И.) по адресу: Ростовская область, Мясниковский район, х. Ленинакан, ул. Осенняя, д. 36/4, к.н. 61:25:0600401:18023 (1 шт.)</t>
  </si>
  <si>
    <t>Установка системы учета для технологического присоединения энергопринимающих устройств Заявителя (Данелян О.С.) по адресу: Ростовская область, Мясниковский район, с. Крым, ул. Советская, д. 97, к.н. 61:25:0000000:6476 (1 шт.)</t>
  </si>
  <si>
    <t>Установка системы учета для технологического присоединения энергопринимающих устройств Заявителя (Игнатенко В.Е.) по адресу: Ростовская область, Мясниковский район, х. Ленинаван, ул. Баттиччели, д. 19-а, к.н. 61:25:0600401:15272 (1 шт.)</t>
  </si>
  <si>
    <t>Установка системы учета для технологического присоединения энергопринимающих устройств Заявителя (Миронова Л.В.) по адресу: Ростовская область, Мясниковский район, х. Ленинаван, ул. Баттиччели, д. 13-а, к.н. 61:25:0600401:19426 (1 шт.)</t>
  </si>
  <si>
    <t>Установка системы учета для технологического присоединения энергопринимающих устройств Заявителя (Магирина П.В.) по адресу: Ростовская область, Мясниковский район, с. Чалтырь, ул. Красноармейская, д. 138, к.н. 61:25:0101608:18 (1 шт.)</t>
  </si>
  <si>
    <t>Установка системы учета для технологического присоединения энергопринимающих устройств Заявителя (Растеряева М.В.) по адресу: Ростовская область, Мясниковский район, х. Ленинаван, ул. Ландышевая, д. 3, к.н. 61:25:0600401:19529 (1 шт.)</t>
  </si>
  <si>
    <t>Установка системы учета для технологического присоединения энергопринимающих устройств Заявителя (Калмухамбетова О.М.) по адресу: Ростовская область, Мясниковский район, х. Ленинакан, ул. Осенняя, д. 25, к.н. 61:21:0600401:18030 (1 шт.)</t>
  </si>
  <si>
    <t>Установка системы учета для технологического присоединения энергопринимающих устройств Заявителя (Терещенко Л.А.) по адресу: Ростовская область, Мясниковский район, х. Красный Крым, ул. Благодатная, д. 33, к.н. 61:25:0600401:19197 (1 шт.)</t>
  </si>
  <si>
    <t>Установка системы учета для технологического присоединения энергопринимающих устройств Заявителя (Овчинникова Е.И.) по адресу: Ростовская область, Мясниковский район, х. Ленинаван, ул. Пражская, д. 5, к.н. 61:25:0600401:18664 (1 шт.)</t>
  </si>
  <si>
    <t>Установка системы учета для технологического присоединения энергопринимающих устройств Заявителя (Кривоносова Т.А.) по адресу: Ростовская область, Мясниковский район, х. Ленинаван, ул. Боттичелли, д. 4, к.н. 61:25:0600401:18757 (1 шт.)</t>
  </si>
  <si>
    <t>Установка системы учета для технологического присоединения энергопринимающих устройств Заявителя (Бондарь Д.И.) по адресу: Ростовская область, Мясниковский район, х. Ленинаван, ул. И.Х.Баграмяна, д. 31-а, к.н. 61:25:0600401:24356 (1 шт.)</t>
  </si>
  <si>
    <t>Установка системы учета для технологического присоединения энергопринимающих устройств Заявителя (Микиртычев Н.С.) по адресу: Ростовская область, Мясниковский район, х. Красный Крым, ул. Налбандяна, д. 16, к.н. 61:25:0600401:17809 (1 шт.)</t>
  </si>
  <si>
    <t>Установка системы учета для технологического присоединения энергопринимающих устройств Заявителя (Гармаш М.Ю.) по адресу: Ростовская область, Мясниковский район, х. Красный Крым, ул. Оливковая, д. 21, к.н. 61:25:0600401:19618 (1 шт.)</t>
  </si>
  <si>
    <t>Установка системы учета для технологического присоединения энергопринимающих устройств Заявителя (Рычкова Е.В.) по адресу: Ростовская область, Мясниковский район, х. Ленинаван, ул. Баттиччели, д. 25-б, к.н. 61:25:0600401:15277 (1 шт.)</t>
  </si>
  <si>
    <t>Установка системы учета для технологического присоединения энергопринимающих устройств Заявителя (Кобозев А.О.) по адресу: Ростовская область, Мясниковский район, х. Ленинакан, ул. июньская, д. 25-а, к.н. 61:25:0600401:20714 (1 шт.)</t>
  </si>
  <si>
    <t>Установка системы учета для технологического присоединения энергопринимающих устройств Заявителя (Муслимова Э.А.) по адресу: Ростовская область, Мясниковский район, х. Ленинаван, ул. Штрауса, д. 17, к.н. 61:25:0600401:16438 (1 шт.)</t>
  </si>
  <si>
    <t>Установка системы учета для технологического присоединения энергопринимающих устройств Заявителя (Беднарский Д.Н.) по адресу: Ростовская область, Мясниковский район, х. Красный Крым, ул. Баграмяна, д. 52, к.н. 61:25:0600401:23264 (1 шт.)</t>
  </si>
  <si>
    <t>Установка системы учета для технологического присоединения энергопринимающих устройств Заявителя (Тасимов И.З.) по адресу: Ростовская область, Мясниковский район, х. Красный Крым, ул. Баграмяна, д. 50, к.н. 61:25:0600401:23263 (1 шт.)</t>
  </si>
  <si>
    <t>Установка системы учета для технологического присоединения энергопринимающих устройств Заявителя (Царук М.А.) по адресу: Ростовская область, Мясниковский район, х. Ленинаван, ул. Баттиччели, д. 29, к.н. 61:25:0600401:19533 (1 шт.)</t>
  </si>
  <si>
    <t>Установка системы учета для технологического присоединения энергопринимающих устройств Заявителя (Едаменко О.С.) по адресу: Ростовская область, Мясниковский район, х. Ленинаван, ул. Баттиччели, д. 19-б, к.н. 61:25:0600401:15271 (1 шт.)</t>
  </si>
  <si>
    <t>Установка системы учета для технологического присоединения энергопринимающих устройств Заявителя (Ковалёв Я.В.) по адресу: Ростовская область, Мясниковский район, х. Красный Крым, ул. Благодатная, д. 6, к.н. 61:25:0600401:20145 (1 шт.)</t>
  </si>
  <si>
    <t>Установка системы учета для технологического присоединения энергопринимающих устройств Заявителя (Афян А.Г.) по адресу: Ростовская область, Мясниковский район, х. Ленинаван, ул. Мясникяна, д. 22/1, к.н. 61:25:0030202:5097 (1 шт.)</t>
  </si>
  <si>
    <t>Установка системы учета для технологического присоединения энергопринимающих устройств Заявителя (Петрова М.В.) по адресу: Ростовская область, Мясниковский район, х. Ленинаван, ул. Боттичелли, д. 2, к.н. 61:25:0600401:18759 (1 шт.)</t>
  </si>
  <si>
    <t>Установка системы учета для технологического присоединения энергопринимающих устройств Заявителя (Дуплик А.Н.) по адресу: Ростовская область, Мясниковский район, х. Красный Крым, ул. Крымская, д. 7, к.н. 61:25:0600401:16881 (1 шт.)</t>
  </si>
  <si>
    <t>Установка системы учета для технологического присоединения энергопринимающих устройств Заявителя (Алтухов А.А.) по адресу: Ростовская область, Мясниковский район, с. Крым, ул. Пролетарская, д. 4-е, к.н. 61:25:0201022:726 (1 шт.)</t>
  </si>
  <si>
    <t>Установка системы учета для технологического присоединения энергопринимающих устройств Заявителя (Ямчицкая Т.М.) по адресу: Ростовская область, Мясниковский район, х. Ленинаван, ул. Насосная, д. 3, к.н. 61:25:0030202:4836 (1 шт.)</t>
  </si>
  <si>
    <t>Установка системы учета для технологического присоединения энергопринимающих устройств Заявителя (Матевосян А.М.) по адресу: Ростовская область, Мясниковский район, х. Ленинаван, ул. Насосная, д. 3-б, к.н. 61:25:0030202:4837</t>
  </si>
  <si>
    <t>Установка системы учета для технологического присоединения энергопринимающих устройств Заявителя (Берекчиян К.Р.) по адресу: Ростовская область, Мясниковский район, с. Чалтырь, ул. Первоиюньская, д. 14-б, к.н. 61:25:0101307:165 (1 шт.)</t>
  </si>
  <si>
    <t>Установка системы учета для технологического присоединения энергопринимающих устройств Заявителя (Яковенко Р.М.) по адресу: Ростовская область, Мясниковский район, х. Красный Крым, ул. Крымская, д. 30, к.н. 61:25:0600401:24961 (1 шт.)</t>
  </si>
  <si>
    <t>Установка системы учета для технологического присоединения энергопринимающих устройств Заявителя (Матвейчук А.И.) по адресу: Ростовская область, Мясниковский район, х. Ленинаван, ул. Баттиччели, д. 11, к.н. 61:25:0600401:19535 (1 шт.)</t>
  </si>
  <si>
    <t>Установка системы учета для технологического присоединения энергопринимающих устройств Заявителя (Карпова Н.А.) по адресу: Ростовская область, Мясниковский район, х. Калинин, ул. Школьная, д. 97, кв. 1, к.н. 61:25:0050101:311 (1 шт.)</t>
  </si>
  <si>
    <t>Установка системы учета для технологического присоединения энергопринимающих устройств Заявителя (Куценко К.В.) по адресу: Ростовская область, Мясниковский район, х. Красный Крым, ул. Благодатная, д. 44, к.н. 61:25:0600401:20147 (1 шт.)</t>
  </si>
  <si>
    <t>Установка системы учета для технологического присоединения энергопринимающих устройств Заявителя (Гадзиян Л.М.) по адресу: Ростовская область, Мясниковский район, с. Чалтырь, ул. Тащияна, д. 184-а, к.н. 61:25:0600601:2193 (1 шт.)</t>
  </si>
  <si>
    <t>Установка системы учета для технологического присоединения энергопринимающих устройств Заявителя (Пятикова Я.С.) по адресу: Ростовская область, Мясниковский район, х. Ленинаван, ул. Баттиччели, д. 4/2, к.н. 61:25:0600401:18134 (1 шт.)</t>
  </si>
  <si>
    <t>Установка системы учета для технологического присоединения энергопринимающих устройств Заявителя (Реутов С.И.) по адресу: Ростовская область, Мясниковский район, х. Красный Крым, ул. Звездная, д. 35, к.н. 61:25:0600401:17144 (1 шт.)</t>
  </si>
  <si>
    <t>Установка системы учета для технологического присоединения энергопринимающих устройств Заявителя (Шатравин Д.В.) по адресу: Ростовская область, Мясниковский район, х. Ленинакан, ул. 2-я линия, д. 23, к.н. 61:25:0600401:19756 (1 шт.)</t>
  </si>
  <si>
    <t>Установка системы учета для технологического присоединения энергопринимающих устройств Заявителя (Старков О.Н.) по адресу: Ростовская область, Мясниковский район, х. Хапры, ул. Никаноровский, д. 14-б, к.н. 61:25:0070201:2323 (1 шт.)</t>
  </si>
  <si>
    <t>Установка системы учета для технологического присоединения энергопринимающих устройств Заявителя (Симонов Д.П.) по адресу: Ростовская область, Мясниковский район, х. Красный Крым, ул. Южная, д. 24, к.н. 61:25:0600401:20788 (1 шт.)</t>
  </si>
  <si>
    <t>Установка системы учета для технологического присоединения энергопринимающих устройств Заявителя (Погорская Э.Я.Г.) по адресу: Ростовская область, Мясниковский район, х. Ленинаван, ул. Баттиччели, д. 7, к.н. 61:25:0600401:18129 (1 шт.)</t>
  </si>
  <si>
    <t>Установка системы учета для технологического присоединения энергопринимающих устройств Заявителя (ИП Чумаян А.С.) по адресу: Ростовская область, Мясниковский район, с. Большие Салы, ул. Ленина, д. 7-б, к.н. 61:25:0040101:103 (1 шт.)</t>
  </si>
  <si>
    <t>Установка системы учета для технологического присоединения энергопринимающих устройств Заявителя (Коренев А.В.) по адресу: Ростовская область, Мясниковский район, х. Красный Крым, ул. Налбандяна, д. 10, к.н. 61:25:0600401:17806 (1 шт.)</t>
  </si>
  <si>
    <t>Установка системы учета для технологического присоединения энергопринимающих устройств Заявителя (Тамбиева М.Ю.) по адресу: Ростовская область, Мясниковский район, х. Красный Крым, ул. Баграмяна, д. 8, к.н. 61:25:0600401:24572 (1 шт.)</t>
  </si>
  <si>
    <t>Установка системы учета для технологического присоединения энергопринимающих устройств Заявителя (Харахашян Т.О.) по адресу: Ростовская область, Мясниковский район, х. Ленинаван, ул. Мясникяна, д. 14/2, к.н. 61:25:0030202:4886 (1 шт.)</t>
  </si>
  <si>
    <t>Установка системы учета для технологического присоединения энергопринимающих устройств Заявителя (Сархашьян А.А.) по адресу: Ростовская область, Мясниковский район, х. Ленинаван, ул. И. Айвазовского, д. 13-б, к.н. 61:25:0600401:10524 (1 шт.)</t>
  </si>
  <si>
    <t>Установка системы учета для технологического присоединения энергопринимающих устройств Заявителя (Сархашьян А.А.) по адресу: Ростовская область, Мясниковский район, х. Ленинаван, ул. И. Айвазовского, д. 13-а, к.н. 61:25:0600401:10523 (1 шт.)</t>
  </si>
  <si>
    <t>Установка системы учета для технологического присоединения энергопринимающих устройств Заявителя (Шмиголь О.В.) по адресу: Ростовская область, г. Таганрог, ул. Карантинная, д.35, к.н.: 61:58:0001144:52 (1 шт.)</t>
  </si>
  <si>
    <t>Установка системы учета для технологического присоединения энергопринимающих устройств Заявителя (Козлов А.Н.) по адресу: Ростовская область, г. Таганрог, ул. Литейная, земельный участок 81а, к.н.: 61:58:0004319:357 (1 шт.)</t>
  </si>
  <si>
    <t>«Установка системы учета для технологического присоединения энергопринимающих устройств Заявителя (Луговской С.Ф.) по адресу: Ростовская область, М-Курганский район, с. Ряженое, ул. Пушкина, д. 42, корп. А, к.н. 61:21:0020101:5301 (1 шт.)»</t>
  </si>
  <si>
    <t>«Установка системы учета для технологического присоединения энергопринимающих устройств Заявителя (Администрация Малокирсановского сельского поселения) по адресу: Ростовская область, М-Курганский район, с. Греково-Тимофеевка, ул. Октябрьская, д. 30, к.н. 61:21:0080301:60 (1 шт.)»</t>
  </si>
  <si>
    <t>Установка системы учета для технологического присоединения энергопринимающих устройств Заявителя (Лепяка С.Н.) по адресу: Ростовская область, М-Курганский район, п. Надежда, ул. Молодежная д. 45 кв. 3, к.н. 61:21:0030801:144 (1шт).</t>
  </si>
  <si>
    <t>Установка системы учета для технологического присоединения энергопринимающих устройств Заявителя (ИП Мололкина Н.Д.) по адресу: Ростовская область, М-Курганский район, п. Матвеев Курган, ул. 1-я Пятилетка, д. 120, к.н. 61:21:0010146:354 (1шт)"</t>
  </si>
  <si>
    <t>Установка системы учета для технологического присоединения энергопринимающих устройств Заявителя (Шевченко Н.Д.) по адресу: Ростовская область, Неклиновский район, с. Боцманово, ул. Октябрьская, д. 82, к.н. 61:26:0070801:265 (1 шт.)</t>
  </si>
  <si>
    <t>Установка системы учета для технологического присоединения энергопринимающих устройств Заявителя (Карюков П.В.) по адресу: Ростовская область, Мясниковский район, х. Ленинаван, ул. Баттиччели, д. 5, к.н. 61:25:0600401:18137 (1 шт.)</t>
  </si>
  <si>
    <t>Установка системы учета для технологического присоединения энергопринимающих устройств Заявителя (Шульман И.С.) по адресу: Ростовская область, Неклиновский район, х. Дарагановка, ул. Лиманная, д. 39, к.н. 61:26:0180701:67 (1 шт.)</t>
  </si>
  <si>
    <t>Установка системы учета для технологического присоединения энергопринимающих устройств Заявителя (Семенова Л.П.) по адресу: Ростовская область, Неклиновский район, х. Родионовка, ул. Ленина, д. 13, к.н. 61:26:0190201:123 (1 шт.)</t>
  </si>
  <si>
    <t>Установка системы учета для технологического присоединения энергопринимающих устройств Заявителя (Киракосян А.Г.) по адресу: Ростовская область, г. Таганрог, ул. Танича, д. 68/ пер. Лавровский, д. 8 и ул. Танича, д. 70, к.н. 61:58:0006027:1059 (1 шт.)</t>
  </si>
  <si>
    <t>Установка системы учета для технологического присоединения энергопринимающих устройств Заявителя (Колесникова Т.В.) по адресу: Ростовская область, г. Таганрог, около пер. Николаевский, д. 3, участок 7,  к.н. 61:58:0006027:957 (1 шт.)</t>
  </si>
  <si>
    <t>Установка системы учета для технологического присоединения энергопринимающих устройств Заявителя (Жертовский С.Ю.) по адресу: Ростовская область, Неклиновский район, х. Русский Колодец, ул. Гагарина, д. 40, к.н. 61:26:0070701:1998 (1 шт.)</t>
  </si>
  <si>
    <t>Установка системы учета для технологического присоединения энергопринимающих устройств Заявителя (Джабаров Н.Ф.) по адресу: Ростовская область, Неклиновский район, с. Новобессергеневка, ул. Свободы, д. 15, к.н. 61:26:0600024:7582 (1 шт.)</t>
  </si>
  <si>
    <t>Установка системы учета для технологического присоединения энергопринимающих устройств Заявителя (Джабаров Н.Ф.) по адресу: Ростовская область, Неклиновский район, с. Новобессергеневка, ул. Свободы, д. 15-А, к.н. 61:26:0600024:7581 (1 шт.)</t>
  </si>
  <si>
    <t>Установка системы учета для технологического присоединения энергопринимающих устройств Заявителя (Шашкова Л.В.) по адресу: Ростовская область, Неклиновский район, с. Николаевка, ул. Ферганская, д. 1-Ж, к.н. 61:26:0110101:9093 (1 шт.)</t>
  </si>
  <si>
    <t>Установка системы учета для технологического присоединения энергопринимающих устройств Заявителя (Солоница Л.Н.) по адресу: Ростовская область, Неклиновский район, с. Новобессергеневка, ул. Янтарная, д. 14-Е, к.н. 61:26:0600024:7583 (1 шт.)</t>
  </si>
  <si>
    <t>Установка системы учета для технологического присоединения энергопринимающих устройств Заявителя (Снежко Л.Г.) по адресу: Ростовская область, Неклиновский район, с. Петрушино, пер. Садовый, д. 29, к.н. 61:26:0600024:2139 (1 шт.)</t>
  </si>
  <si>
    <t>Установка системы учета для технологического присоединения энергопринимающих устройств Заявителя (Шелист И.А.) по адресу: Ростовская область, Неклиновский район, с. Новобессергеневка, ул. Свободы, д. 38-Б, к.н. 61:26:0600024:8243 (1 шт.)</t>
  </si>
  <si>
    <t>Установка системы учета для технологического присоединения энергопринимающих устройств Заявителя (Шелист И.А.) по адресу: Ростовская область, Неклиновский район, с. Новобессергеневка, ул. Свободы, д. 38-В, к.н. 61:26:0600024:8242 (1 шт.)</t>
  </si>
  <si>
    <t>Установка системы учета для технологического присоединения энергопринимающих устройств Заявителя (Емельянова Т.Е.) по адресу: Ростовская область, г. Таганрог, ул. Шишкина, д. 6, к.н. 61:58:0006027:616 (1 шт.)</t>
  </si>
  <si>
    <t>Установка системы учета для технологического присоединения энергопринимающих устройств Заявителя (Шипулин М.В.) по адресу: Ростовская область, Неклиновский район, с. Гевка, ул. Ленина, д. 101-А , к.н. 61:26:0160301:1697 (1 шт.)</t>
  </si>
  <si>
    <t>Установка системы учета для технологического присоединения энергопринимающих устройств Заявителя (Головенко В.В.) по адресу: Ростовская область, г. Таганрог, пер. Урожайный, д. 4, к.н. 61:58:0007017:100 (1 шт.)</t>
  </si>
  <si>
    <t>Установка системы учета для технологического присоединения энергопринимающих устройств Заявителя (Анпилогов П.А.) по адресу: Ростовская область, Неклиновский район, с. Петрушино, 7-й переулок, д. 10, к.н. 61:26:0180201:990 (1 шт.)</t>
  </si>
  <si>
    <t>Установка системы учета для технологического присоединения энергопринимающих устройств Заявителя (Кочкина К.В.) по адресу: Ростовская область, Неклиновский район, с. Новобессергеневка, ул. Энгельса, д. 11-А, к.н. 61:26:0180101:8161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</si>
  <si>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Неклиновский район, с. Николаевка, ул. Тургенева, д. 15, к.н. 61:26:0110201:151 (1 шт.)</t>
  </si>
  <si>
    <t>Установка системы учета для технологического присоединения энергопринимающих устройств Заявителя (Голубничная Ю.Н.) по адресу: Ростовская область, Неклиновский район, х. Пудовой, ул. Октябрьская, д. 15, к.н. 61:26:0080801:42 (1 шт.)</t>
  </si>
  <si>
    <t>Установка системы учета для технологического присоединения энергопринимающих устройств Заявителя (Шестопалов А.В.) по адресу: Ростовская область, Неклиновский район, с. Покровское, ул. Металлургическая, д. 20, к.н. 61:26:0600006:1726 (1 шт.)</t>
  </si>
  <si>
    <t>Установка системы учета для технологического присоединения энергопринимающих устройств Заявителя (Сулина Е.Г.) по адресу: Ростовская область, Неклиновский район, с. Новобессергеневка, ул. Транспортная, д. 14-Б, к.н. 61:26:0180101:8082 (1 шт.)</t>
  </si>
  <si>
    <t>Установка системы учета для технологического присоединения энергопринимающих устройств Заявителя (Устименко Е.В.) по адресу: Ростовская область, Неклиновский район, с. Новобессергеневка, ул. Солнечная, д. 37-Г, к.н. 61:26:0600024:7911 (1 шт.)</t>
  </si>
  <si>
    <t>Установка системы учета для технологического присоединения энергопринимающих устройств Заявителя (Астахова В.А.) по адресу: Ростовская область, Неклиновский район, с. Синявское, ул. Халтурина, д. 131, к.н. 61:26:0060101:8243 (1 шт.)</t>
  </si>
  <si>
    <t>Установка системы учета для технологического присоединения энергопринимающих устройств Заявителя (Яблокова А.В.) по адресу: Ростовская область, Неклиновский район, с. Натальевка, ул. Дзержинского, д. 1, к.н. 61:26:0030101:3478 (1 шт.)</t>
  </si>
  <si>
    <t>Установка системы учета для технологического присоединения энергопринимающих устройств Заявителя (Пирогов В.П.) по адресу: Ростовская область, Неклиновский район, с. Новобессергеневка, ул. Транспортная, д. 12-А, к.н. 61:26:0180101:8083 (1 шт.)</t>
  </si>
  <si>
    <t>Установка системы учета для технологического присоединения энергопринимающих устройств Заявителя (Боровик Л.Н.) по адресу: Ростовская область, Неклиновский район, с. Новобессергеневка, ул. Свободы, д. 12, к.н. 61:26:0600024:9092 (1 шт.)</t>
  </si>
  <si>
    <t>Установка системы учета для технологического присоединения энергопринимающих устройств Заявителя (Ухань В.Ю.) по адресу: Ростовская область, Неклиновский район, с. Вареновка, СНТ «Пламя», уч. 74, к.н. 61:26:0502101:34 (1 шт.</t>
  </si>
  <si>
    <t>Установка системы учета для технологического присоединения энергопринимающих устройств Заявителя (Амаханова С.И.) по адресу: Ростовская область, Неклиновский район, с. Новобессергеневка, ул. Свободы, д. 12-Б, к.н. 61:26:0600024:9095 (1 шт.)</t>
  </si>
  <si>
    <t>Установка системы учета для технологического присоединения энергопринимающих устройств Заявителя (Кивнюк Р.Ю.) по адресу: Ростовская область, Неклиновский район, с. Новобессергеневка, ул. Свободы, д. 12, к.н. 61:26:0600024:8888 (1 шт.)</t>
  </si>
  <si>
    <t>Установка системы учета для технологического присоединения энергопринимающих устройств Заявителя (Тюрин И.С.) по адресу: Ростовская область, Неклиновский район, с. Новобессергеневка, ул. Свободы, д. 9-В, к.н. 61:26:0600024:7599 (1 шт.)</t>
  </si>
  <si>
    <t>Установка системы учета для технологического присоединения энергопринимающих устройств Заявителя (Исаджанян Ю.А.) по адресу: Ростовская область, Неклиновский район, с. Новобессергеневка, ул. Дзержинского, д. 52-Д, к.н. 61:26:0180101:8036 (1 шт.)</t>
  </si>
  <si>
    <t>Установка системы учета для технологического присоединения энергопринимающих устройств Заявителя (Пастухов М.А.) по адресу: Ростовская область, Неклиновский район, с. Новобессергеневка, ул. Лескова, д. 23-Б, к.н. 61:26:0600024:8199 (1 шт.)</t>
  </si>
  <si>
    <t>Установка системы учета для технологического присоединения энергопринимающих устройств Заявителя (Бакумов В.М.) по адресу: Ростовская область, Неклиновский район, с. Синявское, ул. Крупской, д. 41-а, к.н. 61:26:0060101:7682 (1 шт.)</t>
  </si>
  <si>
    <t>Установка системы учета для технологического присоединения энергопринимающих устройств Заявителя (Зарембицкая Н.П.) по адресу: Ростовская область, Неклиновский район с. Новобессергеневка, ул. Инициативная, д. 31-А, к.н. 61:26:0600024:6977 (1 шт.)</t>
  </si>
  <si>
    <t>Установка системы учета для технологического присоединения энергопринимающих устройств Заявителя (Пичугин А.А.) по адресу: Ростовская область, Неклиновский район с. Новобессергеневка, ул. Лесная, д. 55-Б, к.н. 61:26:0180101:1798 (1 шт.)</t>
  </si>
  <si>
    <t>Установка системы учета для технологического присоединения энергопринимающих устройств Заявителя (Костюк Н.Г.) по адресу: Ростовская область, Неклиновский район с. Новобессергеневка, ул. Свободы, д. 12-А, к.н. 61:26:0600024:8889 (1 шт.)</t>
  </si>
  <si>
    <t>Установка системы учета для технологического присоединения энергопринимающих устройств Заявителя (Мажаев А.С.) по адресу: Ростовская область, Неклиновский район с. Весело-Вознесенка, ул. Береговая, д.120 к.н. 61:26:0100101:972 (1 шт.)</t>
  </si>
  <si>
    <t>Установка системы учета для технологического присоединения энергопринимающих устройств Заявителя (Анохин С.В.) по адресу: Ростовская область, Неклиновский район с. Новобессергеневка, ул. Солнечная, д.37-В, к.н. 61:26:0600024:7910 (1 шт.)</t>
  </si>
  <si>
    <t>Установка системы учета для технологического присоединения энергопринимающих устройств Заявителя (Корабельникова Д.С.) по адресу: Ростовская область, Неклиновский район, с. Приазовский, ул. Морская, д.7, к.н. 61:26:0100301:1137 (1 шт.)</t>
  </si>
  <si>
    <t>Установка системы учета для технологического присоединения энергопринимающих устройств Заявителя (Почеткова Л.А.) по адресу: Ростовская область,  Неклиновский район, х. Дарагановка, ул. Спортивная, д. 45-А, к.н. 61:26:0180701:1253 (1 шт.)</t>
  </si>
  <si>
    <t>Установка системы учета для технологического присоединения энергопринимающих устройств Заявителя (Борцов А.В.) по адресу: Ростовская область,  Неклиновский район, с. Новобессергеневка, ул. Лескова, д. 18,20, к.н. 61:26:0600024:870 (1 шт.)</t>
  </si>
  <si>
    <t>Установка системы учета для технологического присоединения энергопринимающих устройств Заявителя (Жуков М.В.) по адресу: Ростовская область, Неклиновский район, с. Весело-Вознесенка, ул. Береговая, д. 122, к.н. 61:26:0100101:970 (1 шт.)</t>
  </si>
  <si>
    <t>Установка системы учета для технологического присоединения энергопринимающих устройств Заявителя (Резников А.П.) по адресу: Ростовская область, г. Таганрог, СНТ «Спутник», уч. №168, к.н.: 61:58:0005166:363 (1 шт.)</t>
  </si>
  <si>
    <t>Установка системы учета для технологического присоединения энергопринимающих устройств Заявителя (Шевченко О.В.) по адресу: Ростовская область, г. Таганрог, ул. Ватутина, д. 68, к.н.: 61:58:0005030:568 (1 шт.)</t>
  </si>
  <si>
    <t>Установка системы учета для технологического присоединения энергопринимающих устройств Заявителя (Филонова Д.Б.) по адресу: Ростовская область, г. Таганрог, 5-й Переулок, д. 41-а, к.н.: 61:58:0002079:70 (1 шт.)»</t>
  </si>
  <si>
    <t>Установка системы учета для технологического присоединения энергопринимающих устройств Заявителя (Комарков А.Б.) по адресу: Ростовская область, г. Таганрог, ул. Мариупольское шоссе, д. 39-1, ДНТ «Мир», уч. №117, к.н.: 61:58:0005189:1045 (1 шт.)</t>
  </si>
  <si>
    <t>Установка системы учета для технологического присоединения энергопринимающих устройств Заявителя (Суханов Н.В.) по адресу: Ростовская область, г. Таганрог, СНТ «Дачное-1»,  уч. 17, ал. 4, к.н. 61:58:0006056:225 (1 шт.)</t>
  </si>
  <si>
    <t>Установка системы учета для технологического присоединения энергопринимающих устройств Заявителя (Литвинов С.В.) по адресу: Ростовская область, г. Таганрог, ул. Стернина, д. 15, комнаты №№ 3,4,5,8,9,11, к.н.: 61:58:0003205:98 (1 шт.)</t>
  </si>
  <si>
    <t>Установка системы учета для технологического присоединения энергопринимающих устройств Заявителя (ИП Кувиков Ф.В.) по адресу: Ростовская область, г. Таганрог, пер. Украинский, д. 21, к.н.: 61:58:0001063:40 (1 шт.)</t>
  </si>
  <si>
    <t>Установка системы учета для технологического присоединения энергопринимающих устройств Заявителя (Кузьмин А.Л.) по адресу: Ростовская область, г. Таганрог, ул. Дачная, д. 169, к.н. 61:58:0004463:60 (1 шт.)</t>
  </si>
  <si>
    <t>«Установка системы учета для технологического присоединения энергопринимающих устройств Заявителя (Закутнева Е.В.) по адресу: Ростовская область, г. Таганрог, ул. Фаины Раневской, з/у 1, к.н. 61:58:0005207:311 (1 шт.)»</t>
  </si>
  <si>
    <t>Установка системы учета для технологического присоединения энергопринимающих устройств Заявителя (Малинский А.Н.) по адресу: Ростовская область, г. Таганрог, ул. Харьковская, уч. 60а, к.н. 61:58:0003155:317 (1 шт.)</t>
  </si>
  <si>
    <t>1.2. «Установка системы учета для технологического присоединения энергопринимающих устройств Заявителя (Дыба М.В.) по адресу: Ростовская область, г. Таганрог, ул. Нижняя Линия, д. 2-Г, к.н.: 61:58:0004042:13 (1 шт.)»</t>
  </si>
  <si>
    <t>«Установка системы учета для технологического присоединения энергопринимающих устройств Заявителя (Якушкин В.М.) по адресу: Ростовская область, г. Таганрог, 27-й Переулок, д. 31, к.н.: 61:58:0002309:27 (1 шт.)»</t>
  </si>
  <si>
    <t>Установка системы учета для технологического присоединения энергопринимающих устройств Заявителя (Медведев Р.Ю.) по адресу: Ростовская область, г. Таганрог, ул. Чехова, д.106/пер. Комсомольский, д.16, к.н. 61:58:0001152:462 (1 шт.)</t>
  </si>
  <si>
    <t>Установка системы учета для технологического присоединения энергопринимающих устройств Заявителя (Соколова О.С.) по адресу: Ростовская область, г. Таганрог, около пер. 21-й Мариупольский, д. 2 (75)  к.н. 61:58:0005257:75 (1 шт.)</t>
  </si>
  <si>
    <t>Установка системы учета для технологического присоединения энергопринимающих устройств Заявителя (Рыженко Н.А.) по адресу: Ростовская область, г. Таганрог, пер. Гоголевский, д. 48, кв.1, к.н. 61:58:0002010:233 (1 шт.)</t>
  </si>
  <si>
    <t>Установка системы учета для технологического присоединения энергопринимающих устройств Заявителя (Бьерквист А.А.) по адресу: Ростовская область, г. Таганрог, ул. Дачная, д.185, к.н. 61:58:0004462:85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</si>
  <si>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Кузнечная (между пер. Гоголевский и ул. Транспортная), около ул. Кузнечная, д. 106,  к.н. 61:58:0002164:382 (1 шт.)</t>
  </si>
  <si>
    <t>Установка системы учета для технологического присоединения энергопринимающих устройств Заявителя (ИП Штыка Е.А.) по адресу: Ростовская область, г. Таганрог, ул. Морозова, д. 54, к.н.: 61:58:0003395:167 (1 шт.)</t>
  </si>
  <si>
    <t>Установка системы учета для технологического присоединения энергопринимающих устройств Заявителя (ИП Галушкин А.И.) по адресу: Ростовская область, г. Таганрог, Ломакина, д. 106 (1 шт.)</t>
  </si>
  <si>
    <t>Установка системы учета для технологического присоединения энергопринимающих устройств Заявителя (Бояхчиян Л.А.) по адресу: Ростовская область, г. Таганрог, ул. Маршала Жукова, д. 19/ пер. 2-й Новый, д. 21, к.н.: 61:58:0004120:129 (1 шт.)</t>
  </si>
  <si>
    <t>Установка системы учета для технологического присоединения энергопринимающих устройств Заявителя (Жидкова Е.Г.) по адресу: Ростовская область, г. Таганрог, ул. Лизы Чайкиной, д. 80, номер(а) на этаже 3,4,7, к.н. 61:58:0004257:358 (1 шт.)</t>
  </si>
  <si>
    <t>Установка системы учета для технологического присоединения энергопринимающих устройств Заявителя (ИП Сирота Д.Л.) по адресу: Ростовская область, г. Таганрог, около ул. Сергея Шило, д. 200, к.н. 61:58:0005271:4775 (1 шт.)</t>
  </si>
  <si>
    <t>1.3. «Установка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ул. Кузнечная (между пер. Гоголевский и ул. Транспортная), около ул. Кузнечная, д. 28, к.н.: 61:58:0002050:454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</si>
  <si>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пер. Смирновский (между тупиком и обрывом у моря), около пер. Смирновский, д. 48, к.н.: 61:58:0000000:47409 (1 шт.)»</t>
  </si>
  <si>
    <t>1.2. «Установка системы учета для технологического присоединения энергопринимающих устройств Заявителя (Зайцева И.А.) по адресу: Ростовская область, г. Таганрог, ул. Фрунзе, д.54, к.н.: 64-61-42/095/2008-245 (1 шт.)»</t>
  </si>
  <si>
    <t>Установка системы учета для технологического присоединения энергопринимающих устройств Заявителя (ООО «Синара-ГТР Таганрог») по адресу: Ростовская область, г. Таганрог, ул. Октябрьская (между пер. Мечниковский и ул. Транспортная), около ул. Октябрьская, д.136, к.н.: 61:58:0002406:274 (1 шт.)</t>
  </si>
  <si>
    <t>Установка системы учета для технологического присоединения энергопринимающих устройств Заявителя (ООО «Синара-ГТР Таганрог») по адресу: Ростовская область, г. Таганрог, ул. Октябрьская (между пер. Мечниковский и ул. Транспортная), около ул. Октябрьская, д.181, к.н.: 61:58:0000000:47561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</si>
  <si>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№61-1-21-00617703 от 14.12.2021), в г. Таганроге Ростовской области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</si>
  <si>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Сергея Шило, 167-б (1 шт.)»</t>
  </si>
  <si>
    <t>«Установка системы учета для технологического присоединения энергопринимающих устройств Заявителя (ИП Савенко А.К.) по адресу: Ростовская область, г. Таганрог, ул. Урицкого, д. 14, к.н.: 61:58:0003408:9 (1 шт.)»;</t>
  </si>
  <si>
    <t>«Установка системы учета для технологического присоединения энергопринимающих устройств Заявителя (Ершов К.А.) по адресу: Ростовская область, г. Таганрог, ул. Победы, д. 14-а, к.н. 61:58:0007023:119 (1 шт.)»</t>
  </si>
  <si>
    <t>1.3. «Установка системы учета для технологического присоединения энергопринимающих устройств Заявителя (Пахомова Н.В.) по адресу: Ростовская область, г. Таганрог, ул. Карантинная, земельный участок 61а, к.н.: 61:58:0002005:1236 (1 шт.)»</t>
  </si>
  <si>
    <t>1.2. «Установка системы учета для технологического присоединения энергопринимающих устройств Заявителя (Лисоченко А.В.) по адресу: Ростовская область, г. Таганрог, ул. Калинина, д. 13-а, к.н.: 61:58:0005014:139 (1 шт.)»</t>
  </si>
  <si>
    <t>«Установка системы учета для технологического присоединения энергопринимающих устройств Заявителя (Карналюк Е.С.) по адресу: Ростовская область, г. Таганрог, ул. 1-я Школьная, д. 6, к.н.: 61:58:0003311:36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</si>
  <si>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пер. Гарибальди, д. 2 (1 шт.)»</t>
  </si>
  <si>
    <t>1.3. «Установка системы учета для технологического присоединения энергопринимающих устройств Заявителя (ИП Мамедов Ш.Ю.) по адресу: Ростовская область, г. Таганрог, пер. Смирновский, д. 137 (1 шт.)»</t>
  </si>
  <si>
    <t>1.2. «Установка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пер. Некрасовский, д. 11а (1 шт.)»</t>
  </si>
  <si>
    <t>«Установка системы учета для технологического присоединения энергопринимающих устройств Заявителя (ИП Антипов А.А.) по адресу: Ростовская область, г. Таганрог, ул. Чехова/ пер. Некрасовский, д. 30/49, кв. 22, к.н.: 61:58:0001028:154 (1 шт.)»</t>
  </si>
  <si>
    <t>Установка системы учета для технологического присоединения энергопринимающих устройств Заявителя (Ващук Т.Н.) по адресу: Ростовская область, г. Таганрог, ул. Чехова, д. 53, квартира 21а, к.н.: 61:58:0001061:276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</si>
  <si>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Чучева, д. 46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</si>
  <si>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Сергея Шило, д.257/1 (1 шт.)</t>
  </si>
  <si>
    <t>Установка системы учета для технологического присоединения энергопринимающих устройств Заявителя (Сизова Ю.А.) по адресу: Ростовская область, г. Таганрог, ул. 3-я Линия, к.н.: 61:58:0004188:75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</si>
  <si>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Сызранова, д. 24-1 (1 шт.)</t>
  </si>
  <si>
    <t>Установка системы учета для технологического присоединения энергопринимающих устройств Заявителя (Ходакова О.А.) по адресу: Ростовская область, г. Таганрог, ул. 3-я Линия, д. 235-а, к.н.: 61:58:0000000:47731 (1 шт.)</t>
  </si>
  <si>
    <t>Установка системы учета для технологического присоединения энергопринимающих устройств Заявителя (Житкова И.И.) по адресу: Ростовская область, Неклиновский район, с. Новобессергеневка, ул. Лескова, д. 23 , к.н. 61:26:0600024:8202 (1 шт.)</t>
  </si>
  <si>
    <t>Установка системы учета для технологического присоединения энергопринимающих устройств Заявителя (Мороз С.С.) по адресу: Ростовская область, Неклиновский район, с. Новобессергеневка, ул. Калинина, д. 29-А, к.н. 61:26:0180101:7519 (1 шт.)</t>
  </si>
  <si>
    <t>Установка системы учета для технологического присоединения энергопринимающих устройств Заявителя ( Отдел МВД РФ по Неклиновскому району Ростовской области) по адресу: Ростовская область, Неклиновский район, 118км Автодороги Ростов-Таганрог-граница Украины, кад. квартал. 61:26:0600018 (1 шт.)</t>
  </si>
  <si>
    <t>Установка системы учета для технологического присоединения энергопринимающих устройств Заявителя (Пашкова Е.А.) по адресу: Ростовская область, Неклиновский район, с. Новобессергеневка, ул. Лескова, д. 23-В, к.н. 61:26:0600024:8200 (1 шт.)</t>
  </si>
  <si>
    <t>Установка системы учета для технологического присоединения энергопринимающих устройств Заявителя (Дорохин И.В.) по адресу: Ростовская область, Неклиновский район, с. Новобессергеневка, ул. Морозова, д. 14-ж, к.н. 61:26:0600024:4254 (1 шт.)</t>
  </si>
  <si>
    <t>Установка системы учета для технологического присоединения энергопринимающих устройств Заявителя (Дорохин И.В.) по адресу: Ростовская область, Неклиновский район, с. Новобессергеневка, ул. Лескова, д. 49, к.н. 61:26:0600024:4248 (1 шт.)</t>
  </si>
  <si>
    <t>Установка системы учета для технологического присоединения энергопринимающих устройств Заявителя (Житкова Е.И.) по адресу: Ростовская область, Неклиновский район, с. Новобессергеневка, ул. Свободы, д. 42, к.н. 61:26:0600024:613 (1 шт.)</t>
  </si>
  <si>
    <t>Установка системы учета для технологического присоединения энергопринимающих устройств Заявителя (Котлярова А.А.) по адресу: Ростовская область, Неклиновский район, с. Николаевка, ул. Гоголя, д. 16-Д, к.н. 61:26:0110101:1963 (1 шт.)</t>
  </si>
  <si>
    <t>Установка системы учета для технологического присоединения энергопринимающих устройств Заявителя (Киселева О.А.) по адресу: Ростовская область, Неклиновский район, х. Мержаново, СНТ «Металлург-6», д. 1099, к.н. 61:26:0505901:507 (1 шт.)</t>
  </si>
  <si>
    <t>Установка системы учета для технологического присоединения энергопринимающих устройств Заявителя (Величко В.В.) по адресу: Ростовская область, Неклиновский район, х. Пименово, ул. Победы, д. 24-А , к.н. 61:26:0190701:264 (1 шт.)</t>
  </si>
  <si>
    <t>Установка системы учета для технологического присоединения энергопринимающих устройств Заявителя (Литвинова А.П.) по адресу: Ростовская область, Неклиновский район, с. Вареновка, ул. Социалистическая, д. 78-А , к.н. 61:26:0040101:5389 (1 шт.)</t>
  </si>
  <si>
    <t>Установка системы учета для технологического присоединения энергопринимающих устройств Заявителя (Восканян В.С.) по адресу: Ростовская область, Мясниковский район, х. Ленинаван, ул. Суворова, д. 40, к.н. 61:25:0600401:6380 (1 шт.)</t>
  </si>
  <si>
    <t>Установка системы учета для технологического присоединения энергопринимающих устройств Заявителя (Егиазарян Э.А.) по адресу: Ростовская область, Мясниковский район, с. Крым, ул. Карьерная, д. 5-а, к.н. 61:25:0201019:1111 (1 шт.)</t>
  </si>
  <si>
    <t>Установка системы учета для технологического присоединения энергопринимающих устройств Заявителя (Егиазарян Э.А.) по адресу: Ростовская область, Мясниковский район, с. Крым, ул. Карьерная, д. 5, к.н. 61:25:0201019:1109 (1 шт.)</t>
  </si>
  <si>
    <t>Установка системы учета для технологического присоединения энергопринимающих устройств Заявителя (Череповская О.В.) по адресу: Ростовская область, Мясниковский район, х. Ленинакан, ул. Сочинская, д. 55, к.н. 61:25:0600401:20549 (1 шт.)</t>
  </si>
  <si>
    <t>Установка системы учета для технологического присоединения энергопринимающих устройств Заявителя (Череповская О.В.) по адресу: Ростовская область, Мясниковский район, х. Ленинакан, ул. Сочинская, д. 53, к.н. 61:25:0600401:20547 (1 шт.)</t>
  </si>
  <si>
    <t>Установка системы учета для технологического присоединения энергопринимающих устройств Заявителя (Малхасян О.С.) по адресу: Ростовская область, Мясниковский район, с. Большие Салы, ул. Белорусская, д. 2, к.н. 61:25:0600501:2487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</si>
  <si>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Ленинакан, ул. Сочинская, д. 76, к.н. 61:25:0600401:20415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</si>
  <si>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Ленинакан, ул. Сочинская, д. 72, к.н. 61:25:0600401:20410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</si>
  <si>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Ленинакан, ул. Сочинская, д. 70, к.н. 61:25:0600401:20408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</si>
  <si>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Ленинакан, ул. Сочинская, д. 68, к.н. 61:25:0600401:20405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</si>
  <si>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Ленинакан, ул. Сочинская, д. 66, к.н. 61:25:0600401:20403 (1 шт.)</t>
  </si>
  <si>
    <t>Установка системы учета для технологического присоединения энергопринимающих устройств Заявителя (Куренкова Н.Н.) по адресу: Ростовская область, Мясниковский район, х. Ленинакан, ул. Сочинская, д. 74, к.н. 61:25:0600401:20411 (1 шт.)</t>
  </si>
  <si>
    <t>Установка системы учета для технологического присоединения энергопринимающих устройств Заявителя (Варданян М.Х.) по адресу: Ростовская область, Мясниковский район, с. Большие Салы, ул. Конституции, д. 1-л, к.н. 61:25:0040101:6091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</si>
  <si>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Ленинакан, ул. 7-я линия, уч. 1, к.н. 61:25:0600401:22966 (1 шт.)</t>
  </si>
  <si>
    <t>Установка системы учета для технологического присоединения энергопринимающих устройств Заявителя (Цыганков Н.Ю.) по адресу: Ростовская область, Мясниковский район, х. Ленинакан, ул. 4-я линия, д. 9, к.н. 61:25:0600401:24683 (1 шт.)</t>
  </si>
  <si>
    <t>Установка системы учета для технологического присоединения энергопринимающих устройств Заявителя (Кияшко В.В.) по адресу: Ростовская область, Мясниковский район, с. Большие Салы, ул. Конституции, уч. 17-а, к.н. 61:25:0040101:6131 (1 шт.)</t>
  </si>
  <si>
    <t>Установка системы учета для технологического присоединения энергопринимающих устройств Заявителя (Постовалова Н.А.) по адресу: Ростовская область, Мясниковский район, с. Большие Салы, ул. Белорусская, д. 1-а, к.н. 61:25:0600501:3200 (1 шт.)</t>
  </si>
  <si>
    <t>Установка системы учета для технологического присоединения энергопринимающих устройств Заявителя (Мелконян А.А.) по адресу: Ростовская область, Мясниковский район, х. Ленинаван, ул. Набережная, д. 7-б, к.н. 61:25:0030202:3816 (1 шт.)</t>
  </si>
  <si>
    <t>Установка системы учета для технологического присоединения энергопринимающих устройств Заявителя (Бибик Ю.А.) по адресу: Ростовская область, Мясниковский район, с. Крым, ул. Секизяна, д. 29, к.н. 61:25:0201023:364 (1 шт.)</t>
  </si>
  <si>
    <t>Установка системы учета для технологического присоединения энергопринимающих устройств Заявителя (ПАО «Газпром газораспределение Ростов-на-Дону») по адресу: Ростовская область, Мясниковский район, х. Ленинаван, к.н. 61:00:0000000:723 (1 шт.)</t>
  </si>
  <si>
    <t>Установка системы учета для технологического присоединения энергопринимающих устройств Заявителя (Галицкий Я.М.) по адресу: Ростовская область, г. Таганрог, ул. Паустовского, д. 51, к.н. 61:58:0005202:15 (1 шт.)</t>
  </si>
  <si>
    <t>Установка системы учета для технологического присоединения энергопринимающих устройств Заявителя (Катраженко М.В.) по адресу: Ростовская область, г. Таганрог, пер. Паровозный, д. 14, к.н.: 61:58:0004233:7 (1 шт.)</t>
  </si>
  <si>
    <t>Установка системы учета для технологического присоединения энергопринимающих устройств Заявителя (Непомнящая А.В.) по адресу: Ростовская область, Неклиновский район, с. Советка, ул. Школьная,  д. 23, к.н. 61:26:0200101:1438 (1 шт.)</t>
  </si>
  <si>
    <t>Установка системы учета для технологического присоединения энергопринимающих устройств Заявителя (Шарапов Б.О.) по адресу: Ростовская область, г. Таганрог, ул. Паустовского, д. 53, к.н. 61:58:0005202:16 (1 шт.)</t>
  </si>
  <si>
    <t>Установка системы учета для технологического присоединения энергопринимающих устройств Заявителя (Потеря А.В.) по адресу: Ростовская область, Неклиновский район, с. Вареновка, ул. Садовая, д. 147, к.н. 61:26:0040101:723 (1 шт.)</t>
  </si>
  <si>
    <t>Установка системы учета для технологического присоединения энергопринимающих устройств Заявителя (Николаенко В.Г.) по адресу: Ростовская область, Неклиновский район, х. Мержаново, СНТ «Металлург-6», д. 1085, к.н. 61:26:0505901:521 (1 шт.)</t>
  </si>
  <si>
    <t>Установка системы учета для технологического присоединения энергопринимающих устройств Заявителя (Цыганов А.Н.) по адресу: Ростовская область, Неклиновский район, с. Новобессергеневка, ул. Лескова, д. 18-А, к.н. 61:26:0600024:8310 (1 шт.)</t>
  </si>
  <si>
    <t>Установка системы учета для технологического присоединения энергопринимающих устройств Заявителя (Штайнмец Р.А.) по адресу: Ростовская область, Неклиновский район, с. Новобессергеневка, ул. Солнечная д. 28-В, к.н. 61:26:0600024:9250 (1 шт.)</t>
  </si>
  <si>
    <t>Установка системы учета для технологического присоединения энергопринимающих устройств Заявителя (Крамазанова А.А.) по адресу: Ростовская область, Неклиновский район, с. Николаевка, пер. Кутузовский, д. 2-Б, к.н. 61:26:0110101:2230 (1 шт.)</t>
  </si>
  <si>
    <t>Установка системы учета для технологического присоединения энергопринимающих устройств Заявителя (Абдулгалимов А.М.) по адресу: Ростовская область, Неклиновский район, с. Новобессергеневка, ул. Лескова, д. 33, к.н. 61:26:0600024:2838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</si>
  <si>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Лескова, д. 26-А, к.н. 61:26:0600024:10108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</si>
  <si>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Лескова, д. 26, к.н. 61:26:0600024:10112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</si>
  <si>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Лескова, д. 26-Б, к.н. 61:26:0600024:10113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</si>
  <si>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Лескова, д. 28, к.н. 61:26:0600024:10109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</si>
  <si>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Лескова, д. 28-А, к.н. 61:26:0600024:10110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</si>
  <si>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Лескова, д. 28-Б, к.н. 61:26:0600024:10111 (1 шт.)</t>
  </si>
  <si>
    <t>Установка системы учета для технологического присоединения энергопринимающих устройств Заявителя (Надолинская И.В.) по адресу: Ростовская область, Неклиновский район, с. Новобессергеневка, ул. Инициативная, д. 31, к.н. 61:26:0600024:6979 (1 шт.)</t>
  </si>
  <si>
    <t>Установка системы учета для технологического присоединения энергопринимающих устройств Заявителя (Добрынин С.Н.) по адресу: Ростовская область, Мясниковский район, х. Красный Крым, ул. Бирюзовая, д. 53/2, к.н. 61:25:0600401:14178 (1 шт.)</t>
  </si>
  <si>
    <t>Установка системы учета для технологического присоединения энергопринимающих устройств Заявителя (Пушкарев В.А.) по адресу: Ростовская область, Мясниковский район, с. Крым, ул. Александра Суворова, д. 51, к.н. 61:25:0600201:1683 (1 шт.)</t>
  </si>
  <si>
    <t>Установка системы учета для технологического присоединения энергопринимающих устройств Заявителя (Кадыров Р.Г.О.) по адресу: Ростовская область, Мясниковский район, х. Красный Крым, ул. Благодатная, д. 54, к.н. 61:25:0600401:20152 (1 шт.)</t>
  </si>
  <si>
    <t>Установка системы учета для технологического присоединения энергопринимающих устройств Заявителя (Скрыгин А.В.) по адресу: Ростовская область, Мясниковский район, с. Чалтырь, ул. Салых-Су, д. 15-б, к.н. 61:25:0101512:362 (1 шт.)</t>
  </si>
  <si>
    <t>Установка системы учета для технологического присоединения энергопринимающих устройств Заявителя (Ахмаева Д.Р.) по адресу: Ростовская область, Мясниковский район, х. Красный Крым, ул. Южная, д. 3, к.н. 61:25:0600401:20802 (1 шт.)</t>
  </si>
  <si>
    <t>Установка системы учета для технологического присоединения энергопринимающих устройств Заявителя (Черниченко Д.В.) по адресу: Ростовская область, Мясниковский район, х. Красный Крым, ул. Александровская, д. 19, к.н. 61:25:0600401:25280 (1 шт.)</t>
  </si>
  <si>
    <t>Установка системы учета для технологического присоединения энергопринимающих устройств Заявителя (Секизян Д.М.) по адресу: Ростовская область, Мясниковский район, х. Красный Крым, ул. Абовяна, д. 20, к.н. 61:25:0030101:2466 (1 шт.)</t>
  </si>
  <si>
    <t>Установка системы учета для технологического присоединения энергопринимающих устройств Заявителя (Кеян А.А.) по адресу: Ростовская область, Мясниковский район, х. Красный Крым, ул. Благодатная, д. 48, к.н. 61:25:0600401:20149 (1 шт.)</t>
  </si>
  <si>
    <t>Установка системы учета для технологического присоединения энергопринимающих устройств Заявителя (Захарова Е.М.) по адресу: Ростовская область, Мясниковский район, х. Ленинаван, ул. Баттиччели, д. 8, корп. а, к.н. 61:25:0600401:18136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</si>
  <si>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Ленинаван, ул. Садовая, к.н. 61:25:0030202:5270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</si>
  <si>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Ленинаван, ул. Садовая, к.н. 61:25:0030202:5269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</si>
  <si>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Ленинаван, ул. Садовая, к.н. 61:25:0030202:5268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</si>
  <si>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Ленинаван, ул. Садовая, к.н. 61:25:0030202:5267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</si>
  <si>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Ленинаван, ул. Садовая, к.н. 61:25:0030202:5266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</si>
  <si>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Ленинаван, ул. Садовая, к.н. 61:25:0030202:5265 (1 шт.)</t>
  </si>
  <si>
    <t>Установка системы учета для технологического присоединения энергопринимающих устройств Заявителя (Акопян К.Н.) по адресу: Ростовская область, Мясниковский район, х. Ленинаван, ул. Абовяна, д. 34-в, к.н. 61:25:0030202:5033 (1 шт.)</t>
  </si>
  <si>
    <t>Установка системы учета для технологического присоединения энергопринимающих устройств Заявителя (Кудряшов Е.Г.) по адресу: Ростовская область, Мясниковский район, с. Крым, ул. Григора Бабияна, д. 38-б, к.н. 61:25:0600201:1603 (1 шт.)</t>
  </si>
  <si>
    <t>Установка системы учета для технологического присоединения энергопринимающих устройств Заявителя (Кудряшов Е.Г.) по адресу: Ростовская область, Мясниковский район, с. Крым, ул. Григора Бабияна, д. 38-а, к.н. 61:25:0600201:1602 (1 шт.)</t>
  </si>
  <si>
    <t>Установка системы учета для технологического присоединения энергопринимающих устройств Заявителя (Краснокутская Н.Л.) по адресу: Ростовская область, Мясниковский район, х. Красный Крым, ул. Верхняя, д. 46, к.н. 61:25:0600401:18734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</si>
  <si>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21, к.н. 61:25:0600401:24385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</si>
  <si>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19, к.н. 61:25:0600401:24384 (1 шт.)</t>
  </si>
  <si>
    <t>Установка системы учета для технологического присоединения энергопринимающих устройств Заявителя (Тамбиева М.Ю.) по адресу: Ростовская область, Мясниковский район, х. Красный Крым, ул. Благодатная, д. 70, к.н. 61:25:0600401:20161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</si>
  <si>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Красный Крым, ул. Крымская, д. 49, к.н. 61:25:0600401:16887 (1 шт.)</t>
  </si>
  <si>
    <t>Установка системы учета для технологического присоединения энергопринимающих устройств Заявителя (Димитрова И.П.) по адресу: Ростовская область, Мясниковский район, х. Красный Крым, ул. Крымская, д. 47, к.н. 61:25:0600401:16892 (1 шт.)</t>
  </si>
  <si>
    <t>Установка системы учета для технологического присоединения энергопринимающих устройств Заявителя (Кузнецов Е.В.) по адресу: Ростовская область, Мясниковский район, х. Красный Крым, ул. Баграмяна, д. 46, к.н. 61:25:0600401:23261 (1 шт.)</t>
  </si>
  <si>
    <t>Установка системы учета для технологического присоединения энергопринимающих устройств Заявителя (Асатрян С.Х.) по адресу: Ростовская область, Мясниковский район, х. Красный Крым, ул. Южная, д. 31, к.н. 61:25:0600401:20818 (1 шт.)</t>
  </si>
  <si>
    <t>Установка системы учета для технологического присоединения энергопринимающих устройств Заявителя (Чикризов В.Ю.) по адресу: Ростовская область, Мясниковский район, х. Ленинаван, ул. Штрауса, д. 19-б, к.н. 61:25:0600401:15148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</si>
  <si>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Крым, ул. Крестьянская, д. 6-б, к.н. 61:25:0201003:562 (1 шт.)</t>
  </si>
  <si>
    <t>Установка системы учета для технологического присоединения энергопринимающих устройств Заявителя (Османян В.М.) по адресу: Ростовская область, Мясниковский район, с. Чалтырь, ул. Ростовская, д. 18-б, к.н. 61:25:0101209:242 (1 шт.)</t>
  </si>
  <si>
    <t>Установка системы учета для технологического присоединения энергопринимающих устройств Заявителя (Карпенко А.С.) по адресу: Ростовская область, Мясниковский район, х. Красный Крым, ул. Налбандяна, д. 18, к.н. 61:25:0600401:17810 (1 шт.)</t>
  </si>
  <si>
    <t>Установка системы учета для технологического присоединения энергопринимающих устройств Заявителя (Оганесян Г.М.) по адресу: Ростовская область, Мясниковский район, х. Ленинакан, ул. Цветочная, д. 8-б, к.н. 61:25:0030301:2046 (1 шт.)</t>
  </si>
  <si>
    <t>Установка системы учета для технологического присоединения энергопринимающих устройств Заявителя (Севостьянов В.А.) по адресу: Ростовская область, Мясниковский район, х. Ленинакан, ул. Майская, д. 24-а, к.н. 61:25:0600401:18839 (1 шт.)</t>
  </si>
  <si>
    <t>Установка системы учета для технологического присоединения энергопринимающих устройств Заявителя (Аветисян Г.М.) по адресу: Ростовская область, Мясниковский район, с. Крым, ул. Генерала Джелаухова, д. 54-а, к.н. 61:25:0600201:1633 (1 шт.)</t>
  </si>
  <si>
    <t>Установка системы учета для технологического присоединения энергопринимающих устройств Заявителя (Ахаев А.М.) по адресу: Ростовская область, Мясниковский район, х. Ленинакан, ул. Майская, д. 20-а, к.н. 61:25:0600401:18000 (1 шт.)</t>
  </si>
  <si>
    <t>Установка системы учета для технологического присоединения энергопринимающих устройств Заявителя (Крылов В.А.) по адресу: Ростовская область, Мясниковский район, х. Ленинаван, ул. Центральная, д. 6-б, к.н. 61:25:0600401:19789 (1 шт.)</t>
  </si>
  <si>
    <t>Установка системы учета для технологического присоединения энергопринимающих устройств Заявителя (Ермарченко К.К.) по адресу: Ростовская область, Мясниковский район, х. Красный Крым, ул. Георгиевская, д. 46, к.н. 61:25:0600401:21668 (1 шт.)</t>
  </si>
  <si>
    <t>Установка системы учета для технологического присоединения энергопринимающих устройств Заявителя (Проскурина В.А.) по адресу: Ростовская область, Мясниковский район, х. Красный Крым, ул. Турмалиновая, д. 29, к.н. 61:25:0600401:20780 (1 шт.)</t>
  </si>
  <si>
    <t>Установка системы учета для технологического присоединения энергопринимающих устройств Заявителя (Топалян С.Л.) по адресу: Ростовская область, Мясниковский район, х. Красный Крым, ул. Турмалиновая, д. 27, к.н. 61:25:0600401:20778 (1 шт.)</t>
  </si>
  <si>
    <t>Установка системы учета для технологического присоединения энергопринимающих устройств Заявителя (Хавранян А.О.) по адресу: Ростовская область, Мясниковский район, с. Чалтырь, ул. Западная, д. 84, кв. а, к.н. 61:25:0101602:932 (1 шт.)</t>
  </si>
  <si>
    <t>Установка системы учета для технологического присоединения энергопринимающих устройств Заявителя (Разбежкина П.А.) по адресу: Ростовская область, Мясниковский район, х. Красный Крым, ул. Турмалиновая, д. 21/3, к.н. 61:25:0600401:23345 (1 шт.)</t>
  </si>
  <si>
    <t>Установка системы учета для технологического присоединения энергопринимающих устройств Заявителя (Смайлиев А.С.) по адресу: Ростовская область, Мясниковский район, х. Ленинакан, ул. Осенняя, д. 19-а, к.н. 61:25:0600401:18041 (1 шт.)</t>
  </si>
  <si>
    <t>Установка системы учета для технологического присоединения энергопринимающих устройств Заявителя (Хузин И.А.) по адресу: Ростовская область, Мясниковский район, х. Ленинакан, ул. Центральная, д. 48, к.н. 61:25:0600401:25269 (1 шт.)</t>
  </si>
  <si>
    <t>Установка системы учета для технологического присоединения энергопринимающих устройств Заявителя (Высочина Н.Л.) по адресу: Ростовская область, Мясниковский район, х. Ленинаван, ул. Баттиччели, д. 9, к.н. 61:25:0600401:19594 (1 шт.)</t>
  </si>
  <si>
    <t>Установка системы учета для технологического присоединения энергопринимающих устройств Заявителя (Ягодина Е.В.) по адресу: Ростовская область, Мясниковский район, х. Красный Крым, ул. Турмалиновая, д. 21/2, к.н. 61:25:0600401:23344 (1 шт.)</t>
  </si>
  <si>
    <t>Установка системы учета для технологического присоединения энергопринимающих устройств Заявителя (Акопян К.Н.) по адресу: Ростовская область, Мясниковский район, х. Ленинаван, ул. Абовяна, д. 34-б, к.н. 61:25:0030202:5032 (1 шт.)</t>
  </si>
  <si>
    <t>Установка системы учета для технологического присоединения энергопринимающих устройств Заявителя (Кожомбердиев О.А.) по адресу: Ростовская область, Мясниковский район, х. Красный Крым, ул. Крымская, д. 20, к.н. 61:25:0600401:16904 (1 шт.)</t>
  </si>
  <si>
    <t>Установка системы учета для технологического присоединения энергопринимающих устройств Заявителя (Кожомбердиев О.А.) по адресу: Ростовская область, Мясниковский район, х. Красный Крым, ул. Крымская, д. 58, к.н. 61:25:0600401:16927 (1 шт.)</t>
  </si>
  <si>
    <t>Установка системы учета для технологического присоединения энергопринимающих устройств Заявителя (Волошин С.А.) по адресу: Ростовская область, Мясниковский район, х. Ленинакан, ул. 8-я линия, д. 90, к.н. 61:25:0600401:18936 (1 шт.)</t>
  </si>
  <si>
    <t>Установка системы учета для технологического присоединения энергопринимающих устройств Заявителя (Носачев В.А.) по адресу: Ростовская область, Мясниковский район, х. Красный Крым, ул. Сатхинская, д. 11, к.н. 61:25:0600401:17263 (1 шт.)</t>
  </si>
  <si>
    <t>Установка системы учета для технологического присоединения энергопринимающих устройств Заявителя (Шамрай С.В.) по адресу: Ростовская область, Мясниковский район, х. Ленинакан, ул. 2-я линия, д. 7, к.н. 61:25:0600401:20179 (1 шт.)</t>
  </si>
  <si>
    <t>Установка системы учета для технологического присоединения энергопринимающих устройств Заявителя (Азимбаева Ч.Б.) по адресу: Ростовская область, Мясниковский район, х. Красный Крым, ул. Благодатная, д. 68, к.н. 61:25:0600401:20160 (1 шт.)</t>
  </si>
  <si>
    <t>Установка системы учета для технологического присоединения энергопринимающих устройств Заявителя (Сохаревич Ю.А.) по адресу: Ростовская область, Мясниковский район, х. Красный Крым, ул. Садовая, д. 28, к.н. 61:25:0600401:21193 (1 шт.)</t>
  </si>
  <si>
    <t>Установка системы учета для технологического присоединения энергопринимающих устройств Заявителя (ИП Согомонян А.Д.) по адресу: Ростовская область, Мясниковский район, с. Крым, ул. 8-я линия, д. 51, к.н. 61:25:0201029:244 (1 шт.)</t>
  </si>
  <si>
    <t>Установка системы учета для технологического присоединения энергопринимающих устройств Заявителя (Андреев Р.Н.) по адресу: Ростовская область, Мясниковский район, х. Красный Крым, ул. Баграмяна, д. 30, к.н. 61:25:0600401:23252 (1 шт.)</t>
  </si>
  <si>
    <t>Установка системы учета для технологического присоединения энергопринимающих устройств Заявителя (Никогосян П.А.) по адресу: Ростовская область, Мясниковский район, х. Красный Крым, ул. Георгиевская, д. 48-а, к.н. 61:25:0600401:21505 (1 шт.)</t>
  </si>
  <si>
    <t>Установка системы учета для технологического присоединения энергопринимающих устройств Заявителя (Маргарян С.В.) по адресу: Ростовская область, Мясниковский район, с. Чалтырь, ул. Лазоревая, д. 27-а, к.н. 61:25:0101602:872 (1 шт.)</t>
  </si>
  <si>
    <t>Установка системы учета для технологического присоединения энергопринимающих устройств Заявителя (Иванов Л.В.) по адресу: Ростовская область, Мясниковский район, х. Красный Крым, ул. Крымская, д. 36, к.н. 61:25:0600401:16925 (1 шт.)</t>
  </si>
  <si>
    <t>Установка системы учета для технологического присоединения энергопринимающих устройств Заявителя (Легков А.Н.) по адресу: Ростовская область, Мясниковский район, х. Красный Крым, ул. Сатхинская, д. 53, к.н. 61:25:0600401:17240 (1 шт.)</t>
  </si>
  <si>
    <t>Установка системы учета для технологического присоединения энергопринимающих устройств Заявителя (Фадеев К.Ю.) по адресу: Ростовская область, Мясниковский район, х. Красный Крым, ул. Садовая, д. 22, к.н. 61:25:0600401:21196 (1 шт.)</t>
  </si>
  <si>
    <t>Установка системы учета для технологического присоединения энергопринимающих устройств Заявителя (Ковалев П.В.) по адресу: Ростовская область, Мясниковский район, х. Красный Крым, ул. Баграмяна, д. 53, к.н. 61:25:0600401:18268 (1 шт.)</t>
  </si>
  <si>
    <t>Установка системы учета для технологического присоединения энергопринимающих устройств Заявителя (Гирева В.А.) по адресу: Ростовская область, Мясниковский район, х. Красный Крым, ул. Александровская, д. 19-а, к.н. 61:25:0600401:20981 (1 шт.)</t>
  </si>
  <si>
    <t>Установка системы учета для технологического присоединения энергопринимающих устройств Заявителя (Никитина Р.В.) по адресу: Ростовская область, Мясниковский район, х. Красный Крым, ул. Александровская, д. 15, к.н. 61:25:0600401:20977 (1 шт.)</t>
  </si>
  <si>
    <t>Установка системы учета для технологического присоединения энергопринимающих устройств Заявителя (Доценко А.С.) по адресу: Ростовская область, Мясниковский район, х. Красный Крым, ул. Верхняя, д. 74, к.н. 61:25:0600401:18749 (1 шт.)</t>
  </si>
  <si>
    <t>Установка системы учета для технологического присоединения энергопринимающих устройств Заявителя (Торосян Г.А.) по адресу: Ростовская область, Мясниковский район, х. Ленинакан, ул. 6-я линия, д. 8, к.н. 61:25:0600401:23027 (1 шт.)</t>
  </si>
  <si>
    <t>Установка системы учета для технологического присоединения энергопринимающих устройств Заявителя (Пономарев И.Н.) по адресу: Ростовская область, Мясниковский район, х. Ленинакан, ул. 6-я линия, д. 10, к.н. 61:25:0600401:23026 (1 шт.)</t>
  </si>
  <si>
    <t>Установка системы учета для технологического присоединения энергопринимающих устройств Заявителя (Попов Р.В.) по адресу: Ростовская область, Мясниковский район, х. Ленинакан, ул. Сочинская, д. 36, к.н. 61:25:0600401:20371 (1 шт.)</t>
  </si>
  <si>
    <t>«Установка системы учета для технологического присоединения энергопринимающих устройств Заявителя (Ильичева Т.А.) по адресу: Ростовская область, М-Курганский район, п. Матвеев Курган, ул. Таганрогская, д. 65а, к.н. 61:21:0010127:163 (1 шт.)»</t>
  </si>
  <si>
    <t>Установка системы учета для технологического присоединения энергопринимающих устройств Заявителя (Бойко В.Н.) по адресу: Ростовская область, г. Таганрог, СНТ «Дачное-1», аллея 2, участок №14, к.н.: 61:58:0006056:1020 (1 шт.)</t>
  </si>
  <si>
    <t>Установка системы учета для технологического присоединения энергопринимающих устройств Заявителя (Шилова Н.В.) по адресу: Ростовская область, г. Таганрог, проезд Линейный 4-й, д. 96 (к.н.: 61:58:0004188:75) (1 шт.)</t>
  </si>
  <si>
    <t>Установка системы учета для технологического присоединения энергопринимающих устройств Заявителя (Арустамова А.П.) по адресу: Ростовская область, г. Таганрог, 15-й Переулок, д. 76, к.н.: 61:58:0002167:53 (1 шт.)</t>
  </si>
  <si>
    <t>Установка системы учета для технологического присоединения энергопринимающих устройств Заявителя (Ковалев С.Н.) по адресу: Ростовская область, г. Таганрог, ул. Бартини, д. 38, к.н. 61:58:0005233:13 (1 шт.)</t>
  </si>
  <si>
    <t>Установка системы учета для технологического присоединения энергопринимающих устройств Заявителя (Кузьменко В.И,) по адресу: Ростовская область, Неклиновский район, , с. Николаевка, ул. Парковая. д. 8-Б, к.н. 61:26:0110101:10339  (1 шт.)</t>
  </si>
  <si>
    <t>Установка системы учета для технологического присоединения энергопринимающих устройств Заявителя (Кузьменко Ю.Д.) по адресу: Ростовская область, Неклиновский район, с. Николаевка, ул. Парковая. д. 10-Б, к.н. 61:26:0110101:10336 (1 шт.)</t>
  </si>
  <si>
    <t>Установка системы учета для технологического присоединения энергопринимающих устройств Заявителя (Ганчурукова А.В.) по адресу: Ростовская область, Неклиновский район, х. Мержаново, СНТ «Металлург-6», уч. 1026, к.н. 61:26:0505901:579 (1 шт.)</t>
  </si>
  <si>
    <t>Установка системы учета для технологического присоединения энергопринимающих устройств Заявителя (Ангел Д.Г.) по адресу: Ростовская область, Неклиновский район, с. Новобессергеневка, ул. Транспортная, д. 5-А, к.н. 61:26:0180101:7910 (1 шт.)</t>
  </si>
  <si>
    <t>Установка системы учета для технологического присоединения энергопринимающих устройств Заявителя (Гугукин В.Ю.) по адресу: Ростовская область, Неклиновский район, с. Боцманово, ул. Новая, д. 28-Б, к.н. 61:26:0070801:2355 (1 шт.)</t>
  </si>
  <si>
    <t>Установка системы учета для технологического присоединения энергопринимающих устройств Заявителя (Патюченко Т.В.) по адресу: Ростовская область, г. Таганрог, около ул. Бровикова, уч. 15, к.н. 61:58:0006027:1007 (1 шт.)</t>
  </si>
  <si>
    <t>Установка системы учета для технологического присоединения энергопринимающих устройств Заявителя (Мхоян Г.Г.) по адресу: Ростовская область, Неклиновский район, с. Новобессергеневка, ул. Ленина, д. 32-В, к.н. 61:26:0180101:8182 (1 шт.)</t>
  </si>
  <si>
    <t>Установка системы учета для технологического присоединения энергопринимающих устройств Заявителя (Мхоян Г.Г.) по адресу: Ростовская область, Неклиновский район, с. Новобессергеневка, ул. Ленина, д. 32-Б, к.н. 61:26:0180101:8183 (1 шт.)</t>
  </si>
  <si>
    <t>Установка системы учета для технологического присоединения энергопринимающих устройств Заявителя (Мхоян Г.Г.) по адресу: Ростовская область, Неклиновский район, с. Новобессергеневка, ул. Ленина, д. 32-А, к.н. 61:26:0180101:8184 (1 шт.)</t>
  </si>
  <si>
    <t>Установка системы учета для технологического присоединения энергопринимающих устройств Заявителя (Логунова Е.К.) по адресу: Ростовская область, Неклиновский район, с. Новобессергеневка, ул. Транспортная, д. 8-ж, к.н. 61:26:0600024:2168 (1 шт.)</t>
  </si>
  <si>
    <t>Установка системы учета для технологического присоединения энергопринимающих устройств Заявителя (Камеаев А.Ю.) по адресу: Ростовская область, Неклиновский район, с. Вареновка, ул. Социалистическая, д. 73 , к.н. 61:26:0040101:6042 (1 шт.)</t>
  </si>
  <si>
    <t>Установка системы учета для технологического присоединения энергопринимающих устройств Заявителя (Панченко И.Ю.) по адресу: Ростовская область, Неклиновский район, п. Федосеевка, ул. Миусская, д. 11, к.н. 61:26:0010401:77 (1 шт.)</t>
  </si>
  <si>
    <t>Установка системы учета для технологического присоединения энергопринимающих устройств Заявителя (Польский А.В.) по адресу: Ростовская область, Неклиновский район, с. Новобессергеневка, ул. Свободы, д. 41-А, к.н. 61:26:0600024:6547 (1 шт.)</t>
  </si>
  <si>
    <t>Установка системы учета для технологического присоединения энергопринимающих устройств Заявителя (Смолянский Н.В.) по адресу: Ростовская область, Неклиновский район, х. Мержаново, СНТ «Металлург-6», уч. 1117, к.н. 61:26:0505901:488 (1 шт.)</t>
  </si>
  <si>
    <t>Установка системы учета для технологического присоединения энергопринимающих устройств Заявителя (Кищенко О.И.) по адресу: Ростовская область, Неклиновский район, с. Боцманово, ул. Октябрьская, д. 54, к.н. 61:26:0070801:1868 (1 шт.)</t>
  </si>
  <si>
    <t>Установка системы учета для технологического присоединения энергопринимающих устройств Заявителя (Курунина О.Ю.) по адресу: Ростовская область, Неклиновский район, с. Николаевка, пер. Ореховый, д. 254, к.н. 61:26:0513801:143 (1 шт.)</t>
  </si>
  <si>
    <t>Установка системы учета для технологического присоединения энергопринимающих устройств Заявителя (Киракосян А.Г.) по адресу: Ростовская область, г. Таганрог, ул. Танича,  д. 68/пер. Лавровский, д. 8, к.н. 61:58:0006027:1059 (1 шт.)</t>
  </si>
  <si>
    <t>Установка системы учета для технологического присоединения энергопринимающих устройств Заявителя (Киракосян А.Г.) по адресу: Ростовская область, г. Таганрог, ул. Танича, д. 70, к.н. 61:58:0006027:1059 (1 шт.)</t>
  </si>
  <si>
    <t>Установка системы учета для технологического присоединения энергопринимающих устройств Заявителя (Зражевский А.В.) по адресу: Ростовская область, Неклиновский район, с. Боцманово, ул. Новая, д. 79, к.н. 61:26:070801:2347 (1 шт.)</t>
  </si>
  <si>
    <t>Установка системы учета для технологического присоединения энергопринимающих устройств Заявителя (Зражевская О.С) по адресу: Ростовская область, Неклиновский район, с. Боцманово, ул. Новая, д. 79, к.н. 61:26:070801:0428 (1 шт.)</t>
  </si>
  <si>
    <t>Установка системы учета для технологического присоединения энергопринимающих устройств Заявителя (Кохликян А.М.) по адресу: Ростовская область, Мясниковский район, х. Красный Крым, ул. Новая, д. 37, к.н. 61:25:0600401:10285 (1 шт.)</t>
  </si>
  <si>
    <t>Установка системы учета для технологического присоединения энергопринимающих устройств Заявителя (Егиазарян Р.Е.) по адресу: Ростовская область, Мясниковский район, с. Чалтырь, ул. Социалистическая,  к.н. 61:25:0101232:685 (1 шт.)</t>
  </si>
  <si>
    <t>Установка системы учета для технологического присоединения энергопринимающих устройств Заявителя (Хейгетян Г.Е.) по адресу: Ростовская область, Мясниковский район, с. Крым, ул. Кардашяна, д. 14-а, к.н. 61:25:0201001:426 (1 шт.)</t>
  </si>
  <si>
    <t>Установка системы учета для технологического присоединения энергопринимающих устройств Заявителя (Хейгетян Г.Е.) по адресу: Ростовская область, Мясниковский район, с. Крым, ул. Кардашяна, д. 14, к.н. 61:25:0201001:425 (1 шт.)</t>
  </si>
  <si>
    <t>Установка системы учета для технологического присоединения энергопринимающих устройств Заявителя (Согомонян Т.Х.) по адресу: Ростовская область, Мясниковский район, с. Чалтырь, ул. Налбандяна, д. 15-б, к.н. 61:25:0101506:12 (1 шт.)</t>
  </si>
  <si>
    <t>Установка системы учета для технологического присоединения энергопринимающих устройств Заявителя (Халилов И.К.) по адресу: Ростовская область, Мясниковский район, х. Красный Крым, ул. Александровская, д. 31, к.н. 61:25:0600401:20965 (1 шт.)</t>
  </si>
  <si>
    <t>Установка системы учета для технологического присоединения энергопринимающих устройств Заявителя (Халилов И.К.) по адресу: Ростовская область, Мясниковский район, х. Красный Крым, ул. Александровская, д. 29-а, к.н. 61:25:0600401:20968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</si>
  <si>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 4, к.н. 61:25:0600401:20799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</si>
  <si>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Красный Крым, ул. Южная, д. 2, к.н. 61:25:0600401:24832 (1 шт.)</t>
  </si>
  <si>
    <t>Установка системы учета для технологического присоединения энергопринимающих устройств Заявителя (Подкопаева Г.Р.) по адресу: Ростовская область, Мясниковский район, х. Красный Крым, ул. Капитальная, д. 3, к.н. 61:25:0600401:17189 (1 шт.)</t>
  </si>
  <si>
    <t>Установка системы учета для технологического присоединения энергопринимающих устройств Заявителя (Подкопаева Г.Р.) по адресу: Ростовская область, Мясниковский район, х. Красный Крым, ул. Капитальная, д. 1, к.н. 61:25:0600401:17188 (1 шт.)</t>
  </si>
  <si>
    <t>Установка системы учета для технологического присоединения энергопринимающих устройств Заявителя (Шпыпко Д.С.) по адресу: Ростовская область, Мясниковский район, х. Ленинакан, ул. 8-я линия, д. 66, к.н. 61:25:0600401:19046 (1 шт.)</t>
  </si>
  <si>
    <t>Установка системы учета для технологического присоединения энергопринимающих устройств Заявителя (Шпыпко Д.С.) по адресу: Ростовская область, Мясниковский район, х. Ленинакан, ул. 8-я линия, д. 64, к.н. 61:25:0600401:19045 (1 шт.)</t>
  </si>
  <si>
    <t>Установка системы учета для технологического присоединения энергопринимающих устройств Заявителя (Шпыпко Д.С.) по адресу: Ростовская область, Мясниковский район, х. Ленинакан, ул. 8-я линия, д. 62, к.н. 61:25:0600401:19044 (1 шт.)</t>
  </si>
  <si>
    <t>Установка системы учета для технологического присоединения энергопринимающих устройств Заявителя (Шпыпко Д.С.) по адресу: Ростовская область, Мясниковский район, х. Ленинакан, ул. 8-я линия, д. 44, к.н. 61:25:0600401:19034(1 шт.)</t>
  </si>
  <si>
    <t>Установка системы учета для технологического присоединения энергопринимающих устройств Заявителя (Шпыпко Д.С.) по адресу: Ростовская область, Мясниковский район, х. Ленинакан, ул. 8-я линия, д. 40, к.н. 61:25:0600401:19032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</si>
  <si>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56, к.н. 61:25:0600401:19041 (1 шт.)</t>
  </si>
  <si>
    <t>Установка системы учета для технологического присоединения энергопринимающих устройств Заявителя (Мерещук Н.П.) по адресу: Ростовская область, Мясниковский район, х. Красный Крым, ул. Юбилейная, д. 41/3, к.н. 61:25:0600401:21597 (1 шт.)</t>
  </si>
  <si>
    <t>Установка системы учета для технологического присоединения энергопринимающих устройств Заявителя (Меерович Р.А.) по адресу: Ростовская область, Мясниковский район, х. Красный Крым, ул. Крымская, д. 9, к.н. 61:25:0600401:16882 (1 шт.)</t>
  </si>
  <si>
    <t>Установка системы учета для технологического присоединения энергопринимающих устройств Заявителя (Рой М.И.) по адресу: Ростовская область, Мясниковский район, х. Ленинаван, ул. Баттиччели, д. 12-а, к.н. 61:25:0600401:19475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</si>
  <si>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Тбилисская, д. 35, к.н. 61:25:0600501:3058 (1 шт.)</t>
  </si>
  <si>
    <t>Установка системы учета для технологического присоединения энергопринимающих устройств Заявителя (Аветисян М.С.) по адресу: Ростовская область, Мясниковский район, с. Большие Салы, ул. Московская, д. 29, к.н. 61:25:0600501:3035 (1 шт.)</t>
  </si>
  <si>
    <t>Установка системы учета для технологического присоединения энергопринимающих устройств Заявителя (Ложкина В.С.) по адресу: Ростовская область, Мясниковский район, х. Красный Крым, ул. Юбилейная, д. 39/3, к.н. 61:25:0600401:21599 (1 шт.)</t>
  </si>
  <si>
    <t>Установка системы учета для технологического присоединения энергопринимающих устройств Заявителя (Смородин И.В.) по адресу: Ростовская область, Мясниковский район, х. Красный Крым, ул. Южная, д. 23, к.н. 61:25:0600401:20813 (1 шт.)</t>
  </si>
  <si>
    <t>Установка системы учета для технологического присоединения энергопринимающих устройств Заявителя (Червоный В.Г.) по адресу: Ростовская область, Мясниковский район, х. Красный Крым, ул. Лесная, д. 46, к.н. 61:25:0600401:21878 (1 шт.)</t>
  </si>
  <si>
    <t>Установка системы учета для технологического присоединения энергопринимающих устройств Заявителя (Палавинский Д.Ж.) по адресу: Ростовская область, Мясниковский район, х. Красный Крым, ул. Лесная, д. 44, к.н. 61:25:0600401:21877 (1 шт.)</t>
  </si>
  <si>
    <t>Установка системы учета для технологического присоединения энергопринимающих устройств Заявителя (Палавинский Д.Ж.) по адресу: Ростовская область, Мясниковский район, х. Красный Крым, ул. Лесная, д. 42, к.н. 61:25:0600401:21876 (1 шт.)</t>
  </si>
  <si>
    <t>Установка системы учета для технологического присоединения энергопринимающих устройств Заявителя (Палавинский Д.Ж.) по адресу: Ростовская область, Мясниковский район, х. Красный Крым, ул. Лесная, д. 40, к.н. 61:25:0600401:21875 (1 шт.)</t>
  </si>
  <si>
    <t>Установка системы учета для технологического присоединения энергопринимающих устройств Заявителя (Палавинский Д.Ж.) по адресу: Ростовская область, Мясниковский район, х. Красный Крым, ул. Лесная, д. 38, к.н. 61:25:0600401:21874 (1 шт.)</t>
  </si>
  <si>
    <t>Установка системы учета для технологического присоединения энергопринимающих устройств Заявителя (Колесников И.Н.) по адресу: Ростовская область, Мясниковский район, х. Красный Крым, ул. Верхняя, д. 56, к.н. 61:25:0600401:18739 (1 шт.)</t>
  </si>
  <si>
    <t>Установка системы учета для технологического присоединения энергопринимающих устройств Заявителя (Евдокимова М.С.) по адресу: Ростовская область, Мясниковский район, х. Красный Крым, ул. Звездная, д. 35-а, к.н. 61:25:0600401:17143 (1 шт.)</t>
  </si>
  <si>
    <t>Установка системы учета для технологического присоединения энергопринимающих устройств Заявителя (Морозова Л.А.) по адресу: Ростовская область, Мясниковский район, х. Красный Крым, ул. Налбандяна, д. 5, к.н. 61:25:0600401:17790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</si>
  <si>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60, к.н. 61:25:0600401:19043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</si>
  <si>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58, к.н. 61:25:0600401:19042 (1 шт.)</t>
  </si>
  <si>
    <t>Установка системы учета для технологического присоединения энергопринимающих устройств Заявителя (Бабиев А.В.) по адресу: Ростовская область, Мясниковский район, х. Ленинакан, ул. Степная, д. 79-а, к.н. 61:25:0030301:1474 (1 шт.)</t>
  </si>
  <si>
    <t>Установка системы учета для технологического присоединения энергопринимающих устройств Заявителя (Бабиев А.В.) по адресу: Ростовская область, Мясниковский район, х. Ленинакан, ул. Степная, д. 79, к.н. 61:25:0030301:1489 (1 шт.)</t>
  </si>
  <si>
    <t>Установка системы учета для технологического присоединения энергопринимающих устройств Заявителя (Стригина А.Д.) по адресу: Ростовская область, Мясниковский район, с. Большие Салы, ул. Гвардейская, д. 14, к.н. 61:25:0040101:382 (1 шт.)</t>
  </si>
  <si>
    <t>Установка системы учета для технологического присоединения энергопринимающих устройств Заявителя (Машкина А.И.) по адресу: Ростовская область, Мясниковский район, х. Красный Крым, ул. Верхняя, д. 26, к.н. 61:25:0600401:18723 (1 шт.)</t>
  </si>
  <si>
    <t>Установка системы учета для технологического присоединения энергопринимающих устройств Заявителя (Березовская И.В.) по адресу: Ростовская область, Мясниковский район, х. Ленинакан, ул. Майская, д. 27, к.н. 61:25:0600401:16836 (1 шт.)</t>
  </si>
  <si>
    <t>Установка системы учета для технологического присоединения энергопринимающих устройств Заявителя (Дранговская М.М.) по адресу: Ростовская область, Мясниковский район, х. Ленинакан, ул. 5-я линия, д. 5, к.н. 61:25:0600401:22871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</si>
  <si>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Крым, ул. Крестьянская, д. 8-в, к.н. 61:25:0201003:568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</si>
  <si>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Крым, ул. Крестьянская, д. 8-б, к.н. 61:25:0201003:567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</si>
  <si>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Крым, ул. Крестьянская, д. 8-а, к.н. 61:25:0201003:566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</si>
  <si>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Крым, ул. Крестьянская, д. 6-д, к.н. 61:25:0201003:565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</si>
  <si>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Крым, ул. Крестьянская, д. 6-г, к.н. 61:25:0201003:564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</si>
  <si>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Крым, ул. Крестьянская, д. 6-в, к.н. 61:25:0201003:563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</si>
  <si>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26, к.н. 61:25:0600401:23169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</si>
  <si>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24, к.н. 61:25:0600401:23170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</si>
  <si>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20, к.н. 61:25:0600401:24799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</si>
  <si>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18, к.н. 61:25:0600401:24800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</si>
  <si>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16, к.н. 61:25:0600401:24801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</si>
  <si>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14, к.н. 61:25:0600401:24802 (1 шт.)</t>
  </si>
  <si>
    <t>Установка системы учета для технологического присоединения энергопринимающих устройств Заявителя (Малюк Л.В.) по адресу: Ростовская область, Мясниковский район, сл. Петровка, д. 274, ст. Крокус, к.н. 61:25:0501601:482 (1 шт.)</t>
  </si>
  <si>
    <t>Установка системы учета для технологического присоединения энергопринимающих устройств Заявителя (Масленникова Н.Н.) по адресу: Ростовская область, Мясниковский район, х. Ленинаван, ул. М. Сарьяна, к.н. 61:25:0030202:5293 (1 шт.)</t>
  </si>
  <si>
    <t>Установка системы учета для технологического присоединения энергопринимающих устройств Заявителя (Кривко Л.В.) по адресу: Ростовская область, Мясниковский район, х. Ленинаван, ул. М. Сарьяна, к.н. 61:25:0030202:5290 (1 шт.)</t>
  </si>
  <si>
    <t>Установка системы учета для технологического присоединения энергопринимающих устройств Заявителя (Элоян С.В.) по адресу: Ростовская область, Мясниковский район, х. Ленинаван, ул. М. Сарьяна, к.н. 61:25:0030202:5286 (1 шт.)</t>
  </si>
  <si>
    <t>Установка системы учета для технологического присоединения энергопринимающих устройств Заявителя (Решетник А.О.) по адресу: Ростовская область, Мясниковский район, х. Ленинаван, ул. Баттиччели, д. 21, к.н. 61:25:0600401:15280 (1 шт.)</t>
  </si>
  <si>
    <t>Установка системы учета для технологического присоединения энергопринимающих устройств Заявителя (Мудревский С.С.) по адресу: Ростовская область, Мясниковский район, х. Красный Крым, ул. Баграмяна, д. 56, к.н. 61:25:0600401:25446 (1 шт.)</t>
  </si>
  <si>
    <t>Установка системы учета для технологического присоединения энергопринимающих устройств Заявителя (Мудревский С.С.) по адресу: Ростовская область, Мясниковский район, х. Красный Крым, ул. Баграмяна, д. 44, к.н. 61:25:0600401:25443 (1 шт.)</t>
  </si>
  <si>
    <t>Установка системы учета для технологического присоединения энергопринимающих устройств Заявителя (Моисеева И.А.) по адресу: Ростовская область, Мясниковский район, х. Красный Крым, ул. Баграмяна, д. 26, к.н. 61:25:0600401:24941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</si>
  <si>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Ленинакан, ул. 7-я линия, д. 3, к.н. 61:25:0600401:22965 (1 шт.)</t>
  </si>
  <si>
    <t>Установка системы учета для технологического присоединения энергопринимающих устройств Заявителя (Заришняк Ю.Ю.) по адресу: Ростовская область, Мясниковский район, х. Ленинакан, ул. Центральная, уч. 50, к.н. 61:25:0600401:23535 (1 шт.)</t>
  </si>
  <si>
    <t>Установка системы учета для технологического присоединения энергопринимающих устройств Заявителя (Шостенко Д.А.) по адресу: Ростовская область, Мясниковский район, х. Ленинакан, ул. 4-я Линия, д. 19, к.н. 61:25:0600401:25411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</si>
  <si>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Ленинаван, ул. Н.В. Гоголя, д. 3-а, к.н. 61:25:0600401:23667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</si>
  <si>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Ленинаван, ул. Н.А. Некрасова, д. 3-а, к.н. 61:25:0600401:23661 (1 шт.)</t>
  </si>
  <si>
    <t>Установка системы учета для технологического присоединения энергопринимающих устройств Заявителя (Каххоров О.Р.У.) по адресу: Ростовская область, Мясниковский район, х. Ленинаван, ул. Суворова, д. 39-б, к.н. 61:25:0600401:23432 (1 шт.)</t>
  </si>
  <si>
    <t>Установка системы учета для технологического присоединения энергопринимающих устройств Заявителя (Боймурзаева З.Ж.К.) по адресу: Ростовская область, Мясниковский район, х. Ленинакан, ул. Осенняя, д. 42, к.н. 61:25:0600401:19316 (1 шт.)</t>
  </si>
  <si>
    <t>Установка системы учета для технологического присоединения энергопринимающих устройств Заявителя (Матвеева С.Г.) по адресу: Ростовская область, Мясниковский район, х. Ленинакан, ул. Центральная, д. 46, к.н. 61:25:0600401:23533 (1 шт.)</t>
  </si>
  <si>
    <t>Установка системы учета для технологического присоединения энергопринимающих устройств Заявителя (Ломако А.О.) по адресу: Ростовская область, Мясниковский район, х. Красный Крым, ул. Александровская, д. 34, к.н. 61:25:0600401:18292 (1 шт.)</t>
  </si>
  <si>
    <t>Установка системы учета для технологического присоединения энергопринимающих устройств Заявителя (Лиховицкая О.С.) по адресу: Ростовская область, Мясниковский район, х. Красный Крым, ул. Родионовская, д. 19, к.н. 61:25:0600401:21258 (1 шт.)</t>
  </si>
  <si>
    <t>Установка системы учета для технологического присоединения энергопринимающих устройств Заявителя (Стреблянский С.Н.) по адресу: Ростовская область, Мясниковский район, х. Красный Крым, ул. Верхняя, д. 62, к.н. 61:25:0600401:21913 (1 шт.)</t>
  </si>
  <si>
    <t>Установка системы учета для технологического присоединения энергопринимающих устройств Заявителя (Скиба А.В.) по адресу: Ростовская область, Мясниковский район, х. Красный Крым, ул. Александровская, д. 17-а, к.н. 61:25:0600401:20983 (1 шт.)</t>
  </si>
  <si>
    <t>Установка системы учета для технологического присоединения энергопринимающих устройств Заявителя (Мелконян Ш.В.) по адресу: Ростовская область, Мясниковский район, х. Красный Крым, ул. Демидовская, д. 4, к.н. 61:25:0600401:20876 (1 шт.)</t>
  </si>
  <si>
    <t>Установка системы учета для технологического присоединения энергопринимающих устройств Заявителя (Яворская Н.А.) по адресу: Ростовская область, Мясниковский район, х. Ленинаван, ул. Н.В. Гоголя, д. 8, к.н. 61:25:0600401:23666 (1 шт.)</t>
  </si>
  <si>
    <t>Установка системы учета для технологического присоединения энергопринимающих устройств Заявителя (Гукасян И.Г.) по адресу: Ростовская область, Мясниковский район, х. Ленинаван, ул. Н.В. Гоголя, д. 6-а, к.н. 61:25:0600401:23664 (1 шт.)</t>
  </si>
  <si>
    <t>Установка системы учета для технологического присоединения энергопринимающих устройств Заявителя (Яворская Н.А.) по адресу: Ростовская область, Мясниковский район, х. Ленинаван, ул. Н.В. Гоголя, д. 6, к.н. 61:25:0600401:23665 (1 шт.)</t>
  </si>
  <si>
    <t>Установка системы учета для технологического присоединения энергопринимающих устройств Заявителя (Василенко С.П.) по адресу: Ростовская область, Мясниковский район, х. Ленинаван, ул. Н.А. Некрасова, д. 5-а, к.н. 61:25:0600401:23672 (1 шт.)</t>
  </si>
  <si>
    <t>Установка системы учета для технологического присоединения энергопринимающих устройств Заявителя (Василенко С.П.) по адресу: Ростовская область, Мясниковский район, х. Ленинаван, ул. Н.А. Некрасова, д. 5, к.н. 61:25:0600401:23673 (1 шт.)</t>
  </si>
  <si>
    <t>Установка системы учета для технологического присоединения энергопринимающих устройств Заявителя (Гагян Т.Л.) по адресу: Ростовская область, Мясниковский район, х. Ленинакан, ул. Трудовая, д. 39/4, к.н. 61:25:0030301:1926 (1 шт.)</t>
  </si>
  <si>
    <t>Установка системы учета для технологического присоединения энергопринимающих устройств Заявителя (Гагян Т.Л.) по адресу: Ростовская область, Мясниковский район, х. Ленинакан, ул. Трудовая, д. 39/2, к.н. 61:25:0030301:1927 (1 шт.)</t>
  </si>
  <si>
    <t>Установка системы учета для технологического присоединения энергопринимающих устройств Заявителя (Хачатурян Т.С.) по адресу: Ростовская область, Мясниковский район, с. Чалтырь, ул. 15-я линия, д. 9-п, к.н. 61:25:0101243:904 (1 шт.)</t>
  </si>
  <si>
    <t>Установка системы учета для технологического присоединения энергопринимающих устройств Заявителя (Османян Р.А.) по адресу: Ростовская область, Мясниковский район, х. Ленинаван, ул. Майская, д. 52-а, к.н. 61:25:0030202:1326 (1 шт.)</t>
  </si>
  <si>
    <t>Установка системы учета для технологического присоединения энергопринимающих устройств Заявителя (Емельянова Л.В.) по адресу: Ростовская область, Мясниковский район, х. Ленинаван, ул. Баттиччели, д. 23-б, к.н. 61:25:0600401:19473 (1 шт.)</t>
  </si>
  <si>
    <t>Установка системы учета для технологического присоединения энергопринимающих устройств Заявителя (Сидорова Е.Н.) по адресу: Ростовская область, Мясниковский район, х. Ленинаван, ул. Невская, д. 7, к.н. 61:25:0600401:6663 (1 шт.)</t>
  </si>
  <si>
    <t>Установка системы учета для технологического присоединения энергопринимающих устройств Заявителя (Облога В.А.) по адресу: Ростовская область, Мясниковский район, х. Ленинаван, ул. М.Сарьяна, д. 25, к.н. 61:25:0030202:5291 (1 шт.)</t>
  </si>
  <si>
    <t>Установка системы учета для технологического присоединения энергопринимающих устройств Заявителя (Афанасьев А.А.) по адресу: Ростовская область, Мясниковский район, х. Ленинакан, ул. 8-я линия, д. 26, к.н. 61:25:0600401:19024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</si>
  <si>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5, к.н. 61:25:0600401:21707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</si>
  <si>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22, к.н. 61:25:0600401:24798 (1 шт.)</t>
  </si>
  <si>
    <t>Установка системы учета для технологического присоединения энергопринимающих устройств Заявителя (Деркач В.В.) по адресу: Ростовская область, Мясниковский район, х. Красный Крым, ул. Баграмяна, д. 60, к.н. 61:25:0600401:23269 (1 шт.)</t>
  </si>
  <si>
    <t>Установка системы учета для технологического присоединения энергопринимающих устройств Заявителя (Восканян А.М.) по адресу: Ростовская область, Мясниковский район, х. Красный Крым, ул. Благодатная, д. 26, к.н. 61:25:0600401:20137 (1 шт.)</t>
  </si>
  <si>
    <t>Установка системы учета для технологического присоединения энергопринимающих устройств Заявителя (Карачева Е.И.) по адресу: Ростовская область, Мясниковский район, х. Красный Крым, ул. Налбандяна, д. 15, к.н. 61:25:0600401:17845 (1 шт.)</t>
  </si>
  <si>
    <t>Установка системы учета для технологического присоединения энергопринимающих устройств Заявителя (Ширинов Р.В.) по адресу: Ростовская область, М-Курганский район, п. Матвеев Курган, ул. Вишневая, д. 33, к.н. 61:21:0010161:208 (1 шт.)</t>
  </si>
  <si>
    <t>Установка системы учета для технологического присоединения энергопринимающих устройств Заявителя (Сулимов А.Ю.) по адресу: Ростовская область, г. Таганрог, около 21-й Мариупольский, д. 2 (132), к.н.: 61:58:0005257:132) (1 шт.)</t>
  </si>
  <si>
    <t>Установка системы учета для технологического присоединения энергопринимающих устройств Заявителя (ИП Хачатрян А.М.) по адресу: Ростовская область, г. Таганрог, пер. Смирновский, д. 139 (1 шт.)</t>
  </si>
  <si>
    <t>Установка системы учета для технологического присоединения энергопринимающих устройств Заявителя (ИП Жменя М.И.) по адресу: Ростовская область, г. Таганрог, около ул. Пальмиро Тольятти, д. 22 (1 шт.)</t>
  </si>
  <si>
    <t>Установка системы учета для технологического присоединения энергопринимающих устройств Заявителя (Косинова С.В.) по адресу: Ростовская область, г. Таганрог, Северо-Западное Шоссе, 1-а, СНТ «Ягодка», участок №44, к.н.: 61:58:0006076:84 (1 шт.)</t>
  </si>
  <si>
    <t>Установка системы учета для технологического присоединения энергопринимающих устройств Заявителя (ИП Штыка Е.А.) по адресу: Ростовская область, г. Таганрог, СНТ «Дачное-1», уч. 18, ал. 2, к.н.: 61:58:0006056:982 (1 шт.)</t>
  </si>
  <si>
    <t>Установка системы учета для технологического присоединения энергопринимающих устройств Заявителя (ИП Штыка Е.А.) по адресу: Ростовская область, г. Таганрог, СНТ «Дачное-1», уч. 22/ ал. 4, к.н.: 61:58:0006056:945 (1 шт.)</t>
  </si>
  <si>
    <t>Установка системы учета для технологического присоединения энергопринимающих устройств Заявителя (Додатко О.И.) по адресу: Ростовская область, г. Таганрог, пер. 5-й Новый, д. 112, к.н. 61:58:0004522:513 (1 шт.)</t>
  </si>
  <si>
    <t>Установка системы учета для технологического присоединения энергопринимающих устройств Заявителя (Цион В.Е.) по адресу: Ростовская область, г. Таганрог, ул. Большая Лиманная, д. 30-б, к.н. 61:58:0006017:129 (1 шт.)</t>
  </si>
  <si>
    <t>Установка системы учета для технологического присоединения энергопринимающих устройств Заявителя (Малько А.О.) по адресу: Ростовская область, Неклиновский район, с. Новобессергеневка, ул. Лескова, д. 33-Д, к.н. 61:26:0600024:2835 (1 шт.)</t>
  </si>
  <si>
    <t>Установка системы учета для технологического присоединения энергопринимающих устройств Заявителя (Скороход Н.П.) по адресу: Ростовская область, г. Таганрог, ул. Варданяна, д. 82, к.н. 61:58:0006027:926 (1 шт.)</t>
  </si>
  <si>
    <t>Установка системы учета для технологического присоединения энергопринимающих устройств Заявителя (Сычев Р.С.) по адресу: Ростовская область, Неклиновский район, с. Новобессергеневка, ул. Гагарина, д. 27-а, к.н. 61:26:0180101:8207 (1 шт.)</t>
  </si>
  <si>
    <t>Установка системы учета для технологического присоединения энергопринимающих устройств Заявителя (Ткачев А.И) по адресу: Ростовская область, Неклиновский район, с. Новобессергеневка, ул. Гагарина, д. 24-А, к.н. 61:26:0180101:8196 (1 шт.)</t>
  </si>
  <si>
    <t>Установка системы учета для технологического присоединения энергопринимающих устройств Заявителя (Ткачев А.И) по адресу: Ростовская область, Неклиновский район, с. Новобессергеневка, ул. Гагарина, д. 24-Б, к.н. 61:26:0180101:8197 (1 шт.)</t>
  </si>
  <si>
    <t>Установка системы учета для технологического присоединения энергопринимающих устройств Заявителя (Семенов В.Г.) по адресу: Ростовская область, Неклиновский район, х. Русский Колодец, ул. Новая, к.н. 61:26:0070701:1987 (1 шт.)</t>
  </si>
  <si>
    <t>Установка системы учета для технологического присоединения энергопринимающих устройств Заявителя (Рудык Н.Н.) по адресу: Ростовская область, Неклиновский район, х. Дарагановка, ул. Северная, д. 42-Б, к.н. 61:26:0180701:546 (1 шт.)</t>
  </si>
  <si>
    <t>Установка системы учета для технологического присоединения энергопринимающих устройств Заявителя (Чвикалов А.Б.) по адресу: Ростовская область, г. Таганрог, ул. Варданяна, д. 17 / пер. Неклиновский, д.14, к.н. 61:58:0006027:579 (1 шт.)</t>
  </si>
  <si>
    <t>Установка системы учета для технологического присоединения энергопринимающих устройств Заявителя (Упорова Л.Н.) по адресу: Ростовская область, Неклиновский район, х. Мержаново,  СНТ «Металлург-6»,  уч. 982, к.н. 61:26:0505901:26 (1 шт.)</t>
  </si>
  <si>
    <t>Установка системы учета для технологического присоединения энергопринимающих устройств Заявителя (Штайнмец Р.А.) по адресу: Ростовская область, Неклиновский район, с. Новобессергеневка, ул. Солнечная, д. 30-В, к.н. 61:26:0600024:9245 (1 шт.)</t>
  </si>
  <si>
    <t>Установка системы учета для технологического присоединения энергопринимающих устройств Заявителя (Вигуль Ю.Р.) по адресу: Ростовская область, Мясниковский район, х. Ленинакан, ул. 8-я линия, д. 95, к.н. 61:25:0600401:19061 (1 шт.)</t>
  </si>
  <si>
    <t>Установка системы учета для технологического присоединения энергопринимающих устройств Заявителя (Романченко В.С.) по адресу: Ростовская область, Мясниковский район, х. Красный Крым, ул. Верхняя, д. 17-а, к.н. 61:25:0600401:19819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</si>
  <si>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41, к.н. 61:25:0600401:24364 (1 шт.)</t>
  </si>
  <si>
    <t>Установка системы учета для технологического присоединения энергопринимающих устройств Заявителя (Семенченко В.О.) по адресу: Ростовская область, Мясниковский район, с. Большие Салы, ул. Абовяна, д. 16-а, к.н. 61:25:0040101:6286 (1 шт.)</t>
  </si>
  <si>
    <t>Установка системы учета для технологического присоединения энергопринимающих устройств Заявителя (Прокопенко В.Ю.) по адресу: Ростовская область, Мясниковский район, с. Крым, ул. Маршала Баграмяна, д. 37-б, к.н. 61:25:0600201:1739 (1 шт.)</t>
  </si>
  <si>
    <t>Установка системы учета для технологического присоединения энергопринимающих устройств Заявителя (Прокопенко В.Ю.) по адресу: Ростовская область, Мясниковский район, с. Крым, ул. Маршала Баграмяна, д. 37-а, к.н. 61:25:0600201:1740 (1 шт.)</t>
  </si>
  <si>
    <t>Установка системы учета для технологического присоединения энергопринимающих устройств Заявителя (Прокопенко В.Ю.) по адресу: Ростовская область, Мясниковский район, с. Крым, ул. Маршала Баграмяна, д. 37, к.н. 61:25:0600201:1741 (1 шт.)</t>
  </si>
  <si>
    <t>Установка системы учета для технологического присоединения энергопринимающих устройств Заявителя (Пушкарев В.А.) по адресу: Ростовская область, Мясниковский район, с. Чалтырь, ул. Социалистическая, д. 47, к.н. 61:25:0101337:76 (1 шт.)</t>
  </si>
  <si>
    <t>Установка системы учета для технологического присоединения энергопринимающих устройств Заявителя (Аванесян К.С.) по адресу: Ростовская область, Мясниковский район, с. Крым, ул. Мадояна, д. 45-а, к.н. 61:25:0600201:1734 (1 шт.)</t>
  </si>
  <si>
    <t>Установка системы учета для технологического присоединения энергопринимающих устройств Заявителя (Аванесян К.С.) по адресу: Ростовская область, Мясниковский район, с. Крым, ул. Мадояна, д. 45, к.н. 61:25:0600201:1735 (1 шт.)</t>
  </si>
  <si>
    <t>Установка системы учета для технологического присоединения энергопринимающих устройств Заявителя (Моцная Е.Р.) по адресу: Ростовская область, Мясниковский район, х. Красный Крым, ул. Баграмяна, д. 40, к.н. 61:25:0600401:25249 (1 шт.)</t>
  </si>
  <si>
    <t>Установка системы учета для технологического присоединения энергопринимающих устройств Заявителя (Володин А.Н.) по адресу: Ростовская область, Мясниковский район, х. Красный Крым, ул. Баграмяна, д. 38, к.н. 61:25:0600401:25050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</si>
  <si>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Ленинаван, ул. Н.А. Некрасова, д. 7, к.н. 61:25:0600401:23671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</si>
  <si>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Ленинаван, ул. Н.А. Некрасова, д. 3, к.н. 61:25:0600401:23659 (1 шт.)</t>
  </si>
  <si>
    <t>Установка системы учета для технологического присоединения энергопринимающих устройств Заявителя (Михайленко С.А.) по адресу: Ростовская область, Мясниковский район, с. Крым, ул. Маршала Баграмяна, д. 18-б, к.н. 61:25:0201019:1072 (1 шт.)</t>
  </si>
  <si>
    <t>Установка системы учета для технологического присоединения энергопринимающих устройств Заявителя (Михайленко С.А.) по адресу: Ростовская область, Мясниковский район, с. Крым, ул. Маршала Баграмяна, д. 18-а, к.н. 61:25:0201019:1071 (1 шт.)</t>
  </si>
  <si>
    <t>Установка системы учета для технологического присоединения энергопринимающих устройств Заявителя (Лиховицкая О.С.) по адресу: Ростовская область, Мясниковский район, х. Красный Крым, ул. Родионовская, д. 9, к.н. 61:25:0600401:21253 (1 шт.)</t>
  </si>
  <si>
    <t>Установка системы учета для технологического присоединения энергопринимающих устройств Заявителя (Асланян Д.А.) по адресу: Ростовская область, Мясниковский район, с. Чалтырь, ул. Первомайская, д. 2-к, к.н. 61:25:0101304:258 (1 шт.)</t>
  </si>
  <si>
    <t>Установка системы учета для технологического присоединения энергопринимающих устройств Заявителя (Асланян Д.А.) по адресу: Ростовская область, Мясниковский район, с. Чалтырь, ул. Первомайская, д. 2-и, к.н. 61:25:0101304:257 (1 шт.)</t>
  </si>
  <si>
    <t>Установка системы учета для технологического присоединения энергопринимающих устройств Заявителя (Оглы Р.Г.) по адресу: Ростовская область, Мясниковский район, х. Ленинаван, ул. Софийская, д. 14, к.н. 61:25:0600401:5543 (1 шт.)</t>
  </si>
  <si>
    <t>Установка системы учета для технологического присоединения энергопринимающих устройств Заявителя (Ананьин П.А.) по адресу: Ростовская область, Мясниковский район, х. Красный Крым, ул. Налбандяна, д. 62, к.н. 61:25:0600401:17835 (1 шт.)</t>
  </si>
  <si>
    <t>Установка системы учета для технологического присоединения энергопринимающих устройств Заявителя (Карпекина А.В.) по адресу: Ростовская область, Мясниковский район, х. Красный Крым, ул. Налбандяна, д. 60, к.н. 61:25:0600401:22175 (1 шт.)</t>
  </si>
  <si>
    <t>Установка системы учета для технологического присоединения энергопринимающих устройств Заявителя (Облога В.А.) по адресу: Ростовская область, Мясниковский район, х. Ленинаван, ул. М.Сарьяна, д. 25-в, к.н. 61:25:0030202:5292 (1 шт.)</t>
  </si>
  <si>
    <t>Установка системы учета для технологического присоединения энергопринимающих устройств Заявителя (Облога В.А.) по адресу: Ростовская область, Мясниковский район, х. Ленинаван, ул. М.Сарьяна, д. 23-б, к.н. 61:25:0030202:5285 (1 шт.)</t>
  </si>
  <si>
    <t>Установка системы учета для технологического присоединения энергопринимающих устройств Заявителя (Облога В.А.) по адресу: Ростовская область, Мясниковский район, х. Ленинаван, ул. М.Сарьяна, д. 23-а, к.н. 61:25:0030202:5283 (1 шт.)</t>
  </si>
  <si>
    <t>Установка системы учета для технологического присоединения энергопринимающих устройств Заявителя (Облога В.А.) по адресу: Ростовская область, Мясниковский район, х. Ленинаван, ул. М.Сарьяна, д. 23, к.н. 61:25:0030202:5284 (1 шт.)</t>
  </si>
  <si>
    <t>Установка системы учета для технологического присоединения энергопринимающих устройств Заявителя (Леонов И.С.) по адресу: Ростовская область, Мясниковский район, х. Красный Крым, ул. Верхняя, д. 60, к.н. 61:25:0600401:18741 (1 шт.)</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</si>
  <si>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Белорусская, д. 9-в, к.н. 61:25:0600501:3399 (1 шт.)</t>
  </si>
  <si>
    <t>Установка системы учета для технологического присоединения энергопринимающих устройств Заявителя (Пешекерян А.А.) по адресу: Ростовская область, Мясниковский район, с. Большие Салы, ул. Белорусская, д. 9-б, к.н. 61:25:0600501:3401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</si>
  <si>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11, к.н. 61:25:0600401:21712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</si>
  <si>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10, к.н. 61:25:0600401:21703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</si>
  <si>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9, к.н. 61:25:0600401:21711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</si>
  <si>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8, к.н. 61:25:0600401:21710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</si>
  <si>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7, к.н. 61:25:0600401:21709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</si>
  <si>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6, к.н. 61:25:0600401:21708 (1 шт.)</t>
  </si>
  <si>
    <t>Установка системы учета для технологического присоединения энергопринимающих устройств Заявителя (Севикян В.М.) по адресу: Ростовская область, Мясниковский район, х. Красный Крым, ул. Киносяна, д. 4, к.н. 61:25:0600401:21706 (1 шт.)</t>
  </si>
  <si>
    <t>Установка системы учета для технологического присоединения энергопринимающих устройств Заявителя (Босенко Ю.Н.) по адресу: Ростовская область, Мясниковский район, х. Красный Крым, ул. Баграмяна, д. 62, к.н. 61:25:0600401:23270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</si>
  <si>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28, к.н. 61:25:0600401:23168 (1 шт.)</t>
  </si>
  <si>
    <t>Установка системы учета для технологического присоединения энергопринимающих устройств Заявителя (Штыка В.А.) по адресу: Ростовская область, Неклиновский район, с. Николаевка, пер. Ломоносова. уч. 3-Б, к.н. 61:26:0110101:10242 (1 шт.)</t>
  </si>
  <si>
    <t>Установка системы учета для технологического присоединения энергопринимающих устройств Заявителя (Штыка В.А.) по адресу: Ростовская область, Неклиновский район, с. Николаевка, ул. Межевая, д. 34-А, к.н. 61:26:0110101:2553 (1 шт.)</t>
  </si>
  <si>
    <t>Установка системы учета для технологического присоединения энергопринимающих устройств Заявителя (Муличенко В.К.) по адресу: Ростовская область, Неклиновский район, с. Александрова Коса, ул. Мира, д.2-А, к.н. 61:26:0600024:4606 (1 шт.)</t>
  </si>
  <si>
    <t>Установка системы учета для технологического присоединения энергопринимающих устройств Заявителя (Шевченко А.Е.) по адресу: Ростовская область, Неклиновский район, х. Некрасовка, ул. Ценктральная, д. 4, к.н. 61:26:0060601:496 (1 шт.)</t>
  </si>
  <si>
    <t>Установка системы учета для технологического присоединения энергопринимающих устройств Заявителя (Панкратьева Е.С.) по адресу: Ростовская область, Неклиновский район, с. Петрушино, пер. Садовый, д. 45-А, к.н. 61:26:0600024:7588 (1 шт.)</t>
  </si>
  <si>
    <t>Установка системы учета для технологического присоединения энергопринимающих устройств Заявителя (Панов Д.Н.) по адресу: Ростовская область, Неклиновский район, с. Новобессергеневка, ул. Свободы, д. 10, к.н. 61:26:0600024:9097 (1 шт.)</t>
  </si>
  <si>
    <t>Установка системы учета для технологического присоединения энергопринимающих устройств Заявителя (Джабаров Н.Ф.) по адресу: Ростовская область, Неклиновский район, с. Новобессергеневка, ул. Лескова, д. 33-В, к.н. 61:26:0600024:2837 (1 шт.)</t>
  </si>
  <si>
    <t>Установка системы учета для технологического присоединения энергопринимающих устройств Заявителя (Игнатова В.В.) по адресу: Ростовская область, Неклиновский район, х. Мержаново, СНТ «Металлург-6», уч. 1072, к.н. 61:26:0505901:534 (1 шт.)</t>
  </si>
  <si>
    <t>Установка системы учета для технологического присоединения энергопринимающих устройств Заявителя (ТСН «СНТ Прогресс») по адресу: Ростовская область, Неклиновский район, х. Морской Чулек, территория ТСН «СНТ Прогресс», к.н. 61:26:000000:6699 (1 шт.)</t>
  </si>
  <si>
    <t>Установка системы учета для технологического присоединения энергопринимающих устройств Заявителя (Плотников А.Н.) по адресу: Ростовская область, Неклиновский район, с. Александрова Коса, ул. Набережная, д. 33, к.н. 61:26:0180601:1998 (1 шт.)</t>
  </si>
  <si>
    <t>Установка системы учета для технологического присоединения энергопринимающих устройств Заявителя (Литвиненко М.В.) по адресу: Ростовская область, Неклиновский район, с. Николаевка, ул. Парковая, д.71, к.н. 61:26:0110101:1123 (1 шт.)</t>
  </si>
  <si>
    <t>Установка системы учета для технологического присоединения энергопринимающих устройств Заявителя (Головешкин С.С.) по адресу: Ростовская область, Неклиновский район, с. Синявское, пер. Суворовский, д. 22, к.н. 61:26:0060101:7634 (1 шт.)</t>
  </si>
  <si>
    <t>Установка системы учета для технологического присоединения энергопринимающих устройств Заявителя (Кучмай Н.И.) по адресу: Ростовская область, Неклиновский район, х. Веселый, ул. Миусская, д. 11-Е, к.н. 61:26:0070901:2184 (1 шт.)</t>
  </si>
  <si>
    <t>Установка системы учета для технологического присоединения энергопринимающих устройств Заявителя (ИП Шустикова С.Н.) по адресу: Ростовская область, Неклиновский район, с. Вареновка, ул. Социалистическая, д. 148-А, к.н. 61:26:0040101:5964 (1 шт.)</t>
  </si>
  <si>
    <t>Установка системы учета для технологического присоединения энергопринимающих устройств Заявителя (Мешаян А.Р.) по адресу: Ростовская область, Неклиновский район, с. Николаевка, ул. Парковая, к.н. 61:26:0110101:10104 (1 шт.)</t>
  </si>
  <si>
    <t>Установка системы учета для технологического присоединения энергопринимающих устройств Заявителя (Рябичев Д.В.) по адресу: Ростовская область, Неклиновский район, с. Николаевка, ул. Парковая, д. 24, к.н. 61:26:0110101:8706 (1 шт.)</t>
  </si>
  <si>
    <t>Установка системы учета для технологического присоединения энергопринимающих устройств Заявителя (Ткачев А.И.) по адресу: Ростовская область, Неклиновский район, с. Новобессергеневка, ул. Космонавтов, д. 26-А, к.н. 61:26:0180301:1231 (1 шт.)</t>
  </si>
  <si>
    <t>Установка системы учета для технологического присоединения энергопринимающих устройств Заявителя (Ткачев А.И.) по адресу: Ростовская область, Неклиновский район, с. Новобессергеневка, ул. Космонавтов, д. 26-Б, к.н. 61:26:0180301:1230 (1 шт.)</t>
  </si>
  <si>
    <t>Установка системы учета для технологического присоединения энергопринимающих устройств Заявителя (Горбуненко Р.Я.) по адресу: Ростовская область, Неклиновский район, с. Николаевка, пер. Молодежный, д. 17, к.н. 61:26:0110101:10133 (1 шт.)</t>
  </si>
  <si>
    <t>Установка системы учета для технологического присоединения энергопринимающих устройств Заявителя (Деркач В.М.) по адресу: Ростовская область, Неклиновский район, х. Мержаново, СНТ «Металлург-6», д. 986, к.н. 61:26:0505901:22 (1 шт.)</t>
  </si>
  <si>
    <t>Установка системы учета для технологического присоединения энергопринимающих устройств Заявителя (Воронько В.Э.) по адресу: Ростовская область, Неклиновский район, с. Большая Неклиновка, ул. Школьная, д. 70, кв. 1, к.н. 61:26:0130101:1722 (1 шт.)</t>
  </si>
  <si>
    <t>Установка системы учета для технологического присоединения энергопринимающих устройств Заявителя (Голиберенко В.А.) по адресу: Ростовская область, г. Таганрог, пер. 7-й Мариупольский, д. 4, к.н.: 61:58:0005219:293 (1 шт.)</t>
  </si>
  <si>
    <t>Установка системы учета для технологического присоединения энергопринимающих устройств Заявителя (Кирпиченко А.Е.) по адресу: Ростовская область, Мясниковский район, х. Ленинакан, ул. 6-я линия, д. 11, к.н. 61:25:0600401:22929 (1 шт.)</t>
  </si>
  <si>
    <t>Установка системы учета для технологического присоединения энергопринимающих устройств Заявителя (Герданян В.Э.) по адресу: Ростовская область, Мясниковский район, с. Чалтырь, ул. 9-я линия, д. 12-б, к.н. 61:25:0101212:60 (1 шт.)</t>
  </si>
  <si>
    <t>Установка системы учета для технологического присоединения энергопринимающих устройств Заявителя (Рыжанков М.В.) по адресу: Ростовская область, Мясниковский район, х. Красный Крым, ул. Звездная, д. 39, к.н. 61:25:0600401:17156 (1 шт.)</t>
  </si>
  <si>
    <t>Установка системы учета для технологического присоединения энергопринимающих устройств Заявителя (Григорян Г.А.) по адресу: Ростовская область, Мясниковский район, х. Ленинакан, ул. 5-я линия, д. 9, к.н. 61:25:0600401:22869 (1 шт.)</t>
  </si>
  <si>
    <t>Установка системы учета для технологического присоединения энергопринимающих устройств Заявителя (Бровко Л.А.) по адресу: Ростовская область, Мясниковский район, х. Красный Крым, ул. Юбилейная, д. 39/2, к.н. 61:25:0600401:21600 (1 шт.)</t>
  </si>
  <si>
    <t>Установка системы учета для технологического присоединения энергопринимающих устройств Заявителя (Рамазян Ю.Г.) по адресу: Ростовская область, Мясниковский район, с. Крым, ул. Советская, д. 120-а, к.н. 61:25:0201019:475 (1 шт.)</t>
  </si>
  <si>
    <t>Установка системы учета для технологического присоединения энергопринимающих устройств Заявителя (Рамазян В.Н.) по адресу: Ростовская область, Мясниковский район, с. Крым, ул. 18-я линия, д. 4-б, к.н. 61:25:0201008:518 (1 шт.)</t>
  </si>
  <si>
    <t>Установка системы учета для технологического присоединения энергопринимающих устройств Заявителя (Рамазян В.Н.) по адресу: Ростовская область, Мясниковский район, с. Крым, ул. 18-я линия, д. 4-а, к.н. 61:25:0201008:519 (1 шт.)</t>
  </si>
  <si>
    <t>Установка системы учета для технологического присоединения энергопринимающих устройств Заявителя (Кудряшов Г.Е.) по адресу: Ростовская область, Мясниковский район, с. Крым, ул. Им. Майи Пегливановой, д. 27, к.н. 61:25:0600201:1137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</si>
  <si>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44, к.н. 61:25:0600401:23147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</si>
  <si>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42, к.н. 61:25:0600401:23148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</si>
  <si>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40, к.н. 61:25:0600401:23149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</si>
  <si>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38, к.н. 61:25:0600401:25840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</si>
  <si>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36, к.н. 61:25:0600401:23151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</si>
  <si>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34, к.н. 61:25:0600401:23152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</si>
  <si>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32, к.н. 61:25:0600401:23153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</si>
  <si>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30, к.н. 61:25:0600401:23145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</si>
  <si>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12, к.н. 61:25:0600401:25450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</si>
  <si>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10, к.н. 61:25:0600401:25451 (1 шт.)</t>
  </si>
  <si>
    <t>Установка системы учета для технологического присоединения энергопринимающих устройств Заявителя (Прокопенко В.Ю.) по адресу: Ростовская область, Мясниковский район, с. Чалтырь, ул. 1-й тупик, д. 6-а, к.н. 61:25:0101307:162 (1 шт.)</t>
  </si>
  <si>
    <t>Установка системы учета для технологического присоединения энергопринимающих устройств Заявителя (Гордеев А.А.) по адресу: Ростовская область, Мясниковский район, х. Красный Крым, ул. Верхняя, д. 68, к.н. 61:25:0600401:25816 (1 шт.)</t>
  </si>
  <si>
    <t>Установка системы учета для технологического присоединения энергопринимающих устройств Заявителя (Белокрылова О.И.) по адресу: Ростовская область, Мясниковский район, х. Красный Крым, ул. Верхняя, д. 66, к.н. 61:25:0600401:18745 (1 шт.)</t>
  </si>
  <si>
    <t>Установка системы учета для технологического присоединения энергопринимающих устройств Заявителя (Мудревский С.С.) по адресу: Ростовская область, Мясниковский район, х. Красный Крым, ул. Мадояна, д. 13-а, к.н. 61:25:0600401:24172 (1 шт.)</t>
  </si>
  <si>
    <t>Установка системы учета для технологического присоединения энергопринимающих устройств Заявителя (Гончарова Л.А.) по адресу: Ростовская область, Мясниковский район, х. Красный Крым, ул. Славная, д. 37, к.н. 61:25:0600401:21285 (1 шт.)</t>
  </si>
  <si>
    <t>Установка системы учета для технологического присоединения энергопринимающих устройств Заявителя (Антонян С.С.) по адресу: Ростовская область, Мясниковский район, х. Красный Крым, ул. Налбандяна, д. 9, к.н. 61:25:0600401:17812 (1 шт.)</t>
  </si>
  <si>
    <t>Установка системы учета для технологического присоединения энергопринимающих устройств Заявителя (Костандян М.Э.) по адресу: Ростовская область, Мясниковский район, х. Красный Крым, ул. Славная, д. 35, к.н. 61:25:0600401:25764 (1 шт.)</t>
  </si>
  <si>
    <t>Установка системы учета для технологического присоединения энергопринимающих устройств Заявителя (Титова О.В.) по адресу: Ростовская область, Мясниковский район, х. Ленинакан, ул. Сочинская, д. 75, к.н. 61:25:0600401:20571 (1 шт.)</t>
  </si>
  <si>
    <t>Установка системы учета для технологического присоединения энергопринимающих устройств Заявителя (Титова О.В.) по адресу: Ростовская область, Мясниковский район, х. Ленинакан, ул. Сочинская, д. 73, к.н. 61:25:0600401:20570 (1 шт.)</t>
  </si>
  <si>
    <t>Установка системы учета для технологического присоединения энергопринимающих устройств Заявителя (Попов Р.В.) по адресу: Ростовская область, Мясниковский район, х. Ленинакан, ул. Сочинская, д. 34, к.н. 61:25:0600401:20367 (1 шт.)</t>
  </si>
  <si>
    <t>Установка системы учета для технологического присоединения энергопринимающих устройств Заявителя (Вашедская С.В.) по адресу: Ростовская область, Мясниковский район, х. Ленинакан, ул. Осенняя, д. 36, к.н. 61:25:0600401:18016 (1 шт.)</t>
  </si>
  <si>
    <t>Установка системы учета для технологического присоединения энергопринимающих устройств Заявителя (Наумовский Д.В.) по адресу: Ростовская область, Мясниковский район, х. Красный Крым, ул. Крымская, д. 13, к.н. 61:25:0600401:16880 (1 шт.)</t>
  </si>
  <si>
    <t>Установка системы учета для технологического присоединения энергопринимающих устройств Заявителя (Пырков Д.М.) по адресу: Ростовская область, Мясниковский район, х. Красный Крым, ул. Садовая, д. 8, к.н. 61:25:0600401:21204 (1 шт.)</t>
  </si>
  <si>
    <t>Установка системы учета для технологического присоединения энергопринимающих устройств Заявителя (Фомичева О.В.) по адресу: Ростовская область, Мясниковский район, х. Ленинакан, ул. 4-я линия, д. 17, к.н. 61:25:0600401:22954 (1 шт.)</t>
  </si>
  <si>
    <t>Установка системы учета для технологического присоединения энергопринимающих устройств Заявителя (Тюпалова А.С.) по адресу: Ростовская область, Мясниковский район, х. Красный Крым, ул. Кирова, д. 13-г, к.н. 61:25:0030101:2396 (1 шт.)</t>
  </si>
  <si>
    <t>Установка системы учета для технологического присоединения энергопринимающих устройств Заявителя (Харахашян Т.О.) по адресу: Ростовская область, Мясниковский район, х. Ленинаван, ул. Мясникяна, д. 14/8, к.н. 61:25:0030202:4889 (1 шт.)</t>
  </si>
  <si>
    <t>Установка системы учета для технологического присоединения энергопринимающих устройств Заявителя (Харахашян Т.О.) по адресу: Ростовская область, Мясниковский район, х. Ленинаван, ул. Мясникяна, д. 14/7, к.н. 61:25:0030202:4890 (1 шт.)</t>
  </si>
  <si>
    <t>Установка системы учета для технологического присоединения энергопринимающих устройств Заявителя (Харахашян Т.О.) по адресу: Ростовская область, Мясниковский район, х. Ленинаван, ул. Мясникяна, д. 14/6, к.н. 61:25:0030202:4888 (1 шт.)</t>
  </si>
  <si>
    <t>Установка системы учета для технологического присоединения энергопринимающих устройств Заявителя (Харахашян Т.О.) по адресу: Ростовская область, Мясниковский район, х. Ленинаван, ул. Мясникяна, д. 14/5, к.н. 61:25:0030202:4891 (1 шт.)</t>
  </si>
  <si>
    <t>Установка системы учета для технологического присоединения энергопринимающих устройств Заявителя (Харахашян Т.О.) по адресу: Ростовская область, Мясниковский район, х. Ленинаван, ул. Мясникяна, д. 14/3, к.н. 61:25:0030202:4892 (1 шт.)</t>
  </si>
  <si>
    <t>Установка системы учета для технологического присоединения энергопринимающих устройств Заявителя (Харахашян Т.О.) по адресу: Ростовская область, Мясниковский район, х. Ленинаван, ул. Мясникяна, д. 14/1, к.н. 61:25:0030202:4884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</si>
  <si>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7-я линия, д. 8, к.н. 61:25:0600401:22904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</si>
  <si>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7-я линия, д. 7, к.н. 61:25:0600401:22963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</si>
  <si>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6-я линия, д. 4, к.н. 61:25:0600401:23029 (1 шт.)</t>
  </si>
  <si>
    <t>Установка системы учета для технологического присоединения энергопринимающих устройств Заявителя (Подкопаев К.В.) по адресу: Ростовская область, Мясниковский район, х. Ленинакан, ул. 6-я линия, д. 2, к.н. 61:25:0600401:23030 (1 шт.)</t>
  </si>
  <si>
    <t>Установка системы учета для технологического присоединения энергопринимающих устройств Заявителя (Кудряникова Ж.И.) по адресу: Ростовская область, Мясниковский район, х. Ленинакан, ул. Осенняя, д. 1/6, к.н. 61:25:0600401:17947 (1 шт.)</t>
  </si>
  <si>
    <t>Установка системы учета для технологического присоединения энергопринимающих устройств Заявителя (Аверченко П.Н.) по адресу: Ростовская область, Мясниковский район, х. Красный Крым, ул. Благодатная, д. 5, к.н. 61:25:0600401:22047 (1 шт.)</t>
  </si>
  <si>
    <t>Установка системы учета для технологического присоединения энергопринимающих устройств Заявителя (Беликов М.В.) по адресу: Ростовская область, Мясниковский район, с. Крым, ул. Григора Бабияна, д. 29-а, к.н. 61:25:0600201:1749 (1 шт.)</t>
  </si>
  <si>
    <t>Установка системы учета для технологического присоединения энергопринимающих устройств Заявителя (Беликов М.В.) по адресу: Ростовская область, Мясниковский район, с. Крым, ул. Григора Бабияна, д. 29, к.н. 61:25:0600201:1748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</si>
  <si>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Ленинаван, ул. Н.А.Некрасова, д. 1, к.н. 61:25:0600401:23660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</si>
  <si>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Ленинаван, ул. Н.В.Гоголя, д. 3, к.н. 61:25:0600401:23670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</si>
  <si>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Ленинаван, ул. Н.В.Гоголя, д. 1-а, к.н. 61:25:0600401:23669 (1 шт.)</t>
  </si>
  <si>
    <t>Установка системы учета для технологического присоединения энергопринимающих устройств Заявителя (Гаврилова О.А.) по адресу: Ростовская область, Мясниковский район, х. Ленинаван, ул. Н.В.Гоголя, д. 1, к.н. 61:25:0600401:23668 (1 шт.)</t>
  </si>
  <si>
    <t>Установка системы учета для технологического присоединения энергопринимающих устройств Заявителя (Дудников Е.И) по адресу: Ростовская область, Мясниковский район, х. Ленинакан, ул. 5-я линия, д. 4, к.н. 61:25:0600401:22883 (1 шт.)</t>
  </si>
  <si>
    <t>Установка системы учета для технологического присоединения энергопринимающих устройств Заявителя (Лазарев А.С.) по адресу: Ростовская область, Мясниковский район, х. Ленинакан, ул. 4-я линия, д. 13, к.н. 61:25:0600401:22956 (1 шт.)</t>
  </si>
  <si>
    <t>Установка системы учета для технологического присоединения энергопринимающих устройств Заявителя (Морозенко А.Н.) по адресу: Ростовская область, Мясниковский район, х. Калинин, ул. С.П. Шелестова, д. 16, к.н. 61:25:0502501:119 (1 шт.)</t>
  </si>
  <si>
    <t>Установка системы учета для технологического присоединения энергопринимающих устройств Заявителя (Пушкарев В.А.) по адресу: Ростовская область, Мясниковский район, с. Крым, ул. Александра Суворова, д. 51-б, к.н. 61:25:0600201:1744 (1 шт.)</t>
  </si>
  <si>
    <t>Установка системы учета для технологического присоединения энергопринимающих устройств Заявителя (Пушкарев В.А.) по адресу: Ростовская область, Мясниковский район, с. Крым, ул. Александра Суворова, д. 51-а, к.н. 61:25:0600201:1743 (1 шт.)</t>
  </si>
  <si>
    <t>Установка системы учета для технологического присоединения энергопринимающих устройств Заявителя (Дзиваян М.В.) по адресу: Ростовская область, Мясниковский район, х. Ленинакан, ул. 8-я линия, д. 115, к.н. 61:25:0600401:18900 (1 шт.)</t>
  </si>
  <si>
    <t>Установка системы учета для технологического присоединения энергопринимающих устройств Заявителя (Шныпко Д.С.) по адресу: Ростовская область, Мясниковский район, х. Ленинакан, ул. 8-я линия, д. 68, к.н. 61:25:0600401:19047 (1 шт.)</t>
  </si>
  <si>
    <t>Установка системы учета для технологического присоединения энергопринимающих устройств Заявителя (Брегеда И.Д.) по адресу: Ростовская область, Мясниковский район, х. Ленинакан, ул. 6-я линия, д. 9, к.н. 61:25:0600401:22930 (1 шт.)</t>
  </si>
  <si>
    <t>Установка системы учета для технологического присоединения энергопринимающих устройств Заявителя (Гальчун Е.А.) по адресу: Ростовская область, Мясниковский район, х. Ленинаван, ул. Баттиччели, д. 21-а, к.н. 61:25:0600401:15282 (1 шт.)</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</si>
  <si>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53, к.н. 61:25:0600401:17162 (1 шт.)</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</si>
  <si>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51, к.н. 61:25:0600401:17163 (1 шт.)</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</si>
  <si>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47, к.н. 61:25:0600401:17149 (1 шт.)</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</si>
  <si>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45, к.н. 61:25:0600401:17149 (1 шт.)</t>
  </si>
  <si>
    <t>Установка системы учета для технологического присоединения энергопринимающих устройств Заявителя (Петрушенко С.С.) по адресу: Ростовская область, Мясниковский район, х. Красный Крым, ул. Звездная, д. 43, к.н. 61:25:0600401:17152 (1 шт.)</t>
  </si>
  <si>
    <t>Установка системы учета для технологического присоединения энергопринимающих устройств Заявителя (Гурьянова Н.А.) по адресу: Ростовская область, Мясниковский район, х. Красный Крым, ул. Александровская, д. 21-а, к.н. 61:25:0600401:20985 (1 шт.)</t>
  </si>
  <si>
    <t>Установка системы учета для технологического присоединения энергопринимающих устройств Заявителя (Мальдзин А.А.) по адресу: Ростовская область, Мясниковский район, х. Ленинаван, ул. Боттичелли, д. 14-а, к.н. 61:25:0600401:19503 (1 шт.)</t>
  </si>
  <si>
    <t>Установка системы учета для технологического присоединения энергопринимающих устройств Заявителя (Медведев Д.С.) по адресу: Ростовская область, Мясниковский район, х. Ленинакан, ул. Осенняя, д. 36/8, к.н. 61:25:0600401:18019 (1 шт.)</t>
  </si>
  <si>
    <t>Установка системы учета для технологического присоединения энергопринимающих устройств Заявителя (Воротнюк Д.Ю.) по адресу: Ростовская область, Мясниковский район, х. Ленинакан, ул. Майская, д. 35/3, к.н. 61:25:0600401:17118 (1 шт.)</t>
  </si>
  <si>
    <t>Установка системы учета для технологического присоединения энергопринимающих устройств Заявителя (Саенко Э.В.) по адресу: Ростовская область, Мясниковский район, х. Ленинакан, ул. 6-я линия, д. 5, к.н. 61:25:0600401:22932 (1 шт.)</t>
  </si>
  <si>
    <t>Установка системы учета для технологического присоединения энергопринимающих устройств Заявителя (Семенов А.С.) по адресу: Ростовская область, Мясниковский район, х. Ленинаван, ул. Дружбы, к.н. 61:25:0030202:5281 (1 шт.)</t>
  </si>
  <si>
    <t>Установка системы учета для технологического присоединения энергопринимающих устройств Заявителя (ИП Вартанян К.С.) по адресу: Ростовская область, Мясниковский район, с. Крым, ул. 19-я линия, д. 27-в, к.н. 61:25:0201019:1106 (1 шт.)</t>
  </si>
  <si>
    <t>Установка системы учета для технологического присоединения энергопринимающих устройств Заявителя (Мухамбетов М.С.) по адресу: Ростовская область, Мясниковский район, с. Большие Салы, ул. Чехова, д. 9-в, к.н. 61:25:0040101:6250 (1 шт.)</t>
  </si>
  <si>
    <t>Установка системы учета для технологического присоединения энергопринимающих устройств Заявителя (Кучейник Е.С.) по адресу: Ростовская область, Мясниковский район, х. Ленинакан, ул. 8-я линия, д. 97, к.н. 61:25:0600401:19062 (1 шт.)</t>
  </si>
  <si>
    <t>Установка системы учета для технологического присоединения энергопринимающих устройств Заявителя (Айдинов А.А.) по адресу: Ростовская область, Мясниковский район, с. Чалтырь, ул. Хошаф-Чорвах, д. 3-а, к.н. 61:25:0101401:28 (1 шт.)</t>
  </si>
  <si>
    <t>Установка системы учета для технологического присоединения энергопринимающих устройств Заявителя (Гутова Л.Н.) по адресу: Ростовская область, Мясниковский район, х. Красный Крым, ул. Братьев Баян, д. 92, к.н. 61:25:0600401:14178 (1 шт.)</t>
  </si>
  <si>
    <t>Установка системы учета для технологического присоединения энергопринимающих устройств Заявителя (Чумаян А.А.) по адресу: Ростовская область, Мясниковский район, х. Красный Крым, ул. Звездная, д. 27-а, к.н. 61:25:0600401:14945 (1 шт.)</t>
  </si>
  <si>
    <t>Установка системы учета для технологического присоединения энергопринимающих устройств Заявителя (Иминов Р.Т.) по адресу: Ростовская область, Мясниковский район, х. Ленинакан, ул. Осенняя, д. 40, к.н. 61:25:0600401:19317 (1 шт.)</t>
  </si>
  <si>
    <t>Установка системы учета для технологического присоединения энергопринимающих устройств Заявителя (Арутюнян В.Г.) по адресу: Ростовская область, Мясниковский район, х. Ленинакан, ул. Осенняя, д. 21, к.н. 61:25:0600401:18040 (1 шт.)</t>
  </si>
  <si>
    <t>Установка системы учета для технологического присоединения энергопринимающих устройств Заявителя (Троян Д.В.) по адресу: Ростовская область, Мясниковский район, х. Ленинакан, ул. Майская, д. 24, к.н. 61:25:0600401:18840 (1 шт.)</t>
  </si>
  <si>
    <t>Установка системы учета для технологического присоединения энергопринимающих устройств Заявителя (Гундарь В.М.) по адресу: Ростовская область, Мясниковский район, сл. Петровка, ст. Крокус, уч. 359, к.н. 61:25:0501601:507 (1 шт.)</t>
  </si>
  <si>
    <t>"Установка системы учета для технологического присоединения энергопринимающих устройств Заявителя (Брыжик Н.А.) по адресу: Ростовская область, Неклиновский район, с. Николаевка, ул. Парковая, д. 8-А, к.н. 61:26:0110101:10340 (1 шт.)"</t>
  </si>
  <si>
    <t>Установка системы учета для технологического присоединения энергопринимающих устройств Заявителя (Ногин С.В.) по адресу: Ростовская область, Неклиновский район, с. Николаевка, ул. Парковая, д. 10-А, к.н. 61:26:0110101:10337 (1 шт.)</t>
  </si>
  <si>
    <t>Установка системы учета для технологического присоединения энергопринимающих устройств Заявителя (Сулина Е.Г.) по адресу: Ростовская область, Неклиновский район, с. Новобессергеневка, ул. Транспортная, д. 12 В, к.н. 61:26:0180101:8223 (1 шт.)</t>
  </si>
  <si>
    <t>Установка системы учета для технологического присоединения энергопринимающих устройств Заявителя (Похвала Д.А.) по адресу: Ростовская область, Неклиновский район, с. Новобессергеневка, ул. Свободы, д. 29-А, к.н. 61:26:0600024:1131 (1 шт.)</t>
  </si>
  <si>
    <t>Установка системы учета для технологического присоединения энергопринимающих устройств Заявителя (Житкова Е.И.) по адресу: Ростовская область, Неклиновский район, с. Новобессергеневка, ул. Свободы, д. 54, к.н. 61:26:0600024:10166 (1 шт.)</t>
  </si>
  <si>
    <t>Установка системы учета для технологического присоединения энергопринимающих устройств Заявителя (Житкова Е.И.) по адресу: Ростовская область, Неклиновский район, с. Новобессергеневка, ул. Свободы, д. 50, к.н. 61:26:0600024:10164 (1 шт.)</t>
  </si>
  <si>
    <t>Установка системы учета для технологического присоединения энергопринимающих устройств Заявителя (Житкова Е.И.) по адресу: Ростовская область, Неклиновский район, с. Новобессергеневка, ул. Свободы, д. 52, к.н. 61:26:0600024:10165 (1 шт.)</t>
  </si>
  <si>
    <t>Установка системы учета для технологического присоединения энергопринимающих устройств Заявителя (Сафонов А.М.) по адресу: Ростовская область, Неклиновский район, с. Покровское, ул. Раздольная, д.1-Б, к.н. 61:26:0050114:1429 (1 шт.)</t>
  </si>
  <si>
    <t>Установка системы учета для технологического присоединения энергопринимающих устройств Заявителя (Комарков А.Б.) по адресу: Ростовская область, г. Таганрог, 11-й переулок, д. 16 (к.н.: 61:58:0002125:41 (1 шт.)</t>
  </si>
  <si>
    <t>Установка системы учета для технологического присоединения энергопринимающих устройств Заявителя (Вишневская Ю.И.) по адресу: Ростовская область, г. Таганрог, ул. Сиверса, д. 23, к.н.: 61:58:00071034:27 (1 шт.)</t>
  </si>
  <si>
    <t>Установка системы учета для технологического присоединения энергопринимающих устройств Заявителя (ООО «АЙСТОР») по адресу: Ростовская область, г. Таганрог, пер. Гоголевский, д.3, кв. 1, к.н.: 61:58:0003002:326 (1 шт.)</t>
  </si>
  <si>
    <t>Установка системы учета для технологического присоединения энергопринимающих устройств Заявителя (ИП Верзунов Ю.С.) по адресу: Ростовская область, г. Таганрог, ул. Свободы, 32-3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</si>
  <si>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43, к.н. 61:25:0600401:24365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</si>
  <si>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39, к.н. 61:25:0600401:24363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</si>
  <si>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35, к.н. 61:25:0600401:24361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</si>
  <si>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31, к.н. 61:25:0600401:24359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</si>
  <si>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29, к.н. 61:25:0600401:24389 (1 шт.)</t>
  </si>
  <si>
    <t>Установка системы учета для технологического присоединения энергопринимающих устройств Заявителя (Пиденко О.С.) по адресу: Ростовская область, Мясниковский район, х. Ленинакан, ул. 5-я линия, д. 10, к.н. 61:25:0600401:22890 (1 шт.)</t>
  </si>
  <si>
    <t>Установка системы учета для технологического присоединения энергопринимающих устройств Заявителя (Мирошниченко А.В.) по адресу: Ростовская область, Мясниковский район, х. Ленинакан, ул. Осенняя, д. 32, к.н. 61:25:0600401:8711 (1 шт.)</t>
  </si>
  <si>
    <t>Установка системы учета для технологического присоединения энергопринимающих устройств Заявителя (Думцева Е.А.) по адресу: Ростовская область, Мясниковский район, х. Красный Крым, ул. Баграмяна, д. 34, к.н. 61:25:0600401:23254 (1 шт.)</t>
  </si>
  <si>
    <t>Установка системы учета для технологического присоединения энергопринимающих устройств Заявителя (Даньшин К.В.) по адресу: Ростовская область, Мясниковский район, х. Ленинаван, ул. Баттиччели, д. 21, корп. б, к.н. 61:25:0600401:15281 (1 шт.)</t>
  </si>
  <si>
    <t>Установка системы учета для технологического присоединения энергопринимающих устройств Заявителя (Веретенников А.А.) по адресу: Ростовская область, Мясниковский район, х. Ленинаван, ул. Баттиччели, д. 20-а, к.н. 61:25:0600401:22654 (1 шт.)</t>
  </si>
  <si>
    <t>Установка системы учета для технологического присоединения энергопринимающих устройств Заявителя (Герасимова И.А.) по адресу: Ростовская область, Мясниковский район, х. Ленинакан, ул. 5-я линия, д. 1, к.н. 61:25:0600401:22873 (1 шт.)</t>
  </si>
  <si>
    <t>Установка системы учета для технологического присоединения энергопринимающих устройств Заявителя (Корниенко С.Н.) по адресу: Ростовская область, Мясниковский район, х. Ленинакан, ул. Майская, д. 35/5, к.н. 61:25:0600401:17116 (1 шт.)</t>
  </si>
  <si>
    <t>Установка системы учета для технологического присоединения энергопринимающих устройств Заявителя (Тищенко М.О.) по адресу: Ростовская область, Мясниковский район, х. Ленинакан, ул. Майская, д. 26, к.н. 61:25:0600401:19218 (1 шт.)</t>
  </si>
  <si>
    <t>Установка системы учета для технологического присоединения энергопринимающих устройств Заявителя (Климкина А.В.) по адресу: Ростовская область, Мясниковский район, х. Мокрый Чалтырь, ул. Цветочная, д. 33, к.н. 61:25:0010201:692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</si>
  <si>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Мясникяна, к.н. 61:25:0030202:5325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</si>
  <si>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Мясникяна, к.н. 61:25:0030202:5289 (1 шт.)</t>
  </si>
  <si>
    <t>Установка системы учета для технологического присоединения энергопринимающих устройств Заявителя (Багдасарян Р.Ц.) по адресу: Ростовская область, Мясниковский район, х. Ленинаван, ул. Мясникяна, к.н. 61:25:0030202:5288 (1 шт.)</t>
  </si>
  <si>
    <t>Установка системы учета для технологического присоединения энергопринимающих устройств Заявителя (Чепурин С.Е.) по адресу: Ростовская область, Мясниковский район, х. Ленинаван, ул. Баттиччели, д. 22-а, к.н. 61:25:0600401:22651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</si>
  <si>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27, к.н. 61:25:0600401:24388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</si>
  <si>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25, к.н. 61:25:0600401:24387 (1 шт.)</t>
  </si>
  <si>
    <t>Установка системы учета для технологического присоединения энергопринимающих устройств Заявителя (Карнаух М.В.) по адресу: Ростовская область, Мясниковский район, х. Красный Крым, ул. Демидовская, д. 23, к.н. 61:25:0600401:24386 (1 шт.)</t>
  </si>
  <si>
    <t>Установка системы учета для технологического присоединения энергопринимающих устройств Заявителя (Киселева О.П.) по адресу: Ростовская область, Мясниковский район, х. Красный Крым, ул. Славная, д. 7, к.н. 61:25:0600401:21314 (1 шт.)</t>
  </si>
  <si>
    <t>Установка системы учета для технологического присоединения энергопринимающих устройств Заявителя (Чобанян Э.В.) по адресу: Ростовская область, Мясниковский район, х. Красный Крым, ул. Южная, д. 29, к.н. 61:25:0600401:20817 (1 шт.)</t>
  </si>
  <si>
    <t>Установка системы учета для технологического присоединения энергопринимающих устройств Заявителя (Кушнарева В.П.) по адресу: Ростовская область, Мясниковский район, х. Красный Крым, ул. Благодатная, д. 12, к.н. 61:25:0600401:20163 (1 шт.)</t>
  </si>
  <si>
    <t>Установка системы учета для технологического присоединения энергопринимающих устройств Заявителя (Юхнов Н.В.) по адресу: Ростовская область, Мясниковский район, х. Красный Крым, ул. Баграмяна, д. 51, к.н. 61:25:0600401:18267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</si>
  <si>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61, к.н. 61:25:0600401:23154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</si>
  <si>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59, к.н. 61:25:0600401:23160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</si>
  <si>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55, к.н. 61:25:0600401:23162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</si>
  <si>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48, к.н. 61:25:0600401:23144 (1 шт.)</t>
  </si>
  <si>
    <t>Установка системы учета для технологического присоединения энергопринимающих устройств Заявителя (Павленко Н.В.) по адресу: Ростовская область, Мясниковский район, х. Ленинакан, ул. 7-я Линия, д. 46, к.н. 61:25:0600401:23146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</si>
  <si>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Ленинакан, ул. 7-я Линия, д. 6, к.н. 61:25:0600401:22905 (1 шт.)</t>
  </si>
  <si>
    <t>Установка системы учета для технологического присоединения энергопринимающих устройств Заявителя (Казарян А.А.) по адресу: Ростовская область, Мясниковский район, х. Ленинакан, ул. 7-я Линия, д. 4, к.н. 61:25:0600401:22906 (1 шт.)</t>
  </si>
  <si>
    <t>Установка системы учета для технологического присоединения энергопринимающих устройств Заявителя (Дерцян Г.Г.) по адресу: Ростовская область, Мясниковский район, х. Ленинакан, ул. Осенняя, д. 36/2, к.н. 61:25:0600401:18014 (1 шт.)</t>
  </si>
  <si>
    <t>Установка системы учета для технологического присоединения энергопринимающих устройств Заявителя (Мкртичян Р.Р.) по адресу: Ростовская область, Мясниковский район, х. Ленинакан, ул. Майская, д. 35/4, к.н. 61:25:0600401:17117 (1 шт.)</t>
  </si>
  <si>
    <t>Установка системы учета для технологического присоединения энергопринимающих устройств Заявителя (Губченко К.Г.) по адресу: Ростовская область, Мясниковский район, х. Ленинакан, ул. 5-я линия, д. 2, к.н. 61:25:0600401:22884 (1 шт.)</t>
  </si>
  <si>
    <t>Установка системы учета для технологического присоединения энергопринимающих устройств Заявителя (Дубченко А.А.) по адресу: Ростовская область, Мясниковский район, х. Красный Крым, ул. Сатхинская, д. 28, к.н. 61:25:0600401:17221 (1 шт.)</t>
  </si>
  <si>
    <t>Установка системы учета для технологического присоединения энергопринимающих устройств Заявителей: ПАО «Газпром Газораспределение Ростов-на-Дону» в с. Александровка Мясниковского района Ростовской области (1 шт.)</t>
  </si>
  <si>
    <t>Установка системы учета для технологического присоединения энергопринимающих устройств Заявителей: ПАО «Газпром Газораспределение Ростов-на-Дону» в х. Веселый Мясниковского района Ростовской области (1 шт.)</t>
  </si>
  <si>
    <t>Установка системы учета для технологического присоединения энергопринимающих устройств Заявителя (Буракова Н.В.) по адресу: Ростовская область, Мясниковский район, х. Калинин, ул. Набережная, д. 173, к.н. 61:25:0050101:8125 (1 шт.)</t>
  </si>
  <si>
    <t>«Установка системы учета для технологического присоединения объекта «Нежилая застройка», расположенного по адресу: Российская Федерация, Ростовская обл., Сальский р-н, СНТ «Победа», линия 12, участок 4, кадастровый номер земельного участка: 61:34:0500301:467, заявитель Забродин Сергей Анатольевич.» (1 шт.)</t>
  </si>
  <si>
    <t xml:space="preserve"> «Установка системы учета для технологического присоединения объекта «объекты наружного освещения», расположенного по адресу: 347626 Российская Федерация, Ростовская обл., р-н. Сальский, с. Романовка, ул. Крупской, кадастровый номер земельного участка: 61:34:0140101:871, заявитель Администрация Новоегорлыкского сельского поселения» (1 шт.)</t>
  </si>
  <si>
    <t xml:space="preserve"> «Установка системы учета для технологического присоединения «магазина», расположенного по адресу: 347604 Российская Федерация, Ростовская обл., р-н. Сальский, п. Манычстрой, ул. Театральная, д. 7, корп. А, кадастровый номер земельного участка: 61:34:0040301:1278, заявитель Ребров В.Г.» (1 шт.)</t>
  </si>
  <si>
    <t>«Установка системы учета для технологического присоединения объекта «жилой дом», расположенного по адресу: Ростовская область, Целинский район, х. Свободный, ул. Зеленая, д. 117, к.н.з.у.:61:40:0031001:263, заявитель Галкина Т.И.» (1 шт.)</t>
  </si>
  <si>
    <t>«Установка системы учета для технологического присоединения объекта «наружное освещение (ул. Заречная, 1-41)», расположенного по адресу: Ростовская область, Целинский район, ст-ца Сладкая Балка, ул. Заречная, д. 1-41, к.н.з.у.: 61:40:0040502, заявитель Администрация Лопанского сельского поселения» (1 шт.)</t>
  </si>
  <si>
    <t>«Установка системы учета для технологического присоединения объекта «объект наружного освещения (ул. Комсомольская)», расположенного по адресу: Ростовская область, Целинский район, п. Новая Целина, ул. Комсомольская, к.н.з.у.: 61:40:0010131, заявитель Администрация Новоцелинского сельского поселения» (1 шт.)</t>
  </si>
  <si>
    <t>«Установка системы учета для технологического присоединения объекта «наружное освещение (ул. Заречная, 42-63)», расположенного по адресу: Ростовская область, Целинский район, ст-ца Сладкая Балка, ул. Заречная, д. 42-63, к.н.з.у.: 61:40:0040502, заявитель Администрация Лопанского сельского поселения» (1 шт.)</t>
  </si>
  <si>
    <t>«Установка системы учета для технологического присоединения объекта «жилой дом», расположенного по адресу: Ростовская область, Целинский район, п. Малая Роща, ул. Береговая, д. 11, к.н.з.у.:61:40:0010401:283, заявитель Цымбалова Н.Б.»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</si>
  <si>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Манычское сельское поселение, кадастровый номер земельного участка 61:34:0600001:2585, заявитель Криворотов А.Н.»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</si>
  <si>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п. Конезавод имени Буденного, ул. Северная, д. 7, кадастровый номер земельного участка: 61:34:0040101:701, заявитель Акимов С.В.»  (1 шт.)</t>
  </si>
  <si>
    <t xml:space="preserve">  «Установка системы учета для технологического присоединения объекта «жилой дом», расположенного по адресу: Российская Федерация, Ростовская обл., р-н. Сальский, х. Новоселый 1-й, ул. тер. СНТ Победа, лн. 5-я, д.58, кадастровый номер земельного участка: 61:34:0500301:950, заявитель Викленко В.А.» (1 шт.)</t>
  </si>
  <si>
    <t>«Установка системы учета для технологического присоединения объекта «жилой дом», расположенного по адресу: 347603 Российская Федерация, Ростовская обл., р-н Сальский, п. Конезавод имени Буденного, ул. Северная, д. 1, кадастровый номер земельного участка: 61:34:0040101:694, заявитель Лукьянченко А.В.»  (1 шт.)</t>
  </si>
  <si>
    <t>«Установка системы учета для технологического присоединения объекта «объект наружного освещения (ул. Заречная)», расположенного по адресу: Ростовская область, Целинский район, п. Холодные Родники, ул. Заречная, к.н.з.у.: 61:40:0010701, заявитель Администрация Новоцелинского сельского поселения» (1 шт.)</t>
  </si>
  <si>
    <t>«Установка системы учета для технологического присоединения объекта «квартира», расположенного по адресу: Ростовская область, Целинский район, п. Суховка, ул. Трудовая, д. 3, кв. 1, к.н.з.у.:61:40:0010501:42, заявитель Рукоманенко Д.В» (1шт.)</t>
  </si>
  <si>
    <t>«Установка системы учета для технологического присоединения объекта «квартира», расположенного по адресу: 347560, РФ, Ростовская область, Песчанокопский район, с. Развильное, ул. Колхозная, 47/1 к.н.з.у.:61:30:0090101:1467, заявитель Резван С.И.» (1 шт.),</t>
  </si>
  <si>
    <t>«Установка системы учета для технологического присоединения объекта «жилой дом», расположенного по адресу: Ростовская область, Целинский район, с. Степное, ул. Центральная, д. 57, к.н.з.у.: 61:40:0090101:275, заявитель Понамарева О.Б.» (1 шт.)</t>
  </si>
  <si>
    <t>«Установка системы учета для технологического присоединения объекта «Жилой дом», расположенного по адресу: 347505, РФ, Ростовская область, Орловский район, х. Каменная Балка, пер. Малый, д. 3, к.н.з.у.: 61:29:0040101:173, заявитель Кирюшкин Н.П. (1 шт.)»</t>
  </si>
  <si>
    <t>«Установка системы учета для технологического присоединения объекта «магазин», расположенного по адресу: 347612 Российская Федерация, Ростовская обл., р-н. Сальский, с. Сандата, ул. Калинина, д. 119, кадастровый номер земельного участка: 61:34:0170101:8108, заявитель Мусаева Ш.Ж.» (1 шт.)</t>
  </si>
  <si>
    <t>«Установка системы учета для технологического присоединения объекта «Малоэтажная жилая застройка», расположенной по адресу: Российская Федерация, Ростовская обл., г. Сальск, ул. СНТ Железнодорожник 6 Бригада, д. 51, кадастровый номер земельного участка: 61:57:0010977:235, заявитель Евсюкова Е.Д. (1 шт.)</t>
  </si>
  <si>
    <t>«Установка системы учета для технологического присоединения объекта «дачный дом», расположенного по адресу: Российская Федерация, Ростовская обл., г. Сальск, Сальский район, СНТ «Победа», линия 9, 20, кадастровый номер земельного участка: 61:34:0500301:422, заявитель Михайлова Л.Г.» (1 шт.)</t>
  </si>
  <si>
    <t>«Установка системы учета для технологического присоединения объекта «дачный дом», расположенного по адресу: Российская Федерация, Ростовская обл., р-н. Сальский, г. Сальск, СНТ «Приток», ул. Садовая, 6 участок 13, кадастровый номер земельного участка: 61:34:0500401:845, заявитель Михайленко И.В.» (1 шт.)</t>
  </si>
  <si>
    <t>«Установка системы учета для технологического присоединения объекта «объекты наружного освещения (с. Романовка, ул. Комсомольская)», расположенного по адресу: 347626 Российская Федерация, Ростовская обл., р-н. Сальский, с. Романовка, ул. Комсомольская, кадастровый номер земельного участка: 61:34:0140001:875, заявитель Администрация Новоегорлыкского сельского поселения» (1 шт.)</t>
  </si>
  <si>
    <t>«Установка системы учета для технологического присоединения объекта «объекты наружного освещения (с. Новый Егорлык, ул. Поповича)», расположенного по адресу: 347616 Российская Федерация, Ростовская обл., р-н. Сальский, с. Новый Егорлык, ул. Поповича, Начало объекта- место примыкания к дороге на ул. Советская, конец объекта- место схождения с местной дорогой, кадастровый номер земельного участка: 61:34:0110101:6036, заявитель Администрация Новоегорлыкского сельского поселения» (1 шт.)</t>
  </si>
  <si>
    <t xml:space="preserve"> «Установка системы учета для технологического присоединения объекта «дачный дом», расположенной по адресу: Российская Федерация, Ростовская обл., г. Сальск, Сальский р-н, СНТ "Железнодорожник", бригада 7, участок 11, кадастровый номер земельного участка: 61:57:0010977:917, заявитель Лозенко А.О.» (1 шт.)</t>
  </si>
  <si>
    <t>«Установка системы учета для технологического присоединения объекта «жилой дом», расположенного по адресу: 347617 Российская Федерация, Ростовская обл., р-н. Сальский, х. Новоселый 1-й, ул. Прохладная, д. 18, кадастровый номер земельного участка: 61:34:0120101:174, заявитель Анищенко В.М.» (1 шт.)</t>
  </si>
  <si>
    <t>«Установка системы учета для технологического присоединения объекта «Нежилое помещение», расположенной по адресу: З47620 Российская Федерация, Ростовская обл., р-н. Сальский, п. Рыбасово, ул. Огородная, д. 2, кадастровый номер земельного участка: 61:34:0150101:36, заявитель ООО «ТА Битум» (1 шт.)</t>
  </si>
  <si>
    <t xml:space="preserve"> «Установка системы учета для технологического присоединения объекта «Нежилое помещение», расположенной по адресу: Российская Федерация, Ростовская обл., г. Сальск, Сальский район, кадастровый номер земельного участка: 61:34:0600012:1561, заявитель ООО «ТА Битум» (1 шт.)</t>
  </si>
  <si>
    <t>«Установка системы учета для технологического присоединения объекта «Малоэтажная жилая застройка», расположенной по адресу: Российская Федерация, Ростовская обл., г. Сальск, Сальский р-н, СНТ "Железнодорожник", бригада 6, участок 59-а, кадастровый номер земельного участка: 61:57:0010977:1109, заявитель Сопильняк Л.Е. (1 шт.)</t>
  </si>
  <si>
    <t>«Установка системы учета для технологического присоединения объекта «дачный дом», расположенной по адресу: Российская Федерация, Ростовская обл., г. Сальск, Сальский район, СНТ "Железнодорожник", бригада 8, участок 53, кадастровый номер земельного участка: 61:57:0010977:1699, заявитель Муравьева Л.В. (1 шт.)</t>
  </si>
  <si>
    <t>«Установка системы учета для технологического присоединения объекта «дачный дом», расположенного по адресу: Российская Федерация, Ростовская обл., г. Сальск, СНТ «Приток», ул. Садовая, д. 16, участок 2, кадастровый номер земельного участка: 61:34:0500401:311, заявитель Гуйва Е.В.»  (1 шт.)</t>
  </si>
  <si>
    <t>«Установка системы учета для технологического присоединения «нестационарного торгового объекта», расположенного по адресу: 347562, РФ, Ростовская область, Песчанокопский район, с. Богородицкое, ул. Ленина, 80-б, к.н.з.у.:61:30:0020101:217, заявитель ИП Гусейнова Э.М.» (1 шт.)</t>
  </si>
  <si>
    <t>«Установка системы учета для технологического присоединения объекта «РЩ-0,23 кВ железнодорожного переезда 147 км, расположенных в границах земельного участка с к.н. 61:34:0600005:744, входящим в состав земельного участка с к.н. :61:34:00 00 00:002», расположенного по адресу: Российская Федерация, Ростовская обл., г. Сальск, Сальский район (на участке ж/д Батайск-Сальск (км 145+260 -176-963,8), на участке ж/д Куберле-Сальск (км366+514-км 388+0617),на участке ж/д Сальск-Тихорецкая (км 388+061,7 -км 410+050), к.н. 61:34:0600005:744, входящий в состав земельного участка с к.н. :61:34:00 00 00:0002, адресный ориентир-перегон Целина-Трубецкая, железнодорожный переезд 147 км ПК 7+23м, заявитель Открытое акционерное общество «Российские железные дороги» (1 шт.)</t>
  </si>
  <si>
    <t>«Установка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Чапаева, д. 28 к.н.з.у.:61:30:0050101:174, заявитель Гуденко Т.Р.» (1 шт.)</t>
  </si>
  <si>
    <t>«Установка системы учета для технологического присоединения объекта «Малоэтажная жилая застройка», расположенной по адресу: Российская Федерация, Ростовская обл., г. Сальск, Сальский район, СНТ "Приток", ул. Садовая 6, участок 5, кадастровый номер земельного участка: 61:34:0500401:122, заявитель Копылов В.Н. (1 шт.)</t>
  </si>
  <si>
    <t>«Установка системы учета для технологического присоединения объекта «уличное освещение по ул. Прогрессивная», расположенного по адресу: Ростовская область, Целинский район, п. Новая Целина, ул. Прогрессивная, к.н.з.у.: 61:40:0000000:6236, заявитель Администрация Новоцелинского сельского поселения» (1 шт.)</t>
  </si>
  <si>
    <t>«Установка системы учета для технологического присоединения объекта «Малоэтажная жилая застройка», расположенной по адресу: Российская Федерация, Ростовская обл., г. Сальск, СНТ "Победа", линия 6, участок 17, кадастровый номер земельного участка: 61:34:0500301:308, заявитель Белка А.С.» (1 шт.)</t>
  </si>
  <si>
    <t>«Установка системы учета для технологического присоединения объекта «Жилой дом», расположенного по адресу: 347521, РФ, Ростовская область, Орловский район, х. Луганский, ул. Московская, д. 22А/17, к.н.з.у.: 61:29:0010501:2291, заявитель Хачукаева З.М.» (1 шт.)</t>
  </si>
  <si>
    <t>«Установка системы учета для технологического присоединения объекта «Малоэтажная жилая застройка», расположенной по адресу: Российская Федерация, Ростовская обл., р-н. Сальский, х. Бровки, СНТ №2 «Бровки», ул. Прямая, 93, кадастровый номер земельного участка: 61:34:0500801:72, заявитель Ресцов Г.Н.» (1 шт.)</t>
  </si>
  <si>
    <t>«Установка системы учета для технологического присоединения объекта «жилой дом», расположенной по адресу: Российская Федерация, Ростовская обл., р-н. Сальский, х. Новоселый 1-й, СНТ "Победа", линия 10, уч. 18, кадастровый номер земельного участка: 61:34:0500301:496, заявитель Нестеренко И.В.» (1 шт.)</t>
  </si>
  <si>
    <t>«Установка системы учета для технологического присоединения объекта «дачный дом», расположенной по адресу: Российская Федерация, Ростовская обл., г. Сальск, СНТ "Железнодорожник", бригада №3, участок 2, кадастровый номер земельного участка: 61:57:0010977:732, заявитель Федоренко Е.Н.» (1 шт.)</t>
  </si>
  <si>
    <t>Строительство ВЛ 0,22 кВ от опоры №1-02/4 ВЛ 0,4 кВ Л-1 КТП 10/0,4 кВ № 75 по ВЛ 10 кВ Л-7 Кундрюченская, и установка системы учета электрической энергии (мощности) на границе земельного участка для электроснабжения объекта – «Жилой дом», расположенного по адресу: РФ, Ростовская область, Орловский район, х. Луганскийй, ул. 50 лет Октября, д. 53, к.н.з.у.: 61:29:0010501:523, заявитель Филонова Е.В. (Ориентировочная протяженность ЛЭП – 0,025 км)</t>
  </si>
  <si>
    <t>Установка приборов учета для присоединения ВРУ 0,22 кВ жилых домов расположенных по адресу: Ростовская обл., п. Российский, п. Янтарный, п. Водопадный, п. Нижнетемерницкий, х. Большой Лог, п. Красный Сад, п. Щепкин, п. Темерницкий, ст-ца Ольгинская, ст-ца Грушевская, г. Аксай, ст-ца Мишкинская (26 шт.)</t>
  </si>
  <si>
    <t>Установка приборов учета для присоединения ВРУ 0,22 кВ малоэтажных жилых застроек, расположенных по адресу: РО., п. Красный Сад, х. Большой Лог, п. Щепкин, г. Аксай, х. Махин, (8шт.)</t>
  </si>
  <si>
    <t>Установка приборов учета для присоединения ВРУ 0,22 кВ малоэтажных жилых застроек, расположенных по адресу: РО., п. Красный Сад, х. Большой Лог, ст-ца Грушевская, п. Щепкин, (4шт.)</t>
  </si>
  <si>
    <t>Установка приборов учета для присоединения ВРУ 0,22 кВ малоэтажных жилых застроек и жилых домов, расположенных по адресу: РО., х. Большой Лог, п. Российский, п. Темерницкий, п. Рассвет, п. Красный Сад, (8шт.)</t>
  </si>
  <si>
    <t>Установка прибора учета для присоединения индивидуального жилого дома заявителя Аверина С. А., расположенного по адресу: Ростовская обл., Веселовский район, п. Веселый, пер. Комсомольский, 66/3 к.н.:61:06:0010126:165 (1шт)</t>
  </si>
  <si>
    <t>Установка прибора учета для присоединения жилого дома заявителя Руденко Т. В., расположенного по адресу: Ростовская обл., Веселовский район, п. Веселый, ул. Советская, 4-а к.н.:61:06:0010128:746</t>
  </si>
  <si>
    <t>Установка приборов учета для присоединения ВРУ 0,22 кВ малоэтажных жилых застроек, расположенных по адресу: РО., п. Щепкин, п. Красный Сад, КН:61:02:0080505:1303, 61:02:0080505:1304, 61:01:0130201:4252, (3шт.)</t>
  </si>
  <si>
    <t>Установка приборов учета для присоединения ВРУ 0,22 кВ малоэтажных жилых застроек, расположенных по адресу: РО., ст-ца Старочеркасская, п.Красный, КН:61:02:0110102:2851, 61:02:0080601:1461, (2шт.)</t>
  </si>
  <si>
    <t>Установка приборов учета для присоединения ВРУ 0,22 кВ малоэтажных жилых застроек и жилого дома, расположенных по адресу: РО., г. Аксай, п. Темерницкий, х. Большой Лог, п. Октябрьский, КН:61:02:0600010:14422, 61:02:0600005:7238, 61:02:0600005:11407, 61:02:0600011:1090, 61:02:0600011:1038, 61:02:0600011:1031, 61:02:0080102:59, (7шт.)</t>
  </si>
  <si>
    <t>Установка приборов учета для присоединения ВРУ 0,22 кВ жилых застроек РО., р-н Аксайский, п Рассвет, Нижнетемерницкий КН 61:02:0600006:3572.  (3 шт)</t>
  </si>
  <si>
    <t>Установка прибора учета для присоединения ВРУ 0,4 кВ гаража, расположенного по адресу: РО., Аксайский р-н, КН: 61:02:0600005:11406, (1шт.)</t>
  </si>
  <si>
    <t>Установка прибора учета для присоединения ВРУ 0,22 кВ малоэтажной жилой застройки, расположенной по адресу: РО., х. Нижнетемерницкий, ул. Чехова, д. 6, КН: 61:02:0600006:3942, (1шт.)</t>
  </si>
  <si>
    <t>Установка приборов учета для присоединения ВРУ 0,22 кВ малоэтажных жилых застроек, расположенных по адресу: РО., х. Большой Лог, п. Октябрьский, п. Янтарный, ст-ца Мишкинская, х. Александровка, п. Дорожный, х. Нижнетемерницкий, х. Камышеваха, КН:61:02:0600010:23283, 61:02:0600004:3454, 61:02:0600004:3456, 61:02:0011001:1261, 61:02:0011001:1260, 61:02:0011001:1259, 61:02:0600009:2583, 61:02:0070503:783, 61:02:0050101:2734, 61:02:0600005:11399, 61:02:0010411:94, (11шт.)</t>
  </si>
  <si>
    <t>Установка приборов учета для присоединения ВРУ 0,22 кВ малоэтажных жилых застроек, расположенных по адресу: РО., п. Темерницкий, х. Большой Лог, г. Новочеркасск, ст-ца Старочеркасская, п. п. Янтарный, Октябрьский, КН:61:02:0600005:10003, 61:02:0600010:9606, 61:02:0010201:7379, 61:55:0011023:125, 61:02:0600013:2099, 61:02:0600010:3716, 61:02:0600004:3460, 61:02:0600004:3455, 61:02:0600004:3453, (9шт.)</t>
  </si>
  <si>
    <t>Установка приборов учета для присоединения ВРУ 0,22 кВ малоэтажных жилых застроек, расположенных по адресу: РО., х. Большой Лог, п. Российский, КН:61:02:0010201:7377, 61:02:0600011:841, 61:02:0600010:24063, (3шт.)</t>
  </si>
  <si>
    <t>Установка приборов учета для присоединения ВРУ 0,22 кВ малоэтажных жилых застроек и жилого дома, расположенных по адресу: РО., п. Щепкин, х. Большой Лог, п. Рассвет, п. Российский, п. Октябрьский, КН:61:02:0080501:1565, 61:02:0010201:6643, 61:02:0100201:845, 61:02:0600010:3472, 61:02:0600004:2390, 61:02:0080101:49, (6шт.)</t>
  </si>
  <si>
    <t>Установка прибора учета для присоединения ВРУ 0,4 кВ жилого дома заявителя Кундрюкова А.Е., расположенного по адресу: Ростовская обл., Семикаракорский р-н., х. Слободской, ул. Ященко д.26, к.н.: 61:35:0090401:3</t>
  </si>
  <si>
    <t>Установка приборов учета для присоединения ВРУ 0,22 кВ малоэтажных жилых застроек, расположенных по адресу: РО., п. Октябрьский, п. Темерницкий, КН:61:02:0600004:3458, 61:02:0600004:3459, 61:02:0600004:3446, 61:02:0080103:543, 61:02:0600005:10063, 61:02:0600005:10062, 61:02:0030101:3781, (7шт.)</t>
  </si>
  <si>
    <t>Установка приборов учета для присоединения ВРУ 0,22 кВ малоэтажных жилых застроек, расположенных по адресу: РО., п. Щепкин, х. Большой Лог, п. Октябрьский, ст-ца Ольгинская, г. Аксай, КН:61:02:0080505:1363, 61:02:0080501:1250, 61:02:0600011:1676, 61:02:0600011:1675, 61:02:0600011:1674, 61:02:0600011:1673, 61:02:0600010:15824, 61:02:0600004:3445, 61:02:0090101:3749, 61:02:0080505:1294, 61:02:0600010:20713, (11шт.)</t>
  </si>
  <si>
    <t>Установка приборов учета для присоединения ВРУ 0,22 кВ малоэтажных жилых застроек, расположенных по адресу: РО., п. Щепкин, х. Ленина, п. Янтарный, г. Аксай, п. Темерницкий, п. Российский, КН:61:02:0080505:920, 61:02:0060101:3716, 61:02:0600010:3635, 61:02:0600010:20712, 61:02:0081101:2738, 61:02:0600010:3444, (6шт.)</t>
  </si>
  <si>
    <t>Установка приборов учета для присоединения ВРУ 0,22 кВ малоэтажных жилых застроек и объекта торговли, расположенных по адресу: РО., п. Красный Сад, ст-ца Мишкинская, п. Щепкин, х. Верхнеподпольный, п. Темерницкий, КН:61:01:0130201:4694, 61:02:0070202:1995, 61:02:0080503:1149, 61:02:0080501:1563, 61:02:0020201:2128, 61:02:0081101:3487, 61:02:0600005:10047, (7шт.)</t>
  </si>
  <si>
    <t>Установка приборов учета для присоединения ВРУ 0,22 кВ малоэтажных жилых застроек, расположенных по адресу: РО., п.Октябрьский, п. Темерницкий, п. Красный Сад, КН:61:02:0600004:2182, 61:02:0081101:2368, 61:02:0600005:5365, 61:01:0130201:5608, 61:01:0130201:4739, (5шт.)</t>
  </si>
  <si>
    <t>Установка приборов учета для присоединения ВРУ 0,22 кВ малоэтажных жилых застроек и объекта торговли, расположенных по адресу: РО., п.Щепкин, п. Темерницкий, п. Октябрьский, КН:61:02:0080505:1365, 61:02:0080505:1345, 61:02:0080503:176, 61:02:0081101:3514, 61:02:0080105:80, (5шт.)</t>
  </si>
  <si>
    <t>Установка прибора учета для присоединения дачного дома Лебедева В.А. расположенного по адресу: Ростовская обл., р-н Багаевский, ст. Багаевская, ул. Береговая, д. 170-в, к.н. 61:03:0500801:51 (1 шт.)</t>
  </si>
  <si>
    <t>Установка прибора учета для присоединения церкви Местной религиозной организации «Православная старообрядческая община ст. Маныческой, Ростовской области Русской Православной Старообрядческой Церкви» расположенного по адресу: Ростовская обл., р-н Багаевский, ст. Манычская, пер. Кривой, д. 1, к.н. 61:03:0040105:225 (1 шт.)</t>
  </si>
  <si>
    <t>Установка прибора учета для присоединения малоэтажной жилой застройки (Индивидуальный жилой дом/ Садовый/Дачный дом) заявителя Шевченко И. А., расположенной по адресу: Ростовская обл., Веселовский район, х. Верхнесоленый, ул. Заречная, д. 43-а, к.н. 61:06:0020107:431</t>
  </si>
  <si>
    <t>Установка прибора учета для присоединения малоэтажной жилой застройки (Индивидуальный жилой дом/ Садовый/Дачный дом) заявителя Озеровой М. А., расположенной по адресу: Ростовская обл., Веселовский район, п. Веселый, ул. Ленинская, д. 37-а, к.н. 61:06:0010129:710</t>
  </si>
  <si>
    <t>Установка приборов учета для присоединения ВРУ 0,22 кВ малоэтажных жилых застроек, расположенных по адресу: РО., ст-ца Грушевская, п. Опытный СТ «Аксай», п. Щепкин, п. Темерницкий, КН:61:02:0030108:678, 61:02:0503101:23, 61:02:0600006:2081, 61:02:0600005:5438, (4шт.)</t>
  </si>
  <si>
    <t>Установка прибора учета для присоединения ВРУ 0,22 кВ малоэтажной жилой застройки, расположенной по адресу: РО., п. Темерницкий, ул. Дружбы, д.4, КН:61:02:0600005:13624, (1шт.)</t>
  </si>
  <si>
    <t>Установка приборов учета для присоединения ВРУ 0,22 кВ малоэтажных жилых застроек, расположенных по адресу: РО., х. Ленина, п. Янтарный, ст-ца Ольгинская, п. Октябрьский, п. Щепкин, п. Красный Сад,  КН:61:02:0060101:4200,  61:02:0010142:14,  61:02:0010134:43,  61:02:0090101:4190,  61:02:0600004:3457,  61:02:0080505:1354,  61:01:0130201:5576,  61:01:0130201:5578, (8шт.)</t>
  </si>
  <si>
    <t>Установка приборов учета для присоединения ВРУ 0,22 кВ малоэтажных жилых застроек, расположенных по адресу: РО., х. Нижнеподпольный , п. Октябрьский, п. Красный Сад, п. Октябрьский. КН:61:02:0090201:415, КН:61:02:060004:2173  КН:61:01:0130201:5675 КН:61:02:0600004:2118  (4шт.)</t>
  </si>
  <si>
    <t>Установка приборов учета для присоединения ВРУ 0,22 кВ малоэтажных жилых застроек, расположенных по адресу: РО.,  п. Октябрьский, п. Российский, ст. Старочеркасская.
КН:61:02:06000041:2219, КН:61:02:0600010:7816 ,  КН:61:02:0600004:2217 , КН:61:02:0600010:3447 , КН:61:02:0600010:24745, КН:61:02:0110102:4267       (6шт.)</t>
  </si>
  <si>
    <t>Установка приборов учета для присоединения ВРУ 0,22 кВ малоэтажных жилых застроек, расположенных по адресу: РО.,  п. Октябрьский, х. Большой Лог, п. Российский, г. Аксай, п. Щепкин. КН:61:02:0080103:298 , КН:61:02:0600011:2745, КН:61:02:0600011:2744, КН:61:02:0010301:4069, КН:61:02:0600010:14275, КН:61:02:0600011:949,  КН:61:02:080505:1362, (7шт.)</t>
  </si>
  <si>
    <t>Установка приборов учета для присоединения ВРУ 0,22 кВ малоэтажных жилых застроек, расположенных по адресу: РО.,  г.Аксай. КН:61:02:0600010:4655, (1шт.)</t>
  </si>
  <si>
    <t>Установка приборов учета для присоединения ВРУ 0,22 кВ малоэтажных жилых застроек, расположенных по адресу: РО., п. Щепкин, п. Октябрьский, п. Российский, х. Большой Лог, п. Красный Сад, КН:61:02:0080503:984, 61:02:0080502:1420, 61:02:0600004:2166, 61:02:0600010:24879, 61:02:0600010:24875, 61:02:0600010:15852, 61:01:0130201:4878, (7шт.)</t>
  </si>
  <si>
    <t>Установка прибора учета для присоединения жилого дома Некулайчук В.П. расположенного по адресу: Ростовская обл., р-н Багаевский, х. Елкин, ул. Кооперативная, д. 60, к.н. 61:03:0030127:25 (1 шт.)</t>
  </si>
  <si>
    <t>Установка прибора учета для присоединения жилого дома Демьянова А.А. расположенного по адресу: Ростовская обл., р-н Багаевский, п. Первомайский, ул. Школьная, д. 28, к.н. 61:03:0060201:85 (1 шт.)</t>
  </si>
  <si>
    <t>Установка прибора учета для присоединения газопровода высокого давления, подземного, литер 1Л, протяженностью 9,992 километров заявителя ПАО "Газпром газораспределение Ростов-на-Дону", расположенного по адресу: Ростовская обл., Веселовский район, х. Ленинский, к.н. 61:06:0000000:1976</t>
  </si>
  <si>
    <t>Установка прибора учета для присоединения ВРУ 0,22 кВ объектов наружного освещения, расположенных по адресу: РО., п. Рассвет, пер. Луговой, КН: 61:02:0100201:889, (1шт.)</t>
  </si>
  <si>
    <t>Установка приборов учета для присоединения ВРУ 0,22 кВ малоэтажных жилых застроек, расположенных по адресу: РО., п. Российский, п. Темерницкий, ст-ца Старочеркасская, КН:61:02:0600010:4763, 61:02:0600005:12761, 61:02:0110101:64, 61:02:0081101:3541, (4шт.)</t>
  </si>
  <si>
    <t>Установка приборов учета для присоединения ВРУ 0,22 кВ малоэтажных жилых застроек и жилого дома, строительной площадки и объекта торговли, расположенных по адресу: РО., х. Большой Лог, ст-ца Старочеркасская, п. Октябрьский, х. Нижнетемерницкий, п. Темерницкий, ст-ца Ольгинская, х. Истомино, КН:61:02:0010201:536, 61:02:0600010:15847, 61:02:0110102:2405, 61:02:0600004:2209, 61:02:0600005:12149, 61:02:0600005:10500, 61:02:0090103:2820, 61:02:0050301:996, (8шт.)</t>
  </si>
  <si>
    <t>Установка приборов учета для присоединения ВРУ 0,22 кВ малоэтажных жилых застроек, расположенных по адресу: РО., п. Щепкин, х. Веселый, х. Большой Лог, КН:61:02:0081101:2348, 61:02:0030301:2, 61:02:0010201:5839, (3шт.)</t>
  </si>
  <si>
    <t>Установка приборов учета для присоединения ВРУ 0,22 кВ малоэтажных жилых застроек и жилого дома, строительной площадки и объекта торговли, расположенных по адресу: РО., п. Темерницкий, п. Октябрьский, ст-ца Грушевская, х. Большой Лог, п. Щепкин, г. Новочеркасск, п. Красный Сад, п. Российский, х. Островского, п. Янтарный, (31 шт.)</t>
  </si>
  <si>
    <t>Установка прибора учета для присоединения объектов наружного освещения Администрации Манычского сельского поселения Багаевского района Ростовской области расположенных по адресу: Ростовская обл., р-н Багаевский, х. Арпачин, ул. Советская, д. 40-б, к.н. 61:03:0000000:3946 (1 шт.)</t>
  </si>
  <si>
    <t>Установка прибора учета для присоединения одноэтажного здания магазина с мансардным этажом заявителя ИП Кривобоковой Е. В., расположенного по адресу: Ростовская обл., Веселовский район, п. Садковский, ул. Центральная, д. 17-б, к.н. 61:06:0020505:311</t>
  </si>
  <si>
    <t>Установка прибора учета для присоединения объекта сельскохозяйственного назначения заявителя Лозина Д. А., расположенного по адресу: Ростовская обл., Веселовский район, х. Малая Западенка, территория ЗАО им. Черняховского к.н. 61:06:0600006:610</t>
  </si>
  <si>
    <t>Установка прибора учета для присоединения малоэтажной жилой застройки Гавшев С.С. расположенного по адресу: Ростовская обл., р-н. Семикаракорский, х. Чебачий, ул. Горького, к.н. 61:35:0060201:2935 (1 шт.)</t>
  </si>
  <si>
    <t>Установка приборов учета для присоединения ВРУ 0,22 кВ малоэтажных жилых застроек, расположенных по адресу: РО., ст-ца Грушевская, п. Янтарный, п. Октябрьский, х. Махин, г. Аксай, КН:61:02:0505001:2006, 61:02:0010154:16, 61:02:0080107:260, 61:02:0090301:419, 61:02:0600010:10674, (5шт.)</t>
  </si>
  <si>
    <t>Установка приборов учета для присоединения ВРУ 0,22 кВ малоэтажных жилых застроек, расположенных по адресу: РО., п. Российский, х. Большой Лог, ст-ца Грушевская, п. Красный Сад, КН:61:02:0600010:14840, 61:02:0010201:7274, 61:02:0600002:825, 61:01:0130201:4175, (4шт.)</t>
  </si>
  <si>
    <t>Установка приборов учета для присоединения ВРУ 0,22 кВ малоэтажных жилых застроек и жилого дома, расположенных по адресу: РО., х. Нижнетемерницкий, п. Темерницкий, п. Красный, г. Аксай, КН:61:02:0600005:8845, 61:02:0600005:7317, 61:01:0600007:1628, 61:02:0600010:5506, (4шт.)</t>
  </si>
  <si>
    <t>Установка приборов учета для присоединения ВРУ 0,22 кВ малоэтажных жилых застроек, расположенных по адресу: РО., х. Большой Лог, п. Темерницкий, г. Аксай, п. Российский, х. Александровка, п. Октябрьский, п. Щепкин, КН:61:02:0010201:869, 61:02:0600010:12282, 61:02:0600005:13938, 61:02:0600010:5495, 61:02:0600010:11057, 61:02:0070503:788, 61:02:0080109:540, 61:02:0080103:839, 61:02:0080103:841, 61:02:0080103:840, 61:02:0080103:842, 61:02:0080505:1343, (12шт.)</t>
  </si>
  <si>
    <t>Установка приборов учета для присоединения ВРУ 0,22 кВ малоэтажных жилых застроек, расположенных по адресу: РО., п. Щепкин, п. Темерницкий, х. Ленина, г. Аксай, х. Большой Лог, п. Российский, п. Октябрьский, ст-ца Ольгинская, (25шт.)</t>
  </si>
  <si>
    <t>Установка прибора учета для присоединения: жилого дома, заявителя Юнда В.А. расположенного по адресу (будет располагаться): Ростовская область, Веселовский район, х. Красное Знамя, ул. Молодежная, 13-б к.н. 61:06:0060208:265</t>
  </si>
  <si>
    <t>Установка приборов учета для присоединения ВРУ 0,22 кВ малоэтажных жилых застроек, расположенных по адресу: РО., х. Ленина, п. Красный Сад, п. Щепкин, КН:61:02:0060101:3845, 61:01:0130201:5568, 61:02:0000000:6225, (3шт.)</t>
  </si>
  <si>
    <t>Установка приборов учета для присоединения ВРУ 0,22 кВ малоэтажных жилых застроек, нежилой застройки, расположенных по адресу: РО., п. Российский, п. Щепкин, п. Красный Сад, х. Ленина, п. Октябрьский, х. Нижнеподпольный, х. Большой Лог, п. Красный Колос, (18шт.)</t>
  </si>
  <si>
    <t>Установка приборов учета для присоединения ВРУ 0,22 кВ малоэтажных жилых застроек, расположенных по адресу: РО., п. Янтарный, п. Щепкин, п. Красный Сад, КН:61:02:0011001:362, 61:02:0080505:1376, 61:01:0130201:884, 61:01:0130201:3889, (4шт.)</t>
  </si>
  <si>
    <t>Установка прибора учета для присоединения: малоэтажной жилой застройки (Индивидуальный жилой дом/ Садовый/Дачный дом), заявителя Елисеевой А. С. расположенной по адресу (будет располагаться): Ростовская область, Веселовский район, Веселовское сельское поселение к.н. 61:06:0600012:1136</t>
  </si>
  <si>
    <t>Установка прибора учета для присоединения: малоэтажной жилой застройки (Индивидуальный жилой дом/ Садовый/Дачный дом), заявителя Елисеевой А. С. расположенной по адресу (будет располагаться): Ростовская область, Веселовский район, Веселовское сельское поселение к.н. 61:06:0600012:1137</t>
  </si>
  <si>
    <t>Установка прибора учета для присоединения малоэтажной жилой застройки Михайлов Е.Н. расположенного по адресу: Ростовская обл., р-н. Семикаракорский, ст-ца Новозолотовская, пер. Мирный, д. 18а, к.н. 61:35:0060101:3663 (1 шт.)</t>
  </si>
  <si>
    <t>Установка прибора учета для присоединения ВРУ 0,22 кВ малоэтажной жилой застройки, расположенной по адресу: РО., п. Щепкин, КН:61:02:0600006:7570, (1шт.)</t>
  </si>
  <si>
    <t>Установка приборов учета для присоединения ВРУ 0,22 кВ малоэтажных жилых застроек, расположенных по адресу: РО., х. Александровка, г. Аксай, п. Щепкин, п. Октябрьский, х. Ленина, КН:61:02:0070501:787, 61:02:0600010:10667, 61:02:0080504:428, 61:02:0080501:1587, 61:02:0600004:2124, 61:02:0600016:4051, (6шт.)</t>
  </si>
  <si>
    <t>Установка приборов учета для присоединения ВРУ 0,22 кВ станции катодной защиты СКЗ №1, малоэтажных жилых застроек, расположенных по адресу: РО., п. Темерницкий, х. Большой Лог, п. Щепкин, ст-ца Ольгинская, КН:61:02:0600005:3053, 61:02:0081101:3592, 61:02:0081101:3569, 61:02:0010201:5047, 61:02:0080503:1614, 61:02:0090103:3530, (6шт.)</t>
  </si>
  <si>
    <t>Установка приборов учета для присоединения ВРУ 0,22 кВ малоэтажных жилых застроек, расположенных по адресу: РО., п. Щепкин, п. Темерницкий, КН:61:02:0080502:1421, 61:02:0080505:1374, 61:02:0081101:3571, 61:02:0081101:3568, 61:02:0081101:3604, 61:02:0081101:3588, (6шт.)</t>
  </si>
  <si>
    <t>Установка прибора учета для присоединения ВРУ 0,22 кВ малоэтажной жилой застройки, расположенной по адресу: РО., п. Темерницкий, ул. Изумрудная, 7, КН:61:02:0600005:9401, (1шт.)</t>
  </si>
  <si>
    <t>Установка прибора учета для присоединения объектов наружного освещения Администрации Манычского сельского поселения Багаевского района Ростовской области расположенных по адресу: Ростовская обл., р-н Багаевский, ст. Манычская, ул. Советская, д. 8 Б, к.н. 61:03:0000000:3996 (1 шт.)</t>
  </si>
  <si>
    <t>Установка приборов учета для присоединения ВРУ 0,22 кВ малоэтажных жилых застроек, расположенных по адресу: РО., х. Большой Лог, п. Красный Сад, п. Октябрьский, КН: 61:02:0010201:657, 61:02:0600010:14066, 61:01:0130201:5647, 61:02:0600010:15826, 61:02:0600004:2150, (5шт.)</t>
  </si>
  <si>
    <t>Установка приборов учета для присоединения ВРУ 0,22 кВ малоэтажных жилых застроек, расположенных по адресу: РО., п. Российский, х. Александровка, х. Большой Лог, п. Темерницкий, ст-ца Грушевская, КН: 61:02:0600010:7864, 61:02:0070503:551, 61:02:0600010:14063, 61:02:0600005:14259, 61:02:0600005:14260, 61:02:0600005:14258, 61:02:0600002:3267, 61:02:0600002:3269, 61:02:0600002:3268, (9шт.)</t>
  </si>
  <si>
    <t>Установка прибора учета для присоединения ВРУ 0,22 кВ малоэтажной жилой застройки, расположенной по адресу: РО., ст-ца Грушевская, ст-ца Мишкинская, п. Щепкин, п. Российский, п. Красный Сад, п. Октябрьский, (16шт.)</t>
  </si>
  <si>
    <t>Установка прибора учета для присоединения жилого дома Мандровской Л.Н. расположенного по адресу: Ростовская обл., р-н Багаевский, х. Усьман, пер. Донской, д. 1, к.н. 61:03:0060403:20 (1 шт.)</t>
  </si>
  <si>
    <t>Установка прибора учета для присоединения дачного дома Романова А.И. расположенного по адресу: Ростовская обл., р-н Багаевский, Елкинское сельское поселение, к.н. 61:03:0600002:695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</si>
  <si>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№9 ВЛ 10кВ №1815 ПС 35/10 кВ А-18 для технологического присоединения энергопринимающих устройств жилого дома Заявителя Аванесовой Т.Р.,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</si>
  <si>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№45-67 технически перевооружаемой ВЛ 0,4 кВ №2 КТП 10/0,4 кВ №45 ВЛ 10 кВ №803 ПС 35/10 кВ А-8 для технологического присоединения энергопринимающих устройств жилого дома Заявителя Орлова О.Ю., с. Семибалки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</si>
  <si>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№94 ВЛ 10кВ №2907 РП-29 ПС 35/10 кВ А-18 для технологического присоединения энергопринимающих устройств жилого дома Заявителя Терзиевой Н.С., х. Казачий Ерик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</si>
  <si>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№9-39 ВЛ 0,4 кВ КТП 10/0,4кВ №9 (балансовая принадлежность ООО «Рыбколхоз им. Ленина») ВЛ 10кВ №1815 ПС 35/10 кВ А-18 для технологического присоединения энергопринимающих устройств жилого дома Заявителя Шляхова В.Н., х. Городище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</si>
  <si>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№8-20 ВЛ-0,4 кВ №1 КТП 10/0,4 кВ №8 по ВЛ 10 кВ №502 ПС 35/10 кВ А-5 для технологического присоединения энергопринимающих устройств жилого дома Заявителя Мацейко Э., с. Отрадовка,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</si>
  <si>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№305-17 ВЛ 0,4 кВ №1 КТП 10/0,4кВ №305 ВЛ 10кВ №2608 ПС 110/10 кВ А-26 для технологического присоединения энергопринимающих устройств жилого дома Заявителя Александрова А.Н.,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</si>
  <si>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№217-41 ВЛ-0,4 кВ №2 КТП 10/0,4 кВ №217 по ВЛ 10 кВ №1107 ПС 35/10 кВ А-11 для технологического присоединения энергопринимающих устройств личного подсобного хозяйства Заявителя Благодарной Т.А.,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</si>
  <si>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№154-73 ВЛ 0,4 кВ №3 КТП 10/0,4кВ №154 ВЛ 10кВ №1101 ПС 35/10 кВ А-11 для технологического присоединения энергопринимающих устройств жилого дома Заявителя Бойко Д.А.,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</si>
  <si>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№217-45 ВЛ-0,4 кВ №2 КТП 10/0,4 кВ №217 по ВЛ 10 кВ №1107 ПС 35/10 кВ А-11 для технологического присоединения энергопринимающих устройств жилого дома Заявителя Бутко В.И., с. Кагальник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</si>
  <si>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№115-33 ВЛ-0,4 кВ №2 КТП 10/0,4 кВ №115 по ВЛ 10 кВ №3125 ПС 110/35/10 кВ А-31 для технологического присоединения энергопринимающих устройств жилого дома Заявителя Воронина С.А., с. Пешково, Азовский район, Ростовская область (1 шт.)</t>
  </si>
  <si>
    <t xml:space="preserve">Установка прибора коммерческого учета электрической энергии (мощности) на границе земельного участка, подключенного от опоры №162-14 ВЛ-0,4 кВ №2 КТП 10/0,4кВ №162 ВЛ-10кВ №1101 ПС 35/10 кВ А-11 для технологического присоединения энергопринимающих устройств жилого дома Заявителя Кислякова М.Г., с. Кагальник Азовский район, Ростовская область (1 шт.) </t>
  </si>
  <si>
    <t>Установка прибора коммерческого учета электрической энергии (мощности) на границе земельного участка, подключенного от опоры №334-8 ВЛ-0,4 кВ №1 КТП 10/0,4 кВ №334 по ВЛ 10 кВ №202Н ПС 100/6/10 кВ НС-2 для технологического присоединения энергопринимающих устройств жилого дома Заявителя Леоновой Я.М., ЗАО «Обильное», поля 86-88, 1 км от с.Кулешовка,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</si>
  <si>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ВЛ-0,4кВ КТП-10/0,4 кВ №279 (балансовая принадлежность ИП Усачев В.И. (п. Беловодье) по ВЛ-10кВ №1815 ПС 35/10 кВ «А-18» для технологического присоединения энергопринимающих устройств жилого дома Заявителя Липчанской А.Г., х. Обуховка,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</si>
  <si>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№188-27 ВЛ-0,4 кВ №2 КТП 10/0,4кВ №188 ВЛ-10кВ №3125 ПС 110/35/10 кВ А-31 для технологического присоединения энергопринимающих устройств жилого дома Заявителя Мащенко Ю.П.,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</si>
  <si>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№213-84 ВЛ 0,4 кВ №3 КТП 10/0,4кВ №213 ВЛ 10кВ №910 ПС 35/10 кВ А-9 для технологического присоединения энергопринимающих устройств жилого дома Заявителя Медведевой М.В., г. Азов, ДНТ «Южное»,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</si>
  <si>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№174-12 ВЛ-0,4 кВ №1 КТП 10/0,4 кВ №174 по ВЛ 10 кВ №3105 ПС 110/35/10 кВ А-31 для технологического присоединения энергопринимающих устройств жилого дома Заявителя Мулюкина А.М., с. 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</si>
  <si>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№166-6 ВЛ-0,4 кВ №1 КТП 10/0,4кВ №166 ВЛ-10кВ №1701 ПС 35/10 кВ А-17 для технологического присоединения энергопринимающих устройств жилого дома Заявителя Романенко К.Е.,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</si>
  <si>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ВЛ-0,4 кВ КТП 10/0,4 кВ №29 по ВЛ 10 кВ №2907 РП-29 ПС 35/10 кВ А-18 для технологического присоединения энергопринимающих устройств жилого дома Заявителя Череповской Е.Н., х.Казачий Ерик,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</si>
  <si>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№184-70 ВЛ-0,4 кВ №4 КТП 10/0,4 кВ №184 по ВЛ 10 кВ №3113 ПС 110/35/10 кВ А-31 для технологического присоединения энергопринимающих устройств жилого дома Заявителя Щекотиной Т.А., с. Пешково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</si>
  <si>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№105-91 ВЛ-0,4 кВ №2 КТП 10/0,4 кВ №105 по ВЛ 10 кВ №2608 ПС 110/10 кВ А-26 для технологического присоединения энергопринимающих устройств жилого дома Заявителя Алексеенко С.В., х.Новоалександровка,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</si>
  <si>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№174-70 ВЛ 0,4 кВ №6 КТП 10/0,4кВ №174 ВЛ 10кВ №1011 ПС 110/35/10 кВ Самарская для технологического присоединения энергопринимающих устройств жилого дома Заявителя Артемовой Е.П., с.Самарское, Азовский район, Ростовская область, кадастровый (условный) номер объекта: 61:01:0600014:3755 (1 шт.)</t>
  </si>
  <si>
    <t>Установка прибора коммерческого учета электрической энергии (мощности) на границе земельного участка, подключенного от опоры №34-1 ВЛ-0,4 кВ №1 КТП 10/0,4 кВ №34 по ВЛ 10 кВ №1707 ПС 35/10 кВ А-17 для технологического присоединения энергопринимающих устройств жилого дома Заявителя Болотовой Н.В., с. Круглое,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</si>
  <si>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№9-113 ВЛ 0,4 кВ №2 КТП 10/0,4кВ №9 ВЛ 10кВ №3209 ПС 110/35/10 кВ А-32 для технологического присоединения энергопринимающих устройств жилого дома Заявителя Волошина Н.Н., х. Христичево, Азовский район, Ростовская область, кадастровый (условный) номер объекта: 61:1:5500 УН:51:1 (1 шт.)</t>
  </si>
  <si>
    <t>Установка прибора коммерческого учета электрической энергии (мощности) на границе земельного участка, подключенного от опоры №76-36 ВЛ-0,4 кВ №1 КТП 10/0,4 кВ №76 по ВЛ 10 кВ №606 ПС 35/10 кВ А-6 для технологического присоединения энергопринимающих устройств жилого дома Заявителя Дубовиковой С.В., с. Порт-Катон,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</si>
  <si>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№б/н ВЛ 0,4кВ КТП 10/0,4 кВ №279 (балансовая принадлежность ИП Усачев В.И. (п. Беловодье) по ВЛ 10кВ №1815 ПС 35/10 кВ А-18 для технологического присоединения энергопринимающих устройств жилого дома Заявителя Дяур О.Н., х. Обуховка, Азовский район, Ростовская область, к.н. 61:01:0600002:915 (1 шт.)</t>
  </si>
  <si>
    <t>Установка прибора коммерческого учета электрической энергии (мощности) на границе земельного участка, подключенного от опоры №49-59 ВЛ 0,4 кВ №2 КТП 10/0,4кВ №49 ВЛ 10кВ №3016 ПС 220/110/10 кВ А-30 для технологического присоединения энергопринимающих устройств жилого дома Заявителя Капитановой А.Ф., с.Кугей, Азовский район, Ростовская область, кадастровый (условный) номер объекта: 61:01:0080101:3170 (1 шт.)</t>
  </si>
  <si>
    <t>Установка прибора коммерческого учета электрической энергии (мощности) на границе земельного участка, подключенного от опоры №89-4 ВЛ 0,4 кВ №1 КТП 10/0,4кВ №89 ВЛ 10кВ №1014 ПС 110/35/10 кВ Самарская для технологического присоединения энергопринимающих устройств жилого дома Заявителя Кривцова А.Г., х.Ельбузд, Азовский район, Ростовская область, кадастровый (условный) номер объекта: 61:01:0041301:901(1 шт.)</t>
  </si>
  <si>
    <t>Установка прибора коммерческого учета электрической энергии (мощности) на границе земельного участка, подключенного от опоры №184-33 ВЛ 0,4 кВ №2 КТП 10/0,4кВ №184 ВЛ 10кВ №3113 ПС 110/35/10 кВ А-31 для технологического присоединения энергопринимающих устройств жилого дома Заявителя Медведева А.В., с.Пешково, Азовский район, Ростовская область, кадастровый (условный) номер объекта: 61:01:0140101:1987(1 шт.)</t>
  </si>
  <si>
    <t>Установка прибора коммерческого учета электрической энергии (мощности) на границе земельного участка, подключенного от опоры №48-24 ВЛ 0,4 кВ №2 КТП 10/0,4кВ №48 ВЛ 10кВ №1815 ПС 35/10 кВ А-18 для технологического присоединения энергопринимающих устройств жилого дома Заявителя Мирошниченко Я.А., Рыболовецкий колхоз им.Ленина, Азовский район, Ростовская область, кадастровый (условный) номер объекта: 61:01:0600002:2501(1 шт.)</t>
  </si>
  <si>
    <t>Установка прибора коммерческого учета электрической энергии (мощности) на границе земельного участка, подключенного от опоры №98-6 ВЛ-0,4 кВ №1 КТП 10/0,4 кВ №98по ВЛ 10 кВ №3127 ПС 110/35/10 кВ А-31 для технологического присоединения энергопринимающих устройств жилого дома Заявителя Новикова А.А., с.Займо-Обрыв,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</si>
  <si>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№28-72 ВЛ 0,4 кВ №2 КТП 10/0,4кВ №28 ВЛ 10кВ №1310 ПС 35/10 кВ А-13 для технологического присоединения энергопринимающих устройств жилого дома Заявителя Пыжьянова М.И., с. Елизаветовка, Азовский район, Ростовская область, к.н. 61:01:0020101:917 (1 шт.)</t>
  </si>
  <si>
    <t>Установка прибора коммерческого учета электрической энергии (мощности) на границе земельного участка, подключенного от опоры №67-18 ВЛ-0,4 кВ №2 КТП 10/0,4кВ №67 ВЛ-10кВ №606 ПС 35/10 кВ А-6 для технологического присоединения энергопринимающих устройств жилого дома Заявителя Романова К.Д., с. Порт-Катон, Азовский район, Ростовская область, к.н. 61:01:0100301:4424 (1 шт.)</t>
  </si>
  <si>
    <t>Установка прибора коммерческого учета электрической энергии (мощности) на границе земельного участка, подключенного от опоры №105-11 ВЛ-0,4 кВ №1 КТП 10/0,4 кВ №105 по ВЛ 10 кВ №1913 РП-19 ПС 110/35/10 кВ Самарская для технологического присоединения энергопринимающих устройств жилого дома Заявителя Рыбенцева А.А., х. Степнянский, Азовский район, Ростовская область, к.н. 61:01:0041101:251(1 шт.)</t>
  </si>
  <si>
    <t>Установка прибора коммерческого учета электрической энергии (мощности) на границе земельного участка, подключенного от опоры №206-22 ВЛ-0,4 кВ №2 КТП 10/0,4кВ №206 ВЛ-10кВ №3113 ПС 110/35/10 кВ А-31 для технологического присоединения энергопринимающих устройств жилого дома Заявителя Твердохлебовой О.Е., с. Пешково, Азовский район, Ростовская область, к.н. 61:01:0140101:8813 (1 шт.)</t>
  </si>
  <si>
    <t>Установка прибора коммерческого учета электрической энергии (мощности) на границе земельного участка, подключенного от опоры №9-73 ВЛ-0,4 кВ №2 КТП 10/0,4кВ №9 ВЛ-10кВ №3125 ПС 110/35/10 кВ А-31 для технологического присоединения энергопринимающих устройств жилого дома Заявителя Улитина В.В., с. Пешково, Азовский район, Ростовская область, к.н. 61:01:0140101:9016 (1 шт.)</t>
  </si>
  <si>
    <t>Установка прибора коммерческого учета электрической энергии (мощности) на границе земельного участка, подключенного от опоры №54-89 ВЛ 0,4 кВ №2 КТП 10/0,4кВ №54 ВЛ 10кВ №1702 ПС 35/10 кВ А-17 для технологического присоединения энергопринимающих устройств жилого дома Заявителя Усенко Л.Н., с.Стефанидинодар, Азовский район, Ростовская область, кадастровый (условный) номер объекта: 61:01:0070201:130:49 (1 шт.)</t>
  </si>
  <si>
    <t>Установка прибора коммерческого учета электрической энергии (мощности) на границе земельного участка, подключенного от опоры №78-120 ВЛ-0,4 кВ №2 КТП 10/0,4 кВ №78 по ВЛ 10 кВ №613 ПС 35/10 кВ А-6 для технологического присоединения энергопринимающих устройств жилого дома Заявителя Фоменко А.Ю., с. Новомаргаритово,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</si>
  <si>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№75-11 ВЛ 0,4 кВ №1 КТП 10/0,4кВ №75 ВЛ 10кВ №3125 ПС 110/35/10 кВ А-31 для технологического присоединения энергопринимающих устройств жилого дома Заявителя Шевченко Е.Ю., с.Пешково, Азовский район, Ростовская область, кадастровый (условный) номер объекта: 61:01:0140101:8968(1 шт.)</t>
  </si>
  <si>
    <t>Установка прибора коммерческого учета электрической энергии (мощности) на границе земельного участка, подключенного от опоры №105-1 ВЛ 0,4 кВ №1 КТП 10/0,4кВ №105 ВЛ 10кВ №1705 ПС 35/10 кВ А-17 для технологического присоединения энергопринимающих устройств объекта сельскохозяйственного производства Заявителя Ивахненко В.В., в границах землепользования СХА Ленинское знамя, пашня-поля 20.33.12 сенокосы-поле 2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</si>
  <si>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№18-56 ВЛ-0,4 кВ №2 КТП 10/0,4 кВ №18 по ВЛ 10 кВ №3017 ПС 220/110/10 кВ А-30 для технологического присоединения энергопринимающих устройств магазина Заявителя Набиева Х., с. Кугей,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</si>
  <si>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№108-15 ВЛ 0,4 кВ №1 КТП 10/0,4кВ №108 ВЛ 10кВ №1908 РП-19 ПС 110/35/10 кВ Самарская для технологического присоединения энергопринимающих устройств жилого дома Заявителя Михалева А.И., х.Большевик, Азовский район, Ростовская область(1 шт.)</t>
  </si>
  <si>
    <t>Установка прибора коммерческого учета электрической энергии (мощности) на границе земельного участка, подключенного от опоры №2-30 ВЛ 0,4 кВ №1 КТП 10/0,4кВ №2 ВЛ 10кВ №606 ПС 35/10 кВ А-6 для технологического присоединения энергопринимающих устройств жилого дома Заявителя Кудряшова П.И., с.Порт-Катон, Азовский район, Ростовская область, кадастровый (условный) номер объекта: 61:01:0100301:3968(1 шт.)</t>
  </si>
  <si>
    <t>Установка прибора коммерческого учета электрической энергии (мощности) на границе земельного участка, подключенного от опоры №5-43 ВЛ 0,4 кВ №1 КТП 10/0,4кВ №5 ВЛ 10кВ №1702 ПС 35/10 кВ А-17 для технологического присоединения энергопринимающих устройств жилого дома Заявителя Панчеха А.А., с.Стефанидинодар, Азовский район, Ростовская область, кадастровый (условный) номер объекта: 61:01:0070201:3975(1 шт.)</t>
  </si>
  <si>
    <t>Установка прибора коммерческого учета электрической энергии (мощности) на границе земельного участка, подключенного от опоры №128-4 ВЛ 0,4 кВ №1 КТП 10/0,4кВ №128 ВЛ 10кВ №1815 ПС 35/10 кВ А-18 для технологического присоединения энергопринимающих устройств жилого дома Заявителя Пахомова А.В., х.Курган, Азовский район, Ростовская область, кадастровый (условный) номер объекта: 61:01:0030701:1590(1 шт.)</t>
  </si>
  <si>
    <t>Установка прибора коммерческого учета электрической энергии (мощности) на границе земельного участка, подключенного от опоры №136-21 ВЛ-0,4 кВ №1 КТП 10/0,4 кВ №136 по ВЛ 10 кВ №1107 ПС 35/10 кВ А-11 для технологического присоединения энергопринимающих устройств жилого дома Заявителя Примаченко Д.В., х.Узяк, Азовский район, Ростовская область, к.н. 61:01:0060501:132 (1 шт.)</t>
  </si>
  <si>
    <t>Установка прибора коммерческого учета электрической энергии (мощности) на границе земельного участка, подключенного от опоры №124-74 ВЛ 0,4 кВ №2 КТП 10/0,4кВ №124 ВЛ 10кВ №3016 ПС 220/110/10 кВ А-30 для технологического присоединения энергопринимающих устройств жилого дома Заявителя Евсеева В.Е., с.Кугей, Азовский район, Ростовская область, кадастровый номер объекта: 61:01:0080101:1469(1 шт.)</t>
  </si>
  <si>
    <t>Установка прибора коммерческого учета электрической энергии (мощности) на границе земельного участка, подключенного от опоры №51-84 ВЛ 0,4 кВ №2 КТП 10/0,4кВ №51 ВЛ 10кВ №211 ПС 35/10 кВ А-2 для технологического присоединения энергопринимающих устройств жилого дома Заявителя Карапетян Г.Г., х.Новоалександровка, Азовский район, Ростовская область, кадастровый номер объекта: 61:01:0110101:3532(1 шт.)</t>
  </si>
  <si>
    <t>Установка прибора коммерческого учета электрической энергии (мощности) на границе земельного участка, подключенного от опоры №93-42 ВЛ 0,4 кВ №1 КТП 10/0,4кВ №93 ВЛ 10кВ №802 ПС 35/10 кВ А-8 для технологического присоединения энергопринимающих устройств жилого дома Заявителя Угленко Г.Ю., с.Семибалки, Азовский район, Ростовская область, кадастровый (условный) номер объекта: 61:01:0180101:5022(1 шт.)</t>
  </si>
  <si>
    <t>Установка прибора коммерческого учета электрической энергии (мощности) на границе земельного участка, подключенного от опоры №115-82 ВЛ 0,4 кВ №4 КТП 10/0,4кВ №115 ВЛ 10кВ №3125 ПС 110/35/10 кВ А-31 для технологического присоединения энергопринимающих устройств жилого дома Заявителя Кудрина В.И., с.Пешково, Азовский район, Ростовская область, кадастровый (условный) номер объекта: 61:01:0140101:6986(1 шт.)</t>
  </si>
  <si>
    <t>Установка прибора коммерческого учета электрической энергии (мощности) на границе земельного участка, подключенного от опоры №329-9 ВЛ 0,4 кВ №1 КТП 10/0,4кВ №329 ВЛ 10кВ №106Н ПС 110/6/10 кВ НС-1 для технологического присоединения энергопринимающих устройств жилого дома Заявителя Литвиненко С.П., ДНТ «Виктория», Азовский район, Ростовская область, кадастровый (условный) номер объекта: 61:01:0600006:6088(1 шт.)</t>
  </si>
  <si>
    <t>Установка прибора коммерческого учета электрической энергии (мощности) на границе земельного участка, подключенного от опоры №146-20 ВЛ 0,4 кВ №1 КТП 10/0,4кВ №146 ВЛ 10кВ №1701 ПС 35/10 кВ А-17 для технологического присоединения энергопринимающих устройств жилого дома Заявителя Данилова С.В., с.Круглое, Азовский район, Ростовская область, кадастровый (условный) номер объекта: 61:01:0070101:2325(1 шт.)</t>
  </si>
  <si>
    <t>Установка прибора коммерческого учета электрической энергии (мощности) на границе земельного участка, подключенного от опоры №44-36 ВЛ 0,4 кВ №2 КТП 10/0,4кВ №44 ВЛ 10кВ №1107 ПС 35/10 кВ А-11 для технологического присоединения энергопринимающих устройств жилого дома Заявителя Гребенщиковой Я.А., с.Кагальник, Азовский район, Ростовская область, кадастровый (условный) номер объекта: 61:01:0060101:5141(1 шт.)</t>
  </si>
  <si>
    <t>Установка прибора коммерческого учета электрической энергии (мощности) на границе земельного участка, подключенного от опоры №169-6 ВЛ 0,4 кВ №1 КТП 10/0,4кВ №169 ВЛ 10кВ №3127 ПС 110/35/10 кВ А-31 для технологического присоединения энергопринимающих устройств жилого дома Заявителя Падецкой Ю.Ю., х.Береговой, Азовский район, Ростовская область, кадастровый (условный) номер объекта: 61:01:0140201:232(1 шт.)</t>
  </si>
  <si>
    <t>Установка прибора коммерческого учета электрической энергии (мощности) на границе земельного участка, подключенного от опоры №187-7 ВЛ-0,4 кВ №4 КТП 10/0,4 кВ №187 по ВЛ 10 кВ №106Н ПС 110/6/10 кВ НС-1 для технологического присоединения энергопринимающих устройств жилого дома Заявителя Егоровой А.Е., ДНТ «Кулешовка», Азовский район, Ростовская область, к.н. 61:01:0600006:1624 (1 шт.)</t>
  </si>
  <si>
    <t>Установка прибора коммерческого учета электрической энергии (мощности) на границе земельного участка, подключенного от опоры №350-57/6 ВЛ-0,4 кВ №2 КТП 6/0,4 кВ №350 по ВЛ 6 кВ №207Н ПС 110/6/10 кВ НС-2 для технологического присоединения энергопринимающих устройств хозяйственной постройки Заявителя Сафонова В.А., СТ «Квант», Азовский район, Ростовская область, к.н. 61:01:0502901:1110 (1 шт.)</t>
  </si>
  <si>
    <t>"Установка прибора коммерческого учета электрической энергии (мощности) на границе земельного участка, подключенного от опоры №358-11 ВЛ-0,4 кВ №2 КТП 10/0,4 кВ №358 по ВЛ 10 кВ №202Н ПС 110/6/10 кВ НС-2 для технологического присоединения энергопринимающих устройств жилого дома Заявителя Лаптевой Е.П., ЗАО «Обильное», Азовский район, Ростовская область, к.н. 61:01:0600006:7326 (1 шт.)"</t>
  </si>
  <si>
    <t>Установка прибора коммерческого учета электрической энергии (мощности) на границе земельного участка, подключенного от опоры №102-141 ВЛ-0,4 кВ №2 КТП 10/0,4 кВ №102 по ВЛ 10 кВ №2907 РП-29 ПС 35/10 кВ А-18 для технологического присоединения энергопринимающих устройств жилого дома Заявителя Скиба М.Д., х.Обуховка, Азовский район, Ростовская область, к.н. 61:01:0030801:2334 (1 шт.)</t>
  </si>
  <si>
    <t>Установка прибора коммерческого учета электрической энергии (мощности) на границе земельного участка, подключенного от опоры №48-62 ВЛ-0,4 кВ №1 КТП 10/0,4 кВ №48 по ВЛ 10 кВ №1815 ПС 35/10 кВ А-18 для технологического присоединения энергопринимающих устройств жилого дома Заявителя Беляковой Н.А., Азовский район, Ростовская область, к.н. 61:01:0600002:2774 (1 шт.)</t>
  </si>
  <si>
    <t>Установка прибора коммерческого учета электрической энергии (мощности) на границе земельного участка, подключенного от опоры №316-19 ВЛ-0,4 кВ №1 МТП 10/0,4 кВ №316 по ВЛ 10 кВ №211 ПС 35/10 кВ А-2 для технологического присоединения энергопринимающих устройств жилого дома Заявителя Меланьиной С.П., Азовский район, Ростовская область, к.н. 61:01:0600005:1822 (1 шт.)</t>
  </si>
  <si>
    <t>Установка прибора коммерческого учета электрической энергии (мощности) на границе земельного участка, подключенного от опоры №40-72 ВЛ-0,4кВ №1 КТП-10/0,4 кВ №40 ВЛ-10кВ №1802 ПС 35/10 кВ А-18 для технологического присоединения энергопринимающих устройств жилого дома Заявителя Кан Л.Г., х.Рогожкино, Азовский район, Ростовская область, к.н. 61:01:0160101:737(1 шт.)</t>
  </si>
  <si>
    <t>Установка прибора коммерческого учета электрической энергии (мощности) на границе земельного участка, подключенного от опоры №111-101 ВЛ-0,4 кВ №3 КТП 10/0,4 кВ №111 по ВЛ 10 кВ №3113 ПС 110/35/10 кВ А-31 для технологического присоединения энергопринимающих устройств жилого дома Заявителя Арутин М.А., с.Пешково, Азовский район, Ростовская область, к.н. 61:01:0140101:2035 (1 шт.)</t>
  </si>
  <si>
    <t>Установка прибора коммерческого учета электрической энергии (мощности) на границе земельного участка, подключенного от опоры №75-1 ВЛ-0,4 кВ №1 КТП 10/0,4 кВ №75 по ВЛ 10 кВ №3125 ПС 110/35/10 кВ А-31 для технологического присоединения энергопринимающих устройств жилого дома Заявителя Смирновой Е.А., с.Пешково, Азовский район, Ростовская область, к.н. 61:01:0140101:8066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</si>
  <si>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61-1-21-00598243 от 30.08.2021г. с заявителем Гиносян М.В.) ВЛ-0,4 кВ № 3 ЗТП 10/0,4 кВ №41 (бесхозная) ВЛ 10кВ №2608 ПС 110/10 кВ А-26 для технологического присоединения энергопринимающих устройств жилого дома Заявителя Гладущенко Л.П., Ростовская область, Азовский район, с.Кулешовка, к.н. 61:01:66 00 УН:199:1 (1 шт.)</t>
  </si>
  <si>
    <t>Установка прибора коммерческого учета электрической энергии (мощности) на границе земельного участка, подключенного от опоры №67-31 ВЛ-0,4 кВ №2 КТП 10/0,4 кВ №67 по ВЛ 10 кВ №3127 ПС 110/35/10 кВ А-31 для технологического присоединения энергопринимающих устройств жилого дома Заявителя Лесняк А.И., х.Береговой, Азовский район, Ростовская область, к.н. 61:01:0140201:1050 (1 шт.)</t>
  </si>
  <si>
    <t>Установка прибора коммерческого учета электрической энергии (мощности) на границе земельного участка, подключенного от опоры №187-4 ВЛ-0,4 кВ №3 КТП 10/0,4 кВ №187 по ВЛ 10 кВ №106 Н ПС 110/6/10 кВ НС-1 для технологического присоединения энергопринимающих устройств жилого дома Заявителя Яцкова А.С., ДНТ «Кулешовка», Азовский район, Ростовская область, к.н. 61:01:0600006:1714 (1 шт.)</t>
  </si>
  <si>
    <t>Установка прибора коммерческого учета электрической энергии (мощности) на границе земельного участка, подключенного от опоры №41-30 ВЛ-0,4 кВ №2 КТП 10/0,4 кВ №41 по ВЛ 10 кВ №2608 ПС 110/10 кВ А-26 для технологического присоединения энергопринимающих устройств жилого дома Заявителя Ольшанского С.В.,с.Кулешовка, Азовский район, Ростовская область, к.н. 61:01:0090102:2609 (1 шт.)</t>
  </si>
  <si>
    <t>Установка прибора коммерческого учета электрической энергии (мощности) на границе земельного участка, подключенного от опоры №111-74 ВЛ-0,4 кВ №3 КТП 10/0,4 кВ №111 по ВЛ 10 кВ №3113 ПС 110/35/10 кВ А-31 для технологического присоединения энергопринимающих устройств жилого дома Заявителя Иванова В.Л., с.Пешково, Азовский район, Ростовская область, к.н. 61:01:0140101:2198 (1 шт.)</t>
  </si>
  <si>
    <t>Установка прибора коммерческого учета электрической энергии (мощности) на границе земельного участка, подключенного от опоры №45-36 ВЛ-0,4 кВ №2 КТП 10/0,4 кВ №45 по ВЛ 10 кВ №211 ПС 35/10 кВ А-2 для технологического присоединения энергопринимающих устройств жилого дома Заявителя Голубовой И.А., х.Новоалександровка, Азовский район, Ростовская область, к.н. 61:01:0110101:1167 (1 шт.)</t>
  </si>
  <si>
    <t>Установка прибора коммерческого учета электрической энергии (мощности) на границе земельного участка, подключенного от опоры №24-4 ВЛ-0,4 кВ №2 КТП 10/0,4 кВ №24 по ВЛ 10 кВ №1815 ПС 35/10 кВ А-18 для технологического присоединения энергопринимающих устройств жилого дома Заявителя Ленивовой А.М., х.Колузаево, Азовский район, Ростовская область, к.н. 61:01:0030501:2504 (1 шт.)</t>
  </si>
  <si>
    <t>Установка прибора коммерческого учета электрической энергии (мощности) на границе земельного участка, подключенного от опоры №358-17 ВЛ-0,4 кВ №2 КТП 10/0,4 кВ №358 по ВЛ 10 кВ №202Н ПС 110/6/10 кВ НС-2 для технологического присоединения энергопринимающих устройств жилого дома Заявителя Дончик Е.В., ЗАО «Обильное», Азовский район, Ростовская область, к.н. 61:01:0600006:3817 (1 шт.)</t>
  </si>
  <si>
    <t>Установка прибора коммерческого учета электрической энергии (мощности) на границе земельного участка, подключенного от опоры №212-97 ВЛ-0,4 кВ №3 КТП 10/0,4 кВ №212 по ВЛ 10 кВ №910 ПС 35/10 кВ А-9 для технологического присоединения энергопринимающих устройств жилого дома Заявителя Солодянкина М.Е., г. Азов, ДНТ «Звездное», Ростовская область, к.н. 61:45:0000380:606 (1 шт.)</t>
  </si>
  <si>
    <t>Установка прибора коммерческого учета электрической энергии (мощности) на границе земельного участка, подключенного от опоры №212-84 ВЛ-0,4 кВ №3 КТП 10/0,4 кВ №212 по ВЛ 10 кВ №910 ПС 35/10 кВ А-9 для технологического присоединения энергопринимающих устройств жилого дома Заявителя Гриневой Т.А., г. Азов, ДНТ «Звездное», Ростовская область, к.н. 61:45:00000380:623 (1 шт.)</t>
  </si>
  <si>
    <t>Установка прибора коммерческого учета электрической энергии (мощности) на границе земельного участка, подключенного от опоры №43-41 ВЛ-0,4 кВ №2 КТП 10/0,4 кВ №43 по ВЛ 10 кВ №1019 ПС 110/35/10 кВ Самарская для технологического присоединения энергопринимающих устройств жилого дома Заявителя Лопатиной О.В., х. Победа, Азовский р-н, Ростовская область, к.н. 61:01:0041001:1231 (1 шт.)</t>
  </si>
  <si>
    <t>Установка прибора коммерческого учета электрической энергии (мощности) на границе земельного участка, подключенного от опоры №156-85 ВЛ-0,4кВ № 3 КТП-10/0,4 кВ №156 ВЛ-10кВ №1701 ПС 35/10 кВ А-17 для технологического присоединения энергопринимающих устройств объекта жилого дома Заявителя Нежнянского М.Ю., с. Круглое, Азовский район, Ростовская область, к.н. 61:01:0070101:8030(1 шт.)</t>
  </si>
  <si>
    <t>Установка прибора коммерческого учета электрической энергии (мощности) на границе земельного участка, подключенного от опоры №217-46 ВЛ-0,4 кВ №2 КТП 10/0,4 кВ №217 по ВЛ 10 кВ №1107 ПС 35/10 кВ А-11 для технологического присоединения энергопринимающих устройств жилого дома Заявителя Бойкова А.В., с. Кагальник, Азовский р-н, Ростовская область, к.н. 61:01:0060101:11043 (1 шт.)</t>
  </si>
  <si>
    <t>Установка прибора коммерческого учета электрической энергии (мощности) на границе земельного участка, подключенного от опоры №184-37 ВЛ-0,4 кВ №2 КТП 10/0,4 кВ №184 по ВЛ 10 кВ №3113 ПС 110/35/10 кВ А-31 для технологического присоединения энергопринимающих устройств жилого дома Заявителя Старовой Н.П., с. Пешково, Азовский р-н, Ростовская область, к.н. 61:01:0140101:2172 (1 шт.)</t>
  </si>
  <si>
    <t>Установка прибора коммерческого учета электрической энергии (мощности) на границе земельного участка, подключенного от опоры №225-14 ВЛ-0,4 кВ №1 КТП 10/0,4 кВ №225 по ВЛ 10 кВ №2907 РП-29 ПС 35/10 кВ А-18 для технологического присоединения энергопринимающих устройств садового дома Заявителя Скурихина В.А., СТ «Экран», Азовский район, Ростовская область, к.н. 61:01:0030601:6310 (1 шт.)</t>
  </si>
  <si>
    <t>Установка прибора коммерческого учета электрической энергии (мощности) на границе земельного участка, подключенного от опоры №185-64 ВЛ-0,4 кВ №4 КТП 10/0,4 кВ №185 по ВЛ 10 кВ №106Н ПС 110/6/10 кВ НС-1 для технологического присоединения энергопринимающих устройств жилого дома Заявителя Зандарова Д.Ш., с. Кулешовка, Азовский р-н, Ростовская область, к.н. 61:01:0090101:3341 (1 шт.)</t>
  </si>
  <si>
    <t>Установка прибора коммерческого учета электрической энергии (мощности) на границе земельного участка, подключенного от опоры №358-9 ВЛ-0,4 кВ №1 КТП 10/0,4 кВ №358 по ВЛ 10 кВ №202Н ПС 110/6/10 кВ НС-2 для технологического присоединения энергопринимающих устройств жилого дома Заявителя Кравченко З.Н., ЗАО «Обильное», Азовский р-н, Ростовская область, к.н. 61:01:0600006:3839 (1 шт.)</t>
  </si>
  <si>
    <t>Установка прибора коммерческого учета электрической энергии (мощности) на границе земельного участка, подключенного от опоры №53-54 ВЛ-0,4 кВ №1 КТП 10/0,4 кВ №53 по ВЛ 10 кВ №1314 ПС 35/10 кВ А-13 для технологического присоединения энергопринимающих устройств жилого дома Заявителя Курембина В.А., с. Елизаветовка, Азовский район, Ростовская область, к.н. 61:01:0020101:2866 (1 шт)</t>
  </si>
  <si>
    <t>Установка прибора коммерческого учета электрической энергии (мощности) на границе земельного участка, подключенного от опоры №223-3 ВЛ-0,4 кВ №1 КТП 10/0,4 кВ №223 по ВЛ 10 кВ №901 ПС 35/10 кВ А-9 для технологического присоединения энергопринимающих устройств жилого дома Заявителя Обора Г.Я., с. Высочино, Азовский район, Ростовская область, к.н. 61:01:0110201:569 (1 шт)</t>
  </si>
  <si>
    <t>Установка прибора коммерческого учета электрической энергии (мощности) на границе земельного участка, подключенного от опоры №27-32 ВЛ-0,4 кВ №1 КТП 10/0,4 кВ №27 по ВЛ 10 кВ №1815 ПС 35/10 кВ А-18 для технологического присоединения энергопринимающих устройств жилого дома Заявителя Овсепян Н.В., х. Городище, Азовский р-н, Ростовская область, к.н. 61:01:0030201:744 (1 шт.)</t>
  </si>
  <si>
    <t>Установка прибора коммерческого учета электрической энергии (мощности) на границе земельного участка, подключенного от опоры №105-8 ВЛ-0,4 кВ №1 КТП 10/0,4 кВ №105 по ВЛ 10 кВ №2608 ПС 110/10 кВ А-26 для технологического присоединения энергопринимающих устройств жилого дома Заявителя Добродумова И.П., х. Новоалександровка, Азовский р-н, Ростовская область, к.н. 61:01:0110101:2901 (1 шт.)</t>
  </si>
  <si>
    <t>Установка прибора коммерческого учета электрической энергии (мощности) на границе земельного участка, подключенного от опоры №249-39 ВЛ-0,4 кВ №1 КТП 10/0,4 кВ №249( балансовая принадлежность СТ «Энтузиаст») ВЛ 10 кВ №2907 РП-29 ПС 35/10 кВ А-18 для технологического присоединения энергопринимающих устройств жилого дома Заявителя Поповой Н.А., х. Курган, Азовский район, Ростовская область, к.н. 61:01:0500401:215 (1 шт)</t>
  </si>
  <si>
    <t>Установка прибора коммерческого учета электрической энергии (мощности) на границе земельного участка, подключенного от опоры №357-3 ВЛ-0,4 кВ №1 КТП 10/0,4 кВ №357 по ВЛ 10 кВ №202Н ПС 110/6/10 кВ НС-2 для технологического присоединения энергопринимающих устройств жилого дома Заявителя Жирненко А.А., ЗАО «Обильное», Азовский район, Ростовская область, к.н. 61:01:0600006:3962 (1 шт)</t>
  </si>
  <si>
    <t>Установка прибора коммерческого учета электрической энергии (мощности) на границе земельного участка, подключенного от опоры №48-54 ВЛ-0,4 кВ №2 КТП 10/0,4 кВ №48 по ВЛ 10 кВ №1815 ПС 35/10 кВ А-18 для технологического присоединения энергопринимающих устройств жилого дома Заявителя Мань А.Н., Азовский район, Ростовская область, к.н. 61:01:0600002:2766 (1 шт)</t>
  </si>
  <si>
    <t>Установка прибора коммерческого учета электрической энергии (мощности) на границе земельного участка, подключенного от опоры №119-53 ВЛ-0,4 кВ №1 КТП 10/0,4 кВ №119 по ВЛ 10 кВ №1314 ПС 35/10 кВ А-13 для технологического присоединения энергопринимающих устройств жилого дома Заявителя Лысенко А.В., с. Елизаветовка, Азовский район, Ростовская область, к.н. 61:01:0020101:1286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</si>
  <si>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61-1-22-00627899 от 09.02.2022г. с заявителем ИП Дорганов Н.Н.)   КТП-95 ВЛ-10кВ №1106 ПС 35кВ Е11 для технологического присоединения энергопринимающих устройств склада №2 Заявителя Стешенко Н.И., Ростовская область, Егорлыкский р-он, х.Изобильный, к.н. 61:10:0600002:2814 (1 шт)</t>
  </si>
  <si>
    <t>Установка прибора коммерческого учета электрической энергии (мощности) на границе земельного участка, подключенного от опоры №48-42 ВЛ 0,4 кВ №2 КТП 10/0,4кВ №48 ВЛ 10кВ №1815 ПС 35/10 кВ А-18 для технологического присоединения энергопринимающих устройств нежилой застройки Заявителя Коломийцева В.В., к юго-востоку от СНТ "Надежда 4",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</si>
  <si>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№135-147 ВЛ-0,4 №4 КТП-135 ВЛ-10 805 ПС 110 кВ БОС для технологического присоединения энергопринимающих устройств малоэтажной жилой застройки Заявителя Глушко Р.Г., р-н. Кагальницкий, п. Мокрый Батай, ул. Школьная,  д. 29, кадастровый номер земельного участка: 61:14:00677373:723</t>
  </si>
  <si>
    <t>Установка прибора коммерческого учета электрической энергии (мощности) на границе земельного участка, подключенного от опоры  №196-14 ВЛ-0,4  №1  КТП-196 ВЛ-10 805 ПС 110 кВ БОС для технологического присоединения энергопринимающих устройств жилого дома Заявителя Мунтян М.Н. Ростовская область, Кагальницкий р-н, п. Мокрый Батай, ул. Мира д.83 к.н. 61:14:0060102:659 (1 шт.)</t>
  </si>
  <si>
    <t>Установка прибора коммерческого учета электрической энергии (мощности) на границе земельного участка, подключенного от опоры  №66-62 ВЛ-0,4 №2 КТП-66 ВЛ-10 319 ПС 35 кВ КГ3 для технологического присоединения энергопринимающих устройств малоэтажной жилой застройки Заявителя Ковалько Н.В. Ростовская область, Кагальницкий р-н, п. Малодубравный, ул. Вишневая д.5 кв.1 к.н. 61:14:0050601:114 (1 шт.)</t>
  </si>
  <si>
    <t>Установка прибора коммерческого учета электрической энергии (мощности) на границе земельного участка, подключенного от опоры  №37-14 ВЛ-0,4  №1  КТП-37 ВЛ-10 1402 ПС 110 кВ ЗР14 для технологического присоединения энергопринимающих устройств малоэтажной жилой застройки Заявителя Ганошенко С.Б  Ростовская обл., р-н Зерноградский, с. Светлоречное, ул. Заречная д.13 к.н. 61:12:0020301:63</t>
  </si>
  <si>
    <t>Установка прибора коммерческого учета электрической энергии (мощности) на границе земельного участка, подключенного от опоры  №10-1 ВЛ-0,4  №1  КТП-10  ВЛ-10 501 ПС 35 кВ ЗР5для технологического присоединения энергопринимающих устройств малоэтажной жилой застройки Заявителя Зайцева В.А. Ростовская область, Зерноградский р-н, х. Гуляй-Борисовка ул. Ленина д. 38/15 к.н. 61:12:0011218:29 (1 шт.)</t>
  </si>
  <si>
    <t>Установка прибора коммерческого учета электрической энергии (мощности) на границе земельного участка, подключенного от опоры №134-35 ВЛ-0,4 №2 КТП-134 ВЛ-10 101  ПС 220 кВ Зерновая для технологического присоединения энергопринимающих устройств нежилой застройки Заявителя Юрьев А.А., Ростовская область, Зерноградский р-н, г. Зерноград  , пер. Ярославский д.22 к.н. 61:12:0040572:26 (1 шт.)</t>
  </si>
  <si>
    <t>Установка прибора коммерческого учета электрической энергии (мощности) на границе земельного участка, подключенного от опоры  №38-14 ВЛ-0,4  №1  КТП-38 ВЛ-10 313 ПС 35 кВ КГ3 для технологического присоединения энергопринимающих устройств малоэтажной жилой застройки Заявителя Поповой С.Н. Ростовская область, Кагальницкий р-н, ст. Кировская, ул. Новостройки д.2 к.н. 61:14:0050126:186 (1 шт.)</t>
  </si>
  <si>
    <t>Установка прибора коммерческого учета электрической энергии (мощности) на границе земельного участка, подключенного от опоры №136-35 технически перевооружаемой ВЛ-0,4 кВ №1 КТП-10/0,4 кВ №136 ВЛ 10 кВ №803 ПС 35/10 кВ А-8 для технологического присоединения энергопринимающих устройств жилого дома Заявителя Горобовской Т.В., с. Семибалки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</si>
  <si>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№6-11 ВЛ-0,4 кВ №1 КТП 10/0,4 кВ №6 ВЛ 10 кВ 1316 ПС 35/10 кВ А-13 для технологического присоединения энергопринимающих устройств базовой станции сотовой связи Заявителя ПАО «Ростелеком» п. Южный,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</si>
  <si>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61:01:0600002:3237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</si>
  <si>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61:01:0600002:3245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</si>
  <si>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61:01:0600002:3229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</si>
  <si>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61:01:0600002:3230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</si>
  <si>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61:01:0600002:3232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</si>
  <si>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61:01:0600002:3227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</si>
  <si>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61:01:0600002:3231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</si>
  <si>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61:01:0600002:3244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</si>
  <si>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61:01:0600002:3239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</si>
  <si>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61:01:0600006:3241 (1 шт.)</t>
  </si>
  <si>
    <t xml:space="preserve">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61:01:0600006:3225
 (1 шт.)
</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</si>
  <si>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61:01:0600006:3236  (1 шт.)</t>
  </si>
  <si>
    <t xml:space="preserve">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61:01:0600006:3242 (1 шт.)
</t>
  </si>
  <si>
    <t xml:space="preserve">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жилых домов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61:01:0600006:3243 (1 шт.)
</t>
  </si>
  <si>
    <t xml:space="preserve">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61-1-22-00624309 от 20.01.2022г. с заявителем Головиным О.В.) КТП 10/0,4 кВ №48 ВЛ 10кВ №1815 ПС 35/10 кВ А-18 для технологического присоединения энергопринимающих устройств жилого дома Заявителя Головина О.В., Ростовская область, Азовский район, Рыболовецкий колхоз им.Ленина, в границах квартала 61:01:0600002 на территории Елизаветинского СП от ПТ «Пять братьев» 800 м на северо-восток, к.н. 61:01:0600006:3240 (1 шт.)
</t>
  </si>
  <si>
    <t>Установка прибора коммерческого учета электрической энергии (мощности) на границе земельного участка, подключенного от опоры №42-89 ВЛ 0,4 кВ №2 КТП 10/0,4кВ №42 ВЛ 10кВ №1802 ПС 35/10 кВ А-18 для технологического присоединения энергопринимающих устройств жилого дома Заявителя Деревенец В.А., х.Рогожкино, Азовский район, Ростовская область, кадастровый (условный) номер объекта: 61:01:0160101:605(1 шт.)</t>
  </si>
  <si>
    <t>Установка прибора коммерческого учета электрической энергии (мощности) на границе земельного участка, подключенного от опоры №б/н ВЛ-0,4 кВ №2 КТП 10/0,4кВ №9 (балансовая принадлежность ООО «Рыбколхоз им. Ленина») ВЛ-10кВ №1815 ПС 35/10 кВ А-18 для технологического присоединения энергопринимающих устройств жилого дома Заявителя Панченко А.А., х. Городище, Азовский район, Ростовская область, к.н. 61:01:0600002:2593 (1 шт.)</t>
  </si>
  <si>
    <t>Установка прибора коммерческого учета электрической энергии (мощности) на границе земельного участка, подключенного от опоры  №196-10 ВЛ-0,4 №1 КТП-196 ВЛ-10 606 ПС 35 кВ КГ6 для технологического присоединения энергопринимающих устройств малоэтажной жилой застройки Заявителя Карпенко С.А. Ростовская область, Кагальницкий р-н, с. Новобатайск , ул. Кагальницкая д. 27, ул. Вишневая д.5 кв.1 к.н. 61:14:0040117:220 (1 шт.)</t>
  </si>
  <si>
    <t>Установка прибора коммерческого учета электрической энергии (мощности) на границе земельного участка, подключенного от опоры  №2-15 ВЛ-0,4  №1  КТП-2 ВЛ-10 605 ПС 35 кВ КГ6 для технологического присоединения энергопринимающих устройств малоэтажной жилой застройки Заявителя Дмитрук М.М. Ростовская область, Кагальницкий р-н, с. Новобатайск, ул. Азовская д.1 к.н. 61:14:0040120:79 (1 шт.)</t>
  </si>
  <si>
    <t>Установка прибора коммерческого учета электрической энергии (мощности) на границе земельного участка, подключенного от опоры  №51-6 ВЛ-0,4  №1  КТП-51 ВЛ-10 318 ПС 35 кВ КГ3 для технологического присоединения энергопринимающих устройств здания филиала Сбербанка №5221/0701 Заявителя ПАО «Сбербанк» Ростовская область, Кагальницкий р-н, ст. Кировская, ул. Черняховского д.73 к.н. 61:14:0000000:00 (1 шт.)</t>
  </si>
  <si>
    <t>Установка прибора коммерческого учета электрической энергии (мощности) на границе земельного участка, подключенного от № 3-51   ВЛ-0,4 № 2 КТП-3 ВЛ-10  707  ПС 35кВ Е-7 для технологического присоединения энергопринимающих устройств жилого дома Заявителя Захарова Н.С., Ростовская область, Егорлыкский р-он, х. Московский, к.н. земельного участка: 61:10:0030201:67 (1 шт.)</t>
  </si>
  <si>
    <t>Установка прибора коммерческого учета электрической энергии (мощности) на границе земельного участка, подключенного от опоры №70-65   ВЛ-0,4 № 2 КТП-70 ВЛ-10 413  ПС 35 кВ КГ4 для технологического присоединения  энергопринимающих устройств для садового дома Заявителя Короткова Е.В.,  Ростовская область, Кагальницкий р-н. х. Середин ул. Солнечная  к.н. земельного участка: 61:14:0030901:229 (1 шт.)</t>
  </si>
  <si>
    <t>Установка прибора коммерческого учета электрической энергии (мощности) на границе земельного участка, подключенного от опоры №122-25 ВЛ-0,4 №2 КТП-122 ВЛ-10 313 ПС 35 кВ КГ3 для технологического присоединения энергопринимающих устройств объекта садового дома Заявителя Авдеева А.Г., Ростовская область, Аксайский р-н, СНТ «Садко» уч.2727 к.н. 61:02:0504701:387 (1 шт.)</t>
  </si>
  <si>
    <t>Установка прибора коммерческого учета электрической энергии (мощности) на границе земельного участка, подключенного от опоры №190-5 ВЛ-0,4 кВ №1 КТП 10/0,4 кВ №190 по ВЛ 10 кВ №1310 ПС 35/10 кВ А-13 для технологического присоединения энергопринимающих устройств жилого дома Заявителя Иванова Д.Е., с.Елизаветовка, Азовский район, Ростовская область, к.н. 61:01:0020101:93 (1 шт.)</t>
  </si>
  <si>
    <t>Установка прибора коммерческого учета электрической энергии (мощности) на границе земельного участка, подключенного от опоры №190-5 ВЛ-0,4 кВ №1 КТП 10/0,4 кВ №190 по ВЛ 10 кВ №1310 ПС 35/10 кВ А-13 для технологического присоединения энергопринимающих устройств жилого дома Заявителя Положий Ю.В., с.Елизаветовка, Азовский район, Ростовская область, к.н. 61:01:0020101:1006 (1 шт.)</t>
  </si>
  <si>
    <t>Установка прибора коммерческого учета электрической энергии (мощности) на границе земельного участка, подключенного от опоры №19-57 ВЛ-0,4 кВ №2 КТП 10/0,4 кВ №19 по ВЛ 10 кВ №1514 ПС 35/10 кВ А-15 для технологического присоединения энергопринимающих устройств жилого дома Заявителя Горбачева А.А., с.Орловка, Азовский р-н, Ростовская область, к.н. 61:01:0120601:345 (1 шт.)</t>
  </si>
  <si>
    <t>Установка прибора коммерческого учета электрической энергии (мощности) на границе земельного участка, подключенного от опоры №311-1/10 ВЛ-0,4 кВ №3 КТП 10/0,4 кВ №311 по ВЛ 10 кВ №106Н ПС 110/6/10 кВ НС-1 для технологического присоединения энергопринимающих устройств жилого дома Заявителя Берченко И.П., с. Кулешовка, Азовский р-н, Ростовская область, к.н. 61:01:0600006:5004 (1 шт.)</t>
  </si>
  <si>
    <t>Установка прибора коммерческого учета электрической энергии (мощности) на границе земельного участка, подключенного от опоры №14-97 ВЛ-0,4 кВ №3 КТП 10/0,4 кВ №14 по ВЛ 10 кВ №3125 ПС 110/35/10 кВ А-31 для технологического присоединения энергопринимающих устройств жилого дома Заявителя Головатенко С.Н., с. Головатовка, Азовский район, Ростовская область, к.н. 61:01:0140301:2513 (1 шт)</t>
  </si>
  <si>
    <t>Установка прибора коммерческого учета электрической энергии (мощности) на границе земельного участка, подключенного от опоры №27-65 ВЛ-0,4 кВ №3 КТП 10/0,4 кВ №27 по ВЛ 10 кВ №1815 ПС 35/10 кВ А-18 для технологического присоединения энергопринимающих устройств жилого дома Заявителя Короткова А.А., х. Городище, Азовский район, Ростовская область, к.н. 61:01:0030201:275 (1 шт)</t>
  </si>
  <si>
    <t>Установка прибора коммерческого учета электрической энергии (мощности) на границе земельного участка, подключенного от опоры №153-75 ВЛ-0,4 кВ №1 КТП 10/0,4 кВ №153 по ВЛ 10 кВ №915 ПС 35/10 кВ А-9 для технологического присоединения энергопринимающих устройств жилого дома Заявителя Дерезко И.В., с. Платоно-Петровка, Азовский район, Ростовская область, к.н. 61:01:0110601:1157 (1 шт)</t>
  </si>
  <si>
    <t>Установка прибора коммерческого учета электрической энергии (мощности) на границе земельного участка, подключенного от опоры №184-34 ВЛ-0,4 кВ №3 КТП 10/0,4 кВ №184 по ВЛ 10 кВ №3113 ПС 110/35/10 кВ А-31 для технологического присоединения энергопринимающих устройств жилого дома Заявителя Кузьменко В.Ю., с. Пешково, Азовский район, Ростовская область, к.н. 61:01:0140101:8809 (1 шт)</t>
  </si>
  <si>
    <t>Установка прибора коммерческого учета электрической энергии (мощности) на границе земельного участка, подключенного от опоры №184-34 ВЛ-0,4 кВ №3 КТП 10/0,4 кВ №184 по ВЛ 10 кВ №3113 ПС 110/35/10 кВ А-31 для технологического присоединения энергопринимающих устройств жилого дома Заявителя Кузьменко В.Ю., с. Пешково, Азовский район, Ростовская область, к.н. 61:01:0140101:8807 (1 шт)</t>
  </si>
  <si>
    <t>Установка прибора коммерческого учета электрической энергии (мощности) на границе земельного участка, подключенного от опоры №184-31 ВЛ-0,4 кВ №2 КТП 10/0,4 кВ №184 по ВЛ 10 кВ №3113 ПС 110/35/10 кВ А-31 для технологического присоединения энергопринимающих устройств жилого дома Заявителя Кузьменко В.Ю., с. Пешково, Азовский район, Ростовская область, к.н. 61:01:0140101:8913 (1 шт)</t>
  </si>
  <si>
    <t>Установка прибора коммерческого учета электрической энергии (мощности) на границе земельного участка, подключенного от опоры №184-31 ВЛ-0,4 кВ №2 КТП 10/0,4 кВ №184 по ВЛ 10 кВ №3113 ПС 110/35/10 кВ А-31 для технологического присоединения энергопринимающих устройств жилого дома Заявителя Кузьменко В.Ю., с. Пешково, Азовский район, Ростовская область, к.н. 61:01:0140101:7298 (1 шт)</t>
  </si>
  <si>
    <t>Установка прибора коммерческого учета электрической энергии (мощности) на границе земельного участка, подключенного от опоры №311-9/7 ВЛ-0,4 кВ №1 КТП 10/0,4 кВ №311 по ВЛ 10 кВ №106Н ПС 110/6/10 кВ НС-1 для технологического присоединения энергопринимающих устройств жилого дома Заявителя Маматова Б.Г., Азовский район, Ростовская область, к.н. 61:01:0600006:4838 (1 шт)</t>
  </si>
  <si>
    <t>Установка прибора коммерческого учета электрической энергии (мощности) на границе земельного участка, подключенного от опоры №329-4 ВЛ-0,4 кВ №1 КТП 10/0,4 кВ №329 по ВЛ 10 кВ №106Н ПС 110/6/10 кВ НС-1 для технологического присоединения энергопринимающих устройств жилого дома Заявителя Морозова Р.Л., Азовский район, Ростовская область, к.н. 61:01:0600006:5861 (1 шт)</t>
  </si>
  <si>
    <t>Установка прибора коммерческого учета электрической энергии (мощности) на границе земельного участка, подключенного от опоры №119-2 ВЛ-0,4 кВ №1 КТП 10/0,4 кВ №119 по ВЛ 10 кВ №1314 ПС 35/10 кВ А-13 для технологического присоединения энергопринимающих устройств жилого дома Заявителя Кошевой Е.И., с. Елизаветовка, Азовский район, Ростовская область, к.н. 61:01:020101:0040:11178:А (1 шт)</t>
  </si>
  <si>
    <t>Установка прибора коммерческого учета электрической энергии (мощности) на границе земельного участка, подключенного от опоры №26-55 ВЛ-0,4 кВ №2 КТП 10/0,4 кВ №26 по ВЛ 10 кВ №1701 ПС 35/10 кВ А-17 для технологического присоединения энергопринимающих устройств жилого дома Заявителя Бычкова А.А., Азовский район, Ростовская область, к.н. 61:01:0070101:8029 (1 шт)</t>
  </si>
  <si>
    <t>Установка прибора коммерческого учета электрической энергии (мощности) на границе земельного участка, подключенного от опоры №334-11 ВЛ-0,4 кВ №1 КТП 10/0,4 кВ №334 по ВЛ 10 кВ №202Н ПС 110/6/10 кВ НС-2 для технологического присоединения энергопринимающих устройств жилого дома Заявителя Моргуновой В.И., ЗАО «Обильное», Азовский район, Ростовская область, к.н. 61:01:0600006:6811 (1 шт)</t>
  </si>
  <si>
    <t>Установка прибора коммерческого учета электрической энергии (мощности) на границе земельного участка, подключенного от опоры №323-16 ВЛ-0,4 кВ №1 КТП 10/0,4 кВ №323 по ВЛ 10 кВ №202Н ПС 110/6/10 кВ НС-2 для технологического присоединения энергопринимающих устройств жилого дома Заявителя Головинской Д.А., с. Кулешовка, Азовский район, Ростовская область, к.н. 61:01:0600006:8078 (1 шт)</t>
  </si>
  <si>
    <t>Установка прибора коммерческого учета электрической энергии (мощности) на границе земельного участка, подключенного от опоры №16-99 ВЛ-0,4 кВ №3 КТП 10/0,4 кВ №16 по ВЛ 10 кВ №2608 ПС 110/10 кВ А-26 для технологического присоединения энергопринимающих устройств жилого дома Заявителя Калашник Л.В., с. Кулешовка, Азовский район, Ростовская область, к.н. 61:01:0090101:3529 (1 шт)</t>
  </si>
  <si>
    <t>Установка прибора коммерческого учета электрической энергии (мощности) на границе земельного участка, подключенного от опоры №329-28/3 ВЛ-0,4 кВ №2 КТП 10/0,4 кВ №329 по ВЛ 10 кВ №106Н ПС 110/6/10 кВ НС-1 для технологического присоединения энергопринимающих устройств жилого дома Заявителя Комаровского С.Р., ДНТ «Виктория», Азовский район, Ростовская область, к.н. 61:01:0600006:6096 (1 шт)</t>
  </si>
  <si>
    <t>Установка прибора коммерческого учета электрической энергии (мощности) на границе земельного участка, подключенного от опоры №44-3 ВЛ-0,4 кВ №1 КТП 10/0,4 кВ №44 по ВЛ 10 кВ №3125 ПС 110/35/10 кВ А-31 для технологического присоединения энергопринимающих устройств жилого дома Заявителя Лемешко Л.В., с. Пешково, Азовский район, Ростовская область, к.н. 61:01:0140101:1052 (1 шт)</t>
  </si>
  <si>
    <t>Установка прибора коммерческого учета электрической энергии (мощности) на границе земельного участка, подключенного от опоры №217-56 ВЛ-0,4 кВ №2 КТП 10/0,4 кВ №217 по ВЛ 10 кВ №1107 ПС 35/10 кВ А-11 для технологического присоединения энергопринимающих устройств жилого дома Заявителя Куприк А.А., с. Кагальник, Азовский район, Ростовская область, к.н. 61:01:0060101:11751 (1 шт)</t>
  </si>
  <si>
    <t xml:space="preserve"> Установка прибора коммерческого учета электрической энергии (мощности) на границе земельного участка, подключенного от опоры №97-41 ВЛ 0,4 кВ №3 КТП 10/0,4кВ №97 ВЛ 10кВ №1101 ПС 35/10 кВ А-11 для технологического присоединения энергопринимающих устройств объекта жилого дома Заявителя Колесникова З.Д., с. Кагальник, Азовский район, Ростовская область, к.н. 61-61-03/030/2006-149 (1 шт.)</t>
  </si>
  <si>
    <t>Установка прибора коммерческого учета электрической энергии (мощности) на границе земельного участка, подключенного от опоры №8-37 ВЛ 0,4 кВ №1 КТП 10/0,4кВ №8 ВЛ 10кВ №3125 ПС 110/35/10 кВ А-31 для технологического присоединения энергопринимающих устройств объекта жилого дома Заявителя Кулиш В.А., с. Пешково, Азовский район, Ростовская область, к.н. 61:01:0140101:7024 (1 шт.)</t>
  </si>
  <si>
    <t>Установка прибора коммерческого учета электрической энергии (мощности) на границе земельного участка, подключенного от опоры №358-11 ВЛ-0,4 кВ №2 КТП 10/0,4 кВ №358 по ВЛ 10 кВ №202Н ПС 110/6/10 кВ НС-2 для технологического присоединения энергопринимающих устройств жилого дома Заявителя Мамсик Я.Ю., ЗАО «Обильное», Азовский район, Ростовская область, к.н. 61:01:0600006:3830 (1 шт)</t>
  </si>
  <si>
    <t>Установка прибора коммерческого учета электрической энергии (мощности) на границе земельного участка, подключенного от опоры №41-33 ВЛ-0,4 кВ №1 КТП 10/0,4 кВ №41 по ВЛ 10 кВ №2608 ПС 110/10 кВ А-26 для технологического присоединения энергопринимающих устройств жилого дома Заявителя Мацуга Д.В., с. Кулешовка, Азовский район, Ростовская область, к.н. 61:01:0090102:574 (1 шт)</t>
  </si>
  <si>
    <t xml:space="preserve">Установка прибора коммерческого учета электрической энергии (мощности) на границе земельного участка, подключенного от опоры №б/н ВЛ-0,4 кВ  КТП 10/0,4 кВ №6 (на балансе Администрации Александровского сельского поселения) ВЛ 10 кВ №1513 ПС 35/10 кВ А-15 для технологического присоединения энергопринимающих устройств жилого дома Заявителя Петляковой А.А., п. Ленинский Лесхоз, Азовский район, Ростовская область, к.н. 61:01:0010401:248 (1 шт.)
</t>
  </si>
  <si>
    <t xml:space="preserve">Установка прибора коммерческого учета электрической энергии (мощности) на границе земельного участка, подключенного от опоры №71-10 тех.перевооружаемой ВЛ-0,4 кВ № 1 КТП 10/0,4 кВ №71 ВЛ 10 кВ №105Н ПС 110/6/10 кВ НС-1 для технологического присоединения энергопринимающих устройств жилого дома Заявителя Очкина Ю.Г., х. Усть-Койсуг, Азовский район Ростовская область, к.н. 61:01:0030901:956 (1 шт.)
</t>
  </si>
  <si>
    <t xml:space="preserve">Установка прибора коммерческого учета электрической энергии (мощности) на границе земельного участка, подключенного от опоры б/н ВЛ-0,4 кВ КТП 10/0,4 кВ №148П (балансовая принадлежность Шацкого Ю.В.) ВЛ 10 кВ №106Н ПС 110/6/10 кВ НС-1 для технологического присоединения энергопринимающих устройств жилого дома Заявителя Гладилина Р.П., п. Овощной, Азовский р-н, Ростовская область, к.н. 61:01:0600006:2182 (1 шт.)
</t>
  </si>
  <si>
    <t>Установка прибора коммерческого учета электрической энергии (мощности) на границе земельного участка, подключенного от опоры №б/н ВЛ-0,4 кВ КТП 10/0,4 кВ №148П (балансовая принадлежность Шацкого Ю.В.) по ВЛ 10 кВ №106Н ПС 110/6/10 кВ НС-1 для технологического присоединения энергопринимающих устройств жилого дома Заявителя Василевского М.Д., п. Овощной, Азовский район, Ростовская область, к.н. 61:01:0600006:2158 (1 шт)</t>
  </si>
  <si>
    <t>Установка прибора коммерческого учета электрической энергии (мощности) на границе земельного участка, подключенного от опоры б/н ВЛ-0,4 кВ №1 КТП 10/0,4 кВ №272 (балансовая принадлежность ИП Артеменко В.П.) ВЛ 10 кВ №1815 ПС 35/10 кВ А-18 для технологического присоединения энергопринимающих устройств жилого дома Заявителя Ляшенко Г.Н.,х. Городище, Азовский район, Ростовская область, к.н. 61:01:0030201:763 (1 шт)</t>
  </si>
  <si>
    <t>Установка прибора коммерческого учета электрической энергии (мощности) на границе земельного участка, подключенного от опоры №26-19 ВЛ-0,4 №1 КТП-26 ВЛ-10 318 от ПС 35 кВ КГ3 для технологического присоединения энергопринимающих устройств артезианской скважины Заявителя МП ЖКХ Кагальницкого сельского поселения, Ростовская обл., Кагальницкий р-н., ст. Кировская, к.н. 61:14:0600010:1559 (1 шт.)</t>
  </si>
  <si>
    <t>Установка прибора коммерческого учета электрической энергии (мощности) на границе земельного участка, подключенного от опоры №204-62 ВЛ-0,4 №2 КТП-204 ВЛ-10 605 ПС 35 кВ КГ6 для технологического присоединения  энергопринимающих устройств ЛПХ Заявителя Ивченко Л.М. Ростовская область, Кагальницкий р-н, с. Новобатайск, ул. Набережная д.3 к.н. 61:14:0040128:24 (1 шт.)</t>
  </si>
  <si>
    <t>Установка прибора коммерческого учета электрической энергии (мощности) на границе земельного участка, подключенного от опоры №2-18 ВЛ-0,4 №1 КТП-2 ВЛ-10 605 ПС 35 кВ КГ6 для технологического присоединения  энергопринимающих устройств жилого дома Заявителя Нуждов С.А. Ростовская область, Кагальницкий р-н, с. Новобатайск, ул. Советская д.19А к.н. 61:14:0040120:238 (1 шт.)</t>
  </si>
  <si>
    <t>Установка прибора коммерческого учета электрической энергии (мощности) на границе земельного участка, подключенного от опоры № 26-21 ВЛ-0,4  №1  КТП-26  ВЛ-10 1608 ПС 35 кВ ЗР16 для технологического присоединения энергопринимающих устройств объекта крестьянского (фермерского) хозяйства  Заявителя ИП Рясного В.И.   Российская Федерация, Ростовская обл., р-н. Зерноградский, х. 1-й Россошинский, 0,033 км на юг от южной его окраины, кад.н.: 61:12:0601601:1683</t>
  </si>
  <si>
    <t xml:space="preserve">Установка прибора коммерческого учета электрической энергии (мощности) на границе земельного участка, подключенного от опоры №126-55 ВЛ-0,4  №1  КТП-126 ВЛ-10 1801 ПС 35 кВ ЗР18 для технологического присоединения энергопринимающих устройств антенно-мачтового сооружения 61-12689 Заявителя АО «Первая Башенная Компания» Ростовская область, Зерноградский р-н, п. Шоссейный, ул. Пугачева вблизи д.12 к.н. 61:12:0050301:00 (1 шт.)
</t>
  </si>
  <si>
    <t>Установка прибора коммерческого учета электрической энергии (мощности) на границе земельного участка, подключенного от № 267-36   ВЛ-0,4 №1 КТП-267 ВЛ-10  904  ПС 110кВ Балко-Грузская для технологического присоединения энергопринимающих устройств жилого дома Заявителя Вартанян А.Г., Ростовская область, Егорлыкский р-он, х. Балко-Грузский, ул. Центральная,  д. 20, кадастровый номер земельного участка: 61:10:0020101:2039, 1шт.</t>
  </si>
  <si>
    <t>Установка прибора коммерческого учета электрической энергии (мощности) на границе земельного участка, подключенного от № 266-21   ВЛ-0,4 №4 КТП-266 ВЛ-10  908  ПС 110кВ Балко-Грузская для технологического присоединения энергопринимающих устройств жилого дома Заявителя Хачатурян С.В., Ростовская область, Егорлыкский р-он, х. Мирный, ул. Механизаторская,  д. 14, кадастровый номер земельного участка: 61:10:0020301:501, 1 шт.</t>
  </si>
  <si>
    <t>Установка прибора коммерческого учета электрической энергии (мощности) на границе земельного участка, подключенного от опоры №150-11 ВЛ-0,4 кВ №1 КТП 10/0,4 кВ №150 по ВЛ 10 кВ №801 ПС 35/10 кВ А-8 для технологического присоединения энергопринимающих устройств нежилого здания Заявителя Макаовой Л.А., Азовский район, Ростовская область, к.н. 61:01:0600009:59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</si>
  <si>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ВЛ-0,4 кВ ( по договору ТП № 61-1-22-00632949 от 09.03.2022г. с заявителем Калдарасс М.Г.) МТП 10/0,4 кВ № 311 ВЛ 10 кВ №106Н ПС 110/6/10 кВ НС-1 для технологического присоединения энергопринимающих устройств жилого дома Заявителя Нога В.Н., Азовский р-он, Ростовская область, к.н. 61:01:0600006:4878  (1 шт)</t>
  </si>
  <si>
    <t>Установка прибора коммерческого учета электрической энергии (мощности) на границе земельного участка, подключенного от опоры №185-12 ВЛ 0,4 кВ №1 КТП 10/0,4кВ №185 ВЛ 10кВ №160Н ПС 110/6/10 кВ НС-1 для технологического присоединения энергопринимающих устройств объекта жилого дома Заявителя Бадирова П.К., с. Кулешовка, Азовский район, Ростовская область, к.н. 61:01:0090101:8127 (1 шт.)</t>
  </si>
  <si>
    <t>Установка прибора коммерческого учета электрической энергии (мощности) на границе земельного участка, подключенного от опоры №134-15 ВЛ 0,4 кВ №1 КТП 10/0,4кВ №143 ВЛ 10кВ №1101 ПС 35/10 кВ А-11 для технологического присоединения энергопринимающих устройств объекта жилого дома Заявителя Бондаренко Е.П., с. Кагальник, Азовский район, Ростовская область, к.н. 61:01:0060101:311 (1 шт.)</t>
  </si>
  <si>
    <t>Установка прибора коммерческого учета электрической энергии (мощности) на границе земельного участка, подключенного от опоры №153-1 ВЛ 0,4 кВ №1 КТП 10/0,4кВ №153 ВЛ 10кВ №915 ПС 35/10 кВ А-9 для технологического присоединения энергопринимающих устройств объекта жилого дома Заявителя Ковальченко Д.С., с. Платоно-Петровка, Азовский район, Ростовская область, к.н. 61:01:0110601:1215 (1 шт.)</t>
  </si>
  <si>
    <t>Установка прибора коммерческого учета электрической энергии (мощности) на границе земельного участка, подключенного от опоры №172-31 ВЛ 0,4 кВ №2 КТП 10/0,4кВ №172 ВЛ 10кВ №105Н ПС 110/6/10 кВ НС-1 для технологического присоединения энергопринимающих устройств объекта жилого дома Заявителя Малышицкого Д.С., х. Усть-Койсуг, Азовский район, Ростовская область, к.н. 61:01:0030901:210 (1 шт.)</t>
  </si>
  <si>
    <t xml:space="preserve"> Установка прибора коммерческого учета электрической энергии (мощности) на границе земельного участка, подключенного от опоры №40-28 ВЛ 0,4 кВ №1 КТП 10/0,4кВ №40 ВЛ 10кВ №1802 ПС 35/10 кВ А-18 для технологического присоединения энергопринимающих устройств объекта жилого дома Заявителя Азарова П.Д., х. Рогожкино, Азовский район, Ростовская область, к.н. 61:01:0160101:232 (1 шт.)</t>
  </si>
  <si>
    <t>Установка прибора коммерческого учета электрической энергии (мощности) на границе земельного участка, подключенного от опоры №64-2 ВЛ 0,4 кВ №1 КТП 10/0,4кВ №64 ВЛ 10кВ №3214 ПС 110/35/10 кВ А-32 для технологического присоединения энергопринимающих устройств объекта гараж Заявителя Гончарова Н.С., х. Красная Заря, Азовский район, Ростовская область, к.н. 61:01:0010201:137 (1 шт.)</t>
  </si>
  <si>
    <t>Установка прибора коммерческого учета электрической энергии (мощности) на границе земельного участка, подключенного от опоры №6-8 ВЛ 0,4 кВ №1 КТП 10/0,4кВ №6 ВЛ 10кВ №3113 ПС 110/35/10 кВ А-31 для технологического присоединения энергопринимающих устройств объекта нежилого здания Заявителя Агеева А.В., . Пешково, Азовский район, Ростовская область, к.н. 61:01:0600012:1351 (1 шт.)</t>
  </si>
  <si>
    <t>Установка прибора коммерческого учета электрической энергии (мощности) на границе земельного участка, подключенного от опоры №89-67 ВЛ 0,4 кВ №1 КТП 10/0,4кВ №89 ВЛ 10кВ №1014 ПС 110/35/10 кВ Самарская для технологического присоединения энергопринимающих устройств объекта жилого дома Заявителя Ширанова А.Б., х. Ельбузд, Азовский район, Ростовская область, к.н. 61:01:0041301:225 (1 шт.)</t>
  </si>
  <si>
    <t>Установка прибора коммерческого учета электрической энергии (мощности) на границе земельного участка, подключенного от опоры №80-58 ВЛ 0,4 кВ №2 КТП 10/0,4кВ №80 ВЛ 10кВ №613 ПС 35/10 кВ А-6 для технологического присоединения энергопринимающих устройств объекта магазина Заявителя Анцифировой Л.Н., с. Новомаргаритово, Азовский район, Ростовская область, к.н. 61:01:0100201:1140 (1 шт.)</t>
  </si>
  <si>
    <t>Установка прибора коммерческого учета электрической энергии (мощности) на границе земельного участка, подключенного от опоры №78-16 ВЛ 0,4 кВ №1 КТП 10/0,4кВ №78 ВЛ 10кВ №613 ПС 35/10 кВ А-6 для технологического присоединения энергопринимающих устройств объекта скважины Заявителя Унитарное муниципальное предприятие «Приморский водопровод»., с. Новомаргаритово, Азовский район, Ростовская область, к.н. 61:01:0100201:1181 (1 шт.)</t>
  </si>
  <si>
    <t>Установка прибора коммерческого учета электрической энергии (мощности) на границе земельного участка, подключенного от опоры №203-1 ВЛ 0,4 кВ №1 КТП 10/0,4кВ №203 ВЛ 10кВ №3113 ПС 110/35/10 кВ А-31 для технологического присоединения энергопринимающих устройств объекта сельскохозяйственного производства Заявителя ИП Тин В.М., с. Пешково, Азовский район, Ростовская область, к.н. 61:01:0600012:964 (1 шт.)</t>
  </si>
  <si>
    <t>Установка прибора коммерческого учета электрической энергии (мощности) на границе земельного участка, подключенного от опоры №25-97 ВЛ 0,4 кВ №3 КТП 10/0,4кВ №25 ВЛ 10кВ №1815 ПС 35/10 кВ А-18 для технологического присоединения энергопринимающих устройств объекта жилого дома Заявителя Гребеньковой Н.В., х. Колузаево, Азовский район, Ростовская область, к.н. 61:01:0030501:649 (1 шт.)</t>
  </si>
  <si>
    <t>Установка прибора коммерческого учета электрической энергии (мощности) на границе земельного участка, подключенного от опоры №381-56 ВЛ 0,4 кВ №1 КТП 10/0,4кВ №381 ВЛ 10кВ №106Н ПС 110/6/10 кВ НС-1 для технологического присоединения энергопринимающих устройств объекта жилого дома Заявителя Чистяков А.М., ДНТ СН «Кулешовка-2», Азовский район, Ростовская область, к.н. 61:01:0600006:8020 (1 шт.)</t>
  </si>
  <si>
    <t>Установка прибора коммерческого учета электрической энергии (мощности) на границе земельного участка, подключенного от опоры №365-15 ВЛ 0,4 кВ №2 КТП 10/0,4кВ №365 ВЛ 10кВ №107Н ПС 110/6/10 кВ НС-1 для технологического присоединения энергопринимающих устройств объекта дачного дома Заявителя Архипова Д.В., ДНТ «Задонье», Азовский район, Ростовская область, к.н. 61:01:0600006:3737 (1 шт.)</t>
  </si>
  <si>
    <t>Установка прибора коммерческого учета электрической энергии (мощности) на границе земельного участка, подключенного от опоры №163-53 ВЛ 0,4 кВ №3 КТП 10/0,4кВ №163 ВЛ 10кВ №1904 РП-19 ПС 110/35/10 кВ Самарская для технологического присоединения энергопринимающих устройств объекта жилого дома Заявителя Козлова В.А., с. Новотроицкое, Азовский район, Ростовская область, к.н. 61:01:0040801:897 (1 шт.)</t>
  </si>
  <si>
    <t>Установка прибора коммерческого учета электрической энергии (мощности) на границе земельного участка, подключенного от опоры №160-18 ВЛ 0,4 кВ №1 КТП 10/0,4кВ №160 ВЛ 10кВ №1904 РП-19 ПС 110/35/10 кВ Самарская для технологического присоединения энергопринимающих устройств объекта жилого дома Заявителя Мироненко А.М., с. Новотроицкое, Азовский район, Ростовская область, к.н. 61:01:0040801:1668 (1 шт.)</t>
  </si>
  <si>
    <t>Установка прибора коммерческого учета электрической энергии (мощности) на границе земельного участка, подключенного от опоры №167-16 ВЛ 0,4 кВ №2 КТП 10/0,4кВ №167 ВЛ 10кВ №106Н ПС 110/6/10 кВ НС-1 для технологического присоединения энергопринимающих устройств объекта жилого дома Заявителя Мхитарян Г.А., ДНТ «Кулешовка», Азовский район, Ростовская область, к.н. 61:01:0600006:1376 (1 шт.)</t>
  </si>
  <si>
    <t>Установка прибора коммерческого учета электрической энергии (мощности) на границе земельного участка, подключенного от опоры №121-14 ВЛ 0,4 кВ №1 КТП 10/0,4кВ №121 ВЛ 10кВ №1904 РП-19 ПС 110/35/10 кВ Самарская для технологического присоединения энергопринимающих устройств объекта жилого дома Заявителя Варданян О.Г., с. Новотроицкое, Азовский район, Ростовская область, к.н. 61:01:0040801:590 (1 шт.)</t>
  </si>
  <si>
    <t>Установка прибора коммерческого учета электрической энергии (мощности) на границе земельного участка, подключенного от опоры №156-65 ВЛ 0,4 кВ №2 КТП 10/0,4кВ №156 ВЛ 10кВ №1701 ПС 35/10 кВ А-17 для технологического присоединения энергопринимающих устройств объекта жилая застройка Заявителя Минаевой Е.Н., с. Круглое, Азовский район, Ростовская область, к.н. 61:01:0070101:7773 (1 шт.)</t>
  </si>
  <si>
    <t>Установка прибора коммерческого учета электрической энергии (мощности) на границе земельного участка, подключенного от опоры №311-3/5 ВЛ 0,4 кВ №2 КТП 10/0,4кВ №311 ВЛ 10кВ №106Н ПС 110/6/10 кВ НС-1 для технологического присоединения энергопринимающих устройств объекта жилого дома Заявителя Стекольниковой С.Б., ТСН «СНТ Белгорос», Азовский район, Ростовская область, к.н. 61:01:0600006:4952 (1 шт.)</t>
  </si>
  <si>
    <t>Установка прибора коммерческого учета электрической энергии (мощности) на границе земельного участка, подключенного от опоры №239-4 ВЛ 0,4 кВ №1 КТП 10/0,4кВ №239 ВЛ 10кВ №106Н ПС 110/6/10 кВ НС-1 для технологического присоединения энергопринимающих устройств объекта жилого дома Заявителя Скрыбченко С.И., п. Овощной, Азовский район, Ростовская область, к.н. 61:01:0130101:4056 (1 шт.)</t>
  </si>
  <si>
    <t>Установка прибора коммерческого учета электрической энергии (мощности) на границе земельного участка, подключенного от опоры №25-6 ВЛ 0,4 кВ №1 КТП 10/0,4кВ №25 ВЛ 10кВ №1815 ПС 35/10 кВ А-18 для технологического присоединения энергопринимающих устройств объекта жилого дома Заявителя Неведровой В.А., х. Колузаево, Азовский район, Ростовская область, к.н. 61:01:030501:0035 (1 шт.)</t>
  </si>
  <si>
    <t>Установка прибора коммерческого учета электрической энергии (мощности) на границе земельного участка, подключенного от опоры №89-86 ВЛ 0,4 кВ №2 КТП 10/0,4кВ №89 ВЛ 10кВ №803 ПС 35/10 кВ А-8 для технологического присоединения энергопринимающих устройств объекта жилого дома Заявителя Костивой Г.К., с. Семибалки, Азовский район, Ростовская область, к.н. 61:01:0180101:1463 (1 шт.)</t>
  </si>
  <si>
    <t>Установка прибора коммерческого учета электрической энергии (мощности) на границе земельного участка, подключенного от опоры №162-8 ВЛ 0,4 кВ №1 КТП 10/0,4кВ №162 ВЛ 10кВ №1702 ПС 35/10 кВ А-17 для технологического присоединения энергопринимающих устройств объекта жилого дома Заявителя Горбуновой О.А., с. Круглое, Азовский район, Ростовская область, к.н. 61:01:0070101:2510 (1 шт.)</t>
  </si>
  <si>
    <t>Установка прибора коммерческого учета электрической энергии (мощности) на границе земельного участка, подключенного от опоры №44-22 ВЛ 0,4 кВ №1 КТП 10/0,4 кВ №44 по ВЛ 10 кВ №1107 ПС 35/10 кВ А-11 для технологического присоединения энергопринимающих устройств объекта строительной площадки Заявителя ООО «Энергосоюз-Дон», с. Кагальник, Азовский район, Ростовская область, к.н. 61:01:0060101:12139 (1 шт.)</t>
  </si>
  <si>
    <t>Установка прибора коммерческого учета электрической энергии (мощности) на границе земельного участка, подключенного от опоры №79-24 ВЛ 0,4 кВ №1 КТП 10/0,4кВ №79 ВЛ 10кВ №1701 ПС 35/10 кВ А-17 для технологического присоединения энергопринимающих устройств объекта подсобного хозяйства Заявителя Аллилуева В.И., с. Круглое, Азовский район, Ростовская область, к.н. 61:01:0070101:2839 (1 шт.)</t>
  </si>
  <si>
    <t>Установка прибора коммерческого учета электрической энергии (мощности) на границе земельного участка, подключенного от опоры №113-14 ВЛ 0,4 кВ №1 КТП 10/0,4кВ №113 ВЛ 10кВ №1020 ПС 110/35/10 кВ Самарская для технологического присоединения энергопринимающих устройств объекта хозяйственной постройки Заявителя Левочкина М.Ю., п. Суходольск, Азовский район, Ростовская область, к.н. 61:01:0170501:1776 (1 шт.)</t>
  </si>
  <si>
    <t>Установка прибора коммерческого учета электрической энергии (мощности) на границе земельного участка, подключенного от опоры №184-55 ВЛ 0,4 кВ №2 КТП 10/0,4кВ №184 ВЛ 10кВ №3113 ПС 110/35/10 кВ А-31 для технологического присоединения энергопринимающих устройств объекта жилого дома Заявителя Пушкаренко Д.Г., с. Пешково, Азовский район, Ростовская область, к.н. 61:01:0140101:2146 (1 шт.)</t>
  </si>
  <si>
    <t>Установка прибора коммерческого учета электрической энергии (мощности) на границе земельного участка, подключенного от опоры №111-38 ВЛ 0,4 кВ №2 КТП 10/0,4кВ №111 ВЛ 10кВ №3113 ПС 110/35/10 кВ А-31 для технологического присоединения энергопринимающих устройств объекта жилого дома Заявителя Филимоновой О.И., с. Пешково, Азовский район, Ростовская область, к.н. 61:01:0140101:9235 (1 шт.)</t>
  </si>
  <si>
    <t>Установка прибора коммерческого учета электрической энергии (мощности) на границе земельного участка, подключенного от опоры №139-15 ВЛ 0,4 кВ №1 КТП 10/0,4кВ №139 ВЛ 10кВ №1019 ПС 110/35/10 кВ Самарская для технологического присоединения энергопринимающих устройств объекта жилого дома Заявителя Нарыжного А.А., х. Победа, Азовский район, Ростовская область, к.н. 61:01:0041001:1509 (1 шт.)</t>
  </si>
  <si>
    <t>Установка прибора коммерческого учета электрической энергии (мощности) на границе земельного участка, подключенного от опоры №93-3 ВЛ 0,4 кВ №1 КТП 10/0,4кВ №93 ВЛ 10кВ №202Н ПС 110/6/10 кВ НС-2 для технологического присоединения энергопринимающих устройств объекта жилого дома Заявителя Мотуз Е.А., с. Кулешовка, Азовский район, Ростовская область, к.н. 61:01:0090102:152 (1 шт.)</t>
  </si>
  <si>
    <t>Установка прибора коммерческого учета электрической энергии (мощности) на границе земельного участка, подключенного от опоры №6-6 ВЛ 0,4 кВ №1 КТП 10/0,4кВ №6 (на балансе Администрации Александровского сельского поселения) ВЛ 10кВ №1513 ПС 35/10 кВ А-15 для технологического присоединения энергопринимающих устройств объекта жилого дома Заявителя Синельниковой О.Н., п. Ленинский Лесхоз, Азовский район, Ростовская область, к.н. 61:01:0010401:471 (1 шт.)</t>
  </si>
  <si>
    <t>Установка прибора коммерческого учета электрической энергии (мощности) на границе земельного участка, подключенного от опоры №25-18 ВЛ 0,4 кВ №1 КТП 10/0,4кВ №25 ВЛ 10кВ №1815 ПС 35/10 кВ А-18 для технологического присоединения энергопринимающих устройств объекта жилого дома Заявителя Митьковой В.И., х. Колузаево, Азовский район, Ростовская область, к.н. 61:01:0030501:1603 (1 шт.)</t>
  </si>
  <si>
    <t>Установка прибора коммерческого учета электрической энергии (мощности) на границе земельного участка, подключенного от опоры №25-45 ВЛ 0,4 кВ №2 КТП 10/0,4кВ №25 ВЛ 10кВ №1815 ПС 35/10 кВ А-18 для технологического присоединения энергопринимающих устройств объекта жилого дома Заявителя Пликус М.Ф., х. Колузаево, Азовский район, Ростовская область, к.н. 61:01:0030501:176 (1 шт.)</t>
  </si>
  <si>
    <t>Установка прибора коммерческого учета электрической энергии (мощности) на границе земельного участка, подключенного от опоры №141-96 ВЛ 0,4 кВ №3 КТП 10/0,4кВ №141 ВЛ 10кВ №802 ПС 35/10 кВ А-8 для технологического присоединения энергопринимающих устройств объекта жилого дома Заявителя Петросян К.В., с. Семибалки, Азовский район, Ростовская область, к.н. 61:01:0180101:1085 (1 шт.)</t>
  </si>
  <si>
    <t>Установка прибора коммерческого учета электрической энергии (мощности) на границе земельного участка, подключенного от опоры №88-25 ВЛ 0,4 кВ №1 КТП 10/0,4кВ №88 ВЛ 10кВ №3127 ПС 110/35/10 кВ А-31 для технологического присоединения энергопринимающих устройств объекта жилого дома Заявителя Головина Н.А., с. Займо-Обрыв, Азовский район, Ростовская область, к.н. 61:01:0140401:1166 (1 шт.)</t>
  </si>
  <si>
    <t>Установка прибора коммерческого учета электрической энергии (мощности) на границе земельного участка, подключенного от опоры №118-41 ВЛ 0,4 кВ №2 КТП 10/0,4кВ №118 ВЛ 10кВ №3202 ПС 110/35/10 кВ А-32 для технологического присоединения энергопринимающих устройств объекта жилого дома Заявителя Манжос В.В., с. Александровка, Азовский район, Ростовская область, к.н. 61:01:0010101:8373 (1 шт.)</t>
  </si>
  <si>
    <t>Установка прибора коммерческого учета электрической энергии (мощности) на границе земельного участка, подключенного от опоры №25-8 ВЛ 0,4 кВ №1 КТП 10/0,4кВ №25 ВЛ 10кВ №1815 ПС 35/10 кВ А-18 для технологического присоединения энергопринимающих устройств объекта жилого дома Заявителя Дергачева М.Е., х. Колузаево, Азовский район, Ростовская область, к.н. 61:01:0030501:1818 (1 шт.)</t>
  </si>
  <si>
    <t>Установка прибора коммерческого учета электрической энергии (мощности) на границе земельного участка, подключенного от опоры №240-7 ВЛ 0,4 кВ №1 КТП 10/0,4кВ №240 ВЛ 10кВ №106Н ПС 110/6/10 кВ НС-1 для технологического присоединения энергопринимающих устройств объекта жилого дома Заявителя Звягина В.В., п. Овощной, Азовский район, Ростовская область, к.н. 61:01:0130101:5323 (1 шт.)</t>
  </si>
  <si>
    <t>Установка прибора коммерческого учета электрической энергии (мощности) на границе земельного участка, подключенного от опоры №25-99 ВЛ 0,4 кВ №3 КТП 10/0,4кВ №25 ВЛ 10кВ №1815 ПС 35/10 кВ А-18 для технологического присоединения энергопринимающих устройств объекта жилого дома Заявителя Дьяченко Е.М., х. Колузаево, Азовский район, Ростовская область, к.н. 61:01:0030501:702 (1 шт.)</t>
  </si>
  <si>
    <t>Установка прибора коммерческого учета электрической энергии (мощности) на границе земельного участка, подключенного от опоры №45-17 ВЛ 0,4 кВ №2 КТП 10/0,4кВ №45 ВЛ 10кВ №2907 РП-29 ПС 35/10 кВ А-18 для технологического присоединения энергопринимающих устройств объекта жилого дома Заявителя Митеревой М.Ю., х. Курган, Азовский район, Ростовская область, к.н. 61:01:0030701:399 (1 шт.)</t>
  </si>
  <si>
    <t>Установка прибора коммерческого учета электрической энергии (мощности) на границе земельного участка, подключенного от опоры №145-2 ВЛ 0,4 кВ №1 КТП 10/0,4кВ №145 ВЛ 10кВ №3125 ПС 110/35/10 кВ А-31 для технологического присоединения энергопринимающих устройств объекта жилого дома Заявителя Гончарова С.М., с. Пешково, Азовский район, Ростовская область, к.н. 61:01:0140101:7734 (1 шт.)</t>
  </si>
  <si>
    <t>Установка прибора коммерческого учета электрической энергии (мощности) на границе земельного участка, подключенного от опоры №240-1 ВЛ 0,4 кВ №1 КТП 10/0,4кВ №240 ВЛ 10кВ №106Н ПС 110/6/10 кВ НС-1 для технологического присоединения энергопринимающих устройств объектов наружного освещения Заявителя Администрации Обильненского сельского поселения, п. Овощной, Азовский район, Ростовская область, к.н. 61:01:0130101:3244 (1 шт.)</t>
  </si>
  <si>
    <t>Установка прибора коммерческого учета электрической энергии (мощности) на границе земельного участка, подключенного от опоры №239-1 ВЛ 0,4 кВ №1 КТП 10/0,4кВ №239 ВЛ 10кВ №106Н ПС 110/6/10 кВ НС-1 для технологического присоединения энергопринимающих устройств объектов наружного освещения Заявителя Администрации Обильненского сельского поселения, п. Овощной, Азовский район, Ростовская область, к.н. 61:01:0130101:3247 (1 шт.)</t>
  </si>
  <si>
    <t>Установка прибора коммерческого учета электрической энергии (мощности) на границе земельного участка, подключенного от опоры №136-3 ВЛ 0,4 кВ №1 КТП 10/0,4кВ №136 ВЛ 10кВ №1515 ПС 35/10 кВ А-15 для технологического присоединения энергопринимающих устройств объекта жилого дома Заявителя Фоменко Г.К., х. Харьковский, Азовский район, Ростовская область, к.н. 61:01:0130101:3247 (1 шт.)</t>
  </si>
  <si>
    <t>Установка прибора коммерческого учета электрической энергии (мощности) на границе земельного участка, подключенного от № 316-36   ВЛ-0,4 № 2 КТП-316 ВЛ-10  612  ПС 35кВ Е-6 для технологического присоединения энергопринимающих устройств жилого дома Заявителя Аванесян А.С., Ростовская область, Егорлыкский р-он, х. Шаумяновский, ул. Шаумяна, д. 12а, кадастровый номер земельного участка: 61:10:009010101:1705, 1 шт.</t>
  </si>
  <si>
    <t>Установка прибора коммерческого учета электрической энергии (мощности) на границе земельного участка, подключенного от опоры  №194-7 ВЛ-0,4 №2 КТП-94 ВЛ-10 313 ПС 35 кВ КГ3 для технологического присоединения энергопринимающих устройств   административного здания Заявителя  Бержанян К.Ш.  Ростовская область, Кагальницкий р-н, ст.  к.н. 61:14:0050129:389 (1 шт.)</t>
  </si>
  <si>
    <t>Установка прибора коммерческого учета электрической энергии (мощности) на границе земельного участка, подключенного от опоры №141-54 ВЛ-0,4 №2 КТП-141 ВЛ-10 215 ПС 35 кВ КГ2 для технологического присоединения энергопринимающих устройств объекта малоэтажной жилой застройки Заявителя Гальченко Г.В., Ростовская область, Кагальницкий, п. Малиновка ул.  Садовая д. 48 к.н. 61:14:0010302:103 (1 шт.)</t>
  </si>
  <si>
    <t>Установка прибора коммерческого учета электрической энергии (мощности) на границе земельного участка, подключенного от опоры №28-90 ВЛ-0,4 №2 ЗТП-28 ВЛ-10 313 ПС 35 кВ КГ3 для технологического присоединения энергопринимающих устройств объекта малоэтажной жилой застройки Заявителя Панасенко Н.В., Ростовская область, Кагальницкий р-н. ст. Кировская ул. Школьная д.15А   к.н. 61:14:0050130:305 (1 шт.)</t>
  </si>
  <si>
    <t>Установка прибора коммерческого учета электрической энергии (мощности) на границе земельного участка, подключенного от опоры №56-58 ВЛ-0,4 №2 КТП-56 ВЛ-10 318 ПС 35 кВ КГ3 для технологического присоединения энергопринимающих устройств объекта малоэтажной жилой застройки Заявителя Шабанова А.А., Ростовская область, Кагальницкий р-н, х. Николаевский, ул. Луговая д.104-А к.н. 61:14:0050702:491 (1 шт.)</t>
  </si>
  <si>
    <t>Установка прибора коммерческого учета электрической энергии (мощности) на границе земельного участка, подключенного оп. № 119-19   ВЛ-0,4 №1 КТП-119 ВЛ-10  707  ПС 35 кВ Е-7 для технологического присоединения энергопринимающих устройств нежилой застройки Заявителя АО «Почта России», Ростовская область, Егорлыкский р-он, х. Украинский, кадастровый номер земельного участка: 61:10:30401:359 (1 шт)</t>
  </si>
  <si>
    <t>Установка прибора коммерческого учета электрической энергии (мощности) на границе земельного участка, подключенного оп. № 84-43   ВЛ-0,4 №2 КТП-84 ВЛ-10  506  ПС 35кВ Е-5 для технологического присоединения энергопринимающих устройств нежилой застройки Заявителя АО «Почта России», Ростовская область, Егорлыкский р-он, х. Объединенный, кадастровый номер земельного участка: 61:10:0080101:1178 (1 шт.)</t>
  </si>
  <si>
    <t>Установка прибора коммерческого учета электрической энергии (мощности) на границе земельного участка, подключенного от опоры №98-4 ВЛ 0,4 кВ №1 КТП 10/0,4кВ №98 ВЛ 10кВ №1815 ПС 35/10 кВ А-18 для технологического присоединения энергопринимающих устройств магазина Заявителя Сизова М.Н., х.Колузаево, Азовский район, Ростовская область, кадастровый (условный) номер объекта: 61:01:0600002:2576(1 шт.)</t>
  </si>
  <si>
    <t>Установка прибора коммерческого учета электрической энергии (мощности) на границе земельного участка, подключенного от опоры №136-49 ВЛ-0,4 кВ №2 КТП 10/0,4 кВ №136 по ВЛ 10 кВ №3113 ПС 110/35/10 кВ А-31 для технологического присоединения энергопринимающих устройств жилого дома Заявителя Немцева Н.Н., с. Пешково, Азовский район, Ростовская область, к.н. 61:01:0140101:6809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</si>
  <si>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 0,4 кВ (по договору ТП № 61-1-21-00614477 от 23.11.2021г. с заявителем Соломиной А.В.) МТП 10/0,4 кВ №311 ВЛ 10кВ №106Н ПС 110/6/10 кВ НС-1 для технологического присоединения энергопринимающих устройств жилого дома Заявителя Ноги И.Г., Ростовская область, Азовский район, ТСН «СНТ Белгорос», к.н. 61:01:0600006:4880 (1 шт.)</t>
  </si>
  <si>
    <t xml:space="preserve">Установка прибора коммерческого учета электрической энергии (мощности) на границе земельного участка, подключенного от опоры №358-12 ВЛ-0,4 кВ №2 КТП 10/0,4 кВ №358 по ВЛ 10 кВ №202Н ПС 110/6/10 кВ НС-2 для технологического присоединения энергопринимающих устройств жилого дома Заявителя Драгун И.Н., ЗАО «Обильное», Азовский район, Ростовская область, к.н. 61:01:0600006:3828 (1 шт.)
</t>
  </si>
  <si>
    <t>Установка прибора коммерческого учета электрической энергии (мощности) на границе земельного участка, подключенного от опоры №81-30 ВЛ 0,4 кВ №1 КТП 10/0,4кВ №81 ВЛ 10кВ №803 ПС 35/10 кВ А-8 для технологического присоединения энергопринимающих устройств магазина Заявителя ИП Мельниковой Т.В., с. Семибалки, Азовский район, Ростовская область, к.н. 61:01:0180101:5030 (1 шт.)</t>
  </si>
  <si>
    <t xml:space="preserve">Установка прибора коммерческого учета электрической энергии (мощности) на границе земельного участка, подключенного от опоры №206-2 ВЛ-0,4 кВ №1 КТП 10/0,4 кВ №206 по ВЛ 10 кВ №3113 ПС 110/35/10 кВ А-31 для технологического присоединения энергопринимающих устройств жилого дома Заявителя Кузнецова О.И., с.Пешково, Азовский район, Ростовская область, к.н. 61:01:0140101:8896 (1 шт.)
</t>
  </si>
  <si>
    <t>Установка прибора коммерческого учета электрической энергии (мощности) на границе земельного участка, подключенного от опоры №33-4 ВЛ-0,4 кВ №1 КТП 10/0,4 кВ №33 по ВЛ 10 кВ №2907 РП-29 ПС 35/10 кВ А-18 для технологического присоединения энергопринимающих устройств жилого дома Заявителя Виноградова В.А., х.Коса, Азовский район, Ростовская область, к.н. 61:01:0030601:489 (1 шт.)</t>
  </si>
  <si>
    <t xml:space="preserve">Установка прибора коммерческого учета электрической энергии (мощности) на границе земельного участка, подключенного от опоры №141-9 ВЛ-0,4 кВ №1 КТП 10/0,4 кВ №141 по ВЛ 10 кВ №802 ПС 35/10 кВ А-8 для технологического присоединения энергопринимающих устройств жилого дома Заявителя Перегудова В.В., с.Семибалки, Азовский район, Ростовская область, к.н. 61:01:0180101:1086 (1 шт.)
</t>
  </si>
  <si>
    <t>Установка прибора коммерческого учета электрической энергии (мощности) на границе земельного участка, подключенного от опоры №358-15 ВЛ-0,4 кВ №2 КТП 10/0,4 кВ №358 по ВЛ 10 кВ №202 Н ПС 110/6/10 кВ НС-2 для технологического присоединения энергопринимающих устройств жилого дома Заявителя Ким Е.С., ЗАО «Обильное», Азовский район, Ростовская область, к.н. 61:01:0600006:7320 (1 шт.)</t>
  </si>
  <si>
    <t xml:space="preserve">Установка прибора коммерческого учета электрической энергии (мощности) на границе земельного участка, подключенного от опоры №57-43 ВЛ-0,4 кВ №2 КТП 10/0,4 кВ №57 по ВЛ 10 кВ №3127 ПС 110/35/10 кВ А-31 для технологического присоединения энергопринимающих устройств садового дома Заявителя Ланко В.Г., Азовский район, Ростовская область, к.н. 61:01:0600011:697 (1 шт.)
</t>
  </si>
  <si>
    <t xml:space="preserve">Установка прибора коммерческого учета электрической энергии (мощности) на границе земельного участка, подключенного от опоры №158-36 ВЛ-0,4 кВ №3 КТП 10/0,4 кВ №158 по ВЛ 10 кВ №1019 ПС 110/35/10 кВ Самарская для технологического присоединения энергопринимающих устройств жилого дома Заявителя Бойко В.М., х.Победа, Азовский район, Ростовская область, к.н. 61:01:0041001:316 (1 шт.)
</t>
  </si>
  <si>
    <t xml:space="preserve">Установка прибора коммерческого учета электрической энергии (мощности) на границе земельного участка, подключенного от опоры №352-32/43 ВЛ-0,4 кВ №2 КТП 6/0,4 кВ №352 по ВЛ 6 кВ №207Н ПС 110/6/10 кВ НС-2 для технологического присоединения энергопринимающих устройств хозяйственной постройки Заявителя Шевелевой Е.Г., СТ «Квант», Азовский район, Ростовская область, к.н. 61:01:0502901:1468 (1 шт.)
</t>
  </si>
  <si>
    <t xml:space="preserve">Установка прибора коммерческого учета электрической энергии (мощности) на границе земельного участка, подключенного от опоры №358-4 ВЛ-0,4 кВ №1 КТП 10/0,4 кВ №358 по ВЛ 10 кВ №202Н ПС 110/6/10 кВ НС-2 для технологического присоединения энергопринимающих устройств жилого дома Заявителя Скворцовой О.В., ЗАО «Обильное», Азовский район, Ростовская область, к.н. 61:01:0600006:3832 (1 шт.)
</t>
  </si>
  <si>
    <t xml:space="preserve">Установка прибора коммерческого учета электрической энергии (мощности) на границе земельного участка, подключенного от опоры №88-7 ВЛ-0,4 кВ №1 КТП 10/0,4 кВ №88 по ВЛ 10 кВ №3127 ПС 110/35/10 кВ А-31 для технологического присоединения энергопринимающих устройств жилого дома Заявителя Еремеева В.А., с.Займо-Обрыв, Азовский район, Ростовская область, к.н. 61:01:0140401:3389 (1 шт.)
</t>
  </si>
  <si>
    <t xml:space="preserve">Установка прибора коммерческого учета электрической энергии (мощности) на границе земельного участка, подключенного от опоры №16-111 ВЛ-0,4 кВ №3 КТП 10/0,4 кВ №16 по ВЛ 10 кВ №2608 ПС 110/10 кВ А-26 для технологического присоединения энергопринимающих устройств жилого дома Заявителя Людной О.М., с. Кулешовка, Азовский район, Ростовская область, к.н. 61:01:0090101:8781 (1 шт.)
</t>
  </si>
  <si>
    <t xml:space="preserve">Установка прибора коммерческого учета электрической энергии (мощности) на границе земельного участка, подключенного от опоры №16-111 ВЛ-0,4 кВ №3 КТП 10/0,4 кВ №16 по ВЛ 10 кВ №2608 ПС 110/10 кВ А-26 для технологического присоединения энергопринимающих устройств жилого дома Заявителя Людной Т.В., с. Кулешовка, Азовский район, Ростовская область, к.н. 61:01:0090101:8773 (1 шт.)
</t>
  </si>
  <si>
    <t xml:space="preserve">Установка прибора коммерческого учета электрической энергии (мощности) на границе земельного участка, подключенного от опоры №174-67 ВЛ-0,4 кВ №6 КТП 10/0,4 кВ №174 по ВЛ 10 кВ №1011 ПС 110/35/10 кВ Самарская для технологического присоединения энергопринимающих устройств жилого дома Заявителя Алейниковой Я.И., с. Самарское, Азовский район, Ростовская область, к.н. 61:01:0600014:3742 (1 шт.)
</t>
  </si>
  <si>
    <t xml:space="preserve">Установка прибора коммерческого учета электрической энергии (мощности) на границе земельного участка, подключенного от опоры №б/н ВЛ-0,4 кВ КТП 10/0,4 кВ №203 (балансовая принадлежность СТ «Ягодка») по ВЛ 10 кВ №2608 ПС 110/10 кВ А-26 для технологического присоединения энергопринимающих устройств жилого дома Заявителя Юзбашева А.Э., с.Кулешовка, Азовский район, Ростовская область, к.н. 61:01:0501301:894 (1 шт.)
</t>
  </si>
  <si>
    <t xml:space="preserve">Установка прибора коммерческого учета электрической энергии (мощности) на границе земельного участка, подключенного от опоры №71-123 ВЛ-0,4 кВ №2 КТП 10/0,4 кВ №71 по ВЛ 10 кВ №105Н ПС 110/6/10 кВ НС-1 для технологического присоединения энергопринимающих устройств жилого дома Заявителя Дрюкова М.Ю., х. Усть-Койсуг, Азовский р-н, Ростовская область, к.н. 61:01:0030901:493 (1 шт.)
</t>
  </si>
  <si>
    <t xml:space="preserve">Установка прибора коммерческого учета электрической энергии (мощности) на границе земельного участка, подключенного от опоры №136-60 ВЛ-0,4 кВ №2 КТП 10/0,4 кВ №136 по ВЛ 10 кВ №803 ПС 35/10 кВ А-8 для технологического присоединения энергопринимающих устройств жилого дома Заявителя Баландиной Л.Н., с. Семибалки, Азовский р-н, Ростовская область, к.н. 61:01:0180101:1640 (1 шт.)
</t>
  </si>
  <si>
    <t>Установка прибора коммерческого учета электрической энергии (мощности) на границе земельного участка, подключенного от опоры №68-10 ВЛ-0,4 кВ №1 КТП 10/0,4 кВ №68 по ВЛ 10 кВ №1509 ПС 35/10 кВ А-15 для технологического присоединения энергопринимающих устройств жилого дома Заявителя Никитенко С.Н., х. Марков, Азовский р-н, Ростовская область, к.н. 61:01:0120401:106 (1 шт.)</t>
  </si>
  <si>
    <t xml:space="preserve">Установка прибора коммерческого учета электрической энергии (мощности) на границе земельного участка, подключенного от опоры №152-21 ВЛ-0,4 кВ №2 КТП 10/0,4 кВ №152 по ВЛ 10 кВ №1901 РП-19 ПС 110/35/10 кВ Самарская для технологического присоединения энергопринимающих устройств жилого дома Заявителя Товмасян Р.Г., п. Каяльский, Азовский район, Ростовская область, к.н. 61:01:0041201:290 (1 шт.)
</t>
  </si>
  <si>
    <t>Установка прибора коммерческого учета электрической энергии (мощности) на границе земельного участка, подключенного от опоры №61-48 ВЛ-0,4 кВ №2 КТП 10/0,4 кВ №61 по ВЛ 10 кВ №3207 ПС 110/35/10 кВ А-32 для технологического присоединения энергопринимающих устройств жилого дома Заявителя Хорунжий П.В., с. Александровка, Азовский район, Ростовская область, к.н. 61:01:0010101:1910 (1 шт)</t>
  </si>
  <si>
    <t>Установка прибора коммерческого учета электрической энергии (мощности) на границе земельного участка, подключенного от опоры №212-35 ВЛ-0,4 кВ №2 КТП 10/0,4 кВ №212 по ВЛ 10 кВ №910 ПС 35/10 кВ А-9 для технологического присоединения энергопринимающих устройств жилого дома Заявителя Сафьяновой О.С., ДНТ «Звездное», Азовский район, Ростовская область, к.н. 61:45:0000380:579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</si>
  <si>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ВЛ-0,4 кВ ( по договору ТП № 61-1-22-00635581 от 22.03.2022г. с заявителем Шулеповой А.Т.) КТП 10/0,4 кВ №358 по ВЛ 10 кВ №202Н ПС 110/6/10 кВ НС-2 для технологического присоединения энергопринимающих устройств жилого дома Заявителя Симоненко Л.В., ЗАО «Обильное», Азовский район, Ростовская область, к.н. 61:01:0600006:6937 (1 шт)</t>
  </si>
  <si>
    <t>Установка прибора коммерческого учета электрической энергии (мощности) на границе земельного участка, подключенного от опоры №48-53 ВЛ-0,4 кВ №2 КТП 10/0,4 кВ №48 по ВЛ 10 кВ №1815 ПС 35/10 кВ А-18 для технологического присоединения энергопринимающих устройств жилого дома Заявителя Назаренко М.А., Азовский район, Ростовская область, к.н. 61:01:0600002:2651 (1 шт)</t>
  </si>
  <si>
    <t>Установка прибора коммерческого учета электрической энергии (мощности) на границе земельного участка, подключенного от опоры №39-37 ВЛ 0,4 кВ №3 КТП 10/0,4кВ №39 ВЛ 10кВ №1908 РП-19 ПС 110/35/10 кВ Самарская для технологического присоединения энергопринимающих устройств объекта базовой станции сотовой связи Заявителя ПАО «Ростелеком»., х. Бурхановка, Азовский район, Ростовская область, к.н. 61:01:0050101 (1 шт.)</t>
  </si>
  <si>
    <t>Установка прибора коммерческого учета электрической энергии (мощности) на границе земельного участка, подключенного от опоры №151-2 ВЛ 0,4 кВ №1 КТП 10/0,4кВ №151 ВЛ 10кВ №1101 ПС 35/10 кВ А-11 для технологического присоединения энергопринимающих устройств объекта закусочной Заявителя ИП Олефиренко Н.А., с. Кагальник, Азовский район, Ростовская область, к.н. 61:01:0060101:244 (1 шт.)</t>
  </si>
  <si>
    <t>Установка прибора коммерческого учета электрической энергии (мощности) на границе земельного участка, подключенного от опоры №147-59 ВЛ 0,4 кВ №1 КТП 10/0,4кВ №147 ВЛ 10кВ №1701 ПС 35/10 кВ А-17 для технологического присоединения энергопринимающих устройств объекта жилого дома Заявителя Олибаш Е.Ю., с. Круглое, Азовский район, Ростовская область, к.н. 61:01:0070101:8114 (1 шт.)</t>
  </si>
  <si>
    <t>Установка прибора коммерческого учета электрической энергии (мощности) на границе земельного участка, подключенного от опоры №185-74 ВЛ 0,4 кВ №4 КТП 10/0,4кВ №185 ВЛ 10кВ №106Н ПС 110/6/10 кВ НС-1 для технологического присоединения энергопринимающих устройств объекта жилого дома Заявителя Тевосян В.Е., с. Кулешовка, Азовский район, Ростовская область, к.н. 61:01:0090101:8747 (1 шт.)</t>
  </si>
  <si>
    <t>Установка прибора коммерческого учета электрической энергии (мощности) на границе земельного участка, подключенного от опоры №115-7 ВЛ 0,4 кВ №1 КТП 10/0,4кВ №115 ВЛ 10кВ №3125 ПС 110/35/10 кВ А-31 для технологического присоединения энергопринимающих устройств объекта жилого дома Заявителя Ротовой А.К., с. Пешково, Азовский район, Ростовская область, к.н. 61:01:0140101:8442 (1 шт.)</t>
  </si>
  <si>
    <t>Установка прибора коммерческого учета электрической энергии (мощности) на границе земельного участка, подключенного от опоры №42-54 ВЛ 0,4 кВ №2 КТП 10/0,4кВ №42 ВЛ 10кВ №1802 ПС 35/10 кВ А-18 для технологического присоединения энергопринимающих устройств объекта жилого дома Заявителя Ковалева Н.Р., х. Рогожкино, Азовский район, Ростовская область, к.н. 61:01:0160101:3119 (1 шт.)</t>
  </si>
  <si>
    <t>Установка прибора коммерческого учета электрической энергии (мощности) на границе земельного участка, подключенного от опоры №120-12 ВЛ 0,4 кВ №1 КТП 10/0,4кВ №120 ВЛ 10кВ №1107 ПС 35/10 кВ А-11 для технологического присоединения энергопринимающих устройств объекта жилого дома Заявителя Родинцевой О.В., с. Кагальник, Азовский район, Ростовская область, к.н. 61:01:0060101:2654 (1 шт.)</t>
  </si>
  <si>
    <t>Установка прибора коммерческого учета электрической энергии (мощности) на границе земельного участка, подключенного от опоры №12-35 ВЛ 0,4 кВ №1 КТП 10/0,4кВ №12 ВЛ 10кВ №3203 ПС 110/35/10 кВ А-32 для технологического присоединения энергопринимающих устройств объекта жилого дома Заявителя Алисберг Е.Н., с. Александровка, Азовский район, Ростовская область, к.н. 61:01:0010101:7611 (1 шт.)</t>
  </si>
  <si>
    <t>Установка прибора коммерческого учета электрической энергии (мощности) на границе земельного участка, подключенного от опоры №82-73 ВЛ 0,4 кВ №2 КТП 10/0,4кВ №82 ВЛ 10кВ №1802 ПС 35/10 кВ А-18 для технологического присоединения энергопринимающих устройств объекта жилого дома Заявителя Каранда Е.К., х. Рогожкино, Азовский район, Ростовская область, к.н. 61:01:0160101:3648 (1 шт.)</t>
  </si>
  <si>
    <t>Установка прибора коммерческого учета электрической энергии (мощности) на границе земельного участка, подключенного от опоры №141-71 ВЛ 0,4 кВ №2 КТП 10/0,4кВ №141 ВЛ 10кВ №802 ПС 35/10 кВ А-8 для технологического присоединения энергопринимающих устройств объекта жилого дома Заявителя Кулиш Я.В., с. Семибалки, Азовский район, Ростовская область, к.н. 61:01:0180101:4427 (1 шт.)</t>
  </si>
  <si>
    <t>Установка прибора коммерческого учета электрической энергии (мощности) на границе земельного участка, подключенного от опоры №119-7 ВЛ 0,4 кВ №1 КТП 10/0,4кВ №119 ВЛ 10кВ №1314 ПС 35/10 кВ А-13 для технологического присоединения энергопринимающих устройств объекта жилого дома Заявителя Ауловой Н.К., с. Елизаветовка, Азовский район, Ростовская область, к.н. 61:01:020101:0094 (1 шт.)</t>
  </si>
  <si>
    <t>Установка прибора коммерческого учета электрической энергии (мощности) на границе земельного участка, подключенного от опоры №187-4 ВЛ 0,4 кВ №2 КТП 10/0,4кВ №187 ВЛ 10кВ №106Н ПС 110/6/10 кВ НС-1 для технологического присоединения энергопринимающих устройств объекта жилого дома Заявителя Тоноян А.Н., ДНТ «Кулешовка», Азовский район, Ростовская область, к.н. 61:01:0600006:1453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</si>
  <si>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 балансовая принадлежность Котиева Т.М.) ВЛ 10кВ №211 ПС 35/10 кВ А-2 для технологического присоединения энергопринимающих устройств объекта жилого дома Заявителя Мироновой А.С., х. Новоалександровка, Азовский район, Ростовская область, к.н. 61:01:0600005:3020 (1 шт.)</t>
  </si>
  <si>
    <t>Установка прибора коммерческого учета электрической энергии (мощности) на границе земельного участка, подключенного от опоры №25-99 ВЛ 0,4 кВ №3 КТП 10/0,4кВ №25 ВЛ 10кВ №1815 ПС 35/10 кВ А-18 для технологического присоединения энергопринимающих устройств объекта жилого дома Заявителя Кугеева С.Г., х. Колузаево, Азовский район, Ростовская область, к.н. 61:01:0030501:1768 (1 шт.)</t>
  </si>
  <si>
    <t>Установка прибора коммерческого учета электрической энергии (мощности) на границе земельного участка, подключенного от опоры №79-35 ВЛ 0,4 кВ №2 КТП 10/0,4кВ №79 ВЛ 10кВ №1701 ПС 35/10 кВ А-17 для технологического присоединения энергопринимающих устройств объекта жилого дома Заявителя Калайчиди Е.А., с. Круглое, Азовский район, Ростовская область, к.н. 61:01:0070101:2257 (1 шт.)</t>
  </si>
  <si>
    <t>Установка прибора коммерческого учета электрической энергии (мощности) на границе земельного участка, подключенного от опоры №174-8 ВЛ 0,4 кВ №1 КТП 10/0,4кВ №174 ВЛ 10кВ №3105 ПС 110/35/10 кВ А-31 для технологического присоединения энергопринимающих устройств объекта жилого дома Заявителя Тамазиной Г.И., с. Займо-Обрыв, Азовский район, Ростовская область, к.н. 61:01:0140401:3308 (1 шт.)</t>
  </si>
  <si>
    <t>Установка прибора коммерческого учета электрической энергии (мощности) на границе земельного участка, подключенного от опоры №152-16 ВЛ 0,4 кВ №1 КТП 10/0,4кВ №152 ВЛ 10кВ №1107 ПС 35/10 кВ А-11 для технологического присоединения энергопринимающих устройств объекта жилого дома Заявителя Уланкина Н.В., с. Кагальник, Азовский район, Ростовская область, к.н. 61:01:0060101:12868 (1 шт.)</t>
  </si>
  <si>
    <t>Установка прибора коммерческого учета электрической энергии (мощности) на границе земельного участка, подключенного от опоры №111-77 ВЛ 0,4 кВ №3 КТП 10/0,4кВ №111 ВЛ 10кВ №3113 ПС 110/35/10 кВ А-31 для технологического присоединения энергопринимающих устройств объекта жилого дома Заявителя Роменской А.С., с. Пешково, Азовский район, Ростовская область, к.н. 61:01:0140101:8885 (1 шт.)</t>
  </si>
  <si>
    <t>Установка прибора коммерческого учета электрической энергии (мощности) на границе земельного участка, подключенного от опоры №136-6 ВЛ 0,4 кВ №1 КТП 10/0,4кВ №136 ВЛ 10кВ №1515 ПС 35/10 кВ А-15 для технологического присоединения энергопринимающих устройств объекта нежилого помещения Заявителя ИП Дахнов В.А., х. Харьковский, Азовский район, Ростовская область, к.н. 61:01:0080501:215 (1 шт.)</t>
  </si>
  <si>
    <t>Установка прибора коммерческого учета электрической энергии (мощности) на границе земельного участка, подключенного от опоры №175-64 ВЛ 0,4 кВ №2 КТП 10/0,4кВ №175 ВЛ 10кВ №3105 ПС 110/35/10 кВ А-31 для технологического присоединения энергопринимающих устройств объекта жилого дома Заявителя Литвиненко Л.Н., с. Займо-Обрыв, Азовский район, Ростовская область, к.н. 61:01:0140401:31 (1 шт.)</t>
  </si>
  <si>
    <t>Установка прибора коммерческого учета электрической энергии (мощности) на границе земельного участка, подключенного от опоры №48-30 ВЛ 0,4 кВ №2 КТП 10/0,4кВ №48 ВЛ 10кВ №1815 ПС 35/10 кВ А-18 для технологического присоединения энергопринимающих устройств объекта жилого дома Заявителя Никулиной Д.И., Рыболовецкий колхоз им. Ленина, Азовский район, Ростовская область, к.н. 61:01:0600001:2511 (1 шт.)</t>
  </si>
  <si>
    <t>Установка прибора коммерческого учета электрической энергии (мощности) на границе земельного участка, подключенного от опоры №136-44 ВЛ 0,4 кВ №2 КТП 10/0,4кВ №136 ВЛ 10кВ №3113 ПС 110/35/10 кВ А-31 для технологического присоединения энергопринимающих устройств объекта жилого дома Заявителя Пыченкова С.В., с. Пешково, Азовский район, Ростовская область, к.н. 61:01:0140101:8712 (1 шт.)</t>
  </si>
  <si>
    <t>Установка прибора коммерческого учета электрической энергии (мощности) на границе земельного участка, подключенного от опоры №48-97 ВЛ 0,4 кВ №1 КТП 10/0,4кВ №48 ВЛ 10кВ №1815 ПС 35/10 кВ А-18 для технологического присоединения энергопринимающих устройств объекта жилого дома Заявителя Михайловой Д.В., Рыболовецкий колхоз им. Ленина, Азовский район, Ростовская область, к.н. 61:01:0600002:3300 (1 шт.)</t>
  </si>
  <si>
    <t>Установка прибора коммерческого учета электрической энергии (мощности) на границе земельного участка, подключенного от опоры №185-73 ВЛ 0,4 кВ №4 КТП 10/0,4кВ №185 ВЛ 10кВ №106Н ПС 110/6/10 кВ НС-1 для технологического присоединения энергопринимающих устройств объекта жилого дома Заявителя Белоусовой С.В., с. Кулешовка, Азовский район, Ростовская область, к.н. 61:01:0090101:8820 (1 шт.)</t>
  </si>
  <si>
    <t>Установка прибора коммерческого учета электрической энергии (мощности) на границе земельного участка, подключенного от опоры №100-6 ВЛ-0,4 кВ №1 КТП 10/0,4 кВ №100 по ВЛ 10 кВ №2412 ПС 35/10 кВ А-24 для технологического присоединения энергопринимающих устройств жилого дома Заявителя Шамоян К.Ш., х. Лагутник, Азовский район, Ростовская область, к.н. 61:01:0160201:19 (1 шт)</t>
  </si>
  <si>
    <t>Установка прибора коммерческого учета электрической энергии (мощности) на границе земельного участка, подключенного от опоры №57-7 ВЛ-0,4 кВ №1 КТП 10/0,4 кВ №57 по ВЛ 10 кВ №3127 ПС 110/35/10 кВ А-31 для технологического присоединения энергопринимающих устройств жилого дома Заявителя Николенко А.В., х. Береговой, Азовский район, Ростовская область, к.н. 61:01:140201:0020 (1 шт)</t>
  </si>
  <si>
    <t>Установка прибора коммерческого учета электрической энергии (мощности) на границе земельного участка, подключенного от опоры №73-83 ВЛ 0,4 кВ №2 КТП 10/0,4кВ №73 ВЛ 10кВ №507 ПС 35/10 кВ А-5 для технологического присоединения энергопринимающих устройств объекта жилого дома Заявителя Калинина Н.М., с. Советский Дар, Азовский район, Ростовская область, к.н. 61:01:0120801:91 (1 шт.)</t>
  </si>
  <si>
    <t>Установка прибора коммерческого учета электрической энергии (мощности) на границе земельного участка, подключенного от опоры №89-9 ВЛ-0,4 кВ №1 КТП 10/0,4 кВ №89 по ВЛ 10 кВ №1815 ПС 35/10 кВ А-18 для технологического присоединения энергопринимающих устройств жилого дома Заявителя Николаева В.А., х. Обуховка, Азовский район, Ростовская область, к.н. 61:01:0030801:1042 (1 шт)</t>
  </si>
  <si>
    <t>Установка прибора коммерческого учета электрической энергии (мощности) на границе земельного участка, подключенного от опоры №4-25 ВЛ-0,4 кВ №1 КТП 10/0,4 кВ №4 (безхозная) по ВЛ 10 кВ №1702 ПС 35/10 кВ А-17 для технологического присоединения энергопринимающих устройств жилого дома Заявителя Панькина С.В., с. Стефанидинодар, Азовский район, Ростовская область, к.н. 61:01:0070201:1154 (1 шт)</t>
  </si>
  <si>
    <t>Установка прибора коммерческого учета электрической энергии (мощности) на границе земельного участка, подключенного от опоры №334-26 ВЛ-0,4 кВ №1 КТП 10/0,4 кВ №334 по ВЛ 10 кВ №202Н ПС 110/6/10 кВ НС-2 для технологического присоединения энергопринимающих устройств жилого дома Заявителя Шулепова Г.А., ЗАО «Обильное», Азовский район, Ростовская область, к.н. 61:01:0600006:3822 (1 шт)</t>
  </si>
  <si>
    <t>Установка прибора коммерческого учета электрической энергии (мощности) на границе земельного участка, подключенного от опоры №б/н ВЛ-0,4 кВ КТП 10/0,4 кВ №279 (балансовая принадлежность ИП Усачев В.И. (п.Беловодье) по ВЛ 10 кВ №1815 ПС 35/10 кВ А-18 для технологического присоединения энергопринимающих устройств жилого дома Заявителя Саксельцевой Е.В., х. Обуховка, Азовский район, Ростовская область, к.н. 61:01:0600002:807 (1 шт)</t>
  </si>
  <si>
    <t>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проектируемой ВЛ 0,4 кВ (по договору ТП № 61-1-22-00631505 от 01.03.2022г.) КТП 10/0,4 кВ №184 ВЛ-10 кВ №3113 ПС 110/35/10 кВ А-31 для технологического присоединения энергопринимающих устройств жилого дома Заявителя Кузьменко В.Ю., с. Пешково, Азовский район, Ростовская область, к.н. 61:01:0140101:9115 (1 шт.)</t>
  </si>
  <si>
    <t>Установка прибора коммерческого учета электрической энергии (мощности) на границе земельного участка, подключенного от опоры №71-127 ВЛ 0,4 кВ №2 КТП 10/0,4кВ №71 ВЛ 10кВ №105Н ПС 110/6/10 кВ НС-1 для технологического присоединения энергопринимающих устройств жилого дома Заявителя Швед Т.И., х. Усть-Койсуг, Азовский район, Ростовская область, к.н. 61:01:0030901:39 (1 шт.)</t>
  </si>
  <si>
    <t>Установка прибора коммерческого учета электрической энергии (мощности) на границе земельного участка, подключенного от опоры №226-151 ВЛ 0,4 кВ №3 КТП 10/0,4кВ №226 ВЛ 10кВ №2608 ПС 110/10 кВ А-26 для технологического присоединения энергопринимающих устройств объекта жилого дома Заявителя Яковлевой А.А, Азовский район, Ростовская область, к.н. 61:01:0502401:7373 (1 шт.)</t>
  </si>
  <si>
    <t>Установка прибора коммерческого учета электрической энергии (мощности) на границе земельного участка, подключенного от опоры №106-1 ВЛ 0,4 кВ №1 КТП 10/0,4кВ №106 ВЛ 10кВ №105Н ПС 110/6/10 кВ НС-1 для технологического присоединения энергопринимающих устройств жилого дома Заявителя Пешковой Ю.В., х. Усть-Койсуг, Азовский район, Ростовская область, к.н. 61:01:0030901:476 (1 шт.)</t>
  </si>
  <si>
    <t>Установка прибора коммерческого учета электрической энергии (мощности) на границе земельного участка, подключенного от опоры №118-125 ВЛ 0,4кВ №3 КТП 10/0,4 кВ №118 ВЛ 10кВ №1101 ПС 35/10 кВ А-11 для технологического присоединения энергопринимающих устройств жилого дома Заявителя Колодяжного В.Н., с. Кагальник, Азовский район, Ростовская область, к.н. 61:01:0060101:3920 (1 шт.)</t>
  </si>
  <si>
    <t xml:space="preserve"> Установка прибора коммерческого учета электрической энергии (мощности) на границе земельного участка, подключенного от опоры №381-49 ВЛ 0,4 кВ №1 КТП 10/0,4кВ №381 ВЛ 10кВ №106Н ПС 110/6/10 кВ НС-1 для технологического присоединения энергопринимающих устройств объекта жилого дома Заявителя Кибасовой И.Г., ДНТ СН «Кулешовка-2», Азовский район, Ростовская область, к.н. 61:01:0600006:8024 (1 шт.)</t>
  </si>
  <si>
    <t>Установка прибора коммерческого учета электрической энергии (мощности) на границе земельного участка, подключенного от опоры №136-21 ВЛ 0,4 кВ №2 КТП 10/0,4кВ №136 ВЛ 10кВ №1107 ПС 35/10 кВ А-11 для технологического присоединения энергопринимающих устройств объекта жилого дома Заявителя Фоминой Н.В., х. Узяк, Азовский район, Ростовская область, к.н. 61:01:0060501:470 (1 шт.)</t>
  </si>
  <si>
    <t>Установка прибора коммерческого учета электрической энергии (мощности) на границе земельного участка, подключенного от опоры №160-131 ВЛ 0,4 кВ №1 КТП 10/0,4кВ №160 ВЛ 10кВ №1101 ПС 35/10 кВ А-11 для технологического присоединения энергопринимающих устройств объекта жилого дома Заявителя Павлятенко В.Ф., с. Кагальник, Азовский район, Ростовская область, к.н. 61:01:0060101:12855 (1 шт.)</t>
  </si>
  <si>
    <t>Установка прибора коммерческого учета электрической энергии (мощности) на границе земельного участка, подключенного от опоры №48-36 ВЛ 0,4 кВ №2 КТП 10/0,4кВ №48 ВЛ 10кВ №1107 ПС 35/10 кВ А-11 для технологического присоединения энергопринимающих устройств объекта жилого дома Заявителя Бойко В.А., с. Кагальник, Азовский район, Ростовская область, к.н. 61:01:0060101:12820 (1 шт.)</t>
  </si>
  <si>
    <t>Установка прибора коммерческого учета электрической энергии (мощности) на границе земельного участка, подключенного от опоры №240-147 ВЛ 0,4 кВ №3 КТП 10/0,4кВ №240 ВЛ 10кВ №106Н ПС 110/6/10 кВ НС-1 для технологического присоединения энергопринимающих устройств объекта жилого дома Заявителя Табанакова О.А., п. Овощной, Азовский район, Ростовская область, к.н. 61:01:0130101:5161 (1 шт.)</t>
  </si>
  <si>
    <t>Установка прибора коммерческого учета электрической энергии (мощности) на границе земельного участка, подключенного от опоры №240-147 ВЛ 0,4 кВ №3 КТП 10/0,4кВ №240 ВЛ 10кВ №106Н ПС 110/6/10 кВ НС-1 для технологического присоединения энергопринимающих устройств объекта жилого дома Заявителя Маловичко П.Н., п. Овощной, Азовский район, Ростовская область, к.н. 61:01:0130101:5160 (1 шт.)</t>
  </si>
  <si>
    <t>Установка прибора коммерческого учета электрической энергии (мощности) на границе земельного участка, подключенного от опоры №89-25 ВЛ 0,4 кВ №2 КТП 10/0,4кВ №89 ВЛ 10кВ №1014 ПС 110/35/10 кВ Самарская для технологического присоединения энергопринимающих устройств объекта жилого дома Заявителя Смородского В.Ю., х. Ельбузд, Азовский район, Ростовская область, к.н. 61:01:0041301:43 (1 шт.)</t>
  </si>
  <si>
    <t xml:space="preserve"> Установка прибора коммерческого учета электрической энергии (мощности) на границе земельного участка, подключенного от опоры №74-58 ВЛ 0,4 кВ №2 КТП 10/0,4кВ №74 ВЛ 10кВ №613 ПС 35/10 кВ А-6 для технологического присоединения энергопринимающих устройств объекта жилого дома Заявителя Головченко В.А., с. Новомаргаритово, Азовский район, Ростовская область, к.н. 61:01:0100201:280 (1 шт.)</t>
  </si>
  <si>
    <t>Установка прибора коммерческого учета электрической энергии (мощности) на границе земельного участка, подключенного от опоры №316-5 ВЛ 0,4 кВ №1 КТП 10/0,4кВ №316 ВЛ 10кВ №211 ПС 35/10 кВ А-2 для технологического присоединения энергопринимающих устройств объекта жилого дома Заявителя Жеребило А.В., х. Новоалександровка, Азовский район, Ростовская область, к.н. 61:01:0600005:1837 (1 шт.)</t>
  </si>
  <si>
    <t>Установка прибора коммерческого учета электрической энергии (мощности) на границе земельного участка, подключенного от опоры №151-2 ВЛ 0,4 кВ №1 КТП 10/0,4кВ №151 ВЛ 10кВ №1101 ПС 35/10 кВ А-11 для технологического присоединения энергопринимающих устройств объекта объекта торговли Заявителя ИП Олефиренко Н.А., с. Кагальник, Азовский район, Ростовская область, к.н. 61:01:0060101:0244 (1 шт.)</t>
  </si>
  <si>
    <t>Установка прибора коммерческого учета электрической энергии (мощности) на границе земельного участка, подключенного от опоры №98-2 ВЛ 0,4 кВ №2 КТП 10/0,4кВ №98 ВЛ 10кВ №1815 ПС 35/10 кВ А-18 для технологического присоединения энергопринимающих устройств объекта жилого дома Заявителя Рябых И.Г., х. Колузаево, Азовский район, Ростовская область, к.н. 61:01:0600002:2577 (1 шт.)</t>
  </si>
  <si>
    <t>Установка прибора коммерческого учета электрической энергии (мощности) на границе земельного участка, подключенного от опоры №121-1 ВЛ 0,4 кВ №1 КТП 10/0,4кВ №128 ВЛ 10кВ №1101 ПС 35/10 кВ А-11 для технологического присоединения энергопринимающих устройств объекта жилого дома Заявителя Дробышевой К.В., с. Кагальник, Азовский район, Ростовская область, к.н. 61:01:0060101:3127 (1 шт.)</t>
  </si>
  <si>
    <t>Установка прибора коммерческого учета электрической энергии (мощности) на границе земельного участка, подключенного от опоры №115-93 ВЛ 0,4 кВ №1 КТП 10/0,4кВ №115 ВЛ 10кВ №3125 ПС 110/35/10 кВ А-31 для технологического присоединения энергопринимающих устройств объекта малоэтажной жилой застройки Заявителя Маркеловой Е.В., с. Пешково, Азовский район, Ростовская область, к.н. 61:01:0140101:8414 (1 шт.)</t>
  </si>
  <si>
    <t>Установка прибора коммерческого учета электрической энергии (мощности) на границе земельного участка, подключенного от опоры №153-56 ВЛ 0,4 кВ №2 КТП 10/0,4кВ №153 ВЛ 10кВ №915 ПС 35/10 кВ А-9 для технологического присоединения энергопринимающих устройств объекта базовой станции сотовой связи Заявителя ПАО «Ростелеком»., с. Платоно-Петровка, Азовский район, Ростовская область, к.н. 61:01:0110601:362 (1 шт.)</t>
  </si>
  <si>
    <t>Установка прибора коммерческого учета электрической энергии (мощности) на границе земельного участка, подключенного от опоры №167-35 ВЛ 0,4 кВ №2 КТП 10/0,4кВ №167 ВЛ 10кВ №106Н ПС 110/35/10 кВ НС-1 для технологического присоединения энергопринимающих устройств объекта жилого дома Заявителя Раджабова К.Р., территория ДНТ «Кулешовка», Азовский район, Ростовская область, к.н. 61:01:0600006:1510 (1 шт.)</t>
  </si>
  <si>
    <t>Установка прибора коммерческого учета электрической энергии (мощности) на границе земельного участка, подключенного от проектируемой ВЛ 0,4 кВ (по договору ТП № 61-1-21-00609887 от 27.10.2021г.) МТП 10/0,4 кВ №311 ВЛ 10кВ №106Н ПС 110/6/10 кВ НС-1 для технологического присоединения энергопринимающих устройств жилого дома Заявителя Архипенко Н.Д., ТСН «СНТ Белгорос»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</si>
  <si>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№381-7 ВЛ 0,4 кВ №1 КТП 10/0,4кВ №381 ВЛ 10кВ №106Н ПС 110/10/6 кВ НС-1 для технологического присоединения энергопринимающих устройств нежилого здания Заявителя ИП Бречко И.А., ДНТ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</si>
  <si>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№135-140 ВЛ-0,4 №4 КТП-135 ВЛ-10 805 ПС 110 кВ БОС для технологического присоединения энергопринимающих устройств малоэтажной жилой застройки Заявителя Андреевой Е.В., Ростовская область, Кагальницкий р-н, п. Мокрый Батай, ул. Школьная д.19 к.н. 61:14:0060103:4 (1 шт.)</t>
  </si>
  <si>
    <t>Установка прибора коммерческого учета электрической энергии (мощности) на границе земельного участка, подключенного от опоры №17-24 ВЛ-0,4 №2 КТП-17 ВЛ-10 605 ПС 35 кВ КГ6 для технологического присоединения энергопринимающих устройств объекта малоэтажной жилой застройки Заявителя Гук Н.Н., Ростовская область, Кагальницкий, с. Новобатайск   пер. Калининский д.52-А   к.н. 61:14:0040148:129 (1 шт.)</t>
  </si>
  <si>
    <t>Установка прибора коммерческого учета электрической энергии (мощности) на границе земельного участка, подключенного от опоры №137-83 ВЛ-0,4 №3 КТП-137 ВЛ-10 605 ПС 35 кВ КГ6 для технологического присоединения энергопринимающих устройств объекта малоэтажной жилой застройки Заявителя Лященко В.В., Ростовская область, Кагальницкий, с. Новобатайск   пер. Маяковского д.11   к.н. 61:14:0040148:129 (1 шт.)</t>
  </si>
  <si>
    <t>Установка прибора коммерческого учета электрической энергии (мощности) на границе земельного участка, подключенного от опоры №194-13  ВЛ-0,4 №4 КТП-194 ВЛ-10 313  ПС 35 кВ КГ3 для технологического присоединения  энергопринимающих устройств объекта торговли Заявителя Обертышев С.С. Ростовская область, Кагальницкий р-н, ст. Кировская, ул. Кирова д.8Б к.н.: 61:14:0050129:383(1 шт.)</t>
  </si>
  <si>
    <t>Установка прибора коммерческого учета электрической энергии (мощности) на границе земельного участка, подключенного от опоры №13-26 ВЛ-0,4 №1 КТП-13 ВЛ-10 501 ПС 35 кВ ЗР5 для технологического присоединения энергопринимающих устройств ЛПХ Заявителя Решетниковой О.В., Ростовская область, Зерноградский р-н, х. Большие Эльбуздовские, ул. Береговая д.1 к.н. 61:12:0011401:62 (1 шт.)</t>
  </si>
  <si>
    <t>Установка прибора коммерческого учета электрической энергии (мощности) на границе земельного участка, подключенного оп. № 405-1   ВЛ-0,4 №1 КТП-405 ВЛ-10  904  ПС 110кВ Балко-Грузская для технологического присоединения энергопринимающих устройств нежилое помещение  Заявителя АО «Почта России», Ростовская область, Егорлыкский р-он, х. Балко-Грузский, ул. Молодежная,  д. 22/2, кадастровый номер земельного участка: 61:10:0020101:1118. (1 шт.)</t>
  </si>
  <si>
    <t>Установка прибора коммерческого учета электрической энергии (мощности) на границе земельного участка, подключенного от № 251-3   ВЛ-0,4 № 1 КТП-251 ВЛ-10  904 ПС 110кВ Балко-Грузская для технологического присоединения энергопринимающих устройств нежилого помещения (склад) Заявителя Музалева А.А., Ростовская область, Егорлыкский р-он, 460м. на север от северной окраины х.Балко-Грузский, кадастровый номер присоединяемого объекта и (или) земельного участка на котором расположен присоединяемый объект: 61:10:0600011:1328 (1 шт.)</t>
  </si>
  <si>
    <t xml:space="preserve">Установка прибора коммерческого учета электрической энергии (мощности) на границе земельного участка, подключенного на on. № 103-33 ВЛ-0,4 №1 КТП-103 ВЛ-10 702 ПС 35кВ Е-7 для технологического присоединения энергопринимающих устройств нежилой застройки Заявителя Администрация Егорлыкского сельского поселения, Ростовская область, Егорлыкский р-он, х. Таганрогский, ул. Ленина, д. 40, кадастровый номер земельного участка: 61:10:0010101:1443. (1 шт.)  </t>
  </si>
  <si>
    <t xml:space="preserve">Установка прибора коммерческого учета электрической энергии (мощности) на границе земельного участка, подключенного от опоры №48-60 ВЛ-0,4 кВ №2 КТП 10/0,4 кВ №48 по ВЛ 10 кВ №1815 ПС 35/10 кВ А-18 для технологического присоединения энергопринимающих устройств жилого дома Заявителя Варданян К.С., Азовский район, Ростовская область, к.н. 61:01:0600002:2652 (1 шт.)
</t>
  </si>
  <si>
    <t xml:space="preserve">Установка прибора коммерческого учета электрической энергии (мощности) на границе земельного участка, подключенного от опоры №18-22 ВЛ-0,4 кВ №1 КТП 10/0,4 кВ №18 по ВЛ 10 кВ №1815 ПС 35/10 кВ А-18 для технологического присоединения энергопринимающих устройств жилого дома Заявителя Швачевой И.Л., х. Курган, Азовский р-н, Ростовская область, к.н. 61:01:0030701:631 (1 шт.)
</t>
  </si>
  <si>
    <t>Установка прибора коммерческого учета электрической энергии (мощности) на границе земельного участка, подключенного от опоры №97-12 ВЛ 0,4 кВ №1 КТП 10/0,4кВ №97 ВЛ 10кВ №2907 РП-29 35/10 кВ А-18 для технологического присоединения энергопринимающих устройств объекта жилого дома Заявителя Величко Л.А., х. Казачий Ерик, Азовский район, Ростовская область, к.н. 61:01:0600002:1319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</si>
  <si>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№9 ВЛ 10кВ №1815 ПС 35/10 кВ А-18 для технологического присоединения энергопринимающих устройств объекта жилого дома Заявителя Миклюкова М.Ю, х. Городище, Азовский район, Ростовская область, к.н. 61:01:0600002:1707 (1 шт.)</t>
  </si>
  <si>
    <t>Установка прибора коммерческого учета электрической энергии (мощности) на границе земельного участка, подключенного от опоры №28-1 ВЛ 0,4 кВ №1 КТП 10/0,4кВ №28 ВЛ 10кВ №1815 ПС 35/10 кВ А-18 для технологического присоединения энергопринимающих устройств объекта жилого дома Заявителя Река А.Ю., х. Курган, Азовский район, Ростовская область, к.н. 61:01:0030701:543 (1 шт.)</t>
  </si>
  <si>
    <t>Установка прибора коммерческого учета электрической энергии (мощности) на границе земельного участка, подключенного от опоры №186-28 ВЛ 0,4 кВ №3 КТП 10/0,4кВ №186 ВЛ 10кВ №3113 ПС 110/35/10 кВ А-31 для технологического присоединения энергопринимающих устройств объекта нежилое помещение Заявителя Мироненко А.М., с. Пешково, Азовский район, Ростовская область, к.н. 61:01:0140101:8908 (1 шт.)</t>
  </si>
  <si>
    <t>Установка прибора коммерческого учета электрической энергии (мощности) на границе земельного участка, подключенного от опоры №101-54 ВЛ 0,4 кВ №2 КТП 10/0,4кВ №101 ВЛ 10кВ №2412 ПС 35/10 кВ А-24 для технологического присоединения энергопринимающих устройств объекта жилого дома Заявителя Акушко О.С., х. Полушкин, Азовский район, Ростовская область, к.н. 61:01:0160301:922 (1 шт.)</t>
  </si>
  <si>
    <t>Установка прибора коммерческого учета электрической энергии (мощности) на границе земельного участка, подключенного от опоры №249-14 ВЛ 0,4 кВ №1 КТП 10/0,4кВ №249 ВЛ 10кВ №2907 РП-29 ПС 35/10 кВ А-18 для технологического присоединения энергопринимающих устройств объекта жилого дома Заявителя Козырь Е.П., с/т. Энтузиаст, Азовский район, Ростовская область, к.н. 61:01:0500401:1320 (1 шт.)</t>
  </si>
  <si>
    <t>Установка прибора коммерческого учета электрической энергии (мощности) на границе земельного участка, подключенного от опоры №365-12 ВЛ 0,4 кВ №1 КТП 10/0,4кВ №365 ВЛ 10кВ №107Н ПС 110/6/10 кВ НС-1 для технологического присоединения энергопринимающих устройств объекта нежилой застройки Заявителя ИП Авдалян А.В., п. Овощной, Азовский район, Ростовская область, к.н. 61:01:0600006:1901 (1 шт.)</t>
  </si>
  <si>
    <t>Установка прибора коммерческого учета электрической энергии (мощности) на границе земельного участка, подключенного от опоры №43-24 ВЛ 0,4 кВ №1 КТП 10/0,4кВ №43 ВЛ 10кВ №105Н ПС 110/6/10 кВ НС-1 для технологического присоединения энергопринимающих устройств объекта жилого дома Заявителя Полисмак О.В, х. Шмат, Азовский район, Ростовская область, к.н. 61:01:0031001:301 (1 шт.)</t>
  </si>
  <si>
    <t>Установка прибора коммерческого учета электрической энергии (мощности) на границе земельного участка, подключенного от опоры №249-20 ВЛ 0,4 кВ №2 КТП 10/0,4кВ №249 ВЛ 10кВ №2907 РП-29 ПС 35/10 кВ А-18 для технологического присоединения энергопринимающих устройств объекта жилого дома Заявителя Шевченко Е.В., х. Курган, Азовский район, Ростовская область, к.н. 61:01:0500401:163 (1 шт.)</t>
  </si>
  <si>
    <t>Установка прибора коммерческого учета электрической энергии (мощности) на границе земельного участка, подключенного от опоры №365-10 ВЛ 0,4 кВ №1 КТП 10/0,4кВ №365 ВЛ 10кВ №107Н ПС 110/6/10 кВ НС-1 для технологического присоединения энергопринимающих устройств объекта нежилой застройки Заявителя Булат О.А., ДНТ «Задонье», Азовский район, Ростовская область, к.н. 61:01:0600006:9810 (1 шт.)</t>
  </si>
  <si>
    <t>Установка прибора коммерческого учета электрической энергии (мощности) на границе земельного участка, подключенного от опоры №41-13 ВЛ 0,4 кВ №1 ЗТП 10/0,4кВ №41 (бесхозная) ВЛ 10кВ №2608 ПС 110/10 кВ А-26 для технологического присоединения энергопринимающих устройств объекта нежилой застройки Заявителя ИП Манукова И.С., с. Кулешовка, Азовский район, Ростовская область, к.н. 61:01:0090102:2618 (1 шт.)</t>
  </si>
  <si>
    <t>Установка прибора коммерческого учета электрической энергии (мощности) на границе земельного участка, подключенного от опоры №226-143 ВЛ 0,4 кВ №3 КТП 10/0,4кВ №226 ВЛ 10кВ №2608 ПС 110/10 кВ А-26 для технологического присоединения энергопринимающих устройств объекта жилого дома Заявителя Ушенко Т.В., ДНТ «Ягодка-2», Азовский район, Ростовская область, к.н. 61:01:0502401:418 (1 шт.)</t>
  </si>
  <si>
    <t>Установка прибора коммерческого учета электрической энергии (мощности) на границе земельного участка, подключенного от опоры №381-89 ВЛ 0,4 кВ №1 КТП 10/0,4кВ №381 ВЛ 10кВ №106Н ПС 110/6/10 кВ НС-1 для технологического присоединения энергопринимающих устройств объекта жилого дома Заявителя Мартиросян А.С., ДНТ «Кулешовка», Азовский район, Ростовская область, к.н. 61:01:0600006:10212 (1 шт.)</t>
  </si>
  <si>
    <t>Установка прибора коммерческого учета электрической энергии (мощности) на границе земельного участка, подключенного от опоры №381-90 ВЛ 0,4 кВ №1 КТП 10/0,4кВ №381 ВЛ 10кВ №106Н ПС 110/6/10 кВ НС-1 для технологического присоединения энергопринимающих устройств объекта жилого дома Заявителя Мартиросян А.С., ДНТ «Кулешовка», Азовский район, Ростовская область, к.н. 61:01:0600006:10214 (1 шт.)</t>
  </si>
  <si>
    <t>Установка прибора коммерческого учета электрической энергии (мощности) на границе земельного участка, подключенного от опоры №381-90 ВЛ 0,4 кВ №1 КТП 10/0,4кВ №381 ВЛ 10кВ №106Н ПС 110/6/10 кВ НС-1 для технологического присоединения энергопринимающих устройств объекта жилого дома Заявителя Мартиросян А.С., ДНТ «Кулешовка», Азовский район, Ростовская область, к.н. 61:01:0600006:10213 (1 шт.)</t>
  </si>
  <si>
    <t>Установка прибора коммерческого учета электрической энергии (мощности) на границе земельного участка, подключенного от опоры №381-90 ВЛ 0,4 кВ №1 КТП 10/0,4кВ №381 ВЛ 10кВ №106Н ПС 110/6/10 кВ НС-1 для технологического присоединения энергопринимающих устройств объекта жилого дома Заявителя Мартиросян А.С., ДНТ «Кулешовка», Азовский район, Ростовская область, к.н. 61:01:0600006:10211 (1 шт.)</t>
  </si>
  <si>
    <t>Установка прибора коммерческого учета электрической энергии (мощности) на границе земельного участка, подключенного от опоры №36-14 ВЛ 0,4 кВ №1 МТП 10/0,4кВ №36 ВЛ 10кВ №1815 ПС 35/10 кВ А-18 для технологического присоединения энергопринимающих устройств объекта жилого дома Заявителя Лячиной И.С., Рыболовецкий колхоз им. Ленина, Азовский район, Ростовская область, к.н. 61:01:0600002:3336 (1 шт.)</t>
  </si>
  <si>
    <t>Установка прибора коммерческого учета электрической энергии (мощности) на границе земельного участка, подключенного от опоры №10-1 ВЛ 0,4 кВ №1 КТП 10/0,4кВ №10 ВЛ 10кВ №1802 ПС 35/10 кВ А-18 для технологического присоединения энергопринимающих устройств объекта жилого дома Заявителя Ковтуненко Г.Е., х. Рогожкино, Азовский район, Ростовская область, к.н. 61:01:0160101:829 (1 шт.)</t>
  </si>
  <si>
    <t>Установка прибора коммерческого учета электрической энергии (мощности) на границе земельного участка, подключенного от опоры №13-65 ВЛ 0,4 кВ №2 КТП 10/0,4кВ №13 ВЛ 10кВ №3203 ПС 110/35/10 кВ А-32 для технологического присоединения энергопринимающих устройств объекта жилого дома Заявителя Илюхиной Н.В., с. Александровка, Азовский район, Ростовская область, к.н. 61:01:0010101:3105 (1 шт.)</t>
  </si>
  <si>
    <t>Установка прибора коммерческого учета электрической энергии (мощности) на границе земельного участка, подключенного от опоры №25-87 ВЛ 0,4 кВ №3 КТП 10/0,4кВ №25 ВЛ 10кВ №1815 ПС 35/10 кВ А-18 для технологического присоединения энергопринимающих устройств объекта жилого дома Заявителя Якубовой Е.В., х. Колузаево, Азовский район, Ростовская область, к.н. 61:01:0030501:1776 (1 шт.)</t>
  </si>
  <si>
    <t>Установка прибора коммерческого учета электрической энергии (мощности) на границе земельного участка, подключенного от опоры №121-22 ВЛ-0,4кВ №2 КТП-10/0,4 кВ №121 ВЛ-10кВ №1904 РП-19 ПС 110/35/10 кВ Самарская для технологического присоединения энергопринимающих устройств объекта жилого дома Заявителя Ткаченко А.И., с. Новотроицкое, Азовский район, Ростовская область, к.н. 61:01:0040801:487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</si>
  <si>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№9 (балансовая принадлежность ООО «Рыбколхоз им. Ленина») ВЛ 10кВ №1815 ПС 35/10 кВ А-18 для технологического присоединения энергопринимающих устройств объекта жилого дома Заявителя Сенаева А.Ю., х. Городище, Азовский район, Ростовская область, к.н. 61:01:0600002:3040 (1 шт.)</t>
  </si>
  <si>
    <t>Установка прибора коммерческого учета электрической энергии (мощности) на границе земельного участка, подключенного от опоры №34-15 ВЛ 0,4 кВ №1 КТП 10/0,4кВ №34 ВЛ 10кВ №1101 ПС 35/10 кВ А-11 для технологического присоединения энергопринимающих устройств объекта торговли Заявителя ИП Колесник М.А., с. Кагальник, Азовский район, Ростовская область, к.н. 61:01:0060101:11763 (1 шт.)</t>
  </si>
  <si>
    <t>Установка прибора коммерческого учета электрической энергии (мощности) на границе земельного участка, подключенного от опоры №86-53 ВЛ 0,4 кВ №2 КТП 10/0,4кВ №86 ВЛ 10кВ №1107 ПС 35/10 кВ А-11 для технологического присоединения энергопринимающих устройств объекта жилого дома Заявителя Соболева И.А., х. Узяк, Азовский район, Ростовская область, к.н. 61:01:0060501:95 (1 шт.)</t>
  </si>
  <si>
    <t>Установка прибора коммерческого учета электрической энергии (мощности) на границе земельного участка, подключенного от опоры №32-47 ВЛ 0,4 кВ №2 КТП 10/0,4кВ №32 ВЛ 10кВ №2907 РП-29 ПС 35/10 кВ А-18 для технологического присоединения энергопринимающих устройств объекта жилого дома Заявителя Абакумовой И.В., х. Коса, Азовский район, Ростовская область, к.н. 61:01:0030601:6869 (1 шт.)</t>
  </si>
  <si>
    <t>Установка прибора коммерческого учета электрической энергии (мощности) на границе земельного участка, подключенного от опоры №156-7 ВЛ 0,4 кВ №1 КТП 10/0,4кВ №156 ВЛ 10кВ №910 ПС 35/10 кВ А-9 для технологического присоединения энергопринимающих устройств объекта жилого дома Заявителя Ли Т.Г., х. Павловка, Азовский район, Ростовская область, к.н. 61:01:0110401:527 (1 шт.)</t>
  </si>
  <si>
    <t>Установка прибора коммерческого учета электрической энергии (мощности) на границе земельного участка, подключенного от опоры №111-95 ВЛ 0,4 кВ №3 КТП 10/0,4кВ №111 ВЛ 10кВ №3113 ПС 110/35/10 кВ А-31 для технологического присоединения энергопринимающих устройств объекта жилого дома Заявителя Мырковой О.В, с. Пешково, Азовский район, Ростовская область, к.н. 61:01:0140101:9113 (1 шт.)</t>
  </si>
  <si>
    <t>Установка прибора коммерческого учета электрической энергии (мощности) на границе земельного участка, подключенного от опоры №18-45 ВЛ 0,4 кВ №2 КТП 10/0,4кВ №18 ВЛ 10кВ №3113 ПС 110/35/10 кВ А-31 для технологического присоединения энергопринимающих устройств объекта жилого дома Заявителя Едрышова И.Ю., с. Пешково, Азовский район, Ростовская область, к.н. 61:01:0140101:6265 (1 шт.)</t>
  </si>
  <si>
    <t>Установка прибора коммерческого учета электрической энергии (мощности) на границе земельного участка, подключенного от опоры №18-1 ВЛ 0,4 кВ №1 КТП 10/0,4кВ №18 ВЛ 10кВ №1815 ПС 35/10 кВ А-18 для технологического присоединения энергопринимающих устройств объекта жилого дома Заявителя Демян В.В., х. Курган, Азовский район, Ростовская область, к.н. 61:01:0030701:52 (1 шт.)</t>
  </si>
  <si>
    <t>Установка прибора коммерческого учета электрической энергии (мощности) на границе земельного участка, подключенного от опоры №67-3 ВЛ 0,4 кВ №1 КТП 10/0,4кВ №67 ВЛ 10кВ №606 ПС 35/10 кВ А-6 для технологического присоединения энергопринимающих устройств объекта артезианской скважины №1 Заявителя Унитарное муниципальное предприятие «Приморский водопровод», с. Порт-Катон, Азовский район, Ростовская область, к.н. 61:01:0100301:4442 (1 шт.)</t>
  </si>
  <si>
    <t>Установка прибора коммерческого учета электрической энергии (мощности) на границе земельного участка, подключенного от опоры №6-65 ВЛ 0,4 кВ №3 КТП 10/0,4кВ №6 ВЛ 10кВ №1316 ПС 35/10 кВ А-13 для технологического присоединения энергопринимающих устройств объекта жилого дома Заявителя Богатырева М.О., п. Южный, Азовский район, Ростовская область, к.н. 61:01:0020201:549 (1 шт.)</t>
  </si>
  <si>
    <t>Установка прибора коммерческого учета электрической энергии (мощности) на границе земельного участка, подключенного от опоры №311-1/4 ВЛ 0,4 кВ №3 КТП 10/0,4кВ №311 ВЛ 10кВ №106Н ПС 110/6/10 кВ НС-1 для технологического присоединения энергопринимающих устройств объекта жилого дома Заявителя Валиева Б., «СНТ Белгорос», Азовский район, Ростовская область, к.н. 61:01:0600006:4995 (1 шт.)</t>
  </si>
  <si>
    <t>Установка прибора коммерческого учета электрической энергии (мощности) на границе земельного участка, подключенного от опоры №48-78 ВЛ 0,4 кВ №1 КТП 10/0,4кВ №48 ВЛ 10кВ №1815 ПС 35/10 кВ А-18 для технологического присоединения энергопринимающих устройств объекта жилого дома Заявителя Гашиной Е.А, Рыболовецкий колхоз им. Ленина, Азовский район, Ростовская область, к.н. 61:01:0600002:3267 (1 шт.)</t>
  </si>
  <si>
    <t>Установка прибора коммерческого учета электрической энергии (мощности) на границе земельного участка, подключенного от опоры №58-32 ВЛ 0,4 кВ №1 КТП 10/0,4кВ №58 (бесхозная) ВЛ 10кВ №2608 ПС 110/10 кВ А-26 для технологического присоединения энергопринимающих устройств объекта жилого дома Заявителя Давыдовой Е.Л., с. Кулешовка, Азовский район, Ростовская область, к.н. 61:01:0090102:1783 (1 шт.)</t>
  </si>
  <si>
    <t>Установка прибора коммерческого учета электрической энергии (мощности) на границе земельного участка, подключенного от опоры №151-57 ВЛ 0,4 кВ №2 КТП 10/0,4кВ №151 ВЛ 10кВ №505 ПС 35/10 кВ А-5 для технологического присоединения энергопринимающих устройств объекта жилого дома Заявителя Олейник М.В., с. Отрадовка, Азовский район, Ростовская область, к.н. 61:01:0120101:237 (1 шт.)</t>
  </si>
  <si>
    <t>Установка прибора коммерческого учета электрической энергии (мощности) на границе земельного участка, подключенного от опоры №51-25 ВЛ 0,4 кВ №1 КТП 10/0,4кВ №51 ВЛ 10кВ №1815 ПС 35/10 кВ А-18 для технологического присоединения энергопринимающих устройств объекта жилого дома Заявителя Лавор В.В., х. Обуховка, Азовский район, Ростовская область, к.н. 61:01:0600002:1207 (1 шт.)</t>
  </si>
  <si>
    <t>Установка прибора коммерческого учета электрической энергии (мощности) на границе земельного участка, подключенного от опоры №74-36 ВЛ 0,4 кВ №1 КТП 10/0,4кВ №74 ВЛ 10кВ №613 ПС 35/10 кВ А-6 для технологического присоединения энергопринимающих устройств объекта жилого дома Заявителя Долининой К.С., с. Новомаргаритово, Азовский район, Ростовская область, к.н. 61:01:0100201:325 (1 шт.)</t>
  </si>
  <si>
    <t>Установка прибора коммерческого учета электрической энергии (мощности) на границе земельного участка, подключенного от опоры №75-47 ВЛ 0,4 кВ №3 КТП 10/0,4кВ №75 ВЛ 10кВ №3125 ПС 110/35/10 кВ А-31 для технологического присоединения энергопринимающих устройств объекта жилого дома Заявителя Малышевой Н.О., с. Пешково, Азовский район, Ростовская область, к.н. 61:01:0140101:7227 (1 шт.)</t>
  </si>
  <si>
    <t>Установка прибора коммерческого учета электрической энергии (мощности) на границе земельного участка, подключенного от опоры №98-19 ВЛ 0,4 кВ №1 КТП 10/0,4кВ №98 ВЛ 10кВ №1815 ПС 35/10 кВ А-18 для технологического присоединения энергопринимающих устройств объекта жилого дома Заявителя Басова Д.Н., х. Колузаево, Азовский район, Ростовская область, к.н. 61:01:0030501:2007 (1 шт.)</t>
  </si>
  <si>
    <t>Установка прибора коммерческого учета электрической энергии (мощности) на границе земельного участка, подключенного от опоры №48-11 ВЛ 0,4 кВ №1 КТП 10/0,4кВ №48 ВЛ 10кВ №1815 ПС 35/10 кВ А-18 для технологического присоединения энергопринимающих устройств объекта жилого дома Заявителя Рыженко Е.В., Рыболовецкий колхоз им. Ленина, Азовский район, Ростовская область, к.н. 61:01:0600002:2458 (1 шт.)</t>
  </si>
  <si>
    <t>Установка прибора коммерческого учета электрической энергии (мощности) на границе земельного участка, подключенного от опоры №311-9/16 ВЛ 0,4 кВ №1 МТП 10/0,4кВ №311 ВЛ 10кВ №106Н ПС 110/6/10 кВ НС-1 для технологического присоединения энергопринимающих устройств объекта жилого дома Заявителя Тришкина В.Н., ТСН «СНТ Белгорос», Азовский район, Ростовская область, к.н. 61:01:0600006:4846 (1 шт.)</t>
  </si>
  <si>
    <t xml:space="preserve">Установка прибора коммерческого учета электрической энергии (мощности) на границе земельного участка, подключенного от опоры №136-5 ВЛ 0,4 кВ №1 КТП 10/0,4кВ №136 ВЛ 10кВ №1107 ПС 35/10 кВ А-11 для технологического присоединения энергопринимающих устройств объекта жилого дома Заявителя Мазур И.А., х. Узяк, Азовский район, Ростовская область, к.н. 61:01:0060501:154 (1 шт.)  </t>
  </si>
  <si>
    <t>Установка прибора коммерческого учета электрической энергии (мощности) на границе земельного участка, подключенного от опоры №212-41 ВЛ 0,4 кВ №2 КТП 10/0,4кВ №212 ВЛ 10кВ №910 ПС 35/10 кВ А-9 для технологического присоединения энергопринимающих устройств объекта жилого дома Заявителя Ефименко Е.С., г. Азов, Ростовская область, к.н. 61:45:0000380:173 (1 шт.)</t>
  </si>
  <si>
    <t xml:space="preserve">Установка прибора коммерческого учета электрической энергии (мощности) на границе земельного участка, подключенного от опоры №381-49 ВЛ 0,4 кВ №1 КТП 10/0,4кВ №381 ВЛ 10кВ №106Н ПС 110/6/10 кВ НС-1 для технологического присоединения энергопринимающих устройств объекта жилого дома Заявителя Афанасьевой Ю.А., ДНТ СН «Кулешовка-2», Азовский район, Ростовская область, к.н. 61:01:0600006:8006 (1 шт.) </t>
  </si>
  <si>
    <t>Установка прибора коммерческого учета электрической энергии (мощности) на границе земельного участка, подключенного от опоры №75-26 ВЛ 0,4 кВ №1 КТП 10/0,4кВ №75 ВЛ 10кВ №3125 ПС 110/35/10 кВ А-31 для технологического присоединения энергопринимающих устройств объекта жилого дома Заявителя Марукян А., с. Пешково, Азовский район, Ростовская область, к.н. 61:01:0140101:8982 (1 шт.)</t>
  </si>
  <si>
    <t xml:space="preserve">Установка прибора коммерческого учета электрической энергии (мощности) на границе земельного участка, подключенного от опоры №18-93 ВЛ 0,4 кВ №3 КТП 10/0,4кВ №18 ВЛ 10кВ №3113 ПС 110/35/10 кВ А-31 для технологического присоединения энергопринимающих устройств объекта жилого дома Заявителя Резван Н.В., с. Пешково, Азовский район, Ростовская область, к.н. 61:01:0140101:8865 (1 шт.) </t>
  </si>
  <si>
    <t>Установка прибора коммерческого учета электрической энергии (мощности) на границе земельного участка, подключенного от опоры №14-147 ВЛ 0,4 кВ №4 КТП 10/0,4кВ №14 ВЛ 10кВ №106Н ПС 110/6/10 кВ НС-1 для технологического присоединения энергопринимающих устройств объекта жилого дома Заявителя Редичкиной Н.В., п. Овощной, Азовский район, Ростовская область, к.н. 61:01:0130101:4152 (1 шт.)</t>
  </si>
  <si>
    <t xml:space="preserve">Установка прибора коммерческого учета электрической энергии (мощности) на границе земельного участка, подключенного от опоры №311-5/6 ВЛ 0,4 кВ №2 МТП 10/0,4кВ №311 ВЛ 10кВ №106Н ПС 110/6/10 кВ НС-1 для технологического присоединения энергопринимающих устройств объекта жилого дома Заявителя Шапранова О.В., СХА «Кулешовское» поле III, Азовский район, Ростовская область, к.н. 61:01:0600006:4930 (1 шт.)  </t>
  </si>
  <si>
    <t xml:space="preserve">Установка прибора коммерческого учета электрической энергии (мощности) на границе земельного участка, подключенного от опоры №144-29 ВЛ 0,4 кВ №1 КТП 10/0,4кВ №144 ВЛ 10кВ №1107 ПС 35/10 кВ А-11 для технологического присоединения энергопринимающих устройств объекта жилого дома Заявителя Самородовой А.А., с. Кагальник, Азовский район, Ростовская область, к.н. 61:01:0060101:2870 (1 шт.) </t>
  </si>
  <si>
    <t xml:space="preserve">Установка прибора коммерческого учета электрической энергии (мощности) на границе земельного участка, подключенного от опоры №89-24 ВЛ 0,4 кВ №2 КТП 10/0,4кВ №89 ВЛ 10кВ №1014 ПС 110/35/10 кВ Самарская для технологического присоединения энергопринимающих устройств объекта жилого дома Заявителя Подгореловой В.А., х. Ельбузд, Азовский район, Ростовская область, к.н. 61:01:00411301:133 (1 шт.)  </t>
  </si>
  <si>
    <t xml:space="preserve">Установка прибора коммерческого учета электрической энергии (мощности) на границе земельного участка, подключенного от опоры №381-93 ВЛ 0,4 кВ №2 КТП 10/0,4кВ №381 ВЛ 10кВ №106Н ПС 110/6/10 кВ НС-1 для технологического присоединения энергопринимающих устройств объекта земельного участка под строительство Заявителя Худоян А.Д., ДНТ «Кулешовка», Азовский район, Ростовская область, к.н. 61:01:0600006:1770 (1 шт.)  </t>
  </si>
  <si>
    <t>Установка прибора коммерческого учета электрической энергии (мощности) на границе земельного участка, подключенного от опоры №8-77 ВЛ 0,4 кВ №3 КТП 10/0,4кВ №8 ВЛ 10кВ №1014 ПС 110/35/10 кВ Самарская для технологического присоединения энергопринимающих устройств объекта жилого дома Заявителя Кокориной А.С., с. Самарское, Азовский район, Ростовская область, к.н. 61:01:0170103:6423 (1 шт.)</t>
  </si>
  <si>
    <t xml:space="preserve">Установка прибора коммерческого учета электрической энергии (мощности) на границе земельного участка, подключенного от опоры №8-79 ВЛ 0,4 кВ №3 КТП 10/0,4кВ №8 ВЛ 10кВ №1014 ПС 110/35/10 кВ Самарская для технологического присоединения энергопринимающих устройств объекта жилого дома Заявителя Прищепова Р.А., с. Самарское, Азовский район, Ростовская область, к.н. 61:01:0170103:6376 (1 шт.)  </t>
  </si>
  <si>
    <t xml:space="preserve">Установка прибора коммерческого учета электрической энергии (мощности) на границе земельного участка, подключенного от проектируемой опоры проектируемого ВЛ-0,4 кВ ( по договору ТП № 61-1-22-00647947 от 17.05.2022г. с заявителем Худайбергановым А.Г.) КТП 10/0,4 кВ № 329 ВЛ 10 кВ №106Н ПС 110/6/10 кВ НС-1 для технологического присоединения энергопринимающих устройств жилого дома Заявителя Беленьковой Т.В., ДНТ «Виктория», Азовский р-он, Ростовская область, к.н. 61:01:0600006:6070  (1 шт)  
</t>
  </si>
  <si>
    <t xml:space="preserve">Установка прибора коммерческого учета электрической энергии (мощности) на границе земельного участка, подключенного от опоры №365-2 ВЛ-0,4 кВ №1 КТП 10/0,4 кВ №365 по ВЛ 10 кВ №107Н ПС 110/6/10 кВ НС-1 для технологического присоединения энергопринимающих устройств нежилой застройки Заявителя Мельник А.А., п. Овощной, Азовский район, Ростовская область, к.н. 61:01:0600006:3484 (1 шт) </t>
  </si>
  <si>
    <t>Установка прибора коммерческого учета электрической энергии (мощности) на границе земельного участка, подключенного от опоры №7-4 ВЛ 0,4 кВ №1 КТП 10/0,4кВ №7 ВЛ 10кВ №802 ПС 35/10 кВ А-8 для технологического присоединения энергопринимающих устройств объекта жилого дома Заявителя Акопова Н.Э., х. Павло-Очаково, Азовский район, Ростовская область, к.н. 61:01:0180301:1106 (1 шт.)</t>
  </si>
  <si>
    <t xml:space="preserve">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Котиева Т.М.) ВЛ 10кВ №211 ПС 35/10 кВ А-2 для технологического присоединения энергопринимающих устройств объекта жилой застройки Заявителя Общество с ограниченной ответственностью «Южстроймеханизация», х. Новоалександровка, Азовский район, Ростовская область, к.н. 61:01:0600005:3013 (1 шт.) </t>
  </si>
  <si>
    <t xml:space="preserve">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Котиева Т.М.) ВЛ 10кВ №211 ПС 35/10 кВ А-2 для технологического присоединения энергопринимающих устройств объекта жилой застройки Заявителя Общество с ограниченной ответственностью «Южстроймеханизация», х. Новоалександровка, Азовский район, Ростовская область, к.н. 61:01:0600005:3012 (1 шт.) </t>
  </si>
  <si>
    <t xml:space="preserve">Установка прибора коммерческого учета электрической энергии (мощности) на границе земельного участка, подключенного от опоры №100-3 ВЛ 0,4 кВ №1 КТП 10/0,4кВ №100 ВЛ 10кВ №1020 ПС 110/35/10 кВ Самарская для технологического присоединения энергопринимающих устройств объекта жилого дома Заявителя Адам П.А., п. Суходольск, Азовский район, Ростовская область, к.н. 61:01:0170501:1398 (1 шт.) </t>
  </si>
  <si>
    <t>Установка прибора коммерческого учета электрической энергии (мощности) на границе земельного участка, подключенного от № 1-28   ВЛ-0,4 №1 КТП-1 ВЛ-10  707  ПС 35кВ Е-7 для технологического присоединения энергопринимающих устройств жилого дома Заявителя Махно А.М., Ростовская область, Егорлыкский р-он, х. Московский, ул. Солнечная,  д. 74, кадастровый номер земельного участка:  61:10:0030201:40, (1шт.)</t>
  </si>
  <si>
    <t>Установка прибора коммерческого учета электрической энергии (мощности) на границе земельного участка, подключенного от опоры №4-91 ВЛ-0,4 №1 КТП-4 ВЛ-10 305 ПС 35 кВ КГ3 для технологического присоединения энергопринимающих устройств объекта крестьянского (фермерского) хозяйства Заявителя Адиханян А.А., Ростовская область, Кагальницкий р-н, ст. Кировская ул. Садовая 61А к.н. 61:14:0050150:703 (1 шт.)</t>
  </si>
  <si>
    <t>Установка прибора коммерческого учета электрической энергии (мощности) на границе земельного участка, подключенного от опоры №109-56 ВЛ-0,4 №2 КТП-109 ВЛ-10 805 ПС 110 кВ БОС для технологического присоединения энергопринимающих устройств объекта жилого дома Заявителя Герасименко Ю.В., Ростовская область, Кагальницкий р-н, п. Мокрый Батай ул. Вишневая д.18 кв.1 к.н. 61:14:0060108:814 (1 шт.)</t>
  </si>
  <si>
    <t>Установка прибора коммерческого учета электрической энергии (мощности) на границе земельного участка, подключенного от опоры №83-32 ВЛ-0,4 №1 КТП-83 ВЛ-10 415 ПС 35 кВ КГ4 для технологического присоединения энергопринимающих устройств объекта крестьянского (фермерского) хозяйства Заявителя Дятлова А.В., Ростовская область, Кагальницкий р-н, с. Васильево-Шамшево, пер. Кооперативный д.13-А к.н. 61:14:0030103:409 (1 шт.)</t>
  </si>
  <si>
    <t>Установка прибора коммерческого учета электрической энергии (мощности) на границе земельного участка, подключенного от опоры №22-9 ВЛ-0,4 №2 КТП-22 ВЛ-10 501 ПС 35 кВ ЗР5 для технологического присоединения энергопринимающих устройств нежилой застройки Заявителя ИП Дьяченко А.В., Ростовская область, Зерноградский р-н, х. Гуляй Борисовка, ул. Николаенко д.44 к.н. 61:12:0011225:388 (1 шт.)</t>
  </si>
  <si>
    <t>Установка прибора коммерческого учета электрической энергии (мощности) на границе земельного участка, подключенного от опоры №128-81 ВЛ-0,4 №2 КТП-128 ВЛ-10 313 ПС 35 кВ КГ3 для технологического присоединения энергопринимающих устройств магазина Заявителя ИП Маликовой С.В., Ростовская область, Кагальницкий р-н, ст. Кировская, ул. Кирова д.84-Е к.н. 61:14:0050109:99 (1 шт.)</t>
  </si>
  <si>
    <t>Установка прибора коммерческого учета электрической энергии (мощности) на границе земельного участка, подключенного от опоры  № 130-35 ВЛ-0,4  №1  КТП-130  ВЛ-10 1608 ПС 35 кВ ЗР16 для технологического присоединения энергопринимающих устройств жилого дома Заявителя Клименко Е.Н. Ростовская область, Зерноградский р-н, х. 1-й Россошинский, ул. Степная д.87А к.н. 61:12:0030310:261 (1 шт.)</t>
  </si>
  <si>
    <t>Установка прибора коммерческого учета электрической энергии (мощности) на границе земельного участка, подключенного от опоры №22-28 ВЛ-0,4 №1 КТП-22 ВЛ-10 1507 ПС 110 кВ ЗР15 для технологического присоединения энергопринимающих устройств объекта малоэтажной жилой застройки Заявителя Кочковой И.С., Ростовская область, Зерноградский р-н. г. Зерноград   ул. Самохвалова д.58   к.н. 61:12:0040103:0006 (1 шт.)</t>
  </si>
  <si>
    <t>Установка прибора коммерческого учета электрической энергии (мощности) на границе земельного участка, подключенного от опоры №257-92 ВЛ 0,4 кВ №2 КТП 10/0,4кВ №257 ВЛ 10кВ №10701 ПС 110/35/6 кВ А-1 для технологического присоединения энергопринимающих устройств объекта жилого дома Заявителя Тимченко П.В., г. Азов, Ростовская область, к.н. 61:45:0000455:518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</si>
  <si>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Котиева Т.М.) ВЛ 10кВ №211 ПС 35/10 кВ А-2 для технологического присоединения энергопринимающих устройств объекта жилой застройки Заявителя Общество с ограниченной ответственностью «Южстроймеханизация», х. Новоалександровка, Азовский район, Ростовская область, к.н. 61:01:0600005:3746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</si>
  <si>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Котиева Т.М.) ВЛ 10кВ №211 ПС 35/10 кВ А-2 для технологического присоединения энергопринимающих устройств объекта жилой застройки Заявителя Общество с ограниченной ответственностью «Южстроймеханизация», х. Новоалександровка, Азовский район, Ростовская область, к.н. 61:01:0600005:3747 (1 шт.)</t>
  </si>
  <si>
    <t>Установка прибора коммерческого учета электрической энергии (мощности) на границе земельного участка, подключенного от опоры №370-1 ВЛ 0,4 кВ №1 КТП 10/0,4кВ №370 ВЛ 10кВ №211 ПС 35/10 кВ А-2 для технологического присоединения энергопринимающих устройств объекта магазина Заявителя ИП Пименова Т.П., х. Новоалександровка, Азовский район, Ростовская область, к.н. 61:01:0600005:3704 (1 шт.)</t>
  </si>
  <si>
    <t>Установка прибора коммерческого учета электрической энергии (мощности) на границе земельного участка, подключенного от опоры №311-12 ВЛ 0,4 кВ №2 МТП 10/0,4кВ №311 ВЛ 10кВ №106Н ПС 110/6/10 кВ НС-1 для технологического присоединения энергопринимающих устройств объекта жилого дома Заявителя Вон В.В., ТСН «СНТ Белгорос», Азовский район, Ростовская область, к.н. 61:01:0600006:4897 (1 шт.)</t>
  </si>
  <si>
    <t>Установка прибора коммерческого учета электрической энергии (мощности) на границе земельного участка, подключенного от опоры №38-28/4 ВЛ 0,4 кВ №1 КТП 10/0,4кВ №38 ВЛ 10кВ №106Н ПС 110/6/10 кВ НС-1 для технологического присоединения энергопринимающих устройств объекта жилого дома Заявителя Рыбка Л.Г., ДНТ «Мелиоратор-2», Азовский район, Ростовская область, к.н. 61:01:0500901:70 (1 шт.)</t>
  </si>
  <si>
    <t>Установка прибора коммерческого учета электрической энергии (мощности) на границе земельного участка, подключенного от опоры №70-48 ВЛ 0,4 кВ №2 КТП 10/0,4кВ №70 ВЛ 10кВ №2608 ПС 110/10 кВ А-26 для технологического присоединения энергопринимающих устройств объекта жилого дома Заявителя Скрынниковой Е.В., с. Кулешовка, Азовский район, Ростовская область, к.н. 61:01:0090101:3138 (1 шт.)</t>
  </si>
  <si>
    <t>Установка прибора коммерческого учета электрической энергии (мощности) на границе земельного участка, подключенного от опоры №311-21 ВЛ 0,4 кВ №3 МТП 10/0,4кВ №311 ВЛ 10кВ №106Н ПС 110/6/10 кВ НС-1 для технологического присоединения энергопринимающих устройств объекта жилого дома Заявителя Новикова А.С., СНТ Белгорос, Азовский район, Ростовская область, к.н. 61:01:0600006:5014 (1 шт.)</t>
  </si>
  <si>
    <t>Установка прибора коммерческого учета электрической энергии (мощности) на границе земельного участка, подключенного от опоры №311-12 ВЛ 0,4 кВ №3 МТП 10/0,4кВ №311 ВЛ 10кВ №106Н ПС 110/6/10 кВ НС-1 для технологического присоединения энергопринимающих устройств объекта жилого дома Заявителя Абиева А.М., СНТ Белгорос, Азовский район, Ростовская область, к.н. 61:01:0600006:10225 (1 шт.)</t>
  </si>
  <si>
    <t>Установка прибора коммерческого учета электрической энергии (мощности) на границе земельного участка, подключенного от опоры №381-1 ВЛ 0,4 кВ №1 КТП 10/0,4кВ №381 ВЛ 10кВ №106Н ПС 110/6/10 кВ НС-1 для технологического присоединения энергопринимающих устройств объекта нежилого здания Заявителя ИП Мушегяна К.Х., ДНТ «Кулешовка», Азовский район, Ростовская область, к.н. 61:01:0600006:1380 (1 шт.)</t>
  </si>
  <si>
    <t>Установка прибора коммерческого учета электрической энергии (мощности) на границе земельного участка, подключенного от опоры №329-18 ВЛ 0,4 кВ №1 КТП 10/0,4кВ №329 ВЛ 10кВ №106Н ПС 110/6/10 кВ НС-1 для технологического присоединения энергопринимающих устройств объекта жилого дома Заявителя Ерко П.П., ТСН «СНТ Белгорос», Азовский район, Ростовская область, к.н. 61:01:0600006:5834 (1 шт.)</t>
  </si>
  <si>
    <t>Установка прибора коммерческого учета электрической энергии (мощности) на границе земельного участка, подключенного от опоры №185-60/24 ВЛ 0,4 кВ №3 КТП 10/0,4кВ №185 ВЛ 10кВ №106Н ПС 110/6/10 кВ НС-1 для технологического присоединения энергопринимающих устройств объекта строительной площадки Заявителя Кан А.Ю., с. Кулешовка, Азовский район, Ростовская область, к.н. 61:01:0090101:1774 (1 шт.)</t>
  </si>
  <si>
    <t>Установка прибора коммерческого учета электрической энергии (мощности) на границе земельного участка, подключенного от опоры №330-5 ВЛ 0,4 кВ №1 МТП 6/0,4кВ №330 ВЛ 6кВ №10701 ПС 110/35/10 кВ А-1 для технологического присоединения энергопринимающих устройств объекта складского помещения Заявителя Орлова А.В., г. Азов, Ростовская область, к.н. 61:45:0000419:396 (1 шт.)</t>
  </si>
  <si>
    <t>Установка прибора коммерческого учета электрической энергии (мощности) на границе земельного участка, подключенного от опоры №10-73 ВЛ-0,4 кВ №3 КТП 10/0,4 кВ №10 по ВЛ 10 кВ №3202 ПС 110/35/10 кВ А-32 для технологического присоединения энергопринимающих устройств объекта торговли Заявителя Ильинова М.С., с. Александровка, Азовский район, Ростовская область, к.н. 61:01:0010101:3210 (1 шт)</t>
  </si>
  <si>
    <t>Установка прибора коммерческого учета электрической энергии (мощности) на границе земельного участка, подключенного от опоры №25-25 ВЛ 0,4 кВ №1 КТП 10/0,4кВ №25 ВЛ 10кВ №1815 ПС 35/10 кВ А-18 для технологического присоединения энергопринимающих устройств объекта клуба Заявителя Общество с ограниченной ответственностью «ИОНОС»., х. Колузаево, Азовский район, Ростовская область, к.н. 61:01:0030501:1186 (1 шт.)</t>
  </si>
  <si>
    <t xml:space="preserve">Установка прибора коммерческого учета электрической энергии (мощности) на границе земельного участка, подключенного от опоры №б/н ВЛ 0,4 кВ КТП 10/0,4кВ №9 (балансовая принадлежность ООО «Рыбколхоз им. Ленина») ВЛ 10кВ №1815 ПС 35/10 кВ А-18 для технологического присоединения энергопринимающих устройств объекта жилого дома Заявителя Голина В.В., х. Городище, Азовский район, Ростовская область, к.н. 61:01:0600002:1779 (1 шт.) </t>
  </si>
  <si>
    <t xml:space="preserve">Установка прибора коммерческого учета электрической энергии (мощности) на границе земельного участка, подключенного от опоры №б/н ВЛ 0,4 кВ КТП 10/0,4кВ №336 (балансовая принадлежность Котиева Т.М.) ВЛ 10кВ №211 ПС 35/10 кВ А-2 для технологического присоединения энергопринимающих устройств объекта жилого дома Заявителя Койчева А.Ф., х. Новоалександровка, Азовский район, Ростовская область, к.н. 61:01:0600005:3117 (1 шт.) </t>
  </si>
  <si>
    <t xml:space="preserve">Установка прибора коммерческого учета электрической энергии (мощности) на границе земельного участка, подключенного от опоры №84-3 ВЛ 0,4 кВ №1 КТП 10/0,4кВ №84 ВЛ 10кВ №1606 ПС 35/10 кВ А-16 для технологического присоединения энергопринимающих устройств объекта нежилого помещения Заявителя Акционерного общества «Почта России», п. Новомирский, Азовский район, Ростовская область, к.н. 61:01:0050801:1924 (1 шт.) </t>
  </si>
  <si>
    <t xml:space="preserve">Установка прибора коммерческого учета электрической энергии (мощности) на границе земельного участка, подключенного от опоры №81-35 ВЛ 0,4 кВ №3 КТП 10/0,4кВ №81 ВЛ 10кВ №1020 ПС 110/35/10 кВ Самарская для технологического присоединения энергопринимающих устройств объекта нежилого помещения Заявителя Акционерного общества «Почта России», п. Суходольск, Азовский район, Ростовская область, к.н. 61:01:0170501:803 (1 шт.) </t>
  </si>
  <si>
    <t xml:space="preserve">Установка прибора коммерческого учета электрической энергии (мощности) на границе земельного участка, подключенного от опоры №28-27 ВЛ 0,4 кВ №2 КТП 10/0,4кВ №28 ВЛ 10кВ №1411 ПС 110/35/10 кВ А-32 для технологического присоединения энергопринимающих устройств объекта нежилого помещения Заявителя Акционерного общества «Почта России», х. Полтава 1-я, Азовский район, Ростовская область, к.н. 61:01:0080201:1097 (1 шт.) </t>
  </si>
  <si>
    <t xml:space="preserve">Установка прибора коммерческого учета электрической энергии (мощности) на границе земельного участка, подключенного от опоры №34-35 ВЛ 0,4 кВ №1 КТП 10/0,4кВ №34 ВЛ 10кВ №613 ПС 35/10 кВ А-6 для технологического присоединения энергопринимающих устройств объекта жилого дома Заявителя Ревина В.В., с. Новомаргаритово, Азовский район, Ростовская область, к.н. 61:01:0100201:489 (1 шт.) </t>
  </si>
  <si>
    <t xml:space="preserve">Установка прибора коммерческого учета электрической энергии (мощности) на границе земельного участка, подключенного от опоры №71-108 ВЛ 0,4 кВ №2 КТП 10/0,4кВ №71 ВЛ 10кВ №105Н ПС 110/6/10 кВ НС-1 для технологического присоединения энергопринимающих устройств объекта жилого дома Заявителя Третьяковой Н.П., х. Усть-Койсуг, Азовский район, Ростовская область, к.н. 61:01:0030901:1338 (1 шт.) </t>
  </si>
  <si>
    <t xml:space="preserve">Установка прибора коммерческого учета электрической энергии (мощности) на границе земельного участка, подключенного от опоры №34-5 ВЛ 0,4 кВ №1 КТП 10/0,4кВ №34 ВЛ 10кВ №1707 ПС 35/10 кВ А-17 для технологического присоединения энергопринимающих устройств объекта жилого дома Заявителя Титаренко А.А., с. Круглое, Азовский район, Ростовская область, к.н. 61:01:0070101:7759 (1 шт.) </t>
  </si>
  <si>
    <t xml:space="preserve">Установка прибора коммерческого учета электрической энергии (мощности) на границе земельного участка, подключенного от опоры №82-52 ВЛ 0,4 кВ №2 КТП 10/0,4кВ №82 ВЛ 10кВ №3127 ПС 110/35/10 кВ А-31 для технологического присоединения энергопринимающих устройств объекта жилого дома Заявителя Ивановой Е.В., с. Займо-Обрыв, Азовский район, Ростовская область, к.н. 61:01:0140401:3678 (1 шт.) </t>
  </si>
  <si>
    <t>Установка прибора коммерческого учета электрической энергии (мощности) на границе земельного участка, подключенного от опоры №43-15 ВЛ 0,4 кВ №1 КТП 10/0,4кВ №43 ВЛ 10кВ №105Н ПС 110/6/10 кВ НС-1 для технологического присоединения энергопринимающих устройств объекта жилого дома Заявителя Шелест В.В., х. Шмат, Азовский район, Ростовская область, к.н. 61:01:0031001:538 (1 шт.)</t>
  </si>
  <si>
    <t>Установка прибора коммерческого учета электрической энергии (мощности) на границе земельного участка, подключенного от опоры №148-43 ВЛ 0,4 кВ №2 КТП 10/0,4кВ №148 ВЛ 10кВ №1019 ПС 110/35/10 кВ Самарская для технологического присоединения энергопринимающих устройств объекта жилого дома Заявителя Осеевой И.А., х. Победа, Азовский район, Ростовская область, к.н. 61:01:041001:0060 (1 шт.)</t>
  </si>
  <si>
    <t xml:space="preserve">Установка прибора коммерческого учета электрической энергии (мощности) на границе земельного участка, подключенного от опоры №44-42 ВЛ 0,4 кВ №2 КТП 10/0,4кВ №44 ВЛ 10кВ №1005 ПС 110/35/10 кВ Самарская для технологического присоединения энергопринимающих устройств объекта жилого дома Заявителя Хачатуряна И.А., х. Бирючий, Азовский район, Ростовская область, к.н. 61:01:0050201:7 (1 шт.) </t>
  </si>
  <si>
    <t xml:space="preserve">Установка прибора коммерческого учета электрической энергии (мощности) на границе земельного участка, подключенного от опоры №58-84 ВЛ 0,4 кВ №3 КТП 10/0,4кВ №58 ВЛ 10кВ №2204 РП-22 ПС 110/35/10 кВ Самарская для технологического присоединения энергопринимающих устройств объекта жилого дома Заявителя Тимченко С.Г., х. Левобережный, Азовский район, Ростовская область, к.н. 61:01:0040701:485 (1 шт.) </t>
  </si>
  <si>
    <t>Установка прибора коммерческого учета электрической энергии (мощности) на границе земельного участка, подключенного от опоры №136-55 ВЛ 0,4 кВ №2 КТП 10/0,4кВ №136 ВЛ 10кВ №803 ПС 35/10 кВ А-8 для технологического присоединения энергопринимающих устройств объекта жилого дома Заявителя Танаева С.А., с. Семибалки, Азовский район, Ростовская область, к.н. 61:01:0180101:1642 (1 шт.)</t>
  </si>
  <si>
    <t>Установка прибора коммерческого учета электрической энергии (мощности) на границе земельного участка, подключенного от №67-23 ВЛ 0,4 кВ №2 КТП 10/0,4кВ №67 ВЛ 10кВ №606 ПС 35/10 кВ А-6 для технологического присоединения энергопринимающих устройств объекта жилого дома Заявителя Толмачева В.В., с. Порт-Катон, Азовский район, Ростовская область, к.н. 61:01:0100301:498 (1 шт.)</t>
  </si>
  <si>
    <t xml:space="preserve">Установка прибора коммерческого учета электрической энергии (мощности) на границе земельного участка, подключенного от опоры №31-146 ВЛ 0,4 кВ №2 КТП 10/0,4кВ №31 ВЛ 10кВ №2907 РП-29 ПС 35/10 кВ А-18 для технологического присоединения энергопринимающих устройств объекта жилого дома Заявителя Хасина Ю.В., ст-ца. Елизаветинская, Азовский район, Ростовская область, к.н. 61:01:0030101:1758 (1 шт.) </t>
  </si>
  <si>
    <t>Установка прибора коммерческого учета электрической энергии (мощности) на границе земельного участка, подключенного от опоры №112-21 ВЛ 0,4 кВ №1 КТП 10/0,4кВ №112 ВЛ 10кВ №3113 ПС 110/35/10 кВ А-31 для технологического присоединения энергопринимающих устройств объекта жилого дома Заявителя Резникова А.А., с. Пешково, Азовский район, Ростовская область, к.н. 61:01:0140101:7946 (1 шт.)</t>
  </si>
  <si>
    <t>Установка прибора коммерческого учета электрической энергии (мощности) на границе земельного участка, подключенного от проектируемой опоры, вновь построенной ВЛ 0,4 кВ (по договору 61-1-22-00635581 от 22.03.2022г.) ТП 10/0,4кВ №358 ВЛ 10кВ №202Н ПС 110/6/10 кВ НС-2 для технологического присоединения энергопринимающих устройств объекта жилого дома Заявителя Василенко Н.И, ЗАО Обильное, Азовский район, Ростовская область, к.н. 61:01:0600006:3845 (1 шт.)</t>
  </si>
  <si>
    <t>Установка прибора коммерческого учета электрической энергии (мощности) на границе земельного участка, подключенного от опоры №41-42 ВЛ 0,4 кВ №2 ЗТП 10/0,4кВ №41(бесхозная) ВЛ 10кВ №2608 ПС 110/10 кВ А-26 для технологического присоединения энергопринимающих устройств объекта отделения связи Заявителя Акционерное общество «Почта России», с. Кулешовка, Азовский район, Ростовская область, к.н. 61:01:0090102:931 (1 шт.)</t>
  </si>
  <si>
    <t>Установка прибора коммерческого учета электрической энергии (мощности) на границе земельного участка, подключенного от опоры №118-45 ВЛ 0,4 кВ №1 КТП 10/0,4кВ №118 ВЛ 10кВ №1101 ПС 35/10 кВ А-11 для технологического присоединения энергопринимающих устройств объекта жилого дома Заявителя Гринченко Е.И., с. Кагальник, Азовский район, Ростовская область, к.н. 61:01:0060101:3658 (1 шт.)</t>
  </si>
  <si>
    <t>Установка прибора коммерческого учета электрической энергии (мощности) на границе земельного участка, подключенного от опоры №51-14 ВЛ 0,4 кВ №1 КТП 10/0,4кВ №51 ВЛ 10кВ №211 ПС 35/10 кВ А-2 для технологического присоединения энергопринимающих устройств объекта жилого дома Заявителя Мустафа Н.А., х. Новоалександровка, Азовский район, Ростовская область, к.н. 61:01:0110101:3591 (1 шт.)</t>
  </si>
  <si>
    <t>Установка прибора коммерческого учета электрической энергии (мощности) на границе земельного участка, подключенного от опоры №316-26 ВЛ 0,4 кВ №1 КТП 10/0,4кВ №316 ВЛ 10кВ №211 ПС 35/10 кВ А-2 для технологического присоединения энергопринимающих устройств объекта жилого дома Заявителя Кваша Д.Р., х. Новоалександровка, Азовский район, Ростовская область, к.н. 61:01:0600005:1840 (1 шт.)</t>
  </si>
  <si>
    <t>Установка прибора коммерческого учета электрической энергии (мощности) на границе земельного участка, подключенного от опоры №185-76 ВЛ 0,4 кВ №3 КТП 10/0,4кВ №185 ВЛ 10кВ №106Н ПС 110/6/10 кВ НС-1 для технологического присоединения энергопринимающих устройств объекта жилого дома Заявителя Маргарян Ю.А., СХА «Кулешовское», Азовский район, Ростовская область, к.н. 61:01:0600006:6226 (1 шт.)</t>
  </si>
  <si>
    <t>Установка прибора коммерческого учета электрической энергии (мощности) на границе земельного участка, подключенного от опоры №185-76 ВЛ 0,4 кВ №3 КТП 10/0,4кВ №185 ВЛ 10кВ №106Н ПС 110/6/10 кВ НС-1 для технологического присоединения энергопринимающих устройств объекта жилого дома Заявителя Маргарян Ю.А., СХА «Кулешовское», Азовский район, Ростовская область, к.н. 61:01:0600006:6227 (1 шт.)</t>
  </si>
  <si>
    <t>Установка прибора коммерческого учета электрической энергии (мощности) на границе земельного участка, подключенного от опоры №185-77 ВЛ 0,4 кВ №3 КТП 10/0,4кВ №185 ВЛ 10кВ №106Н ПС 110/6/10 кВ НС-1 для технологического присоединения энергопринимающих устройств объекта жилого дома Заявителя Мартиросян А.С., СХА «Кулешовское», Азовский район, Ростовская область, к.н. 61:01:0600006:6225 (1 шт.)</t>
  </si>
  <si>
    <t>Установка прибора коммерческого учета электрической энергии (мощности) на границе земельного участка, подключенного от опоры №329-15 ВЛ 0,4 кВ №1 КТП 10/0,4кВ №329 ВЛ 10кВ №106Н ПС 110/6/10 кВ НС-1 для технологического присоединения энергопринимающих устройств объекта жилого дома Заявителя Вартанян А.С., «СНТ Белгорос», Азовский район, Ростовская область, к.н. 61:01:0600006:5839 (1 шт.)</t>
  </si>
  <si>
    <t>Установка прибора коммерческого учета электрической энергии (мощности) на границе земельного участка, подключенного от опоры №316-10 ВЛ 0,4 кВ №1 МТП 10/0,4кВ №316 ВЛ 10кВ №211 ПС 35/10 кВ А-2 для технологического присоединения энергопринимающих устройств объекта жилого дома Заявителя Королькова А.В., х. Новоалександровка, Азовский район, Ростовская область, к.н. 61:01:0600005:1831 (1 шт.)</t>
  </si>
  <si>
    <t>Установка прибора коммерческого учета электрической энергии (мощности) на границе земельного участка, подключенного от опоры № 20-36 ВЛ-0,4 № 5 КТП-20 ВЛ-10  607  ПС 35 кВ Е-6 для технологического присоединения энергопринимающих устройств жилого дома Заявителя Кужукина А.Е., Ростовская обл., р-н. Егорлыкский, х. Кавалерский, ул. Ленина,  д. 120, кадастровый номер земельного участка:  61:10:0060101:607     (1 шт)</t>
  </si>
  <si>
    <t>Установка прибора коммерческого учета электрической энергии (мощности) на границе земельного участка, подключенного от опоры №8-79 ВЛ-0,4 №3 КТП-8 ВЛ-10 305 ПС 35 кВ КГ3 для технологического присоединения энергопринимающих устройств нежилой застройки Заявителя Бакоян С.С., Ростовская область, Кагальницкий р-н, п. Глубокий Яр, уч-к отделение 2, в 85 м на юг от юго-восточной его окраины к.н. 61:14:0600020:2039 (1 шт.)</t>
  </si>
  <si>
    <t>Установка прибора коммерческого учета электрической энергии (мощности) на границе земельного участка, подключенного от опоры №134-41 ВЛ-0,4 №1 КТП-134 ВЛ-10 101 ПС 220 кВ Зерновая для технологического присоединения энергопринимающих устройств малоэтажной жилой застройки Заявителя Гурдесова А.С., Ростовская область, Зерноградский р-н, г. Зерноград, пер. Ярославский д.32 к.н. 61:12:0040572:252 (1 шт.)</t>
  </si>
  <si>
    <t>Установка прибора коммерческого учета электрической энергии (мощности) на границе земельного участка, подключенного от опоры №15-115 ВЛ-0,4 №2 КТП-15 ВЛ-10 102 ПС 110 кВ Звонкая для технологического присоединения энергопринимающих устройств объекта крестьянского (фермерского) хозяйства Заявителя Крахотина А.Н. Ростовская область, Кагальницкий р-н, х. Красноармейский, ул. Донская д.14 к.н. 61:14:0070301:28 (1 шт.)</t>
  </si>
  <si>
    <t>Установка прибора коммерческого учета электрической энергии (мощности) на границе земельного участка, подключенного от опоры №90-6 ВЛ-0,4 №1 КТП-90 ВЛ-10 1402 ПС 110 кВ ЗР14 для технологического присоединения энергопринимающих устройств малоэтажной жилой застройки Заявителя ООО «Альтаир-Агро», Ростовская область, Зерноградский р-н, примерно в 0,120 км по направлению на север от северной окраины х. Водяный к.н. 61:12:0601701:1166 (1 шт.)</t>
  </si>
  <si>
    <t>Установка прибора коммерческого учета электрической энергии (мощности) на границе земельного участка, подключенного от опоры №35-1 ВЛ-0,4 №1 КТП-35 ВЛ-10 716 ПС 110 кВ Юбилейная для технологического присоединения энергопринимающих устройств малоэтажной жилой застройки Заявителя Федорковской Т.А., Ростовская область, Кагальницкий р-н, п. Воронцовка, ул. Молодежная д.16 к.н. 61:14:0060201:489 (1 шт.)</t>
  </si>
  <si>
    <t>Установка прибора коммерческого учета электрической энергии (мощности) на границе земельного участка, подключенного от опоры №173-52 ВЛ 0,4 кВ №1 КТП 10/0,4кВ №173 ВЛ 10кВ №902 ПС 35/10 кВ А-9 для технологического присоединения энергопринимающих устройств объекта жилого дома Заявителя Панкова С.В., х. Павловка, Азовский район, Ростовская область, к.н. 61:01:0110401:702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</si>
  <si>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№94 (на балансе Администрации Елизаветинского сельского поселения) ВЛ 10кВ №2907 РП-29 ПС 35/10 кВ А-18 для технологического присоединения энергопринимающих устройств объекта жилого дома Заявителя Лисченко А.И., х. Казачий Ерик, Азовский район, Ростовская область, к.н. 61:01:003401:1232 (1 шт.)</t>
  </si>
  <si>
    <t>Установка прибора коммерческого учета электрической энергии (мощности) на границе земельного участка, подключенного от опоры №114-71 ВЛ 0,4 кВ №2 КТП 10/0,4кВ №114 ВЛ 10кВ №1405 ПС 110/35/10 кВ А-32 для технологического присоединения энергопринимающих устройств объекта антенно-мачтового сооружения 61-11249 Заявителя Акционерное общество «Первая Башенная Компания», п. Новополтавский, Азовский район, Ростовская область, к.н. 61:01:0150101 (1 шт.)</t>
  </si>
  <si>
    <t>Установка прибора коммерческого учета электрической энергии (мощности) на границе земельного участка, подключенного от опоры №228-7 ВЛ 0,4 кВ №1 КТП 10/0,4кВ №228 ВЛ 10кВ №106Н ПС 110/6/10 кВ НС-1 для технологического присоединения энергопринимающих устройств объекта жилого дома Заявителя Чурсиной М.Н., п. Овощной, Азовский район, Ростовская область, к.н. 61:01:0130101:4345 (1 шт.)</t>
  </si>
  <si>
    <t>Установка прибора коммерческого учета электрической энергии (мощности) на границе земельного участка, подключенного от опоры №212-91 ВЛ 0,4 кВ №4 КТП 10/0,4кВ №212 ВЛ 10кВ №910 ПС 35/10 кВ А-9 для технологического присоединения энергопринимающих устройств объекта жилого дома Заявителя Елизаровой Г.С., СНТ «Южное», Азовский район, Ростовская область, к.н. 61:01:0000380:45 (1 шт.)</t>
  </si>
  <si>
    <t>Установка прибора коммерческого учета электрической энергии (мощности) на границе земельного участка, подключенного от опоры №212-28 ВЛ 0,4 кВ №2 КТП 10/0,4кВ №212 ВЛ 10кВ №910 ПС 35/10 кВ А-9 для технологического присоединения энергопринимающих устройств объекта жилого дома Заявителя Матвеева И.А., СНТ «Южное», Азовский район, Ростовская область, к.н. 61:01:0000380:116 (1 шт.)</t>
  </si>
  <si>
    <t>Установка прибора коммерческого учета электрической энергии (мощности) на границе земельного участка, подключенного от опоры №101-43 ВЛ 0,4 кВ №2 КТП 10/0,4кВ №101 ВЛ 10кВ №2412 ПС 35/10 кВ А-24 для технологического присоединения энергопринимающих устройств объекта жилого дома Заявителя Шурыгиной В.В., х. Полушкин, Азовский район, Ростовская область, к.н. 61:01:0160301:675 (1 шт.)</t>
  </si>
  <si>
    <t>Установка прибора коммерческого учета электрической энергии (мощности) на границе земельного участка, подключенного от опоры №166-20 ВЛ 0,4 кВ №1 КТП 10/0,4кВ №20 ВЛ 10кВ №1701 ПС 35/10 кВ А-17 для технологического присоединения энергопринимающих устройств объекта жилого дома Заявителя Панова М.Н., с. Круглое, Азовский район, Ростовская область, к.н. 61:01:0070101:2882 (1 шт.)</t>
  </si>
  <si>
    <t>Установка прибора коммерческого учета электрической энергии (мощности) на границе земельного участка, подключенного от опоры №117-26 ВЛ 0,4 кВ №2 КТП 10/0,4кВ №117 ВЛ 10кВ №3127 ПС 110/35/10 кВ А-31 для технологического присоединения энергопринимающих устройств объекта жилого дома Заявителя Телегиной А., с. Займо-Обрыв, Азовский район, Ростовская область, к.н. 61:01:0140401:3688 (1 шт.)</t>
  </si>
  <si>
    <t>Установка прибора коммерческого учета электрической энергии (мощности) на границе земельного участка, подключенного от опоры №48-16 ВЛ 0,4 кВ №1 КТП 10/0,4кВ №48 ВЛ 10кВ №1815 ПС 35/10 кВ А-18 для технологического присоединения энергопринимающих устройств объекта жилого дома Заявителя Башкирцева А.С., Рыболовецкий колхоз им.Ленина, Азовский район, Ростовская область, к.н. 61:01:0600002:2478 (1 шт.)</t>
  </si>
  <si>
    <t>Установка прибора коммерческого учета электрической энергии (мощности) на границе земельного участка, подключенного от опоры №77-33 ВЛ 0,4 кВ №2 КТП 10/0,4кВ №77 ВЛ 10кВ №1613 ПС 35/10 кВ А-16 для технологического присоединения энергопринимающих устройств объекта антенно-мачтового сооружения 61-1103 Заявителя Акционерное общество «Первая Башенная Компания»., х. Гусарева Балка, Азовский район, Ростовская область, к.н. 61:01:0120101 (1 шт.)</t>
  </si>
  <si>
    <t>Установка прибора коммерческого учета электрической энергии (мощности) на границе земельного участка, подключенного от опоры №212-55 ВЛ 0,4 кВ №3 КТП 10/0,4кВ №212 ВЛ 10кВ №910 ПС 35/10 кВ А-9 для технологического присоединения энергопринимающих устройств объекта жилого дома Заявителя Жукова Н.Ю., г. Азов, СНТ «Звездное», Ростовская область, к.н. 61:45:0000380:375 (1 шт.)</t>
  </si>
  <si>
    <t>Установка прибора коммерческого учета электрической энергии (мощности) на границе земельного участка, подключенного от опоры №99-13 ВЛ 0,4 кВ №2 КТП 10/0,4кВ №99 ВЛ 10кВ №106Н ПС 110/6/10 кВ НС-1 для технологического присоединения энергопринимающих устройств объекта жилого дома Заявителя Проценко М.А., п. Овощной, Азовский район, Ростовская область, к.н. 61:01:0130101:1381 (1 шт.)</t>
  </si>
  <si>
    <t>Установка прибора коммерческого учета электрической энергии (мощности) на границе земельного участка, подключенного от опоры №б/н ВЛ 0,4 кВ (бесхозная) КТП 6/0,4кВ №101 ВЛ 6кВ №10701 ПС 110/35/6 кВ А-1 для технологического присоединения энергопринимающих устройств объекта жилого дома Заявителя Цибульской И.В., г. Азов, Ростовская область, к.н. 61:45:0000446:92 (1 шт.)</t>
  </si>
  <si>
    <t>Установка прибора коммерческого учета электрической энергии (мощности) на границе земельного участка, подключенного от опоры №100-16 ВЛ 0,4 кВ №1 КТП 10/0,4кВ №100 ВЛ 10кВ №1708 ПС 35/10 кВ А-17 для технологического присоединения энергопринимающих устройств объекта жилого дома Заявителя Чубарова Г.А., с. Круглое, Азовский район, Ростовская область, к.н. 61:01:0070101:2855 (1 шт.)</t>
  </si>
  <si>
    <t>Установка прибора коммерческого учета электрической энергии (мощности) на границе земельного участка, подключенного от опоры №100-16 ВЛ 0,4 кВ №1 КТП 10/0,4кВ №100 ВЛ 10кВ №1708 ПС 35/10 кВ А-17 для технологического присоединения энергопринимающих устройств объекта жилого дома Заявителя Чубарова Г.А., с. Круглое, Азовский район, Ростовская область, к.н. 61:01:0070101:7061 (1 шт.)</t>
  </si>
  <si>
    <t>Установка прибора коммерческого учета электрической энергии (мощности) на границе земельного участка, подключенного от опоры №48-27 ВЛ 0,4 кВ №2 КТП 10/0,4кВ №48 ВЛ 10кВ №1815 ПС 35/10 кВ А-18 для технологического присоединения энергопринимающих устройств объекта жилого дома Заявителя Великой И.А., Рыболовецкий колхоз имени Ленина, Азовский район, Ростовская область, к.н. 61:01:0600002:2506 (1 шт.)</t>
  </si>
  <si>
    <t>Установка прибора коммерческого учета электрической энергии (мощности) на границе земельного участка, подключенного от опоры №31-31 ВЛ 0,4 кВ №1 КТП 10/0,4кВ №31 ВЛ 10кВ №2907 РП-29 ПС 35/10 кВ А-18 для технологического присоединения энергопринимающих устройств объекта жилого дома Заявителя Платоновой Н.А., с. Круглое, Азовский район, Ростовская область, к.н. 61:01:0030101:316 (1 шт.)</t>
  </si>
  <si>
    <t xml:space="preserve">Установка прибора коммерческого учета электрической энергии (мощности) на границе земельного участка, подключенного оп. № 95-25  ВЛ-0,4 №2 КТП-95  ВЛ-10  1106  ПС 35кВ Е-11 для технологического присоединения энергопринимающих устройств нежилое помещение  Заявителя АО «Почта России», Ростовская область, Егорлыкский р-он х. Изобильный, ул. Ростовская, д. 11, кадастровый номер земельного участка: 61:10:0040101:1055 (1 шт.) </t>
  </si>
  <si>
    <t xml:space="preserve">Установка прибора коммерческого учета электрической энергии (мощности) на границе земельного участка, подключенного оп. № 72-2  ВЛ-0,4 №1 КТП-72  ВЛ-10  707  ПС 35кВ Е-7 для технологического присоединения энергопринимающих устройств нежилое помещение  Заявителя АО «Почта России», 347676 Российская Федерация, Ростовская обл., р-н. Егорлыкский, х. Войнов, ул. Садовая,  д. 30, кадастровый номер земельного участка: 61:10:0030101:877 (1 шт.) </t>
  </si>
  <si>
    <t>Установка прибора коммерческого учета электрической энергии (мощности) на границе земельного участка, подключенного от опоры №18-89 ВЛ 0,4 кВ №3 КТП 10/0,4кВ №18 ВЛ 10кВ №3113 ПС 110/35/10 кВ А-31 для технологического присоединения энергопринимающих устройств объекта жилого дома Заявителя Золотухиной Н.В., с. Пешково, Азовский район, Ростовская область, к.н. 61:01:0140101:9314 (1 шт.)</t>
  </si>
  <si>
    <t>Установка прибора коммерческого учета электрической энергии (мощности) на границе земельного участка, подключенного от опоры №112-13 ВЛ 0,4 кВ №1 КТП 10/0,4кВ №112 ВЛ 10кВ №3113 ПС 110/35/10 кВ А-31 для технологического присоединения энергопринимающих устройств объекта жилого дома Заявителя Пешков А.Н., с. Пешково, Азовский район, Ростовская область, к.н. 61:01:0140101:1882 (1 шт.)</t>
  </si>
  <si>
    <t>Установка прибора коммерческого учета электрической энергии (мощности) на границе земельного участка, подключенного от опоры №184-55 ВЛ 0,4 кВ №2 КТП 10/0,4 кВ №184 ВЛ 10 кВ №3113 ПС 110/35/10 кВ А-31 для технологического присоединения энергопринимающих устройств объекта жилого дома Заявителя Пушкаренко Д.Г., с. Пешково, Азовский район, Ростовская область, к.н. 61:01:0140101:9296 (1 шт.)</t>
  </si>
  <si>
    <t>Установка прибора коммерческого учета электрической энергии (мощности) на границе земельного участка, подключенного от опоры №184-55 ВЛ 0,4 кВ №2 КТП 10/0,4 кВ №184 ВЛ 10 кВ №3113 ПС 110/35/10 кВ А-31 для технологического присоединения энергопринимающих устройств объекта жилого дома Заявителя Пушкаренко Д.Г., с. Пешково, Азовский район, Ростовская область, к.н. 61:01:0140101:9297 (1 шт.)</t>
  </si>
  <si>
    <t>Установка прибора коммерческого учета электрической энергии (мощности) на границе земельного участка, подключенного от опоры №6-12 ВЛ 0,4 кВ №1 КТП 10/0,4 кВ №6 ВЛ 10 кВ №3113 ПС 110/35/10 кВ А-31 для технологического присоединения энергопринимающих устройств объекта сельскохозяйственного производства Заявителя ИП Садового Д.Ю., с. Пешково, Азовский район, Ростовская область, к.н. 61:01:0600012:1393 (1 шт.)</t>
  </si>
  <si>
    <t>Установка прибора коммерческого учета электрической энергии (мощности) на границе земельного участка, подключенного от опоры №27-6 ВЛ 0,4 кВ №1 ЗТП 10/0,4кВ №27 ВЛ 10кВ №1211-1205 ПС 110/10 кВ А-12 для технологического присоединения энергопринимающих устройств объекта Общественная территория Заявителя Администрация Кулешовского сельского поселения, с. Кулешовка, Азовский район, Ростовская область, к.н. 61:01:0090102:2535 (1 шт.)</t>
  </si>
  <si>
    <t>Установка прибора коммерческого учета электрической энергии (мощности) на границе земельного участка, подключенного от опоры №28-39 ВЛ 0,4 кВ №2 КТП 10/0,4кВ №28 ВЛ 10кВ №1815 ПС 35/10 кВ А-18 для технологического присоединения энергопринимающих устройств объекта жилого дома Заявителя Давыдова А.В., х. Курган, Азовский район, Ростовская область, к.н. 61:01:0030701:529 (1 шт.)</t>
  </si>
  <si>
    <t xml:space="preserve">Установка прибора коммерческого учета электрической энергии (мощности) на границе земельного участка, подключенного от опоры №139-14 ВЛ 0,4 кВ №1 МТП 10/0,4кВ №139 ВЛ 10кВ №1708 ПС 35/10 кВ А-17 для технологического присоединения энергопринимающих устройств объекта жилого дома Заявителя Богомаз А.В., с. Круглое, Азовский район, Ростовская область, к.н. 61:01:0070101:2334 (1 шт.) </t>
  </si>
  <si>
    <t>Установка прибора коммерческого учета электрической энергии (мощности) на границе земельного участка, подключенного от опоры №185-35 (бесхозная) ВЛ 0,4 кВ №1 КТП 10/0,4кВ №185 ВЛ 10кВ №1014 ПС 110/35/10 кВ Самарская для технологического присоединения энергопринимающих устройств объекта жилого дома Заявителя Тарановой Л.Г., ДНТ "Приэльбуздье", Азовский район, Ростовская область, к.н. 61:01:0600020:3824 (1 шт.)</t>
  </si>
  <si>
    <t>Установка прибора коммерческого учета электрической энергии (мощности) на границе земельного участка, подключенного от опоры №173-40 ВЛ 0,4 кВ №3 КТП 10/0,4кВ №173 ВЛ 10кВ №3105 ПС 110/35/10 кВ А-31 для технологического присоединения энергопринимающих устройств объекта жилого дома Заявителя Шевченко С.С., с. Займо-Обрыв, Азовский район, Ростовская область, к.н. 61:01:0140401:3412 (1 шт.)</t>
  </si>
  <si>
    <t>Установка прибора коммерческого учета электрической энергии (мощности) на границе земельного участка, подключенного от опоры №56-24 ВЛ 0,4 кВ №1 КТП 10/0,4кВ №56 ВЛ 10кВ №1019 ПС 110/35/10 кВ Самарская для технологического присоединения энергопринимающих устройств объекта жилого дома Заявителя Хамидулина К.Я, х. Победа, Азовский район, Ростовская область, к.н. 61:01:0041001:1885 (1 шт.)</t>
  </si>
  <si>
    <t xml:space="preserve">Установка прибора коммерческого учета электрической энергии (мощности) на границе земельного участка, подключенного от опоры №233-33 ВЛ 0,4 кВ №1 КТП 10/0,4 кВ №233 ВЛ 10 кВ №1815 ПС 35/10 кВ А-18 для технологического присоединения энергопринимающих устройств объекта жилого дома Заявителя Тарасенко Н.В., СТ «Надежда-4», Азовский район, Ростовская область, к.н. 61:01:0500301:193 (1 шт.) </t>
  </si>
  <si>
    <t>Установка прибора коммерческого учета электрической энергии (мощности) на границе земельного участка, подключенного от опоры №240-146 ВЛ 0,4 кВ №4 КТП 10/0,4кВ №240 ВЛ 10кВ №106Н ПС 110/6/10 кВ НС-1 для технологического присоединения энергопринимающих устройств объекта жилого дома Заявителя Савина Н.В., п. Овощной, Азовский район, Ростовская область, к.н. 61:01:0130101:3579 (1 шт.)</t>
  </si>
  <si>
    <t>Установка прибора коммерческого учета электрической энергии (мощности) на границе земельного участка, подключенного от опоры №100-72 ВЛ 0,4 кВ №4 КТП 10/0,4кВ №100 ВЛ 10кВ №1020 ПС 110/35/10 кВ Самарская для технологического присоединения энергопринимающих устройств объекта малоэтажной жилой застройки Заявителя Парамоновой Т.К., п. Суходольск, Азовский район, Ростовская область, к.н. 61:01:0170501:1331 (1 шт.</t>
  </si>
  <si>
    <t>Установка прибора коммерческого учета электрической энергии (мощности) на границе земельного участка, подключенного от опоры №146-27 ВЛ 0,4 кВ №1 КТП 10/0,4кВ №146 ВЛ 10кВ №1701 ПС 35/10 кВ А-17 для технологического присоединения энергопринимающих устройств объекта жилого дома Заявителя Павленко Е.А., с. Круглое, Азовский район, Ростовская область, к.н. 61:01:0070101:8143 (1 шт.)</t>
  </si>
  <si>
    <t>Установка прибора коммерческого учета электрической энергии (мощности) на границе земельного участка, подключенного от опоры №144-26 ВЛ 0,4 кВ №1 КТП 10/0,4кВ №144 ВЛ 10кВ №1107 ПС 35/10 кВ А-11 для технологического присоединения энергопринимающих устройств объекта жилого дома Заявителя Чеботурова В.В., с. Кагальник, Азовский район, Ростовская область, к.н. 61:01:0060101:2880 (1 шт.)</t>
  </si>
  <si>
    <t>Установка прибора коммерческого учета электрической энергии (мощности) на границе земельного участка, подключенного от опоры №48-41 ВЛ 0,4 кВ №2 КТП 10/0,4кВ №48 ВЛ 10кВ №1107 ПС 35/10 кВ А-11 для технологического присоединения энергопринимающих устройств объекта жилого дома Заявителя Лубенец П.В., с. Кагальник, Азовский район, Ростовская область, к.н. 61:01:0060101:5062 (1 шт.)</t>
  </si>
  <si>
    <t>Установка прибора коммерческого учета электрической энергии (мощности) на границе земельного участка, подключенного от опоры №44-83 ВЛ 0,4 кВ №3 КТП 10/0,4кВ №44 ВЛ 10кВ №1107 ПС 35/10 кВ А-11 для технологического присоединения энергопринимающих устройств объекта жилого дома Заявителя Худолеева Д.Б., с. Кагальник, Азовский район, Ростовская область, к.н. 61:01:0060101:4938 (1 шт.)</t>
  </si>
  <si>
    <t>Установка прибора коммерческого учета электрической энергии (мощности) на границе земельного участка, подключенного от опоры №381-48 ВЛ 0,4 кВ №1 КТП 10/0,4кВ №381 ВЛ 10кВ №106Н ПС 110/6/10 кВ НС-1 для технологического присоединения энергопринимающих устройств объекта жилого дома Заявителя Попова В.И., ДНТ СН «Кулешовка-2», Азовский район, Ростовская область, к.н. 61:01:0600006:8005 (1 шт.)</t>
  </si>
  <si>
    <t>Установка прибора коммерческого учета электрической энергии (мощности) на границе земельного участка, подключенного от опоры №381-104 ВЛ 0,4 кВ №2 КТП 10/0,4кВ №381 ВЛ 10кВ №106Н ПС 110/6/10 кВ НС-1 для технологического присоединения энергопринимающих устройств участка под строительство Заявителя Худоян А.Д., ДНТ «Кулешовка», Азовский район, Ростовская область, к.н. 61:01:0600006:1504 (1 шт.)</t>
  </si>
  <si>
    <t>Установка прибора коммерческого учета электрической энергии (мощности) на границе земельного участка, подключенного от опоры №316-23 ВЛ 0,4 кВ №1 МТП 10/0,4кВ №316 ВЛ 10кВ №211 ПС 35/10 кВ А-2 для технологического присоединения энергопринимающих устройств объекта жилого дома Заявителя Ободова В.А., х. Новоалександровка, Азовский район, Ростовская область, к.н. 61:01:0600005:1819 (1 шт.)</t>
  </si>
  <si>
    <t>Установка прибора коммерческого учета электрической энергии (мощности) на границе земельного участка, подключенного от опоры №311-8 ВЛ 0,4 кВ №2 КТП 10/0,4кВ №311 ВЛ 10кВ №106Н ПС 110/6/10 кВ НС-1 для технологического присоединения энергопринимающих устройств объекта жилого дома Заявителя Тимофеева Р.В., Кулешовское сельское поселение, ТСН «СНТ Белгорос», Азовский район, Ростовская область, к.н. 61:01:0600006:4891 (1 шт.)</t>
  </si>
  <si>
    <t>Установка прибора коммерческого учета электрической энергии (мощности) на границе земельного участка, подключенного от опоры №185-21 ВЛ 0,4 кВ №2 КТП 10/0,4 кВ №185 ВЛ 10 кВ №106Н ПС 110/6/10 кВ НС-1 для технологического присоединения энергопринимающих устройств объекта жилого дома Заявителя Мироненко Р.С., с. Кулешовка, Азовский район, Ростовская область, к.н. 61:01:009101:324 (1 шт.)</t>
  </si>
  <si>
    <t>Установка прибора коммерческого учета электрической энергии (мощности) на границе земельного участка, подключенного от опоры №167-28 ВЛ 0,4 кВ №3 КТП 10/0,4кВ №167 ВЛ 10кВ №106Н ПС 110/6/10 кВ НС-1 для технологического присоединения энергопринимающих устройств объекта жилого дома Заявителя Алексанян В.Г., ДНТ «Кулешовка», Азовский район, Ростовская область, к.н. 61:01:0600006:1335 (1 шт.)</t>
  </si>
  <si>
    <t>Установка прибора коммерческого учета электрической энергии (мощности) на границе земельного участка, подключенного от опоры №59-56 ВЛ 0,4 кВ №2 КТП 10/0,4кВ №59 ВЛ 10кВ №2608 ПС 110/10 кВ А-26 для технологического присоединения энергопринимающих устройств объекта жилого дома Заявителя Мелконян Р.Д., с. Кулешовка, Азовский район, Ростовская область, к.н. 61:01:0090101:8065 (1 шт.)</t>
  </si>
  <si>
    <t>Установка прибора коммерческого учета электрической энергии (мощности) на границе земельного участка, подключенного от опоры №329-10 ВЛ 0,4 кВ №1 КТП 10/0,4кВ №329 ВЛ 10кВ №106Н ПС 110/6/10 кВ НС-1 для технологического присоединения энергопринимающих устройств объекта жилого дома Заявителя Мамараджабова Х.С., 5,9 км по направлению на северо-восток от пункта ГГС Пеленкин (СХА)К ) Кулешовское поле III о, Азовский район, Ростовская область, к.н. 61:01:0600006:5819 (1 шт.)</t>
  </si>
  <si>
    <t>Установка прибора коммерческого учета электрической энергии (мощности) на границе земельного участка, подключенного от опоры №158-67 ВЛ 0,4 кВ №2 КТП 10/0,4кВ №158 ВЛ 10кВ №1101 ПС 35/10 кВ А-11 для технологического присоединения энергопринимающих устройств объекта нежилой застройки (гараж) Заявителя Смирнова Е.И., с. Кагальник, Азовский район, Ростовская область, к.н. 61:01:0600004:480 (1 шт.)</t>
  </si>
  <si>
    <t>Установка прибора коммерческого учета электрической энергии (мощности) на границе земельного участка, подключенного от опоры №51-94 ВЛ 0,4 кВ №2 КТП 10/0,4кВ №51 ВЛ 10кВ №211 ПС 35/10 кВ А-2 для технологического присоединения энергопринимающих устройств жилого дома Заявителя Пугачевой К.А., х.Новоалександровка, Азовский район, Ростовская область, кадастровый (условный) номер объекта: 61:01:0110101:3192(1 шт.)</t>
  </si>
  <si>
    <t>Установка прибора коммерческого учета электрической энергии (мощности) на границе земельного участка, подключенного от опоры №28-18 ВЛ-0,4 №1 КТП-28 ВЛ-10 1006 ПС 110 кВ Полячки для технологического присоединения энергопринимающих устройств нежилого Помещения Заявителя АО «Почта России», Ростовская область, Кагальницкий р-н, х. Родники, ул. Комсомольская д.18 кв.2,3,4,5 к.н. 61:14:0080503:137 (1 шт.)</t>
  </si>
  <si>
    <t>Установка прибора коммерческого учета электрической энергии (мощности) на границе земельного участка, подключенного от опоры №85-22 ВЛ-0,4 №1 КТП-85 ВЛ-10 415 ПС 35 кВ КГ4 для технологического присоединения энергопринимающих устройств малоэтажной жилой застройки Заявителя Афанасьев М.В., Ростовская область, Кагальницкий р-н, х. Кагальничек (Иваново-Шамшевское с/п), ул.Широкая д.27 к.н. 61:14:0030401:23 (1 шт.)</t>
  </si>
  <si>
    <t>Установка прибора коммерческого учета электрической энергии (мощности) на границе земельного участка, подключенного от опоры №101-44 ВЛ-0,4 №2 КТП-101 ВЛ-10 1319 ПС 35 кВ ЗР13 для технологического присоединения энергопринимающих устройств малоэтажной жилой застройки Заявителя Нагорная Э.М., Ростовская область, Зерноградский р-н, х. Заполосный, ул. Мира д.13 к.н. 61:12:0090801:1345 (1 шт.)</t>
  </si>
  <si>
    <t>Установка прибора коммерческого учета электрической энергии (мощности) на границе земельного участка, подключенного от опоры №63-2 ВЛ 0,4 кВ №1 КТП 10/0,4кВ №63 ВЛ 10кВ №1815 ПС 35/10 кВ А-18 для технологического присоединения энергопринимающих устройств объекта хозяйственного строения дома Заявителя Гайдай Н.В., х. Колузаево, Азовский район, Ростовская область, к.н. 61:01:0030501:2274 (1 шт.)</t>
  </si>
  <si>
    <t>Установка прибора коммерческого учета электрической энергии (мощности) на границе земельного участка, подключенного от опоры №57-30 ВЛ 0,4 кВ №1 КТП 10/0,4кВ №57 ВЛ 10кВ №3127 ПС 110/35/10 кВ А-31 для технологического присоединения энергопринимающих устройств объекта жилого дома Заявителя Гринченко И.В., х. Береговой, Азовский район, Ростовская область, к.н. 61:01:0140201:476 (1 шт.)</t>
  </si>
  <si>
    <t>Установка прибора коммерческого учета электрической энергии (мощности) на границе земельного участка, подключенного от опоры №8-12 ВЛ 0,4 кВ №2 КТП 10/0,4кВ №8 ВЛ 10кВ №502 ПС 35/10 кВ А-5 для технологического присоединения энергопринимающих устройств объекта антенно-мачтового сооружения связи 61-1118 Заявителя Акционерное общество «Первая Башенная Компания», с. Отрадовка, Азовский район, Ростовская область, к.н. 61:01:0120101 (1 шт.)</t>
  </si>
  <si>
    <t>Установка прибора коммерческого учета электрической энергии (мощности) на границе земельного участка, подключенного от опоры №28-62 ВЛ 0,4 кВ №2 КТП 10/0,4кВ №28 ВЛ 10кВ №1310 ПС 35/10 кВ А-13 для технологического присоединения энергопринимающих устройств объекта жилого дома Заявителя Лоза А.И., с. Елизаветовка, Азовский район, Ростовская область, к.н. 61:01:0020101:903 (1 шт.)</t>
  </si>
  <si>
    <t>Установка прибора коммерческого учета электрической энергии (мощности) на границе земельного участка, подключенного от опоры №25-133 ВЛ 0,4 кВ №1 КТП 10/0,4кВ №25 ВЛ 10кВ №1815 ПС 35/10 кВ А-18 для технологического присоединения энергопринимающих устройств объекта жилого дома Заявителя Казанцева Е.А., х. Колузаево, Азовский район, Ростовская область, к.н. 61:01:0030501:1996 (1 шт.)</t>
  </si>
  <si>
    <t>Установка прибора коммерческого учета электрической энергии (мощности) на границе земельного участка, подключенного от № 36-21 ВЛ-0,4 №2 КТП-36 ВЛ-10  217  ПС 110кВ Егорлыкская для технологического присоединения энергопринимающих устройств нежилого здания (склад-ангар) Заявителя ИП Скорятина А.А., Ростовская область, Егорлыкский р-он, х. Ютин, кадастровый номер земельного участка:  61:10:0600002:2679, (1шт.)</t>
  </si>
  <si>
    <t>Установка прибора коммерческого учета электрической энергии (мощности) на границе земельного участка, подключенного от опоры №128-1 ВЛ-0,4 №1 КТП-128 ВЛ-10 313 ПС 35 кВ КГ3 для технологического присоединения энергопринимающих устройств объекта наружного освещения Заявителя КУИ Кагальницкого района, Ростовская область, Кагальницкий р-н, ст. Кировская, ул. Вишневая к.н. 61:14:0000000:6733 (1 шт.)</t>
  </si>
  <si>
    <t>Установка прибора коммерческого учета электрической энергии (мощности) на границе земельного участка, подключенного от опоры №122-15 ВЛ-0,4 №1 КТП-122 ВЛ-10 1608 ПС 35 кВ ЗР16 для технологического присоединения энергопринимающих устройств малоэтажной жилой застройки Заявителя Шарипов В.Т., Ростовская область, Зерноградский р-н, х. 1-й Россошинский, ул. Садовая д.6 кв.1 к.н. 61:12:0030308:38 (1 шт.)</t>
  </si>
  <si>
    <t>Установка прибора коммерческого учета электрической энергии (мощности) на границе земельного участка, подключенного от опоры №99-14 ВЛ 0,4 кВ №1 КТП 10/0,4кВ №99 ВЛ 10кВ №106Н ПС 110/6/10 кВ НС-1 для технологического присоединения энергопринимающих устройств объекта нежилой постройки Заявителя Рыбакова А.А, ЗАО «Обильное», Азовский район, Ростовская область, к.н. 61:01:0600006:129 (1 шт.)</t>
  </si>
  <si>
    <t>Установка прибора коммерческого учета электрической энергии (мощности) на границе земельного участка, подключенного от опоры №311-16 ВЛ 0,4 кВ №3 КТП 10/0,4 кВ №311 ВЛ 10 кВ №106Н ПС 110/6/10 кВ НС-1 для технологического присоединения энергопринимающих устройств объекта жилого дома Заявителя Овсепян П.Г., ТСН «Белгорос», Азовский район, Ростовская область, к.н. 61:01:0600006:4665 (1 шт.)</t>
  </si>
  <si>
    <t>Установка прибора коммерческого учета электрической энергии (мощности) на границе земельного участка, подключенного от опоры №51-81 ВЛ 0,4 кВ №2 КТП 10/0,4 кВ №51 ВЛ 10 кВ №211 ПС 35/10 кВ А-2 для технологического присоединения энергопринимающих устройств объекта жилого дома Заявителя Супрун Г.А., х. Новоалександровка, Азовский район, Ростовская область, к.н. 61:01:0110101:3557 (1 шт.)</t>
  </si>
  <si>
    <t>Установка прибора коммерческого учета электрической энергии (мощности) на границе земельного участка, подключенного от опоры №329-12 ВЛ 0,4 кВ №1 КТП 10/0,4 кВ №329 ВЛ 10 кВ №106Н ПС 110/6/10 кВ НС-1 для технологического присоединения энергопринимающих устройств объекта дачного дома Заявителя Лозко Е.Н., ТСН «СНТ Белгорос», Азовский район, Ростовская область, к.н. 61:01:0600006:5822 (1 шт.)</t>
  </si>
  <si>
    <t>Установка прибора коммерческого учета электрической энергии (мощности) на границе земельного участка, подключенного от опоры №58-24 ВЛ 0,4 кВ №1 КТП 10/0,4 кВ №58 (бесхозная) ВЛ 10 кВ №2608 ПС 110/10 кВ А-26 для технологического присоединения энергопринимающих устройств объекта жилого дома Заявителя Орловой О.О, с. Кулешовка, Азовский район, Ростовская область, к.н. 61:01:0090102:122 (1 шт.)</t>
  </si>
  <si>
    <t>Установка прибора коммерческого учета электрической энергии (мощности) на границе земельного участка, подключенного от опоры №244-80 ВЛ 0,4 кВ №3 КТП 10/0,4 кВ №244 ВЛ 10 кВ №2008 ПС 220/110/10 кВ А-20 для технологического присоединения энергопринимающих устройств объекта жилого дома Заявителя Синицыной Ю.А., ДНТ «Донские зори», Азовский район, Ростовская область, к.н. 61:01:0501901:84 (1 шт.)</t>
  </si>
  <si>
    <t>Установка прибора коммерческого учета электрической энергии (мощности) на границе земельного участка, подключенного от опоры №381-1 ВЛ 0,4 кВ №1 КТП 10/0,4 кВ №381 ВЛ 10 кВ №106Н ПС 110/6/10 кВ НС-1 для технологического присоединения энергопринимающих устройств объекта жилого дома Заявителя Матевосян Г.В., ДНТ «Кулешовка», Азовский район, Ростовская область, к.н. 61:01:0600006:9327 (1 шт.)</t>
  </si>
  <si>
    <t>Установка прибора коммерческого учета электрической энергии (мощности) на границе земельного участка, подключенного от опоры №187-11 ВЛ 0,4 кВ №1 КТП 10/0,4 кВ №187 ВЛ 10 кВ №106Н ПС 110/6/10 кВ НС-1 для технологического присоединения энергопринимающих устройств объекта жилого дома Заявителя Капалкина В.С., ДНТ «Кулешовка», Азовский район, Ростовская область, к.н. 61:01:0600006:1275 (1 шт.)</t>
  </si>
  <si>
    <t>Установка прибора коммерческого учета электрической энергии (мощности) на границе земельного участка, подключенного от опоры №358-19 ВЛ 0,4 кВ №3 КТП 10/0,4 кВ №358 ВЛ 10 кВ №202Н ПС 110/6/10 кВ НС-2 для технологического присоединения энергопринимающих устройств объекта жилого дома Заявителя Левкович С.К., ЗАО «Обильное», Азовский район, Ростовская область, к.н. 61:01:0600006:3844 (1 шт.)</t>
  </si>
  <si>
    <t>Установка прибора коммерческого учета электрической энергии (мощности) на границе земельного участка, подключенного от опоры №329-28/1 ВЛ 0,4 кВ №2 КТП 10/0,4 кВ №329 ВЛ 10 кВ №106Н ПС 110/6/10 кВ НС-1 для технологического присоединения энергопринимающих устройств объекта жилого дома Заявителя Цатуровой М.Ю., ДНТ «Виктория», Азовский район, Ростовская область, к.н. 61:01:0600006:6094 (1 шт.)</t>
  </si>
  <si>
    <t>Установка прибора коммерческого учета электрической энергии (мощности) на границе земельного участка, подключенного от опоры №136-23 ВЛ 0,4 кВ №2 КТП 10/0,4 кВ №136 ВЛ 10 кВ №3113 ПС 110/35/10 кВ А-31 для технологического присоединения энергопринимающих устройств объекта нежилого помещения Заявителя Акционерное общество «Почта России», с. Пешково, Азовский район, Ростовская область, к.н. 61:01:0140101:6724 (1 шт.)</t>
  </si>
  <si>
    <t>Установка прибора коммерческого учета электрической энергии (мощности) на границе земельного участка, подключенного от опоры №111-113 ВЛ 0,4 кВ №3 КТП 10/0,4 кВ №111 ВЛ 10 кВ №3113 ПС 110/35/10 кВ А-31 для технологического присоединения энергопринимающих устройств объекта жилого дома Заявителя Милано М.А., с. Пешково, Азовский район, Ростовская область, к.н. 61:01:0140101:7297 (1 шт.)</t>
  </si>
  <si>
    <t>Установка прибора коммерческого учета электрической энергии (мощности) на границе земельного участка, подключенного от опоры №112-17 ВЛ 0,4 кВ №1 КТП 10/0,4 кВ №112 ВЛ 10 кВ №3113 ПС 110/35/10 кВ А-31 для технологического присоединения энергопринимающих устройств объекта жилого дома Заявителя Карапетян А.В., с. Пешково, Азовский район, Ростовская область, к.н. 61:01:0140201:8365 (1 шт.)</t>
  </si>
  <si>
    <t>Установка прибора коммерческого учета электрической энергии (мощности) на границе земельного участка, подключенного от опоры №34-33 ВЛ 0,4 кВ №3 КТП 10/0,4кВ №34 ВЛ 10кВ №1101 ПС 35/10 кВ А-11 для технологического присоединения энергопринимающих устройств объекта магазина Заявителя Жигайлова А.А., с. Кагальник, Азовский район, Ростовская область, к.н. 61:01:0060101:11848 (1 шт.)</t>
  </si>
  <si>
    <t>Установка прибора коммерческого учета электрической энергии (мощности) на границе земельного участка, подключенного от опоры №119-48 ВЛ 0,4 кВ №2 КТП 10/0,4 кВ №119 ВЛ 10 кВ №1101 ПС 35/10 кВ А-11 для технологического присоединения энергопринимающих устройств объекта жилого дома Заявителя Потапенко М.Н., с. Кагальник, Азовский район, Ростовская область, к.н. 61:01:0060101:3031 (1 шт.)</t>
  </si>
  <si>
    <t>Установка прибора коммерческого учета электрической энергии (мощности) на границе земельного участка, подключенного от опоры №42-92 ВЛ 0,4 кВ №1 КТП 10/0,4 кВ №42 ВЛ 10 кВ №1802 ПС 35/10 кВ А-18 для технологического присоединения энергопринимающих устройств объекта жилого дома Заявителя Филенко А.А., х. Рогожкино, Азовский район, Ростовская область, к.н. 61:01:0160101:1408 (1 шт.)</t>
  </si>
  <si>
    <t>Установка прибора коммерческого учета электрической энергии (мощности) на границе земельного участка, подключенного от опоры №100-7 ВЛ 0,4 кВ №1 КТП 10/0,4 кВ №100 ВЛ 10 кВ №1708 ПС 35/10 кВ А-17 для технологического присоединения энергопринимающих устройств объекта жилого дома Заявителя Дойбан В.Н., с. Круглое, Азовский район, Ростовская область, к.н. 61:01:0070101:8168 (1 шт.)</t>
  </si>
  <si>
    <t>Установка прибора коммерческого учета электрической энергии (мощности) на границе земельного участка, подключенного от опоры №58-84 ВЛ 0,4 кВ №3 КТП 10/0,4 кВ №58 ВЛ 10 кВ №2204 РП-22 ПС 110/35/10 кВ Самарская для технологического присоединения энергопринимающих устройств объекта дачного дома Заявителя Тищенко А.А., х. Левобережный, Азовский район, Ростовская область, к.н. 61:01:0040701:123 (1 шт.)</t>
  </si>
  <si>
    <t>Установка прибора коммерческого учета электрической энергии (мощности) на границе земельного участка, подключенного от опоры №223-46 ВЛ 0,4 кВ №2 КТП 10/0,4 кВ №223 ВЛ 10 кВ №901 ПС 35/10 кВ А-9 для технологического присоединения энергопринимающих устройств объекта жилого дома Заявителя Калашник Э.В., с. Высочино, Азовский район, Ростовская область, к.н. 61:01:0110201:496 (1 шт.)</t>
  </si>
  <si>
    <t>Установка прибора коммерческого учета электрической энергии (мощности) на границе земельного участка, подключенного от опоры №67-17 ВЛ 0,4 кВ №1 КТП 10/0,4 кВ №67 ВЛ 10 кВ №3127 ПС 110/35/10 кВ А-31 для технологического присоединения энергопринимающих устройств объекта жилого дома Заявителя Михайлова Р.В., х. Береговой, Азовский район, Ростовская область, к.н. 61:01:0140201:15 (1 шт.)</t>
  </si>
  <si>
    <t>Установка прибора коммерческого учета электрической энергии (мощности) на границе земельного участка, подключенного от опоры №71-4 ВЛ 0,4 кВ №1 КТП 10/0,4 кВ №71 ВЛ 10 кВ №105Н ПС 110/6/10 кВ НС-1 для технологического присоединения энергопринимающих устройств объекта жилого дома Заявителя Евсеева А.Ю., х. Усть-Койсуг, Азовский район, Ростовская область, к.н. 61:01:0030901:1622 (1 шт.)</t>
  </si>
  <si>
    <t>Установка прибора коммерческого учета электрической энергии (мощности) на границе земельного участка, подключенного от опоры №189-28 ВЛ 0,4 кВ №1 КТП 10/0,4 кВ №189 ВЛ 10 кВ №3127 ПС 110/35/10 кВ А-31 для технологического присоединения энергопринимающих устройств объекта жилого дома Заявителя Капустиной Н.П., с. Займо-Обрыв, Азовский район, Ростовская область, к.н. 61:01:0140401:926 (1 шт.)</t>
  </si>
  <si>
    <t>Установка прибора коммерческого учета электрической энергии (мощности) на границе земельного участка, подключенного от опоры №21-7 ВЛ 0,4 кВ №1 КТП 10/0,4 кВ №21 ВЛ 10 кВ №1702 ПС 35/10 кВ А-17 для технологического присоединения энергопринимающих устройств объекта жилого дома Заявителя Васильевой В.А., с. Стефанидинодар, Азовский район, Ростовская область, к.н. 61:01:0070201:4468 (1 шт.)</t>
  </si>
  <si>
    <t>Установка прибора коммерческого учета электрической энергии (мощности) на границе земельного участка, подключенного от опоры №46-2 ВЛ-0,4 кВ №1 ТП 10/0,4 кВ №46 по ВЛ 10 кВ №910-1106 ПС 35/10 кВ А-9 для технологического присоединения энергопринимающих устройств нежилой застройки Заявителя ИП Глушенко Д.В., г. Азов, Ростовская обл., к.н. 61:45:00000350:14672 (1 шт)</t>
  </si>
  <si>
    <t>Установка прибора коммерческого учета электрической энергии (мощности) на границе земельного участка, подключенного от опоры №240-168 ВЛ 0,4 кВ №3 КТП 10/0,4кВ №240 ВЛ 10кВ №106Н ПС 110/6/10 кВ НС-1 для технологического присоединения энергопринимающих устройств объекта жилого дома Заявителя Анофриевой Н.А., п. Овощной, Азовский район, Ростовская область, к.н. 61:01:0130101:3894 (1 шт.)</t>
  </si>
  <si>
    <t xml:space="preserve">Установка прибора коммерческого учета электрической энергии (мощности) на границе земельного участка, подключенного от опоры №144-51 ВЛ 0,4 кВ №2 КТП 10/0,4кВ №144 ВЛ 10кВ №1107 ПС 35/10 кВ А-11 для технологического присоединения энергопринимающих устройств объекта жилого дома Заявителя Громаковой Т.В., с. Кагальник, Азовский район, Ростовская область, к.н. 61:01:0060101:2857 (1 шт.) </t>
  </si>
  <si>
    <t>Установка прибора коммерческого учета электрической энергии (мощности) на границе земельного участка, подключенного от опоры №17-9 ВЛ-0,4 кВ №1 КТП 10/0,4 кВ №17 по ВЛ 10 кВ №107Н ПС 110/6/10 кВ НС-1 для технологического присоединения энергопринимающих устройств нежилой застройки Заявителя ИП Калашник И.Н., п. Овощной, Азовский район, Ростовская область, к.н. 61:01:0130101:5054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</si>
  <si>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№277 (на балансе Администрации Елизаветинского сельского поселения) ВЛ 10кВ №1815 ПС 35/10 кВ А-18 для технологического присоединения энергопринимающих устройств объекта жилого дома Заявителя Вербицкая И.А., х. Обуховка, Азовский район, Ростовская область, к.н. 61:01:0500101:144 (1 шт.)</t>
  </si>
  <si>
    <t>Установка прибора коммерческого учета электрической энергии (мощности) на границе земельного участка, подключенного от опоры №14-118 ВЛ-0,4 кВ №4 КТП 10/0,4 кВ №14 по ВЛ 10 кВ №106Н ПС 110/6/10 кВ НС-1 для технологического присоединения энергопринимающих устройств хозяйственной постройки Заявителя Барсегян Г.А., п. Овощной, Азовский район, Ростовская область, к.н. 61:01:0130101:4220 (1 шт)</t>
  </si>
  <si>
    <t>Установка прибора коммерческого учета электрической энергии (мощности) на границе земельного участка, подключенного от оп. № 314-13 ВЛ-0,4 №1 КТП-314 ВЛ-10 702 ПС 35кВ Е-7 для технологического присоединения энергопринимающих устройств магазина Заявителя ИП Дзгоевой И.А., Ростовская область, Егорлыкский р-он, х. Таганрогский, ул. Ленина,  д. 37, кадастровый номер земельного участка: 61:10:0010101:194, (1шт.)</t>
  </si>
  <si>
    <t>Установка прибора коммерческого учета электрической энергии (мощности) на границе земельного участка, подключенного от оп. 115-38 ВЛ-0,4 №1 КТП-115 ВЛ-10 801 ПС 110кВ Роговская для технологического присоединения энергопринимающих устройств общественная территория Заявителя Администрация Роговского сельского поселения, Ростовская область, Егорлыкский р-он, п. Роговский, пер. Победы, д. 8, кадастровый номер земельного участка: 61:10:0110101:3092, (1шт.)</t>
  </si>
  <si>
    <t>Установка прибора коммерческого учета электрической энергии (мощности) на границе земельного участка, подключенного от оп. 211-30 ВЛ-0,4 №2 КТП-211 ВЛ-10 612 ПС 35кВ Е-6 для технологического присоединения энергопринимающих устройств общественная территория Заявителя Петросяна М.В., Ростовская область, Егорлыкский р-он, х.Шаумяновский, ул. Шаумяна, 19а, кадастровый номер земельного участка: 61:10:0090101:1935, (1шт.)</t>
  </si>
  <si>
    <t xml:space="preserve">Установка прибора коммерческого учета электрической энергии (мощности) на границе земельного участка, подключенного от оп. № 175-52 ВЛ-0,4 №2 КТП-175 ВЛ-10 605 ПС 35кВ Е-6 для технологического присоединения энергопринимающих устройств благоустройства парковой зоны Заявителя Администрация Кавалерского сельского поселения, Ростовская область, Егорлыкский р-он, х. Кавалерский, ул. Ленина, д. 2а, кадастровый номер земельного участка: 61:10:0060101:5061, (1шт.) </t>
  </si>
  <si>
    <t>Установка прибора коммерческого учета электрической энергии (мощности) на границе земельного участка, подключенного от опоры №5-32 ВЛ-0,4 №2 КТП-5 ВЛ-10 602 от ПС 35 кВ ЗР6 для технологического присоединения энергопринимающих устройств объект торговли Заявителя ИП Мироненко С.А., Россия, Ростовская обл., Зерноградский р-н, х. Чернышевка, ул. Торговая д.3 к.н. 61:12:0090114:27 (1 шт.)</t>
  </si>
  <si>
    <t>Установка прибора коммерческого учета электрической энергии (мощности) на границе земельного участка, подключенного от опоры №45-4 ВЛ-0,4 №1 КТП-45 ВЛ-10 716 ПС 110 кВ Юбилейная для технологического присоединения энергопринимающих устройств  – Шотина Д.А. малоэтажная жилая застройка, Россия, Ростовская обл., р-н Кагальницкий, п. Воронцовка, ул. Степная д.19 к.н. 61:14:0060201:498 (1 шт.)</t>
  </si>
  <si>
    <t>Установка прибора коммерческого учета электрической энергии (мощности) на границе земельного участка, подключенного от опоры №50-9 ВЛ-0,4 №1 КТП-50 ВЛ-10 707 ПС 35 кВ ЗР7 для технологического присоединения энергопринимающих устройств помещения Заявителя АО «Почта России», Ростовская область, Зерноградский р-н, х. Путь Правды, ул. Ленина, 82/5 к.н. 61:12:0100113:139 (1 шт.)</t>
  </si>
  <si>
    <t>Установка прибора коммерческого учета электрической энергии (мощности) на границе земельного участка, подключенного от опоры №97-24 ВЛ-0,4 №3 КТП-97 ВЛ-10 1319 ПС 35 кВ ЗР13 для технологического присоединения энергопринимающих устройств антенно-мачтового сооружения 52224-11-61-0-1 Заявителя АО «Первая Башенная Компания», Ростовская область, Зерноградский р-н, х. Заполосный, ул. Степная, участок в 30м от дома №12 к.н. 61:12:0090801 (1 шт.)</t>
  </si>
  <si>
    <t>Установка прибора коммерческого учета электрической энергии (мощности) на границе земельного участка, подключенного от опоры №17-40 ВЛ 0,4 кВ №1 КТП 10/0,4 кВ №17 ВЛ 10 кВ №107Н ПС 110/6/10 кВ НС-1 для технологического присоединения энергопринимающих устройств объекта строительной площадки Заявителя Кириченко А.А., п. Овощной, Азовский район, Ростовская область, к.н. 61:01:010101:1151 (1 шт.)</t>
  </si>
  <si>
    <t>Установка прибора коммерческого учета электрической энергии (мощности) на границе земельного участка, подключенного от опоры №111-113 ВЛ 0,4 кВ №3 КТП 10/0,4 кВ №111 ВЛ 10 кВ №3113 ПС 110/35/10 кВ А-31 для технологического присоединения энергопринимающих устройств объекта жилого дома Заявителя Михай М.Ж., с. Пешково, Азовский район, Ростовская область, к.н. 61:01:0140101:2367 (1 шт.)</t>
  </si>
  <si>
    <t>Установка прибора коммерческого учета электрической энергии (мощности) на границе земельного участка, подключенного от опоры №105-70 ВЛ 0,4 кВ №2 КТП 10/0,4 кВ №105 ВЛ 10 кВ №2608 ПС 110/10 кВ А-26 для технологического присоединения энергопринимающих устройств объекта жилого дома Заявителя Магдалиной Л.Н., х. Новоалександровка, Азовский район, Ростовская область, к.н. 61:01:0600003:827 (1 шт.)</t>
  </si>
  <si>
    <t>Установка прибора коммерческого учета электрической энергии (мощности) на границе земельного участка, подключенного от опоры №311-9/14 ВЛ 0,4 кВ №3 КТП 10/0,4 кВ №311 ВЛ 10 кВ №106Н ПС 110/6/10 кВ НС-1 для технологического присоединения энергопринимающих устройств объекта садового дома Заявителя Богуславской Л.Г., ТСН СНТ «Белгорос», Азовский район, Ростовская область, к.н. 61:01:0600006:4873 (1 шт.)</t>
  </si>
  <si>
    <t>Установка прибора коммерческого учета электрической энергии (мощности) на границе земельного участка, подключенного от опоры №112-95 ВЛ 0,4 кВ №3 КТП 10/0,4 кВ №112 ВЛ 10 кВ №3113 ПС 110/35/10 кВ А-31 для технологического присоединения энергопринимающих устройств объекта жилого дома Заявителя Коврижко О.С., с. Пешково, Азовский район, Ростовская область, к.н. 61:01:0140101:9379 (1 шт.)</t>
  </si>
  <si>
    <t>Установка прибора коммерческого учета электрической энергии (мощности) на границе земельного участка, подключенного от опоры №18-28 ВЛ 0,4 кВ №1 КТП 10/0,4 кВ №18 ВЛ 10 кВ №3113 ПС 110/35/10 кВ А-31 для технологического присоединения энергопринимающих устройств объекта жилого дома Заявителя Бортникова В.Г., с. Пешково, Азовский район, Ростовская область, к.н. 61:01:0140101:8010 (1 шт.)</t>
  </si>
  <si>
    <t>Установка прибора коммерческого учета электрической энергии (мощности) на границе земельного участка, подключенного от опоры №18-73 ВЛ 0,4 кВ №3 КТП 10/0,4 кВ №18 ВЛ 10 кВ №3113 ПС 110/35/10 кВ А-31 для технологического присоединения энергопринимающих устройств объекта жилого дома Заявителя Курина М.П., с. Пешково, Азовский район, Ростовская область, к.н. 61:01:0140101:7316 (1 шт.)</t>
  </si>
  <si>
    <t>Установка прибора коммерческого учета электрической энергии (мощности) на границе земельного участка, подключенного от опоры №185-21 ВЛ 0,4 кВ №2 КТП 10/0,4 кВ №185 ВЛ 10 кВ №106Н ПС 110/6/10 кВ НС-1 для технологического присоединения энергопринимающих устройств объекта жилого дома Заявителя Мироненко Р.С., с. Кулешовка, Азовский район, Ростовская область, к.н. 61:01:0090101:8877 (1 шт.)</t>
  </si>
  <si>
    <t>Установка прибора коммерческого учета электрической энергии (мощности) на границе земельного участка, подключенного от опоры №б/н ВЛ 0,4 кВ КТП 10/0,4кВ №94 (на балансе Администрации Елизаветинского сельского поселения) ВЛ 10кВ №2907 РП-29 ПС 35/10 кВ А-18 для технологического присоединения энергопринимающих устройств объекта жилого дома Заявителя Волкова А.В., х. Казачий Ерик, Азовский район, Ростовская область, к.н. 61:01:0030401:590 (1 шт.)</t>
  </si>
  <si>
    <t>Установка прибора коммерческого учета электрической энергии (мощности) на границе земельного участка, подключенного от опоры №55-32 ВЛ 0,4 кВ №5 КТП 10/0,4 кВ №55 ВЛ 10 кВ №1019 ПС 110/35/10 кВ Самарская для технологического присоединения энергопринимающих устройств объекта жилого дома Заявителя Решетняк Д.Е., х. Победа, Азовский район, Ростовская область, к.н. 61:01:0041001:427 (1 шт.)</t>
  </si>
  <si>
    <t>Установка прибора коммерческого учета электрической энергии (мощности) на границе земельного участка, подключенного от опоры №32-2 ВЛ 0,4 кВ №1 КТП 10/0,4 кВ №32 ВЛ 10 кВ №1513 ПС 35/10 кВ А-15 для технологического присоединения энергопринимающих устройств объекта жилого дома Заявителя Петренко А.Ф., п. Ленинский Лесхоз, Азовский район, Ростовская область, к.н. 61:01:0600022:59 (1 шт.)</t>
  </si>
  <si>
    <t>Установка прибора коммерческого учета электрической энергии (мощности) на границе земельного участка, подключенного от опоры №58-41 ВЛ 0,4 кВ №2 КТП 10/0,4 кВ №58 ВЛ 10 кВ №609 ПС 35/10 кВ А-6 для технологического присоединения энергопринимающих устройств объекта отделения связи Заявителя Акционерное общество «Почта России», с. Маргаритово, Азовский район, Ростовская область, к.н. 61:01:0100101:1122 (1 шт.)</t>
  </si>
  <si>
    <t>Установка прибора коммерческого учета электрической энергии (мощности) на границе земельного участка, подключенного от опоры №32-63 ВЛ 0,4 кВ №3 КТП 10/0,4 кВ №32 ВЛ 10 кВ №2907 РП-29 ПС 35/10 кВ А-18 для технологического присоединения энергопринимающих устройств объекта жилого дома Заявителя Корсунской Е.А., х. Коса, Азовский район, Ростовская область, к.н. 61:01:0500501:303 (1 шт.)</t>
  </si>
  <si>
    <t>Установка прибора коммерческого учета электрической энергии (мощности) на границе земельного участка, подключенного от опоры №82-34 ВЛ 0,4 кВ №2 КТП 10/0,4 кВ №82 ВЛ 10 кВ №3127 ПС 110/35/10 кВ А-31 для технологического присоединения энергопринимающих устройств объекта жилого дома Заявителя Андрющенко М.М., с. Займо-Обрыв, Азовский район, Ростовская область, к.н. 61:01:0140401:3371 (1 шт.)</t>
  </si>
  <si>
    <t>Установка прибора коммерческого учета электрической энергии (мощности) на границе земельного участка, подключенного от опоры №71-6 ВЛ 0,4 кВ №1 КТП 10/0,4 кВ №71 ВЛ 10 кВ №507 ПС 35/10 кВ А-5 для технологического присоединения энергопринимающих устройств объекта жилого дома Заявителя Самофалова В.В., х. Платоновка, Азовский район, Ростовская область, к.н. 61:01:0120701:37 (1 шт.)</t>
  </si>
  <si>
    <t>Установка прибора коммерческого учета электрической энергии (мощности) на границе земельного участка, подключенного от опоры №74-80 ВЛ 0,4 кВ №4 КТП 10/0,4 кВ №74 ВЛ 10 кВ №613 ПС 35/10 кВ А-6 для технологического присоединения энергопринимающих устройств объекта жилого дома Заявителя Шабанова Г.М., с. Новомаргаритово, Азовский район, Ростовская область, к.н. 61:01:100201:243 (1 шт.)</t>
  </si>
  <si>
    <t>Установка прибора коммерческого учета электрической энергии (мощности) на границе земельного участка, подключенного от опоры №3-41 ВЛ 0,4 кВ №2 КТП 10/0,4 кВ №3 ВЛ 10 кВ №2903 РП-29 ПС 35/10 кВ А-18 для технологического присоединения энергопринимающих устройств объекта жилого дома Заявителя Черного В.И., х. Обуховка, Азовский район, Ростовская область, к.н. 61:01:0030801:222 (1 шт.)</t>
  </si>
  <si>
    <t>Установка прибора коммерческого учета электрической энергии (мощности) на границе земельного участка, подключенного от опоры №228-19 ВЛ 0,4 кВ №1 КТП 10/0,4 кВ №99 ВЛ 10 кВ №106Н ПС 110/6/10 кВ НС-1 для технологического присоединения энергопринимающих устройств объекта жилого дома Заявителя Жукова А.Ю., п. Овощной, Азовский район, Ростовская область, к.н. 61:01:0130101:5118 (1 шт.)</t>
  </si>
  <si>
    <t>Установка прибора коммерческого учета электрической энергии (мощности) на границе земельного участка, подключенного от оп. 211-92 ВЛ-0,4 №3 КТП-211 ВЛ-10 612 ПС 35кВ Е-6 для технологического присоединения энергопринимающих устройств жилого дома Заявителя Вартанян К.М., Ростовская область, Егорлыкский р-он, х.Шаумяновский, ул. Тоноян,  д. 119а, кадастровый номер земельного участка: 61:10:0090101:1935, (1шт.)</t>
  </si>
  <si>
    <t>Установка прибора коммерческого учета электрической энергии (мощности) на границе земельного участка, подключенного от опоры №8-20 ВЛ-0,4 №2 КТП-8 ВЛ-10 1210 ПС 110 кВ Манычская для технологического присоединения энергопринимающих устройств малоэтажной жилой застройки Заявителя Щегольков А.Г., Ростовская область, Зерноградский р-н, п. Сорговый, ул. Юбилейная д.2 к.н. 61:12:0060301:67 (1 шт.)</t>
  </si>
  <si>
    <t>Установка прибора коммерческого учета электрической энергии (мощности) на границе земельного участка, подключенного от опоры №141-31 ВЛ-0,4 №2 КТП-141 ВЛ-10 215 от ПС 35 кВ КГ2 для технологического присоединения энергопринимающих устройств малоэтажной жилой застройки Заявителя Арутюнов О.В., Российская Федерация, Ростовская обл., р-н. Кагальницкий, п. Малиновка, ул. Специалистов д. 6-Д к.н.: 61:14:0010302:887  (1 шт.)</t>
  </si>
  <si>
    <t>Установка прибора коммерческого учета электрической энергии (мощности) на границе земельного участка, подключенного от опоры №4-81 ВЛ-0,4 №4 КТП-4 ВЛ-10 305 ПС 35 кВ КГ3 для технологического присоединения энергопринимающих устройств малоэтажной жилой застройки Заявителя Архипов А.А., Ростовская область, Кагальницкий р-н, ст. Кировская, ул. Садовая д.35-А к.н. 61:14:0040150:470</t>
  </si>
  <si>
    <t>Установка прибора коммерческого учета электрической энергии (мощности) на границе земельного участка, подключенного от опоры №50-32 ВЛ-0,4 №1 КТП-50 ВЛ-10 1207 ПС 1110 кВ Манычская для технологического присоединения энергопринимающих устройств магазина Заявителя Аршинов Н.Н., Ростовская область, Зерноградский р-н, п. Сорговый, ул. Победы д.2 к.н. 61:12:0060307:144</t>
  </si>
  <si>
    <t>Установка прибора коммерческого учета электрической энергии (мощности) на границе земельного участка, подключенного от опоры №194-86 ВЛ-0,4 №3 КТП-194 ВЛ-10 612 ПС 35 кВ КГ6 для технологического присоединения энергопринимающих устройств малоэтажной жилой застройки Заявителя Голотвин В.А., Ростовская область, Кагальницкий р-н, с. Новобатайск, ул. ноябрьская д.74 к.н. 61:14:0040113:32</t>
  </si>
  <si>
    <t>Установка прибора коммерческого учета электрической энергии (мощности) на границе земельного участка, подключенного от опоры №28-289 ВЛ-0,4  №3 ЗТП-28 ВЛ-10 313 ПС 35 кВ КГ3 для технологического присоединения энергопринимающих устройств малоэтажной жилой застройки Заявителя Гунин И.А., Ростовская область, Кагальницкий р-н, ст. Кировская, ул. Олимпийская д.21 к.н. 61:14:0050129:57</t>
  </si>
  <si>
    <t>Установка прибора коммерческого учета электрической энергии (мощности) на границе земельного участка, подключенного от опоры №202-44 ВЛ-0,4 №2 КТП-202 ВЛ-10 319 ПС 35 кВ КГ3 для технологического присоединения энергопринимающих устройств малоэтажной жилой застройки Заявителя Лемешко П.С., Ростовская область, Кагальницкий р-н, п. Мокрый Батай, ул. Строителей д.45
 к.н. 61:14:0060110:11</t>
  </si>
  <si>
    <t>Установка прибора коммерческого учета электрической энергии (мощности) на границе земельного участка, подключенного от опоры №128-97 ВЛ-0,4 №5 КТП-128 ВЛ-10 313 ПС 35 кВ КГ3 для технологического присоединения энергопринимающих устройств малоэтажной жилой застройки Заявителя Перелыгин Д.О., Ростовская область, Кагальницкий р-н, ст. Кировская, ул. Менделеева д.22
 к.н. 61:14:0050105:274 (1 шт.)</t>
  </si>
  <si>
    <t>Установка прибора коммерческого учета электрической энергии (мощности) на границе земельного участка, подключенного от опоры №55-42 ВЛ-0,4 №1 КТП-55 ВЛ-10 1107 ПС 35 кВ ЗР11 для технологического присоединения энергопринимающих устройств малоэтажной жилой застройки Заявителя Соколов Ю.А., Ростовская область, Зерноградский р-н, с. Новоивановка, ул. Школьная д.20 кв.1 к.н. 61:12:0010801:759</t>
  </si>
  <si>
    <t>Установка прибора коммерческого учета электрической энергии (мощности) на границе земельного участка, подключенного от опоры №96-145 ВЛ-0,4 №5 КТП-96 ВЛ-10 501 ПС 35 кВ ЗР5 для технологического присоединения энергопринимающих устройств малоэтажной жилой застройки Заявителя Фролова С.А., Ростовская область, Зерноградский р-н, х. Гуляй Борисовка, ул. 60 лет СССР д.34 к.н. 61:12:0011225:392 (1 шт.)</t>
  </si>
  <si>
    <t>Установка прибора коммерческого учета электрической энергии (мощности) на границе земельного участка, подключенного от опоры №240-4 ВЛ 0,4 кВ №1 КТП 10/0,4 кВ №240 ВЛ 10 кВ №106Н ПС 110/6/10 кВ НС-1 для технологического присоединения энергопринимающих устройств объекта антенно-мачтового сооружения связи Заявителя ООО «СТ-Энергосетевая Инфраструктура», п. Овощной, Азовский район, Ростовская область, координаты ЭПУ 47.099902,39.652393 (1 шт.)</t>
  </si>
  <si>
    <t>Установка прибора коммерческого учета электрической энергии (мощности) на границе земельного участка, подключенного от опоры №226-87 ВЛ 0,4 кВ №3 КТП 10/0,4 кВ №226 ВЛ 10 кВ №2608 ПС 110/10 кВ А-26 для технологического присоединения энергопринимающих устройств объекта жилого дома Заявителя Корнилова А.Д., СТ «Ягодка-2», Азовский район, Ростовская область, к.н. 61:01:0502401:263 (1 шт.)</t>
  </si>
  <si>
    <t>Установка прибора коммерческого учета электрической энергии (мощности) на границе земельного участка, подключенного от опоры №358-20 ВЛ 0,4 кВ №3 КТП 10/0,4 кВ №358 ВЛ 10 кВ №202Н ПС 110/6/10 кВ НС-2 для технологического присоединения энергопринимающих устройств объекта жилого дома Заявителя Ключниковой В.В., ЗАО «Обильное», Азовский район, Ростовская область, к.н. 45:01:0600006:6938 (1 шт.)</t>
  </si>
  <si>
    <t>Установка прибора коммерческого учета электрической энергии (мощности) на границе земельного участка, подключенного от опоры №51-41 ВЛ 0,4 кВ №2 КТП 10/0,4 кВ №51 ВЛ 10 кВ №211 ПС 35/10 кВ А-2 для технологического присоединения энергопринимающих устройств объекта жилого дома Заявителя Бессмертной Н.Н., х. Новоалександровка, Азовский район, Ростовская область, к.н. 45:01:0110101:3290 (1 шт.)</t>
  </si>
  <si>
    <t>Установка прибора коммерческого учета электрической энергии (мощности) на границе земельного участка, подключенного от опоры №358-18 ВЛ 0,4 кВ №2 КТП 10/0,4 кВ №358 ВЛ 10 кВ №202Н ПС 110/6/10 кВ НС-2 для технологического присоединения энергопринимающих устройств объекта жилого дома Заявителя Исаковой А.С., ЗАО «Обильное», Азовский район, Ростовская область, к.н. 45:01:0600006:3843 (1 шт.)</t>
  </si>
  <si>
    <t>Установка прибора коммерческого учета электрической энергии (мощности) на границе земельного участка, подключенного от опоры №211-201 ВЛ 0,4 кВ №5 КТП 10/0,4 кВ №211 ВЛ 10 кВ №910 ПС 35/10 кВ А-9 для технологического присоединения энергопринимающих устройств объекта жилого дома Заявителя Харьковского А.А., ДНТ «Южное», Азовский район, Ростовская область, к.н. 45:01:0502601:1369 (1 шт.)</t>
  </si>
  <si>
    <t>Установка прибора коммерческого учета электрической энергии (мощности) на границе земельного участка, подключенного от опоры №105-110 ВЛ 0,4 кВ №1 КТП 10/0,4 кВ №105 ВЛ 10 кВ №2608 ПС 110/10 кВ А-26 для технологического присоединения энергопринимающих устройств объекта жилого дома Заявителя Гущенко С.А., х. Новоалександровка, Азовский район, Ростовская область, к.н. 45:01:0600003:1644 (1 шт.)</t>
  </si>
  <si>
    <t>Установка прибора коммерческого учета электрической энергии (мощности) на границе земельного участка, подключенного от опоры №172-31 ВЛ 0,4 кВ №2 КТП 10/0,4 кВ №172 ВЛ 10 кВ №1702 ПС 35/10 кВ А-17 для технологического присоединения энергопринимающих устройств объекта жилого дома Заявителя Петрикова С.В., с. Стефанидинодар, Азовский район, Ростовская область, к.н. 61:01:0070201:3644 (1 шт.)</t>
  </si>
  <si>
    <t>Установка прибора коммерческого учета электрической энергии (мощности) на границе земельного участка, подключенного от опоры №190-32 ВЛ 0,4 кВ №2 КТП 10/0,4 кВ №190 ВЛ 10 кВ №3113 ПС 110/35/10 кВ А-31 для технологического присоединения энергопринимающих устройств объекта жилого дома Заявителя Сербина С.Р., с. Пешково, Азовский район, Ростовская область, к.н. 61:01:0140101:1971 (1 шт.)</t>
  </si>
  <si>
    <t>Установка прибора коммерческого учета электрической энергии (мощности) на границе земельного участка, подключенного от опоры №113-34 ВЛ 0,4 кВ №1 КТП 10/0,4 кВ №113 ВЛ 10 кВ №3113 ПС 110/35/10 кВ А-31 для технологического присоединения энергопринимающих устройств объекта жилого дома Заявителя Роменского А.Н., с. Пешково, Азовский район, Ростовская область, к.н. 45:01:0140101:9349 (1 шт.)</t>
  </si>
  <si>
    <t>Установка прибора коммерческого учета электрической энергии (мощности) на границе земельного участка, подключенного от опоры №72-26 ВЛ 0,4 кВ №2 КТП 10/0,4 кВ №72 ВЛ 10 кВ №3127 ПС 110/35/10 кВ А-31 для технологического присоединения энергопринимающих устройств объекта жилого дома Заявителя Бурлуцкой Г.П., с. Займо-Обрыв, Азовский район, Ростовская область, к.н. 45:01:0140401:3699 (1 шт.)</t>
  </si>
  <si>
    <t>Установка прибора коммерческого учета электрической энергии (мощности) на границе земельного участка, подключенного от опоры №13-125 ВЛ 0,4 кВ №3 КТП 10/0,4 кВ №13 ВЛ 10 кВ №3125 ПС 110/35/10 кВ А-31 для технологического присоединения энергопринимающих устройств объекта жилого дома Заявителя Готьван А.В., с. Головатовка, Азовский район, Ростовская область, к.н. 45:01:0140301:1932 (1 шт.)</t>
  </si>
  <si>
    <t>Установка прибора коммерческого учета электрической энергии (мощности) на границе земельного участка, подключенного от опоры №136-43 ВЛ 0,4 кВ №2 КТП 10/0,4 кВ №136 ВЛ 10 кВ №3113 ПС 110/35/10 кВ А-31 для технологического присоединения энергопринимающих устройств объекта жилого дома Заявителя Левченко С.А., с. Пешково, Азовский район, Ростовская область, к.н. 45:01:0140101:9208 (1 шт.)</t>
  </si>
  <si>
    <t>Установка прибора коммерческого учета электрической энергии (мощности) на границе земельного участка, подключенного от оп. №60-39 ВЛ-0,4 №3 КТП-60 ВЛ-10 318 от ПС 35 кВ КГ3 для технологического присоединения энергопринимающих устройств объекта малоэтажной жилой застройки заявителя Королёвой Т.С., Ростовская обл., Кагальницкий р-н, х. Николаевский, ул. Луговая д.161 к.н. 61:14:0050701:17 (1 шт.)</t>
  </si>
  <si>
    <t>Установка прибора коммерческого учета электрической энергии (мощности) на границе земельного участка, подключенного от оп. №135Н-6 ВЛ-0,4 №2 КТП-135Н ВЛ-10 805 от ПС 110 кВ БОС для технологического присоединения энергопринимающих устройств объекта малоэтажной жилой застройки заявителя Хаваева Е.С., Ростовская обл., Кагальницкий р-н, п. Мокрый Батай, ул. 40 лет Победыд.20-Б к.н. 61:14:0060101:2290 (1 шт.)</t>
  </si>
  <si>
    <t>Установка прибора коммерческого учета электрической энергии (мощности) на границе земельного участка, подключенного от опоры №11-10 ВЛ-0,4 №1 КТП-11 ВЛ-10 104 ПС 110 кВ Звонкая для технологического присоединения энергопринимающих устройств малоэтажной жилой застройки Заявителя Шелехова Е.Л., Ростовская область, Кагальницкий р-н, ст. Хомутовская, ул. Новая д.16-А к.н. 61:14:0070101:365» (1 шт.)</t>
  </si>
  <si>
    <t>Установка прибора коммерческого учета электрической энергии (мощности) на границе земельного участка, подключенного от оп. №199-17 ВЛ-0,4 №2 КТП-199 ВЛ-10 805 от ПС 110 кВ БОС для технологического присоединения энергопринимающих устройств объекта малоэтажной жилой застройки заявителя Ягиев Э.В., Ростовская обл., Кагальницкий р-н, п. Мокрый Батай, ул. Вишневая д.67 к.н. 61:14:0060101:1326 (1 шт.)</t>
  </si>
  <si>
    <t>Установка прибора коммерческого учета электрической энергии (мощности) на границе земельного участка, подключенного от опоры №9-96 ВЛ 0,4 кВ №2 КТП 10/0,4 кВ №9 ВЛ 10 кВ №3209 ПС 110/35/10 кВ А-32 для технологического присоединения энергопринимающих устройств объекта жилого дома Заявителя Насека С.С., х. Христичево, Азовский район, Ростовская область, к.н. 61:01:0010601:75 (1 шт.)</t>
  </si>
  <si>
    <t>Установка прибора коммерческого учета электрической энергии (мощности) на границе земельного участка, подключенного от опоры №71-5 ВЛ 0,4 кВ №1 КТП 10/0,4кВ №71 ВЛ 10кВ №105Н ПС 110/10/6 кВ НС-1 для технологического присоединения энергопринимающих устройств объекта нежилой застройки Заявителя Шаповал Н.В., х. Усть-Койсуг, Азовский район, Ростовская область, к.н. 61:01:0030901:508 (1 шт.)</t>
  </si>
  <si>
    <t>Установка прибора коммерческого учета электрической энергии (мощности) на границе земельного участка, подключенного от опоры №44-88 ВЛ 0,4 кВ №1 КТП 10/0,4 кВ №44 ВЛ 10 кВ №1107 ПС 35/10 кВ А-11 для технологического присоединения энергопринимающих устройств объекта жилого дома Заявителя Вьюкиной Е.А., с. Кагальник, Азовский район, Ростовская область, к.н. 45:01:0060101:13116 (1 шт.)</t>
  </si>
  <si>
    <t>Установка прибора коммерческого учета электрической энергии (мощности) на границе земельного участка, подключенного от опоры №214-20 ВЛ 0,4 кВ №1 КТП 10/0,4 кВ №214 ВЛ 10 кВ №301Н ПС 110/35/6/10 кВ НС-3 для технологического присоединения энергопринимающих устройств объекта жилого дома Заявителя Лашина А.Ю., х. Песчаный, Азовский район, Ростовская область, к.н. 45:01:0040901:948 (1 шт.)</t>
  </si>
  <si>
    <t>Установка прибора коммерческого учета электрической энергии (мощности) на границе земельного участка, подключенного от опоры №158-21 ВЛ 0,4 кВ №2 КТП 10/0,4 кВ №158 ВЛ 10 кВ №1019 ПС 110/35/10 кВ Самарская для технологического присоединения энергопринимающих устройств объекта жилого дома Заявителя Ковалевой М.С., х. Победа, Азовский район, Ростовская область, к.н. 45:01:0041001:1708 (1 шт.)</t>
  </si>
  <si>
    <t>Установка прибора коммерческого учета электрической энергии (мощности) на границе земельного участка, подключенного от опоры №48-12 ВЛ 0,4 кВ №1 КТП 10/0,4 кВ №48 ВЛ 10 кВ №1815 ПС 35/10 кВ А-18 для технологического присоединения энергопринимающих устройств объекта жилого дома Заявителя Пустового Э.Б., Рыболовецкий колхоз им. Ленина, Азовский район, Ростовская область, к.н. 45:01:0600002:2470 (1 шт.)</t>
  </si>
  <si>
    <t>Установка прибора коммерческого учета электрической энергии (мощности) на границе земельного участка, подключенного от опоры №25-8 ВЛ 0,4 кВ №1 КТП 10/0,4 кВ №25 ВЛ 10 кВ №1815 ПС 35/10 кВ А-18 для технологического присоединения энергопринимающих устройств объекта жилого дома Заявителя Костина С.А., х. Колузаево, Азовский район, Ростовская область, к.н. 45:01:0030501:985 (1 шт.)</t>
  </si>
  <si>
    <t>Установка прибора коммерческого учета электрической энергии (мощности) на границе земельного участка, подключенного от опоры №48-80 ВЛ 0,4 кВ №1 КТП 10/0,4 кВ №48 ВЛ 10 кВ №1815 ПС 35/10 кВ А-18 для технологического присоединения энергопринимающих устройств объекта жилого дома Заявителя Леонидовой К.И., Рыболовецкий колхоз им. Ленина, Азовский район, Ростовская область, к.н. 45:01:0600002:3261 (1 шт.)</t>
  </si>
  <si>
    <t>Установка прибора коммерческого учета электрической энергии (мощности) на границе земельного участка, подключенного от опоры №225-15 ВЛ 0,4 кВ №1 КТП 10/0,4 кВ №225 ВЛ 10 кВ №2907 РП-29 ПС 35/10 кВ А-18 для технологического присоединения энергопринимающих устройств объекта жилого дома Заявителя Татариновой О.А., СТ Экран, Азовский район, Ростовская область, к.н. 45:01:0030601:6310 (1 шт.)</t>
  </si>
  <si>
    <t>Установка прибора коммерческого учета электрической энергии (мощности) на границе земельного участка, подключенного от опоры №46-5 ВЛ 0,4 кВ №1 КТП 10/0,4кВ №46 ВЛ 10кВ №1815 ПС 35/10 кВ А-18 для технологического присоединения энергопринимающих устройств объекта нежилого здания Заявителя Айрапетян Ж.К., х. Обуховка, Азовский район, Ростовская область, к.н. 61:01:0030801:1026 (1 шт.)</t>
  </si>
  <si>
    <t>Установка прибора коммерческого учета электрической энергии (мощности) на границе земельного участка, подключенного от опоры №98-8 ВЛ 0,4 кВ №2 КТП 10/0,4 кВ №98 ВЛ 10 кВ №1815 ПС 35/10 кВ А-18 для технологического присоединения энергопринимающих устройств объекта торговли Заявителя ИП Никитенко Д.В., х. Колузаево, Азовский район, Ростовская область, к.н. 45:01:0600002:2581 (1 шт.)</t>
  </si>
  <si>
    <t>Установка прибора коммерческого учета электрической энергии (мощности) на границе земельного участка, подключенного от опоры №42-59 ВЛ 0,4 кВ №2 КТП 10/0,4 кВ №42 ВЛ 10 кВ №1802 ПС 35/10 кВ А-18 для технологического присоединения энергопринимающих устройств объекта жилого дома Заявителя Елкина Р.П., х. Рогожкино, Азовский район, Ростовская область, к.н. 45:01:0160101:0203 (1 шт.)</t>
  </si>
  <si>
    <t>Установка прибора коммерческого учета электрической энергии (мощности) на границе земельного участка, подключенного от опоры №187-9 ВЛ 0,4 кВ №1 КТП 10/0,4 кВ №187 ВЛ 10 кВ №1815 ПС 35/10 кВ А-18 для технологического присоединения энергопринимающих устройств объекта жилого дома Заявителя Помелова А.М., х. Курган, Азовский район, Ростовская область, к.н. 45:01:0030701:581 (1 шт.)</t>
  </si>
  <si>
    <t>Установка прибора коммерческого учета электрической энергии (мощности) на границе земельного участка, подключенного от опоры №152-47 ВЛ 0,4 кВ №3 КТП 10/0,4 кВ №152 ВЛ 10 кВ №1107 ПС 35/10 кВ А-11 для технологического присоединения энергопринимающих устройств объекта жилого дома Заявителя Нестеренко Д.А., с. Кагальник, Азовский район, Ростовская область, к.н. 45:01:0060101:12247 (1 шт.)</t>
  </si>
  <si>
    <t>Установка прибора коммерческого учета электрической энергии (мощности) на границе земельного участка, подключенного от опоры №113-20 ВЛ 0,4 кВ №1 КТП 10/0,4 кВ №113 ВЛ 10 кВ №1020 ПС 110/35/10 кВ Самарская для технологического присоединения энергопринимающих устройств объекта жилого дома Заявителя Швецовой Н.С., п. Суходольск, Азовский район, Ростовская область, к.н. 45:01:0170501:334 (1 шт.)</t>
  </si>
  <si>
    <t>Установка прибора коммерческого учета электрической энергии (мощности) на границе земельного участка, подключенного от опоры №8-81 ВЛ 0,4 кВ №3 КТП 10/0,4 кВ №8 ВЛ 10 кВ №1014 ПС 110/35/10 кВ Самарская для технологического присоединения энергопринимающих устройств объекта жилого дома Заявителя Науменко А.Л., с. Самарское, Азовский район, Ростовская область, к.н. 45:01:0170103:6371 (1 шт.)</t>
  </si>
  <si>
    <t>Установка прибора коммерческого учета электрической энергии (мощности) на границе земельного участка, подключенного от опоры №8-81 ВЛ 0,4 кВ №3 КТП 10/0,4 кВ №8 ВЛ 10 кВ №1014 ПС 110/35/10 кВ Самарская для технологического присоединения энергопринимающих устройств объекта жилого дома Заявителя Рыжкиной И.И., с. Самарское, Азовский район, Ростовская область, к.н. 45:01:0170103:6370 (1 шт.)</t>
  </si>
  <si>
    <t>Установка прибора коммерческого учета электрической энергии (мощности) на границе земельного участка, подключенного от опоры №25-87 ВЛ 0,4 кВ №1 КТП 10/0,4 кВ №25 ВЛ 10 кВ №1815 ПС 35/10 кВ А-18 для технологического присоединения энергопринимающих устройств объекта жилого дома Заявителя Талановой Т.А., х. Колузаево, Азовский район, Ростовская область, к.н. 61:01:0030501:850 (1 шт.)</t>
  </si>
  <si>
    <t>Установка прибора коммерческого учета электрической энергии (мощности) на границе земельного участка, подключенного от опоры №122-33 ВЛ 0,4 кВ №2 КТП 10/0,4 кВ №122 ВЛ 10 кВ №1101 ПС 35/10 кВ А-11 для технологического присоединения энергопринимающих устройств объекта хозяйственной постройки Заявителя Куденцовой А.П., с. Кагальник, Азовский район, Ростовская область, к.н. 61:01:0060101:4043 (1 шт.)</t>
  </si>
  <si>
    <t>Установка прибора коммерческого учета электрической энергии (мощности) на границе земельного участка, подключенного от опоры №48-15 ВЛ 0,4 кВ №1 КТП 10/0,4 кВ №48 ВЛ 10 кВ №1815 ПС 35/10 кВ А-18 для технологического присоединения энергопринимающих устройств объекта жилого дома Заявителя Горюновой Е.А., Рыболовецкий колхоз им.Ленина, Азовский район, Ростовская область, к.н. 61:01:0600002:2545 (1 шт.)</t>
  </si>
  <si>
    <t>Установка прибора коммерческого учета электрической энергии (мощности) на границе земельного участка, подключенного от опоры №184-3 ВЛ 0,4 кВ №1 КТП 10/0,4 кВ №184 ВЛ 10 кВ №1106 ПС 35/10 кВ А-11 для технологического присоединения энергопринимающих устройств объекта нежилой застройки Заявителя ИП Гриценко Н.М., г. Азов, Азовский район, Ростовская область, к.н. 61:45:0000414:410 (1 шт.)</t>
  </si>
  <si>
    <t>Установка прибора коммерческого учета электрической энергии (мощности) на границе земельного участка, подключенного от опоры №25-154 ВЛ 0,4 кВ №1 КТП 10/0,4 кВ №25 ВЛ 10 кВ №1815 ПС 35/10 кВ А-18 для технологического присоединения энергопринимающих устройств объекта жилого дома Заявителя Летуновской Н.А., х. Колузаево, Азовский район, Ростовская область, к.н. 61:01:0030501:1998 (1 шт.)</t>
  </si>
  <si>
    <t>Установка прибора коммерческого учета электрической энергии (мощности) на границе земельного участка, подключенного от опоры №173-1 ВЛ 0,4 кВ №1 КТП 10/0,4 кВ №173 ВЛ 10 кВ №1606 ПС 35/10 кВ А-16 для технологического присоединения энергопринимающих устройств объекта строительный городок Заявителя ООО «Таганрогское ДСУ»», п. Новомирский, Азовский район, Ростовская область, к.н. 61:01:0600018:1589 (1 шт.)</t>
  </si>
  <si>
    <t>Установка прибора коммерческого учета электрической энергии (мощности) на границе земельного участка, подключенного от опоры №101-13 ВЛ 0,4 кВ (бесхозная) КТП 6/0,4 кВ №101 ВЛ 6 кВ №10701 ПС 110/35/6 кВ А-1 для технологического присоединения энергопринимающих устройств объекта жилого дома Заявителя Пушкаренко Д.Г., г. Азов, Азовский район, Ростовская область, к.н. 61:45:0000446:356 (1 шт.)</t>
  </si>
  <si>
    <t>Установка прибора коммерческого учета электрической энергии (мощности) на границе земельного участка, подключенного от опоры №88-3 ВЛ 0,4 кВ №1 КТП 10/0,4 кВ №88 ВЛ 10 кВ №3127 ПС 110/35/10 кВ А-31 для технологического присоединения энергопринимающих устройств объекта жилого дома Заявителя Кейльман О.Ю., с. Займо-Обрыв, Азовский район, Ростовская область, к.н. 61:01:0140401:3362 (1 шт.)</t>
  </si>
  <si>
    <t>Установка прибора коммерческого учета электрической энергии (мощности) на границе земельного участка, подключенного от опоры №153-41 ВЛ 0,4 кВ №1 КТП 10/0,4 кВ №153 ВЛ 10 кВ №915 ПС 35/10 кВ А-9 для технологического присоединения энергопринимающих устройств объекта жилого дома Заявителя Жуковой Н.С., с. Платоно-Петровка, Азовский район, Ростовская область, к.н. 61:01:0110601:1252 (1 шт.)</t>
  </si>
  <si>
    <t>Установка прибора коммерческого учета электрической энергии (мощности) на границе земельного участка, подключенного от опоры №350-38/10 ВЛ 0,4 кВ №1 КТП 6/0,4 кВ №350 ВЛ 6 кВ №207Н ПС 110/6/10 кВ НС-2 для технологического присоединения энергопринимающих устройств объекта жилого дома Заявителя Джиникашвили., СНТ «Квант», Азовский район, Ростовская область, к.н. 61:01:0502901:1591 (1 шт.)</t>
  </si>
  <si>
    <t>Установка прибора коммерческого учета электрической энергии (мощности) на границе земельного участка, подключенного от опоры №102-69 ВЛ 0,4 кВ №2 КТП 10/0,4кВ №102 ВЛ 10кВ №2907 РП-29 ПС 35/10 кВ А-18 для технологического присоединения энергопринимающих устройств объекта нежилой застройки Заявителя Дубовик Р.С., х. Обуховка, Азовский район, Ростовская область, к.н. 61:01:0030801:593 (1 шт.)</t>
  </si>
  <si>
    <t>Установка прибора коммерческого учета электрической энергии (мощности) на границе земельного участка, подключенного от опоры №118-63 ВЛ 0,4 кВ №1 КТП 10/0,4 кВ №118 ВЛ 10 кВ №1101 ПС 35/10 кВ А-11 для технологического присоединения энергопринимающих устройств объекта торговли (магазин) Заявителя ИП Дубовик Р.С., с. Кагальник, Азовский район, Ростовская область, к.н. 61:01:0060101:167 (1 шт.)</t>
  </si>
  <si>
    <t>Установка прибора коммерческого учета электрической энергии (мощности) на границе земельного участка, подключенного от опоры №18-57   ВЛ-0,4 №2 КТП-18 ВЛ-10 605  ПС 35 кВ КГ6 для технологического присоединения энергопринимающих устройств нежилой застройки Заявителя ИП Заргаряан В.Р., Ростовская область, Кагальницкий   р-н, п. Новобатайск, ул. Ленина д.57 к.н.: 61:14:0040113:55(1 шт.)</t>
  </si>
  <si>
    <t>Установка прибора коммерческого учета электрической энергии (мощности) на границе земельного участка, подключенного от опоры №176-6  ВЛ-0,4 №1 КТП-176 ВЛ-10 319  ПС 35 кВ КГ3 для технологического присоединения  энергопринимающих устройств автозаправочной станции Заявителя ООО «Лукойл-Югнефтепродукт» Ростовская область, Кагальницкий р-н, ст. Кировская, ул. Кирова д.2Б к.н.: 61:14:0050143:39 (1 шт.)</t>
  </si>
  <si>
    <t>Установка прибора коммерческого учета электрической энергии (мощности) на границе земельного участка, подключенного от РУ-0,4 кВ КТП-32 ВЛ-10 313 ПС 35 кВ КГ3 для технологического присоединения  энергопринимающих устройств производственного здания/помещения Заявителя ИП Попова К.В. Ростовская область, Кагальницкий р-н, ст. Кировская, ул. Московская д.93 к.н.: 61:14:0600019:831(1 шт.)</t>
  </si>
  <si>
    <t>Установка прибора коммерческого учета электрической энергии (мощности) на границе земельного участка, подключенного от опоры №59-36 ВЛ-0,4 кВ №1 КТП 10/0,4 кВ №59 по ВЛ 10 кВ №2608 ПС 110/10 кВ А-26 для технологического присоединения энергопринимающих устройств магазина Заявителя Аракелян В.В., с. Кулешовка, Азовский район,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</si>
  <si>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№48-75 ВЛ 0,4 кВ №1 КТП 10/0,4кВ №48 ВЛ 10кВ №1815 ПС 35/10 кВ А-18 для технологического присоединения энергопринимающих устройств объекта жилого дома Заявителя Житкова Д.В., Рыболовецкий колхоз им.Ленина, Азовский район, Ростовская область, к.н. 61:01:0600002:3028 (1 шт.)</t>
  </si>
  <si>
    <t>Установка прибора коммерческого учета электрической энергии (мощности) на границе земельного участка, подключенного от опоры №7-14 ВЛ 0,4 кВ №1 КТП 10/0,4кВ №7 ВЛ 10кВ №3125 ПС 110/35/10 кВ А-31 для технологического присоединения энергопринимающих устройств объекта общественного питания Заявителя ИП Каплиной А.В., с. Пешково, Азовский район, Ростовская область, к.н. 61:010140101:3098 (1 шт.)</t>
  </si>
  <si>
    <t>Установка прибора коммерческого учета электрической энергии (мощности) на границе земельного участка, подключенного от опоры №29-1 ВЛ-0,4 №1 КТП-29 ВЛ-10 1402 ПС 110 кВ ЗР14 для технологического присоединения энергопринимающих устройств малоэтажной жилой застройки Заявителя Перетятько В.И. Ростовская область, Зерноградский р-н, с. Светлоречное, ул. Садовая д.20 кв.3 к.н. 61:12:0020201:114 (1 шт.)</t>
  </si>
  <si>
    <t>Установка прибора коммерческого учета электрической энергии (мощности) на границе земельного участка, подключенного от опоры №21-34 ВЛ 0,4кВ №3 КТП 10/0,4 кВ №21 ВЛ 10кВ №1815 ПС 110/35/10 кВ А-18 для технологического присоединения энергопринимающих устройств объекта торговли (магазин) Заявителя Хасабова Д.М., х. Городище, Азовский район, Ростовская область, к.н. 61:01:0030201:645 (1 шт.)</t>
  </si>
  <si>
    <t xml:space="preserve">Установка прибора коммерческого учета электрической энергии (мощности) на границе земельного участка, подключенного от опоры №48-49 ВЛ-0,4 кВ №1 КТП 10/0,4 кВ №48 по ВЛ 10 кВ №1815 ПС 35/10 кВ А-18 для технологического присоединения энергопринимающих устройств нежилой застройки Заявителя ИП Коломийцева В.В., трасса «Ростов-Рогожкино», к юго-востоку от СНТ «Надежда-4», Азовский район, Ростовская область, к.н. 61:01:0600002:249 (1 шт.)
</t>
  </si>
  <si>
    <t xml:space="preserve">Установка прибора коммерческого учета электрической энергии (мощности) на границе земельного участка, подключенного от опоры №48-49 ВЛ-0,4 кВ №1 КТП 10/0,4 кВ №48 по ВЛ 10 кВ №1815 ПС 35/10 кВ А-18 для технологического присоединения энергопринимающих устройств нежилой застройки Заявителя ИП Коломийцева В.В., трасса «Ростов-Рогожкино», к юго-востоку от СНТ «Надежда-4», Азовский район, Ростовская область, к.н. 61:01:0600002:2529 (1 шт.)
</t>
  </si>
  <si>
    <t>Установка прибора коммерческого учета электрической энергии (мощности) на границе земельного участка, подключенного от опоры №16-7 ВЛ-0,4 №1 КТП-16 ВЛ-10 501 ПС 35 кВ ЗР5 для технологического присоединения энергопринимающих устройств здания школы Заявителя МБОУ Гуляй-Борисовская СОШ Зерноградского р-на, Ростовская область, Зерноградский р-н, х. Гуляй-Борисовка, пер. 50 лет ВЛКСМ д.1 к.н.: 61-61-16/036/2007-108(1 шт.)</t>
  </si>
  <si>
    <t>Установка прибора коммерческого учета электрической энергии (мощности) на границе земельного участка, подключенного от опоры №4-54 ВЛ 0,4 кВ №2 КТП 10/0,4кВ №4 ВЛ 10кВ №1314 ПС 35/10 кВ А-13 для технологического присоединения энергопринимающих устройств объекта нежилой застройки (хозяйственная постройка, нежилое здание) Заявителя ИП Мангасаров С.Д., с. Елизаветовка, Азовский район, Ростовская область, к.н. 61:01:0020101:2562 (1 шт.)</t>
  </si>
  <si>
    <t>Установка прибора коммерческого учета электрической энергии (мощности) на границе земельного участка, подключенного от опоры №43-18 ВЛ-0,4кВ №1 ТП-10/0,4 кВ №43 ВЛ-10кВ №1802 ПС 35/10 кВ А-18 для технологического присоединения энергопринимающих устройств объекта металлобаза Заявителя ИП Фролкин В.В., х. Рогожкино, Азовский район, Ростовская область, к.н. 61:01:0160101:862 (1 шт.)</t>
  </si>
  <si>
    <t>Установка прибора коммерческого учета электрической энергии (мощности) на границе земельного участка, подключенного от РУ 0,4 кВ ТП 10/0,4кВ №354 ВЛ 10кВ №1106 ПС 35/10 кВ А-11 для технологического присоединения энергопринимающих устройств объекта земельный участок Заявителя ИП Фирсова И.В., г. Азов, ул. Победы, д. 53, Ростовская область, к.н. 61:45:0000414:766 (1 шт.)</t>
  </si>
  <si>
    <t>Установка прибора коммерческого учета электрической энергии (мощности) на границе земельного участка, подключенного от опоры №381-16 ВЛ 0,4 кВ №1 ТП 10/0,4кВ №381 ВЛ 10кВ №106Н ПС 110/10/6 кВ НС-1 для технологического присоединения энергопринимающих устройств объекта нежилой застройки Заявителя ИП Христюченко М.Г., ДНТ Кулешовка, Азовский район, Ростовская область, к.н. 61:01:0600006:10180 (1 шт.)</t>
  </si>
  <si>
    <t>Установка прибора коммерческого учета электрической энергии (мощности) на границе земельного участка, подключенного от опоры 
№81-79 ВЛ-0,4 №1 КТП-81 ВЛ-10 501 ПС 35 кВ ЗР5 для технологического присоединения энергопринимающих устройств объекта торговли Заявителя ИП Мироненко С.А., Ростовская область, Зерноградский р-н, х. Гуляй-Борисовка, пер. 50 лет ВЛКСМ д.7/51 к.н. 61:12:0011219:30 (1 шт.)</t>
  </si>
  <si>
    <t>Установка прибора коммерческого учета электрической энергии (мощности) на границе земельного участка, подключенного от опоры (номер опоры определить при проектировании) ВЛ 0,4 кВ №6 ТП 10/0,4кВ №174 ВЛ 10кВ №1011 ПС 110/35/10 кВ Самарская для технологического присоединения энергопринимающих устройств объекта нежилой застройки (хозяйственная постройка, нежилое здание) Заявителя ИП Зина А.Н., с. Самарское, Азовский район, Ростовская область, к.н. 61:01:0600014:3844 (1 шт.)</t>
  </si>
  <si>
    <t>Установка прибора коммерческогоучета электрической энергии (мощности) в точке поставки и монтажответвления от ВЛИ к вводу для присоединения малоэтажной жилой застройки Гончаровой А.А., расположенной по адресу: Ростовская область, Волгодонскойрайон, станица Романовская, ул. 75 лет Победы, д. 26, К.Н.З.у.:61:08:0600601:4583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</si>
  <si>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Болдырева И.В, расположенного по адресу: Ростовская обл., Волгодонской р-н, ст. Романовская, ул. 75 лет Победы, д.60, 61:08:0600601:4617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</si>
  <si>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Комаров В.Б, расположенного по адресу: Ростовская обл., Волгодонской р-он, примерно в 1300 м. по направлению на юго-запад от ориентира здание Администрации Рябичевского сельского поселения х. Рябичев, ул. Советская д. 47, 61:08:600501:0072</t>
  </si>
  <si>
    <t>Установка коммерческого учета электрической энергии (мощности)  в точке поставки и установка шкафа 0,4 кВ по присоединению бани-сауны Шарыгина С.Г., расположенной по адресу: Ростовская область, г. Волгодонск, ул. Отдыха, д.5а, кадастровый номер земельного участка 61:48:0020101:1380</t>
  </si>
  <si>
    <t>Установка прибора коммерческого учета электрической энергии (мощности) в точке поставки для присоединения малоэтажной жилой застройки Климова Г.А., расположенной по адресу: Ростовская область, Волгодонской район, х. Рябичев, ул. Парковая, д. 9, кв. 1, к.н.з.у.: 61:08:0030104:8</t>
  </si>
  <si>
    <t>Установка прибора коммерческого учета электрической энергии (мощности) в точке поставки для присоединения малоэтажной жилой застройки Савченко Е.Г., расположенной по адресу: Ростовская область, Волгодонской район, станица Романовская, ул. 75 лет Победы, д. 30, к.н.з.у.: 61:08:0600601:4587</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</si>
  <si>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Лобова С.Н., расположенного по адресу: Ростовская область, Константиновский район, х. Почтовый, ул. Центральная, д. 10, к.н.з.у.: 61:17:0060101:263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</si>
  <si>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(индивидуального жилого дома/садового/дачного дома) Марковой Е.В., расположенной по адресу: Ростовская область, Константиновский район, х. Ермилов, ул. Степная, д.28, к.н.з.у.: 61:17:0070401:211</t>
  </si>
  <si>
    <t>Установка прибора коммерческого учета электрической энергии (мощности) в точке поставки и монтаж ответвления от ВЛ к вводу для присоединения торгового павильона ИП Васиной Е.В., расположенного по адресу: Ростовская область, Константиновский район, станица Николаевская, ул. Центральная, д. 26а, к.н.з.у.: 61:17:0050101:1396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</si>
  <si>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(индивидуального жилого дома/садового/дачного дома) Павловой Н.П., расположенной по адресу: Ростовская область, Константиновский район, х. Ведерников, ул. Донская, д. 1, к.н.з.у.: 61:17:0010602:353 (1 шт)</t>
  </si>
  <si>
    <t>Установка прибора коммерческого учета электрической энергии (мощности) в точке поставки для присоединения квартиры Гичимагомедова К.Б., расположенной по адресу: Ростовская область, Зимовниковский район, п. Красностепной, ул. Первомайская, д.3, кв.2, к.н.з.у.: 61:13:0100105:63</t>
  </si>
  <si>
    <t>Установка прибора коммерческого учета электрической энергии (мощности) в точке поставки и монтаж ответвления от ВЛИ к вводу для жилого дома Нетутина Р.И, расположенного по адресу:Ростовская область, Зимовниковский район, х. Савоськин,ул. Центральная, д.31, К.Н.З.у.: 61:13:0110102:25»,</t>
  </si>
  <si>
    <t>Установка прибора коммерческого учета электрической энергии (мощности) в точке поставки для присоединения жилого дома Чалапова А.С., расположенного по адресу: Ростовская область, Зимовниковский район, х. Николаевский, ул. Мира, д. 43А, к.н.з.у.: 61:13:0080901:333</t>
  </si>
  <si>
    <t>Установка прибора коммерческогоучета электрической энергии (мощности) в точке поставки и монтажответвления от ВЛИ к вводу для присоединения жилого дома Жаналиева И.А., расположенного по адресу: Ростовская область, Зимовниковский район, х. Полстяной, ул. Рабочая, Д. 17, К.Н.З.у.: 61:13:090301:0003</t>
  </si>
  <si>
    <t>Установка прибора коммерческого учета электрической энергии (мощности) в точке поставки для присоединения СТО Жданов А.А., расположенной по адресу 347463 Российская Федерация, Ростовская обл., п. Зимовники  ул., Магистральная ул. Магистральная, д. 65Б, кадастровый номер земельного участка: 61:13:0010125:</t>
  </si>
  <si>
    <t>Установка прибора коммерческого учета электрической энергии (мощности) в точки поставки и монтаж ответвлений от ВЛ к вводу для присоединения малоэтажной жилой застройки Ермаковой Н.М., расположенной по адресу: Ростовская область, Мартыновский район, п.Новоберезовка, ул. Питерская, д.20 кв./оф 2, к.н.з.у.: 61:20:0090101:729"</t>
  </si>
  <si>
    <t>Установка прибора коммерческого учета электрической энергии (мощности) в точке поставки и монтаж ответвления от ВЛ к вводу для присоединения базовой станции/оборудования сотовой связи ПАО «Ростелеком», расположенной  по адресу: Ростовская.область, Ремонтненский район, х. Вольный, примерно 100м по направлению на север от rpаниц участка по адресу ул.Веревкина, 41"в" к.н.з.у 61:З2:0020201</t>
  </si>
  <si>
    <t>Установка прибора коммерческого учета электрической энергии (мощности) в точке поставки и монтаж ответвления от ВЛИ к вводу для жилого дома Демидовой Н.В., расположенного по адресу: Ростовская область, Цимлянский район, станица Маркинская, ул. Иринина, д. 27, к.н.з.у.: 61:41:0050102:33</t>
  </si>
  <si>
    <t>Установка прибора коммерческого учета электрической энергии (мощности) в шкафу учета на фасаде здания для присоединения малоэтажной жилой застройки (индивидуального жилого дома/садового/дачного дома ООО «Костины горы», расположенной по адресу: Ростовская область, Константиновский район, х. Старозолотовский, ул. Донских казаков, д. 22, к.н.з.у.: 61:17:0020501:132</t>
  </si>
  <si>
    <t>Установка прибора коммерческого учета электрической энергии (мощности) в точке поставки и монтаж ответвления от ВЛ к вводу для присоединения магазина «Сельмаг» ИП Рустамовой М.М., расположенного по адресу: Ростовская область, Константиновский район, станица Николаевская, ул. Центральная, д. 17а, к.н.з.у.: 61:17:0050101:6946</t>
  </si>
  <si>
    <t>Установка прибора коммерческого учета электрической энергии (мощности) в точке поставки и монтаж ответвления от ВЛ к вводу для присоединения жилой застройки (индивидуального жилого/садового/дачного дома) Анохиной Т.И., расположенного по адресу Ростовская область, Мартыновский район, п. Абрикосовый, ул. Торговая, д. 1, к.н. 61:20:0020201:509</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</si>
  <si>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Мартыновский район, п. Степной Маяк</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</si>
  <si>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Мартыновский район, х. Веселый</t>
  </si>
  <si>
    <t xml:space="preserve">Установка прибора коммерческого учетаэлектрической энергии (мощности) в точке поставки и монтаж ответвления отВЛИ к вводу для присоединения нежилой застройки (хозяйственной постройки,нежилого здания) Магомедова м.х., расположенной по адресу: Ростовскаяобласть, Заветинский район, п. Спорная, проезд. Ковыльный, д. 25, кв.lоф. А,к.н.з.у.: 61: 11:0600006:80»
функции </t>
  </si>
  <si>
    <t>Установка прибора коммерческого учетаэлектрической энергии (мощности) в точке поставки и монтаж ответвления отВЛ к вводу для присоединения малоэтажной жилой застройки(индивидуального жилого дома/садового/дачного дома) Абубакирова П.Х.,расположенной по адресу: Ростовская область, Заветинский район, х. Шебалин,ул. Новоселов, д. 11, кв.lоф. 2, К.Н.З.у.:61:11:0090101:1301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</si>
  <si>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Джабраиловой З.А.,расположенной по адресу: Ростовская область, Заветинский район, с. Кичкино,ул. Быковского, д. 18, К.Н.З.у.: 61:11:0030101:10</t>
  </si>
  <si>
    <t>Установка прибора  коммерческого учета электрической энергии(мощности) в точке поставки и монтаж ответвления от ВЛ к вводу для присоединения малоэтажной жилой застройки( индивидуальный жилой дом/садовый/дачный дом) Иразов И.У., расположенный по адресу: Ростовская область, Заветинский район, х. Фомин, ул. Школьная, д. 50, кв/оф. 2, к.н.з.у.: 61:11:0080101:1287</t>
  </si>
  <si>
    <t>Установка прибора коммерческого учета электрической энергии (мощности) в точке поставки и монтажответвления от ВЛ к вводу для присоединения малоэтажной жилой застройки(индивидуальны1й жилой дом/садовый/дачный .дом) Юсупова С.Н.,расположенной по адресу: Ростовская область, Заветинский район, с. Кичкино,ул. Школьная, д. 14, к.н,з.у.: 61:11:0030101:1409</t>
  </si>
  <si>
    <t>Установка прибора коммерческого учетаэлектрической энергии (мощности) в точке поставки и монтаж ответвления отВЛ к вводу для присоединения малоэтажной жилой застройки(индивидуального жилого дома/садового/дачного дома) Эдиева С.с.,расположенной по адресу: Ростовская область, Заветинский район, х.Воротилов, ул. Степная, д. 7, К.Н.З.у.: 61:11:0070201:41</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</si>
  <si>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 (индивидуальногожилого дома/садового/дачного дома) Бичуева х.Б., расположенной по адресу:Ростовская область, Заветинский район, х. Андреев, проезд. Восточный, д. 7,К.Н.З.у.:61 :11:0600010:512</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</si>
  <si>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ИП Гриценко А.С., расположенного по адресу: Ростовская область, Цимлянский район, г. Цимлянск, ул. Победы, д. 114Б, к.н.з.у.: 61:41:0010506:113</t>
  </si>
  <si>
    <t>Установка прибора коммерческого учета электрической энергии (мощности) в точке поставки для присоединения жилого дома Старченко Н.И., расположенного по адресу: Ростовская область, Цимлянский район, п. Сосенки, ул. Центральная, д. 48, к.н.з.у. 61:41:0030301:59</t>
  </si>
  <si>
    <t>Установка прибора коммерческого учета электрической энергии (мощности) в точке поставки для присоединения жилого дома Даутова Ф.А., расположенного по адресу: Ростовская область, Цимлянский район, п. Сосенки, ул. Центральная, д. 38, к.н.з.у.: 61:41:0030301:54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</si>
  <si>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застройки(индивидуального жилого дома/садового/дачного дома) Малковой Л.И.,расположенной по адресу: Ростовская область, Волгодонской район, станицаРомановская, ул. 70 лет Октября, д. 22а, К.Н.З.у.:61 :08:0600601 :5308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</si>
  <si>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(индивидуальногожилого дома/садового/дачного дома) Грошевой В.Т., расположенной по адресу:Ростовская область, Волгодонской район, станица Романовская, пер.Алферовский, д. 31а, К.Н.З.у.: 61:08:0070123:181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</si>
  <si>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(индивидуального жилого дома/садового/дачного дома) Бакунец С.А., расположенной по адресу: Ростовская область, Волгодонской район, станица Романовская, пер. Котова, д. 88, к.н.з.у.: 61:08:0070126:873</t>
  </si>
  <si>
    <t>Установка прибора коммерческого учета электрической энергии (мощности) в точке поставки и монтажответвления от ВЛИ к вводу для присоединения малоэтажной жилой застройки Бандуркиной О.Ю., расположенной по адресу: Ростовская область, г. Волгодонск, ул. Отдыха, д. 39в17, к.н.з.у.:61:48:0020101:1940</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</si>
  <si>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застройки(индивидуального жилого дома/садового/дачного дома) Левицкого А.А., расположенной по адресу: Ростовская область, Волгодонской район, станица Романовская, пер. Советский, д. 115, к.н.з.у.:61:08:0070107:1182</t>
  </si>
  <si>
    <t>Установка прибора коммерческого учета электрической энергии (мощности) в точке поставки и монтаж ответвления от ВЛИ к вводу для присоединения производственной базы ИП Сардарова К.Н., расположенной по адресу: Ростовская область, Волгодонской район, х. Потапов, 2155 м юго-восточное дома №2 пер. Березовый х. Потапов, д. 64, к.н.з.у.: 61:08:0601501:476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</si>
  <si>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Белан Н.В., расположенной по адресу: Ростовская область, Волгодонской район, станица Романовская, ул. 75 лет Победы, д. 64, к.н.з.у.: 61:08:0600601:4620</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</si>
  <si>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Смирновой Е.М., расположенной по адресу: Ростовская область, Волгодонской район, станица Романовская, ул. Шолохова, д. 7, к.н.з.у.: 61:08:0600601:5048»</t>
  </si>
  <si>
    <t>Установка прибора коммерческого учетаэлектрической энергии (мощности) в точке поставки и монтаж ответвления от ВЛ к вводу для присоединения малоэтажной жилой застройки Авилова А.В.,расположенной по адресу: Ростовская область, Волгодонской район, станицаРомановская, пер. Кожанова, д. 102а, К.Н.З.у.:61:08:0070107:1178</t>
  </si>
  <si>
    <t>Установка прибора коммерческого учета электрической энергии (мощности) в точке поставки для присоединения малоэтажной жилой застройки Лигостаевой Е.А., расположенного по адресу: Ростовская обл, г. Волгодонск, ул. Отдыха, д 39в13, к.н.61:48:0020101:1881</t>
  </si>
  <si>
    <t>Установка прибора коммерческого учета электрической энергии (мощности) в точке поставки для присоединения малоэтажной жилой застройки Марченко Е.Н., расположенного по адресу: Ростовская обл, Волгодонской р-н, х. Погожев, ул. Школьная, д. 24, к.н.61:08:0070401:162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</si>
  <si>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Бортникова Д.В., расположенной по адресу: Ростовская область, Волгодонской район, станица Романовская, ул. Весенняя, д. 1д, к.н.з.у.: 61:08:0070114:569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</si>
  <si>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(индивидуального жилого дома/садового/дачного дома) Хромовских П.Н., расположенной по адресу: Ростовская область, Константиновский район, х. Гапкин, ул. Парковая, д. 18, к.н.з.у.: 61:41:0040101:1905</t>
  </si>
  <si>
    <t>Установка прибора коммерческого учетаэлектрической энергии (мощности) в точке поставки и монтаж ответвления отВJП1 к вводу для присоединения малоэтажной жилой застройки(индивидуального жилого дома/садового/дачного дома) Кукузова Г.А.,расположенной по адресу: Ростовская область, Волгодонской район, х. СухаяБалка, ул. Новоселов, д. 1к, К.Н.З.у.: 61:08:0010401:540</t>
  </si>
  <si>
    <t xml:space="preserve">Установка прибора коммерческого учета электрической энергии (мощности) в точке поставки для присоединения малоэтажной жилой застройки (Индивидуального жилого дома /Садового/Дачного дома) Хунарикова В.М., расположенной по адресу: Ростовская область, Заветинский район, х. Фрунзе, проезд Луговой, д. 4, кв.2, к.н.з.у.: 61:11:0600007:622 </t>
  </si>
  <si>
    <t>Установка прибора коммерческого учетаэлектрической энергии (мощности) в точке поставки и монтаж ответвления отВЛ к вводу для присоединения малоэтажной жилой застройки(Индивидуальный жилой Дом/ Садовый! Дачный дом) Мачаева А.В.,расположенной по адресу: Ростовская область, Заветинский район, х.Потапенко, проезд Торговенский, д. 3, кв./оф. 1, К.Н.З.у.: 61:11:0080301:62»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</si>
  <si>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(индивидуального жилого дома/садового/дачного дома) Ерофеева А.Н., расположенной по адресу: Ростовская область, Цимлянский район, Саркеловское сельское поселение, южнее земельного участка с к.н. 61:41:0600009:1131, к.н.з.у.: 61:41:0600009:1462</t>
  </si>
  <si>
    <t>Установка прибора коммерческого учетаэлектрической энергии (мощности) в точке поставки и монтаж ответвления отВЛ к вводу для присоединения зерносклада N22 ИП главы К(Ф)Х Дробина В.Д.,расположенного по адресу: Ростовская область, Ремонтненский район,Кормовое сельское поселение 0,5 км в юго-западном направлении от п. ТихийЛиман, на 13 отарном участке фермы N22, к.н.о. 61:32:0600010:8519, К.Н.з.у.:61:32:0600010:8527.</t>
  </si>
  <si>
    <t>Установка прибора коммерческого учета электрической энергии (мощности) в точке поставки для присоединения животноводческой точки №38 ООО «Целинный», расположенной по адресу: Ростовская область, Зимовниковский район, 1,2 км по направлению на запад от х. Копанский, к.н.з.у: 61:13:0600013:367</t>
  </si>
  <si>
    <t>Установка шкафа коммерческого учета электрической энергии (мощности) в точке для присоединения подсобного помещения Гаджибагомедова И.А., расположенного по адресу: Ростовская область, Зимовниковский район, х. Плотников, ул. Береговая, д. 11А, кв. 1, к.н.з.у.: 61:13:0040104:249</t>
  </si>
  <si>
    <t>Установка прибора коммерческого учета. электрической энергии (мощности) в точке поставки и монтаж ответвления отВЛИ к вводу для присоединения антенно-мачтового сооружения 61-14999 АО«Первая Башенная Компания», расположенного по адресу: Ростовская область, Зимовниковский район, слобода Верхнесеребряковка, ул. Москового, вблизи д. 26а</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</si>
  <si>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Зимовниковский район, х. Майкопский</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</si>
  <si>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Зимовниковский район, х. Харьковский</t>
  </si>
  <si>
    <t>Установка прибора коммерческого учета электрической энергии (мощности) в точке поставки для присоединения базовой станции ПАО «Ростелеком», расположенной по адресу: Ростовская область, Зимовниковский район, х. Верхоломов</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</si>
  <si>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 Садовый/ Дачный дом) Шикаленко О.О.,расположенной по адресу: Ростовская область, Волгодонской район, станица Романовская, пер. Шолохова, д. 4, к.н.з..у.: 61:08:0600601 :4993»</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</si>
  <si>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 Садовый/ Дачный дом) Буровой Д.А., расположенной по адресу: Ростовская область, Волгодонской район, станица Романовская, пер. Шолохова, д. 12, к.н.з.у.: 61:08:0600601:5037</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</si>
  <si>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 ПеревозчиковаА.Н., расположенной по адресу: Ростовская область, Волгодонской район,станица Романовская, пер. Советский, д. 115А, К.Н.З.у.: 61 :08:0070107:1183</t>
  </si>
  <si>
    <t>Установка прибора коммерческого учета электрической энергии (мощности) в точке поставки для присоединения малоэтажной жилой застройки Торопцова Н.Н., расположенной по адресу: Ростовская область, Волгодонской район, х. Потапов, ул. Садовая, д. 120а, кв.2, к.н.з.у.: 61:08:0040103:75</t>
  </si>
  <si>
    <t>Установка прибора коммерческого учета электрической энергии (мощности) в точке поставки для присоединения спального домика на базе отдыха Скляровой Н.Н., расположенного по адресу: Ростовская область, г. Волгодонск, ул. Отдыха, д. 67, к.н.з.у.: 61:48:0020101:121</t>
  </si>
  <si>
    <t xml:space="preserve">Установка прибора коммерческого учета электрической энергии (мощности) в точке поставки для присоединения дачного дома Богдановой С.М., расположенного по адресу: Ростовская область, Волгодонской район, станица Романовская,  сдт «Энергетик», к.н.з.у. 61:08:0600601:1727 </t>
  </si>
  <si>
    <t>Установка прибора коммерческого учета электрической энергии (мощности) в точке поставки и монтаж ответвления от ВЛ к вводу для присоединения АЗС ИП Царевского Д.Д., расположенной по адресу: Ростовская область, Волгодонской район, п. Победа, пер. Западный, д. 3, к.н.з.у.: 61:08:0601201:455</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</si>
  <si>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Сацкой С.В., расположенной по адресу: Ростовская область, г. Волгодонск, ул. Отдыха, д. 37б15, к.н.з.у.: 61:48:0020101:1829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</si>
  <si>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Гаспарян А.Ю., расположенной по адресу: Ростовская область, Волгодонской район, х. Потапов, ул. Садовая, д. 52, 61-61-11/008/2006-187»</t>
  </si>
  <si>
    <t>Установка прибора коммерческого учета электрической энергии (мощности) в точке поставки для присоединения административно-бытового и складского помещения ИП Кудряшовой М.А., расположенных по адресу: Ростовская область, Константиновский район, Константиновское городское поселение, 0,23 км восточнее х. Ведерников, к.н.з.у.: 61:17:0600017:834</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</si>
  <si>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Микаелян А.Х., расположенного по адресу: Ростовская область, Константиновский район, ст. Нижнежуравская, ул. Солнечная, д. 37, к.н.з.у.: 61:17:0020401:22</t>
  </si>
  <si>
    <t>Установка прибора коммерческого учетаэлектрической энергии (мощности) в точке поставки и монтаж ответвления отВЛ к вводу для присоединения нежилой застройки (хозяйственная постройка,нежилое здание) :ИП главы КФХ Матлахова ю.н., расположенной по адресу:Ростовская область, Заветинский район, х. Савдя, ул. Степная, д. 10, К.Н.З.у.:61:11:0060101:1306</t>
  </si>
  <si>
    <t>Установка прибора коммерческого учетаэлектрической энергии (мощности) в точке поставки и монтаж ответвления отВЛИ к вводу для присоединения жилого дома Моисеенко с.я., расположенногопо адресу: Ростовская область, Зимовниковский район, х. Савоськин, ул.Центральная, д. 79, К.Н.З.у.: 61:13:0110104:11</t>
  </si>
  <si>
    <t>Установка прибора коммерческого учета электрической энергии (мощности) в точке поставки и монтаж ответвления отВЛИ к вводу для присоединения малоэтажной жилой застройки Куделина С.Н.,расположенной по адресу: Ростовская область, Зимовниковский район, х.Савоськин, ул. Кирова, д. 56, кв. 2, к.н.о.: 61:13:110109:0010:011260:2</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</si>
  <si>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Асатрян С.Р., расположенного по адресу: Ростовская область, Зимовниковский район, сл. Верхнесеребряковка, ул. Думенко, д. 105, к.н.з.у.: 61:13:0020102:134</t>
  </si>
  <si>
    <t>Установка прибора коммерческого учета электрической энергии (мощности) в точке поставки для присоединения жилого дома Хуторного А.Н., расположенного по адресу: 347450 Российская Федерация, Ростовская обл., р-н. Зимовниковский, х. Ульяновский, ул. Ульяновская, д. 27, кадастровый номер земельного участка: 61:13:0120703:1</t>
  </si>
  <si>
    <t>Установка прибора коммерческого учета электрической энергии (мощности) в точке поставки для присоединения квартиры Астахова С.М., расположенной по адресу: Ростовская область, Зимовниковский район, х. Камышев, ул. Центральная, д.21, кв.2, кадастровый номер земельного участка: 61:13:0500108:0016</t>
  </si>
  <si>
    <t>Установка прибора коммерческого учета электрической энергии (мощности) в точке поставки для присоединения жилого дома Слабко И.В., расположенного по адресу: Ростовская область, Волгодонской район, х. Потапов, пер. Чехова, д. 1, к.н.з.у.: 61:08:0040108:177</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</si>
  <si>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Сапрыкиной Т.А., расположенного по адресу: Ростовская область, Цимлянский район, станица Лозновская, пер. Цветочный, д. 2, к.н.з.у. 61:41:0040203:46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</si>
  <si>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Потогина К.Ю.,расположенной по адресу: Ростовская область, г. Волгодонск, ул. Отдыха, д. 39в40, К.Н.З.у.:61:48:0020101:18269»</t>
  </si>
  <si>
    <t>Установка прибора коммерческого учета электрической энергии (мощности) в точке поставки и монтаж ответвления от ВЛ к вводу для присоединения антенно-мачтового сооружения 61-14888 АО«ПБК», расположенное по адресу: Ростовская область, Волгодонской район, п. Донской, ул. Гайдара, участок в 15 м от N7 с кадастровым кварталом: 61:08:0060201»</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</si>
  <si>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Пашковой Е.Е., расположенной по адресу: Ростовская область, г. Волгодонск, СНТ Машиностроитель, улица 39-линия, земельный участок 441, к.н.з.у.: 61:48:0020703:280</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</si>
  <si>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Ситниковой Т.Г., расположенной по адресу: Ростовская область, Волгодонской район, х. Лагутники, ул. Первомайская, д. 5, к.н.з.у.:61:08:0070203:236</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</si>
  <si>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Абраменко Н.Н., расположенного по адресу: Ростовская область, Константиновский район, станица Николаевская, ул. Карла Маркса, д. 24, к.н.з.у.: 61:17:0050101:1651</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</si>
  <si>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Константиновский район, х. Почтовый, ул. Центральная, д. 4, к.н.з.у.: 61:17:0060101:799</t>
  </si>
  <si>
    <t>Установка прибора коммерческого учета электрической энергии (мощности) в точке поставки и монтаж ответвления от ВЛ к вводу для присоединения сарая КРС 000 «Буденновский», расположенного по адресу: Ростовская область, Зимовниковский район, х.Камышев, Отделение 2, животноводческая точка Летняя, к.н.о.:61:13:0000000:8405</t>
  </si>
  <si>
    <t>Установка прибора коммерческого учета электрической энергии (мощности) в точке поставки и монтаж ответвления от ВЛ к вводу для присоединения сарая КРС 000 «Буденновский»,расположенного по адресу: Ростовская область, Зимовниковский район, х.Камышев, Отделение 4, животноводческая точка Навозова, к.н.о.:61:13:0000000:8434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</si>
  <si>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Бабичева П.П., расположенной по адресу: Ростовская область, Мартыновский район, х. Малоорловский, ул. Новая, д.7, кв./оф. 1, к.н.о.:61:20:0060101:2787</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</si>
  <si>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прочие) ИП Лещенко Д.В., расположенного по адресу: Ростовская область, Мартыновский район, сл. Большая Орловка, ул. Дорожная д.2/1, к.н.з.у.:61:20:0020101:13653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</si>
  <si>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Хахалина М.М. , расположенной по адресу: Ростовская область, Мартыновский район, х. Комаров, ул. Набережная, д.21, к.н.з.у.:61:20:0050101:502</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</si>
  <si>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Морозова Е.В., расположенной по адресу: Ростовская область, г. Волгодонск, ул. Отдыха, д. 39в31, к.н.з.у.: 61:48:0020101:1543</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</si>
  <si>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здания АО «Почта России», расположенного по адресу: Ростовская область, Волгодонской район, станица Романовская, ул. Почтовая, д. 44, к.н.з.у.: 61:08:0070107:20</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</si>
  <si>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Пак И.Э., расположенной по адресу: Ростовская область, Волгодонской район, станица Романовская, ул. Забазновой, д. 49 А, к.н.з.у.:61 :08:0070114:1039</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</si>
  <si>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Хромыченко М.В., расположенной по адресу: Ростовская область, Волгодонской район, станица Романовская, ул. Почтовая, д. 41 б, к.н.з.у.:61:08:0070102:1102</t>
  </si>
  <si>
    <t>Установка прибора коммерческого учета электрической энергии (мощности) в РУ-0,4 кв абонентского КТП для технологического присоединения базовой станции ПАО «Вымпел-Коммуникации», расположенной по адресу: Ростовская область, г. Волгодонск, ш. Цимлянское, д. 35, к.н.з.у.:61:48:0030190:37:348</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</si>
  <si>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прочее) ИП Терелецкого И.И., расположенного по адресу: Ростовская область, Волгодонской район, х. Рябичев, ул. Театральная, д. 53а, к.н.з.у.: 61:08:0030103:1111 (1 шт)</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</si>
  <si>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Бакунец Л.В., расположенной по адресу: Ростовская обл., Волгодонской р-н, ст-ца Романовская, пер. Колхозный, д. 92, кадастровый номер земельного участка: 61:08:0070126:486</t>
  </si>
  <si>
    <t>Установка прибора коммерческого учета электрической энергии (мощности) в точке поставки и монтаж ответвления от ВЛ к вводу для присоединения строительной площадки Шевыревой Е.А., расположенной по адресу: Ростовская обл., Волгодонской р-н, х. Парамонов, ул. Дачная, д. 6, кадастровый номер земельного участка: 61:08:0070302:7</t>
  </si>
  <si>
    <t>Установка прибора коммерческого учета электрической энергии (мощности) в точке поставки и монтаж ответвления от ВЛИ к вводу для присоединения квартиры Марковой Т.А., расположенной по адресу: Ростовская область, Константиновский район, х. Гапкин, ул. Центральная, д. 76, кв. 2, к.н.з.у.: 61:17:0040101:601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</si>
  <si>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Абудко М.Ю., расположенной по адресу: Ростовская область, Зимовниковский район, х. Иловайский, ул. Молодежная, д. 60, к.н.з.у.: 61:13:0070302:14</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</si>
  <si>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Зимовниковский район, х. Хуторской, ул. Мира, д. 17, помещение 1,2,3, к.н.з.у.: 61:13:0060105:416</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</si>
  <si>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Зимовниковский район, х. Савоськин, ул. Кирова, д. 61, к.н.о.: 61:13:0110101:1289, к.н.з.у.: 61:13:0110101:1253</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</si>
  <si>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АО«Почта России», расположенного по адресу: Ростовская область, Зимовниковский район, х. Глубокий, ул. Южная, д. 12, к.н.о.: 61:13:0040403:285, к.н.з.у.:61:13:0040403:243</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</si>
  <si>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Зимовниковский район, п. Мокрый Гашун, ул. Скибы, д. 8, к.н.о.: 61:13:0090104:68</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</si>
  <si>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области, Мартыновский район, х. Комаров, ул. Никифорова д.37-а</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</si>
  <si>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прочее) ИП Швачки А.Е., расположенной по адресу: Ростовская область, Мартыновский район, слобода Большая Мартыновка, мкр. Аэропорт, д.4, к.н.з.у.: 61:20:0600019:1194)</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</si>
  <si>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прочее) ИП Маржанова Х.У., расположенного по адресу: Ростовская область, Мартыновский район, слобода Большая Орловка, ул. Революционная, д. 56, корп. б, к.н.з.у.: 61:20:0020101:13036</t>
  </si>
  <si>
    <t>Установка прибора коммерческого учетаэлектрической энергии (мощности) в точке поставки и монтаж ответвления от ВЛк вводу для присоединения нежилого помещения АО «Почта России»,расположенного по адресу: Ростовская область, Ремонтненский район, п.Краснопартизанский, ул. Центральная, д. 14А, К.н.О.: 61:32:0070101:1504</t>
  </si>
  <si>
    <t>Установка прибора коммерческогоучета электрической энергии (мощности) в точке поставки и монтажответвления от ВЛИ к вводу для присоединения нежилого помещения АО«Почта России», расположенного по адресу: Ростовская область,Ремонтненский район, с. Киевка, ул. Ленинская, д. 97, К.н.О.:461:32:0050101:1286</t>
  </si>
  <si>
    <t>Установка прибора коммерческогоучета электрической энергии (мощности) в точке поставки и монтаж ответвления от ВЛ к вводу для присоединения нежилого помещения АО «ПочтаРоссии», расположенного по адресу: Ростовская область, Ремонтненскийрайон, с. Кормовое, ул. Ленина, д. 31, к.н.о.: 61:32:0060101:1113</t>
  </si>
  <si>
    <t>Установка прибора коммерческогоучета электрической энергии (мощности) в точке поставки и монтажответвления от ВЛ к вводу для присоединениянежилого помещения АО «ПочтаРоссии», расположенного по адресу: Ростовская область, Ремонтненскийрайон, с. Первомайское, ул. Ленина, д. 28, к.н.о.: 61:32:0080102:248</t>
  </si>
  <si>
    <t>Установка прибора коммерческого учетаэлектрической энергии (мощности) в точке поставки и монтаж ответвления отВЛ к вводу для присоединения нежилого помещения АО «Почта России»,расположенного по адресу: Ростовская область, Ремонтненский район, с.Богородское, ул. Буденного, д. 17, К.Н.З.у.:61:32:0040201:883</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</si>
  <si>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Савченко Г.В., расположенного по адресу: Ростовская область, Ремонтненский район, с. Валуевка, ул. Мира, д. 20А, к.н.о.: 61:32:0020101:89:15, к.н.з.у.: 61:32:0020101:89 (1 шт)</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</si>
  <si>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Дубовский район, станица. Малая Лучка, ул. Центральная,  д. 13, 1,2,3, к.н.о.: 61:09:0060101:566</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</si>
  <si>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ОА «Почта России», расположенного по адресу: 347414 Российская Федерация, Ростовская обл., Дубовский район, х. Сиротский, ул. Первомайская,  д. 44, пом.1.2, к.н.о: 61:09:0090101:1881</t>
  </si>
  <si>
    <t>Установка прибора коммерческогоучета электрической энергии (мощности) в точке поставки и монтажответвления от ВЛ к вводу для присоединения нежилого помещения АО «Почта России», расположенного по адресу: Ростовская область, Заветинский район, х.Никольский, ул. Школьная, д. 11Б, К.Н.з.у.: 61:11:0050101:920»</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</si>
  <si>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Наугольновой О.В., расположенного по адресу: Ростовская область, Цимлянский район, х. Рынок-Каргальский, западнее земельного участка с к.н. 61:41:0040401:16, к.н.з.у.: 61:41:0040401:272</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</si>
  <si>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здания Лазаренко Т.А., расположенного по адресу: Ростовская область, Цимлянский район, п. Дубравный, пер. Виноградный, д. 22, к.н.з.у. 61:41:0030405:38</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</si>
  <si>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нежилой застройки (хозяйственная постройка, нежилое здание) Абрамчук О.Г., расположенной по адресу: Ростовская область, Волгодонской район, х. Лагутники, ул. Луговая, д. 3, к.н.з.у.: 61:08:0070209:205</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</si>
  <si>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Прасолова Н.А., расположенной по адресу: Ростовская область, Волгодонской район, станица Романовская, пер. Бобровский, д. 39, к.н.з.у.: 61:08:0070102:505</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</si>
  <si>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Елисеевой Г.М., расположенного по адресу: Ростовская область, Константиновский район, х. Правда, ул. Набережная, д. 14, к.н.з.у.: 61:17:0050401:111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</si>
  <si>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Пахомовой П.С., расположенной по адресу: Ростовская область, Константиновский район, станица Николаевская, ул. Фридриха Энгельса, д. 104, к.н.з.у.: 61:17:0050101:98</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</si>
  <si>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Долганина В.В., расположенной по адресу: Ростовская область, Константиновский район, станица Николаевская, ул. Степана Разина, д. 7, к.н.з.у.: 61:17:0050101:2278</t>
  </si>
  <si>
    <t>Установка прибора коммерческого учета электрической энергии (мощности) в точке поставки и монтаж ответвления от ВЛИ к вводу для присоединения административного/офисного здания ИП главы К(Ф)Х Корсунова А.В., расположенного по адресу: Ростовская область, Константиновский район, х. Ведерников, Константиновское городское поселение, 0,22 км восточнее х. Ведерников, к.н.з.у.: 61:17:0600017:855</t>
  </si>
  <si>
    <t>Установка прибора коммерческого учета электрической энергии (мощности) в точке поставки и монтаж ответвления от ВЛ к вводу для присоединения артскважины №1 МУПП ЖКХ Зимовниковского района, расположенной по адресу: Ростовская область, Зимовниковский район, х. Верхоломов, в 500 м южнее улицы Молодежная, 12, к.н.о.: 61:13:0600002:107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</si>
  <si>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Комарова И.Н., расположенной по адресу: Ростовская область, Мартыновский район, х. Засальский, ул. Молодежная, д. 7, кв. 1, к.н.з.у.: 61:20:0080301:207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</si>
  <si>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Кибукевич П.Л., расположенной по адресу: Ростовская область, Цимлянский район, х. Рынок-Каргальский, ул. Полевая, д. 1, к.н.з.у.: 61:41:0040401:3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</si>
  <si>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Мальцевой Л.А., расположенного по адресу: Ростовская область, Цимлянский район, станица Красноярская, ул. Победы, д. 17Б, к.н.з.у.: 61:41:0020102:233</t>
  </si>
  <si>
    <t>Установка шкафа коммерческого учета электрической энергии (мощности) в точке поставки и монтаж спуска от проводов ВЛ до шкафа коммерческого учета электрической энергии(мощности) для присоединения административного здания ИП Галова Н.В., расположенного по адресу: Ростовская область, Цимлянский район, г.Цимлянск, ул. Победы, д. 114н, к.н.з.у.:  61:41:0010506:351</t>
  </si>
  <si>
    <t>Установка прибора коммерческого учета электрической энергии (мощности) в точке поставки и монтаж ответвления от ВЛ к вводу для присоединения базовой станции/оборудования сотовой связи ООО «Т2 Мобайл», расположенной по адресу: Ростовская область, Заветинский район, х. Шебалин, ул. Гагарина, 7, кв./оф. 2, 15 метров на север от данного адреса, к.н.з.у.: 61:11:0090101:439</t>
  </si>
  <si>
    <t>Установка прибора коммерческого учета электрической энергии (мощности) в точке поставки имонтаж  ответвления от ВЛ к вводу для присоединения базовой станции/оборудования сотовой связи 000 «Т2 Мобайл», расположенной по адресу: Ростовская область, Заветинский район; с. Тюльпаны, примерно 3 метра по направлению на север от границ участка с кадастровым номером: 61:11:00401О1:843</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</si>
  <si>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Алиевой Р.А., расположенного по адресу: Ростовская обл.,Дубовский район, х. Щеглов, ул. Степная,  д. 6, к.н.з.у.: 61:09:0600004:1136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</si>
  <si>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Сардарова К.Н., расположенной по адресу: Ростовская область, Волгодонской район, х. Потапов, ул. Юбилейная, д. 18д, к.н.з.у.: 61:08:0040110:1446</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</si>
  <si>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Сидоренко О.О., расположенного по адресу: Ростовская область, Волгодонской район, станица Романовская, ул. 75 лет Победы, д. 62, к.н.з.у.: 61:08:0600601:4619</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</si>
  <si>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Седышева В.В., расположенного по адресу: Ростовская область, Волгодонской район, станица Романовская, ул. Одесская, д. 1,к.н.з.у.: 61:08:0600601:3837 (1 шт)</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</si>
  <si>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Седышева В.В., расположенного по адресу: Ростовская область, Волгодонской район, станица Романовская, ул. Одесская, д. 2, к.н.з.у.:61:08:0600601:3852</t>
  </si>
  <si>
    <t>Установка прибора коммерческого учета электрической энергии (мощности) в точке поставки и монтаж ответвления от ВДИ к вводу для присоединения малоэтажной жилой застройки Артемовой Ю.А., расположенной по адресу: Ростовская область, Волгодонской район, Романовская, ул. Смолякова, д. 24, к.н.з.у.: 61:08:0070109:35</t>
  </si>
  <si>
    <t>Установка прибора коммерческого учета электрической энергии (мощности) в точке поставки и монтаж ответвления от ВЛИ к вводу для присоединения антенно-мачтового сооружения связи 61-1132 АО «ПБК», расположенного по адресу: Ростовская область, Волгодонской район, х. Семенкин, ул. Южная, к.н.з.у.: 61:08:0070504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</si>
  <si>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Гончарова Е.А., расположенной по адресу: Ростовская область, Волгодонской район, станица Романовская, пер. Октябрьский, д. 9А, к.н.з.у.: 61:08:0070120:707</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</si>
  <si>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ИП Бакулиной Е.В., расположенного по адресу: Ростовская область, Волгодонской район, п. Мичуринский, ул. Ленина, д. 16, к.н.з.у.: 61:08:0060402:9</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</si>
  <si>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Струкова И.М., расположенной по адресу: Ростовская область, Волгодонской район, станица Романовская, ул. Одесская, д. 48, к.н.з.у.:61:08:0600601:3867</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</si>
  <si>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объекта торговли ИП Когай С.М., расположенного по адресу: Ростовская область, Волгодонской район, станица Романовская, пер. Кожанова, д. 43А, к.н.з.у.: 61:08:0070106:23</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</si>
  <si>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Афанасьева В.Н., расположенной по адресу: Ростовская область, Волгодонской район, станица Романовская, ул. 75 лет Победы, д. 78, к.н.з.у.: 61:08:0600601:4634</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</si>
  <si>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Прынь А.Н., расположенного по адресу: Ростовская область, Константиновский район, х. Старая Станица, ул. Ростовская, д.2, к.н.з.у.: 61:17:0050501:147</t>
  </si>
  <si>
    <t>Установка прибора коммерческого учетаэлектрической энергии (мощности) в точке поставки и монтаж ответвления отВЛ к вводу для присоединения малоэтажной жилой застройки(Индивидуальный жилой дом/Садовый/Дачный дом) Демяненко А.М.,расположенной по адресу: Ростовская область, Мартыновский район, х.Малоорловский, ул. Новая, д. 1В, К.Н.З.у.:61:20:0060101:5182</t>
  </si>
  <si>
    <t>Установка прибора коммерческого учетаэлектрической энергии (мощности) в точке поставки и монтаж ответвления отВЛ к вводу для присоединения кошары ИП главы К(Ф)Х Атаева Д.х.,расположенной по адресу: Ростовская область, Ремонтненский район,территория земель Первомайского сельского поселения, колхоз племзавод«Первомайский»; 61:32:0600011:1:ЗУl (1) - примерно 8.1 км по направлениюна юго-восток от с. Первомайское, 39 отарный участок; 61:32:0600011:1:ЗУ1(2),61:32:0600011:1:ЗУ1(3), 6l:32:0600011:1:ЗУ1(4) - примерно 9.1 км по направлению на юго-восток от с. Первомайское, IX поле l-го полевогосевооборота, Бригада N23, К.Н.З.у.: 61:32:0600011:706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</si>
  <si>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 садовый/ дачный дом) Шабалиной З.Г., расположенной по адресу: Ростовская область, Цимлянский район, х. Карпов, ул. Центральная, д. 27, к.н.з.у. 61:41:0040301:33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</si>
  <si>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Сорокобаткиной Т.В., расположенной по адресу: Ростовская область, Цимлянский район, х.Богатырев, ул. Садовая, д. 15А, к.н.з.у.:   61:41:0070201:38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</si>
  <si>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Киреева С.Н., расположенной по адресу: Ростовская область, Цимлянский район, п. Саркел, пер. Полевой, д. 3-в, к.н.з.у.: 61:41:0011105:59</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</si>
  <si>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Урмаева А.П., расположенной по адресу: Ростовская область, Цимлянский район, п. Саркел, пер. Боевой Славы, д. 7, к.н.з.у.: 61:41:0600009:973</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</si>
  <si>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Самокишевой Н.А., расположенного по адресу: Ростовская область, Цимлянский район, станица Красноярская, ул. Матросова, д. 2а, к.н.з.у. 61:41:020116:16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</si>
  <si>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Ганюшкиной Е.Р., расположенной по адресу: Ростовская область, г. Волгодонск, тер. СНТ Машиностроитель, уч. 1112 ндр, к.н.з.у.: 61:48:0020702:866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</si>
  <si>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Эфендиева С.Р., расположенной по адресу: Ростовская область, г. Волгодонск, тер. СНТ Машиностроитель, уч. 1110 ндр, к.н.з.у.: 61:48:0020702:564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</si>
  <si>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Махадиновой З.М., расположенной по адресу: Ростовская область, Волгодонской район, х. Лагутники, ул. Ленина, д. 22и, к.н.з.у.: 61:08:0070208:275</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</si>
  <si>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Мизюк А.В., расположенной по адресу: Ростовская область, Волгодонской район, станица Романовская, пер. Комсомольский, з/у 59а, к.н.з.у.: 61:08:0070126:897</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</si>
  <si>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нежилого помещения АО «Почта России», расположенного по адресу: Ростовская область, Волгодонской район, п. Виноградный, ул. Ленина, д. 13, пом. 3, к.н.з.у.: 61:08:0050202:758</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</si>
  <si>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Бак Д.Г., расположенного по адресу: Ростовская область, Константиновский район, х. Старая Станица, ул. Донская, д. 23а, к.н.з.у.: 61:17:0050501:747</t>
  </si>
  <si>
    <t>Установка шкафа коммерческого учета электрической энергии (мощности) на наружной стене РУ-0,4 кВ КТП и монтаж проводов от РУ-0,4 кВ КТП до шкафа коммерческого учета электрической энергии (мощности) для присоединения здания технического и инженерного обеспечения ООО «Костины Горы», расположенного по адресу: Ростовская область, Константиновский район, 0,1 километр западнее хутора Старозолотовский, к.н.з.у.: 61:17:0600010:4091</t>
  </si>
  <si>
    <t>Установка прибора коммерческого учета электрической энергии (мощности) в точке поставки и монтаж ответвления отВЛ к вводу для присоединения жилого дома Магомедова КК, расположенногопо адресу: Ростовская область,Ремонтненский район, п. Тихий Лиман, ул.Животноводческая, д. 26, К.Н.З.у.: 61:32:0600010:8538</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</si>
  <si>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Мусаевой А.А., расположенного по адресу: Ростовская область, Ремонтненский район, с. Валуевка, ул. Горяинова, д. 4А, к.н.о.: 61:61:17/015/2005-403, к.н.з.у.: 61:32:002101:310</t>
  </si>
  <si>
    <t>Установка прибора коммерческого учета электрической энергии (мощности) в точке поставки и монтаж ответвления от ВЛИ к вводу для присоединения нежилого здания ООО «Виктория», расположенного по адресу: Ростовская область, Цимлянский район, х. Лозной, ул. Аббясева, д. 27А, к.н.з.у.: 61:41:0030101:32</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</si>
  <si>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Халакурбанова Г.А., расположенного по адресу: Ростовская область, Заветинский район, п. Спорная, проезд. Ковыльный, д. 6, к.н.з.у.: 61:11:0600006:40</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</si>
  <si>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Магомедова М.М., расположенного по адресу: Ростовская область, Дубовский район, х. Щеглов, ул. Молодежная, д. 5, кв. 1, к.н.о.: 61:9:45:У:00:286</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</si>
  <si>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крестьянского (фермерского) хозяйства ИП Главы К(Ф)Х Глуходедова Д.О., расположенного по адресу: Ростовская область, Дубовский район, Романовское сельское поселение, в границах кадастрового квартала 61:09:0600005, к.н.з.у.: 61:09:0600005:2045</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</si>
  <si>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(магазин, торговый центр, прочее) ИП Кудимова В.В., расположенного по адресу: Ростовская область, Волгодонской район, х. Парамонов, ул. Гагарина, д. 22, корп. б, к.н.з.у.: 61:08:0070301:1230</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</si>
  <si>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Александровой Т.А., расположенной по адресу: Ростовская область, Волгодонской район, станица Романовская, пер. Изумрудный, д. 22, к.н.з.у.: 61:08:0070114:707</t>
  </si>
  <si>
    <t>Установка прибора коммерческого учета электрической энергии (мощности) в точке поставки и монтаж ответвления от ВЛИ к вводу для присоединения производственного помещения ИП Никулова А.В., расположенного по адресу: Ростовская область, Волгодонской район, 2 350 м юго-западнее дома №2 ул. Пролетарская, станица Дубенцовская, к.н.з.у.: 61:08:0600201:1393</t>
  </si>
  <si>
    <t>Установка прибора коммерческого учета электрической энергии (мощности) в точке поставки и монтаж ответвления от ВЛ к вводу для присоединения торгового павильона ИП Вифлянцева А.Е., расположенного по адресу: Ростовская область, Константиновский район, х. Вифлянцев, ул. Октябрьская, д. 11, к.н.з.у.: 61:17:0070301:334</t>
  </si>
  <si>
    <t>Установка прибора коммерческого учета электрической энергии (мощности) в точке поставки и монтаж ответвления от ВЛ к вводу для присоединения базовой станции/оборудования сотовой связи ПАО «Ростелеком»», расположенной по адресу: Ростовская область, Константиновский район, х. Суворов, примерно 71 м по направлению на юго-запад от границ участка по адресу: ул. Солнечная, 4, кв. 1 (к.н. 61:17:0040601:81) к.н.з.у.: 61:17:0040601</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</si>
  <si>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объектов наружного освещения Министерства транспорта Ростовской области, расположенных по адресу: Ростовская область, Константиновский район, х. Трофимов, к.н.з.у.: 61:17:0000000:7156</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</si>
  <si>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ПяткинаА.А., расположенного по адресу:Ростовская область, Ремонтненский район, п.Привольный,ул.Садовая,д.  15,  к.н.о.:  61:32:0100101:1606</t>
  </si>
  <si>
    <t>Установка прибора коммерческого учетаэлектрической энергии (мощности) в точке поставки и монтаж ответвления от ВЛ к вводу для присоединения базовой станции/оборудования сотовой связи ПАО«Ростелеком», расположенной по адресу: Ростовская область, Ремонтненский район, х. Раздольный, ул. Центральная, примерно 60 м по направлению на северо-восток от границы участка по адресу: ул. Центральная, 17, К.Н.З.у.:61:32:0050201</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</si>
  <si>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Магомедова Ш.М., расположенного по адресу: Ростовская область, Ремонтненский район, с. Валуевка, ул. Восточная, д. 12, к.н.з.у.: 61:32:0600002:4102</t>
  </si>
  <si>
    <t>Установка прибора коммерческого учета электрической энергии (мощности)  в точке поставки и монтаж ответвления от ВЛ к вводу для  присоединения сарая КРС 000 «Буденновский», расположенного по адресу: Ростовская область, Зимовниковский район, х. Камышев, Отделение 4, животноводческая точка 87, к.н.о.:61:13:0000000:8429</t>
  </si>
  <si>
    <t>Установка прибора коммерческого учетаэлектрической энергии (мощности) в точке поставки и монтаж ответвления отВЛИ к вводу для присоединения жилого дома Бакаевой Л.С., расположенного поадресу: Ростовская область, Заветинский район, х. Мамонкин, ул. Содружества, д.4, к.н.з.у.: 61:11:060301:0000:7:1</t>
  </si>
  <si>
    <t>Установка прибора коммерческого учетаэлектрической энергии (мощности) в точке поставки и монтаж ответвления от ВЛ к вводу для присоединения жилого дома Пяткиной Л.В., расположенного поадресу: Ростовская область, Заветинский район, х. Фомин, ул. Школьная, д. 46,кв. 2, К.Н.О.: 61:11:0080101:0:13/1:0</t>
  </si>
  <si>
    <t>Установка прибора коммерческого учета электрической энергии (мощности) в точке поставки и монтаж ответвления от ВЛ к вводу для присоединения объекта торговли Главы К(Ф)Х Гаджиева М.О., расположенного по адресу: Ростовская область, Заветинский район, с. Тюльпаны, ул. Мира, д. 14, к.н.з.у.: 61:11:0040101:394</t>
  </si>
  <si>
    <t>Установка прибора коммерческого учета электрической энергии (мощности) в точке поставки и монтаж ответвления от ВЛИ к вводу для присоединения гаража Бережновой Ю.А., расположенного по адресу: Ростовская область, Мартыновский район, слобода Большая Орловка, ул. Дорожная, д. 29 в, к.н.з.у.: 61:20:0600011:1047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</si>
  <si>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Тарарина  А.Ю.,расположенной по адресу: Ростовская область, Мартыновский район, п.Речной,ул.Молодежная,д.  12, кв.  1, к.н.з.у.:  61:35:0050701:39</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</si>
  <si>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объекта медицинского учреждения (здание/помещение медицинской организации) ГБУРО «ЦРБ» в Цимлянском районе, расположенного по адресу: Ростовская область, Цимлянский район, х. Карповский, восточнее земельного участка с к.н. 61:41:0070401:53, к.н.з.у.: 61:41:0070401:343</t>
  </si>
  <si>
    <t>Установка прибора коммерческого учета электрической энергии (мощности) в точке поставки и монтаж ответвления от ВЛИ к вводу для присоединения объекта медицинского учреждения (здание/помещение медицинской организации) ГБУРО «ЦРБ» в Цимлянском районе, расположенного по адресу: Ростовская область, Цимлянский район, станица Хорошевская, ул. Центральная, к.н.з.у.: 61:41:0020202:475</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</si>
  <si>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Хамдиева К.В., расположенной по адресу: Ростовская область, Волгодонской район, х. Лагутники, ул. Луговая, д. 26, к.н.з.у.: 61:08:0070209:685</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</si>
  <si>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Мешкова А.В., расположенного по адресу: Ростовская область, Волгодонской район, станица Романовская, ул. Одесская, д. 5, к.н.з.у.: 61:08:0600601:3839</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</si>
  <si>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Айдинова И.С., расположенной по адресу: Ростовская область, Волгодонской район, х. Погожев, ул. Школьная, д. 30, к.н.з.у.: 61:08:0070401:164</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</si>
  <si>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Кириченко Д.С., расположенного по адресу: Ростовская область, Волгодонской район, станица Романовская, ул. 75 лет Победы, д. 9, к.н.з.у.: 61:08:0600601:4566</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</si>
  <si>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Гончарова Е.А., расположенной по адресу: Ростовская область, Волгодонской район, станица Романовская, ул. Забазновой, д. 21, к.н.з.у.: 61:08:0070113:207</t>
  </si>
  <si>
    <t>Установка прибора коммерческого учета электрической энергии (мощности) в точке поставки для присоединения телятника Гейдарова С.А.о., расположенного по адресу: Ростовская область, Волгодонской район, 0,25 км на запад от ул. Юбилейная, х. Рябичев, к.н.з.у.: 61:08:0600501:383</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</si>
  <si>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Романюк Н.Б., расположенного по адресу: Ростовская область, Волгодонской район, х. Парамонов, ул. Гагарина, д. 24, к.н.з.у.: 61:08:0070301:554</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</si>
  <si>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Семенова В.П., расположенной по адресу: Ростовская область, Волгодонской район, станица Романовская, пер. Советский, д. 117, кв. 1, к.н.з.у.: 61:08:0070115:10</t>
  </si>
  <si>
    <t>Установка прибора коммерческого учета электрической энергии (мощности) в точке поставки и монтаж ответвления от ВЛ к вводу для присоединения антенно-мачтового сооружения 52232-11-61-0-1 АО «ПБК», расположенного по адресу: Ростовская область, Константиновский район, х. Белянский, ул. Центральная, участок в 35м от дома №13, к.н.з.у.: 61:17:0040201</t>
  </si>
  <si>
    <t>Установка прибора коммерческого учетаэлектрической энергии (мощности) в точке поставки и монтаж ответвления от ВЛ к вводу для присоединения жилого дома Сулейманова м.з.,расположенного по адресу: Ростовская область, Ремонтненский район, с.Первомайское, ул. Северная, д. 6, К.н.О.: 61:32:124:1:5:506А, К.Н.З.у.:61:32:124:1:50</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</si>
  <si>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Гаджиалиева Ш.О., расположенной по адресу: Ростовская область, Зимовниковский район, п. Большая Поляна, ул. Курганная, д. 5, к.н.з.у.: 61:13:0030201:7</t>
  </si>
  <si>
    <t>Установка прибора коммерческого учета электрической энергии (мощности) в точке поставки и монтаж ответвления от ВЛ к вводу для присоединения производственного здания/помещения (к.н.о.: 61:13:0600007:1534), расположенного по адресу: Ростовская область, Зимовниковский район, примерно 120 м. по направлению на юго-запад от ориентира х. Пенчуков, к.н.з.у.: 61:13:0600007:1723  ООО "Полярная звезда"</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</si>
  <si>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 Абубакаровой М. И-А., расположенной по адресу: Ростовская область, Заветинского район, х. Фрунзе, ул. Центральная, д. 6, кв. 1, к.н.о.: 61:11:0050401:472</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</si>
  <si>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Бакаевой З.Б., расположенной по адресу: Ростовская область, Заветинского район, х. Савдя, ул. Молодежная, д. 3, кв. 1,  к.н.о.: 61:11:0060101:1448</t>
  </si>
  <si>
    <t>Установка прибора коммерческого учетаэлектрической энергии (мощности) в точке поставки и монтаж ответвления отВЛИ к вводу для присоединения малоэтажной жилой застройки Ефимова Д.И.,расположенной по адресу: Ростовская область, Заветинского район, х.Шебалин, проезд Животноводческий, д. 7, к.н.о.: 61:11:0600001:1418</t>
  </si>
  <si>
    <t>Установка прибора коммерческого учета электрической энергии (мощности) в точке поставки и монтаж ответвления от ВЛ к вводу для присоединения нежилой застройки (хозяйственная постройка,нежилое здание) Исаев Ю.М., расположенной по адресу: Ростовская область,Заветинский район, с. Киселевка, ул. Центральная, д. 27, к.н.з.у.:61:11:060002:1667</t>
  </si>
  <si>
    <t>Установка прибора коммерческого учета электрической энергии (мощности) в точке поставки и монтаж ответвления от ВЛИ к вводу для присоединения коровника на 400 голов Вершинина Н.Г., расположенной по адресу: Ростовская область, Мартыновский район, п. Абрикосовый, в 490м юго-западнее земельного участка, расположенного по адресу: п.Абрикосовый, ул. Школьная, д.4, к.н.о.:61:20:0020201:1015, к.н.з.у.:61:20:0020201:1365</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</si>
  <si>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Макаровой Ю.С., расположенной по адресу: Ростовская область, Мартыновский район, х. Новоселовка, ул. Советская, д. 7, кв. 3, к.н.з.у.: 61:20:0070101:2904</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</si>
  <si>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Абрамчук А.С., расположенной по адресу: Ростовская область, Волгодонской район, станица Романовская, пер. Кожанова, д. 1Б, к.н.з.у.: 61:08:0070121:517</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</si>
  <si>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Поповой Е.А., расположенной по адресу: Ростовская область, Волгодонской район, х.Потапов, пер. Кооперативный, д. 3а, к.н.з.у.: 61:08:0040106:853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</si>
  <si>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Кушнир Д.В., расположенной по адресу: Ростовская область, Волгодонской район, станица Каргальская, ул. Набережная, д. 9, к.н.з.у.: 61:08:0000000:3928</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</si>
  <si>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Мельниченко Ю.М., расположенной по адресу: Ростовская область, г. Волгодонск, ул. Отдыха, д. 39в25,  к.н.з.у.: 61:48:0020101:1552</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</si>
  <si>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Казаряна С.А., расположенного по адресу: Ростовская область, Волгодонской район, станица Большовская, ул. Мира, д. 15а, к.н.з.у.: 61:08:0030202:53</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</si>
  <si>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Воробьева С.В., расположенного по адресу: Ростовская область, Константиновский район, х. Старая Станица, ул. Донская, д. 3, к.н.з.у.: 61:17:0050501:193</t>
  </si>
  <si>
    <t>Установка прибора коммерческого учета электрической энергии (мощности) в точке поставки и монтаж ответвления от ВЛИ к вводу для присоединения автомобильной дороги «г. Шахты – г. Цимлянск» - х. Белянский – пос. Стычновский» Министерства транспорта Ростовской области, расположенной по адресу: Ростовская область, Константиновский район, х. Белянский, (км 12+683,0 – км 14+000,0 км),  к.н.з.у.: 61:17:0040201:461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</si>
  <si>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Садового С.С., расположенной по адресу: Ростовская область, Константиновский район, станица Николаевская, ул. Победы, д. 14, к.н.з.у.: 61:17:0050101:2116</t>
  </si>
  <si>
    <t>Установка прибора коммерческого учета электрической энергии (мощности) в точке поставки и монтаж ответвления от ВЛ к вводу для присоединения здания ПТО ИП главы К(Ф)Х Тимощенко Г.Я., расположенного по адресу: Ростовская область, Ремонтненский район, с. Подгорное, ул. Шолохова, д. 14, к.н.о.: 61:32:060000:9372, к.н.з.у.: 61:32:060000:9374</t>
  </si>
  <si>
    <t>Установка прибора коммерческого учета электрической энергии (мощности) в точке поставки и монтаж ответвления от ВЛ к вводу для присоединения жилого дома Шапошниковой Л.В., расположенного по адресу: Ростовская область, Зимовниковский район, х. Петухов, ул. Еременко, д. 70А, к.н.з.у.: 61:13:0020602:243</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</si>
  <si>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Абдуллаева М.М., расположенной по адресу: Ростовская область, Заветинский район, с. Тюльпаны, ул. Мира, д. 17, к.н.о.: 61:11:0040101:1006</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</si>
  <si>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Зузиева С.Ш., расположенной по адресу: Ростовская область, Заветинский район, с. Кичкино, ул. Быковского, д. 14, к.н.з.у.: 61:11:0030101:737</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</si>
  <si>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дом/Садовый/Дачный дом) Бакаева Р.И., расположенной по адресу: Ростовская область, Заветинский район, х. Мамонкин, ул. Содружества, д. 3, кв. 1,  к.н.о.: 61:11:0060301:55</t>
  </si>
  <si>
    <t>Установка прибора коммерческого учета электрической энергии (мощности) в точке поставки и монтаж ответвления от ВЛ к вводу для присоединения складского здания/помещения Максакова С.Н., расположенного по адресу: Ростовская область, Мартыновский район, слобода Большая Орловка, пер. Мостовой, д. 20,  к.н.з.у.: 61:20:0020101:1018, к.н.о.: 61:20:0020101:10090</t>
  </si>
  <si>
    <t>Установка прибора коммерческого учета электрической энергии (мощности) в точке поставки и монтаж ответвления от ВЛИ к вводу для присоединения малоэтажной жилой застройки (индивидуальный жилой дом) Гуликян Л.Т., расположенного по адресу: Ростовская область, Цимлянский район, х. Лозной, ул. Мира, д. 58, к.н.з.у.: 61:41:0030108:31</t>
  </si>
  <si>
    <t>Установка прибора коммерческого учета электрической энергии (мощности) в точке поставки и монтаж ответвления от ВЛ к вводу для присоединения малоэтажной жилой застройки (индивидуальный жилой дом/садовый/дачный дом) Курбановой Л.Ш, расположенной по адресу: Ростовская область, Цимлянский район, х. Черкасский, ул. Центральная, д. 29, к.н.з.у.: 61:41:0050301:19</t>
  </si>
  <si>
    <t>Установка коммерческого учета электрической энергии (мощности) в точке поставки и установка шкафа 0,4 кВ по присоединению жилого дома Крохиной Л.А., расположенного по адресу: Ростовская область, Цимлянский район, станица Красноярская, пер. Комсомольский, д. 33, кадастровый номер земельного участка 61:41:020122:0036</t>
  </si>
  <si>
    <t>Установка прибора коммерческого учета электрической энергии (мощности) в точке поставки и монтаж ответвления от ВЛИ к вводу для присоединения жилого дома Гвоздь Г.Н., расположенного по адресу: Ростовская область, Дубовский район, х. Кривский, ул. Гвардейская, д. 4, к.н.з.у.: 61:09:0060401:57</t>
  </si>
  <si>
    <t>Строительство участка ВЛИ-0,4 кВ от опоры №7 ВЛИ 0,4 кВ №1 КТП 8608 ВЛ 6 кВ №14 ПС 35 кВ Романовская и установка прибора коммерческого учета электрической энергии (мощности) в точке поставки для присоединения малоэтажной жилой застройки Дмитриева А.Н., расположенной по адресу: Ростовская область, Волгодонской район, станица Романовская, ул. 75 лет Победы, д. 50, к.н.з.у. 61:08:0600601:4607 (ориентировочная протяженность ЛЭП 0,02 км)</t>
  </si>
  <si>
    <t>«Установка прибора учета электрической энергии (мощности) в точке поставки и установка шкафа 0,4 кВ с коммутационным аппаратом для электроснабжения жилого дома заявителя, Пугач П.И., расположенного по адресу: Ростовская область, Чертковский район, с. Михайлово-Александровка, ул. Первомайская, д. 35, к.н.з.у. 61:42:0090101:160»</t>
  </si>
  <si>
    <t>Установка прибора учета электрической энергии (мощности) в точке поставки и установка шкафа 0,4 кВ с коммутационным аппаратом для электроснабжения нежилого здания заявителя, Орлова А.Н., расположенного по адресу: Ростовская область, Миллеровский район, сл. Дегтево, ул. Российская, к.н.з.у. 61:22:0030101:2561</t>
  </si>
  <si>
    <t>Установка прибора учета электрической энергии (мощности) в точке поставки и установка шкафа 0,4 кВ с коммутационным аппаратом для электроснабжения здания бытовки заявителя, Кривомазова С.С., расположенного по адресу: Ростовская область, Миллеровский район, х. Новоалександровка, ул. Широкая, к.н.з.у. 61:22:0600009:441</t>
  </si>
  <si>
    <t>Установка прибора учета электрической энергии (мощности) в точке поставки и установка шкафа 0,4 кВ с коммутационным аппаратом для электроснабжения дома культуры Заявителя, Администрация МО «Каргинское сельское поселение», расположенного по адресу: Ростовская область, Боковский район, х. Попов, ул. Школьная, д. 26-а, к.н.з.у. 61:05:0040701:229 (1 шт.)</t>
  </si>
  <si>
    <t>Установка прибора учета для электроснабжения антенно-башенного сооружения 61-10717 заявителя, АО «Первая Башенная Компания», расположенного по адресу: Ростовская область, Боковский район, х. Большенаполовский, ул. Школьная, вблизи д. 74.</t>
  </si>
  <si>
    <t>Установка прибора учета для технологического присоединения квартиры заявителя Резникова В.С., расположенного по адресу: Ростовская область, Верхнедонской район, х. Новониколаевский, ул. Луговая, д. 11, кв. 1, к.н.з.у. 61:07:0010301:121 (1шт.)</t>
  </si>
  <si>
    <t>Установка прибора учета для тех. прис. личного подсобного хозяйства заявителя Борисова В.В., РО, Кашарский район, х. Первомайский, ул. Заречная,</t>
  </si>
  <si>
    <t>Установка прибора учета для технологического присоединения магазина заявителя ИП Григорян В.Б, расположенного по адресу: Ростовская область, Боковский район, ст-ца Каргинская, пер. Подтелкова, д. 2Б, к.н.з.у. 61:05:0040106:534 (1шт.)</t>
  </si>
  <si>
    <t>Установка прибора учета для технологического присоединения земельного участка заявителя ООО «Поповское», расположенного по адресу: Ростовская область, Верхнедонсой район, х. Кукуевский, ул. Школьная, д. 6-м, к.н.з.у. 61:07:0040501:1277 (1шт.)</t>
  </si>
  <si>
    <t>Установка прибора учета для технологического присоединения квартиры заявителя Юрова В.Н., расположенного по адресу: Ростовская область, Миллеровский район, х. Новоандреевка, ул. Донецкая, д. 5, кв. 4, (1шт.)</t>
  </si>
  <si>
    <t>Установка прибора учета для технологического присоединения жилого дома заявителя Краснова В.С., расположенного по адресу: Ростовская область, Миллеровский район, сл. Волошино, ул. Партизанская, д. 16, (1шт.)</t>
  </si>
  <si>
    <t>Установка прибора учета для технологического присоединения жилого помещения заявителя Администрации МО «Каргинское сельское поселение», расположенного по адресу: Ростовская область, Боковский район, ст-ца Каргинская, ул. Совхозная, д. 20, к.н. 61:05:0040106:286 (1шт.)</t>
  </si>
  <si>
    <t>Установка прибора учета для технологического присоединения жилого дома заявителя Сухарева Д.А., расположенного по адресу: Ростовская область, Боковский район, ст-ца Каргинская, ул. Советская, д. 49, к.н.з.у. 61:05:0040104:16 (1шт.)</t>
  </si>
  <si>
    <t>Установка прибора учета для технологического присоединения жилого дома заявителя Путрина С.А., расположенного по адресу: Ростовская область, Миллеровский район, х. Банниково-Александровский, ул. Студенческая, д. 35, (1шт.)</t>
  </si>
  <si>
    <t>Установка прибора учета для технологического присоединения базовой станции/оборудования сотовой связи заявителя ПАО «Ростелеком», расположенного по адресу: Ростовская область, Боковский район, х. Малаховский, примерно в 32 м по направлению на юг от границы участка по адресу: ул. Молодежная, д. 7 «А» к.н.з.у. 61:05:0070103:23 (1шт.)</t>
  </si>
  <si>
    <t>Установка прибора учета для технологического присоединения антенно-мачтового сооружения заявителя, АО «Первая башенная компания», расположенного по адресу: Ростовская область, Миллеровский р-н, х. Каменка, пер. Стадионный, участок 60 метров от №1, (1шт.)</t>
  </si>
  <si>
    <t>Установка прибора учета для технологического присоединения административного/офисного здания, заявитель ГКУ РО «Противопожарная служба Ростовской области», расположенного по адресу: Ростовская область, Кашарский район, с. Верхнесвечниково, ул. Ленина, д. 18А, к.н.з.у. 61:16:0040101:411 (1 шт.)</t>
  </si>
  <si>
    <t>Установка прибора учета для технологического присоединения личного подсобного хозяйства заявителя Палиева А.В., расположенного по адресу: Ростовская область, Миллеровский район, сл. Греково, ул. Грузская, к.н.з.у. 61:22:0060301:1148 (1шт.)</t>
  </si>
  <si>
    <t>Установка прибора учета для технологического присоединения личного подсобного хозяйства заявителя Ильминского В.С., расположенного по адресу: Ростовская область, Миллеровский район, х. Ивановка, ул. Фабричная, к.н.з.у. 61:22:0120301:582, (1шт.)</t>
  </si>
  <si>
    <t>Установка прибора учета для технологического присоединения для ведения сельского хозяйства заявителя, ИП Шинкевич Л.Н., расположенного по адресу: Ростовская область, Миллеровский р-н, х. Новорусский, в западной части кадастрового квартала 61:22:0600010, к.н.з.у. 61:22:0600010:384, (1шт.)</t>
  </si>
  <si>
    <t>Установка прибора учета для технологического присоединения земельного участка заявителя Мурадбекова Р.А., расположенного по адресу: Ростовская область, Верхнедонсой район, 400 м. на северо-восток от х. Павловский, к.н.з.у. 61:07:0600020:1374 (1шт.)</t>
  </si>
  <si>
    <t>Установка прибора учета для технологического присоединения жилого дома заявителя Сердюкова И.В., расположенного по адресу: Ростовская область, Кашарский район, сл. Верхнемакеевка, ул. Гагарина, д. 9, к.н.з.у. 61:16:0030102:126 (1шт.)</t>
  </si>
  <si>
    <t>Установка прибора учета для технологического присоединения базовой станции сотовой связи заявителя, ПАО «Ростелеком», расположенной по адресу: Ростовская область, Чертковский р-н, с. Греково-Степановка, ул. Центральная в границе кадастрового квартала 61:42:0040101, примерно в 25 м по направлению на запад от границ земельного участка с кадастровым номером: 61:42:0040101:258, расположенного по адресу: Ростовская область, Чертковский район, с. Греково-Степановка, ул. Центральная, №15</t>
  </si>
  <si>
    <t>Установка прибора учета для технологического присоединения базовой станции сотовой связи заявителя, ПАО «Ростелеком», расположенной по адресу: Ростовская область, Чертковский р-н, сл. Семено-Камышенская, примерно 2 м по направлению на юг от границы участка по адресу: ул. Центральная, 16</t>
  </si>
  <si>
    <t>Установка прибора учета для технологического присоединения базовой станции сотовой связи заявителя, ПАО «Ростелеком», расположенной по адресу: Ростовская область, Чертковский р-н, х. Малая Лозовка, в границе кадастрового квартала 61:42:0020101, примерно в 28 м по направлению на запад от границ земельного участка с кадастровым номером: 61:42:0020101:323, расположенного по адресу: Ростовская область, Чертковский район, х. Малая Лозовка, пер. Школьный, 6</t>
  </si>
  <si>
    <t>Установка прибора учета для технологического присоединения жилого дома заявителя Теницкого Н.И.,расположенного по адресу:Ростовская область,Миллеровский район,сл.Поповка,ул. Центральная,д.15,к.н.з.у. 61:22:0071001:250(1шт.)</t>
  </si>
  <si>
    <t>Установка прибора учета для технологического присоединения обьекта сельскохозяйственного производства, заявителя ИП Глава (КФХ) Кобцев В.Н.,расположенного по адресу:Ростовская область,Чертковский район,с.Алексеево- Лозовка,в границах кадастрового квартала,61:42:0600015,к.н.з.у. 61:42:0600015:1330(1шт.)</t>
  </si>
  <si>
    <t>Установка прибора учета для технологического присоединения земельного участка заявителя Болли Н.Ф., расположенного по адресу: Ростовская область, Верхнедонской район, х. Гормиловский, ул. Гормиловская, д. 36-А, к.н.з.у. 61:07:0080501:625 (1шт.)</t>
  </si>
  <si>
    <t>Установка прибора учета для технологического присоединения жилого дома заявителя Дыбцевой Ю.А., расположенного по адресу: Ростовская область, Шолоховский р-н, х. Дубровский, ул. Центральная, д. 57, к/н 61:43:0030101:301, (1шт.)</t>
  </si>
  <si>
    <t>Установка прибора учета для технологического присоединения железного склада заявителя ООО «Степной тюльпан», расположенного по адресу: Ростовская область, Боковский район, ст. Боковская, ул. Совхозная, д. 13-А, к.н.з.у. 61:05:010104:02026:3160/Г:1/02725 (1шт.)</t>
  </si>
  <si>
    <t>Установка прибора учета для технологического присоединения личного подсобного хозяйства заявителя Яхно Д.С., расположенного по адресу: Ростовская область, Миллеровский район, х. Терновой, ул. Степная, д. 1, к.н.з.у. 61:22:00611001:223, (1шт.)</t>
  </si>
  <si>
    <t>Установка прибора учета для технологического присоединения магазина, заявителя ИП Гнездилова В.И, расположенного по адресу: Ростовская область, Чертковский район, с. Алексеево-Лозовское, ул. Лисичкина, д. 59-Б, к.н.з.у. 61:42:0010101:4466 (1шт.)</t>
  </si>
  <si>
    <t>Установка прибора учета для технологического присоединения производственного здания/помещения заявителя, ИП Крицкая О.П., расположенного по адресу: Ростовская область, Боковский район, х. Земцов, ул. Школьная, д. 56, к.н.з.у. 61:05:0070502:47 (1шт.)</t>
  </si>
  <si>
    <t>Установка прибора учета для технологического присоединения земельного участка заявителя Гутова И.Н., расположенного по адресу: Ростовская область, Верхнедонской район, х. Песковатская Лопатина, ул. Песковатсколопатинская, д. 183,  к.н.з.у. 61:07:0030401:653 (1шт.)</t>
  </si>
  <si>
    <t>Установка прибора учета для технологического присоединения земельного участка заявителя Асташова В.С., расположенного по адресу: Ростовская область, Верхнедонской район, х. Поповка, ул. Атаманская, д. 38, к.н.з.у. 61:07:0040401:19 (1шт.)</t>
  </si>
  <si>
    <t>Установка прибора учета для технологического присоединения жилого дома заявителя Афанасенко Т.И., расположенного по адресу: Ростовская область, Кашарский район, с. Первомайское, ул. Торговая, д. 25, к.н.з.у. 61:16:0110105:210 (1 шт.)</t>
  </si>
  <si>
    <t>Установка прибора учета для технологического присоединения нежилого помещения заявителя АО «Почта России», расположенного по адресу: Ростовская область, Кашарский район, с. Верхнесвечниково, ул. Колхозная, д. 23, к.н.з.у. 61:16:0040101:162 (1 шт.)</t>
  </si>
  <si>
    <t>Установка прибора учета для технологического присоединения личного подсобного хозяйства заявителя Лысенко А.В., расположенного по адресу: Ростовская область, Кашарский район, х. Драчевка, ул. Маслозаводская, д. 21, к.н.з.у. 61:16:0110202:370 (1 шт.)</t>
  </si>
  <si>
    <t>Установка прибора учета для технологического присоединения базовой станции заявителя ООО «Т2 Мобайл», расположенного по адресу: Ростовская область, Миллеровский район, сл. Нижненагольная, примерно 114 м по направлению на юг от границы участка по адресу: ул. Российская, 34, (1шт.)</t>
  </si>
  <si>
    <t>Установка прибора учета для технологического присоединения нежилого помещения заявителя АО «Почта России», расположенного по адресу: Ростовская область, Миллеровский район, х. Хмызов, ул. Ленина, д. 5, к.н.з.у. 61:22:0080101:295, (1шт.)</t>
  </si>
  <si>
    <t>Установка прибора учета для технологического присоединения нежилого здания заявителя АО «Почта России», расположенного по адресу: Ростовская область, Миллеровский район, сл. Никольская, ул. Центральная, д. 11, к.н.з.у. 61:22:0100101:576, (1шт.)</t>
  </si>
  <si>
    <t>Установка прибора учета для технологического присоединения жилого дома заявителя Иванчиковой Е.Е., расположенного по адресу: Ростовская область, Кашарский р-н, с.Первомайское,ул. Комсомольская,д.11, к.н.з.у. 61:16:0110102:624 (1шт.)</t>
  </si>
  <si>
    <t>Установка прибора учета для технологического присоединения личного подсобного хозяйства заявителя Деревенчука А.А., расположенного по адресу: Ростовская область,Миллеровский р-н,Колодезянское с.п.в границах кадастрового квартала 61:22:0040101, к.н.з.у. 61:22:0040101:2190(1шт.)</t>
  </si>
  <si>
    <t>Установка прибора учета для технологического присоединения антенно-мачтового сооружения заявителя АО «Первая Башенная Компания», расположенного по адресу: Ростовская область, Миллеровский район, сл. Кудиновка, пер. Звездный, в 50 м. от дома №3, к.н.з.у. 00:00:000000:00, (1шт.)</t>
  </si>
  <si>
    <t>Установка прибора учета для технологического присоединения жилого дома заявителя Грачева А.В., расположенного по адресу: Ростовская область, Шолоховский район, х. Дубровский, ул. Солнечная, д. 14 (1 шт.)</t>
  </si>
  <si>
    <t>Установка прибора учета для технологического присоединения складского здания/помещения заявителя ИП Лозовой А.А., расположенного по адресу: Ростовская область, Кашарский район, примерно в 400 м. от ориентира х. Нижний Астахов, к.н.з.у. 61:16:0600009:320 (1 шт.)</t>
  </si>
  <si>
    <t>Установка прибора учета для технологического присоединения объекта торговли (магазин, торговый центр)  заявителя ИП Шевченко М.И., расположенного по адресу: Ростовская область, Чертковский район, с. Маньково-Калитвенское, пер.Почтовый, д. 22, к.н.з.у. 61:42:0080111:106, (1шт.)</t>
  </si>
  <si>
    <t>Установка прибора учета для технологического присоединения базовой станции/оборудования сотовой связи заявителя ПАО «Ростелеком, расположенного по адресу: Ростовская область, Чертковский район, Зубрилинское сельское поселение, х. Лозовой, ул. Полевая, в границе кадастрового квартала 61:42:0060501 (1шт.)</t>
  </si>
  <si>
    <t>Установка прибора учета для технологического присоединения магазина заявителя Прохоровой Г.А., расположенного по адресу: Ростовская область, Чертковский район, с. Алексеево-Лозовское, ул. Лисичкина, д. 22, к.н.з.у. 61:42:0010101:895 (1шт.)</t>
  </si>
  <si>
    <t>Установка прибора учета для технологического присоединения базовой станции/оборудования сотовой связи заявителя ПАО «Ростелеком», расположенного по адресу: Ростовская область, Миллеровский район, х. Новорусский, ул. Рубежная, примерно 60 м по направлению на северо-восток от границы земельного участка по адресу: ул. Рубежная, 29а, (1шт.)</t>
  </si>
  <si>
    <t>Установка прибора учета для технологического присоединения жилого дома заявителя Палюх Е.И., расположенного по адресу: Ростовская область, Кашарский район, х. Нижний Астахов, ул. Мира, д. 11, к.н.з.у. 61:16:0020201:135 (1шт.)</t>
  </si>
  <si>
    <t>Установка прибора учета для технологического присоединения опоры средств подвижной радиотелефонной связи заявителя ПАО «Ростелеком», расположенного по адресу: Ростовская область, Миллеровский район, Туриловское сельское поселение, х. Новая Деревня, ул. Центральная, д. 4, в границах кадастрового квартала  61:22:0160601, (1шт.)</t>
  </si>
  <si>
    <t>Установка прибора учета для технологического присоединения жилого дома заявителя Пряхина М.Н., расположенного по адресу: Ростовская область, Чертковский район, с. Осиково, пер. Зеленый, д. 8, к.н.з.у. 61:42:190101:0390, (1шт.)</t>
  </si>
  <si>
    <t>Установка прибора учета для технологического присоединения земельного участка заявителя Макушкина В.И., расположенного по адресу: Ростовская область, Верхнедонской район, х. Гормиловский, ул. Гормиловская, д. 29, корп. А, к.н.з.у. 61:07:0080501:621, (1шт.)</t>
  </si>
  <si>
    <t>Установка прибора учета для технологического присоединения жилого дома заявителя Тиунова В.И., расположенного по адресу: Ростовская область, Кашарский район, х. Вяжа, ул. Молодежная, д. 27, к.н.з.у. 61:16:0050101:319, (1шт.)</t>
  </si>
  <si>
    <t>Установка прибора учета для технологического присоединения личного подсобного хозяйства заявителя ИП Глава (КФХ) Критинин Е.И., расположенного по адресу: Ростовская область, Чертковский район, х. Павловка, ул. Молодежная, д. 16а, к.н.з.у. 61:42:0120101:1094, (1шт.)</t>
  </si>
  <si>
    <t>Установка прибора учета для технологического присоединения жилого дома заявителя Своеволина Н.С., расположенного по адресу: Ростовская область, Чертковский район, х. Марьево-Камышенский, ул. Заречная, д. 12, к.н.з.у. 61:42:0130301:70, (1шт.)</t>
  </si>
  <si>
    <t>Установка прибора учета для технологического присоединения жилого дома заявителя Плясунова А.М., расположенного по адресу: Ростовская область, Кашарский район, х. Верхнекалиновка, ул. Центральная, д. 130, к.н.з.у. 61:16:0100302:84, (1шт.)</t>
  </si>
  <si>
    <t>"Установка прибора учета для присоединения объекта малоэтажной жилой застройки Гуковского А.А., расположенного по адресу: Ростовская область, р-н. Усть-Донецкий, ст-ца. Раздорская, ул. Донская, д. 3 КН ЗУ: 61:39:0030103:691"</t>
  </si>
  <si>
    <t>Установка прибора учета для присоединения объекта наружного освещения Министерство транспорта Ростовской области, расположенного по адресу: Ростовская область, р-н. Усть-Донецкий, х. Черни, на автомобильной дороге общего пользования (участок III), КН ЗУ: 61:39:000000000:0:52</t>
  </si>
  <si>
    <t>Установка прибора учета для присоединения объекта наружного освещения Министерство транспорта Ростовской области, расположенного по адресу: Ростовская область, р-н. Усть-Донецкий, ст-ца. Нижнекундрюченская, на автомобильной дороге общего пользования (участок I), КН ЗУ: 61:39:000000000:0:52</t>
  </si>
  <si>
    <t>Установка прибора учета для присоединения объекта наружного освещения Министерство транспорта Ростовской области, расположенного по адресу: Ростовская область, р-н. Усть-Донецкий, х. Листопадов, на автомобильной дороге общего пользования (участок II), КН ЗУ: 61:39:000000000:0:52</t>
  </si>
  <si>
    <t>Установка прибора учета для присоединения объекта малоэтажной жилой застройки Батраченко Д.А., расположенного по адресу: Ростовская область, р-н. Усть-Донецкий, х. Черни, ул. Пролетарская, д. 12 КН ЗУ: 61:39:0060501:547</t>
  </si>
  <si>
    <t>Установка прибора учета для присоединения объекта малоэтажной жилой застройки Синяпкина С. С., расположенного по адресу: Ростовская область, Усть-Донецкий район, х. Пухляковский, ул. Книжная, д. 18а, КН ЗУ: 61:39:0090102:983</t>
  </si>
  <si>
    <t>Установка прибора учета для присоединения объекта малоэтажной жилой застройки Ивановой А. Г., расположенного по адресу: Ростовская область, Усть-Донецкий район, ст-ца. Раздорская, ул. Красноармейская, д. 35-А, КН ЗУ: 61:39:0030101:696</t>
  </si>
  <si>
    <t>Установка прибора учета для присоединения жилого дома Кулюкиной Галины Васильевны расположенного по адресу: РО., р-н Красносулинский, х. Платово, ул. Советская, д. 253  КН 61:18:060117:0009, (1 шт.)</t>
  </si>
  <si>
    <t>«Установка прибора учета для присоединения объекта малоэтажная жилая застройка (Световой В.В.), расположенного по адресу: Ростовская область, Октябрьский р-н, ст. Заплавская, ул. Северная, д. 7»</t>
  </si>
  <si>
    <t>Установка прибора учета для присоединения малоэтажной жилой застройки, расположенной по адресу: Ростовская область, р-н. Октябрьский, ст.Кривянская, ул. Матвеевка, д. 34 (Шульман П.В.)</t>
  </si>
  <si>
    <t>Установка прибора учета для присоединения жилого дома, Асиков Т.В., расположенного по адресу: Ростовская обл., Родионово-Несветайский р-н., х. Каменный Брод, ул. Курсантов РАУ, д. 36, кн зу:  61:33:0030501:672.</t>
  </si>
  <si>
    <t>Установка прибора учета для присоединения жилого дома Бондаренко Александра Павловича, расположенного по адресу: Ростовская область, Красносулинский район, х. Платово, ул. Советская, д. 165, К.Н.З.У.:61:18:0060117:45.</t>
  </si>
  <si>
    <t>Установка прибора учета для присоединения жилого дома Мазанова Ярослава Николаевича, расположенного по адресу: Ростовская область, Красносулинский район, х. Марс, ул. Первомайская, д. 140, К.Н.З.У.: 61:18:0030602:222</t>
  </si>
  <si>
    <t>«Установка прибора учета для присоединения жилого дома (Елхин А.В.), расположенного по адресу: Ростовская область, Октябрьский р-н, ст. Кривянская, пер. Карьерный, д.8»</t>
  </si>
  <si>
    <t>«Установка прибора учета для присоединения жилого дома (Опришко А.В.), расположенного по адресу: Ростовская область, Октябрьский р-н, х. Калинин, ул. Донская, д.2А»</t>
  </si>
  <si>
    <t>«Установка прибора учета для присоединения жилого дома (Пятибратов И.Н.), расположенного по адресу: Ростовская область, Октябрьский р-н, х. Калинин, ул. Центральная»</t>
  </si>
  <si>
    <t xml:space="preserve"> «Установка прибора учета для присоединения малоэтажной жилой застройки (Маковская О.В.), расположенного по адресу: Ростовская область, Октябрьский р-н, сл. Красюковская, ул. Молодежная, д.1-а»</t>
  </si>
  <si>
    <t>«Установка прибора учета для присоединения квартиры (Мельник В.С.), расположенной по адресу: Ростовская область, Октябрьский р-н, п. Красногорняцкий, ул. Центральная, д.7б, кв.5»</t>
  </si>
  <si>
    <t>«Установка прибора учета для присоединения жилого дома (Коротков В.А.), расположенного по адресу: Ростовская область, Октябрьский р-н, х. Калинин, ул. Донская, д.131А»</t>
  </si>
  <si>
    <t>Установка прибора учета для присоединения административно/офисное здание Ковалевского сельского дома культуры, расположенного по адресу: Ростовская область, Красносулинский район, х. Платово, ул. Советская, д. 88а, К.Н.З.У.: 61:18:0060108:156.</t>
  </si>
  <si>
    <t>Установка прибора учета для присоединения нежилой застройки Ларина Юрия Юрьевича, расположенного по адресу: Ростовская область, Красносулинский район, х. Пролетарка, пер. Комсомольский, д. 23, К.Н.З.У.: 61:18:0080102:957</t>
  </si>
  <si>
    <t>Установка прибора учета для присоединения жилого дома Куксенко Евгении Викторовны, расположенного по адресу: Ростовская область, Красносулинский район, х. Большая Федоровка, ул. Заречная, д. 1, К.Н.З.У.: 61:18:0020202:59.</t>
  </si>
  <si>
    <t>Установка прибора учета для присоединения административного здания (ИП Курбацкая З.А.), расположенного по адресу: Ростовская область, Октябрьский р-н, п. Интернациональный, ул. Мостовая, д.11-а</t>
  </si>
  <si>
    <t>«Установка прибора учета для присоединения сельского Дома культуры (МУК «Керчикский СДК»), расположенного по адресу: Ростовская область, Октябрьский р-н, х. Керчик-Савров, ул. Советская, д.36»</t>
  </si>
  <si>
    <t xml:space="preserve"> «Установка прибора учета для присоединения 1/3 жилого дома (Булименко Н.С.), расположенного по адресу: Ростовская область, Октябрьский р-н, х. Маркин, ул. Жорина, д. 4»</t>
  </si>
  <si>
    <t>Установка прибора учета для присоединения объекта малоэтажной жилой застройки Самко О.В.,  расположенного по адресу: Ростовская область, Усть-Донецкий район, ст-ца. Раздорская, ул. Красноармейская, д. 14, КН ЗУ: 61:39:0030101:196</t>
  </si>
  <si>
    <t>Установка прибора учета для присоединения объекта малоэтажной жилой застройки Ковалевой Т.В., расположенного по адресу: Ростовская область, Усть-Донецкий район, ст-ца. Усть-Быстрянская, ул. Социалистическая, д. 24, КН ЗУ: 61:39:0080102:100</t>
  </si>
  <si>
    <t>Установка прибора учета для присоединения объекта наружного освещения, расположенного по адресу: Российская Федерация, Ростовская область, р-н. Усть-Донецкий, ст.Мелиховская, КН ЗУ: 61:39:0000000:7110</t>
  </si>
  <si>
    <t>Установка прибора учета для присоединения объекта торговли (магазин, торговый центр) Мироненко А.М. расположенного по адресу: Ростовская область, Усть-Донецкий район, х. Апаринский, ул. Комсомольская, КН ЗУ: 61:39:0050102:1423</t>
  </si>
  <si>
    <t>Установка прибора учета для присоединения нежилого помещения (ООО «Почта России»), расположенного по адресу: Ростовская область, Красносулинский р-н, х. Большая Федоровка, ул. Октябрьская, д.14</t>
  </si>
  <si>
    <t>«Установка прибора учета для присоединения жилого дома, ООО «Агрокомплекс Ростовский»., расположенного по адресу:  Ростовская обл., р-н. Родионово-Несветайский, сл. Большекрепинская, ул. Лермонтова,  д. 1Б, КН объекта 61:33:0060101:2612»</t>
  </si>
  <si>
    <t>Установка прибора учета для присоединения асфальто-бетонный завод (ИП Маргарян М.А.), расположенного по адресу: Ростовская область, Родионово-Несветайский р-он примерно 1300м по направлению на юго-запад от х. Весёлый КН ЗУ 61:33:0600017:144</t>
  </si>
  <si>
    <t>Установка прибора учета для присоединения малоэтажной жилой застройки Висящева В.Н., расположенного по адресу: Ростовская область, Усть-Донецкий район, р.п. Усть-Донецкий, ул. Шолохова, д. 46, КН ЗУ: 61:39:010104:248</t>
  </si>
  <si>
    <t>Установка прибора учета для присоединения жилого дома Салеховой Евгении Михайловны, расположенного по адресу: Ростовская область, Красносулинский район, х. Платово, ул. Крайняя, д. 10</t>
  </si>
  <si>
    <t>«Установка прибора учета для присоединения малоэтажной жилой застройки (Ушинин Д.С.), расположенной по адресу: Ростовская область, Октябрьский р-н, х. Ильичевка, ул. Победы Революции, д. 52-а»</t>
  </si>
  <si>
    <t xml:space="preserve"> «Установка прибора учета для присоединения магазина (ИП Ушинин С.В.), расположенного по адресу: Ростовская область, Октябрьский р-н, х. Ильичевка, ул. Победы Революции, д.52»</t>
  </si>
  <si>
    <t>«Установка прибора учета для присоединения объекта медицинского учреждения (МБУЗ ЦРБ Октябрьского р-на), расположенного по адресу: Ростовская область, Октябрьский р-н, п. Залужный, ул. Школьная, д. 4»</t>
  </si>
  <si>
    <t>«Установка прибора учета для присоединения жилого дома Семёнова Д.С.., расположенного по адресу: Ростовская обл., Родионово-Несветайский р-н., с. Генеральское, ул. Советская,  д. 6А, кн зу:  61:33:0070601:2478»</t>
  </si>
  <si>
    <t>Установка прибора учета для присоединения жилого дома, Парило Р.В., расположенного по адресу: Ростовская обл., Родионово-Несветайский р-н., сл. Родионово-Несветайская, ул. Садовая, д. 46, кн зу: 61:33:040123:0049</t>
  </si>
  <si>
    <t>«Установка прибора учета для присоединения малоэтажной жилой застройки, Уварова Е.В., расположенного по адресу: Ростовская обл., Родионово-Несветайский р-н., с. Генеральское, ул. Советская,  д. 6 Е, кн. зу:  61:33:0070601:2481»</t>
  </si>
  <si>
    <t>Установка прибора учета для присоединения коттеджного поселка ООО «Агрофирма «Донское Подворье» расположенного по адресу: 346584 Ростовская обл., Родионово-Несветайский район, с.Генеральское, ул Советская д.10А. КН 61:33:0600012:6 (1 шт.)</t>
  </si>
  <si>
    <t>Установка прибора учета для присоединения нежилого здания ООО «МОЛОЧНЫЙ ЗАВОД «РОДИОНОВСКАЯ СЛОБОДА» расположенного по адресу: 346580 Российская Федерация, Ростовская обл., р-н. Родионово-Несветайский, сл. Родионово-Несветайская, ул. Гвардейцев-Танкистов, д. 10Ц, к.н.з.у. 61:33:0040125:352 (1 шт.)</t>
  </si>
  <si>
    <t>"Установка прибора учета для присоединения малоэтажной жилой застройки, Санчик Е.А., по адресу: Ростовская обл., Родионово-Несветайский  р-н., сл.Кутейниково, СНТ "Комбайностроитель", участок №2-532, кн зу:61:33:0500101:1226"</t>
  </si>
  <si>
    <t>«Установка прибора учета для присоединения здания социально-реабилитационного отделения, расположенного по адресу: Ростовская обл., Родионово-Несветайский р-н., х. Волошино, ул. Центральная, д. 9, кн зу: 61:33:0070101:23»</t>
  </si>
  <si>
    <t>«Установка прибора учета для присоединения малоэтажной жилой застройки Косачёва Д.С.., расположенного по адресу: Ростовская обл., Родионово-Несветайский р-н, х. Октябрьский,  СНТ "Электромонтажник", уч. №105. кн зу  61:33:0500201:414»</t>
  </si>
  <si>
    <t>«Установка прибора учета для присоединения магазина (ИП Афанасьева Е.П.), расположенного по адресу: Ростовская область, Октябрьский р-н, ст. Заплавская, пер. Огородний, д. 2»</t>
  </si>
  <si>
    <t>«Установка прибора учета для присоединения объекта КФХ (ИП Голдин И.В.), расположенного по адресу: Ростовская область, Октябрьский р-н, п. Новозарянский, ул. Транспортная, д.4б»</t>
  </si>
  <si>
    <t>«Установка прибора учета для присоединения малоэтажной жилой застройки (Семенова А.А.), расположенного по адресу: Ростовская область, Октябрьский р-н, ст. Заплавская, пер. Кузнечный, д.2»</t>
  </si>
  <si>
    <t>«Установка прибора учета для присоединения малоэтажной жилой застройки, Ворониной Н.И., расположенного по адресу: 346580, Ростовская обл., Родионово-Несветайский р-н., сл. Родионово-Несветайская, ул. 30 Лет Победы, д. 73, кн зу: 61:33:040123:550»</t>
  </si>
  <si>
    <t>Установка прибора учета для присоединения малоэтажной жилой застройки,  Киричковой А.П., расположенного по адресу: Ростовская обл., Родионово-Несветайский р-н., х. Глинки, ул. Степная, д. 1, кн зу: 61:33:0070401:63</t>
  </si>
  <si>
    <t>Установка прибора учета для присоединения Блокированной жилой застройки Кочиева А.Ф., расположенного по адресу: Ростовская обл., Родионово-Несветайский р-н., сл. Родионово-Несветайская, ул. 30 лет Победы, 32 КН ЗУ 61:33:0040108:287</t>
  </si>
  <si>
    <t>Установка прибора учета для присоединения малоэтажной жилой застройки Колодяжного П.Н., расположенного по адресу: Ростовская область, р-н. Усть-Донецкий, х. Крымский, ул. Центральная, д. 79, КН ЗУ: 61:39:0040102:513</t>
  </si>
  <si>
    <t>Установка прибора учета для присоединения малоэтажной жилой застройки Головатенко А.М., расположенного по адресу: Ростовская область, Усть-Донецкий район, х. Апаринский, ул. Дачная, д. 96, КН ЗУ: 61:39:0600009:509</t>
  </si>
  <si>
    <t>Установка прибора учета для присоединения здания церкви, расположенного по адресу: Ростовская область, р-н. Усть-Донецкий, х. Крымский, пер. Рождественский, д. 14, КН ЗУ: 61:39:040101:0331</t>
  </si>
  <si>
    <t>Установка прибора учета для присоединения малоэтажной жилой застройки (Найдина А.Ю.), расположенного по адресу: Ростовская область, Красносулинский р-н, х. Нижняя Ковалевка, ул. Кулешова, д.24</t>
  </si>
  <si>
    <t>Установка прибора учета для присоединения базовой станции/оборудования сотовой связи (ПАО «Ростелеком»), расположенного по адресу: Ростовская область, Красносулинский р-н, х. Черницов, примерно 32 м по направлению на юго-восток от границ участка по ул. Щаденко, 5</t>
  </si>
  <si>
    <t>Установка прибора учета для присоединения базовой станции/оборудования сотовой связи (ООО «Соколовское»), расположенного по адресу: Ростовская область, Красносулинский р-н, х. Пролетарка, Пролетарское с/п, к востоку от земельного участка c кадастровым номером: 61:18:0600022:859</t>
  </si>
  <si>
    <t>«Установка прибора учета для присоединения малоэтажной жилой застройки (Болдыревой Л.Н.), расположенной по адресу: Ростовская область, Октябрьский р-н, ст. Кривянская, ул. Кооперативная, д.28»</t>
  </si>
  <si>
    <t>«Установка прибора учета для присоединения малоэтажной жилой застройки (Бусина Т.В.), расположенной по адресу: Ростовская область, Октябрьский р-н, п. Красногорняцкий, ул. Петренко, д.2»</t>
  </si>
  <si>
    <t>«Установка прибора учета для присоединения малоэтажной жилой застройки (Кравченко Г.М.), расположенной по адресу: Ростовская область, Октябрьский р-н, х. Ильичевка, ул. Заречная, д.12-а»</t>
  </si>
  <si>
    <t>«Установка прибора учета для присоединения малоэтажной жилой застройки (Хомутова Н.В.), расположенного по адресу: Ростовская область, Октябрьский р-н, х. Керчик-Савров, ул. Алейникова, д. 11»</t>
  </si>
  <si>
    <t>Установка прибора учета для присоединения Антенно-мачтового сооружения связи 63292-11-61-1-1, расположенного по адресу: Ростовская область, р-н. Усть-Донецкий, п. Керчикский, ул. Виноградная, вблизи д. 9, Усть-Донецкий РЭС</t>
  </si>
  <si>
    <t>Установка прибора учета для присоединения нежилого здания МБУК «Культурного центра Раздорского сельского поселения», расположенного по адресу: Ростовская область, р-н. Усть-Донецкий, х. Коныгин, ул. Им. А. Шубина, д. 10, Усть-Донецкий РЭС</t>
  </si>
  <si>
    <t>«Установка прибора учета для присоединения блокированной жилой застройки Кочиева А.Ф., расположенного по адресу: Ростовская обл., Родионово-Несветайский р-н., сл. Родионово-Несветайская, ул. 30 лет Победы, 34, КН ЗУ: 61:33:0040108:288.»</t>
  </si>
  <si>
    <t>Установка прибора учета для присоединения жилого дома (Виноградов Д.В.), расположенного по адресу: Ростовская область, г. Шахты, ул. Чапаева, д.83 (1шт.)</t>
  </si>
  <si>
    <t>«Установка прибора учета для присоединения малоэтажной жилой застройки (Чекмарев И.А.), расположенной по адресу: Ростовская область, Октябрьский р-н, п. Интернациональный, ул. Кленовая, д.9»</t>
  </si>
  <si>
    <t>Установка прибора учета для присоединения дачного домика (Шевцов А.Ф.), расположенного по адресу: Ростовская область, Красносулинский район х. Коминтерн, ул. Дачная, б/н кадастровый номер земельного участка: 61:18:0600006:1285 (1шт.)</t>
  </si>
  <si>
    <t>Установка прибора учета для присоединения гаража (Ничитайлов О.Г.), расположенного по адресу: Ростовская область, Красносулинский район х. Новоровенецкий, ул. Карьерная, д. 168, К.Н.З.У:61:18:030705:0016. (1шт.)</t>
  </si>
  <si>
    <t>Установка прибора учета для присоединения квартиры №3 (Савченко А.П.), расположенноо по адресу: Ростовская область, п. Донлесхоз, ул. Лесная, д.15 (1 шт.)</t>
  </si>
  <si>
    <t>Установка прибора учета для присоединения объекта туристической отрасли (гостиница, база отдыха, гостевой дом, прочее) ООО «Левел Эдс», расположенного по адресу: Ростовская область, р-н. Усть-Донецкий, ст-ца. Нижнекундрюченская, примерно в 1 км на северо-восток от ст. Нижнекундрюченская, КН ЗУ: 61:39:0600005:163, Усть-Донецкий РЭС</t>
  </si>
  <si>
    <t>Установка прибора учета для присоединения объекта малоэтажной жилой застройки Терехова А.Л., расположенного по адресу: Ростовская область, р-н. Усть-Донецкий, ст-ца. Мелиховская, ул. Набережная, д. 11, КН ЗУ: 61:39:0020105:394, Усть-Донецкий РЭС</t>
  </si>
  <si>
    <t>Установка прибора учета для присоединения объекта наружного освещения, расположенного по адресу: Ростовская область, Усть-Донецкий район, х. Апаринский, КН ЗУ: 61:39:0050101:1873</t>
  </si>
  <si>
    <t>«Установка прибора учета для присоединения малоэтажной жилой застройки (Булгаков Н.Ю.), расположенной по адресу: Ростовская область, Октябрьский р-н, х. Калинин, ул. Донская, д. 55-б»</t>
  </si>
  <si>
    <t>Установка прибора коммерческим учетом электрической энергии (мощности) в точке поставки по присоединению объекта Заявителя ВРУ-6 кВ для электроснабжения объекта рамная конструкция систем стационарного контроля № 581 для «РТ-Инвест Транспортные системы», расположенного по адресу: Ростовская область, Красносулинский район, х. Володарский, установлено относительно ориентира, расположенного в границах участка. Почтовый адрес ориентира: Ростовская область, Красносулинский р-н., автомагистраль М-4 «Дон» км 944+380-км 955+150 и км 967+1040-км 997+1020, К.Н.З.У: 61:18:0000000:36</t>
  </si>
  <si>
    <t>Установка прибора учета для присоединения гаража (Гуцалюк Д.В.), расположенного по адресу: Ростовская область, п. Тополёвый, ул. Советская, д. б/н, К.Н.З.У:61:18:0010703:339. (1 шт.)</t>
  </si>
  <si>
    <t>«Установка прибора учета электрической энергии (мощности) в точке поставки по присоединению объекта Заявителя ВРУ-6 кВ для электроснабжения объекта АЗС № 629 для ООО «Лукойл-Югнефтепродукт», расположенного по адресу: Ростовская область, Красносулинский район, на 947 км + 300 м автодороги «Воронеж-Ростов», К.Н.З.У: 61:18:0600004:2.»</t>
  </si>
  <si>
    <t>Установка прибора учета для присоединения объекта малоэтажной жилой застройки Югатовой Т.В., расположенного по адресу: Ростовская область, р-н. Усть-Донецкий, ст-ца. раздорская, ул. Матросова, д. 14, кв./оф. а, КН ЗУ: 61:39:0030102:1481</t>
  </si>
  <si>
    <t>«Установка прибора учета для присоединения нежилого здания (сарай)  ИП Арзуманян Ш.В. расположенного по адресу: Ростовская обл., Родионово-Несветайский р-н, сл. Большекрепинская, пер. Средний, 6/1, кн зу: 61:33:0060101:63»</t>
  </si>
  <si>
    <t>Установка прибора учета для присоединения объекта малоэтажной жилой застройки Иванова В.М., расположенного по адресу: Ростовская область, р-н. Усть-Донецкий, х. Апаринский, ул. Набережная, д.6 кв./оф. 2 КН ЗУ: 61:39:0050102:1433</t>
  </si>
  <si>
    <t>Установка прибора учета для присоединения ЭПУ опоры ООО «СТ-Энергосетевая Инфраструктура», расположенного по адресу: Ростовская область, Красносулинский район п. Первомайский, ул. Гагарина, д. 24. (1шт.)</t>
  </si>
  <si>
    <t>Установка прибора учета для присоединения квартиры № 1 (Ткачев В.В.), расположенного по адресу: Ростовская область, Красносулинский район п. Пригородный, ул. Школьная, д. 6, кв./оф. 1. (1шт.)</t>
  </si>
  <si>
    <t>«Установка прибора учета для присоединения малоэтажной жилой застройки (Денисенко В.В.), расположенной по адресу: Ростовская область, Октябрьский р-н, сл. Красюковская, ул. Революции, д. 150»</t>
  </si>
  <si>
    <t>Установка прибора учета для присоединения малоэтажной жилой застройки (Иванов А.А.), расположенной по адресу: Ростовская область, Октябрьский р-н, х. Сусол, ул. Солнечная, д. 32-а</t>
  </si>
  <si>
    <t>Установка прибора учета для присоединения малоэтажной жилой застройки (Ситникова А.С.), расположенной по адресу: Ростовская область, Октябрьский р-н, п. Красногорняцкий, ул. Парковая, д.1</t>
  </si>
  <si>
    <t>Обеспечение коммерческим учетом электрической энергии  в точке поставки, по присоединению строящегося жилого дома Куклина А.Н., расположенного по адресу: Ростовская область, Белокалитвинский район, ст. Краснодонецкая, ул. Екатериновская, д. № 73, к.н. 61:04:0080101:167 (прибор учета электроэнергии – 1шт)</t>
  </si>
  <si>
    <t>Установка прибора коммерческого учёта электрической энергии, для присоединения жилого дома Цыбенко С.А., расположенного по адресу: Ростовская область, Белокалитвинский р-н, х. Семимаячный, ул. Набережная, д. 39, к.н. з.у. 61:04:0110401:141, (прибор учёта электроэнергии - 1шт)</t>
  </si>
  <si>
    <t>Установка прибора коммерческого учёта электрической энергии, для присоединения здания коровника Исаева А.Н., расположенного по адресу: Ростовская область, Белокалитвинский р-н, п. Сосны (в районе х. Верхнепопов) от пункта триангуляции «Дороговский» примерно в 1800 метрах от ориентира по направлению на север., к.н. 61:04:0600007:412, (прибор учёта электроэнергии 50 кВт - 1шт)</t>
  </si>
  <si>
    <t>Установка прибора коммерческого учёта электрической энергии, для присоединения жилого дома Пепанян Г.М., расположенного по адресу: Ростовская область, Белокалитвинский р-н, х. Крутинский, ул. Майская, д. 10, к.н. 61:04:01310104:133 (прибор учёта электроэнергии - 1шт)</t>
  </si>
  <si>
    <t>Установка прибора коммерческого учёта электрической энергии, для присоединения магазина Новиковой Ю.Е., расположенного по адресу: Ростовская область, Белокалитвинский р-н, с. Литвиновка, ул, Центральная, д.82, к.н. 61:04:0060107:93 (прибор учёта электроэнергии - 1шт)</t>
  </si>
  <si>
    <t>Установка прибора коммерческого учёта электрической энергии, для присоединения Муниципального бюджетного учреждения здравоохранения Белокалитвинского района «Центральная районная больница», расположенного по адресу: Ростовская область, Белокалитвинский р-н, х. Семимаячный, ул, Хрящевка, д. 23 а, к.н. 61:04:0110402:74 (прибор учёта электроэнергии - 1шт)</t>
  </si>
  <si>
    <t>Установка прибора коммерческого учёта электрической энергии для присоединения Магазина Индивидуального предпринимателя Плужникова О.С., расположенного по адресу: Ростовская область, Белокалитвинский р-н, п. Сосны, ул. 50 лет СССР, дом. 29, к.н.з.у.: 61:04:0150405:508 (прибор учёта электроэнергии - 1шт.)</t>
  </si>
  <si>
    <t>Установка прибора коммерческого учёта электрической энергии, для присоединения Общества с ограниченной ответственностью «АСБ-Калитва», расположенного по адресу: Ростовская область, Белокалитвинский р-н, х. Ильинка, ул. Вдовенко, кадастровый номер земельного участка: 61:04:0140101:233 (прибор учёта электроэнергии – 1 шт.)</t>
  </si>
  <si>
    <t>Установка прибора коммерческого учёта электрической энергии, для присоединения жилого дома Пузанова Н.Н., расположенного по адресу: Ростовская область, Белокалитвинский р-н, с. Литвиновка, ул. Подгорная, д. 14, к.н.: 61:04:0060106:83 (прибор учёта электроэнергии – 1 шт.)</t>
  </si>
  <si>
    <t>Установка прибора коммерческого учёта электрической энергии для присоединения строящегося жилого дома Павловой Н.П., расположенного по адресу: Ростовская область, Белокалитвинский р-н, п. Сосны, ул. Лазоревая, д, 22, к.н.з.у.: 61:04:0150409:140 (прибор учёта электроэнергии - 1шт.)</t>
  </si>
  <si>
    <t>Установка прибора коммерческого учёта электрической энергии, для присоединения жилого дома Рябцевой Л.В., расположенного по адресу: Ростовская область, Белокалитвинский р-н,  х. Ленина, ул. Ленина, д. 33, кадастровый номер земельного участка: 61:04:01100113:150 (прибор учёта электроэнергии – 1 шт.)</t>
  </si>
  <si>
    <t>Установка прибора коммерческого учёта электрической энергии, для присоединения строящегося жилого дома  Куракина П.С., расположенного по адресу: Ростовская область, г. Белая Калитва, п. Сосны, ул. Крайняя, д. 5, к.н.з.у.: 61:04:0150405:116 (прибор учёта электроэнергии – 1 шт.)</t>
  </si>
  <si>
    <t>Установка прибора коммерческого учёта электрической энергии, для присоединения жилого дома Новицкого О.В., расположенного по адресу: Ростовская обл., Каменский р-н, х. Масаловка, пер. Маяковского, д. № 1, корп. А, к.н.з.у. 61:15:0080201:1214 (прибор учёта электроэнергии - 1 шт.)</t>
  </si>
  <si>
    <t>Установка прибора коммерческого учета электрической энергии, для присоединения «базовой станции/оборудование сотовой связи» ПАО «Ростелеком» расположенного по адресу: Российская Федерация, Ростовская обл., р-н. Каменский, х. Караичев, координаты 48.48646/40.09744 (прибор учета электроэнергии - 1 шт.)</t>
  </si>
  <si>
    <t>Установка прибора коммерческого учета электрической энергии, для присоединения объекта сельскохозяйственного производства АО «Каменскволокно», расположенного по адресу: Ростовская область, Каменский район, х. Малая Каменка, северо-западнее к.н. з.у. 61:15:0602001:573 (прибор учета электроэнергии - 1 шт.)</t>
  </si>
  <si>
    <t>Установка прибора коммерческого учета электрической энергии, для присоединения ВРУ-0,4кВ административного/ офисного здания  АО «Почта России», расположенного по адресу: Ростовская область, Каменский р-н, х. Красновка, ул. Профильная, 127, К.Н. 61:15:0080105:313 (прибор учета электрической энергии - 1 шт.)</t>
  </si>
  <si>
    <t>Установка прибора коммерческого учёта электрической энергии, для присоединения ВРУ-0,4 кВ хозяйственной постройки, нежилое здание Морозовой Н.И., расположенной по адресу: Ростовская область, Милютинский район, х. Юдин, пер. Березовый, д. 7/1, к.н.з.у. 61:02:0030101:2054 (прибор учёта электроэнергии – 1 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</si>
  <si>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Донской,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</si>
  <si>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Владимиров,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</si>
  <si>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Широко-Атамановский,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</si>
  <si>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Трофименков,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</si>
  <si>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Базовой станции ПАО «Ростелеком», расположенной по адресу: Ростовская область, Морозовский р-н, х. Чекалов, кадастровый номер земельного участка: 00:00:000000:00 (прибор учёта электроэнергии - 1шт.)</t>
  </si>
  <si>
    <t>Установка прибора коммерческого учёта электрической энергии, для присоединения жилого дома Финогеева А.В., расположенного по адресу: Ростовская область, Морозовский р-н, х. Донской, ул. Солнечная, д. 13, кадастровый номер земельного участка: 61:24:0080301:134 (прибор учёта электроэнергии – 1 шт.)</t>
  </si>
  <si>
    <t>Установка прибора коммерческого учёта электрической энергии, для присоединения жилого дома Вдовенко В.П., расположенного по адресу: Ростовская область, Морозовский р-н,  х. Парамонов, ул. Молодежная, д. 14, к.н.з.у.: 61:24:0110103:154 (прибор учёта электроэнергии – 1 шт.)</t>
  </si>
  <si>
    <t>Установка прибора коммерческого учёта электрической энергии для присоединения коровника ИП главы КФХ  Омарова М.Ш., расположенного по адресу: Ростовская область, Морозовский р-н, х. Трофименков, территория зона сельскохозяйственного производства, земельный участок №1, к.н.з.у.: 61:24:0600005:279 (прибор учёта электроэнергии - 1шт.)</t>
  </si>
  <si>
    <t>Установка прибора коммерческого учёта электрической энергии, для присоединения крытого тока ИП главы К(Ф)Х Петринчик П.Н., расположенного по адресу: Ростовская область, Морозовский р-н, х. Николаев, ул. Придорожная, д. 10 б, кадастровый номер земельного участка: 61:24:100203:0076 (прибор учёта электроэнергии - 1шт.)</t>
  </si>
  <si>
    <t>Установка прибора коммерческого учёта электрической энергии, для присоединения строящегося жилого дома Кобзарь А.И., расположенного по адресу: Ростовская область, Морозовский р-н, х. Общий, ул. Белояровская, д. 3, к.н.з.у.: 61:24:0050104:25 (прибор учёта электроэнергии - 1шт.)</t>
  </si>
  <si>
    <t>Установка прибора коммерческого учёта электрической энергии, для присоединения холодного склада  ООО «Искра», расположенного по адресу: Ростовская область, Морозовский   р-н, п. Чистые Пруды, 26 м южнее жилого дома п. Чистые Пруды, 1, к.н.з.у.: 61:24:0600016:403 (прибор учёта электроэнергии – 1 шт.)</t>
  </si>
  <si>
    <t>Установка прибора коммерческого учета электрической энергии, для присоединения ВРУ-0,4кВ жилого дома Щепелева Н.В., расположенного по адресу: Ростовская область, Советский район, слобода Калач-Куртлак, улица Набережная, дом 5, к.н.з.у.:61:36:0040101:350 (прибор учета электроэнергии -   1 шт.)</t>
  </si>
  <si>
    <t>Установка прибора коммерческого учета электрической энергии, для присоединения ВРУ-0,4кВ строящегося нежилого здания Буртак С.В., расположенного по адресу: Ростовская область, Советский район, станица Советская, улица 40 лет Октября, дом 47«л», к.н.з.у.:61:36:0010101:5253 (прибор учета электроэнергии - 1 шт.)</t>
  </si>
  <si>
    <t>Установка прибора коммерческого учёта электрической энергии, для присоединения ВРУ-0,4 кВ объекта медицинского учреждения МБУЗ «ЦРБ», расположенного по адресу: Ростовская область, Тацинский район, х. Крюков, пер. Речной, д.4, к.н. 61:38:0060701:1246. (прибор учёта электроэнергии - 1шт.)</t>
  </si>
  <si>
    <t>Установка прибора коммерческого учёта электрической энергии, для присоединения ВРУ-0,4кВ строящегося здания Зимовейского М.С., расположенного по адресу: Ростовская область, Тацинский район,  х. Новороссошанский,  ул. Молодежная, д. 4-е, к.н. 61:38:0080401:2323 (прибор учёта электроэнергии –  1 шт.)</t>
  </si>
  <si>
    <t>Установка прибора коммерческого учёта электрической энергии, для присоединения ВРУ-0,4кВ здания гаража-мастерской ООО «Родина» расположенного по адресу: Ростовская область, Тацинский район,  х. Новороссошанский, ул. Молодежная, д. 4Д, к.н. 61:38:0000000:5902 (прибор учёта электроэнергии –  1 шт.)</t>
  </si>
  <si>
    <t>Установка прибора коммерческого учёта электрической энергии, для присоединения ВРУ-0,4кВ жилого дома Бондарева А.В., расположенного по адресу: Ростовская область, Тацинский район, п. Быстрогорский,   ул. Карьерная, д. 6 а, к.н. 61:38:0040134:1 (прибор учёта электроэнергии –  1 шт.)</t>
  </si>
  <si>
    <t>Установка прибора коммерческого учёта электрической энергии, для присоединения ВРУ-0,4кВ здания склада ИП Зимовейского С.Н., расположенного по адресу: Ростовская область, Тацинский район,   х. Новороссошанский, примерно в 0,7 км  по направлению на юго-восток от ул. Коммунистическая, д. 23, к.н. 61:38:0080401:281 (прибор учёта электроэнергии –  1 шт.)</t>
  </si>
  <si>
    <t>Установка прибора коммерческого учёта электрической энергии, для присоединения ВРУ-0,4кВ магазина ИП Кушнир А.В., расположенного по адресу: Ростовская область, Тацинский район, п. Быстрогорский, пер. Торговый, д. 1, к.н. 61:38:040127:0030 (прибор учёта электроэнергии –  1 шт.)</t>
  </si>
  <si>
    <t>Установка прибора коммерческого учёта электрической энергии, для присоединения ВРУ-0,4кВ объекта крестьянского (фермерского) хозяйства ИП Зиновьева А.В., расположенного по адресу: Ростовская область, Тацинский район, х. Зазерский, пер. Заречный, д. 9а, к.н. 61:38:0090101:1312 (прибор учёта электроэнергии –  1 шт.)</t>
  </si>
  <si>
    <t>Установка прибора коммерческого учёта электрической энергии, для присоединения ВРУ-0,4кВ жилого дома Гапонова Ю.Б., расположенного по адресу: Ростовская область, Тацинский район, х. Потапов, ул. Мира, д. 12, к.н. 61:38:0030901:37 (прибор учёта электроэнергии –  1 шт.)</t>
  </si>
  <si>
    <t>Установка прибора коммерческого учёта электрической энергии, для присоединения ВРУ-0,4кВ ЛЭП-0,4кВ Государственного казенного учреждения Ростовской области «Противопожарная служба Ростовской области» в лице начальника Кравцова В.В., расположенного по адресу: Ростовская область, Тацинский район, ст. Ермаковская, ул. Попова, д.34, корпус А, к.н. 61:38:0080101:2001 (прибор учёта электроэнергии - 1шт)</t>
  </si>
  <si>
    <t>Установка прибора коммерческого учёта электрической энергии, для присоединения здания механизированной тракторной мастерской Черняева С.В., расположенного по адресу: Ростовская область, Тарасовский р-н, п.Тарасовский, ул. Береговая, д. 2 а, у. н. 61:37:000000:5951:2853/АА1 (прибор учёта электроэнергии - 1шт.)</t>
  </si>
  <si>
    <t>Установка прибора коммерческого учёта электрической энергии, для присоединения строящегося зерносклада Никишиной С.С., расположенного относительно ориентира, установленного в границах участка, адрес ориентира: Ростовская область, Тарасовский район, х. Нижнемакеевский, к. н. з. у. 61:37:0600008:1154 (прибор учета электрической энергии - 1 шт.)</t>
  </si>
  <si>
    <t>Установка прибора коммерческого учёта электрической энергии, для присоединения ВРУ-0,38кВ административного/офисного здания АО «Почта России», расположенного по адресу: Ростовская обл., р-н. Тарасовский, х. Можаевка, ул. Мира, д. 1, к.н. 61:37:0110101:2153 (прибор учёта электроэнергии - 1шт)</t>
  </si>
  <si>
    <t>Установка прибора коммерческого учёта электрической энергии для присоединения жилого дома Слепченко В.А., расположенного по адресу: Ростовская область, Тарасовский р-н, сл. Колушкино, ул. Советская, д. 80, к.н.з.у.: 61:37:090101:82 (прибор учёта электроэнергии - 1шт.)</t>
  </si>
  <si>
    <t>Установка прибора коммерческого учёта электрической энергии, для присоединения ½ доли жилого дома  Пузанковой З.М., расположенного по адресу: Ростовская область, Тарасовский р-н, сл. Колушкино, ул. Дружбы, дом 7, квартира 1, к.н.з.у. 61:37:0090101:173 (прибор учёта электроэнергии - 1шт)</t>
  </si>
  <si>
    <t>Установка прибора коммерческого учёта электрической энергии, для присоединения жилого дома Коротаева В.И., расположенного по адресу: Ростовская область, Тарасовский р-н, х. Нижнемакеевский, ул. Молодежная,  д. 6, к.н. 61:37:0080301:135 (прибор учёта электроэнергии - 1шт)</t>
  </si>
  <si>
    <t>Установка прибора коммерческого учёта электрической энергии, для присоединения музея , Муниципального учреждения культуры «Митякинский дом культуры», расположенного по адресу: Ростовская область, Тарасовский р-н, ст. Митякинская, ул. Менжинского, д.70, у.н.з.у. 61-61-43/006/2009-367 (прибор учёта электроэнергии - 1шт)</t>
  </si>
  <si>
    <t>Установка прибора коммерческого учёта электрической энергии, для подключения жилого дома Кнурева П.А., расположенного по адресу: Ростовская область, Белокалитвинский р-н, п. Сосны, примыкает к участку по ул. Новая, кв. 1, к.н. 61:04:0150405:269 (прибор учёта электроэнергии - 1шт)</t>
  </si>
  <si>
    <t>Установка прибора коммерческого учёта электрической энергии, для присоединения жилого дома Белоконевой В.П., расположенного по адресу: Ростовская область, Белокалитвинский р-н, х. Богураев, ул. Нижняя, д. 119, кадастровый номер земельного участка: 61:04:0160105:97 (прибор учёта электроэнергии – 1 шт.)</t>
  </si>
  <si>
    <t>Установка прибора коммерческого учёта электрической энергии, для присоединения ВРУ-0,4 кВ малоэтажная жилая застройка (Индивидуальный жилой дом/садовый/дачный дом) Колесниченко Е.Г., расположенной по адресу: Ростовская область, Милютинский район, х. Юдин, пер. Мостовой, д. 2, к.н.з.у. 61:23:0030101:561 (прибор учёта электроэнергии - 1 шт.)</t>
  </si>
  <si>
    <t>Установка прибора коммерческого учёта электрической энергии, для присоединения ВРУ-0,4 кВ жилого дома Кравцова В.А., расположенной по адресу: Ростовская область, Милютинский район, п. Аграрный, ул. Совхозная, д. 1, к.н.з.у. 61:23:0010401:18 (прибор учёта электроэнергии - 1 шт.)</t>
  </si>
  <si>
    <t>Установка прибора коммерческого учёта электрической энергии, для присоединения ВРУ-0,4 кВ производственного здания/помещения  ИП Шевчук С.Н., расположенного по адресу: Ростовская область, Милютинский район, сл. Маньково-Березовская, в 1040 метрах на запад от сл. Маньково-Березовская, к.н.з.у. 61:23:0600006:772 (прибор учёта электроэнергии - 1 шт.)</t>
  </si>
  <si>
    <t>Установка прибора коммерческого учёта электрической энергии, для присоединения объекта «Индивидуальный жилой дом» Наконечного В.А., расположенного по адресу: Ростовская область, Морозовский р-н, ст-ца Вольно-Донская, ул. Береговая, д. 45, кадастровый номер земельного участка: 61:24:0060102:90 (прибор учёта электроэнергии – 1 шт.)</t>
  </si>
  <si>
    <t>Установка прибора коммерческого учёта электрической энергии для присоединения цеха сборки оборудования для разлива газированных напитков Овеян И.И., расположенного по адресу: Ростовская область, Тарасовский р-н, ст. Митякинская, ул. Красноармейская, д.1, к.н.з.у.: 61:37:0100101:4205 (прибор учёта электроэнергии - 1шт.)</t>
  </si>
  <si>
    <t>Установка прибора коммерческого учёта электрической энергии, для присоединения жилого дома Леурда Е.В., расположенного по адресу: сл. Большинка, ул. ул. Буденного, д.24 к.н. 61:37:0120101:3229 (прибор учёта электроэнергии - 1шт)</t>
  </si>
  <si>
    <t>Установка прибора коммерческого учёта электрической энергии, для присоединения жилого дома Симоненко Д.А., расположенного по адресу: сл. Ефремово-Степановка, ул. Ленина, д.12 к.н. 61:37:0080101:562 (прибор учёта электроэнергии - 1шт)</t>
  </si>
  <si>
    <t>Установка прибора коммерческого учёта электрической энергии для присоединения нежилой застройки Демина П.Е., расположенного по адресу: Ростовская область, Белокалитвинского р-н,  п. Сосны, ул. 50 лет СССР, д. 23б, к.н.з.у.: 61:04:0150405:533 (прибор учёта электроэнергии – 1 шт.)</t>
  </si>
  <si>
    <t>Установка прибора коммерческого учета электрической энергии, для присоединения «антенно-мачтового сооружения 61-14587» АО «Первая Башенная Компания» расположенного по адресу: Ростовская область, Каменский р-н, х. Старая Станица, 924 км автомагистрали М-4 «Дон», вблизи с участком к.н. 61:15:0602101:24, координаты 48.355703/40.335208 (прибор учета электроэнергии - 1 шт.)</t>
  </si>
  <si>
    <t>Установка прибора коммерческого учета электрической энергии, для присоединения «жилого дома» ООО «Альянс» расположенного по адресу: Российская Федерация, Ростовская обл., район Каменский, х. Старая Станица, ул. Строителей, 86 Б (прибор учета электроэнергии - 1 шт.)</t>
  </si>
  <si>
    <t>Установка прибора коммерческого учета электрической энергии, для присоединения «освещение парка» Администрации Каменского района, расположенного по адресу: Российская Федерация, Ростовская обл.,  р-н. Каменский, х. Малая Каменка, примыкает к ЗУ по ул. Карла Маркса, 21А (прибор учета электроэнергии - 1 шт.)</t>
  </si>
  <si>
    <t>Установка прибора коммерческого учета электрической энергии, для присоединения объектов торговли (магазин, торговый центр, прочее), расположенных по адресу: Ростовская область, Каменский р-н, х. Красновка, ул. Профильная, примыкает к земельному участку с к.н. 61:15:0080108:1893, к.н.з.у. 61:15:0080108:1913 (прибор учета электроэнергии - 1 шт.)</t>
  </si>
  <si>
    <t>Установка прибора коммерческого учёта электрической энергии, для присоединения ВРУ-0,4 кВ малоэтажной жилой застройки Гордиенко Н.В., расположенной по адресу: Ростовская область, Милютинский район,   х. Приходько-Придченский, ул. Петровка, д. 34, к.н.з.у. 61:23:0040201:68 (прибор учёта электроэнергии – 1 шт.)</t>
  </si>
  <si>
    <t>Установка прибора коммерческого учёта электрической энергии, для присоединения объекта строительства (гаража) Зрожаева Н.Н., расположенного по адресу: Ростовская область, Морозовский р-н, х. Общий, ул. Энтузиастов, д. 52, к.н.з.у.: 61:24:0050102:638 (прибор учёта электроэнергии - 1шт.)</t>
  </si>
  <si>
    <t>Установка прибора коммерческого учёта электрической энергии, для присоединения ВРУ-0,4 кВ здания склада ИП Мищенко В.Н. расположенного по адресу: Ростовская область, Тацинский район, примерно в 0,4 км на восток от х. Араканцев, к.н. 61:38:0600017:709 (прибор учёта электроэнергии –  1 шт.)</t>
  </si>
  <si>
    <t>Установка прибора коммерческого учёта электрической энергии, для присоединения ВРУ-0,4кВ здания склада №2 ИП Мищенко В.Н. расположенного по адресу: Ростовская область, Тацинский район, примерно в 0,2 км на восток от х. Араканцев, к.н. 61:38:0600017:708 (прибор учёта электроэнергии –  1 шт.)</t>
  </si>
  <si>
    <t>Установка прибора коммерческого учёта электрической энергии, для присоединения строящегося здания ИП Мищенко В.Н. расположенного по адресу: Ростовская область, Тацинский район, примерно в 50м на северо-запад от х. Араканцев,  к.н. 61:38:0600017:945 (прибор учёта электроэнергии –  1 шт.)</t>
  </si>
  <si>
    <t>Установка прибора коммерческого учёта электрической энергии, для присоединения строящегося здания Дадоновой Г.Н., расположенного по адресу: Ростовская область, Тацинский район, х. Крылов, в 0,5 км на северо-запад от ул. Молодежная, 19, к.н. 61:38:0600013:1068 (прибор учёта электроэнергии – 1 шт.)</t>
  </si>
  <si>
    <t>Обеспечение коммерческим учетом электрической энергии  в точке поставки, по присоединению строящегося жилого дома Убийко Л.И., расположенного по адресу: Ростовская область, Белокалитвинский район, х. Богатов, пер. Степной, д. № 4а, к.н. 61:04:0080202:250 (прибор учета электроэнергии – 1шт).</t>
  </si>
  <si>
    <t>Установка прибора коммерческого учёта электрической энергии для присоединения жилого дома Кнурева М.Н., расположенного по адресу: Ростовская область, Белокалитвинский район, х. Нижнепопов, ул. Первая, д. № 4, к.н. 61:04:0150201:71 (прибор учета электроэнергии – 1шт)</t>
  </si>
  <si>
    <t>Установка прибора коммерческого учёта электрической энергии  для присоединения строящегося жилого дома Аксёнов Л.А., расположенного по адресу: Ростовская область, Белокалитвинский район, п. Сосны, ул. Сосновая, д. № 2 д, к.н. 61:04:0150415:73 (прибор учета электроэнергии – 1шт)</t>
  </si>
  <si>
    <t>Установка прибора коммерческого учёта электрической энергии, для присоединения жилого дома Абрамовой С.И., расположенного по адресу: Ростовская область, Белокалитвинский район, х. Поцелуев, ул. Старцева, д. № 8, к.н. 61:04:0050101:167 (прибор учета электроэнергии – 1шт)</t>
  </si>
  <si>
    <t>Установка прибора коммерческого учёта электрической энергии, для присоединения жилого дома Демченко Н.Н., расположенного по адресу: Ростовская область, Белокалитвинский р-н, х. Какичев, ул. Центральная, д. 66, к.н. 61:04:0160502:74, (прибор учёта электроэнергии - 1шт)</t>
  </si>
  <si>
    <t>Установка прибора коммерческого учёта электрической энергии, для присоединения строящегося жилого дома Олейникова А.В., расположенного по адресу: Ростовская область, Белокалитвинский р-н, п. Сосны, ул. Молодежная, д. 74 а, к.н. з.у. 61:04:0150410:213, (прибор учёта электроэнергии - 1шт)</t>
  </si>
  <si>
    <t>Установка приборов коммерческого учёта электрической энергии, для присоединения жилых домов Винниковой Л.А., Воронкова О.Н., Гончаровой А.Н., Грачевой Н.В., Захарченко А.Л., Копылова Д.М., Лукиных Н.В., Пащенко С.И., расположенных по адресу: Ростовская обл., Белокалитвинский р-н, х. Дубовой, ул.  Степная, дома №№ 65, 69, 66,70,77,84,81,82, к.н. з.у.: 61:04:0110502:102, 61:04:0110502:124, 61:04:0110502:121, 61:04:0110502:119, 61:04:0110502:0108, 61:04:0110502:115, 61:04:0110502:113, 61:04:0110502:114 (прибор учёта электроэнергии – 8 шт)</t>
  </si>
  <si>
    <t>Установка прибора коммерческого учёта электрической энергии, для присоединения жилого помещения Деникс Ю.В., расположенного по адресу: Ростовская область, Белокалитвинский р-н, п. Сосны, ул. Новая, д. 1, кв./оф. № 1, к.н. 61:04:0150405:268, (прибор учёта электроэнергии 15 кВт - 1шт)</t>
  </si>
  <si>
    <t>Установка прибора коммерческого учёта электрической энергии, для присоединения жилого дома Ильенко А.А., расположенного по адресу: Ростовская область, Белокалитвинский р-н, п. Сосны, ул. Кирова, д. 1/1., кв., к.н. 61:04:150400:1391, (прибор учёта электроэнергии 15 кВт - 1шт)</t>
  </si>
  <si>
    <t>Установка прибора коммерческого учёта электрической энергии, для присоединения жилого дома Лобурь Р.В., расположенного по адресу: Ростовская область, Белокалитвинский р-н, х. Нижнепопов, ул. Молодежная, д. 1., кв/оф.1, к.н. з.у. 61:04:150204:0058 (прибор учёта электроэнергии 15 кВт - 1шт)</t>
  </si>
  <si>
    <t>Установка прибора коммерческого учёта электрической энергии, для присоединения Базовой станции сотовой связи № 61-02919 Публичного Акционерного Общества «Мобильные ТелеСистемы»., расположенного по адресу: Ростовская область, Белокалитвинский р-н, х. Богатов, ул. Станкевского, 0,08 км северо-западнее дома № 14, к.н.з.у. отсутствует, (прибор учёта электроэнергии - 1шт)</t>
  </si>
  <si>
    <t>Установка прибора коммерческого учёта электрической энергии, для присоединения жилого дома Абрамян Г.В., расположенного по адресу: Ростовская область, Белокалитвинский р-н, х. Ильинка, ул. Набережная, д. 3, к.н. 61:04:0140106:85 (прибор учёта электроэнергии - 1шт)</t>
  </si>
  <si>
    <t>Установка прибора коммерческого учёта электрической энергии, для присоединения жилого дома Авагяна Г.Г., расположенного по адресу: Ростовская область, Белокалитвинский р-н, х. Нижнепопов, ул. Школьная, д. 38, к.н. 61:04:0150202:96 (прибор учёта электроэнергии - 1шт)</t>
  </si>
  <si>
    <t>Установка прибора коммерческого учёта электрической энергии, для присоединения жилого дома Калюжина П.В., расположенного по адресу: Ростовская область, Белокалитвинский р-н, х. Дороговский, пер. Мирный, д. 4., к.н. 61:04:0150301:583., (прибор учёта электроэнергии - 1шт)</t>
  </si>
  <si>
    <t>Установка прибора коммерческого учёта электрической энергии, для присоединения жилого дома Кулик П.В., расположенного по адресу: Ростовская область, Белокалитвинский р-н, х. Нижнесеребряковский, ул. Советская, д. 26., к.н. 61:04:0070104:80., (прибор учёта электроэнергии - 1шт)</t>
  </si>
  <si>
    <t>Установка прибора коммерческого учёта электрической энергии, для присоединения жилого дома Курченко Е.А., расположенного по адресу: Ростовская область, Белокалитвинский р-н, х. Марьевка, ул. Ленина, д. 9, к.н. 61:04:0140601:117 (прибор учёта электроэнергии - 1шт)</t>
  </si>
  <si>
    <t>Установка прибора коммерческого учёта электрической энергии, для присоединения жилого дома Стещенко Д.В., расположенного по адресу: Ростовская область, Белокалитвинский р-н, х. Погорелов, ул. Сергея Саринова, д. 61., к.н. 61:04:130202:0066., (прибор учёта электроэнергии - 1шт)</t>
  </si>
  <si>
    <t>Установка прибора коммерческого учёта электрической энергии, для присоединения жилого дома Шакенус Е.А., расположенного по адресу: Ростовская область, Белокалитвинский р-н, х. Ильинка, ул. Гагарина, д. 32., к.н. 61:04:0140103:141 (прибор учёта электроэнергии - 1шт)</t>
  </si>
  <si>
    <t>Установка прибора коммерческого учёта электрической энергии, для присоединения мастерских Янгуловой Н.Е., расположенного по адресу: Ростовская область, Белокалитвинский р-н, п. Сосны, к.н. 61:04:0600007:334 (прибор учёта электроэнергии - 1шт)</t>
  </si>
  <si>
    <t>Установка прибора коммерческого учёта электрической энергии, для присоединения строящегося жилого дома Костоева А.С., расположенного по адресу: Ростовская область, Белокалитвинский р-н, х. Поцелуев, ул. Донецкая, д. 1, к.н. 61:04:0050104:86 (прибор учёта электроэнергии - 1шт)</t>
  </si>
  <si>
    <t>Установка прибора коммерческого учёта электрической энергии, для присоединения строящегося жилого дома Закиновой Н.А., расположенного по адресу: Ростовская область, Белокалитвинский р-н, п. Сосны, ул. Заречная, уч. 19-б, к.н. 61:04:0150406:236 (прибор учёта электроэнергии - 1шт)</t>
  </si>
  <si>
    <t>Установка прибора коммерческого учёта электрической энергии, для присоединения строящегося жилого дома Сюськиной Н.С., расположенного по адресу: Ростовская область, Белокалитвинский р-н, п. Сосны, ул. Солнечная, д. 1, к.н. 61:04:0150404:382 (прибор учёта электроэнергии - 1шт)</t>
  </si>
  <si>
    <t>Установка прибора коммерческого учёта электрической энергии, для присоединения строящегося жилого дома Чумак Г.М., расположенного по адресу: Ростовская область, Белокалитвинский р-н, х. Нижнепопов, ул. Мостовая, д. 3., к.н. 61:04:0150201:43., (прибор учёта электроэнергии - 1шт)</t>
  </si>
  <si>
    <t>Установка прибора коммерческого учёта электрической энергии, для присоединения строящегося магазина Индивидуального предпринимателя Прохоровой А.П., расположенного по адресу: Ростовская область, Белокалитвинский р-н, п. Сосны, ул. 50 лет СССР, уч. 25а, к.н. 61:04:0150405:262 (прибор учёта электроэнергии - 1шт)</t>
  </si>
  <si>
    <t>Установка прибора коммерческого учёта электрической энергии, для присоединения строящегося жилого дома Семерникова С.А., расположенного по адресу: Ростовская область, Белокалитвинский р-н, х. Мечетный, ул. Бузиновская, д. 6, к.н. 61:04:16:07 (прибор учёта электроэнергии - 1шт)</t>
  </si>
  <si>
    <t>Установка прибора коммерческого учёта электрической энергии, для присоединения жилого дома Дубинской О.Л., расположенного по адресу: Ростовская область, Белокалитвинский р-н, х. Ильинка, ул, Советская, д. 6, к.н. 61:04:0140107:105 (прибор учёта электроэнергии - 1шт)</t>
  </si>
  <si>
    <t>Установка прибора коммерческого учёта электрической энергии, для присоединения жилого дома Ивановой И.М., расположенного по адресу: Ростовская область, Белокалитвинский р-н, х. Чернышев, ул. Центральная, д.13, к.н. 61:04:0110302:191 (прибор учёта электроэнергии - 1шт)</t>
  </si>
  <si>
    <t>Установка прибора коммерческого учёта электрической энергии, для присоединения жилого дома Белогубова В.Г., расположенного по адресу: Ростовская область, Белокалитвинский р-н, с. Литвиновка, ул, Центральная, д. 28, к.н. 61:04:0060101:14 (прибор учёта электроэнергии - 1шт)</t>
  </si>
  <si>
    <t>Установка прибора коммерческого учёта электрической энергии, для жилого дома Недина П.Г., расположенного по адресу: Ростовская область, Белокалитвинский р-н, х. Крутинский, ул, Набережная, д. 12, к.н. 61:04:0130101:144 (прибор учёта электроэнергии - 1шт)</t>
  </si>
  <si>
    <t>Установка прибора коммерческого учёта электрической энергии для присоединения Магазина 508 Общества с ограниченной ответственностью «Управляющая компания Донская народная»., расположенного по адресу: Ростовская область, Белокалитвинский р-н, п. Сосны, ул. 50 лет СССР, д. 29, к.н.з.у. 61:04:0150405:508 (прибор учёта электроэнергии - 1шт.)</t>
  </si>
  <si>
    <t>Установка прибора коммерческого учёта электрической энергии, для присоединения строящегося магазина Индивидуального предпринимателя Прохоровой А.П., расположенного по адресу: Ростовская обл., Белокалитвинский р-н, п. Сосны, ул. 50 лет СССР, к.н.з.у.: 61:04:0150405:517 (прибор учёта электроэнергии - 1шт.)</t>
  </si>
  <si>
    <t>Установка прибора коммерческого учёта электрической энергии для присоединения жилого дома Ивановой И.А., расположенного по адресу: Ростовская область, Белокалитвинского р-н,  х. Какичев, ул. Центральная, д. 88, к.н.з.у.: 61:04:0160502:65 (прибор учёта электроэнергии – 1 шт.)</t>
  </si>
  <si>
    <t>Установка прибора коммерческого учёта электрической энергии, для присоединения жилого дома Колобова М.П., расположенного по адресу: Ростовская область, Белокалитвинский р-н,  г. Белая Калитва, тер. СНТ Дружный, д. 88 кадастровый номер земельного участка: 61:47:0010220:182 (прибор учёта электроэнергии – 1 шт.)</t>
  </si>
  <si>
    <t>Установка прибора коммерческого учёта электрической энергии, для присоединения жилого дома Терехова Д.О., расположенного по адресу: Ростовская область, Белокалитвинский р-н, п. Сосны, ул. Абрикосовая, д. 2 кадастровый номер земельного участка: 61:04:0150408:229 (прибор учёта электроэнергии – 1шт.)</t>
  </si>
  <si>
    <t>Обеспечение коммерческим учетом электрической энергии в точке поставки, по присоединению жилого дома Склярова П.Н., расположенного по адресу: Ростовская область, Каменский район, х. Старая Станица, пер. Новоселый, д. № 8, к.н. 61:15:0130104:60(прибор учета электроэнергии – 1шт).</t>
  </si>
  <si>
    <t>Установка прибора коммерческого учёта электрической энергии, для присоединения жилого дома Киритченко А.Е., расположенного по адресу: Ростовская область, Каменский район, х. Урывский, ул. Молодежная, д. № 4, к.н.з.у. 61:15:0120701:82 (прибор учёта электроэнергии - 1шт.)</t>
  </si>
  <si>
    <t>Установка прибора коммерческого учёта электрической энергии, для присоединения жилого дома Гостевой Е.Н., расположенного по адресу: Ростовская область, Каменский район, х. Старая Станица, ул. Садовая, д. № 155, к.н.з.у. 61:15:0130103:510 (прибор учёта электроэнергии - 1 шт.)</t>
  </si>
  <si>
    <t>Установка прибора коммерческого учёта электрической энергии, для присоединения жилого дома Гречко В.Т., расположенного по адресу: Ростовская область, Каменский район, х. Груцинов, пер. Виноградный,  дом № 7, кв./оф. № 2, к.н.з.у. 61:15:0050101:462 (прибор учёта электроэнергии - 1 шт.)</t>
  </si>
  <si>
    <t>Установка прибора коммерческого учёта электрической энергии,для присоединения жилого дома Новодарского С.И., расположенного по адресу: Ростовская обл., Каменский р-н, х. Диченский, ул. Левитана,  д. № 62, корп. А, к.н.з.у. 61:15:0130301:380 (прибор учёта электроэнергии - 1 шт.)</t>
  </si>
  <si>
    <t>Установка прибора коммерческого учёта электрической энергии, для присоединения жилого дома Казаковой О.М., расположенного по адресу: Ростовская область, Каменский район, х. Старая Станица, пер. Новоселый, д. № 18, к.н.з.у. 61:15:0130104:95 (прибор учёта электроэнергии - 1 шт.)</t>
  </si>
  <si>
    <t>Установка прибора коммерческого учёта электрической энергии, для присоединения жилого дома Емелина П.В., расположенного по адресу: Ростовская область, Каменский р-н, х. Старая Станица, ул. Донская, д. № 13, к.н.з.у. 61:15:0130103:1288 (прибор учёта электроэнергии - 1 шт.)</t>
  </si>
  <si>
    <t>Установка прибора коммерческого учета электрической энергии, для присоединения «жилого дома» Салтыковой Т.А. расположенного по адресу: Российская Федерация, Ростовская обл., р-н. Каменский, х. Муравлев, ул. Зеленая, 34 (прибор учета электроэнергии - 1 шт.)</t>
  </si>
  <si>
    <t>Установка прибора коммерческого учета электрической энергии, для присоединения «жилой дом» Брицын Л.Л. расположенного по адресу: Российская Федерация, Ростовская обл., р-н. Каменский, х. Нижнеерохин, ул. Молодежная, 12 (прибор учета электроэнергии - 1 шт.)</t>
  </si>
  <si>
    <t>Установка прибора коммерческого учета электрической энергии, для присоединения «жилой дом» Рузанова А.А., расположенного по адресу: Российская Федерация, Ростовская обл., р-н. Каменский, х. Старая Станица, ул. Ломоносова, 163 корп. Г, КН 61:15:00130106:815 (прибор учета электроэнергии - 1 шт.)</t>
  </si>
  <si>
    <t>Установка прибора коммерческого учета электрической энергии, для присоединения «жилой дом» Удавихиной Н.А. расположенного по адресу: Российская Федерация, Ростовская обл., р-н. Каменский, х. Муравлев, ул. Зеленая, 56, КН 61:15:0070401:779 (прибор учета электроэнергии - 1 шт.)</t>
  </si>
  <si>
    <t>Установка прибора коммерческого учёта электрической энергии, для присоединения ВРУ-0,4 кВ объекта наружного освещения,расположенного по адресу: Ростовская область, Милютинский район,ст. Селивановская. ул. Кооперативная, д.15 А (прибор учёта электроэнергии – 1 шт.)</t>
  </si>
  <si>
    <t>Установка прибора коммерческого учёта электрической энергии для присоединения жилого дома Асманова Ш.А., расположенного по адресу: Ростовская область, район Милютинский, х. Петровский, ул. Продольная, д. 19, кадастровый номер земельного участка: 61:23:0010301:13 (прибор учёта электроэнергии - 1 шт.)</t>
  </si>
  <si>
    <t>Установка прибора коммерческого учёта электрической энергии, для присоединения Модульного ФАП МБУЗ "ЦРБ" Морозовского района Ростовской области, расположенного по адресу: Ростовская область, Морозовский р-н, х. Морозов, ул. Кольцевая, д. 20 а, кадастровый номер земельного участка: 61:24:0080102:767 (прибор учёта  электроэнергии - 1шт.)</t>
  </si>
  <si>
    <t>Установка прибора коммерческого учёта электрической энергии, для присоединения «Объекта сельскохозяйственного производства» Годунко Василия Александровича, расположенного по адресу: Ростовская область, Морозовский р-н, в границах землепользования реорганизованного колхоза им. XXIII Партсъезда, кадастровый номер земельного участка: 61:24:0600003:616 (прибор учёта электроэнергии - 1шт.)</t>
  </si>
  <si>
    <t>Установка прибора коммерческого учёта электрической энергии, для присоединения Жилого дома Омельчук Л.С., расположенного по адресу: Ростовская область, Морозовский р-н, х. Грузинов, пер. Вербный, д. 6, кадастровый номер земельного участка: 61:24:0050305:83 (прибор учёта электроэнергии - 1шт.)</t>
  </si>
  <si>
    <t>Установка прибора коммерческого учёта электрической энергии для присоединения объекта «Антенно-мачтовое сооружение 61-15826» АО «ПБК», расположенного по адресу: Ростовская область, Морозовский р-н, х. Грузинов, ул. Вишневая, вблизи д.40, кадастровый номер земельного участка: 00:00:000000:00 (прибор учёта электроэнергии –  1 шт.)</t>
  </si>
  <si>
    <t>Установка прибора коммерческого учёта электрической энергии, для присоединения ВРУ-0,4 кВ жилого дома Фролова Г.Ф., расположенного по адресу: Ростовская область, Советский р-н, сл. Калач-Куртлак, ул. Набережная, д. 4, к.н. 61:36:0040101:204 (прибор учёта электроэнергии - 1шт.)</t>
  </si>
  <si>
    <t>Установка прибора коммерческого учета электрической энергии, для присоединения ВРУ-0,4 кВ объекта торговли (магазина) Масленниковой С.И., расположенного по адресу: Ростовская область, Советский р-н, ст. Советская, ул. Красноармейская, дом № 24, помещение 2, К.Н. 61:36:0010101:4848 (прибор учета электроэнергии - 1 шт.)</t>
  </si>
  <si>
    <t>Установка прибора коммерческого учёта электрической энергии, для присоединения складские здания здания/помещения ИП Скорикова Ж.Е,.расположенного по адресу: Ростовская область, Советский район , сл.Петрово, ул.Молодежная, д.  17, к.н.  61:36:060000:107 (прибор учёта электроэнергии  –  1  шт.)</t>
  </si>
  <si>
    <t>Установка прибора коммерческого учёта электрической энергии, для присоединения строящегося склада ИП Васильева Ф.В., расположенного по адресу: Ростовская область, Советский район примерно в 0,58 км. на юго-восток от ориентира сл. Калач-Куртлак к.н. 61:36:0600005:707 (прибор учёта электроэнергии – 1 шт.)</t>
  </si>
  <si>
    <t>Установка прибора коммерческого учёта электрической энергии для присоединения жилого дома Антонова Н.О., расположенного по адресу: Ростовская область, Тарасовский район, х. Мартыновка, ул. Мира, д. 13, у.н. 61-61-43/008/2008-799 (прибор учета электроэнергии- 1шт)</t>
  </si>
  <si>
    <t>Установка прибора коммерческого учёта электрической энергии для присоединения жилого дома Кравченко В.Н., расположенного по адресу: Ростовская область, Тарасовский район, сл. Ефремово-Степановка, ул. Буденного, д. 26, к.н. 61:37:0080101:2002 (прибор учета электроэнергии – 1шт).</t>
  </si>
  <si>
    <t>Обеспечение коммерческим учетом электрической энергии в точке поставки, по присоединению жилого дома Кутеповой Л.И., расположенного по адресу: Ростовская область, Тарасовский район,  х. Новоалексеевка, ул. Малиновая, д. 1, к.н. 61:37:0050701:77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</si>
  <si>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 сл. Александровка, к.н.з.у. 00:00:000000:00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</si>
  <si>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р-н,х. Нижнемакеевский, к.н.з.у. 00:00:000000:00 (прибор учётаэлектроэнергии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</si>
  <si>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 п. Малое Полесье, к.н.з.у. 00:00:000000:00 (прибор учёта электроэнергии - 1шт)</t>
  </si>
  <si>
    <t>Установка прибора коммерческого учёта электрической энергии, для присоединения базовой станции сотовой связи ПАО «Ростелеком», расположенной по адресу: Ростовская область, Тарасовский р-н, х. Прогной, к.н.з.у. 00:00:000000:00 (прибор учёта электроэнергии - 1шт)</t>
  </si>
  <si>
    <t>Установка прибора коммерческого учёта электрической энергии, для присоединения МТМ ИП главы К(Ф)Х Кузьмина А.Б., расположенного по адресу: установлено относительно ориентира, расположенного в границах участка. Почтовый адрес ориентира: Ростовская область, Тарасовский район, ст. Митякинская, ул. Сосновая, д.17, к.н. 61:37:0100101:973 (прибор учёта электроэнергии - 1шт)</t>
  </si>
  <si>
    <t>Установка прибора коммерческого учёта электрической энергии для присоединения антенно-мачтового сооружения 61-15002 объекта АО «Первая Башенная Компания», расположенного по адресу: Ростовская область, Тацинский р-н, х. Ковылкин, ул. Новая, вблизи д. 12 к.н. 61:38:0110101 (прибор учёта электроэнергии – 1 шт.)</t>
  </si>
  <si>
    <t>Установка прибора коммерческого учёта электрической энергии для присоединения ЛЭП-0,4 кВ объектов ЖКХ Отдела образования Администрации Тацинского района, расположенных по адресу: Ростовская область, Тацинский район, п. Быстрогорский, ул. Волгодонская, д. 7 А, к.н. 61:38:0040126:80 (прибор учёта электроэнергии - 1шт.)</t>
  </si>
  <si>
    <t>Установка прибора коммерческого учёта электрической энергии для присоединения Малоэтажной жилой застройки (индивидуальный жилой дом) Гарбуз Ю.А., расположенного по адресу: Ростовская область, Белокалитвинского р-н, п. Сосны, ул. Сосновая, д. 15, к.н.з.у.: 61:04:0150415:70 (прибор учёта электроэнергии – 1 шт.</t>
  </si>
  <si>
    <t>Установка прибора коммерческого учёта электрической энергии для присоединения строящегося жилого дома Бородина С.Г., расположенного по адресу: Ростовская область, Белокалитвинский р-н, п. Сосны, ул. Октябрьская, уч. 45а, к.н.з.у.: 61:04:0150413:488(прибор учёта электроэнергии - 1шт.)</t>
  </si>
  <si>
    <t>Установка прибора коммерческого учёта электрической энергии, для присоединения жилого дома Голаева Е.В., расположенного по адресу: Ростовская область, Белокалитвинский р-н,  п. Сосны, ул. Кирова, д. 4А, к.н. 61:04:150402:0100 (прибор учёта электроэнергии - 1шт)</t>
  </si>
  <si>
    <t>Установка прибора коммерческого учета электрической энергии, для присоединения «нежилого здания» МПРО приход храма равноапостольных Константина и Елены х. Малая Каменка расположенного по адресу: Российская Федерация, Ростовская обл., р-н. Каменский, х. Малая Каменка, ул. Первомайская, 42А(прибор учета электроэнергии - 1 шт.)</t>
  </si>
  <si>
    <t>Установка прибора коммерческого учета электрической энергии, для присоединения «жилой дом» Бондаревой М.П., расположенного по адресу: Российская Федерация, Ростовская обл., р-н. Каменский, х. Старая Станица, ул. Ленина, 35, КН 61:15:0130102:753 (прибор учета электроэнергии - 1 шт.)</t>
  </si>
  <si>
    <t>Установка прибора коммерческого учета электрической энергии, для присоединения «нежилого здания» ИП Ординарцевой Е.В. расположенного по адресу: Российская Федерация, Ростовская обл., р-н. Каменский, х. Старая станица, пересечение ул. Буденного и ул. Большевистской (прибор учета электроэнергии - 1 шт.)</t>
  </si>
  <si>
    <t>Установка прибора коммерческого учёта электрической энергии, для присоединения объекта «Мастерская» Плех Елены Андреевны, расположенного по адресу: Ростовская область, р-н Морозовский, х. Козинка, ул. Крайняя, 1-б, кадастровый номер земельного участка: 61:24:0050202:89 (прибор учёта электроэнергии - 1шт.)</t>
  </si>
  <si>
    <t>Установка прибора коммерческого учета электрической энергии, для присоединения ВРУ-0,4 кВ жилого дома   Обухова  В.В.., расположенного по адресу: Ростовская область, Обливский р-н, х. Александровский, пер. Луговой, дом № 5,  К.Н. 61:27:0010101:132 (прибор учета электроэнергии - 1 шт.)</t>
  </si>
  <si>
    <t>Установка прибора коммерческого учёта электрической энергии, для присоединения здания животноводческой фермы Кравцовой Н.Ф., расположенного по адресу: Ростовская область, Обливский район, х. Киреев, к.н. 61:27:0600010:447 (прибор учёта электроэнергии - 1шт)</t>
  </si>
  <si>
    <t>Установка прибора коммерческого учета электрической энергии, для присоединения ВРУ-0,4 кВ объекта животноводства ИП Тимофеева О.Е., расположенного по адресу: Ростовская область, Советский р-н, х. Парамонов, ул. Заречная, дом № 8,  К.Н. 61:36:0010301:24 (прибор учета электроэнергии - 1 шт.)</t>
  </si>
  <si>
    <t>Установка прибора коммерческого учёта электрической энергии для присоединения жилого дома Ивашковой А.А., расположенного по адресу: Ростовская область, Белокалитвинского р-н, г. Белая Калитва, п. Сосны д. 98, к.н.з.у.: 61:04:0150417:214 (прибор учёта электроэнергии – 1 шт.)</t>
  </si>
  <si>
    <t>Установка прибора коммерческого учёта электрической энергии для присоединения жилого дома Муриной Н.Д., расположенного по адресу: Ростовская область, Белокалитвинского р-н,   х. Крутинский, ул. Майская, д. 19, к.н.з.у.: 61:04:130107:03 (прибор учёта электроэнергии – 1 шт.)</t>
  </si>
  <si>
    <t>Установка прибора коммерческого учета электрическо йэнергии, для присоединения «жилого дома» Степко И.А. расположенного по адресу:Российская Федерация, Ростовская обл., р-н. Каменский, Красновка, ул.Янтарная, 13, КН 61:15:0080101:124, (прибор учета электроэнергии - 1 шт.)</t>
  </si>
  <si>
    <t>Установка прибора коммерческого учета электрической энергии, для присоединения «Нижнеерохинский сельский клуб» МУК Гусевский ЦПСДК, расположенного по адресу: Российская Федерация, Ростовская обл., р-н. Каменский, х. Нижнеерохин, ул. Придорожная,  10,  (прибор учета электроэнергии  -  1  шт.)</t>
  </si>
  <si>
    <t>Установка прибора коммерческого учёта электрической энергии, для присоединения жилого дома Смыслова В.Р., расположенного по адресу: Ростовская область, Тарасовский район, х.Липовка, ул. Пролетарская, д.109, к.н. 61:37:0020301:51 (прибор учёта электроэнергии - 1шт)</t>
  </si>
  <si>
    <t>Установка прибора коммерческого учёта электрической энергии, для присоединения жилого дома Фисенко А.А., расположенного по адресу: Ростовская область, Тарасовский район,  сл. Большинка, ул. Буденного, д. 28 к.н. 61:37:0120101:1323 (прибор учёта электроэнергии - 1шт)</t>
  </si>
  <si>
    <t>Установка прибора коммерческого учёта электрической энергии, для присоединения торгового павильона ИП Ярцевой И.В., расположенного по адресу: Ростовская область, Тарасовский район, ст.Митякинская, слева от Администрации Митякинского сельского поселения на 7 м. от земельного участка № 61:37:0100101:4606 (прибор учёта электроэнергии - 1шт)</t>
  </si>
  <si>
    <t>Установка прибора коммерческого учёта электрической энергии, для присоединения нежилой застройки Цветкова В.И., расположенного по адресу: Ростовская область, Белокалитвинский р-н, с. Литвиновка, ул,Луговая, к.н. 61:04:0000000:5824 (прибор учёта электроэнергии - 1шт)</t>
  </si>
  <si>
    <t>Установка прибора коммерческого учёта электрической энергии, для присоединения объекта муниципального учреждения., расположенного по адресу: Ростовская область, Белокалитвинский р-н, х. Грушевка, ул. Центральная, д. 12 б, кадастровый номер земельного участка: 61:04:0110102:487 (прибор учёта электроэнергии – 1 шт.)</t>
  </si>
  <si>
    <t>Установка прибора коммерческого учёта электрической энергии, для присоединения жилого дома Чалой А.В, расположенного по адресу: Ростовская обл., Каменский р-н, ст. Калитвенская, ул. Пионерская, д. 2, к.н.з.у. 61:15:070101:0749 (прибор учёта электроэнергии - 1шт)</t>
  </si>
  <si>
    <t>Установка прибора коммерческого учёта электрической энергии, для присоединения жилого дома Ткачева А.В., расположенного по адресу: Ростовская область, Каменский район, х. Старая Станица, ул. Буденного, дом  № 121, корп. А, к.н.з.у. 61:15:0130103:1039 (прибор учёта электроэнергии - 1 шт.)</t>
  </si>
  <si>
    <t>Установка прибора коммерческого учета электрической энергии, для присоединения «нежилого помещения» АО «Почта России» расположенного по адресу: Российская Федерация, Ростовская обл., р-н.Каменский, х.Старая Станица, ул.Ленина, 12 КН 61:15:0130102:2862 (прибор учета электроэнергии  -  1  шт.)</t>
  </si>
  <si>
    <t>Установка прибора коммерческого учета электрической энергии, для присоединения «жилого дома» Федорцова А.В., расположенного по адресу: Российская Федерация, Ростовская обл., р-н .Каменский, х. Красновка, ул. Котовского 1А, КН 61:15:0080105:197(прибор учета электроэнергии - 1 шт.)</t>
  </si>
  <si>
    <t>Установка прибора коммерческого учета электрической энергии , для присоединения «объекта торговли» Донскова С.И. расположенного по адресу :Российская Федерация, Ростовская обл., р-н .Каменский,  х. Лесной, ул. Лермонтова, 1А  КН  61:15:0130501:2012  (прибор учета электроэнергии - 1 шт.)</t>
  </si>
  <si>
    <t>Установка прибора коммерческого учета электрической энергии, для присоединения «нежилого помещения» АО «Почта России» расположенного по адресу :Российская Федерация, Ростовская обл., р-н. Каменский, х. х. Гусев, ул. Центральная,    15  пом.5, Н61:15:0060101:1275 (прибор учета электроэнергии  -  1 шт.)</t>
  </si>
  <si>
    <t>Установка прибора коммерческого учёта электрической энергии, для присоединения ВРУ-0,4кВ квартиры Дарнецкой А.В., расположенного по адресу: Ростовская область, Обливский район,х. Лобачев, ул. Чирская, д.1, кв.1 к.н.   61:27:0070301:55  (прибор учёта электроэнергии  -  1шт)</t>
  </si>
  <si>
    <t>Установка прибора коммерческого учёта электрической энергии, для присоединения ВРУ-0,4 кВ базовой станции ПАО «Ростелеком», расположенной по адресу: Ростовская область, Советский район, х. Усть-Грязновский, Широта 48.836978, Долгота 42.095821, КНЗУ 00:00:000000:00 (прибор учёта электроэнергии - 1шт.)</t>
  </si>
  <si>
    <t>Установка прибора коммерческого учета электрической энергии, для присоединения «жилого дома Ульянова В.А. , расположенного по адресу: Российская Федерация, Ростовская обл., р-н. Каменский, х.Белгородцев,ул.Станичная,  94, КН61:15:0040301:101 (прибор учета электроэнергии  -  1 шт.)</t>
  </si>
  <si>
    <t>Установка прибора коммерческого учета электрической энергии, для присоединения «жилого дома» Наумовой М.В., расположенного по адресу: Российская Федерация, Ростовская обл., р-н. Каменский, х.Сибилев, ул.Гоголя, 6, КН 61:15:0120501:10 (прибор учета электроэнергии - 1 шт.)</t>
  </si>
  <si>
    <t>Установка прибора коммерческого учета электрической энергии, для присоединения «торгового павильона некапитального типа» ИП Кугатовой О.В., расположенного по адресу:Российская Федерация, Ростовская обл.,р-н.Каменский, х.Красновка, севернее земельного участка по ул.Профильной 7 Б, 40,5м (прибор учета электроэнергии - 1  шт.)</t>
  </si>
  <si>
    <t>Установка прибора коммерческого учёта электрической энергии, для присоединения объекта «Комсомольская основная общеобразовательная школа» Ламбарян Арама Самвеловича, расположенного  по  адресу:  Ростовская  область,  Морозовский  р-н, п. Комсомольский, ул. Центральная, д.  1,  кадастровый номер земельного участка:  61:24:0040501:8  (прибор учёта электроэнергии  –  1  шт.)</t>
  </si>
  <si>
    <t>Установка прибора коммерческого учёта электрической энергии , для присоединени янежилого здания Акционерного общества «ПочтаРоссии», расположенного по адресу: Ростовская область, Советский район, п.Чирский, ул. Школьная 1-я, д.   24/1,  к.н.    61:36:0030101:1538  (прибор учёта электроэнергии - 1шт)</t>
  </si>
  <si>
    <t>Установка прибора коммерческого учёта электрической энергии, для присоединения  базовая  станция  Публичное  акционерное  общество «Ростелеком», расположенного по адресу: Ростовская область ,Советский район, слобода Петрово, примерно 41 м по направлению на восток от границ участка по адресу: улица Центральная, д.   44,  к.н.   61:36:0040301:212  (прибор учёта электроэнергии – 1шт)</t>
  </si>
  <si>
    <t>Установка прибор акоммерческого учёта электрической энергии, для присоединения ВРУ-0,4 кВ здания зернохранилища ИП Грабов А.В.,расположенного по адресу: Ростовская область,Тацинский район, х.Маслов,примерно в  0,08 км по направлению на северо-запад от ул.Клубная,  24, к.н.61:38:0600004:941 (прибор учёта электроэнергии  –    1 шт.)</t>
  </si>
  <si>
    <t>Установка прибора коммерческого учёта электрической энергии для присоединения земельного участка Кожиной О.В., расположенного по адресу:Ростовская область, Белокалитвинский р-н, х.Богатов, ул. Станкевского, д. 7,  к.н.з.у.:   61:04:080201:29   (прибор учёта электроэнергии  –  1  шт.)</t>
  </si>
  <si>
    <t>Установка прибора коммерческого учёта электрической энергии для присоединения Малоэтажной жилой застройки Васютина С.В., расположенного по адресу: Ростовская область,Белокалитвинского р-н, п. Сосны, ул. Крымская, д.   5,  ув.   2,  к.н.з.у.:61:04:0150405:538 (прибор учёта электроэнергии – 1 шт.)</t>
  </si>
  <si>
    <t>Установка прибора коммерческого учёта электрической энергии для присоединения Малоэтажной жилой застройки Сопельниковой Н.В., расположенного по адресу: Ростовская область, Белокалитвинский р-н, х. Курнаков, ул. Подгорная, д.19,  к.н.з.у.: 61:04:0140701:119   (прибор учёта электроэнергии   –   1  шт.)</t>
  </si>
  <si>
    <t>Установка прибора коммерческого учёта электрической энергии, для присоединения магазина ООО «Сервисгрупп», расположенного по адресу Ростовская область, Каменский район, х. Красновка, ул. Профильная, примыкает к ЗУ с КН 61:15:0080108:1893, к.н.з.у. 61:15:0080108:1913 (прибор учёта электроэнергии - 1 шт.)</t>
  </si>
  <si>
    <t>Установка прибора коммерческого учёта электрической энергии, для присоединения объекта «Нежилое помещение» АО «Почта России», расположенного по адресу: Ростовская область ,Морозовский р-н, х.Парамонов,ул.Центральная, д. 28, кадастровый номер земельного участка: 61:24:0110108:284 (прибор учёта электроэнергии – 1  шт.)</t>
  </si>
  <si>
    <t>Установка прибора коммерческого учёта электрической энергии, для присоединения жилого дома Войтенко С.А., расположенного по адресу: Ростовская область, Тарасовский район, сл.Александровка, ул.Ольховая, д.5,  к.н. 61:37:0080201:147 (прибор учёта электроэнергии - 1шт)</t>
  </si>
  <si>
    <t>Установка прибора коммерческого учёта электрической энергии, для присоединения жилого дома Думчева Р.А., расположенного по адресу: Ростовская область, Тарасовский район, сл.Александровка, ул.Набережная, д.6,  к.н. 61:37:0080201:867 (прибор учёта электроэнергии - 1шт)</t>
  </si>
  <si>
    <t>Установка прибора коммерческого учёта электрической энергии ,для присоединения жилого дома Зинова А.И., расположенного по адресу: Ростовская область, Тарасовский район, х. Ерофеевка, ул. Школьная, д.  13,   к.н.  61:37:050401:0331  (прибор учёта электроэнергии  -  1шт)</t>
  </si>
  <si>
    <t>Установка прибора коммерческого учёта электрической энергии, для присоединения жилого дома Кондрахина Д.В., расположенного по адресу:Ростовская область, Тарасовский район , ст.Митякинская, ул.Дюбина, д. 55,  к.н. 61:37:0100101:541 (прибор учёта электроэнергии - 1шт)</t>
  </si>
  <si>
    <t>Установка прибора коммерческого учёта электрической энергии, для присоединения жилого дома Шапарь Ю.А., расположенного по адресу: Ростовская область,Тарасовский район, х.Нижняя Тарасовка, ул. Центральная, д.   26,  к.н.   61:37:020401:0044  (прибор учёта электроэнергии  -  1шт)</t>
  </si>
  <si>
    <t>Установка прибора коммерческого учёта электрической  энергии,  для  присоединения  объекта  незавершенного строительства Григорян Г.Г.,расположенного по адресу:Ростовская область,Тарасовский район, х. Смеловка, к.н.   61:37:0600026:68  (прибор учёта электроэнергии  -  1шт)</t>
  </si>
  <si>
    <t>Установка прибора коммерческого учётаэлектрической энергии, для присоединения складского здания/помещения ИП главы К(Ф)Х Мацакян Т.К., расположенного по адресу: Ростовская область, Тарасовский район, Курно-Липовское сельское поселение,  407  м. северо-восточнее х.Рыновка,к.н. 61:37:0600023:1313 (прибор учёта электроэнергии - 1шт)</t>
  </si>
  <si>
    <t>Установка прибора коммерческого учёта электрической энергии,для присоединения ВРУ-0,4 кВ нежилого здания ИП Алексеенко А.Ю., расположенного по адресу: Ростовская область, Тацинский район, х.Качалин, ул.Свободы, д.1б, к.н.  61:38:0070501:876 (прибор учёта электроэнергии  –    1 шт.)</t>
  </si>
  <si>
    <t>Установка прибора коммерческого учёта электрической энергии, для присоединения ВРУ-0,4 кВ жилого дома Летченя С.В., расположенного по адресу: Ростовская область, Тацинский район, п. Быстрогорский, ул. 40 лет Октября, д. 26,  к.н. 61:38:0040146:6 (прибор учёта электроэнергии –  1 шт.)</t>
  </si>
  <si>
    <t>Установка прибора коммерческого учёта электрической энергии,для присоединения ВРУ-0,4 кВ нежилого помещения АО «Почта России» расположенного по адресу: Ростовская область, Тацинский район, х.Исаев, пер.Южный, д. 2, пом. 1,  к.н. 61:38:0020301:1047 (прибор учёта электроэнергии –  1  шт.)</t>
  </si>
  <si>
    <t>Установка прибора коммерческого учёта электрической энергии для присоединения домика отдыха Кондратенко С.В., расположенного по адресу: Ростовская область,Белокалитвинский р-н, Литвиновское сельское поселение, примерно на расстоянии   2200  м по направлению на северо-восток от х.Титов,к.н.з.у.: 61:04:0600006:5054 (прибор учёта электроэнергии – 1 шт.)</t>
  </si>
  <si>
    <t>Установка прибора коммерческого учёта электрической энергии для присоединения земельного участка Копылова А.А., расположенного, Ростовская обл., р-н. Белокалитвинский, х. Западный, ул. Садовая, д. 38 К, кадастровый номер земельного участка: 61:04:0080301:150 (прибор учёта электроэнергии - 1 шт.)</t>
  </si>
  <si>
    <t>Установка прибора коммерческого учета электрической энергии, для присоединения «жилого дома» Полухиной Т.А., расположенного по адресу: Российская Федерация, Ростовская обл., р-н. Каменский, х. Красновка, ул.Профильная, 20 А, КН 61:15:0080109:1306 (приборучетаэлектроэнергии - 1 шт.)</t>
  </si>
  <si>
    <t>Установка прибора коммерческого учета электрической энергии, для присоединения «жилого дома Москвитиной Е.Р., расположенного по адресу: Российская Федерация, Ростовская обл., р-н. Каменский, х.Михайловка, ул. Лесная,    25,  КН    61:15:0100401:302  (прибор учета электроэнергии  -  1  шт.)</t>
  </si>
  <si>
    <t>Установка прибора коммерческого учета электрической энергии, для присоединения «жилого дома Пузанова И.И., расположенного по адресу: Российская Федерация, Ростовская обл., р-н. Каменский, х. Хоботок, ул.Казачья, 8, КН 61:15:0031101:15 (прибор учета электроэнергии - 1 шт.)</t>
  </si>
  <si>
    <t>Установка прибора коммерческого учета электрической энергии, для присоединения «жилого дома» Брянцеву Е.О.,   расположенного по адресу: Российская Федерация, Ростовская обл., р-н. Каменский, х. Старая Станица, ул. Буденного, 215А, КН 61:15:0130104:529(прибор учета электроэнергии - 1 шт.)</t>
  </si>
  <si>
    <t>Установка прибора коммерческого учета электрической энергии, для присоединения «жилого дома» Донскова С.И.,  расположенного по адресу: Российская Федерация, Ростовская обл., р-н. Каменский, х. Верхнекрасный, ул. Чехова, 20 Б, КН 61:15:0100201:1026 (прибор учета электроэнергии - 1 шт.)</t>
  </si>
  <si>
    <t>Установка прибора коммерческого учета электрической энергии, для присоединения «жилого дома» Елфимова Р.В.,  расположенного по адресу: Российская Федерация, Ростовская обл., р-н. Каменский, х. Старая Станица, ул. Шолохова, 1 В, КН 61:15:0130101:2877 (прибор учета электроэнергии - 1 шт.)</t>
  </si>
  <si>
    <t>Установка прибора коммерческого учёта электрической энергии, для присоединения объекта «антенно-мачтовое сооружение 52655-11-61-0-1»  АО «ПБК», расположенного по адресу:Ростовская область, Морозовский р-н, х. Вишневка, в  35  м от дома № 2 ул.Центральная (прибор учёта электроэнергии – 1 шт.)</t>
  </si>
  <si>
    <t>Установка прибора коммерческого учёта электрической энергии, для присоединения объекта «Нежилое помещение» АО «Почта России», расположенного по адресу: Ростовская область, Морозовский р-н, х. Старопетровский, ул. Абрикосовая, д.   29, кадастровый номер земельного участка:   61:24:0110401:105  (прибор учёта электроэнергии – 1 шт.)</t>
  </si>
  <si>
    <t>Установка прибора коммерческого учёта электрической энергии, для присоединения объекта «антенно-мачтовое сооружение 52234-11-61-0-1»  АО «ПБК», расположенного по адресу:Ростовская область, Морозовский р-н, х. Вербочки, в  50  м от дома № 35 ул. Мира (прибор учёта электроэнергии  – 1 шт.)</t>
  </si>
  <si>
    <t>Установка прибора коммерческого учётаэлектрической энергии, для присоединения «строящийся жилой дом» Штольп А.И., расположенного по адресу: Ростовская область, Обливский район, ст.Обливская, ул. Кагальника, д.13, к.н.з.у.  61:27:0070143:413  (прибор учёта электроэнергии  -  1шт.)</t>
  </si>
  <si>
    <t>Установка прибор акоммерческого учёта электрической энергии, для  присоединения  ВРУ-0,4  кВ  магазина  ИП  Араканцевой  Л.И., расположенного по адресу: Ростовская область, Тацинский район, ст.Ермаковская, пер. Липкина, д. 8А, к.н.   00:00:000000:00  (прибор учёта электроэнергии  –    1  шт.)</t>
  </si>
  <si>
    <t>Установка прибора коммерческого учёта электрической энергии,для  присоединения  ВРУ-0,4  кВ  магазина  ИП  Араканцевой Л.И., расположенного по адресу: Ростовская область, Тацинский район, х.Зазерский, ул.Центральная, д.48а, к.н. 00:00:00000:00 (прибор учёта электроэнергии –  1 шт.)</t>
  </si>
  <si>
    <t>Установка прибора коммерческого учёта электрической энергии, для  присоединения  ВРУ-0,4  кВ  магазина  ИП  Араканцевой  Л.И.,расположенного по адресу: Ростовская область, Тацинский район, п.Новосуховый, ул.Административная, д.2а, к.н. 00:00:00000:00 (прибор учёта электроэнергии  –  1  шт.)</t>
  </si>
  <si>
    <t>Установка прибора коммерческого учёта электрической энергии для присоединения Малоэтажной жилой застройки Щербакова Н.С., расположенного по адресу: Ростовская область, Белокалитвинский р-н, земли бывшего СПК «Сосновый Бор» к.н.з.у.:61:04:0600007:737 (прибор учёта электроэнергии – 1 шт.)</t>
  </si>
  <si>
    <t>Установка прибора коммерческого учёта электрической энергии для присоединения Административного здания АО «Почта России»., расположенного по адресу: Ростовская область, Белокалитвинский р-н, х. Апанасовка, ул. А. Невского,  д.  2,  к.н.з.у.: 61:04:0120103:113   (прибор учёта электроэнергии   –   1  шт.)</t>
  </si>
  <si>
    <t>Установка прибора коммерческого учёта электрическо йэнергии для присоединения жилого дома Кудратовой Т.Н., расположенного по адресу: Ростовская область, Белокалитвинский р-н, х.Головка, ул. Стадионная,  д.   21,  к.н.з.у.:   61:04:090103:25   (прибор учёта электроэнергии  –  1  шт.)</t>
  </si>
  <si>
    <t>Установка прибора коммерческого учёта электрической энергии для присоединения малоэтажная жилая застройка Семиглазова А.С., расположенного по адресу: Ростовская область, Белокалитвинский р-н, п. Сосны, пер. Молодежный, д. 12, к.н.з.у.: 61:04:0150410:108 (прибор учёта электроэнергии –      1 шт.)</t>
  </si>
  <si>
    <t>Установка прибора коммерческого учета электрической энергии, для присоединения «жилого дома» Буханцова М.А. расположенного по адресу: Российская Федерация, Ростовская обл., р-н. Каменский, х.Богданов, ул. 2-я Набережная, 50, КН 61:15:0030101:1410 (прибор учета электроэнергии - 1 шт.)</t>
  </si>
  <si>
    <t>Установка прибора коммерческого учета электрической энергии, для присоединения «жилого дома» Воронина С.Н., расположенного по адресу: Российская Федерация, Ростовская обл., р-н. Каменский, х. Урывский, ул.Российская, 7, КН 61:15:0120701:15 (прибор учета электроэнергии - 1 шт.)</t>
  </si>
  <si>
    <t>Установка прибора коммерческого учета электрической энергии, для присоединения «жилого дома» Гизе Е.В., расположенного по адресу: Российская Федерация, Ростовская обл., р-н. Каменский, х. Старая Станица, пер. Молодежный, 60, корп.Б, КН 61:15:0130105:602 (прибор учета электроэнергии - 1 шт.)</t>
  </si>
  <si>
    <t>Установка прибора коммерческого учета электрической энергии, для присоединения «жилого дома» Козиной Л.В., расположенного по адресу: Российская Федерация, Ростовская обл., р-н. Каменский, Малая Каменка, ул. Октябрьская, 5, КН 61:15:0090101:981 (прибор учета электроэнергии - 1 шт.)</t>
  </si>
  <si>
    <t>Установка прибора коммерческого учета электрической энергии, для присоединения «жилого дома» Красновой А.Я., расположенного по адресу: Российская Федерация, Ростовская обл., р-н. Каменский, х. Астахов, ул. Гагарина, 3, КН 61:15:0020201:599 (прибор учета электроэнергии - 1 шт.)</t>
  </si>
  <si>
    <t>Установка прибора коммерческого учёта электрической энергии, для присоединения объекта «Модульный ФАПх. Донской» ГБУ Ростовской области «Центральная районная больница» в Морозовском районе, расположенного по адресу: Ростовская область,Морозовский р-н, х. Донской, ул. Школьная, д. 18а, кадастровый номер земельного участка: 61:24:00800301:670 (прибор учёта электроэнергии – 1 шт.)</t>
  </si>
  <si>
    <t>Установка прибора коммерческого учёта электрической энергии, для присоединения объектов наружного освещения Министерства транспорта Ростовской области , расположенных по адресу: Ростовская обл., р-н. Тарасовский, х. Дубы, ст.Митякинская, 44+500 км автодороги «пос. Тарасовский - х. Верхний Митякин-х.Можаевка» далее в западном направлении 9+000 км через «х.Дубы и ст.Митякинская», кадастровый номер земельного участка: 61:37:0000000:0:36 (прибор учёта электроэнергии - 1шт)</t>
  </si>
  <si>
    <t>Установка прибора коммерческого учёта электрической энергии, для присоединения административного/офисного здания (сельский дом культуры) МБУК Ефремово-Степановского сельского поселения Тарасовского района «Ефремово-Степановский сельский дом культуры» ,расположенного по адресу:Ростовская область,Тарасовский район, сл.Александровка, ул.Клубная, д.1, к.н.з.у 61:37:0080201:243:15 (прибор учёта электроэнергии  -  1шт)</t>
  </si>
  <si>
    <t>Установка прибора коммерческого учёта электрической энергии, для присоединения жилого дома Березенко А.П.,расположенного по адресу:Ростовская обл., р-н.Тарасовский, сл.Ефремово-Степановка, ул.Молотова, д.35, кадастровый номер земельного участка: 61:37:0080101:468  (прибор учёта электроэнергии  -  1шт)</t>
  </si>
  <si>
    <t>Установка прибора коммерческого учёта электрической энергии, для присоединения ¼ доли жилого дома Чучман Н.Л., расположенного по адресу: Ростовская область, Тарасовский район, сл.Дячкино, ул. Садовая, д.    23,  к.н.    61:37:0030101:145  (прибор учёта электроэнергии  -  1шт)</t>
  </si>
  <si>
    <t>Установка прибора коммерческого учёта электрической энергии, для присоединения нежилого помещения Гонтаренко М.В., расположенного по адресу: Ростовская обл., р-н. Тарасовский, сл. Большинка, ул.Кладбищенская, д.11, кадастровый номер земельного участка: 61:37:0120101:3756 (прибор учёта электроэнергии  - 1шт)</t>
  </si>
  <si>
    <t>Установка прибора коммерческого учёта электрической энергии, для присоединения ВРУ-0,4 кВ здания коровника ИП Зайцевой Т.А., расположенного по адресу: Ростовская область, Тацинский район, примерно в 1,4 км на юго-восток от поселка Жирнов, к.н. 61:38:0600008:1917 (прибор учёта электроэнергии  –    1  шт.)</t>
  </si>
  <si>
    <t>Установка прибора коммерческого учёта электрической энергии, для присоединения ВРУ-0,4 кВ земельного участка Грабовой Н.П.,расположенного  по  адресу:  Ростовская  область,  Тацинский  район, Михайловское сельское поселение к.н.   61:38:0600004:930  (прибор учёта электроэнергии  –  1  шт.)</t>
  </si>
  <si>
    <t>Установка системы учета для технологического присоединения энергопринимающих устройств Заявителя (МБУЗ «Городская поликлиника №1») по адресу: Ростовская область, г. Таганрог, ул. Пархоменко, д. 15-а, к.н. 61:58:0000000:40325 (1 шт.)</t>
  </si>
  <si>
    <t>Установка системы учета для технологического присоединения энергопринимающих устройств Заявителя (Архипенко Е.О.) по адресу: Ростовская область, г. Таганрог, ул. Энергетическая, д. 218-б, к.н.: 61:58:0005064:40 (1 шт.)</t>
  </si>
  <si>
    <t>Установка системы учета для технологического присоединения энергопринимающих устройств Заявителя (ИП Доценко В.Б.) по адресу: Ростовская область, г. Таганрог, ул. Розы Люксембург/13-й переулок, д. 237/65, к.н.: 61:58:0002137:53 (1 шт.)</t>
  </si>
  <si>
    <t>Установка системы учета для технологического присоединения энергопринимающих устройств Заявителя (ИП Ярызько С.А.) по адресу: Ростовская область, г. Таганрог, ул. Дзержинского, д. 111-т, к.н. 61:58:0003197:43 (1шт)</t>
  </si>
  <si>
    <t>Установка системы учета для технологического присоединения энергопринимающих устройств Заявителя (Григорян В.И.) по адресу: Ростовская область, М-Курганский район, п. Матвеев Курган, примерно в 15м в южном направлении от ул. Комсомольская, д. 1Д, к.н. 61:21:0010106:337 (1 шт.)</t>
  </si>
  <si>
    <t>Установка системы учета для технологического присоединения энергопринимающих устройств Заявителя (ИП Надточий К.А.) по адресу: Ростовская область, г. Таганрог, ул. Чехова, д. 96/пер. Антона Глушко, д. 34, к.н. 61:58:0001124:546 (1шт)</t>
  </si>
  <si>
    <t>Установка системы учета для технологического присоединения энергопринимающих устройств Заявителя (Ильянов И.А.) по адресу: Ростовская область, г. Таганрог, ул. Ждановская, д. 35, к.н. 61:58:0005008:69 (1 шт.)</t>
  </si>
  <si>
    <t>Установка системы учета для технологического присоединения энергопринимающих устройств Заявителя (ИП Мартыненко А.С.) по адресу: Ростовская область, г. Таганрог, Николаевское Шоссе, д. 6-А, к.н. 61:58:0005237:88 (1 шт.)</t>
  </si>
  <si>
    <t>Установка системы учета для технологического присоединения энергопринимающих устройств Заявителя (Брауэр Р.А.) по адресу: Ростовская область, г. Таганрог, ул. Ореховая, д. 8, к.н. 61:58:0005230:73 (1 шт.)</t>
  </si>
  <si>
    <t>Установка системы учета для технологического присоединения энергопринимающих устройств Заявителя (Озорнин Г.В.) по адресу: Ростовская область, г. Таганрог, ул. Ломакина, 9-а, 9-в, 9-д, к.н. 61:58:0001116:270 (1шт)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</si>
  <si>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Неклиновский район, с. Новостроенка, ул. Гагарина, вблизи д. 3, к.н. 61:26:0200301 (1 шт.)</t>
  </si>
  <si>
    <t>Установка системы учета для технологического присоединения энергопринимающих устройств Заявителя (ООО «Т2 Мобайл») по адресу: Ростовская область, г. Таганрог, ул. Дзержинского (между ул. Фрунзе и Привокзальная площадь), около ул. Дзержинского, д. 185, к.н. 61:58:0000000:39847 (1шт)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</si>
  <si>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Синявское, ул. Красноармейская, д. 222, к.н. 61:26:0060101:189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</si>
  <si>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Ефремовка, ул. Октябрьская, д. 5, к.н. 61:26:0170101:1610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</si>
  <si>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Николаевка, ул. Ленина, д. 307, к.н. 61:26:0110101:254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</si>
  <si>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Натальевка, ул. Чехова, д. 91, к.н. 61:26:0030101:1268 (1 шт.)</t>
  </si>
  <si>
    <t>Установка системы учета для технологического присоединения энергопринимающих устройств Заявителя (ИП Плахотина Е.В.) по адресу: Ростовская область, Неклиновский район, с. Троицкое, пер. Парковый, д. 14, к.н. 61:26:0010101:1164 (1 шт.)</t>
  </si>
  <si>
    <t>Установка системы учета для технологического присоединения энергопринимающих устройств Заявителя (ИП Апетян Т.С.) по адресу: Ростовская область, Неклиновский район с. Николаевка, ул. Ленина, д.272-А к.н. 61:26:0110101:1672 (1 шт.)</t>
  </si>
  <si>
    <t>Установка системы учета для технологического присоединения энергопринимающих устройств Заявителя (Скальская С.И.) по адресу: Ростовская область, Неклиновский район с. Беглица, ул. Садовая, д. 28-А, к.н. 61:26:0160401:239 (1 шт.)</t>
  </si>
  <si>
    <t>Установка системы учета для технологического присоединения энергопринимающих устройств Заявителя (Пашина О.А.) по адресу: Ростовская область, Неклиновский район, с. Гаевка, ул. Ленина, д. 179, к.н. 61:26:0160301:2495 (1 шт.)</t>
  </si>
  <si>
    <t>Установка системы учета для технологического присоединения энергопринимающих устройств Заявителя (ИП Закарян Х.К.) по адресу: Ростовская область, Мясниковский район, с. Чалтырь, ул. Западная, д. 118/а, к.н. 61:25:0101608:100 (1 шт.)</t>
  </si>
  <si>
    <t xml:space="preserve">Установка системы учета для технологического присоединения энергопринимающих устройств Заявителя (Родимушкина Л.С.) по адресу: Ростовская область, Мясниковский район, х. Ленинаван, ул. Штрауса, д. 23/б, к.н. 61:25:0600401:15113 (1 шт.) </t>
  </si>
  <si>
    <t>Установка системы учета для технологического присоединения энергопринимающих устройств Заявителя (Петросян А.А.) по адресу: Ростовская область, Мясниковский район, х. Ленинакан, ул. Ростовская, д. 28/а, к.н. 61:25:0030301:1334 (1 шт.)</t>
  </si>
  <si>
    <t>Установка системы учета для технологического присоединения энергопринимающих устройств Заявителя (Чобанян Л.Б.) по адресу: Ростовская область, Мясниковский район, х. Хапры, ул. Гагарина, д. 31/а, к.н. 61:25:0070201:2239 (1 шт.)</t>
  </si>
  <si>
    <t>Установка системы учета для технологического присоединения энергопринимающих устройств Заявителя (Кучеренко А.И.) по адресу: Ростовская область, Мясниковский район, с. Большие Салы, ул. Согласия, д. 10, к.н. 61:25:0600501:1758 (1 шт.)</t>
  </si>
  <si>
    <t>Установка системы учета для технологического присоединения энергопринимающих устройств Заявителя (Баласанян С.А.) по адресу: Ростовская область, Мясниковский район, с. Крым, ул. Мадояна, д. 47, к.н. 61:25:0600201:1576 (1 шт.)</t>
  </si>
  <si>
    <t>Установка системы учета для технологического присоединения энергопринимающих устройств Заявителя (Симикян Н.С.) по адресу: Ростовская область, Мясниковский район, с. Чалтырь, ул. Пионерская, д. 2/а, к.н. 61:25:0101127:5 (1 шт.)</t>
  </si>
  <si>
    <t>Установка системы учета для технологического присоединения энергопринимающих устройств Заявителя (Смирнов А.А.) по адресу: Ростовская область, Мясниковский район, х. Ленинаван, ул. Волжская, д. 2/46, к.н. 61:25:0600401:1009 (1 шт.)</t>
  </si>
  <si>
    <t>Установка системы учета для технологического присоединения энергопринимающих устройств Заявителя (Пегливанян И.Д.) по адресу: Ростовская область, Мясниковский район, с. Большие Салы, ул. Чапчахова, д. 7, к.н. 61:25:0040101:1269 (1 шт.)</t>
  </si>
  <si>
    <t>Установка системы учета для технологического присоединения энергопринимающих устройств Заявителя (Пегливанян С.А.) по адресу: Ростовская область, Мясниковский район, с. Большие Салы, ул. Чапчахова, д. 5, к.н. 61:25:0040101:379 (1 шт.)</t>
  </si>
  <si>
    <t>Установка системы учета для технологического присоединения энергопринимающих устройств Заявителя (Дадаян А.Н.) по адресу: Ростовская область, Мясниковский район, с. Большие Салы, ул. Московская, д. 18,  к.н. 61:25:0600501:2511 (1 шт.)</t>
  </si>
  <si>
    <t>Установка системы учета для технологического присоединения энергопринимающих устройств Заявителя (Дзреян Р.Б.) по адресу: Ростовская область, Мясниковский район, с. Чалтырь, ул. Первомайская, д. 66/б,  к.н. 61:25:0101328:16 (1 шт.)</t>
  </si>
  <si>
    <t>Установка системы учета для технологического присоединения энергопринимающих устройств Заявителя (Олейник Ю.А.) по адресу: Ростовская область, Мясниковский район, с. Крым, ул. Александра Суворова, д. 7, к.н. 61:25:0600201:1389 (1 шт.)</t>
  </si>
  <si>
    <t>Установка системы учета для технологического присоединения энергопринимающих устройств Заявителя (Рамдени Е.А.) по адресу: Ростовская область, Мясниковский район, х. Красный Крым,  к.н. 61:25:0600401:13202 (1 шт.)</t>
  </si>
  <si>
    <t>Установка системы учета для технологического присоединения энергопринимающих устройств Заявителя (Астаповский А.А.) по адресу: Ростовская область, Мясниковский район, с. Большие Салы, ул. Крымская, д. 9/а,  к.н. 61:25:0040101:4962 (1 шт.)</t>
  </si>
  <si>
    <t>Установка системы учета для технологического присоединения энергопринимающих устройств Заявителя (Явруев В.А.) по адресу: Ростовская область, Мясниковский район, х. Ленинаван, ул. Абовяна, д. 59,  к.н. 61:25:0030202:345 (1 шт.)</t>
  </si>
  <si>
    <t>Установка системы учета для технологического присоединения энергопринимающих устройств Заявителя (Швандерова Е.А.) по адресу: Ростовская область, Мясниковский район, с. Чалтырь, ул. Октябрьская, д. 6/б,  к.н. 61:25:0101306:521 (1 шт.)</t>
  </si>
  <si>
    <t>Установка системы учета для технологического присоединения энергопринимающих устройств Заявителя (Филонова Д.Б.) по адресу: Ростовская область, Неклиновский район, с. Николаевка, ул. Парковая, д. 143-б, к.н. 61:26:0110101:7285 (1 шт.)</t>
  </si>
  <si>
    <t>Установка системы учета для технологического присоединения энергопринимающих устройств Заявителя (Масеврина М.Н.) по адресу: Ростовская область, Мясниковский район, с. Султан Салы, ул. Налбандяна, д. 39/б, к.н. 61:25:0030401:1808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</si>
  <si>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№61-1-21-00617135 от 08.12.2021),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</si>
  <si>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№61-1-21-00616735 от 08.12.2021),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</si>
  <si>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№61-1-21-00615703 от 08.12.2021), в г. Таганроге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</si>
  <si>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№61-1-21-00613311 от 24.11.2021) в г. Таганрог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</si>
  <si>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№61-1-21-00613293 от 24.11.2021) в г. Таганрог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</si>
  <si>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(Договор №61-1-21-00613013 от 24.11.2021) в г. Таганрог Ростовской области (1 шт)</t>
  </si>
  <si>
    <t>Установка системы учета для технологического присоединения энергопринимающих устройств Заявителей: ООО «Синара-Городские Транспортные Решения Таганрог» (Договор №61-1-21-00609655 от 03.11.2021),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</si>
  <si>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№61-1-21-00609505 03.11.2021),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</si>
  <si>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№61-1-21-00609375 от 03.11.2021),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</si>
  <si>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№61-1-21-00609355 от 03.11.2021),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</si>
  <si>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№61-1-21-00609307 от 03.11.2021),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</si>
  <si>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№61-1-21-00609267 от 03.11.2021), Ростовской области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</si>
  <si>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№61-1-21-00609195 03.11.2021), Ростовской области (1 шт)</t>
  </si>
  <si>
    <t>«Установка системы учета для технологического присоединения энергопринимающих устройств Заявителя (ИП Миневский А.А.) по адресу: Ростовская область, г. Таганрог, пер. Гоголевский, д. 9-а, к.н. 61:58:0000000:22704 (1 шт.)»</t>
  </si>
  <si>
    <t>Установка системы учета для технологического присоединения энергопринимающих устройств Заявителя (Мишко Д.Н.) по адресу: Ростовская область, М-Курганский район, х. Лесной, ул. Юбилейная, д. 14, к.н. 61:21:0070901:24 (1 шт.)</t>
  </si>
  <si>
    <t>Установка системы учета для технологического присоединения энергопринимающих устройств Заявителя (Новиков А.А.) по адресу: Ростовская область, Неклиновский район с. Троицкое, пер. Миусский, д.17, к.н. 61:26:0010101:224 (1 шт.)</t>
  </si>
  <si>
    <t>Установка системы учета для технологического присоединения энергопринимающих устройств Заявителя (Кривонос И.А.) по адресу: Ростовская область, Неклиновский район с. Новобессергеневка, ул. Садовая, д. 3-А, к.н. 61:26:0180101:7517 (1 шт.)</t>
  </si>
  <si>
    <t>Установка системы учета для технологического присоединения энергопринимающих устройств Заявителя (Егорцев А.В.) по адресу: Ростовская область, Неклиновский район с. Бессергеновка, ул. Первомайская, д.47 к.н. 61:26:040201:3778 (1 шт.)</t>
  </si>
  <si>
    <t>Установка системы учета для технологического присоединения энергопринимающих устройств Заявителя (Лягович К.И.) по адресу: Ростовская область, г. Таганрог, пер. 6-й, д.38 к.н. 61:58:0002077:32 (1 шт.)</t>
  </si>
  <si>
    <t>Установка системы учета для технологического присоединения энергопринимающих устройств Заявителей (Мищенко Е.И.) по адресу: Ростовская область, Неклиновский район с. Лакедемоновка, ул. Степная, д.1 (1 шт.)</t>
  </si>
  <si>
    <t>Установка системы учета для технологического присоединения энергопринимающих устройств Заявителя (ИП Гилин С.А.) по адресу: Ростовская область, Неклиновский район с. Николаевка, ул. Ленина, д.309-д/1 к.н. 61:26:01101011:350 (1 шт.)</t>
  </si>
  <si>
    <t>Установка системы учета для технологического присоединения энергопринимающих устройств Заявителя (Гараханян Н.Н.) по адресу: Ростовская область, Неклиновский район с. Николаевка, ул. Лермонтова, д.36 к.н. 61:26:0110101:1311 (1 шт.)</t>
  </si>
  <si>
    <t>Установка системы учета для технологического присоединения энергопринимающих устройств Заявителя (Пукало А.Д.) по адресу: Ростовская область, Неклиновский район, с. Николаевка, пер. Молодежный, д. 6, к.н. 61:26:0110101:2056 (1 шт.)</t>
  </si>
  <si>
    <t>Установка системы учета для технологического присоединения энергопринимающих устройств Заявителя (Жданова Т.В.) по адресу: Ростовская область, Неклиновский район, д. Золотарево, ул. Лиманная, д. 98, к.н. 61:26:0090301:141 (1 шт.)</t>
  </si>
  <si>
    <t>Установка системы учета для технологического присоединения энергопринимающих устройств Заявителя (Григоренко И.В.) по адресу: Ростовская область, Неклиновский район, п. Золотая Коса, ул. Октябрьская, д. 105, к.н. 61:26:0071001:2572 (1 шт.)</t>
  </si>
  <si>
    <t>Установка системы учета для технологического присоединения энергопринимающих устройств Заявителя (Исаенко М.Ю.) по адресу: Ростовская область, Неклиновский район, д. Золотарево, ул. Лиманная, д. 18-А, к.н. 61:26:0090301:826 (1 шт.)</t>
  </si>
  <si>
    <t>Установка системы учета для технологического присоединения энергопринимающих устройств Заявителя (Терещенко М.Е.) по адресу: Ростовская область, Неклиновский район, с. Покровское, ул. Луговая, д. 20-А, к.н. 61:26:0050114:150 (1 шт.)</t>
  </si>
  <si>
    <t>Установка системы учета для технологического присоединения энергопринимающих устройств Заявителя (Назарук В.А.) по адресу: Ростовская область, Неклиновский район, с. Новобессергеневка, ул. Восточная, д. 42-Б, к.н. 61:26:0180101:6832 (1 шт.)</t>
  </si>
  <si>
    <t>Установка системы учета для технологического присоединения энергопринимающих устройств Заявителя (Пышутин В.В.) по адресу: Ростовская область, Неклиновский район, с. Покровское, ул. Полевая, д. 19, к.н. 61:26:0050114:107 (1 шт.)</t>
  </si>
  <si>
    <t>Установка системы учета для технологического присоединения энергопринимающих устройств Заявителя (Кривошапка Л.И.) по адресу: Ростовская область, Неклиновский район, х. Дарагановка, ул. Спортивная, д. 19, к.н. 61:26:0180701:23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</si>
  <si>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пер. Смирновский (между тупиком и обрывом у моря), около плщ. Восстания, 1-2, к.н. 61:58:0000000:47346 (1 шт.)</t>
  </si>
  <si>
    <t>Установка системы учета для технологического присоединения энергопринимающих устройств Заявителей: Иванов С.Н., в Матвеево Курганском районе Ростовской области – 1 шт.</t>
  </si>
  <si>
    <t>Установка системы учета для технологического присоединения энергопринимающих устройств Заявителя: Никора А.М. в г. Таганроге, Ростовской области (1 шт)</t>
  </si>
  <si>
    <t>Установка системы учета для технологического присоединения энергопринимающих устройств Заявителя: Федеральное Казенное Учреждение "Управление автомобильной магистрали Москва-Волгоград Федерального дорожного агентства" в г. Таганроге, Ростовской области (1 шт)</t>
  </si>
  <si>
    <t>Установка системы учета для технологического присоединения энергопринимающих устройств Заявителя: ИП Мурадов С.Г. в г. Таганроге, Ростовской области (1 шт)</t>
  </si>
  <si>
    <t>Установка системы учета для технологического присоединения энергопринимающих устройств Заявителя (Круликовский А.Н.)</t>
  </si>
  <si>
    <t>Установка системы учета для технологического присоединения энергопринимающих устройств Заявителя (Управление Судебного департамента в Ростовской области) по адресу: Ростовская обл., Куйбышевский р-н., с. Куйбышево, ул. Куйбышевская, д. 1, к.н: 61:19:0010159:100 (1 шт.)</t>
  </si>
  <si>
    <t>Строительство системы учета для технологического присоединения энергопринимающих устройств Заявителей: Чирва Н.С., Сердюченко С.Г., Инькова А.Н., Багдасарян Р.Ц.  в Мясниковском районе Ростовской области</t>
  </si>
  <si>
    <t>Установка системы учета для технологического присоединения энергопринимающих устройств Заявителей: Хатламаджиян С.Х., Мусаелян Э.О., Добрева С.Ю., Бебия И.А. в Мясниковском районе Ростовской области» (4 шт)</t>
  </si>
  <si>
    <t>Установка системы учета для технологического присоединения энергопринимающих устройств Заявителя (Сорокин Д.М.) по адресу: Ростовская область, г. Таганрог, ул. Варданяна, д. 65/пер. Лавровский, д. 5, к.н. 61:58:0006027:875</t>
  </si>
  <si>
    <t>Установка системы учета для технологического присоединения энергопринимающих устройств Заявителя (ИП Конкин В.В.) по адресу: Ростовская область, г. Таганрог, ул. Сызранова, д.20-2, к.н: 61:58:0005272:2804 (1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</si>
  <si>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(Договор №61-1-21-00615035 от 29.11.2021), в г. Таганроге Ростовской области (1 шт)</t>
  </si>
  <si>
    <t>Установка системы учета для технологического присоединения энергопринимающих устройств гаража литер АЖ Заявителя (Черкесова В.Н.) по адресу: Ростовская область, г. Таганрог, ул. Петровская, д.29/2, к.н. 61:58:0001050:9:15 (1 шт.)</t>
  </si>
  <si>
    <t>Установка системы учета для технологического присоединения энергопринимающих устройств Заявителя (Ткач Ю.А.) по адресу: Ростовская область, Неклиновский район, с. Николаевка, ул. Дачная, д. 6-А, к.н. 61:26:0110101:9197 (1 шт.)</t>
  </si>
  <si>
    <t>Установка системы учета для технологического присоединения энергопринимающих устройств Заявителя (Броммер Д.В.) по адресу: Ростовская область, Неклиновский район, с. Троицкое, ул. Дзержинского, д. 4-Б, к.н. 61:26:0010101:5973 (1 шт.)</t>
  </si>
  <si>
    <t>Установка системы учета для технологического присоединения энергопринимающих устройств Заявителя (Артюшенко Н.Н.) по адресу: Ростовская область, Неклиновский район с. Малая Неклиновка, ул. Заречная, д. 19-а, к.н. 61:26:0130201:1262 (1 шт.)</t>
  </si>
  <si>
    <t>Установка системы учета для технологического присоединения энергопринимающих устройств Заявителя (ООО «К-ДЕВЕЛОПМЕНТ») по адресу: Ростовская область, г. Таганрог, ул. Большая Лиманная, д. 41-А, к.н. 61:58:0006053:21 (1 шт.)</t>
  </si>
  <si>
    <t>Установка системы учета для технологического присоединения энергопринимающих устройств Заявителя (Клёц О.В.) по адресу: Ростовская область, г. Таганрог, ул. Шишкина д.15/11 к.н. 61:58:0006027:750 (1 шт.)</t>
  </si>
  <si>
    <t>Установка системы учета для технологического присоединения энергопринимающих устройств Заявителя (Папирова А.В.) по адресу: Ростовская область, Неклиновский район, п. Золотая Коса, ул. Новаторов, д. 4, к.н. 61:26:0071001:768 (1 шт.).</t>
  </si>
  <si>
    <t>Установка системы учета для технологического присоединения энергопринимающих устройств Заявителя (Семакова Л.Л.) по адресу: Ростовская область, г. Таганрог, ул. Варданяна, д. 25, к.н. 61:58:0006027:546 (1 шт.)</t>
  </si>
  <si>
    <t>Установка системы учета для технологического присоединения энергопринимающих устройств Заявителя (Заремба О.Н.) в городе Таганрог Ростовской области (1 шт.)</t>
  </si>
  <si>
    <t>Установка системы учета для технологического присоединения энергопринимающих устройств Заявителей: Дубасар О.А., Стариченко Е.А., Гулов Г.В., Савольчук Ю.И., Зайцева Л.М.  в Неклиновском районе Ростовской области (5 шт.)</t>
  </si>
  <si>
    <t>Установка системы учета для технологического присоединения энергопринимающих устройств Заявителей: Бардахчиян А.Х., Качалова И.А., Крюков А.В., Дзиваян Е.А., Мзикян С.Ц., Олибаш А.И.  в Мясниковском районе Ростовской области (6 шт.)</t>
  </si>
  <si>
    <t>Установка системы учета для технологического присоединения энергопринимающих устройств Заявителей: Дзиваян С.Х., Алимова Л.А., Новрузов Р.Н., Агламерян З.З., Павлова Е.В., Павлова Л.А., Хачатурян С.С., Галечян А.С. в Мясниковском районе Ростовской области (8 шт.)</t>
  </si>
  <si>
    <t>Установка системы учета для технологического присоединения энергопринимающих устройств Заявителей: Василатов П.Н., Баграмян Е.С., Коваленко О.А., Худолеева Е.В., Поповян Е.В., Дородова Н.О., Авагумян Д.К., Варданян С.С., Лазаренко Е.П. в Мясниковском районе Ростовской области (10 шт.)</t>
  </si>
  <si>
    <t>Установка системы учета для технологического присоединения энергопринимающих устройств Заявителя (Тирацуян М.М.) по адресу: Ростовская область, Мясниковский район, х. Ленинаван, ул. Абовяна, д. 69, к.н. 61:25:0030202:4926 (1 шт.)</t>
  </si>
  <si>
    <t>Установка системы учета для технологического присоединения энергопринимающих устройств Заявителя (Некрасова А.А.) по адресу: Ростовская область, Мясниковский район, х. Красный Крым, ул. Новая, д. 2/3, к.н. 61:25:0600401:16796 (1 шт.)</t>
  </si>
  <si>
    <t>Установка системы учета для технологического присоединения энергопринимающих устройств Заявителя (Чупак А.А.) по адресу: Ростовская область, Мясниковский район, х. Ленинаван, ул. Набережная, д. 4, к.н. 61:25:0030202:3271 (1 шт.)</t>
  </si>
  <si>
    <t>«Строительство системы учета для технологического присоединения энергопринимающих устройств Заявителей: Согоян Н.М., Кочарян А.С., Сидоревич Л.С., Жарова Н.В., Горюнов О.С., Чекрыгина М.В., Михайленко А.В., Хбликян С.А., Краплин А.М., Геворкян Г.Г., Тищенко А.В., Алмасян М.Г., Чувараян С.А., Баталова Л.С., Абраменко А.В., Пилипосян А.П., Агаглуян К.С., Однороб С.В., Васильев Д. И., Атоян А.С., Платонова А.А., Барашян Х.А., Нахатакян С.Г., Ширинян С.М. в Мясниковском районе Ростовской области»</t>
  </si>
  <si>
    <t>Строительство системы учета для технологического присоединения энергопринимающих устройств Заявителей: Мельник В.Б., Лобачев А.В., Мушкамбарян Г.Г., Геворгян А.А., Ильянова Я.С. в Мясниковском районе Ростовской области</t>
  </si>
  <si>
    <t>Строительство системы учета для технологического присоединения энергопринимающих устройств Заявителей: Авдонина А.А., Поправкина А.В., Кондратенко О.В., Ушакова И.Г., Миронов С.А., Нечитайло Д.А., Морозова О.Н., Радченко А.Н., Оконешникова П.Е., Воросов А.А., Корольков Д.А., ИП Пешекерян А.А., Пешекерян А.А., Долакова Е.А.  в Мясниковском районе Ростовской области</t>
  </si>
  <si>
    <t>Установка системы учета для технологического присоединения энергопринимающих устройств Заявителя (Галкина Е.В.) адресу: Ростовская область, г. Таганрог, пер. 5-й Новый, д. 112, к.н. 61:58:0004522:492 (1 шт.)</t>
  </si>
  <si>
    <t>Установка системы учета для технологического присоединения энергопринимающих устройств Заявителя (Лавриненко А.И.) адресу: Ростовская область, г. Таганрог, ул. Капитана Кравцова, д. 27, к.н. 61:58:0003236:241 ( 1 шт.)</t>
  </si>
  <si>
    <t>Установка системы учета для технологического присоединения энергопринимающих устройств Заявителя (Церюта М.В.) адресу: Ростовская область, г. Таганрог, пер. 8-й Артиллерийский, д. 46, к.н. 61:58:0003296:161 ( 1 шт.)</t>
  </si>
  <si>
    <t>Установка системы учета для технологического присоединения энергопринимающих устройств Заявителя (Конькова Т.В.) по адресу: Ростовская область, г. Таганрог, ул. Бабаушкина, д. 43, к.н. 61:58:03354:25:3:354:25:А (1 шт.)</t>
  </si>
  <si>
    <t>Установка системы учета для технологического присоединения энергопринимающих устройств Заявителя (Кордилевич А.В.) по адресу: Ростовская область, г. Таганрог, пер. 4-й Мариупольский, д. 13, к.н. 61:58:0005217:66 (1 шт.)</t>
  </si>
  <si>
    <t>Установка системы учета для технологического присоединения энергопринимающих устройств Заявителя (Лысенко А.С.) по адресу: Ростовская область, г. Таганрог, СТ «Педагог», уч. №230, к.н. 61:58:0006047:682 (1 шт.)</t>
  </si>
  <si>
    <t>Установка системы учета для технологического присоединения энергопринимающих устройств Заявителя (Буяновский Д.В.) по адресу: Ростовская область, г. Таганрог, ул. Мало-Почтовая, д. 81/ул. Железная, д. 3, к.н. 61:58:0003271:306 (1 шт.)</t>
  </si>
  <si>
    <t>Установка системы учета для технологического присоединения энергопринимающих устройств Заявителя (Артеменко Л.Я.) по адресу: Ростовская область, г. Таганрог, Северо-Западное Шоссе, 1-в, СНТ «Дачное-3», участок № 4, к.н. 61:58:0000000:47584 (1 шт.)</t>
  </si>
  <si>
    <t>Установка системы учета для технологического присоединения энергопринимающих устройств Заявителя (Тригубко И.В.) по адресу: Ростовская область, г. Таганрог, ул. Дачная, к.н. 61:58:0004217:297 (1 шт.)</t>
  </si>
  <si>
    <t>Установка системы учета для технологического присоединения энергопринимающих устройств Заявителя (Песецкий С.М.) по адресу: Ростовская область, г. Таганрог, ул. Чехова, д. 38, кв. 5, к.н. 61:58:0001047:266 (1 шт.)</t>
  </si>
  <si>
    <t>Установка системы учета для технологического присоединения энергопринимающих устройств Заявителя (Тахтамышев Н.И.) по адресу: Ростовская область, г. Таганрог, СНТ «Дачное-1», аллея 9, участок 21, к.н. 61:58:0006056:948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</si>
  <si>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г. Таганрог, ул. Дачная, участок в 20м от дома №201 (1шт)</t>
  </si>
  <si>
    <t>Установка системы учета для технологического присоединения энергопринимающих устройств Заявителя (ИП Дерновая Н.Я.) по адресу: Ростовская область, г. Таганрог, пер. Комсомольский, земельный участок 54, к.н. 61:58:0001148:450 (1шт)</t>
  </si>
  <si>
    <t>Установка системы учета для технологического присоединения энергопринимающих устройств Заявителя (Махов А.В. ) по адресу: Ростовская область, г. Таганрог, проезд Каштановый, 5, к.н. земельного участка: 61:58:0004523:1453 (1шт.)</t>
  </si>
  <si>
    <t>Установка системы учета для технологического присоединения энергопринимающих устройств Заявителя (МКУ «Приморье») по адресу: Ростовская область, г. Таганрог, ул. Инструментальная, 13-б, к.н. 61:58:0002245:64 (1шт)</t>
  </si>
  <si>
    <t>Установка системы учета для технологического присоединения энергопринимающих устройств Заявителя (Иваненко Ю.В.) по адресу: Ростовская область, г. Таганрог, 16-й Переулок, д. 19а, к.н. 61:58:0002164:384 (1 шт.)</t>
  </si>
  <si>
    <t>Установка системы учета для технологического присоединения энергопринимающих устройств Заявителя (ИП Козлов М.И.) по адресу: Ростовская область, г. Таганрог, пер. 16-й Новый, д. 1-а, к.н. 61:58:0004381:4 (1 шт.)</t>
  </si>
  <si>
    <t>Установка системы учета для технологического присоединения энергопринимающих устройств Заявителя (Соколенко А.Л.) по адресу: Ростовская область, г. Таганрог, пер. 9-й Мариупольский, д. 53, к.н. 61:58:0005222:35, (1 шт.)</t>
  </si>
  <si>
    <t>Установка системы учета для технологического присоединения энергопринимающих устройств Заявителя (ООО «ТехСнабПром») по адресу: Ростовская область, г. Таганрог, ул. Ломоносова, д. 69 в, (1 шт.)</t>
  </si>
  <si>
    <t>Установка системы учета для технологического присоединения энергопринимающих устройств Заявителя (Вышняков И.Н.) по адресу: Ростовская область, г. Таганрог, Северо-Западное Шоссе, 3, СНТ «Дачное-2», участок №368, к.н. 61:58:0006028:451 (1 шт.)</t>
  </si>
  <si>
    <t>Установка системы учета для технологического присоединения энергопринимающих устройств Заявителя (ИП Беляева Е.Л.) по адресу: Ростовская область, г. Таганрог, между ул. Транспортная, д. 85 и ул. Кузнечная (1 шт.)</t>
  </si>
  <si>
    <t>Установка системы учета для технологического присоединения энергопринимающих устройств Заявителя (ООО «ДонСвязьКонструкция») по адресу: Ростовская область, г. Таганрог, вблизи Большой Проспект, 16 д, к.н.: 61:58:0002514:3У1 (1 шт.)</t>
  </si>
  <si>
    <t>Установка системы учета для технологического присоединения энергопринимающих устройств Заявителя (Цыркова Е.Г.) по адресу: Ростовская область, г. Таганрог, проезд 2-й Линейный/переулок 8-й Новый, к.н. 61:58:0004085:273 (1 шт.)</t>
  </si>
  <si>
    <t>Установка системы учета для технологического присоединения энергопринимающих устройств Заявителя (Свердлов В.И.) по адресу: Ростовская область, г. Таганрог, ул. Циолковского, 55, СНТ «Спутник», уч. 151 к.н.:61:58:0005166:380 (1 шт.)</t>
  </si>
  <si>
    <t>Установка системы учета для технологического присоединения энергопринимающих устройств Заявителя (Сорокина М.Т.) по адресу: Ростовская область, г. Таганрог, пер. 5-й Новый, д. 117, к.н.: 61:58:0004479:72 (1 шт.)</t>
  </si>
  <si>
    <t>Установка системы учета для технологического присоединения энергопринимающих устройств Заявителя (Сердечный Д.И.) по адресу: Ростовская область, Мясниковский район, х. Красный Крым, ул. Пшеничная, д. 20/а, к.н. 61:25:0600401:21476 (1 шт.)</t>
  </si>
  <si>
    <t>Установка системы учета для технологического присоединения энергопринимающих устройств Заявителя (Приходько В.И.) по адресу: Ростовская область, Мясниковский район, с. Большие Салы, ул. Вавилова, д. 13-а, к.н. 61:25:0040101:6234 (1 шт.)</t>
  </si>
  <si>
    <t>Установка системы учета для технологического присоединения энергопринимающих устройств Заявителя (Дыгай С.Ю.) по адресу: Ростовская область, Неклиновский район, с. Николаевка, пер. Барбарисовый, д. 86, к.н. 61:26:0513801:65 (1 шт.)</t>
  </si>
  <si>
    <t>Установка системы учета для технологического присоединения энергопринимающих устройств Заявителя (Кюркчю Е.Д.) по адресу: Ростовская область, Неклиновский район, с. Николаевка, ул. Петровская, д. 20-а, к.н. 61:26:0110101:10117 (1 шт.)</t>
  </si>
  <si>
    <t>Установка системы учета для технологического присоединения энергопринимающих устройств Заявителя (Пилипенко А.Н.) по адресу: Ростовская область, Неклиновский район, х. Гаевка, ул. Пионерская, д. 41-А, к.н. 61:26:0110201:1411 (1 шт.)</t>
  </si>
  <si>
    <t>Установка системы учета для технологического присоединения энергопринимающих устройств Заявителя (Ткаченко М.В.) по адресу: Ростовская область, Неклиновский район, с. Николаевка, ДНТ «Коммунальник», д. 210, к.н. 61:26:0513701:337 (1 шт.)</t>
  </si>
  <si>
    <t>Установка системы учета для технологического присоединения энергопринимающих устройств Заявителя (Триф И.В.) по адресу: Ростовская область, Неклиновский район, с. Новобессергеневка, ул. Солнечная, д. 43-А, к.н. 61:26:0600024:1220 (1 шт.).</t>
  </si>
  <si>
    <t>Установка системы учета для технологического присоединения энергопринимающих устройств Заявителя (Масленников И.С.) по адресу: Ростовская область, Неклиновский район, с. Николаевка, ул. Юности, к.н. 61:26:0110101:9941 (1 шт.)</t>
  </si>
  <si>
    <t>Установка системы учета для технологического присоединения энергопринимающих устройств Заявителя (Агеева Т.М.) по адресу: Ростовская область, Неклиновский район, с. Покровское, ул. Энгельса, д. 55 (1 шт.)</t>
  </si>
  <si>
    <t>Установка системы учета для технологического присоединения энергопринимающих устройств Заявителя (Колесников Е.И.) по адресу: Ростовская область, Неклиновский район, с. Николаевка, пер. Молодежный, д. 11-А, к.н. 61:26:0110101:7203 (1 шт.)</t>
  </si>
  <si>
    <t>Установка системы учета для технологического присоединения энергопринимающих устройств Заявителя (Лазаренко В.А.) по адресу: Ростовская область, Неклиновский район, с. Николаевка, пер. Ореховый, д. 8, к.н. 61:26:0110101:2435 (1 шт.)</t>
  </si>
  <si>
    <t>Установка системы учета для технологического присоединения энергопринимающих устройств Заявителя (ООО ЦЭП «Зеленая планета») по адресу: Ростовская область, Неклиновский район, 800м восточнее с. Троицкое, к.н. 61:26:0600014:1593 (1 шт.)</t>
  </si>
  <si>
    <t>Установка системы учета для технологического присоединения энергопринимающих устройств Заявителя (Юрченко Г.П.) по адресу: Ростовская область, Неклиновский район, с. Троицкое, ул. Чехова, д. 7-В, к.н. 61:26:0010101:4692 (1 шт.)</t>
  </si>
  <si>
    <t>Установка системы учета для технологического присоединения энергопринимающих устройств Заявителя (ПАО «Уральский банк реконструкции и развития») по адресу: Ростовская область, Неклиновский район, с. Покровское, пер. Тургеневский, д. 10, корп. Б к.н. 61:26:0050129:129 (1 шт.)</t>
  </si>
  <si>
    <t>Установка системы учета для технологического присоединения энергопринимающих устройств Заявителя (Бобкович С.В.) по адресу: Ростовская область, Неклиновский район с. Николаевка, пер. Кутузовский, д.9 к.н. 61:26:0110101:2202 (1 шт.)</t>
  </si>
  <si>
    <t>Установка системы учета для технологического присоединения энергопринимающих устройств Заявителя (Сумбаров В.Н.) по адресу: Ростовская область, Неклиновский район с. Троицкое, ул. Октябрьская, д.91-А к.н. 61:26:0010101:6424 (1 шт.)</t>
  </si>
  <si>
    <t>Установка системы учета для технологического присоединения энергопринимающих устройств Заявителей (Еворенко Г.В.) по адресу: Ростовская область, Неклиновский район с. Троицкое, ул. Кавказская д. 53-А (1 шт.)</t>
  </si>
  <si>
    <t>Установка системы учета для технологического присоединения энергопринимающих устройств Заявителя (Белокудренко А.А.) по адресу: Ростовская область, Неклиновский район с. Троицкое, ул. Чехова, д.106-А к.н. 61:26:0010101:5895 (1 шт.)</t>
  </si>
  <si>
    <t>Установка системы учета для технологического присоединения энергопринимающих устройств Заявителя (Русак Р.Ч.) по адресу: Ростовская область, Неклиновский район с. Николаевка, ДНТ «Коммунальник», д.67, к.н. 61:26:0513701:49 (1 шт.)</t>
  </si>
  <si>
    <t>Установка системы учета для технологического присоединения энергопринимающих устройств Заявителя (Уразгильдеева Л.Ю.) по адресу: Ростовская область, Неклиновский район, с. Гаевка, ул. Набережная, д.3, к.н. 61:26:0160301:78 (1 шт.)</t>
  </si>
  <si>
    <t>Установка системы учета для технологического присоединения энергопринимающих устройств Заявителя (Алексеева Е.Ю.) по адресу: Ростовская область, Неклиновский район, с. Гаевка, ул. Ленина, д. 312-А, к.н. 61:26:0160301:70 (1 шт.)</t>
  </si>
  <si>
    <t>Установка системы учета для технологического присоединения энергопринимающих устройств Заявителя (Уразгильдеева Н.И.) по адресу: Ростовская область, Неклиновский район, с. Гаевка, ул. Набережная, д.4, к.н. 61:26:0160301:79 (1 шт.)</t>
  </si>
  <si>
    <t>Установка системы учета для технологического присоединения энергопринимающих устройств Заявителя (Уразгильдеев И.Ф.) по адресу: Ростовская область, Неклиновский район с. Гаевка, ул. Набережная, д.1-Г, к.н. 61:26:0160301:77 (1 шт.)</t>
  </si>
  <si>
    <t>Установка системы учета для технологического присоединения энергопринимающих устройств Заявителя (Уразгильдеев Ф.Н.) по адресу: Ростовская область, Неклиновский район с. Гаевка, ул. Набережная, д.2, к.н. 61:26:0160301:94 (1 шт.)</t>
  </si>
  <si>
    <t>Установка системы учета для технологического присоединения энергопринимающих устройств Заявителя (Богуш В.В.) по адресу: Ростовская область, Неклиновский район, с. Николаевка, ул. Чехова, д. 115-Ж, к.н. 61:26:0110101:8522 (1 шт.)</t>
  </si>
  <si>
    <t>Установка системы учета для технологического присоединения энергопринимающих устройств Заявителя (Дударко Е.А.) по адресу: Ростовская область, Неклиновский район, х. Гаевка, ул. Кольцова, д. 2, к.н. 61:26:0110101:950 (1 шт.)</t>
  </si>
  <si>
    <t>Установка системы учета для технологического присоединения энергопринимающих устройств Заявителя (Василенко Ю.В.) по адресу: Ростовская область, Неклиновский район, с. Николаевка, ул. Комсомольская, д. 39, к.н. 61:26:0000000:5939 (1 шт.)</t>
  </si>
  <si>
    <t>Установка системы учета для технологического присоединения энергопринимающих устройств Заявителя (Четверткова Г.И.) по адресу: Ростовская область, Неклиновский район с. Николаевка, ДНТ «Коммунальник», уч. 177, к.н. 61:26:0513701:139 (1 шт.)</t>
  </si>
  <si>
    <t>Установка системы учета для технологического присоединения энергопринимающих устройств Заявителя (Базавлюк Л.С.) по адресу: Ростовская область, Неклиновский район с. Николаевка, ДНТ «Коммунальник», уч.116, к.н. 61:26:0513701:204 (1 шт.)</t>
  </si>
  <si>
    <t>Установка системы учета для технологического присоединения энергопринимающих устройств Заявителя (Моспан Д.И.) по адресу: Ростовская область, Неклиновский район с. Николаевка, ДНТ «Коммунальник», уч.122, к.н. 61:26:0513701:197 (1 шт.)</t>
  </si>
  <si>
    <t>Установка системы учета для технологического присоединения энергопринимающих устройств Заявителя (Стенина Е.А.) по адресу: Ростовская область, Неклиновский район с. Николаевка, ДНТ «Коммунальник», уч. 145, к.н. 61:26:0513701:172 (1 шт.)</t>
  </si>
  <si>
    <t>Установка системы учета для технологического присоединения энергопринимающих устройств Заявителя (Максимова А.В.) по адресу: Ростовская область, Неклиновский район с. Николаевка, ул. Парковая, к.н. 61:26:0110101:10194 (1 шт.)</t>
  </si>
  <si>
    <t>Установка системы учета для технологического присоединения энергопринимающих устройств Заявителя (Востриков О.А.) по адресу: Ростовская область, Неклиновский район, х. Гаевка, ул. Пионерская, д. 69-А, к.н. 61:26:0110201:1165 (1 шт.)</t>
  </si>
  <si>
    <t>Установка системы учета для технологического присоединения энергопринимающих устройств Заявителя (Соколова В.А.) по адресу: Ростовская область, Неклиновский район, х. Мержаново, СНТ «Металлург-6», уч. 1109, к.н. 61:26:0505901:496 (1 шт.)</t>
  </si>
  <si>
    <t>Установка системы учета для технологического присоединения энергопринимающих устройств Заявителя (Динье З.Ф.) по адресу: Ростовская область, Неклиновский район, с. Николаевка, ул. Петровская, д. 2, к.н. 61:26:0110101:1096 (1 шт.)</t>
  </si>
  <si>
    <t>Установка системы учета для технологического присоединения энергопринимающих устройств Заявителя (Судникович Д.Ч.) по адресу: Ростовская область, Неклиновский район, х. Гаевка, ул. Кооперативная, д. 7, к.н. 61:26:0110201:303 (1 шт.)</t>
  </si>
  <si>
    <t>Установка системы учета для технологического присоединения энергопринимающих устройств Заявителя (Козырева Е.Е.) по адресу: Ростовская область, Неклиновский район, с. Николаевка, ул. Петровская, д. 14, к.н. 61:26:0110101:10222 (1 шт.)</t>
  </si>
  <si>
    <t>Установка системы учета для технологического присоединения энергопринимающих устройств Заявителя (Захаров А.М.) по адресу: Ростовская область, Неклиновский район, с. Новобессергеневка, ул. Янтарная, д. 32-В, к.н. 61:26:0600024:7633 (1 шт.)</t>
  </si>
  <si>
    <t>Установка системы учета для технологического присоединения энергопринимающих устройств Заявителя (Лакеев А.Е.) по адресу: Ростовская область, Мясниковский район, с. Крым, ул. Мясникяна, д. 66/а, к.н. 61:25:0201015:516 (1 шт.)</t>
  </si>
  <si>
    <t>Установка системы учета для технологического присоединения энергопринимающих устройств Заявителя (Назаретян А.Е.) по адресу: Ростовская область, Мясниковский район, х. Красный Крым, ул. Шаумяна, д. 15/а, к.н. 61:25:0030101:1973 (1 шт.)</t>
  </si>
  <si>
    <t>Установка системы учета для технологического присоединения энергопринимающих устройств Заявителя (Кечеджиян М.А.) по адресу: Ростовская область, Мясниковский район, с. Чалтырь, ул. Северная, д. 2/в к.н. 61:25:0101406:435 (1 шт.)</t>
  </si>
  <si>
    <t>Установка системы учета для технологического присоединения энергопринимающих устройств Заявителя (Майкоглуян В.В.) по адресу: Ростовская область, Мясниковский район с. Чалтырь, ул. Мец-Чорвах, д. 23, к.н. 61:25:0101116:20 (1 шт.)</t>
  </si>
  <si>
    <t>Установка системы учета для технологического присоединения энергопринимающих устройств Заявителя (Кцикян Р.Г.) по адресу: Ростовская область, Мясниковский район с. Чалтырь, ул. Шагиняна, д. 67, к.н. 61:25:0101602:573 (1 шт.)</t>
  </si>
  <si>
    <t>Установка системы учета для технологического присоединения энергопринимающих устройств Заявителя (Поркшеян М.Л.) по адресу: Ростовская область, Мясниковский район с. Чалтырь, ул. Жукова, д. 39, к.н. 61:25:0101425:42 (1 шт.)</t>
  </si>
  <si>
    <t>Установка системы учета для технологического присоединения энергопринимающих устройств Заявителя (Русских Л.С.) по адресу: Ростовская область, Мясниковский район, х. Ленинаван, ул. Жукова, д. 16/1, к.н. 61:25:0600401:20129 (1 шт.)</t>
  </si>
  <si>
    <t>Установка системы учета для технологического присоединения энергопринимающих устройств Заявителя (ИП Хейгетян А.Л.) по адресу: Ростовская область, Мясниковский район, с. Чалтырь, ул. Пролетарская, д. 93/б, к.н. 61:25:0101334:966 (1 шт.)</t>
  </si>
  <si>
    <t>Установка системы учета для технологического присоединения энергопринимающих устройств Заявителя (Авакян Т.Р.) по адресу: Ростовская область, Мясниковский район х. Ленинаван, ул. С. Хатламаджияна, д. 9/6, к.н. 61:25:0030202:811 (1 шт.)</t>
  </si>
  <si>
    <t>Установка системы учета для технологического присоединения энергопринимающих устройств Заявителя (Копылов В.Н.) по адресу: Ростовская область, Мясниковский район с. Крым, ул. Селькор Баева, д. 47/а, к.н. 61:25:0201014:0086 (1 шт.)</t>
  </si>
  <si>
    <t>Установка системы учета для технологического присоединения энергопринимающих устройств Заявителя (Галчева Н.Д.) по адресу: Ростовская область, Мясниковский район х. Ленинаван, ул. Ленина, д. 79/в, к.н. 61:25:0030202:4144 (1 шт.)</t>
  </si>
  <si>
    <t>Установка системы учета для технологического присоединения энергопринимающих устройств Заявителя (Саркисян Г.А.) по адресу: Ростовская область, Мясниковский район, с. Крым, ул. Григора Бабияна, д. 26, к.н. 61:25:0600201:574 (1 шт.)</t>
  </si>
  <si>
    <t>Установка системы учета для технологического присоединения энергопринимающих устройств Заявителя (Бликян Л.В.) по адресу: Ростовская область, Мясниковский район, х. Ленинаван, ул. Ленина, д. 70, к.н. 61:25:0030202:119 (1 шт.)</t>
  </si>
  <si>
    <t>Установка системы учета для технологического присоединения энергопринимающих устройств Заявителя (ИП Петросян С.С.) по адресу: Ростовская область, Мясниковский район, х. Ленинаван, ул. Садовая, д. 11/15, к.н. 61:25:0600401:22094 (1 шт.)</t>
  </si>
  <si>
    <t>Установка системы учета для технологического присоединения энергопринимающих устройств Заявителя (Толохян Н.В.) по адресу: Ростовская область, Мясниковский район, с. Чалтырь, ул. Шагиняна, д. 87, к.н. 61:25:0600601:1363 (1 шт.)</t>
  </si>
  <si>
    <t>Установка системы учета для технологического присоединения энергопринимающих устройств Заявителя (Алексанян А.М.) по адресу: Ростовская область, Мясниковский район, х. Ленинаван, ул. Орджоникидзе, д. 23/1, к.н. 61:25:0030202:5086 (1 шт.)</t>
  </si>
  <si>
    <t>Установка системы учета для технологического присоединения энергопринимающих устройств Заявителя (ИП Зубкова С.А.) по адресу: Ростовская область, Мясниковский район, х. Ленинаван, ул. Мира, д. 23-а, к.н. 61:25:0030202:3015 (1 шт.)</t>
  </si>
  <si>
    <t>Установка системы учета для технологического присоединения энергопринимающих устройств Заявителя (Киркорянц Г.М.) по адресу: Ростовская область, Мясниковский район, с. Чалтырь, ул. 50 лет Победы, д. 107, к.н. 61:25:0600601:1131 (1 шт.)</t>
  </si>
  <si>
    <t>Установка системы учета для технологического присоединения энергопринимающих устройств Заявителя (Севостьянова С.Б.) по адресу: Ростовская область, Мясниковский район, с. Чалтырь, ул. Пионерская, д. 1-а, к.н. 61:25:0101129:6 (1 шт.)</t>
  </si>
  <si>
    <t>Установка системы учета для технологического присоединения энергопринимающих устройств Заявителя (Марков Р.О.) по адресу: Ростовская область, Мясниковский район, х. Ленинакан, ул. Ростовская, д. 24-а, к.н. 61:25:0030301:1918 (1 шт.)</t>
  </si>
  <si>
    <t>Установка системы учета для технологического присоединения энергопринимающих устройств Заявителя (Дзиваян Х.С.) по адресу: Ростовская область, Мясниковский район, х. Красный Крым, ул. Молодежная 2-я, д. 12-б, к.н. 61:25:0030101:2402 (1 шт.)</t>
  </si>
  <si>
    <t>Установка системы учета для технологического присоединения энергопринимающих устройств Заявителя (Сахаджиян В.С.) по адресу: Ростовская область, Мясниковский район, с. Крым, ул. Первомайская, д. 15, к.н. 61:25:0201016:69 (1 шт.)</t>
  </si>
  <si>
    <t>Установка системы учета для технологического присоединения энергопринимающих устройств Заявителя (Акопян Д.К.) по адресу: Ростовская область, Мясниковский район, с. Крым, ул. Линия 19-я, д. 27-ж, к.н. 61:25:0201019:1078 (1 шт.)</t>
  </si>
  <si>
    <t>Установка системы учета для технологического присоединения энергопринимающих устройств Заявителя (Краплина Е.Н.) по адресу: Ростовская область, Мясниковский район, х.Красный Крым, ул. Еловая, д. 17, к.н. 61:25:0600401:23642 (1 шт.)</t>
  </si>
  <si>
    <t>Установка системы учета для технологического присоединения энергопринимающих устройств Заявителя (Дорошенко А.В.) по адресу: Ростовская область, Мясниковский район, х. Ленинакан, ул. Трудовая, д. 32-а, к.н. 61:25:0030301:323 (1 шт.)</t>
  </si>
  <si>
    <t>Установка системы учета для технологического присоединения энергопринимающих устройств Заявителя (Кожевников С.А.) по адресу: Ростовская область, Мясниковский район, с. Чалтырь, ул. Пролетарская, д. 42, к.н. 61:25:0101315:477 (1 шт.)</t>
  </si>
  <si>
    <t>Установка системы учета для технологического присоединения энергопринимающих устройств Заявителя (Почикян Л.В.) по адресу: Ростовская область, Мясниковский район, х. Ленинаван, ул. Суворова, д. 22, к.н. 61:25:0600401:20168 (1 шт.)</t>
  </si>
  <si>
    <t>Установка системы учета для технологического присоединения энергопринимающих устройств Заявителя (Баграмян Т.А.) по адресу: Ростовская область, Мясниковский район, с. Чалтырь, ул. Западная, д. 142, к.н. 61:25:0600601:1216 (1 шт.)</t>
  </si>
  <si>
    <t>Установка системы учета для технологического присоединения энергопринимающих устройств Заявителя (Закарян С.М.) по адресу: Ростовская область, Мясниковский район, с. Чалтырь, ул. Патканяна, д. 52, к.н. 61:25:0101604:43 (1 шт.)</t>
  </si>
  <si>
    <t>Установка системы учета для технологического присоединения энергопринимающих устройств Заявителя (Сахаджиян А.С.) по адресу: Ростовская область, Мясниковский район, с. Крым, ул. Медиков, д. 16-а, к.н. 61:25:0201025:127 (1 шт.)</t>
  </si>
  <si>
    <t>Установка системы учета для технологического присоединения энергопринимающих устройств Заявителя (Агванян А.Г.) по адресу: Ростовская область, Мясниковский район, с. Чалтырь, ул. Социалистическая, д. 25-м, к.н. 61:25:0101334:1274 (1 шт.)</t>
  </si>
  <si>
    <t>Установка системы учета для технологического присоединения энергопринимающих устройств Заявителя (Мардиросян С.Л.) по адресу: Ростовская область, Мясниковский район, х. Ленинаван, ул. Шаумяна, д. 21-а, к.н. 61:25:0030202:1320 (1 шт.)</t>
  </si>
  <si>
    <t>Установка системы учета для технологического присоединения энергопринимающих устройств Заявителя (ИП Осипян В.Г.) по адресу: Ростовская область, Мясниковский район, с. Большие Салы, ул. 1-я Ленинская, д. 4-б, к.н. 61:25:0040101:6203 (1 шт.)</t>
  </si>
  <si>
    <t>Установка системы учета для технологического присоединения энергопринимающих устройств Заявителя (ИП Кесеян М.А.) по адресу: Ростовская область, Мясниковский район, х. Красный Крым, ул. Туманяна, д. 47/б, к.н. 61:25:0030101:448 (1 шт.)</t>
  </si>
  <si>
    <t>Установка системы учета для технологического присоединения энергопринимающих устройств Заявителя (Килафян В.В.) по адресу: Ростовская область, Мясниковский район, с. Чалтырь, ул. Шаумяна, д. 75, к.н. 61:25:0101112:0017</t>
  </si>
  <si>
    <t>Установка системы учета для технологического присоединения энергопринимающих устройств Заявителя (Шеболдина А.Г.) по адресу: Ростовская область, Мясниковский район, х. Ленинаван, ул. Жукова, д. 64, к.н. 61:25:0600401:8893</t>
  </si>
  <si>
    <t>Установка системы учета для технологического присоединения энергопринимающих устройств Заявителя (Макинян С.Д.) по адресу: Ростовская область, Мясниковский район, с. Большие Салы, ул. Оганяна, д. 10-в, к.н. 61:25:0040101:6114</t>
  </si>
  <si>
    <t>Установка системы учета для технологического присоединения энергопринимающих устройств Заявителя (Илюхин А.П.) по адресу: Ростовская область, Мясниковский район с. Крым, ул. Кардашяна, д. 8, к.н. 61:25:0201001:33</t>
  </si>
  <si>
    <t>Установка системы учета для технологического присоединения энергопринимающих устройств Заявителя (Щебет А.Ю.) по адресу: Ростовская область, Мясниковский район х. Хапры, ул. Первомайская, д. 38/а, к.н. 61:25:0070201:793</t>
  </si>
  <si>
    <t>Установка системы учета для технологического присоединения энергопринимающих устройств Заявителя (Хатламаджиян В.В.) по адресу: Ростовская область, Мясниковский район с. Чалтырь, ул. 1-й тупик, д. 11/а, к.н. 61:25:0101307:384</t>
  </si>
  <si>
    <t>Установка системы учета для технологического присоединения энергопринимающих устройств Заявителя (Тананян А.А.) по адресу: Ростовская область, Мясниковский район с. Чалтырь, ул. 6-я линия, д. 36 к.н. 61:25:0101105:18</t>
  </si>
  <si>
    <t>1.14. «Установка системы учета для технологического присоединения энергопринимающих устройств Заявителя (Загика К.Н.) по адресу: Ростовская область, Мясниковский район х. Красный Крым, ул. Братьев Баян, д. 86, к.н. 61:25:0600401:19310 (1 шт.)»</t>
  </si>
  <si>
    <t>1.13. «Установка системы учета для технологического присоединения энергопринимающих устройств Заявителя (Латыпов О.Г.) по адресу: Ростовская область, Мясниковский район х. Ленинаван, ул. Садовая, д. 11/13, к.н. 61:25:0600401:21420 (1 шт.)»</t>
  </si>
  <si>
    <t>1.12. «Установка системы учета для технологического присоединения энергопринимающих устройств Заявителя (ИП Егиазарян А.Г.) по адресу: Ростовская область, Мясниковский район х. Ленинаван, ул. Центральная, д. 34/1, к.н. 61:25:0600401:9591 (1 шт.)»</t>
  </si>
  <si>
    <t>1.11. «Установка системы учета для технологического присоединения энергопринимающих устройств Заявителя (Маркосян О.М.) по адресу: Ростовская область, Мясниковский район с. Чалтырь, ул. Гагарина, д. 35, к.н. 61:25:0101230:17 (1 шт.)»</t>
  </si>
  <si>
    <t>1.10. «Установка системы учета для технологического присоединения энергопринимающих устройств Заявителя (Мхитарян Г.А.) по адресу: Ростовская область, Мясниковский район с. Крым, ул. генерала Джелаухова, д. 41, к.н. 61:25:0600201:935 (1 шт.)»</t>
  </si>
  <si>
    <t>1.9. «Установка системы учета для технологического присоединения энергопринимающих устройств Заявителя (Оганнисян К.Т.) по адресу: Ростовская область, Мясниковский район с. Большие Салы, ул. Крестьянская, д. 6/а, к.н. 61:25:0040101:1508 (1 шт.)»</t>
  </si>
  <si>
    <t>1.8. «Установка системы учета для технологического присоединения энергопринимающих устройств Заявителя (Наумова Л.В.) по адресу: Ростовская область, Мясниковский район х. Ленинаван, ул. С. Хатламаджияна, д. 30, к.н. 61:25:0030202:4942 (1 шт.)»</t>
  </si>
  <si>
    <t>1.5. «Установка системы учета для технологического присоединения энергопринимающих устройств Заявителя (Ковальский В.В.) по адресу: Ростовская область, Мясниковский район с. Карпо-Николаевка, ул. Ростовская, д. 30, к.н. 61:25:0080401:12 (1 шт.)»</t>
  </si>
  <si>
    <t>Установка системы учета для технологического присоединения энергопринимающих устройств Заявителя (Багдасарян Н.Ю.) по адресу: Ростовская область, Мясниковский район х. Ленинаван, ул. Ландышевая, д. 7, к.н. 61:25:0600401:8378</t>
  </si>
  <si>
    <t>Установка системы учета для технологического присоединения энергопринимающих устройств Заявителя (Джелаухян Т.Д.) по адресу: Ростовская область, Мясниковский район с. Крым, ул. Октябрьская, д. 26, к.н. 61:25:0201006:105</t>
  </si>
  <si>
    <t>Установка системы учета для технологического присоединения энергопринимающих устройств Заявителя (Погосян А.Г.) по адресу: Ростовская область, Мясниковский район с. Крым, ул. 25-я линия, д. 8/а, к.н. 61:25:0201023:275</t>
  </si>
  <si>
    <t>Установка системы учета для технологического присоединения энергопринимающих устройств Заявителя (Кошелева Ю.А.) по адресу: Ростовская область, Мясниковский район с. Большие Салы, ул. Конституции, д. 1/м, к.н. 61:25:0040101:6230</t>
  </si>
  <si>
    <t>Установка системы учета для технологического присоединения энергопринимающих устройств Заявителя (Лопатина Л.В.) по адресу: Ростовская область, Мясниковский район х. Красный Крым, ул. Бирюзовая, д. 51/3, к.н. 61:25:0600401:18519</t>
  </si>
  <si>
    <t>Установка системы учета для технологического присоединения энергопринимающих устройств Заявителя (Макаренко Н.Е.) по адресу: Ростовская область, Мясниковский район с. Большие Салы, ул. Центральная, д. 35, к.н. 61:25:0600501:1649</t>
  </si>
  <si>
    <t>Установка системы учета для технологического присоединения энергопринимающих устройств Заявителя (Харахашян Т.О.) по адресу: Ростовская область, Мясниковский район х. Ленинаван, ул. Мясникяна, д. 14/4, к.н. 61:25:0030202:4887</t>
  </si>
  <si>
    <t>Установка системы учета для технологического присоединения энергопринимающих устройств Заявителя (Агаглуян Е.В.) по адресу: Ростовская область, Мясниковский район х. Хапры, ул. Гагарина, д. 16/а, к.н. 61:25:0070201:2650</t>
  </si>
  <si>
    <t>Установка системы учета для технологического присоединения энергопринимающих устройств Заявителя (Абрамян К.И.) по адресу: Ростовская область, Мясниковский район с. Крым, ул. Генерала Джелаухова, д. 10/а, к.н. 61:25:0201019:487</t>
  </si>
  <si>
    <t>Установка системы учета для технологического присоединения энергопринимающих устройств Заявителя (Даллакян Р.А.) по адресу: Ростовская область, Мясниковский район, х. Ленинакан, ул. Трудовая, д. 28/5, к.н. 61:25:0030301:1905 (1 шт.)</t>
  </si>
  <si>
    <t>Установка системы учета для технологического присоединения энергопринимающих устройств Заявителя (Небрат В.А.) по адресу: Ростовская область, Мясниковский район, х. Калинин, ул. Степная, д. 83/б, к.н. 61:25:0050101:7928 (1 шт.)</t>
  </si>
  <si>
    <t>Установка системы учета для технологического присоединения энергопринимающих устройств Заявителя (Мышинский А.С.) по адресу: Ростовская область, Мясниковский район, сл. Петровка, ул. Первомайская, д. 16, к.н. 61:25:0080101:1910 (1 шт.)</t>
  </si>
  <si>
    <t>Установка системы учета для технологического присоединения энергопринимающих устройств Заявителя (Ракова А.А.) по адресу: Ростовская область, Мясниковский район, х. Красный Крым, ул. Звездная, д. 33, к.н. 61:25:0600401:17146 (1 шт.)</t>
  </si>
  <si>
    <t>Установка системы учета для технологического присоединения энергопринимающих устройств Заявителя (Шинаков Р.В.) по адресу: Ростовская область, Мясниковский район, с. Султан-Салы, ул. Суворова, д. 7/а, к.н. 61:25:0030401:1836 (1 шт.)</t>
  </si>
  <si>
    <t>Установка системы учета для технологического присоединения энергопринимающих устройств Заявителя (Кухаренко Д.Г.) по адресу: Ростовская область, Мясниковский район, х. Ленинаван, ул. Кутузова, д. 11, к.н. 61:25:0600401:7171 (1 шт.)</t>
  </si>
  <si>
    <t>Установка системы учета для технологического присоединения энергопринимающих устройств Заявителя (Кравченко Н.В.) по адресу: Ростовская область, Мясниковский район, х. Калинин, ул. Набережная, д. 126/м, к.н. 61:25:0050101:7967 (1 шт.)</t>
  </si>
  <si>
    <t>Установка системы учета для технологического присоединения энергопринимающих устройств Заявителя (Барнагян Х.К.) по адресу: Ростовская область, Мясниковский район, с. Чалтырь, ул. Гаражная, д. 1/г,  к.н. 61:25:0101334:981 (1 шт.)</t>
  </si>
  <si>
    <t>Установка системы учета для технологического присоединения энергопринимающих устройств Заявителя (Хачатрян К.О.) по адресу: Ростовская область, Мясниковский район, х. Красный Крым, ул. Новая, д. 25/а,  к.н. 61:25:0600401:10374 (1 шт.)</t>
  </si>
  <si>
    <t>Установка системы учета для технологического присоединения энергопринимающих устройств Заявителя (Сардарян О.А.) по адресу: Ростовская область, Мясниковский район, с. Большие Салы, ул. 2-я Ленинская, д. 1/б, к.н. 61:25:0040101:5284 (1 шт.)</t>
  </si>
  <si>
    <t>Установка системы учета для технологического присоединения энергопринимающих устройств Заявителя (Оганян А.Т.) по адресу: Ростовская область, Мясниковский район, с. Чалтырь, ул. Гаражная, д. 117,  к.н. 61:25:0101334:849 (1 шт.)</t>
  </si>
  <si>
    <t>Установка системы учета для технологического присоединения энергопринимающих устройств Заявителя (Фурсова Е.А.) по адресу: Ростовская область, Мясниковский район, с. Большие Салы, ул. Конституции, д. 1/н,  к.н. 61:25:0040101:6231 (1 шт.)</t>
  </si>
  <si>
    <t>Установка системы учета для технологического присоединения энергопринимающих устройств Заявителя (Моисеенко Е.В.) по адресу: Ростовская область, Мясниковский район, х. Красный Крым, ул. Юбилейная, д. 28/а,  к.н. 61:25:0600401:17608 (1 шт.)</t>
  </si>
  <si>
    <t>Установка системы учета для технологического присоединения энергопринимающих устройств Заявителя (Меликян А.К.) по адресу: Ростовская область, Мясниковский район, х. Калинин, ул. Малыгина, д. 37/в,  к.н. 61:25:0050101:7196 (1 шт.)</t>
  </si>
  <si>
    <t>Установка системы учета для технологического присоединения энергопринимающих устройств Заявителя (Агакишиева А.В.) по адресу: Ростовская область, Мясниковский район, с. Александровка 2-я, ул. Новая, д. 13,  к.н. 61:25:0080201:1272 (1 шт.)</t>
  </si>
  <si>
    <t>Установка системы учета для технологического присоединения энергопринимающих устройств Заявителя (Смирнова Л.Н.) по адресу: Ростовская область, Мясниковский район, х. Калинин, ул. Степная, д. 88,  к.н. 61:25:170000:3304:2427 (1 шт.)</t>
  </si>
  <si>
    <t>Установка системы учета для технологического присоединения энергопринимающих устройств Заявителя (ИП Малхасян А.А.) по адресу: Ростовская область, Мясниковский район, с. Чалтырь, ул. 7-я линия, д. 35,  к.н. 61:25:0101322:11 (1 шт.)</t>
  </si>
  <si>
    <t>Установка системы учета для технологического присоединения энергопринимающих устройств Заявителя (Явруян В.Р.) по адресу: Ростовская область, Мясниковский район, х. Ленинаван, ул. Мясникяна, д. 16/а,  к.н. 61:25:0030202:328 (1 шт.)</t>
  </si>
  <si>
    <t>Установка системы учета для технологического присоединения энергопринимающих устройств Заявителя (Дедова Э.А.) по адресу: Ростовская область, Мясниковский район, х. Красный Крым, ул. Юбилейная, д. 26/б,  к.н. 61:25:0600401:18571 (1 шт.)</t>
  </si>
  <si>
    <t>Установка системы учета для технологического присоединения энергопринимающих устройств Заявителя (Гагаринова Е.С.) по адресу: Ростовская область, Мясниковский район, х. Красный Крым, ул. Пшеничная, д. 8/а,  к.н. 61:25:0600401:18634 (1 шт.)</t>
  </si>
  <si>
    <t>Установка системы учета для технологического присоединения энергопринимающих устройств Заявителя (Бочкова С.В.) по адресу: Ростовская область, Мясниковский район, с. Султан-Салы, ул. Мясникяна, д. 23/а,  к.н. 61:25:0030401:491 (1 шт.)</t>
  </si>
  <si>
    <t>Установка системы учета для технологического присоединения энергопринимающих устройств Заявителя (Майкоглуян Х.Б.) по адресу: Ростовская область, Мясниковский район, с. Чалтырь, ул. Карла Маркса, д. 22, к.н. 61:25:0101125:18 (1 шт.)</t>
  </si>
  <si>
    <t>Установка системы учета для технологического присоединения энергопринимающих устройств Заявителя (Конеев А.А.) по адресу: Ростовская область, Мясниковский район, с. Султан Салы, ул. Мясникяна, уч. 4, к.н. 61:25:0030401:483 (1 шт.)</t>
  </si>
  <si>
    <t>Установка системы учета для технологического присоединения энергопринимающих устройств Заявителей: Горина Н.О., Карелов И.И., Насыр М.В., Иваницкий Г.М., Абдуллин М.Ш., Бабкина Е.Р., Устинов А.В., Масленникова Н.Н., Дзиваян М.А., Климова О.С., Сухариян А.В., Облога В.А., Ганжа О.Е. в Мясниковском районе Ростовской области (13 шт.)</t>
  </si>
  <si>
    <t>Установка системы учета для технологического присоединения энергопринимающих устройств Заявителей: Жаравина Т.Т., Жаравин Е.А., Рамазян Ю.Г., Нетяженко М.А., Гукасян Е.М., Кострыкин М.А., Саакян Р.С. в Мясниковском районе Ростовской области (7 шт.)</t>
  </si>
  <si>
    <t>Установка системы учета для технологического присоединения энергопринимающих устройств Заявителей: Скачкова А.В., Сидоренко В.А., Рожковский И.В., Копылова О.А., Бирюкова И.А., Клементьева И.В., Стрельченко Р.В., Завгородний М.М., Кудряшов Г.Е., Ануфриева Е.В., Шахман А.В. в Мясниковском районе Ростовской области (11 шт.)</t>
  </si>
  <si>
    <t>Установка системы учета для технологического присоединения энергопринимающих устройств Заявителей: Чибичян Л.М., Уварова В.К., Овсянников В.В., Селезнёв А.Н., Хараян Л.Ю., ПАО «Вымпел-Коммуникации», Ушакова С.Ш., Мусаев Э.Г. в Мясниковском районе Ростовской области (8 шт.)</t>
  </si>
  <si>
    <t>Установка системы учета для технологического присоединения энергопринимающих устройств Заявителей: ИП Хазарян С.В., ИП Григорян Р.Э., Фарманян М.М., Деремян К.А., Плотников С.В., Агджоян А.И., Габриелян С.М., Хабаликян Р.Г. в Мясниковском районе Ростовской области (8 шт.)</t>
  </si>
  <si>
    <t>Установка системы учета для технологического присоединения энергопринимающих устройств Заявителей: Зинченко А.С., Заседкина Е.В., Пашаян Э.А., Гавриличенко Ю.В., Атоян А.С., Томасян С.В., Килафян А.К., Прытова К.О., Коробицын Р.П., ИП Вардуни Ж.Р., Дзреян С.Г., Бобров С.Г., Григорян О.В., Гуликян Т.М., Нестеренко М.Е., Николушенко Г.А., Боженова Е.В., Зимакова А.В., Светличная О.А., Мусикян С.Х. в Мясниковском районе Ростовской области (21 шт.)</t>
  </si>
  <si>
    <t>Установка системы учета для технологического присоединения энергопринимающих устройств Заявителя (ООО «Синара-Городские Транспортные Решения Таганрог») по адресу: Ростовская область, г. Таганрог, пл. Северная Площадь (между ул. Восточная и Большой Проспект), к.н.: 61:58:0002507:253 (1 шт.)</t>
  </si>
  <si>
    <t>Установка системы учета для технологического присоединения энергопринимающих устройств Заявителей: Татенашвили Н.О., Ивашечкин А.Н., Красова Г.В., Согомонян Г.И., Надолинская Е.А. в Мясниковском районе Ростовской области (5 шт.)</t>
  </si>
  <si>
    <t>Установка системы учета для технологического присоединения энергопринимающих устройств Заявителей: Михайленко А.В., Скорнякова С.А., Василенко И.В., Гянджалиев В.Ш.О., Мелконян А.А., в Мясниковском районе Ростовской области (5 шт.)</t>
  </si>
  <si>
    <t>Установка системы учета для технологического присоединения энергопринимающих устройств Заявителя (Мирзоян С.А.) по адресу: Ростовская область, Мясниковский район, с. Большие Салы, ул. Кооперативная, д. 32,  к.н. 61:25:0040101:4992 (1 шт.)</t>
  </si>
  <si>
    <t>Установка системы учета для технологического присоединения энергопринимающих устройств Заявителя (Абраамян Г.Э.) по адресу: Ростовская область, Мясниковский район, с. Крым, ул. 3-я линия, д. 3/д, к.н. 61:25:0201016:443 (1 шт.)</t>
  </si>
  <si>
    <t>Установка системы учета для технологического присоединения энергопринимающих устройств Заявителя (Чораян М.С.) по адресу: Ростовская область, Мясниковский район, с. Крым, ул. 1-й Тупик, д. 17/а, к.н. 61:25:0201028:204 (1 шт.)</t>
  </si>
  <si>
    <t>Установка системы учета для технологического присоединения энергопринимающих устройств Заявителя (Машегирова О.Б.) по адресу: Ростовская область, Мясниковский район, х. Ленинаван, ул. Орджоникидзе, д. 28/а,  к.н. 61:25:0030202:4231 (1 шт.)</t>
  </si>
  <si>
    <t>Установка системы учета для технологического присоединения энергопринимающих устройств Заявителя (Меликян Л.А.) по адресу: Ростовская область, Мясниковский район, с. Чалтырь, ул. Пролетарская, д. 72/а,  к.н. 61:25:0101316:20 (1 шт.)</t>
  </si>
  <si>
    <t>Установка системы учета для технологического присоединения энергопринимающих устройств Заявителя (ИП Киракосян Г.С.) по адресу: Ростовская область, Мясниковский район, с. Чалтырь, ул. Шаумяна, д. 6, к.н. 61:25:0101403:93 (1 шт.)</t>
  </si>
  <si>
    <t>Установка системы учета для технологического присоединения энергопринимающих устройств Заявителя (ИП Насонов Н.Н.) по адресу: Ростовская область, Мясниковский район, х. Ленинакан, пер. Содружества, д. 5, к.н. 61:25:0600401:15053 (1 шт.)</t>
  </si>
  <si>
    <t>Установка системы учета для технологического присоединения энергопринимающих устройств Заявителя (Ступников С.Г.) по адресу: Ростовская область, Мясниковский район,с. Чалтырь, ул. Тащияна, д. 107, к.н. 61:25:0600601:1321 (1 шт.)</t>
  </si>
  <si>
    <t>Установка системы учета для технологического присоединения энергопринимающих устройств Заявителя (Казарян В.Р.) по адресу: Ростовская область, Мясниковский район, х. Красный Крым, ул. Братьев Баян, д. 18, к.н. 61:25:0030101:2372 (1 шт.)</t>
  </si>
  <si>
    <t>Установка системы учета для технологического присоединения энергопринимающих устройств Заявителя (Мамулян Ш.А.) по адресу: Ростовская область, Мясниковский район, с. Чалтырь, ул. Первоиюньская, д. 6, к.н. 61:25:0101307:153 (1 шт.)</t>
  </si>
  <si>
    <t>Установка системы учета для технологического присоединения ФКУ «Управление автомобильной магистрали Москва-Волгоград Федерального дорожного агентства» по адресу: Ростовская область, Неклиновский район, автодорога А-280(М-23) «Ростов-на-Дону – Таганрог – граница с Украиной» (4шт.).</t>
  </si>
  <si>
    <t>Установка системы учета для технологического присоединения энергопринимающих устройств Заявителя (Малунин Д.Л.) по адресу: Ростовская область, Неклиновский район, с. Бессергеновка, СНТ «Монтажник», уч. 17, к.н. 61:26:0500101:283 (1 шт.)</t>
  </si>
  <si>
    <t>Установка системы учета для технологического присоединения энергопринимающих устройств Заявителя (ПАО МиМЭС «Ростелеком») по адресу: Ростовская область, Неклиновский район, х. Приют (ш. 47.40590998; д. 39.16811512) (1 шт.)</t>
  </si>
  <si>
    <t>Установка системы учета для технологического присоединения энергопринимающих устройств Заявителя (Грущенко Д.В.) по адресу: Ростовская область, г. Таганрог, ул. Варданяна, д. 47, к.н. 61:58:0006027:545 (1 шт.)</t>
  </si>
  <si>
    <t>Установка системы учета для технологического присоединения энергопринимающих устройств Заявителя (Дурмишян Р.И.) в городе Таганрог Ростовской области (1 шт.)</t>
  </si>
  <si>
    <t>Установка системы учета для технологического присоединения энергопринимающих устройств Заявителя (Ластовецкая Ю.Н.) по адресу: Ростовская область, Неклиновский район, с. Лакедемоновка, ул. Заречная, д. 18-А, к.н. 61:26:0160101:644 (1 шт.)</t>
  </si>
  <si>
    <t>Установка системы учета для технологического присоединения энергопринимающих устройств Заявителя (Журавлев О.Н.) по адресу: Ростовская область, Неклиновский район х. Новозолотовка, ул. Новостройки, д. 27 к.н. 61:26:0180501:1181 (1 шт.)</t>
  </si>
  <si>
    <t>Установка системы учета для технологического присоединения энергопринимающих устройств Заявителя (Кравченко А.В.) по адресу: Ростовская область, Неклиновский район с. Покровское, пер. Степной, д.63 к.н. 61:26:0050105:237 (1 шт.)</t>
  </si>
  <si>
    <t>Установка системы учета для технологического присоединения энергопринимающих устройств Заявителя (Васильева Т.В.) по адресу: Ростовская область, Неклиновский район с. Боцманово, ул. Шмидта, д. 13, к.н. 61:26:0070801:125 (1 шт.)</t>
  </si>
  <si>
    <t>Установка системы учета для технологического присоединения энергопринимающих устройств Заявителя (Администрация Неклиновского района Ростовской области) по адресу: Ростовская область, Неклиновский район, с. Самбек, ул. Спортивная, к.н. 61:26:0020101:5053 (1 шт.)</t>
  </si>
  <si>
    <t>Установка системы учета для технологического присоединения энергопринимающих устройств Заявителя (Уткин А.А.) по адресу: Ростовская область, Неклиновский район, с. Вареновка, ул. Октябрьская, д. 74-А, к.н. 61:26:0040101:5950 (1 шт.)</t>
  </si>
  <si>
    <t>Установка системы учета для технологического присоединения энергопринимающих устройств Заявителя (Ермаков К.Л.) по адресу: Ростовская область, Неклиновский район, с. Весело-Вознесенка, ул. Пограничная, д.40-А, к.н. 61:26:0100101:5085 (1 шт.)</t>
  </si>
  <si>
    <t>Установка системы учета для технологического присоединения энергопринимающих устройств Заявителя (Догадайло Р.С.) по адресу: Ростовская область, Неклиновский район с. Николаевка, ул. Лермонтова, д. 193, к.н. 61:26:0110101:1331 (1 шт.)</t>
  </si>
  <si>
    <t>Установка системы учета для технологического присоединения энергопринимающих устройств Заявителя (Перепелицына Л.В.) по адресу: Ростовская область, Неклиновский район, х. Сужено, пер. Животноводческий, д. 1, к.н. 61:26:0020201:34 (1 шт.)</t>
  </si>
  <si>
    <t>Установка системы учета для технологического присоединения энергопринимающих устройств Заявителя (Стрельникова М.Н.) по адресу: Ростовская область, Неклиновский район, с. Покровское, ул. Свердлова, д. 96-А, к.н. 61:26:0050104:642 (1 шт.)</t>
  </si>
  <si>
    <t>Установка системы учета для технологического присоединения энергопринимающих устройств Заявителя (Заикин Д.С.) по адресу: Ростовская область, Неклиновский район, с. Петрушино, пер. Садовый, д. 24, к.н. 61:26:0180201:3663 (1 шт.)</t>
  </si>
  <si>
    <t>Установка системы учета для технологического присоединения энергопринимающих устройств Заявителя (Любкина Е.А.) по адресу: Ростовская область, Неклиновский район, с. Гаевка, ул. Ленина, д. 80-Б, к.н. 61:26:0160301:2506 (1 шт.)</t>
  </si>
  <si>
    <t>Установка системы учета для технологического присоединения энергопринимающих устройств Заявителя (Татульян Е.А.) по адресу: Ростовская область, Неклиновский район, с. Новобессергеневка, ул. Транспортная, д. 37, к.н. 61:26:0180101:8003 (1 шт.)</t>
  </si>
  <si>
    <t>Установка системы учета для технологического присоединения энергопринимающих устройств Заявителя (Ростовцев А.И.) по адресу: Ростовская область, Неклиновский район, с. Бессергеневка, ул. Морская, д.2-А, к.н. 61:26:0040201:3779 (1 шт.)</t>
  </si>
  <si>
    <t>Установка системы учета для технологического присоединения энергопринимающих устройств Заявителя (Тодоров П.А.) по адресу: Ростовская область, Неклиновский район, с. Александрова Коса, ул. Набережная, д. 8, к.н. 61:26:0180601:2013 (1 шт.)</t>
  </si>
  <si>
    <t>Установка системы учета для технологического присоединения энергопринимающих устройств Заявителя (Веденская А.Ю.) по адресу: Ростовская область, Неклиновский район, с. Весело-Вознесенка, ул. Пограничная, д. 18-А, к.н. 61:26:0100101:5104 (1 шт.)</t>
  </si>
  <si>
    <t>Установка системы учета для технологического присоединения энергопринимающих устройств Заявителя (Тулумова Е.Н.) по адресу: Ростовская область, Неклиновский район, с. Весело-Вознесенка, ул. Пограничная, д.38-А, к.н. 61:26:0100101:5081 (1 шт.)</t>
  </si>
  <si>
    <t>Установка системы учета для технологического присоединения энергопринимающих устройств Заявителя (Феофанов А.Н.) по адресу: Ростовская область, Неклиновский район, п. Сухосарматка, ул. Лесная, д. 33-Б, к.н. 61:26:0600013:1558 (1 шт.)</t>
  </si>
  <si>
    <t>Установка системы учета для технологического присоединения энергопринимающих устройств Заявителя (Котик Л.В.) по адресу: Ростовская область, Неклиновский район, с. Бессергеновка, ул. Школьная, к.н. 61:26:0040201:4055 (1 шт.)</t>
  </si>
  <si>
    <t>Установка системы учета для технологического присоединения энергопринимающих устройств Заявителя (Апресян Г.Р.) по адресу: Ростовская область, Мясниковский район, с. Чалтырь, ул. Социалистическая, уч. 17/в, к.н. 61:25:0101324:203 (1 шт.)</t>
  </si>
  <si>
    <t>Установка системы учета для технологического присоединения энергопринимающих устройств Заявителя (Хаспекова Э.С.) по адресу: Ростовская область, Мясниковский район, х. Ленинаван, ул. Насосная, д. 1,  к.н. 61:25:0030202:3319 (1 шт.)</t>
  </si>
  <si>
    <t>Установка системы учета для технологического присоединения энергопринимающих устройств Заявителя: ИП Чернышов М.В. в х. Ленинаван ул. Мира, д. 1/1 Мясниковского района Ростовской области – 1 шт.</t>
  </si>
  <si>
    <t>Установка системы учета для технологического присоединения энергопринимающих устройств Заявителя (Яловицкий Н.М.) по адресу: Ростовская область, Мясниковский район, х. Баевка, ул. Мира, д. 10/а, к.н. 61:25:0080801:80 (1 шт.)</t>
  </si>
  <si>
    <t>Установка системы учета для технологического присоединения энергопринимающих устройств Заявителя (Пожидаев А.А.) по адресу: Ростовская область, Мясниковский район х. Недвиговка, ул. Молодежная, д. 32/г, к.н. 61:25:0070101:4395</t>
  </si>
  <si>
    <t>Установка системы учета для технологического присоединения энергопринимающих устройств Заявителя (Хачатурян Э.Г.) по адресу: Ростовская область, Мясниковский район, с. Большие Салы, ул. Советская, д. 15, к.н. 61:25:0040101:5449 (1 шт.)</t>
  </si>
  <si>
    <t>Установка системы учета для технологического присоединения энергопринимающих устройств Заявителя (Хатламаджиян В.А.) по адресу: Ростовская область, Мясниковский район, с. Чалтырь, ул. 3-я линия, д. 35, к.н. 61:25:0101101:27 (1 шт.)</t>
  </si>
  <si>
    <t>Установка системы учета для технологического присоединения энергопринимающих устройств Заявителя (Администрация Недвиговского сельского поселения) по адресу: Ростовская область, Мясниковский район, х. Недвиговка, ул. Ченцова, д. 12-а, к.н. 61:25:0070101:4696 (1 шт.)</t>
  </si>
  <si>
    <t>Установка системы учета для технологического присоединения энергопринимающих устройств Заявителя (Хейгетян В.С.) по адресу: Ростовская область, Мясниковский район, х. Ленинаван, ул. Ленина, д. 9-а, к.н. 61:25:0030202:4457 (1 шт.)</t>
  </si>
  <si>
    <t>Установка системы учета для технологического присоединения энергопринимающих устройств Заявителя (Хурдаев Ю.М.) по адресу: Ростовская область, Мясниковский район, с. Чалтырь, ул. Первоиюньская, д. 2, к.н. 61:25:0101307:59 (1 шт.)</t>
  </si>
  <si>
    <t>Установка системы учета для технологического присоединения энергопринимающих устройств Заявителя (ИП Симонян А.З.) по адресу: Ростовская область, Мясниковский район , 255 м влево автодороги Ростов-на-Дону – Новошахтинск, к.н. 61:25:0600401:9857 (1 шт.)</t>
  </si>
  <si>
    <t>Установка системы учета для технологического присоединения энергопринимающих устройств Заявителя (Ялтырева Н.А.) по адресу: Ростовская область, Мясниковский район, к.н. 61:25:0600401:14207 (1 шт.)</t>
  </si>
  <si>
    <t>Установка системы учета для технологического присоединения энергопринимающих устройств Заявителя (Ялтырева Н.А.) по адресу: Ростовская область, Мясниковский район, к.н. 61:25:0600401:14205 (1 шт.)</t>
  </si>
  <si>
    <t>Установка системы учета для технологического присоединения энергопринимающих устройств Заявителя (Федько Н.С.) по адресу: Ростовская область, Мясниковский район, х. Ленинакан, к.н. 61:25:0600401:15556 (1 шт.)</t>
  </si>
  <si>
    <t>Установка системы учета для технологического присоединения энергопринимающих устройств Заявителя (Шахбазян В.Г.) по адресу: Ростовская область, Мясниковский район, с. Большие Салы, ул. Семейная, д. 16, к.н. 61:25:0600501:1876 (1 шт.)</t>
  </si>
  <si>
    <t>Установка системы учета для технологического присоединения энергопринимающих устройств Заявителя (Акоджян М.Т.) по адресу: Ростовская область, Мясниковский район, х. Ленинакан, ул. Васильковая, д. 5, к.н. 61:25:0030301:360 (1 шт.)</t>
  </si>
  <si>
    <t>Установка системы учета для технологического присоединения энергопринимающих устройств Заявителя (Поповян Г.А.) по адресу: Ростовская область, Мясниковский район, с. Большие Салы, ул. Бакинская, д. 1, к.н. 61:25:0600501:2583 (1 шт.)</t>
  </si>
  <si>
    <t>Установка системы учета для технологического присоединения энергопринимающих устройств Заявителя (Марченко М.Н.) по адресу: Ростовская область, Мясниковский район, х. Ленинаван, ул. С. Хатламаджияна, д. 18, к.н. 61:25:0030202:856 (1 шт.)</t>
  </si>
  <si>
    <t>Установка системы учета для технологического присоединения энергопринимающих устройств Заявителя (Бегларян Н.В.) по адресу: Ростовская область, Мясниковский район, с. Чалтырь, ул. Экологическая, д. 21, к.н. 61:25:0600601:1337 (1 шт.)</t>
  </si>
  <si>
    <t>Установка системы учета для технологического присоединения энергопринимающих устройств Заявителя (ИП Кабицкий А.Л.)  по адресу: Ростовская область, г. Таганрог, ул. Петровская/пер. Итальянский, д.57/7, к.н.: 61:58:0001095:325 (1 шт.)</t>
  </si>
  <si>
    <t>Установка системы учета для технологического присоединения энергопринимающих устройств Заявителя (ООО «ТрансБалт») по адресу: Ростовская область, г. Таганрог, Николаевское шоссе, 11, к.н. 61:58:0006073:8 (1 шт.)</t>
  </si>
  <si>
    <t>Установка системы учета для технологического присоединения энергопринимающих устройств Заявителя (ИП Медков А.А.) по адресу: Ростовская область, г. Таганрог, Поляковское Шоссе, 19, к.н.: 61:58:0002500:1053 (1 шт.)</t>
  </si>
  <si>
    <t>Установка системы учета для технологического присоединения энергопринимающих устройств Заявителя (Зуева И.А.) по адресу: Ростовская область, г. Таганрог, ул. Девичья, д. 21, к.н.: 61:58:0003076:17 (1 шт.)</t>
  </si>
  <si>
    <t>Установка системы учета для технологического присоединения энергопринимающих устройств Заявителя (ИП Чаплыгина Т.В.) по адресу: Ростовская область, г. Таганрог, ул. Чехова, д. 269, к.н.: 61:58:0002285:301 (1 шт.)</t>
  </si>
  <si>
    <t>Установка системы учета для технологического присоединения энергопринимающих устройств Заявителя (ИП Думик Ю.А.) по адресу: Ростовская область, г. Таганрог, ул. Фрунзе, д.92, (1 шт.)</t>
  </si>
  <si>
    <t>Установка системы учета для технологического присоединения энергопринимающих устройств Заявителя (Кузьменко В.Н.) по адресу: Ростовская область, г. Таганрог, ул. Карла Либкнехта, к.н.: 61:58:0001121:325 (1 шт.)</t>
  </si>
  <si>
    <t>Установка системы учета для технологического присоединения энергопринимающих устройств Заявителя (Лыкова А.В.) по адресу: Ростовская область, г. Таганрог, ул. Восточная, д. 61, к.н.: 61:58:0002348:294 (1 шт.)</t>
  </si>
  <si>
    <t>Установка системы учета для технологического присоединения энергопринимающих устройств Заявителя (СНТ «Дачное-3») по адресу: Ростовская область, г. Таганрог, Северо-Западное Шоссе, 1в, СНТ «Дачное-3», аллея №5, участок №94 (1 шт.)</t>
  </si>
  <si>
    <t>Установка системы учета для технологического присоединения энергопринимающих устройств Заявителя (ИП Думик Ю.А.) по адресу: Ростовская область, г. Таганрог, пер. Гоголевский, д. 9 (1 шт.)</t>
  </si>
  <si>
    <t>Установка системы учета для технологического присоединения энергопринимающих устройств Заявителя (Шитов М.В.) по адресу: Ростовская область, г. Таганрог, пер. 13-й Мариупольский, д. 26, к.н.: 61:58:0005225:23, (1 шт.)</t>
  </si>
  <si>
    <t>Установка системы учета для технологического присоединения энергопринимающих устройств Заявителя (ИП Бутенко О. Н.) по адресу: Ростовская область, г. Таганрог, ул. Чехова, 157, к.н. 61:58:0002013:652 (1 шт.)</t>
  </si>
  <si>
    <t>«Установка системы учета для технологического присоединения энергопринимающих устройств Заявителя (ИП Пучка А.А.) по адресу: Ростовская область, М-Курганский район, п. Матвеев Курган, ул. Южная, д. 30, корп. А/1, к.н. 61:21:0010150:878 (1 шт.)»</t>
  </si>
  <si>
    <t>«Установка системы учета для технологического присоединения энергопринимающих устройств Заявителя (Общество с ограниченной ответственностью «Металлоконструкции и железобетонные изделия») по адресу: Ростовская область, М-Курганский район, п. Матвеев Курган, ул. Маркса, д.26, к.н. 61:21:0010166:1 (1 шт.)»</t>
  </si>
  <si>
    <t>«Установка системы учета для технологического присоединения энергопринимающих устройств Заявителя (Колесникова А.А.) по адресу: Ростовская область, М-Курганский район, с. Рясное, ул. Комбайностроителей, д. 42, кв. 3, к.н. 61:21:0020401:383 (1 шт.)»</t>
  </si>
  <si>
    <t>Установка системы учета для технологического присоединения энергопринимающих устройств Заявителя (Абраменко Е.С.) по адресу: Ростовская область, М-Курганский район, п. Матвеев Курган, ул. Восточная д. 31а, к.н. 61:21:0010140:973 (1шт).</t>
  </si>
  <si>
    <t>«Установка системы учета для технологического присоединения энергопринимающих устройств Заявителя (Администрация Матвеево-Курганского района) по адресу: Ростовская область, М-Курганский район, п. Матвеев Курган, ул. Комсомольская, от гражданского кладбища в юго-восточном направлении до примыкания к ул.Чехова, к.н. 61:21:0000000:3392 (1 шт.)»</t>
  </si>
  <si>
    <t>Установка системы учета для технологического присоединения энергопринимающих устройств Заявителей: ООО «ПК Энерго» в г.Таганроге, Ростовской области (1 шт)</t>
  </si>
  <si>
    <t>1.2. «Установка системы учета для технологического присоединения энергопринимающих устройств Заявителя (Маркова О.В.) по адресу: Ростовская область, г. Таганрог, ул. Адмирала Шестакова, д. 19/пер. 6-й Мариупольский, д. 2, к.н.: 61:58:0005218:336 (1 шт.)»</t>
  </si>
  <si>
    <t>«Установка системы учета для технологического присоединения энергопринимающих устройств Заявителя (Голюбин В.А.) по адресу: Ростовская область, г. Таганрог, ул. Портовая, д. 1а, к.н.: 61:58:0001154:294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</si>
  <si>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г. Таганрог, вблизи ул. Дзержинского, д. 103 (1 шт.)»</t>
  </si>
  <si>
    <t>1.2. «Установка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г. Таганрог, вблизи пер. Гоголевский, д. 14 (1 шт.)»</t>
  </si>
  <si>
    <t>«Установка системы учета для технологического присоединения энергопринимающих устройств Заявителя (Гребенников Е.В.) по адресу: Ростовская область, г. Таганрог, пер. 19-й Артиллерийский, д. 2-а, к.н.: 61:58:0003336:275 (1 шт.)»</t>
  </si>
  <si>
    <t>«Установка системы учета для технологического присоединения энергопринимающих устройств Заявителя (Трайжон Д.Г.) по адресу: Ростовская область, г. Таганрог, пер. 1-й Мариупольский, д. 14, к.н.: 61:58:0005212:21, (1 шт.)»</t>
  </si>
  <si>
    <t>1.2. «Установка системы учета для технологического присоединения энергопринимающих устройств Заявителя (Толстов В.Ю.) по адресу: Ростовская область, г. Таганрог, пер. 17-й Мариупольский, д. 54, к.н.: 61:58:0005202:49 (1 шт.)»</t>
  </si>
  <si>
    <t>1.1.  «Установка системы учета для технологического присоединения энергопринимающих устройств Заявителя (Гуляев А.В.) по адресу: Ростовская область, г. Таганрог, ул. Ждановская, д. 29 к.н.: 61:58:0005008:227 (1 шт.)»</t>
  </si>
  <si>
    <t>Установка системы учета для технологического присоединения энергопринимающих устройств Заявителя (ООО «Программные технологии») по адресу: Ростовская область, г. Таганрог, ул. Инструментальная, д. 29-2, к.н. 61:58:0002244:53 (1 шт.)</t>
  </si>
  <si>
    <t>Установка системы учета для технологического присоединения энергопринимающих устройств Заявителя (Тимошин Е.В.) по адресу: Ростовская область, Неклиновский район, с. Долоковка, ул. Октябрьская, д. 23-В, к.н. 61:26:0070401:15 (1 шт.)</t>
  </si>
  <si>
    <t>Установка системы учета для технологического присоединения энергопринимающих устройств Заявителя (Глаголев А.Н.) по адресу: Ростовская область, Неклиновский район, с. Щербаково, ул. Калинина, д. 22, к.н. 61:26:0080501:35 (1 шт.)</t>
  </si>
  <si>
    <t>Установка системы учета для технологического присоединения энергопринимающих устройств Заявителя (Джалаухян Е.И.) по адресу: Ростовская область, Мясниковский район, с. Крым, ул. Мадояна, д. 23, к.н. 61:25:0600201:645 (1 шт.)</t>
  </si>
  <si>
    <t>Установка системы учета для технологического присоединения энергопринимающих устройств Заявителя (Галоян Р.Т.) по адресу: Ростовская область, Мясниковский район, х. Ленинакан, к.н. 61:25:0600401:15453 (1 шт.)</t>
  </si>
  <si>
    <t>Установка системы учета для технологического присоединения энергопринимающих устройств Заявителя (ИП Казарян А.М.) по адресу: Ростовская область, Мясниковский район, х. Красный Крым, к.н. 61:25:0600401:9793 (1 шт.)</t>
  </si>
  <si>
    <t>Установка системы учета для технологического присоединения энергопринимающих устройств Заявителя (Пужалин Д.В.) по адресу: Ростовская область, г. Таганрог, ул. Транспортная, д. 75, к.н. 61:58:0005012:7 (1 шт.)</t>
  </si>
  <si>
    <t>Установка системы учета для технологического присоединения энергопринимающих устройств Заявителя (Кабицкая Т.В.) по адресу: Ростовская область, г. Таганрог, около пер. Николаевский, д. 5, уч. 1, к.н. 61:58:0006027:952 (1 шт.)</t>
  </si>
  <si>
    <t>Установка системы учета для технологического присоединения энергопринимающих устройств Заявителя (ГБУ РО «Городская больница №7) по адресу: Ростовская область, г. Таганрог, ул. Ленина, д. 216-а, к.н. 61:58:0003186:196 (1 шт.)</t>
  </si>
  <si>
    <t>Установка системы учета для технологического присоединения энергопринимающих устройств Заявителя (Ефимова Л.В.) по адресу: Ростовская область, г. Таганрог, ул. Мало-Свердлова/ 18-й Переулок, д. 29/ 22, к.н.: 61:58:0002190:5 (1 шт.)</t>
  </si>
  <si>
    <t>Установка системы учета для технологического присоединения энергопринимающих устройств Заявителя (ООО «Агрокомплекс Ростовский») по адресу: Ростовская область, М-Курганский район, с. Малокирсановка, в 3 км от ориентира по направлению на восток, к.н. 61:21:0600013:202 (1 шт.)</t>
  </si>
  <si>
    <t>Установка системы учета для технологического присоединения энергопринимающих устройств Заявителя (ООО "Агрокомплекс Ростовский") по адресу: Ростовская область, М-Курганский район, с. Малокирсановка, северо-восточная окраина, к.н. 61:21:0600013:1183 (1 шт)</t>
  </si>
  <si>
    <t>Установка системы учета для технологического присоединения энергопринимающих устройств Заявителя (Третьякова О.Н.) по адресу: Ростовская область, Неклиновский район, с. Самбек, ул. Колхозная, д. 2-В, к.н. 61:26:0000000:6177 (1 шт.)</t>
  </si>
  <si>
    <t>Установка системы учета для технологического присоединения энергопринимающих устройств Заявителя (ИП Барсегян М.А.) по адресу: Ростовская область, Неклиновский район, с. Николаевка, ул. Гоголя, д. 56-Г, к.н. 61:26:0600014:1969 (1 шт.)</t>
  </si>
  <si>
    <t>Установка системы учета для технологического присоединения энергопринимающих устройств Заявителя (Павёлкина Н.Н.) по адресу: Ростовская область, Неклиновский район, с. Синявское, ул. Крупской, д. 86-В, к.н. 61:26:0060101:2481 (1 шт.)</t>
  </si>
  <si>
    <t>Установка системы учета для технологического присоединения энергопринимающих устройств Заявителя (Давтян К.Б.) по адресу: Ростовская область, Неклиновский район, с. Троицкое ул. Ленина, д. 89, к.н. 61:26:0110101:6580 (1 шт.)</t>
  </si>
  <si>
    <t>Установка системы учета для технологического присоединения энергопринимающих устройств Заявителя (Фуфыгин В.П.) по адресу: Ростовская область, Неклиновский район, с. Николаевка, ул. Ленина, д. 327-Г, к.н. 61:26:0110101:10178 (1 шт.)</t>
  </si>
  <si>
    <t>Установка системы учета для технологического присоединения энергопринимающих устройств Заявителя (Щёлоков Э.М.) по адресу: Ростовская область, Неклиновский район, с. Синявское, ул. Халтурина, д. 78-Б, к.н. 61:26:0060101:5885 (1 шт.)</t>
  </si>
  <si>
    <t>Установка системы учета для технологического присоединения энергопринимающих устройств Заявителя (ИП Суренян Г.Н.) по адресу: Ростовская область, Мясниковский район, с. Крым, ул. 19-я линия, д. 32, к.н. 61:25:0201019:570 (1 шт.)</t>
  </si>
  <si>
    <t>Установка системы учета для технологического присоединения энергопринимающих устройств Заявителя (Лаухин А.А.) по адресу: Ростовская область, Мясниковский район, х. Ленинаван, ул. И. Айвазовского, д. 31/49-а, к.н. 61:25:0600401:5407 (1 шт.)</t>
  </si>
  <si>
    <t>Установка системы учета для технологического присоединения энергопринимающих устройств Заявителя (ИП Квитко А.В.) по адресу: Ростовская область, Мясниковский район, х. Ленинаван, ул. Ленина, д. 2/7, к.н. 61:25:0030202:5001 (1 шт.)</t>
  </si>
  <si>
    <t>Установка системы учета для технологического присоединения энергопринимающих устройств Заявителя (Наноян А.М.) по адресу: Ростовская область, Мясниковский район, с. Чалтырь, ул. Первомайская, д. 50-а, к.н. 61:25:0101317:24 (1 шт.)</t>
  </si>
  <si>
    <t>Установка системы учета для технологического присоединения энергопринимающих устройств Заявителя (ИП Капикян Э.Х.) по адресу: Ростовская область, Мясниковский район, с. Чалтырь, ул. Социалистическая, д. 25, корп. ц, к.н. 61:25:0101334:1279 (1 шт.)</t>
  </si>
  <si>
    <t>Установка системы учета для технологического присоединения энергопринимающих устройств Заявителя (Дмитриев А.А.) по адресу: Ростовская область, М-Курганский район, п. Матвеев Курган, ул. Строительная, д. 23, к.н. 61:21:0010158:771 (1шт)</t>
  </si>
  <si>
    <t>Установка системы учета для технологического присоединения энергопринимающих устройств Заявителя (Решетов А.Г.) по адресу: Ростовская область, г. Таганрог, ул. 1-я Линия, земельный участок 101, к.н.: 61:58:0004026:282, (1 шт.)</t>
  </si>
  <si>
    <t>Установка системы учета для технологического присоединения энергопринимающих устройств Заявителя (Адров Д.А.) по адресу: Ростовская область, г. Таганрог, ул. Дачная, к.н.: 61:58:0004217:336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</si>
  <si>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Неклиновский район, п. Приазовский, ул. Школьная, вблизи уч. 1-Б , к.н. 61:26:0100301 (1 шт.)</t>
  </si>
  <si>
    <t>Установка системы учета для технологического присоединения энергопринимающих устройств Заявителя (Симков В.Н.) по адресу: Ростовская область, Неклиновский район, х. Мержаново, пер. 6-й Комсомольский, д. 2, к.н. 61:26:0060301:47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</si>
  <si>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Покровское, пер. Парковый, д. 2, к.н. 61:26:0050101:2258 (1 шт.)</t>
  </si>
  <si>
    <t>Установка системы учета для технологического присоединения энергопринимающих устройств Заявителя (Салей Т.М.) по адресу: Ростовская область, с. Николаевка, ул. Парковая, д. 85, к.н. 61:26:0110101:354 (1 шт.)</t>
  </si>
  <si>
    <t>Установка системы учета для технологического присоединения энергопринимающих устройств Заявителя (Родыгин В.Г.) по адресу: Ростовская область, Неклиновский район, с. Русский Колодец, ул. Чехова, д. 22, к.н. 61:26:0070701:62 (1 шт.)</t>
  </si>
  <si>
    <t>Установка системы учета для технологического присоединения энергопринимающих устройств Заявителя (Серебренников М.А.) по адресу: Ростовская область, Неклиновский район, с. Вареновка, ул. Советская, д. 31-Б, к.н. 61:26:0040101:1476 (1 шт.)</t>
  </si>
  <si>
    <t>Установка системы учета для технологического присоединения энергопринимающих устройств Заявителя (Стадник Г.А.) по адресу: Ростовская область, с. Вареновка, ул. Садовая, д. 9, к.н. 61:26:0040101:599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</si>
  <si>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Отрадное, ул. Школьная, д. 30, к.н. 61:26:0190101:614 (1 шт.)</t>
  </si>
  <si>
    <t>Установка системы учета для технологического присоединения энергопринимающих устройств Заявителя (Кучеров А.А.) по адресу: Ростовская область, Неклиновский район, с. Троицкое, ул. Новая, д. 67, к.н. 61:26:0010101:1353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</si>
  <si>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с. Покровское, ул. Привокзальная, д. 44, к.н. 61:26:0050136:642 (1 шт.)</t>
  </si>
  <si>
    <t>Установка системы учета для технологического присоединения энергопринимающих устройств Заявителя (Макаров В.Ф.) по адресу: Ростовская область, Неклиновский район, с. Николаевка, ул. Лермонтова, д. 29-Б, к.н. 61:26:0110101:8558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</si>
  <si>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Неклиновский район, с. Новобессергеневка, ул. Коминтерна, д. 25-А, к.н. 61:26:0180101:141 (1 шт.)</t>
  </si>
  <si>
    <t>Установка системы учета для технологического присоединения энергопринимающих устройств Заявителя (Мушаров В.А.) по адресу: Ростовская область, Неклиновский район, х. Мержаново, СНТ «Металлург-6», уч. 1038, к.н. 61:26:0505901:568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</si>
  <si>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Неклиновский район, с. Беглица, ул. Первомайская, уч. в 40 м от д. 1, к.н. 61:26:0070101 (1 шт.)</t>
  </si>
  <si>
    <t>Установка системы учета для технологического присоединения энергопринимающих устройств Заявителя (Родионова Е.С.) по адресу: Ростовская область, Неклиновский район, с. Николаевка, ул. Фрунзе, д. 5-Б, к.н. 61:26:0110101:9066 (1 шт.)</t>
  </si>
  <si>
    <t>Установка системы учета для технологического присоединения энергопринимающих устройств Заявителя (Корниенко Ю.М.) по адресу: Ростовская область, Неклиновский район, с. Самбек, СПК колхоз «Колос», поле №4, 9, 11, 17, западная часть поля №130, к.н. 61:26:0600015:4945 (1 шт.)</t>
  </si>
  <si>
    <t>Установка системы учета для технологического присоединения энергопринимающих устройств Заявителя (Ерофеева И.Е.) по адресу: Ростовская область, Неклиновский район, с. Николаевка, ул. Межевая, д. 64, к.н. 61:26:0110101:1186 (1 шт.)</t>
  </si>
  <si>
    <t>Установка системы учета для технологического присоединения энергопринимающих устройств Заявителя (Алексанян А.А.) по адресу: Ростовская область, Мясниковский район, с. Чалтырь, ул. 9-й тупик, д. 19, к.н. 61:25:0101333:14 (1 шт.)</t>
  </si>
  <si>
    <t>Установка системы учета для технологического присоединения энергопринимающих устройств Заявителя (ИП Егиазарян А.С.) по адресу: Ростовская область, Мясниковский район, с. Крым, ул. 19-я линия, д. 27-е, к.н. 61:25:0201019:1076 (1 шт.)</t>
  </si>
  <si>
    <t>Установка системы учета для технологического присоединения энергопринимающих устройств Заявителя (Баласанян М.А.) по адресу: Ростовская область, Мясниковский район, х. Ленинаван, ул. Ленина, д. 34/1, к.н. 61:25:0030202:5344 (1 шт.)</t>
  </si>
  <si>
    <t>Установка системы учета для технологического присоединения энергопринимающих устройств Заявителя (Нарижняя С.И.) по адресу: Ростовская область, Мясниковский район, с. Султан Салы, ул. Мясникяна, д. 4-а, к.н. 61:25:0030401:1857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</si>
  <si>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Мясниковский район, х. Веселый, ул. Красноармейская, д. 19, к.н. 61:25:0060101:2681 (1 шт.)</t>
  </si>
  <si>
    <t>Установка системы учета для технологического присоединения энергопринимающих устройств Заявителя (Шагинян Д.А.) по адресу: Ростовская область, Мясниковский район, с. Чалтырь, ул. Хлеборобная, к.н. 61:25:0101521:312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</si>
  <si>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Мясниковский район, х. Калинин, ул. Школьная, вблизи д. 135Б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</si>
  <si>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Мясниковский район, х. Калинин, ул. Степная, вблизи д. 40, к.н. 61:25:0050101 (1 шт.)</t>
  </si>
  <si>
    <t>Установка системы учета для технологического присоединения энергопринимающих устройств Заявителя (Корманукян Ю.А.) по адресу: Ростовская область, Мясниковский район, с. Крым, ул. Крестьянская, д. 20, к.н. 61:25:0201003:69 (1 шт.)</t>
  </si>
  <si>
    <t>Установка системы учета для технологического присоединения энергопринимающих устройств Заявителя (Кучукян Н.К.) по адресу: Ростовская область, Мясниковский район, х. Ленинаван, ул. Мясникяна, д. 29-а, к.н. 61:25:0030202:1166 (1 шт.)</t>
  </si>
  <si>
    <t>Установка системы учета для технологического присоединения энергопринимающих устройств Заявителя (Бабиян А.С.) по адресу: Ростовская область, Мясниковский район, х. Красный Крым, ул. Новая, д. 6, к.н. 61:25:0600401:5110 (1 шт.)</t>
  </si>
  <si>
    <t>Установка системы учета для технологического присоединения энергопринимающих устройств Заявителя (Мелконян М.К.) по адресу: Ростовская область, Мясниковский район, х. Ленинакан, ул. Ростовская, д. 6-а, к.н. 61:25:0030301:1541 (1 шт.)</t>
  </si>
  <si>
    <t>Установка системы учета для технологического присоединения энергопринимающих устройств Заявителя (ООО «САН-АГРО») по адресу: Ростовская область, Мясниковский район, с. Крым, ул. Восточная, д. 5, к.н. 61:25:0201019:1042 (1 шт.)</t>
  </si>
  <si>
    <t>Установка системы учета для технологического присоединения энергопринимающих устройств Заявителя (Ширинян И.С.) по адресу: Ростовская область, Мясниковский район, с. Чалтырь, ул. Социалистическая, д. 23-у, к.н. 61:25:0101327:387 (1 шт.)</t>
  </si>
  <si>
    <t>Установка системы учета для технологического присоединения энергопринимающих устройств Заявителя (Шеремета Е.А.) по адресу: Ростовская область, М-Курганский район, х. Большая Кирсановка, ул. Хайло, д. 23, к.н. 61:21:0110101:530 (1 шт.)</t>
  </si>
  <si>
    <t>Установка системы учета для технологического присоединения энергопринимающих устройств Заявителя (АО «Почта России») по адресу: Ростовская область, М-Курганский район, с. Новоандриановка, ул. 50 лет Победы, д. 50, кв. 8,9,10,11, к.н. 61:21:0090401:1057 (1 шт.)</t>
  </si>
  <si>
    <t>Установка системы учета для технологического присоединения энергопринимающих устройств Заявителя (Жуков А.А.) по адресу: Ростовская область, М-Курганский район, п. Матвеев Курган, ул. Чапаева, д. 44, к.н. 61:21:0010166:33 (1шт)</t>
  </si>
  <si>
    <t>Установка системы учета для технологического присоединения энергопринимающих устройств Заявителя (Пискуненко А.А.) по адресу: Ростовская область, М-Курганский район, п. Матвеев Курган, ул. Маркса, д. 38 к.н. 61:21:0010168:66 (1шт)</t>
  </si>
  <si>
    <t>Установка системы учета для технологического присоединения энергопринимающих устройств Заявителя (Чуйков М.В.) по адресу: Ростовская область, М-Курганский район, примерно 427 м на юг от х. Терновый, ул. Дальняя, д. 10 к.н. 61:21:0600019:1524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</si>
  <si>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г. Таганрог, ул. Менделеева, вблизи д. 12, в границах кадастрового квартала: 61:58:0005044 (1 шт.)</t>
  </si>
  <si>
    <t>Установка системы учета для технологического присоединения энергопринимающих устройств Заявителя (ООО «ДонСвязьКонструкция») по адресу: Ростовская область, г. Таганрог, Поляковское Шоссе (м-у ул. Спортивная и ул. Галицкого) (часть земельного участка с кадастровым номером: 61:58:0000000:39816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</si>
  <si>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г. Таганрог, Калужский проезд, вблизи д. 3-11, в границах кадастрового квартала: 61:58:0005274 (1 шт.)»</t>
  </si>
  <si>
    <t>Установка системы учета для технологического присоединения энергопринимающих устройств Заявителя (Бареян Г.Р.) по адресу: Ростовская область, г. Таганрог, ул. Розы Люксембург/пер. Цимлянский, д. 181/1а, к.н.: 61:58:0002045:23 (1 шт.)</t>
  </si>
  <si>
    <t>Установка системы учета для технологического присоединения энергопринимающих устройств Заявителя (ИП Надолинский П.В.) по адресу: Ростовская область, г. Таганрог, ул. Транспортная, 48-7, к.н.: 61:58:0002418:122 (1 шт.)</t>
  </si>
  <si>
    <t>Установка системы учета для технологического присоединения энергопринимающих устройств Заявителя (Акционерное общество «Первая башенная компания») по адресу: Ростовская область, г. Таганрог, пер. Смирновский (между тупиком и обрывом у моря), к.н.: 61:58:0000000:42355 (1 шт.)</t>
  </si>
  <si>
    <t>«Установка системы учета для технологического присоединения энергопринимающих устройств Заявителя (ИП Лоза Л.И.) по адресу: Ростовская область, г. Таганрог, около ул. Транспортная, д. 11, помещение №3, к.н.: 61:58:0002306:164 (1 шт.)»</t>
  </si>
  <si>
    <t>Установка системы учета для технологического присоединения энергопринимающих устройств Заявителя (ООО «Т2 Мобайл») по адресу: Ростовская область, Неклиновский район, х. Рожок, примерно 13м по направлению на запад от границ участка ул. Северная, д. 27 , к.к. 61:26:0100401 (1 шт.)</t>
  </si>
  <si>
    <t>Установка системы учета для технологического присоединения энергопринимающих устройств Заявителя (Митрофанов Г.Г.) по адресу: Ростовская область, Неклиновский район, с. Вареновка, ул. Садовая, д. 57, к.н. 61:26:0040101:6020 (1 шт.)</t>
  </si>
  <si>
    <t>Установка системы учета для технологического присоединения энергопринимающих устройств Заявителя (ИП Волков В.Г.) по адресу: Ростовская область, Неклиновский район, с. Покровское, ул. Привокзальная, д. 100-Д, к.н. 61:26:0050137:1556 (1 шт.)</t>
  </si>
  <si>
    <t>Установка системы учета для технологического присоединения энергопринимающих устройств Заявителя (Доброхотов В.С.) по адресу: Ростовская область, Неклиновский район, с. Гаевка, ул. Ленина, д. 185, к.н. 61:26:0160301:316 (1 шт.)</t>
  </si>
  <si>
    <t>Установка системы учета для технологического присоединения энергопринимающих устройств Заявителя (ООО «Эко Родина») по адресу: Ростовская область, Неклиновский район, с. Самбек, Производственная зона, уч. 8, к.н. 61:26:0600015:1088 (1 шт.)</t>
  </si>
  <si>
    <t>Установка системы учета для технологического присоединения энергопринимающих устройств Заявителя (Погорелова Н.С.) по адресу: Ростовская область, Мясниковский район, х. Ленинаван, ул. И. Айвазовского, д. 4, к.н. 61:25:0600401:5730 (1 шт.)</t>
  </si>
  <si>
    <t>Установка системы учета для технологического присоединения энергопринимающих устройств Заявителя (Хошафян Е.А.) по адресу: Ростовская область, Мясниковский район, с. Чалтырь, ул. Колхозная, д. 7-а, к.н. 61:25:0101417:16 (1 шт.)</t>
  </si>
  <si>
    <t>Установка системы учета для технологического присоединения энергопринимающих устройств Заявителя (Галушкин А.В.) по адресу: Ростовская область, Мясниковский район, х. Ленинаван, ул. Жукова, д. 58, к.н. 61:25:0600401:6840 (1 шт.)</t>
  </si>
  <si>
    <t>Установка системы учета для технологического присоединения энергопринимающих устройств Заявителя (Барышева С.В.) по адресу: Ростовская область, Мясниковский район, х. Недвиговка, ул. 1-я линия, д. 1, к.н. 61:25:0070101:4936 (1 шт.)</t>
  </si>
  <si>
    <t>Установка системы учета для технологического присоединения энергопринимающих устройств Заявителя (Останко Н.А.) по адресу: Ростовская область, Мясниковский район, х. Красный Крым, ул. Братьев Баян, д. 24-а, к.н. 61:25:0030101:2389 (1 шт.)</t>
  </si>
  <si>
    <t>Установка системы учета для технологического присоединения энергопринимающих устройств Заявителя (Сагателян Г.А.) по адресу: Ростовская область, Мясниковский район, х. Ленинаван, ул. Кольцевая, д. 43, к.н. 61:25:0600401:5486 (1 шт.)</t>
  </si>
  <si>
    <t>Установка системы учета для технологического присоединения энергопринимающих устройств Заявителя (ИП Старук М.Н.) по адресу: Ростовская область, Мясниковский район, х. Ленинакан, ул. Торговый проспект, к.н. 61:25:0600401:23098 (1 шт.)</t>
  </si>
  <si>
    <t>Установка системы учета для технологического присоединения энергопринимающих устройств Заявителя (Хвастунов В.Н.) по адресу: Ростовская область, Мясниковский район, х. Недвиговка, ул. Успенская, д. 7, к.н. 61:25:0070101:1286 (1 шт.)</t>
  </si>
  <si>
    <t>«Установка системы учета для технологического присоединения энергопринимающих устройств Заявителя (ИП Шищенко А.Е.) по адресу: Ростовская область, Матвеево-Курганский р-н, п. Матвеев Курган, ул. Сосновая, д. 11, к.н.: 61:21:0010137:520 (1 шт.)»</t>
  </si>
  <si>
    <t>«Установка системы учета для технологического присоединения энергопринимающих устройств Заявителя (АО «Первая Башенная компания») по адресу: Ростовская область, М-Курганский район, с. Кульбаково, ул. Школьная, в 20 м от дома №31, к.к. 61:21:0110401 (1 шт.)»</t>
  </si>
  <si>
    <t>«Установка системы учета для технологического присоединения энергопринимающих устройств Заявителя (МБОУ Кульбаковская СОШ) по адресу: Ростовская область, М-Курганский район, с. Кульбаково, пер. Школьный, д. 18, к.н. 61:21:0110401:195 (1 шт.)»</t>
  </si>
  <si>
    <t>Установка системы учета для технологического присоединения энергопринимающих устройств Заявителя (Рубан Е.В.) по адресу: Ростовская область, Неклиновский район, х. Веселый, ул. Кирова, д. 33, к.н. 61:26:0070901:414 (1 шт.)</t>
  </si>
  <si>
    <t>Установка системы учета для технологического присоединения энергопринимающих устройств Заявителя (Калугин В.Н.) по адресу: Ростовская область, с. Вареновка, пер. Урожайный, д. 9-А, к.н. 61:26:0040101:5501 (1 шт.)</t>
  </si>
  <si>
    <t>Установка системы учета для технологического присоединения энергопринимающих устройств Заявителя (ИП Половой А.Ю.) по адресу: Ростовская область, Неклиновский район, с. Покровское, пер. Тургеневский, д. 25, корпус А, к.н. 61:26:0050127:51 (1 шт.)</t>
  </si>
  <si>
    <t>Установка системы учета для технологического присоединения энергопринимающих устройств Заявителя (Хвалебо А.В.) по адресу: Ростовская область, с. Новобессергеневка, ул. Инициативная, д. 36, к.н. 61:26:0600024:3241 (1 шт.)</t>
  </si>
  <si>
    <t>Установка системы учета для технологического присоединения энергопринимающих устройств Заявителя (Сеоев Н.А.) по адресу: Ростовская область, Неклиновский район, х. Рожок, пер. Западный, д. 28, к.н. 61:26:0100401:466 (1 шт.)</t>
  </si>
  <si>
    <t>Установка системы учета для технологического присоединения энергопринимающих устройств Заявителя (ИП Романенко Н.Д.) по адресу: Ростовская область, Неклиновский район, с. Отрадное, 300 м. северо-восточнее с. Отрадное, к.н. 61:26:0600004:244 (1 шт.)</t>
  </si>
  <si>
    <t>Установка системы учета для технологического присоединения энергопринимающих устройств Заявителя (Устинов С.А.) по адресу: Ростовская область, г. Таганрог, СНТ «Мирный», участок №86, к.н.: 61:58:0005188:86 (1 шт.)</t>
  </si>
  <si>
    <t>Установка системы учета для технологического присоединения энергопринимающих устройств Заявителя (Администрация Крымского сельского поселения) по адресу: Ростовская область, Мясниковский район, с. Крым, ул. им. Майи Пегливановой, д. 2, к.н. 61:25:0201019:706 (1 шт.)</t>
  </si>
  <si>
    <t>Установка системы учета для технологического присоединения энергопринимающих устройств Заявителя (ИП Мач Е.Е.) по адресу: Ростовская область, Мясниковский район, х. Ленинаван, ул. Озерная, уч. 35, к.н. 61:25:0600401:10787 (1 шт.)</t>
  </si>
  <si>
    <t>Установка системы учета для технологического присоединения энергопринимающих устройств Заявителя (Киракосян Х.А.) по адресу: Ростовская область, Мясниковский район, с. Чалтырь, ул. Шаумяна, д. 6-б, к.н. 61:25:0101403:92 (1 шт.)</t>
  </si>
  <si>
    <t>Установка системы учета для технологического присоединения энергопринимающих устройств Заявителя (Касьян В.А.) по адресу: Ростовская область, Мясниковский район, х. Красный Крым, ул. Еловая, д. 32, к.н. 61:25:0600401:19148 (1 шт.)</t>
  </si>
  <si>
    <t>Установка системы учета для технологического присоединения энергопринимающих устройств Заявителя (Хачкинаев А.Х.) по адресу: Ростовская область, Мясниковский район, х. Ленинаван, ул. Софийская, д. 16, к.н. 61:25:0600401:5542 (1 шт.)</t>
  </si>
  <si>
    <t>Установка системы учета для технологического присоединения энергопринимающих устройств Заявителя (Артунян А.А.) по адресу: Ростовская область, Мясниковский район, х. Ленинаван, ул. Кутузова, д. 41, к.н. 61:25:0600401:7121 (1 шт.)</t>
  </si>
  <si>
    <t>Установка системы учета для технологического присоединения энергопринимающих устройств Заявителя (Басов Н.А.) по адресу: Ростовская область, Мясниковский район, х. Мокрый Чалтырь, ул. Ленина, д. 25-а, к.н. 61:25:0010201:943 (1 шт.)</t>
  </si>
  <si>
    <t>Установка системы учета для технологического присоединения энергопринимающих устройств Заявителя (Багаджиян Р.А.) по адресу: Ростовская область, Мясниковский район, с. Чалтырь, ул. 1-я линия, д. 8-е, к.н. 61:25:0101404:237 (1 шт.)</t>
  </si>
  <si>
    <t>Установка системы учета для технологического присоединения энергопринимающих устройств Заявителя (Киселева О.Б.) по адресу: Ростовская область, Мясниковский район, с. Крым, ул. Маршала Жукова, д. 34, к.н. 61:25:0600201:526 (1 шт.)</t>
  </si>
  <si>
    <t>Установка системы учета для технологического присоединения энергопринимающих устройств Заявителя (Асланян Н.А.) по адресу: Ростовская область, Мясниковский район, с. Чалтырь, ул. Шаумяна, д. 95, к.н. 61:25:0101113:41 (1 шт.)</t>
  </si>
  <si>
    <t>Установка системы учета для технологического присоединения энергопринимающих устройств Заявителя (Бабиян М.К.) по адресу: Ростовская область, Мясниковский район, с. Крым, ул. Медиков, д. 23-а, к.н. 61:25:0201025:403 (1 шт.)</t>
  </si>
  <si>
    <t>Установка системы учета для технологического присоединения энергопринимающих устройств Заявителя (Министерство транспорта РО) по адресу: Ростовская область, Неклиновский район, автомобильная дорога «Восточный въезд в г.Таганрог» на участке км 1+730 (спортивный комплекс «Спартак Юниор»), к.н. 61:26:0600015:1876 (1 шт.)</t>
  </si>
  <si>
    <t>Установка системы учета для технологического присоединения энергопринимающих устройств Заявителя: Осадский Д.А. в г. Таганроге Ростовской области (1 шт.)</t>
  </si>
  <si>
    <t>«Установка системы учета для технологического присоединения энергопринимающих устройств Заявителя (ИП Тавадян А.А.) по адресу: Ростовская область, г. Таганрог, ул. Чехова, д. 320-в, к.н.: 61:58:0005210:1307 (1 шт.)»</t>
  </si>
  <si>
    <t>Установка системы учета для технологического присоединения энергопринимающих устройств Заявителя (ИП Комлацкая Т.Ю.) по адресу: Ростовская область, г. Таганрог, пер. Гоголевский, д. 13, корп. 1, к.н.: 61:58:0003001:85 (1 шт.)</t>
  </si>
  <si>
    <t>«Установка системы учета для технологического присоединения энергопринимающих устройств Заявителя (ИП Семенов В.В.) по адресу: Ростовская область, г. Таганрог, Мариупольское Шоссе/ ул. Ореховая, к.н.: 61:58:0005301:603 (1 шт.)»</t>
  </si>
  <si>
    <t>Установка системы учета для технологического присоединения энергопринимающих устройств Заявителя (Осипян В.С.) по адресу: Ростовская область, Мясниковский район, с. Большие Салы, ул. Вавилова, д. 7-а, к.н. 61:25:0040101:6181 (1 шт.)</t>
  </si>
  <si>
    <t>Установка системы учета для технологического присоединения энергопринимающих устройств Заявителя (ИП Элоян Л.С.) по адресу: Ростовская область, Мясниковский район, с. Чалтырь, ул. Красноармейская (напротив дома 63 «А», уч. 1) (1 шт.)</t>
  </si>
  <si>
    <t>Установка системы учета для технологического присоединения энергопринимающих устройств Заявителя (Бзезян Г.Т.) по адресу: Ростовская область, Мясниковский район, с. Чалтырь, ул. Пролетарская, д. 43, к.н. 61:25:0101318:60 (1 шт.)</t>
  </si>
  <si>
    <t>Установка системы учета для технологического присоединения энергопринимающих устройств Заявителя (Лукьянова Г.В.) по адресу: Ростовская область, Мясниковский район, с. Чалтырь, ул. Пролетарская, д. 78, к.н. 61:25:0101317:55 (1 шт.)</t>
  </si>
  <si>
    <t>Установка системы учета для технологического присоединения энергопринимающих устройств Заявителя (Алексеенко А.Е.) по адресу: Ростовская область, Мясниковский район, с. Султан Салы, ул. Налбандяна, д. 6-а, к.н. 61:25:0030401:1508 (1 шт.)</t>
  </si>
  <si>
    <t>Установка системы учета для технологического присоединения энергопринимающих устройств Заявителей: Колесник Л.А., Мальцев В.И., Саркисян М.О. в Мясниковском районе Ростовской области (3 шт.)</t>
  </si>
  <si>
    <t>Установка системы учета для технологического присоединения энергопринимающих устройств Заявителя (Министерство транспорта РФ) по адресу: Ростовская область, Мясниковский район, с. Крым, дорога общего пользования межмуниципального значения с. Чалтырь - с. Большие Салы на участке км 0+000 -км 8+800, к.н. 61:25:0000000:376 (1 шт.)</t>
  </si>
  <si>
    <t xml:space="preserve"> «Установка системы учета для технологического присоединения объекта «нежилая застройка», расположенного по адресу: 347611 Российская Федерация, Ростовская обл., р-н. Сальский, х. Маяк, ул. Красных Зорь, д. 11, кадастровый номер земельного участка: 61:34:0160101:204, заявитель Чигасова Н.В.» (1 шт.)</t>
  </si>
  <si>
    <t xml:space="preserve">  «Установка системы учета для технологического присоединения объекта «жилой дом», расположенного по адресу: 347609 Российская Федерация, Ростовская обл., р-н. Сальский, п. Белозерный, ул. Речная, д. 5, кв./оф. 1, кадастровый номер земельного участка: 61:34:010111:249:241, заявитель Савченко Е.М.» (1 шт.)</t>
  </si>
  <si>
    <t>«Установка системы учета для технологического присоединения объекта «квартира», расположенного по адресу: Ростовская область, Целинский район, с. Ольшанка, ул. Механизаторов, д. 1, кв. 2, к.н.з.у.:61:40:0060101:1963, заявитель Кунаков А.А.» (1 шт.)</t>
  </si>
  <si>
    <t xml:space="preserve">«Установка системы учета для технологического присоединения объекта «модульный дом культуры», расположенного по адресу: Ростовская область, Целинский район, х. Северный, ул. Мира, д. 177 в, к.н.з.у.: 61:40:0031101:768, заявитель Муниципальное бюджетное учреждение культуры Кировского сельского поселения Целинского района «Дом культуры» </t>
  </si>
  <si>
    <t>«Установка системы учета для технологического присоединения объекта «жилой дом», расположенного по адресу: Ростовская область, Целинский район, с. Лопанка, ул. Красная, д. 95, к.н.з.у.:61:40:0040101:1231, заявитель Шудрик И.Г.» (1 шт.)</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</si>
  <si>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Ростовская, 38 к.н.з.у.: 61:30:0090101:1602, заявитель Жилин Д.М.» (1 шт.)»</t>
  </si>
  <si>
    <t xml:space="preserve"> «Установка системы учета для технологического присоединения объекта «Малоэтажная жилая застройка», расположенной по адресу: Российская Федерация, Ростовская обл., г. Сальск, СНТ "Локомативщик", ул. Виноградная, д.7, кадастровый номер земельного участка: 61:57:0010977:931, заявитель Ушакова О.Ф. (1 шт.)</t>
  </si>
  <si>
    <t>«Установка системы учета для технологического присоединения «здания отделения почтовой связи «Развильное», расположенного по адресу: 347560, РФ, Ростовская область, Песчанокопский район, с. Развильное, ул. Ленина, д. 3 к.н.з.у.:61:30:0090101:8961, заявитель АО «Почта России» (1 шт.)</t>
  </si>
  <si>
    <t>«Установка системы учета для технологического присоединения «нежилого помещения», расположенного по адресу: 347566, РФ, Ростовская область, Песчанокопский район, п. Дальнее Поле, ул. Школьная, д.3, кв. 1-1,  1-2,2 к.н.з.у.: 61:30:0040101:654, заявитель АО «Почта России» (1 шт.)</t>
  </si>
  <si>
    <t>«Установка системы учета для технологического присоединения строительной площадки «офис», расположенной по адресу: 347565, РФ, Ростовская область, Песчанокопский район, с. Красная Поляна, ул. Молодежная, б/н, к.н.з.у.:61:30:0050101:5041, заявитель Горохов В.Е.» (1 шт.)</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</si>
  <si>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Колхозная, 23 к.н.з.у.:61:30:0090101:1693, заявитель Перекопская Л.В.»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</si>
  <si>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х. Дальний, ул. Ленина, д. 23, к.н. 61:31:0030101:205, заявитель Каюмов В.В.»</t>
  </si>
  <si>
    <t>"Установка системы учета для технологического присоединения объекта «Нежилое помещение», расположенного по адресу: 347510, РФ, Ростовская область, Орловский район, п. Орловский, производственная точка Мурза, ст. 3, пом.1, кадастровый номер земельного участка: 61:29:0600007:1855, заявитель ИП Фирсов А.И. глава К(Ф)Х.  (1 шт.)"</t>
  </si>
  <si>
    <t>«Установка системы учета для технологического присоединения объекта «Гостиница», расположенного по адресу: Российская Федерация, Ростовская обл., р-н. Сальский, п. Манычстрой, ул. Магистральная, д. 10, кадастровый номер земельного участка: 61:34:0040301:1283, заявитель ИП Ерко П.П.» (1 шт.)</t>
  </si>
  <si>
    <t xml:space="preserve"> «Установка системы учета для технологического присоединения объекта «объект торговли», расположенного по адресу: Российская Федерация, Ростовская обл., р-н. Сальский, п. Манычстрой, ул. Нефтянников, д. 10, кадастровый номер земельного участка: 61:34:0040301:819, заявитель ИП Ерко П.П.» (1 шт.)</t>
  </si>
  <si>
    <t>«Установка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Садовая, 168 к.н.з.у.:61:30:0050101:731, заявитель Забелин В.В.»   (1 шт.)</t>
  </si>
  <si>
    <t xml:space="preserve">«Установка системы учета для технологического присоединения объекта «Жилой лом», расположенного по адресу: 347525, РФ, Ростовская область, Орловский район, х. Камышевка, ул. А.Муравина, д. 38, к.н.з.у.: 61:29:0050101:385, заявитель Нартаева А.Г.  (1 шт.)» </t>
  </si>
  <si>
    <t>«Установка системы учета для технологического присоединения объекта «склад», расположенного по адресу: Ростовская область, Целинский район, с. Средний Егорлык, ул. Краснопартизанская, д. 125 а, к.н.з.у.: 61:40:0080101:4981, заявитель ИП глава КФХ Коробкин В.Н.» (1 шт.)</t>
  </si>
  <si>
    <t xml:space="preserve">«Установка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ул. Северная, д. 711, к.н. 61:31:0500401:17, заявитель Вербицкая А.В.» </t>
  </si>
  <si>
    <t xml:space="preserve">«Установка системы учета для технологического присоединения объекта «жилой дом», расположенного по адресу: Местоположение установлено относительно ориентира, расположенного в границах участка. Почтовый адрес ориентира: Российская Федерация, Ростовская обл., р-н. Пролетарский, х. Уютный, ул. Первомайская, д. 4, к.н. 61:31:0100201:18, заявитель Бухтияров В.В.» </t>
  </si>
  <si>
    <t>«Установка системы учета для технологического присоединения «модульный дом культуры», расположенный по адресу: 347569, РФ, Ростовская область, Песчанокопский район, с. Рассыпное, 10 метров на восток от ул. Ленина, д. 1 к.н.з.у.:61:30:0100101:2319, заявитель Администрация Рассыпненского сельского поселения» (1 шт.)</t>
  </si>
  <si>
    <t>«Установка системы учета для технологического присоединения объекта «базовая станция сотовой связи (с. Хлеборобное)», расположенного по адресу: Ростовская область, Целинский район, с. Хлеборобное, ул. Центральная, заявитель ПАО «Ростелеком» (1 шт.)</t>
  </si>
  <si>
    <t>«Установка системы учета для технологического присоединения объекта «склад», расположенного по адресу: Ростовская область, Целинский район, Новоцелинское сельское поселение, к.н.з.у.: 61:40:0600011:3320, заявитель ИП глава КФХ Жулидов С.Ю.» (1 шт.)</t>
  </si>
  <si>
    <t>«Установка системы учета для технологического присоединения объекта «гараж», расположенного по адресу: РФ, Ростовская область, Целинский район, с. Средний Егорлык, ул. Почтовая, д. 10 Б, к.н.з.у.:61:40:0080101:5519, заявитель Гавриличева И.В.» (1 шт.)</t>
  </si>
  <si>
    <t>«Установка системы учета для технологического присоединения объекта «Жилой лом», расположенного по адресу: 347525, РФ, Ростовская область, Орловский район, х. Камышевка, ул. Мира, д. 71, к.н.з.у.: 61:29:0050101:64, заявитель Мачаликашвили Х.В. (1 шт.)»</t>
  </si>
  <si>
    <t>«Установка системы учета для технологического присоединения объекта «Жилой дом», расположенного по адресу: 347526, РФ, Ростовская область, Орловский район, х. Курганный, ул. Свободы, д. 1, к.н.з.у.: 61:29:0050301:1312, заявитель Асхабов С.А.  (1 шт.)»</t>
  </si>
  <si>
    <t>«Установка системы учета для технологического присоединения объекта «склад», расположенного по адресу: Ростовская область, Целинский район, п. Вороново, ул. 8-я линия, д. 11, к.н.з.у.: 61:40:0030101:3219, заявитель ИП глава КФХ Шибаев Г.В.» (1 шт.)</t>
  </si>
  <si>
    <t>«Установка системы учета для технологического присоединения объекта «навес, сарай, гараж», расположенного по адресу: Ростовская область, Целинский район, п. Юловский, ул. Транспортная, д. 11 а, к.н.з.у.: 61:40:0091001:38, заявитель ИП глава КФХ Чернявская Г.И.» (1 шт.)</t>
  </si>
  <si>
    <t>«Установка системы учета для технологического присоединения объекта «нежилое помещение», расположенного по адресу: Ростовская область, Целинский район, с. Средний Егорлык, ул. Школьная, д. 15, к.н.з.у.: 61:40:0080101:1864, заявитель АО «Почта России» (1 шт.)</t>
  </si>
  <si>
    <t>«Установка системы учета для технологического присоединения объекта «жилой дом», расположенного по адресу: Ростовская область, Целинский район, с. Ольшанка, пер. Больничный, д. 8, к.н.з.у.: 61:40:0060101:2194, заявитель Поляков А.Г.» (1 шт.)</t>
  </si>
  <si>
    <t>«Установка системы учета для технологического присоединения объекта «квартира», расположенного по адресу: Ростовская область, Целинский район, с. Средний Егорлык, пер. Аптечный, д.12, кв.2, к.н.з.у.: 61:40:0080101:1489, заявитель Зиборов Ю.В.» (1 шт.)</t>
  </si>
  <si>
    <t>«Установка системы учета для технологического присоединения объекта «жилой дом», расположенного по адресу: Ростовская область, Целинский район, п. Вороново, ул. Школьная, д. 55, к.н.з.у.: 61:40:0030101:894, заявитель Конькова Н.Г.» (1 шт.)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</si>
  <si>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п. Кирсалово, ул. Кирсаловская, д. 1, заявитель Бухтиярова М.В.»</t>
  </si>
  <si>
    <t>«Установка системы учета для технологического присоединения объекта «Храм», расположенного по адресу: Российская Федерация, Ростовская обл., р-н. Пролетарский, х. Коврино, ул. Комсомольская, д. 47б, к.н. 61:31:0040101:1356, заявитель Религиозная организация Местная религиозная организация православный Приход Храма Мучеников Флора и Лавра г. Пролетарска Ростовской области Религиозной организации «Волгодонская Епархия Русской Православной Церкви (Московский Патриархат)»</t>
  </si>
  <si>
    <t>«Установка системы учета для технологического присоединения объекта «жилой дом», расположенного по адресу: Российская Федерация, Ростовская обл., р-н. Пролетарский, г. Пролетарск, пер. Погорелова, д. 2, кв. 2, к.н. 61:31:0110423:7, заявитель Вариончик Ю.А.»</t>
  </si>
  <si>
    <t xml:space="preserve">«Установка системы учета для технологического присоединения объекта «квартира», расположенного по адресу: Российская Федерация, Ростовская обл., р-н. Пролетарский, х. Николаевский 2-й, ул. Комсомольская, д. 8, кв. 2, к.н. 61:31:0060101:182, заявитель Рубцов В.А.» </t>
  </si>
  <si>
    <t>«Установка системы учета для технологического присоединения объекта «дачный дом», расположенного по адресу: Российская Федерация, Ростовская обл., р-н. Пролетарский, садоводческое товарищество «Заречное», к.н. 61:31:0500401:81, заявитель Лихоманова И.С.</t>
  </si>
  <si>
    <t>«Установка системы учета для технологического присоединения объекта «Объект крестьянского (фермерского) хозяйства», расположенного по адресу: Российская Федерация, Ростовская обл., р-н. Сальский, в кадастровом квартале 61:34:0600003 с условным центром в п. Супрун, отд. № 2 поле 14 г, кадастровый номер земельного участка: 61:34:0600003:1147, заявитель ИП Засыпка А.П» (1 шт.)</t>
  </si>
  <si>
    <t>«Установка системы учета для технологического присоединения объекта «Малоэтажная жилая застройка», расположенного по адресу: 347602 Российская Федерация, Ростовская обл., р-н. Сальский, п. Степной Курган, ул. Дружбы, д. 7, кв./оф. 2, кадастровый номер земельного участка: 61:34:01000101:209, заявитель Белевцова Т. Г.» (1 шт.)</t>
  </si>
  <si>
    <t>«Установка системы учета для технологического присоединения объекта «нежилая застройка», расположенного по адресу: 347602 Российская Федерация, Ростовская обл., р-н. Сальский, п. Степной Курган, ул. Первомайская, д. 4-а, кадастровый номер земельного участка: 61:34:0100101:2678, заявитель Буйленко Ю.В.» (1 шт.)</t>
  </si>
  <si>
    <t>«Установка системы учета для технологического присоединения «магазин», расположенного по адресу: 347565, РФ, Ростовская область, Песчанокопский район, с. Красная Поляна, ул. Владимирова, д.23 к.н.з.у.:61:30:0050101:120, заявитель ИП глава КФХ Котляров С.Н.» (1 шт.)</t>
  </si>
  <si>
    <t>«Установка системы учета для технологического присоединения «производственной базы», расположенной по адресу: 347561, РФ, Ростовская область, Песчанокопский район, с. Развильное, пер. Советский, д.21, к.н.з.у.: 61:30:0090101:291, заявитель ИП Лупиев О.А." (1 шт.)</t>
  </si>
  <si>
    <t>«Установка системы учета для технологического присоединения объекта «Автомобильные мойки», расположенного по адресу: 347500, РФ, Ростовская область, Орловский район, примерно в 0,18 км на северо-запад от п. Красноармейский, кадастровый номер земельного участка: 61:29:0600002:1718, заявитель ИП Терегеря В.Ю. глава К(Ф)Х.  (1 шт.)»</t>
  </si>
  <si>
    <t>«Установка системы учета для технологического присоединения объекта «жилой дом», расположенного по адресу: Ростовская область, Целинский район, х. Васильевка, ул. Солнечная, д. 74, к.н.з.у.: 61:40:0100201:228, заявитель Зубков А.В.» (1 шт.)</t>
  </si>
  <si>
    <t>«Установка системы учета для технологического присоединения объекта «нежилое помещение», расположенного по адресу: Ростовская область, Целинский район, с. Хлеборобное, ул. Ленина, д. 55, к.н.з.у.: 61:40:0100101:2316, заявитель АО «Почта России» (1 шт.)</t>
  </si>
  <si>
    <t>«Установка системы учета для технологического присоединения «жилого дома», расположенного по адресу: 347566, РФ, Ростовская область, Песчанокопский район, п. Раздельный, ул. Цветная, 1 к.н.з.у.:61:30:040301:0007, заявитель Филимонов Ю.В.» (1 шт.)</t>
  </si>
  <si>
    <t>«Установка системы учета для технологического присоединения объекта «нежилое помещение», расположенного по адресу: Ростовская обл., р-н. Пролетарский, х. Мокрая Ельмута, ул. Городовикова, д. 10, кадастровый номер земельного участка: 61:31:0050101:736, заявитель АО «Почта России»</t>
  </si>
  <si>
    <t>«Установка системы учета для технологического присоединения объекта «Объект торговли», расположенной по адресу: Российская Федерация, Ростовская обл., р-н Сальский, п. Конезавод имени Буденного, с условным центром в кадастровом квартале 61:34:0040101, кадастровый номер земельного участка: 61:34:0040101:4554, заявитель Мурсалиев Э.Р.» (1 шт.)</t>
  </si>
  <si>
    <t>Установка системы учета для технологического присоединения «Антенно-мачтовое сооружение 61-14991», расположенного по адресу: Российская Федерация, Ростовская обл.,   р-н. Сальский, х. Бровки, ул. Дружбы, вблизи д. 22, кадастровый номер земельного участка: 61:34:0500801:851, заявитель АО «ПБК» (1 шт.)</t>
  </si>
  <si>
    <t>«Установка системы учета для технологического присоединения «сеть уличного освещения (с. Сысоево-Александровское, ул. Южная)», расположенного по адресу: 347619 Российская Федерация, Ростовская обл.,   р-н. Сальский, с. Сысоево-Александровское, ул. Южная, кадастровый номер земельного участка: 61:34:0090201:049, заявитель Администрация Кручено-Балковского сельского поселения» (1 шт.)</t>
  </si>
  <si>
    <t>«Установка системы учета для технологического присоединения объекта «гостевой дом», расположенного по адресу: Российская Федерация, Ростовская обл., р-н. Сальский, п. Конезавод имени Буденного, ул. Восточная, д. 12, корп. а, кадастровый номер земельного участка: 61:34:0040101:642, заявитель Мурсалиев А.К.» (1 шт.)</t>
  </si>
  <si>
    <t>Установка системы учета для технологического присоединения объекта «нежилая застройка», расположенного по адресу: Российская Федерация, Ростовская обл., р-н. Сальский район, кадастровый квартал 61:34:600001, с центром в п. Степной Курган, отделение № 3, поле-11о, заявитель Говорун А.В.» (1 шт.)</t>
  </si>
  <si>
    <t>«Установка системы учета для технологического присоединения объекта «квартира», расположенного по адресу: Российская Федерация, Ростовская обл., р-н. Пролетарский, х. Николаевский 2-й, ул. Восточная, д. 18, кв.2, кадастровый номер земельного участка: 61:31:0060101:108, заявитель Доля А.В.»</t>
  </si>
  <si>
    <t>«Установка системы учета для технологического присоединения объекта «нежилое здание», расположенного по адресу: Российская Федерация, Ростовская обл., р-н. Пролетарский, 5,4 км. южнее п.п. 1270 (Ошибочная), кадастровый номер: 61:31:0600007:543, заявитель Могильный Н.Н.»</t>
  </si>
  <si>
    <t xml:space="preserve">"Установка системы учета для технологического присоединения "жилого дома", расположенного по адресу: 347568. Российская Федерация, Ростовская обл., р-н. Песчанокопский, с. Летник, ул. Мичурина, д. 55, к.н.з.у.: 61:30:0060101:881, заявитель Семёнова А.С." (1шт.)  </t>
  </si>
  <si>
    <t>«Установка системы учета для технологического присоединения объекта «жилой дом», расположенного по адресу: Ростовская область, Целинский район, с. Михайловка, ул. Степная, д. 9, к.н.з.у.: 61:40:0050101:876, заявитель Удальцов В.А.» (1 шт.)</t>
  </si>
  <si>
    <t>«Установка системы учета для технологического присоединения объекта «Антенно-мачтовое сооружение связи 61-1061», расположенного по адресу: 347505, РФ, Ростовская область, Орловский район, х. Каменная Балка, ул. Школьная, вблизи д. 80, к.н.з.у.: 61:29:0040101, заявитель АО «Первая Башенная Компания» (1 шт.)</t>
  </si>
  <si>
    <t>«Установка системы учета для технологического присоединения объекта «кошара», расположенного по адресу: Российская Федерация, Ростовская обл., р-н. Пролетарский, п. Протоки, ул. Транспортная, 32, заявитель Ковалева Е.В.»</t>
  </si>
  <si>
    <t>«Установка системы учета на проектируемой опоре ЛЭП 0,4 кВ, строящейся по договору № 61-1-22-00680765 от 15.12.2022, от техперевооружаемой по договору № 61-1-22-00680765 от 15.12.2022, ТП 10/0,4 кВ № 48 по ВЛ 10 кВ Л-2 РП 21 С, для технологического присоединения объекта «магазин», расположенной по адресу: Российская Федерация, Ростовская обл., р-н Сальский, п. Конезавод имени Буденного, ул. Чумакова, д. 1В, кадастровый номер земельного участка: 61:34:0040101:4556, заявитель ИП Кулинич В.Ю.» (1 шт.)</t>
  </si>
  <si>
    <t>«Установка системы учета для технологического присоединения объекта «Базовая станция/ оборудование сотовой связи», расположенной по адресу: Российская Федерация, Ростовская обл., р-н. Сальский, п. Сальский Беслан, земельный участок в кадастровом квартале 61:34:0040501, кадастровый номер земельного участка:, заявитель ПАО «Ростелеком»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</si>
  <si>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р-н. Сальский, п. Степной Курган, ул. Пролетарская, д. 53, кадастровый номер земельного участка: 61:34:0100101:167, заявитель Бурханов Б.Е.» (1 шт.)</t>
  </si>
  <si>
    <t>«Установка системы учета для технологического присоединения «жилой дом», расположенного по адресу: 347608 Российская Федерация, Ростовская обл.,   р-н. Сальский, с. Бараники, ул. Садовая, д. 53, кадастровый номер земельного участка: 61:34:0020101:409, заявитель Рыжков И.С.» (1 шт.)</t>
  </si>
  <si>
    <t>«Установка системы учета для технологического присоединения «Малоэтажная жилая застройка», расположенного по адресу: 347606 Российская Федерация, Ростовская обл.,   р-н. Сальский, с. Екатериновка, ул. Красноармейская, д. 12, кадастровый номер земельного участка: 61:34:0050101:867, заявитель Андросов А.А.» (1 шт.)</t>
  </si>
  <si>
    <t>«Установка системы учета для технологического присоединения объекта «телятник», расположенного по адресу: Российская Федерация, Ростовская обл., р-н. Сальский, с. Новый Маныч 400 м в юго-восточном направлении, кадастровый номер земельного участка: 61:34:0050101:3609, заявитель Жукова М.В.» (1 шт.)</t>
  </si>
  <si>
    <t>«Установка системы учета для технологического присоединения объекта «Магазин», расположенного по адресу: 347500, РФ, Ростовская область, Орловский район, п. Красноармейский, пер. Красноармейский, д. 13б, к.н.з.у.: 61:29:0060125:411, заявитель ИП Пустоварова А.В.»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</si>
  <si>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Школьная, д. 2л, к.н.з.у.: 61:29:0060117:625, заявитель Михайлов Н.А.»</t>
  </si>
  <si>
    <t xml:space="preserve">«Установка системы учета для технологического присоединения «жилого дома», расположенного по адресу: 347565, РФ, Ростовская область, Песчанокопский район, с. Красная Поляна, ул. Владимирова, 1, к.н.з.у.:61:30:0050101:977, заявитель Павлов А.А.» (1 шт.) </t>
  </si>
  <si>
    <t>«Установка системы учета для технологического присоединения объекта «фонтан», расположенного по адресу: Ростовская область, Целинский район, п. Вороново, ул. С.М. Кирова, д. 28, к.н.з.у.: 61:40:0030101:3508, заявитель Администрация Кировского сельского поселения» (1 шт.)</t>
  </si>
  <si>
    <t>«Установка системы учета для технологического присоединения объекта «магазин», расположенного по адресу: Ростовская область, Целинский район, ст. Сладкая Балка, ул. Центральная, д. 58, к.н.з.у.: 61:40:0040501:11, заявитель ООО «Гармония» (1 шт.)</t>
  </si>
  <si>
    <t>«Установка системы учета для технологического присоединения «жилого дома», расположенного по адресу: 347609 Российская Федерация, Ростовская обл.,   р-н. Сальский, п. Белозерный, ул. Юбилейная, д. 15, кадастровый номер земельного участка: 61:34:0080101:497, заявитель Пузина О.А.» (1 шт.)</t>
  </si>
  <si>
    <t>«Установка системы учета для технологического присоединения объекта «квартира», расположенного по адресу: 347524, РФ, Ростовская область, Орловский район, х. Пролетарский, ул. Школьная, д. 24. кв.2, к.н.з.у.: 61:29:0080101:208, заявитель Игнатенко Е.А.»</t>
  </si>
  <si>
    <t>«Установка системы учета для технологического присоединения объекта «Антенно-мачтовое сооружение 52228-11-61-0-1», расположенного по адресу: 347501, РФ, Ростовская область, Орловский район, х. Майорский, ул. Магистральная, участок в 50 м от дома № 24, к.н.з.у.: 61:29:0040901, заявитель АО «Первая Башенная Компания»</t>
  </si>
  <si>
    <t>«Установка системы учета для технологического присоединения «жилого дома», расположенного по адресу: 347560, РФ, Ростовская область, Песчанокопский район, с. Развильное, ул. Ростовская, д. 34, к.н.з.у.:61:30:0090101:10228, заявитель Суслова М.А.» (1 шт.)</t>
  </si>
  <si>
    <t xml:space="preserve">«Установка системы учета для технологического присоединения объекта «Малоэтажная жилая застройка (Индивидуальный жилой дом/Садовый/Дачный дом)», расположенного по адресу: РФ, Ростовская область, Пролетарский район, садовое товарищество «Заречное», кадастровый номер земельного участка: 61:31:0500401:36, заявитель Григоров А.С.» </t>
  </si>
  <si>
    <t>«Установка системы учета для технологического присоединения объекта «водозаборный колодец №1», расположенного по адресу: Российская Федерация, Ростовская обл., р-н. Пролетарский, 4,1 км. юго-западнее п.п.1048 (Лиман Чепрак), к.н. 61:34:0000000:7316, заявитель Кукота Ю.Н.»</t>
  </si>
  <si>
    <t xml:space="preserve">«Установка системы учета для технологического присоединения объекта «жилой дом», расположенного по адресу: 347609 Российская Федерация, Ростовская обл., р-н. Сальский, п. Белозерный, ул. Юбилейная, д. 17, кадастровый номер земельного участка: 61:34:0080101:1711, заявитель Тиссен В.Я.» (1 шт.) </t>
  </si>
  <si>
    <t>«Установка системы учета для технологического присоединения объекта «квартира», расположенного по адресу: Ростовская область, Целинский район, п. Лиманный, ул. Урожайная, д. 15, кв. 1, к.н.з.у.: 61:40:0010801:532, заявитель Борисюк С.А.» (1 шт.)</t>
  </si>
  <si>
    <t>«Установка системы учета для технологического присоединения объекта «квартира», расположенного по адресу: Ростовская область, Целинский район, п. Малая Роща, ул. Лазурная, д. 30, кв. 1, к.н.з.у.: 61:40:0010401:41, заявитель Семененко И.А.» (1 шт.)</t>
  </si>
  <si>
    <t>«Установка системы учета для технологического присоединения объекта «жилой дом», расположенного по адресу: Ростовская область, Целинский район, п. Лиманный, ул. Сиреневая, д. 53, к.н.з.у.: 61:40:0010801:90, заявитель Карташова Н.А.» (1 шт.)</t>
  </si>
  <si>
    <t>«Установка системы учета для технологического присоединения «жилого дома», расположенного по адресу: 347563, РФ, Ростовская область, Песчанокопский район, с. Поливянка, ул. Ленина, д. 43-а к.н.з.у.:61:30:0080101:123, заявитель Путилина М.В.» (1 шт.)</t>
  </si>
  <si>
    <t>«Установка системы учета для технологического присоединения «Малоэтажная жилая застройка», расположенного по адресу: 347609 Российская Федерация, Ростовская обл.,   р-н. Сальский, п. Белозерный, ул. Юбилейная, д. 25, кадастровый номер земельного участка: 61:34:0080101:1639, заявитель Аркатов В.И.» (1 шт.)</t>
  </si>
  <si>
    <t>«Установка системы учета для технологического присоединения объекта «жилой дом», расположенного по адресу: 347609 Российская Федерация, Ростовская обл., р-н. Сальский, п. Белозерный, ул. Пионерская, д. 13, кадастровый номер земельного участка: 61:34:0080101:90, заявитель Вовчук Е.О.» (1 шт.)</t>
  </si>
  <si>
    <t>«Установка системы учета для технологического присоединения объекта «квартира», расположенного по адресу: 347565, РФ, Ростовская область, Песчанокопский район, с. Красная Поляна, ул. Советская, д. 66 кв. 1, к.н.з.у.:61:30:0050101:272, заявитель Лукьянченко А.А.» (1 шт.)</t>
  </si>
  <si>
    <t xml:space="preserve">«Установка системы учета для технологического присоединения объекта «Жилой дом», расположенного по адресу: 347523, РФ, Ростовская область, Орловский район, х. Весёлый, пер. Восточный, д. 10, к.н.з.у.: 61:29:0070401:128, заявитель Мищенко Д.Н.» (1 шт.) </t>
  </si>
  <si>
    <t>«Установка системы учета для технологического присоединения объекта «здание столовой», расположенной по адресу: Российская Федерация, Ростовская обл., г. Сальск, Новоегорлыкское шоссе 0+900 м, кадастровый номер земельного участка: 61:57:0010906:55, заявитель ИП Григоренко С.И.» (1 шт.)</t>
  </si>
  <si>
    <t>«Установка системы учета для технологического присоединения объекта «жилой дом», расположенного по адресу: 347609 Российская Федерация, Ростовская обл., р-н. Сальский, п. Белозерный, ул. Победы, д. 2, кадастровый номер земельного участка: 61:34:0080101:523, заявитель Пузин С.П.» (1 шт.)</t>
  </si>
  <si>
    <t>«Установка системы учета для технологического присоединения объекта «жилой дом», расположенного по адресу: 347602 Российская Федерация, Ростовская обл., р-н. Сальский, п. Степной Курган, ул. Пролетарская, д. 13, кв./оф. 2, кадастровый номер земельного участка: 61:34:0100101:43, заявитель Тарасюк Т.П.»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</si>
  <si>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р-н. Сальский, с. Екатериновка, ул. 40 лет Победы, д. 16, кв.2, кадастровый номер земельного участка: 61:34:0050101:4067, заявитель Горенко А.Н.» (1 шт.)</t>
  </si>
  <si>
    <t>«Установка системы учета для технологического присоединения объекта «Мобильная контейнерная АЗС», расположенного по адресу: 347628 Российская Федерация, Ростовская обл., р-н. Сальский, п. Гигант, ул. Шолохова, кадастровый номер земельного участка: 61:34:0010001:294, заявитель ИП Продоненко А.Н.» (1 шт.)</t>
  </si>
  <si>
    <t>«Установка системы учета для технологического присоединения объекта «Малоэтажная жилая застройка», расположенного по адресу: Российская Федерация, Ростовская обл., г. Сальск, СНТ "Железнодорожник", бригада 5 земельный участок 1А, кадастровый номер земельного участка: 61:57:0010977:1720, заявитель Светличный А.В.» (1 шт.)</t>
  </si>
  <si>
    <t>«Установка системы учета для технологического присоединения объекта «магазин для продажи товаров повседневного спроса», расположенного по адресу: Российская Федерация, Ростовская обл., р-н. Пролетарский, п. Опенки, ул. Тополей, д. 7-а, к.н. 61:31:080101:0134, заявитель Леонтьев В.Ю.»</t>
  </si>
  <si>
    <t>«Установка системы учета для технологического присоединения объекта «квартира», расположенного по адресу: РФ, Ростовская обл., р-н. Пролетарский, х. Степной, ул. Первомайская, д. 20, кв.2, кадастровый номер земельного участка: 61:31:0060401:25, заявитель Никитин А.А.» (1 шт.)</t>
  </si>
  <si>
    <t>«Установка системы учета для технологического присоединения объекта «жилой дом», расположенного по адресу: РФ, Ростовская обл., р-н. Пролетарский, х. Николаевский 2-й, ул. Комсомольская, д. 19, заявитель Галицин А.А.» (1 шт.)</t>
  </si>
  <si>
    <t>«Установка системы учета для технологического присоединения объекта «Объект торговли (магазин, торговый центр, прочее)», расположенного по адресу: РФ, Ростовская обл., р-н. Пролетарский, х. Сухой, ул. Мира, д. 20, кв. 2, кадастровый номер земельного участка: 61:31:0090101:3014, заявитель ИП Аббасова Г.А.» (1 шт.)</t>
  </si>
  <si>
    <t>«Установка системы учета для технологического присоединения объекта «сети уличного освещения», расположенного по адресу: 347559 Российская Федерация, Ростовская обл., р-н. Пролетарский, х. Новомоисеевский, заявитель Администрация Дальненского сельского поселения» (1 шт.)</t>
  </si>
  <si>
    <t>«Установка системы учета для технологического присоединения «жилого дома», расположенного по адресу: 347567, РФ, Ростовская область, Песчанокопский район, с. Жуковское, ул. 8 Марта, д. 16-а к.н.з.у.:61:30:0030101:4359, заявитель Кузь Р.С.» (1 шт.)</t>
  </si>
  <si>
    <t>«Установка системы учета для технологического присоединения объекта «Жилой дом», расположенного по адресу: 347500, РФ, Ростовская область, Орловский район, п. Красноармейский, ул. Школьная, д. 2м, к.н.з.у.: 61:29:0060117:626, заявитель Бондаренко В.А.» (1 шт.)</t>
  </si>
  <si>
    <t>«Строительство ВЛИ 0,4 кВ от существующей опоры 1-02/4 ВЛ 0,4 кВ Л-1 КТП 10/0,4 кВ №85 по ВЛ 10 кВ Л-2 Целинский ССК и установка системы учета электрической энергии (мощности) на границе земельного участка для технологического присоединения «объект медицинского учреждения», расположенного по адресу: РФ, Ростовская область, Целинский район, х. Северный, ул. Молодежная, д. 2б, к.н.з.у.: 61:40:0031101:2706, заявитель МУНИЦИПАЛЬНОЕ БЮДЖЕТНОЕ УЧРЕЖДЕНИЕ ЗДРАВООХРАНЕНИЯ «ЦЕНТРАЛЬНАЯ РАЙОННАЯ БОЛЬНИЦА ЦЕЛИНСКОГО РАЙОНА РОСТОВСКОЙ ОБЛАСТИ» (Ориентировочная протяженность ЛЭП - 0,025 км)</t>
  </si>
  <si>
    <t>«Строительство ВЛИ 0,4 кВ от существующей опоры 1-00/16-4 ВЛ 0,4 кВ Л-1 КТП 10/0,4 кВ №287 ВЛ 10 кВ Л-1 Целинская для технологического присоединения «теплицы», расположенного по адресу: РФ, Ростовская область, Целинский район, п. Новая Целина, Новоцелинское с/п, в границах СПК «Целинский», к.н.з.у.:61:40:00600011:1785, заявитель Лохматов С.В.» (Ориентировочная протяженность ЛЭП - 0,09 км)</t>
  </si>
  <si>
    <t>Строительство ТП 10/0,4 и ВЛ 0,4 кВ от опоры №3-00/46 ВЛ 10 кВ Л-3 Водозабор для электроснабжения объекта – «производственное здание», расположенного по адресу: Российская Федерация, Ростовская обл., р-н. Сальский, с. Крученая Балка, в 5 км западнее от ул. Шоссейная г. Сальска, кадастровый номер земельного участка 61:34:0000000:7543, заявитель Королевский В.В.» (Ориентировочная протяженность ЛЭП – 0,01 км, ориентировочная мощность ТП – 0,025 МВА)</t>
  </si>
  <si>
    <t>Строительство ВЛ 0,4 кВ от ВЛ 0,4 кВ №1 КТП 10/0,4 кВ №118 ВЛ 10 кВ №307 ПС 35 кВ БГ3 для электроснабжения жилого дома Сокуренко П.Н. по адресу РО, Багаевский район, х. Верхнеянченков, ул. Степная, д. 8а, к.н. 61:03:0030301:164</t>
  </si>
  <si>
    <t>Строительство ВЛ 0,4 кВ от проектируемого ТП 10/0,4 кВ по договорам (№61-1-21-00562865, №61-1-21-00562839) ВЛ 10 кВ №402 ПС 110 кВ СМ4 для электроснабжения жилых домов по адресу: РО, Семикаракорский р-н, х. Сусат, КН 61:35:0090101:438; 61:35:0090101:291; 61:35:0090101:3222; 61:35:0090101:3220; 61:35:0090101:293</t>
  </si>
  <si>
    <t xml:space="preserve">Строительство ВЛ 0,4 кВ от ВЛ 0,4 кВ №3 КТП 10/0,4 кВ №103 ВЛ 10 кВ №115 ПС 110 кВ СМ1 для электроснабжения производственного здания/помещения, заявителя ООО «БеларусЮгСервис» по адресу: Ростовская обл., р-н. Семикаракорский, г. Семикаракорск, ул. Авилова, д. 2-а, КН.: 61:35:0110175:18. </t>
  </si>
  <si>
    <t>Установка приборов учета для присоединения ВРУ 0,4 кВ жилых домов расположенных по адресу: Ростовская обл., п. Российский, п. Янтарный, п. Водопадный, п. Нижнетемерницкий, х. Большой Лог, п. Красный Сад, п. Щепкин, п. Темерницкий, ст-ца Ольгинская, ст-ца Грушевская, х. Махин, х. Краснодворск, х. Каменный Брод, ст-ца Старочеркасская (42 шт.)</t>
  </si>
  <si>
    <t>Установка приборов учета для присоединения ВРУ 0,4 кВ малоэтажных жилых застроек и здания храма, расположенных по адресу: РО, ст-ца Старочеркасская, х. Камышеваха, х. Большой Лог, п. Российский, п. Янтарный, п. Щепкин, (27 шт.)</t>
  </si>
  <si>
    <t>Установка прибора учета для присоединения жилого дома Кан Н.В. расположенного по адресу: Ростовская обл., р-н Багаевский, х. Верхнеянченков, пер. Лесной, д. 5, к.н. 61:03:0030301:121 (1шт.)</t>
  </si>
  <si>
    <t>Установка прибора учета для присоединения жилого дома Кошмановой Н.В. расположенного по адресу: Ростовская обл., р-н Багаевский, х. Арпачин, ул. Советская, д. 19 Е, к.н. 61:03:0040211:1 (1шт.)</t>
  </si>
  <si>
    <t>Установка прибора учета для присоединения жилого дома заявителя Кравчука Эдуарда Алексеевича., расположенного по адресу: Ростовская обл., Веселовский р-н, х. Новоселовка, ул. Коллективная, д. 18, к.н. 61:06:0040301:6</t>
  </si>
  <si>
    <t>Установка прибора учета для присоединения ВРУ 0,4 кВ жилого дома заявителя Казанцевой Т.П. по адресу: Семикаракорский р-н, х. Новоромановский, ул. Калинина, д.19 к.н.:61:35:0090301:15</t>
  </si>
  <si>
    <t>Установка прибора учета для присоединения ВРУ 0,4 кВ жилого дома заявителя Самусь В.Ю. по адресу: Семикаракорский р-н, х. Чебачий, ул. Горького, д.90 к.н.:61:35:0060201:110</t>
  </si>
  <si>
    <t>Установка прибора учета для присоединения ВРУ 0,4 кВ жилого дома заявителя Мрыхиной Л.В. по адресу: Семикаракорский р-н, ст-ца Новозолотовская, ул. Речная, д.156 к.н.:61:35:0060101:4276</t>
  </si>
  <si>
    <t>Установка прибора учета для присоединения жилых домов заявителя Арутюновой В.К., по адресу: г. Семикаракорск, ул. Солнечная, д.25, к.н.: 61:35:0110205:872.; г. Семикаракорск, ул. Солнечная, д.25 Б, к.н.: 61:35:0110205:874.; г. Семикаракорск, ул. Солнечная, д.25 В, к.н.: 61:35:0110205:878.; (3шт)</t>
  </si>
  <si>
    <t>Установка пункта секционирования на ВЛ 10 кВ №101 ПС 110 кВ АС1, с заменой трансформатора в  ТП 10 кВ №928 ВЛ 10 кВ №101 ПС 110 кВ АС1 и установка прибора учета для электроснабжения ВРУ 0,4 кВ жилого дома Сергеева П. М. по адресу: РО, р-н Аксайский, х. Махин, ул. Черкасская, д. 4, К.Н.: 61:02:0090301:61 (ориентировочная мощность трансформатора 0,1 МВА)</t>
  </si>
  <si>
    <t>Установка приборов учета для присоединения ВРУ 0,4 кВ малоэтажной жилой застройки и жилого дома расположенных по адресу: РО, п. Янтарный, х. Нижнетемерницкий, (2шт.)</t>
  </si>
  <si>
    <t>Установка приборов учета для присоединения ВРУ 0,22 кВ жилых домов, расположенных по адресу: Ростовская обл., п. Октябрьский, х. Краснодворск, ст-ца Ольгинская, п. Щепкин, х. Большой Лог, п. Российский, п. Темерницкий, п. Нижнеподпольный,  г. Новечеркасск, (14 шт.)</t>
  </si>
  <si>
    <t>«Установка приборов учета для присоединения ВРУ 0,4 кВ жилых застроек и объектов торговли (магазин, торговыйцентр, прочее) расположенных по адресу: РО., ст-ца Старочеркасская, п.Янтарный, п. КрасныйСад, КН 61:02:0100101:1133... (17 шт.)»,</t>
  </si>
  <si>
    <t>Установка приборов учета для присоединения ВРУ 0,4 кВ образовательной организации (учреждения) и малоэтажных жилых застроек, расположенных по адресу: РО., п. Темерницкий, п. Красный, х. Ленина, (4шт.)</t>
  </si>
  <si>
    <t>Установка приборов учета для присоединения ВРУ 0,4 кВ малоэтажных жилых застроек и ЭПУ земельных участков для индивидуального жилищного строительства расположенных по адресу: РО., п. Красный Сад, х. Александровка, х. Камышеваха, п. Щепкин, (5шт.)</t>
  </si>
  <si>
    <t>Установка приборов учета для присоединения ВРУ 0,4 кВ малоэтажных жилых застроек, расположенных по адресу: РО., х. Большой Лог, (2шт.)</t>
  </si>
  <si>
    <t>Установка приборов учета для присоединения ВРУ 0,4 кВ малоэтажных жилых застроек, расположенных по адресу: РО., п. Темерницкий, п. Красный Колос, п. Щепкин, КН:61:02:0081101:3493, 61:02:0600005:11192, 61:02:0600007:2696, 61:02:0080501:15, (4шт.)</t>
  </si>
  <si>
    <t>Установка приборов учета для присоединения ВРУ 0,4 кВ малоэтажных жилых застроек, расположенных по адресу: РО., ст-ца Старочеркасская, ул. Всевеликого Войска Донского, д. 34/4А, ул. Иловайская, д.4, КН:61:02:0110102:3749, 61:02:0110102:33135, (2шт.)</t>
  </si>
  <si>
    <t>Установка прибора учета для присоединения малоэтажной жилой застройки (Индивидуальный жилой дом/ Садовый/Дачный дом) заявителя Ратушного И. А., расположенной по адресу: Ростовская обл., Веселовский р-н, п. Веселый, пер. Волго-Донской, д. 64-г к.н 61:06:0010101:461</t>
  </si>
  <si>
    <t>Установка прибора учета для присоединения жилого дома заявителя Лопачук А.А., по адресу: РО, Семикаракорский р-н, ст-ца Новозолотовская ул. Буденного, д.25/1, к.н.: 61:35:00060101:946 (1шт)</t>
  </si>
  <si>
    <t>Установка прибора учета для присоединения антенно-мачтового сооружения 61-15006 заявителя АО «Первая Башенная Компания»., по адресу: РО, г. Семикаракорск, ул. Серегина, вблизи д.11, к.н.: 61:35:0110208 (1шт)</t>
  </si>
  <si>
    <t>Установка прибора учета для присоединения жилого дома заявителя Оптовец А.В., по адресу: РО, г. Семикаракорск, ул. Мира д.1 Б, к.н.: 61:35:0110207:369 (1шт)</t>
  </si>
  <si>
    <t xml:space="preserve">Установка прибора учета в ТП 10/0,4кВ по ВЛ10кВ 414 ПС220кВ Р-4 присоед.производ.здан. Меликян А.С. х.Камышеваха, ул.Модульная КН 61:02:0600010:21547
</t>
  </si>
  <si>
    <t>Установка прибора учета в РУ 0,4кВ КТП-10/0,4кВ ВЛ10кВ №1109 ПС 110/35/10кВ АС-11 Ольховой Т.А., р-н Аксайский, ст.Грушевская, КН 61:02:0505001:1946</t>
  </si>
  <si>
    <t>Установка прибора учета для присоединения ВРУ 0,4 кВ малоэтажной жилой застройки, расположенного по адресу: РО., п. Щепкин, ул. Проезд Серебряный, д. 3, КН:61:02:0600006:6115, (1шт.)</t>
  </si>
  <si>
    <t>Установка прибора учета в РУ 0,4кВ ТП10/0,4кВ ВЛ10кВ №414 ПС220кВ Р4 ИП Федоровой А. В. х.Камышеваха, ул.Модульная, КН: 61:02:0600010:21551 (1 шт.)</t>
  </si>
  <si>
    <t>Установка прибора учета для присоединения ВРУ 0,22 кВ строительной площадки расположенной по адресу: РО., х. Нижнетемерницкий, ул. Шолохова, д. 42, КН: 61:02:0600006:4237, (1шт.)</t>
  </si>
  <si>
    <t>Установка приборов учета для присоединения жилых домов Хотнянского С.С. расположенных по адресу: Ростовская обл., р-н Багаевский, х. Арпачин, ул. Донская, д. 33-к, к.н. 61:03:0040215:107, д. 33-л, к.н. 61:03:0040215:108 (2шт.)</t>
  </si>
  <si>
    <t>Установка приборов учета для присоединения малоэтажных жилых застроек (индивидуальных жилых домов/садовых/дачных домов) Шмыгина А.В. расположенных по адресу: Ростовская обл., р-н Багаевский, х. Арпачин, ул. Донская, д. 7, к.н. 61:03:0040204:920, д. 7а, к.н. 61:03:0040204:919 (2шт.)</t>
  </si>
  <si>
    <t>Установка прибора учета для присоединения малоэтажной жилой застройки (Индивидуальный жилой дом/ Садовый/Дачный дом) заявителя Убийко А. А., расположенной по адресу: Ростовская обл., Веселовский р-н, х. Свобода, ул. Трудовая, д. 13</t>
  </si>
  <si>
    <t>Установка прибора учета для присоединения жилого дома заявителя Говорова А. И., расположенного по адресу: Ростовская обл., Веселовский р-н, п. Веселый, пер. Кленовый, 20 (к.н. 61:06:0600012:927)</t>
  </si>
  <si>
    <t>Установка приборов учета для присоединения ВРУ 0,4 кВ земельных участков, жилых домов и малоэтажной жилой застройки, расположенных по адресу: РО., х. Каменный Брод, п. Щепкин, п. Темерницкий, х. Нижнетемерницкий, КН:61:33:0600015:1022, 61:02:0600006:6726, 61:02:0600006:6727, 61:02:0600006:6728, 61:02:0600006:6731, 61:02:0600006:6732, 61:02:0081101:2695, 61:02:0600005:11355, (8шт.)</t>
  </si>
  <si>
    <t>Установка приборов учета для присоединения ВРУ 0,4 кВ малоэтажных жилых застроек, земельного участка, жилого дома расположенных по адресу: РО., г. Аксай, х. Большой Лог, п. Темерницкий, п. Щепкин, КН:61:02:0600010:13042, 61:02:0600009:2610, 61:02:0600011:1671, 61:02:0600005:13516, 61:02:0600006:6047, (5шт.)</t>
  </si>
  <si>
    <t>Установка приборов учета для присоединения ВРУ 0,4 кВ малоэтажных жилых застроек, земельного участка и жилого дома, расположенных по адресу: РО., ст-ца Старочеркасская, х. Истомино, х. Каменный Брод, КН:61:02:0110102:3060, 61:02:0050301:937, 61:33:0600015:1070, (3шт.)</t>
  </si>
  <si>
    <t xml:space="preserve">Установка приборов учета для присоединения ВРУ 0,4 кВ жилого дома и малоэтажных жилых застроек, расположенных по адресу: РО, г. Аксай, ст-ца Ольгинская, п. Водопадный, п. Красный Колос, п. Темерницкий, п. Щепкин, КН:61:02:0600010:14411, 61:02:0600010:14400, 61:02:0600015:7932, 61:02:0010802:102, 61:02:0100101:1615, 61:02:0600005:7222, 61:02:0600005:7223, 61:02:0600006:4627, (8шт.) </t>
  </si>
  <si>
    <t>Установка приборов учета для присоединения ВРУ 0,4 кВ малоэтажных жилых застроек РО., р-н Аксайский, х. Нижнеподпольный, х. Нижнетемерницкий. п Рассвет КН 61:02:0100205:676 (18 шт)</t>
  </si>
  <si>
    <t>Установка прибора учета для присоединения ВРУ 0,4 кВ гаража, расположенного по адресу: РО., п. Ковалевка, КН: 61:02:0100501:903, (1шт.)</t>
  </si>
  <si>
    <t>Установка прибора учета для присоединения ЛЭП-0,4 кВ нежилого помещения, расположенного по адресу: РО., х. Камышеваха, КН: 61:02:0600010:10299, (1шт.)</t>
  </si>
  <si>
    <t>Установка приборов учета для присоединения ВРУ 0,4 кВ малоэтажных жилых застроек, расположенных по адресу: РО., х. Нижнетемерницкий, КН:61:02:0600006:3533, 61:02:0600006:4052, 61:02:0600006:4068, 61:02:0600006:3374, (4шт.)</t>
  </si>
  <si>
    <t>Установка приборов учета для присоединения ВРУ 0,4 кВ малоэтажных жилых застроек, расположенных по адресу: РО., х. Нижнетемерницкий, ул. Бирюзовая, д. 74, ул. Жуковского, д. 19, КН:61:02:0600006:3534, 61:02:0600006:3864, (2шт.)</t>
  </si>
  <si>
    <t>Установка прибора учета для присоединения объекта торговли (магазин, торговый центр, прочее), РО, г. Батайск, ул. Ясеневая, д. 13Б, КН: 61:46:0012401:910 (1шт)</t>
  </si>
  <si>
    <t>Установка приборов учета для присоединения ВРУ 0,4 кВ малоэтажных жилых застроек, земельного участка, жилого дома расположенных по адресу: РО., п. Красный Сад, п. Щепкин, х. Александровка, х. Ленина, п. Российский, п. Янтарный, х. Нижнетемерницкий, КН:61:01:0130201:4578, 61:02:0600006:6044, 61:02:0080503:1540, 61:02:0070503:781, 61:02:0600016:4448, 61:02:0600016:4449, 61:02:0600010:14384, 61:02:0010136:16, 61:02:0080401:5, (9шт.)</t>
  </si>
  <si>
    <t>Установка приборов учета для присоединения ВРУ 0,4 кВ малоэтажных жилых застроек, земельного участка, жилого дома, расположенных по адресу: РО., п. Красный Сад, ст-ца Мишкинская, п. Щепкин, КН:61:01:0130201:5544, 61:02:0507901:97, 61:02:0600006:6037, (3шт.)</t>
  </si>
  <si>
    <t>Установка приборов учета для присоединения ВРУ 0,4 кВ малоэтажных жилых застроек, расположенных по адресу: РО, п. Темерницкий, х. Махин, х. Большой Лог, п. Щепкин, ст-ца Ольгинская, п. Красный Сад, п. Российский, ст-ца Старочеркасская, п. Янтарный, ст-ца Грушевская, (16шт.)</t>
  </si>
  <si>
    <t>Установка приборов учета для присоединения ВРУ 0,4 кВ малоэтажных жилых застроек, участка без постройки, земельного участка и жилого дома, расположенных по адресу: РО, п. Темерницкий, ст-ца Мишкинская, х. Нижнетемерницкий, х. Большой Лог, п. Дорожный, совх. Каменобродский, х. Каменный Брод, п. Октябрьский, п. Щепкин, п. Янтарный, х. Островского, ст-ца Ольгинская, ст-ца Старочеркасская, (19шт.)</t>
  </si>
  <si>
    <t>Установка прибора учета для присоединения жилого дома Шиповской А.И. расположенного по адресу: Ростовская обл., р-н Багаевский, х. Красный, ул. 2-я Кужниковская, д. 11, к.н. 61:03:0060109:27 (1 шт.)</t>
  </si>
  <si>
    <t>Установка прибора учета для присоединения объекта торговли (магазин, торговый центр, прочее) заявителя ИП Трутневой Е. А., расположенного по адресу: Ростовская обл., Веселовский р-н, п. Веселый, пер. Комсомольский, д. 50/1</t>
  </si>
  <si>
    <t>Установка прибора учета для присоединения жилого дома заявителя Кузнецова С. А., расположенного по адресу: Ростовская обл., Веселовский р-н, х. Позднеевка, ул. Мира, д. 42 к. н. 61:06:0060104:11</t>
  </si>
  <si>
    <t>Установка прибора учета для присоединения жилого дома заявителя Кузнецова С. А., расположенного по адресу: Ростовская обл., Веселовский р-н, х. Позднеевка, ул. Мира, д. 40 к. н. 61:06:0060104:10</t>
  </si>
  <si>
    <t>Установка прибора учета для присоединения магазина заявителя ИП Мардаровского А. Н., расположенного по адресу: Ростовская обл., Веселовский р-н, п. Веселый, пер. Базарный, д. 6, к.н. 61:06:0010126:655</t>
  </si>
  <si>
    <t>Установка прибора учета для присоединения квартиры заявителя Нозадзе Н. А., расположенной по адресу: Ростовская обл., Веселовский р-н, п. Веселый ул. Насосная Станция 42 д. 11 кв.1 к. н. 61:06:0010142:115</t>
  </si>
  <si>
    <t>Установка прибора учета для присоединения объекта жилого дома) заявителя Догадина Виктора Дмитриевича, по адресу: РО, Семикаракорский р-н, х. Золотаревка, ул. Р.Ф. Горожаевой, д.2 кв.2 к.н.: 61:35:0050101:539 (1шт.)</t>
  </si>
  <si>
    <t>Установка прибора учета для присоединения объекта торговли(магазин) заявителя ООО «ТЕМП», по адресу: РО, Семикаракорский р-н, ст-ца Новозолотовская ул. Октябрьская, д.50 А, к.н.: 61:35:00060101:151 (1шт.)</t>
  </si>
  <si>
    <t>Установка приборов учета для присоединения ВРУ 0,4 кВ жилых домов, нежилого помещения, земельного участка, расположенных по адресу: Ростовская обл., х. Каменный Брод, х. Камышеваха, п. Опытный С/Т «Энергетик», ст-ца Мишкинская, (8 шт.)</t>
  </si>
  <si>
    <t>Установка прибора учета для присоединения ВРУ 0,4 кВ малоэтажной жилой застройки, расположенной по адресу: РО., п. Щепкин, КН:61:02:0600006:2080, (1шт.)</t>
  </si>
  <si>
    <t>Установка приборов учета для присоединения ВРУ 0,4 кВ малоэтажных жилых застроек, земельного участка, расположенных по адресу: РО., ст-ца Старочеркасская, п. Октябрьский, п. Водопадный, х. Большой Лог, п. Темерницкий, г. Аксай, КН:61:02:0110102:3156, 61:02:0110101:1860, 61:02:0080103:825, 61:02:0010802:96, 61:02:0600011:1734, 61:02:0600011:1766, 61:02:0600005:13704, 61:02:0081101:463:41, 61:02:0505001:497, (9шт.)»</t>
  </si>
  <si>
    <t>Установка приборов учета для присоединения ВРУ 0,4 кВ малоэтажных жилых застроек, нежилых застроек, расположенных по адресу: РО., х. Большой Лог, ст-ца Ольгинская, п. Щепкин, х. Маяковского, ст-ца Грушевская, п. Дорожный, КН:61:02:0010201:6304, 61:02:0090103:3514, 61:02:0504301:710,61:02:0090103:3478,61:02:0080502:775,61:02:0600016:4726, 61:02:0505001:2014, 61:02:0050101:3080, (8шт.)</t>
  </si>
  <si>
    <t>Установка приборов учета для присоединения ВРУ 0,4 кВ малоэтажных жилых застроек, расположенных по адресу: РО., ст-ца Грушевская, ст-ца Ольгинская, х. Махин, КН:61:02:0600002:1076, 61:02:0090101:4263, 61:02:0090301:122, (3шт.)</t>
  </si>
  <si>
    <t>Установка приборов учета для присоединения ВРУ 0,4 кВ малоэтажных жилых застроек и жилых домов, земельных участков, расположенных по адресу: РО., ст-ца Старочеркасская, х. Каменный Брод, п. Щепкин, п. Реконструктор, п. Темерницкий, п. Янтарный, ст-ца Ольгинская, ст-ца Мишкинская, п. Красный Сад, п. Российский, г. Аксай сдт. Монитор, (20шт.)</t>
  </si>
  <si>
    <t>Установка прибора учета для присоединения ВРУ 0,4 кВ малоэтажной жилой застройки, расположенной по адресу: РО., х. Нижнетемерницкий, ул. Тургенева, 6, КН:61:02:0600006:4036, (1шт.)</t>
  </si>
  <si>
    <t>Установка приборов учета для присоединения ВРУ 0,4 кВ земельного участка, жилого дома, малоэтажных жилых застроек, расположенных по адресу: РО., х. Каменный Брод, п. Щепкин, ст-ца Старочеркасская, п. Темерницкий, КН:61:33:0600015:1484, 61:02:0080501:124, 61:02:0110102:4385, 61:02:0600005:3955, (4шт.)</t>
  </si>
  <si>
    <t>Установка приборов учета для присоединения ВРУ 0,4 кВ малоэтажных жилых застроек и жилого дома, расположенных по адресу: РО., х. Махин, г. Аксай, ст-ца Старочеркасская, п. Янтарный, ст-ца Мишкинская, п. Щепкин, х. Большой Лог, п. Рассвет, КН:61:02:0090301:60, 61:02:0600010:15016, 61:02:0600013:2443, 61:02:0010153:28, 61:02:0600009:1311,  61:02:0600006:5539,  61:02:0600011:2704,  61:02:0100201:844,  (8шт.)</t>
  </si>
  <si>
    <t>Установка прибора учета для присоединения квартиры заявителя Ковшиковой Л. А., расположенной по адресу: Ростовская обл., Веселовский р-н, х. Красный Октябрь, ул. Нижняя, д.36 кв.2 к. н. 61:06:0030108:119</t>
  </si>
  <si>
    <t>Установка прибора учета для присоединения малоэтажной   жилой  застройки  (Индивидуальный  жилой  дом/Садовый/Дачный дом) заявителя ФроловаГ.В., расположенной по адресу :Ростовская обл., Веселовский р-н, п. Веселый, ул. Братская, д.34-а к. н.61:06:0010141:91</t>
  </si>
  <si>
    <t>Установка прибора учета для присоединения малоэтажной жилой застройки (Индивидуальный жилой дом/ Садовый/Дачный дом) заявителя Ахметова Р. У., расположенной по адресу: Ростовская обл., Веселовский р-н, п. Веселый, ул. Октябрьская, д.205-ж к. н. 61:06:0010114:881</t>
  </si>
  <si>
    <t>Установка прибора учета для присоединения малоэтажной жилой застройки (Индивидуальный жилой дом/ Садовый/Дачный дом) заявителя Ахметова Р. У., расположенной по адресу: Ростовская обл., Веселовский р-н, п. Веселый, ул. Береговая, д.15-ж к. н. 61:06:0010141:567</t>
  </si>
  <si>
    <t>Установка прибора учета для присоединения малоэтажной жилой застройки (Индивидуальный жилой дом/ Садовый/Дачный дом) заявителя Ахметова Р. У., расположенной по адресу: Ростовская обл., Веселовский р-н, п. Веселый, ул. Береговая, д.40-а к. н. 61:06:0010141:566</t>
  </si>
  <si>
    <t>Установка прибора учета для присоединения нежилого помещения заявителя АО «Почта России», расположенного по адресу: Ростовская обл., Веселовский р-н, х. Красный Маныч, ул. Центральная, д.98 к. н. 61:06:0030306:190</t>
  </si>
  <si>
    <t>Установка прибора учета для присоединения жилого дома заявителя Тихоновой Т. Н., расположенного по адресу: Ростовская обл., Веселовский р-н, х. Верхнесоленый, ул. Батюшинская, д. 22 к. н. 61:06:0020103:516</t>
  </si>
  <si>
    <t>Установка прибора учета для присоединения жилого дома заявителя Курбанова Р. К., расположенного по адресу: Ростовская обл., Веселовский р-н, п. Веселый, ул. Октябрьская, д. 204-в к. н. 61:06:0010114:850</t>
  </si>
  <si>
    <t>Установка прибора учета для присоединения нежилого помещения заявителя АО «Почта России», расположенного по адресу: Ростовская обл., Веселовский р-н, п. Веселый, ул. Ленинская, д.81 к. н. 61:06:0010125:335</t>
  </si>
  <si>
    <t>Установка прибора учета для присоединения магазина заявителя ИП Мартыненко А. Н., расположенного по адресу: Ростовская обл., Веселовский р-н, п. Веселый, ул. Октябрьская, д.1-з к. н. 61:06:0010133:411</t>
  </si>
  <si>
    <t>Установка прибора учета для присоединения малоэтажной жилой застройки (Индивидуальный жилой дом/ Садовый/Дачный дом) заявителя Нуйковой Е. А., расположенной по адресу: Ростовская обл., Веселовский р-н, п. Веселый, ул. Береговая, д. 2-и к. н. 61:06:0600012:865</t>
  </si>
  <si>
    <t>Установка прибора учета для присоединения малоэтажной жилой застройки (Индивидуальный жилой дом/ Садовый/Дачный дом) заявителя Акопян Р. Г., расположенной по адресу: Ростовская обл., Веселовский р-н, п. Веселый, пер. Пушкинский, д. 27 к. н. 61:06:0010111:40</t>
  </si>
  <si>
    <t>Установка узла учета для присоединения РУ 0,4 кВ ТП 10/0,4 кВ ВЛ 10 кВ №3 ПС 35/10 кВ Б. Салы складского здания/помещения заявителя ИП Данилевский М. В., расположенного по адресу: РО., р-н. Аксайский, п. Щепкин, пер. Производственный, з/у 4, КН:61:02:0600006:6352 (1шт.)</t>
  </si>
  <si>
    <t>Установка приборов учета для присоединения ВРУ 0,4 кВ малоэтажных жилых застроек, земельных участков, жилого дома, здания, торгового нестационарного объекта и объекта сельскохозяйственного производства расположенных по адресу: РО., г. Аксай, п. Щепкин, п. Темерницкий, п. Янтарный, ст-ца Старочеркасская, ст-ца Грушевская, х. Каменный Брод, п. Аглос, х. Маяковского, (15шт.)</t>
  </si>
  <si>
    <t>Установка приборов учета для присоединения ВРУ 0,4 кВ жилых домов расположенных по адресу: Ростовская обл. Аксайский ра-н, х. Махин КН: 61:02:0600015:8160 (3 шт.)</t>
  </si>
  <si>
    <t>Установка прибора учёта на опоре (номер опоры определить при проектировании) ТП-10/0,4 кВ №129А по ВЛ 10 кВ М 414 от ПС 220/110/10 кВ Р-4 для присоединения объекта торговли заявителя ИП Сафронова В. А., расположенной по адресу: Ростовская обл., р-н. Аксайский, х. Камышеваха, кадастровый номер земельного участка: 61:02:0600010:8408. (1 шт.)</t>
  </si>
  <si>
    <t>Установка прибора учета для присоединения ВРУ 0,4 кВ малоэтажной жилой застройки, расположенной по адресу: РО., х. Нижнетемерницкий, ул. Толстого, 89, КН:61:02:0600006:4324, (1шт.)</t>
  </si>
  <si>
    <t>Установка прибора учета для присоединения ВРУ 0,4 кВ малоэтажной жилой застройки, расположенной по адресу: РО., х. Нижнетемерницкий, ул. Можжевеловая, 51, КН:61:02:0600006:3363, (1шт.)</t>
  </si>
  <si>
    <t>Установка приборов учета для присоединения ВРУ 0,4 кВ малоэтажных жилых застроек и нежилой застройки, расположенных по адресу: РО, п. Щепкин, х. Большой Лог, п. Янтарный, г. Аксай, п. Водопадный, ст-ца Старочеркасская, КН:61:02:0600006:8416, 61:02:0600006:8417, 61:02:0010201:6272, 61:02:0010201:7497, 61:02:0010130:11, 61:02:0600010:24715, 61:02:0010802:801, 61:02:0600013:2059, 61:02:0600013:4098, (9шт.)</t>
  </si>
  <si>
    <t>Установка приборов учета для присоединения ВРУ 0,4 кВ малоэтажных жилых застроек и нежилой застройки, расположенных по адресу: РО, г. Аксай, х Большой Лог, п. Янтарный, п. Темерницкий, п. Красный Сад, п. Рассвет, п. Октябрьский. КН: 61:02:0600010:4592, 61:02:0600011:801, 61:02:0600010:1129, 61:02:0081101:3466 61:01:0130201:5676, 61:02:0100207:1157, 61:02:0060101:4133 (7шт.)</t>
  </si>
  <si>
    <t>Установка приборов учета для присоединения ВРУ 0,4 кВ малоэтажных жилых застроек, расположенных по адресу: РО, г. Аксай, п. Октябрьский, ст.Старочеркасская, п. Дорожный, п. Щепкин, п. Рассвет, х. Нижнетемерницкий, ст. Ольгинская. 
КН: 61:02:0600010:24725, КН: 61:02:0080102:440, КН: 61:02:0600006:6103, КН: 61:02:0600013:2446, КН: 61:02:00501101:2556, КН: 61:02:0080501:125, КН: 61:02:0100207:712, КН: 61:02:0600005:13932, КН: 61:02:0600006:5509, КН: 61:02:0090103:2408, (10шт.)</t>
  </si>
  <si>
    <t xml:space="preserve">Установка приборов учета для присоединения ВРУ 0,4 кВ малоэтажных жилых застроек, расположенных по адресу: РО, п. Темерницкий, Родионово-Несветайский район (КН: 61:02:0600005:13708, КН: 61:02:0600005:13709 , КН: 61:33:0600015:628 (3шт.) </t>
  </si>
  <si>
    <t>Установка приборов учета для присоединения ВРУ 0,4 кВ малоэтажных жилых застроек, расположенных по адресу: РО., г. Аксай, х. Большой Лог, п. Янтарный, п. Российский, п. Щепкин, п. Красный Сад,х.Камышеваха,КН:61:02:0600010:21794,61:02:0600011:2777,61:02:0600011:2776,61:02:0010135:7,61:02:0600010:3508,61:02:0600010:10717,61:02:0080502:1423,61:02:0080502:1422,61:02:0600006:6877,61:02:0600006:7019,61:02:0600006:5818,61:02:0600006:7018,61:01:0130201:3765,61:01:0130201:5643,61:02:0010427:689,(16шт.)</t>
  </si>
  <si>
    <t>Установка прибора учета для присоединения нежилого помещения АО «Почта России» расположенного по адресу: Ростовская обл., р-н Багаевский, п. Привольный, ул. Центральная, д. 6, к.н. 61:03:0020310:27 (1 шт.)</t>
  </si>
  <si>
    <t>Установка прибора учета для присоединения базовой станции/оборудования сотовой связи ПАО «Ростелеком» расположенного по адресу: Ростовская обл., р-н Багаевский, х. Тузлуков, примерно 19 м по направлению на восток от границ участка по адресу: ул. Центральная, д. 5/1, к.н. 61:03:0050201:138 (1 шт.)</t>
  </si>
  <si>
    <t>Установка прибора учета для присоединения магазина заявителя ИП Авагян А. Ш., расположенного по адресу: Ростовская обл., Веселовский р-н, п. Веселый, ул. Октябрьская, 131 (к.н. 61:06:0010124:4)</t>
  </si>
  <si>
    <t>Установка прибора учета для присоединения жилого дома Мартиросян А.А. расположенного по адресу: Ростовская обл., р-н Семикаракорский, х.Чебачий,ул.Малькова,д. 60, к.н. 61:35:0060201:541</t>
  </si>
  <si>
    <t>Установка прибора учета для присоединения ВРУ 0,4 кВ жилого дома, расположенного по адресу: РО., г. Новочеркасск, С/Т №3 «Мелиоратор», (1шт.)</t>
  </si>
  <si>
    <t>Установка прибора учета для присоединения ВРУ 0,4 кВ жилого дома, расположенного по адресу: РО., х. Нижнетемерницкий, ул. Яблоневая, д. 32/28, КН:61:02:0600006:3007, (1шт.)</t>
  </si>
  <si>
    <t>Установка приборов учета для присоединения ВРУ 0,4 кВ малоэтажных жилых застроек, расположенных по адресу: РО., п. Щепкин, х. Камышеваха, п. Темерницкий, КН:61:02:0600006:4649, 61:33:0600015:607, 61:02:0010401:771, 61:02:0081101:3430, 61:02:0081101:3429, 61:02:0600005:10075, (6шт.)</t>
  </si>
  <si>
    <t>Установка приборов учета для присоединения ВРУ 0,4 кВ жилых домов, малоэтажной жилой застройки и земельного участка, расположенных по адресу: РО., ст-ца Мишкинская, п. Темерницкий, п. Дорожный, х. Каменный Брод, КН:61:02:070201:0568, 61:02:0600005:10220, 61:02:0050101:3016, 61:33:0600015:1042, (4шт.)</t>
  </si>
  <si>
    <t>Установка прибора учета для присоединения ВРУ 0,4 кВ земельного участка, расположенного по адресу: РО., п. Темерницкий, КН:61:02:0600005:12048, (1шт.)</t>
  </si>
  <si>
    <t>Установка прибора учета для присоединения ВРУ 0,4 кВ нежилой жилой застройки, расположенной по адресу: РО., п. Щепкин, ул. Южная, КН:61:02:0600006:8532, (1шт.)</t>
  </si>
  <si>
    <t>Установка приборов учета для присоединения ВРУ 0,4 кВ малоэтажных жилых застроек, жилых домов и земельного участка, расположенных по адресу: РО, ст-ца Мишкинская, п. Российский, п. Темерницкий, п. Щепкин, х. Большой Лог, ст-ца Старочеркасская, х. Каменный Брод, п. Октябрьский, п. Янтарный, п. Красный Сад, п. Рассвет, (14шт.)</t>
  </si>
  <si>
    <t>Установка приборов учета для присоединения ВРУ 0,4 кВ малоэтажных жилых застроек, объектов электросетевого хозяйства, участка без постройки, земельного участка и жилого дома, расположенных по адресу: РО, ст-ца Старочеркасская, х. Камышеваха, п. Щепкин, х. Александровка, п. Темерницкий, х. Большой Лог, х. Каменный Брод, п. Дорожный, ст-ца Ольгинская, г. Новочеркасск, п. Аглос, п. АО «Октябрьское», г. Аксай, (21шт.)</t>
  </si>
  <si>
    <t>Установка прибора учета для присоединения жилого дома Елшина В.А. расположенного по адресу: Ростовская обл., р-н Аксайский, х. Слава Труда, ул. Славянская, д. 27, к.н. 61:02:020301:0103 (1 шт.)</t>
  </si>
  <si>
    <t>Установка прибора учета для присоединения жилого дома Гречко Е.В. расположенного по адресу: Ростовская обл., р-н Багаевский, х. Усьман, ул. Братская, д. 92-б, к.н. 61:03:060407:0064 (1 шт.)</t>
  </si>
  <si>
    <t>Установка прибора учета для присоединения нежилого помещения АО «Почта России» расположенного по адресу: Ростовская обл., р-н Багаевский, х. Федулов, ул. Ленина, д. 20А, к.н. 61:03:0010205:65 (1 шт.)</t>
  </si>
  <si>
    <t>Установка прибора учета для присоединения малоэтажной жилой застройки (Индивидуальный жилой дом/ Садовый/Дачный дом) заявителя Хибухиной О. Е., расположенной по адресу: Ростовская обл., Веселовский р-н, п. Веселый, ул. Мира, д. 1-а, к.н. 61:06:0010138:201</t>
  </si>
  <si>
    <t>Установка прибора учета для присоединения жилого дома заявителя Кривобоковой Е. В., расположенного по адресу: Ростовская обл., Веселовский район, п. Садковский, ул. Механическая, д. 29, к.н. 61:06:0020504:470</t>
  </si>
  <si>
    <t>Установка прибора учета для присоединения жилого дома заявителя Затула К. А., расположенного по адресу: Ростовская обл., Веселовский р-н, х. Красный Маныч, ул. Центральная, д. 44, к.н. 61:06:0030304:8</t>
  </si>
  <si>
    <t>Установка прибора учета для присоединения объекта торговли (магазин, торговый центр, прочее) заявителя Аширали Е. А., расположенного по адресу: Ростовская обл., Веселовский р-н, п. Веселый, ул. Ленинская, д. 73-а, к.н. 61:06:0010125:704</t>
  </si>
  <si>
    <t>Установка прибора учета для присоединения индивидуального жилого дома с магазином заявителя Мардаровского А. Н., расположенного по адресу: Ростовская обл., Веселовский р-н, п. Веселый, пер. Базарный, д.4 к. н. 61:06:0010126:274</t>
  </si>
  <si>
    <t>Установка прибора учета для присоединения нежилого помещения Рыльщиков С.Н. расположенного по адресу: Ростовская обл., Семикаракорский район, ориентир контур поля №7 массива земель реорганизованного сельскохозяйственного предприятия АО «Донское», к.н. 61:35:0600012:979 (1 шт.)</t>
  </si>
  <si>
    <t>Установка прибора учета для присоединения малоэтажной жилой застройки Ковалева Р.А. расположенной по адресу: 346630, Российская Федерация, Ростовская обл., р-н Семикаракорский, г. Семикаракорск, ул. Заводская, д. 30, к.н. 61:35:0110202:362 (1 шт.)</t>
  </si>
  <si>
    <t>Установка прибора учета для присоединения малоэтажной жилой застройки Ковалева Р.А. расположенной по адресу: 346630, Российская Федерация, Ростовская обл., р-н Семикаракорский, г. Семикаракорск, ул. Заводская, д. 30а, к.н. 61:35:0110202:361 (1 шт.)</t>
  </si>
  <si>
    <t>Установка прибора учета для присоединения ВРУ 0,4 кВ земельного участка, жилого дома, расположенных по адресу: РО., п. Щепкин, КН:61:02:0600006:7032, (1шт.)</t>
  </si>
  <si>
    <t>Установка прибора учета для присоединения ВРУ 0,4 кВ земельного участка, жилого дома, расположенных по адресу: РО., п. Щепкин, КН:61:02:0600006:7037, (1шт.)</t>
  </si>
  <si>
    <t>Установка прибора учета для присоединения ВРУ 0,4 кВ земельного участка, жилого дома, расположенных по адресу: РО., п. Щепкин, КН:61:02:0600006:8113, (1шт.)</t>
  </si>
  <si>
    <t>Установка узла учета для присоединения в РУ 0,4 кВ ТП-10/0,4 кВ Заявителя от опоры №26 КВЛ 10 кВ №1547 ПС 110/10-10 кВ АС-15 заявителя ИП Беспалов Е.В., расположенной по адресу: Ростовская обл., р-н Аксайский, п. Янтарный, кадастровый номер земельного участка:61:02:0010115:5 (1 шт.)</t>
  </si>
  <si>
    <t>Установка прибора учета для присоединения ВРУ 0,4 кВ земельного участка индивидуального жилого дома, малоэтажной жилой застройки, расположенных по адресу: РО., Аксайский р-н, п. Щепкин, КН:61:02:0600006:7049, 61:02:0600006:8492, (2шт.)</t>
  </si>
  <si>
    <t>Установка прибора учета для присоединения ВРУ 0,4 кВ малоэтажной жилой застройки, расположенной по адресу: РО., п. Щепкин, КН:61:02:0600006:7044, (1шт.)</t>
  </si>
  <si>
    <t>Установка прибора учета для присоединения ВРУ 0,4 кВ земельного участка и жилого дома, расположенных по адресу: РО., п. Щепкин, КН:61:02:0600006:7083, (1шт.)</t>
  </si>
  <si>
    <t>Установка прибора учета для присоединения ВРУ 0,4 кВ земельного участка и индивидуального жилого дома, расположенных по адресу: РО., п. Щепкин, КН:61:02:0600006:7067, (1шт.)</t>
  </si>
  <si>
    <t>Установка прибора учета для присоединения ВРУ 0,4 кВ малоэтажной жилой застройки, расположенной по адресу: РО., п. Щепкин, КН:61:02:0600006:707, (1шт.)</t>
  </si>
  <si>
    <t>Установка прибора учета для присоединения ВРУ 0,4 кВ малоэтажной жилой застройки, РО р-н. Аксайский, х. Нижнетемерницкий, ул. Виноградная, д. 45, КН: 61:02:0600006:7866 (1шт)</t>
  </si>
  <si>
    <t>Установка приборов учета для присоединения ВРУ 0,4 кВ малоэтажных жилых застроек, расположенных по адресу: РО, п. Темерницкий, ст-ца Старочеркасская, х. Большой Лог, г. Аксай, х. Истомино, п. Щепкин, п. Рассвет, ст-ца Грушевская, (11шт.)</t>
  </si>
  <si>
    <t>Установка приборов учета для присоединения ВРУ 0,4 кВ земельных участков, малоэтажных жилых застроек, расположенных по адресу: РО., п. Щепкин, п. Водопадный, ст-ца Ольгинская, х. Большой Лог, КН:61:02:0600006:6743, 61:02:0600006:6748, 61:02:0600006:6757, 61:02:0010802:12, 61:02:0090102:4349, 61:02:0600011:2865, (6шт.)</t>
  </si>
  <si>
    <t>Установка приборов учета для присоединения ВРУ 0,4 кВ малоэтажных жилых застроек, земельных участков и индивидуального жилого дома, расположенных по адресу: РО., ст-ца Мишкинская, п. Октябрьский, п. Щепкин, п. Темерницкий, х. Каменный Брод, ст-ца Старочеркасская, КН:61:02:0600009:1298, 61:02:0600004:2138, 61:02:0600006:7078, 61:02:0600005:13249, 61:33:0600015:1290, 61:02:0600013:2451, 61:02:0600013:2449, (7шт.)</t>
  </si>
  <si>
    <t>Установка приборов учета для присоединения ВРУ 0,4 кВ малоэтажных жилых застроек, нежилых застроек, земельных участков и нежилого помещения, расположенных по адресу: РО, х. Большой Лог, п. Янтарный, п. Дорожный, ст-ца Грушевская, ст-ца Ольгинская, п. Красный Сад, ст-ца Старочеркасская, п. Октябрьский, ст-ца Мишкинская, х. Островского, п. Щепкин, АО «Щепкинское», (18шт.)</t>
  </si>
  <si>
    <t>Установка приборов учета для присоединения ВРУ 0,4 кВ малоэтажных жилых застроек, земельных участков, жилых домов, гаража и нежилой застройки, расположенных по адресу: РО, г. Аксай, п. АО «Октябрьское», п. Щепкин, совх. Каменобродский, х. Большой Лог, ст-ца Ольгинская, х. Александровка, п. Янтарный, ст-ца Старочеркасская, тер. АО «Щепкинское», (26шт.)</t>
  </si>
  <si>
    <t>Установка прибора учета для присоединения нежилого помещения АО «Почта России» расположенного по адресу: Ростовская обл., р-н Багаевский, х. Карповка, ул. Зеленая, д. 13, кв. 1,2, к.н. 61:03:0020203:92 (1 шт.)</t>
  </si>
  <si>
    <t>Установка прибора учета для присоединения малоэтажной жилой застройки (индивидуальный жилой дом/садовый/дачный дом) Момотова В.А. расположенного по адресу: Ростовская обл., р-н Багаевский, ст. Манычская, ул. Магаданская, д. 5Б, к.н. 61:03:0040131:2 (1 шт.)</t>
  </si>
  <si>
    <t>Установка прибора учета для присоединения нежилого помещения Зориной Ю.А. расположенного по адресу: Ростовская обл., р-н Багаевский, х. Красный, ул. Центральная, д. 10/2, пом. 2, к.н. 61:03:0060101:457 (1 шт.)</t>
  </si>
  <si>
    <t>Установка прибора учета для присоединения жилого дома заявителя Кирпичева Г.Б., расположенного по адресу: Ростовская обл., Веселовский р-н, п. Веселый, ул,Ленинская, д.150 (к.н. 61:06:0010105:44)</t>
  </si>
  <si>
    <t>Установка прибора учета для присоединения малоэтажной жилой застройки (Индивидуальный жилой дом/ Садовый/Дачный дом), заявителя Шлапунова М. А., расположенной по адресу: Ростовская обл., Веселовский р-н, п. Веселый, ул. Степная, д. 2, к.н. 61:06:0010138:1097</t>
  </si>
  <si>
    <t>Установка прибора учета для присоединения вагончика, заявителя ИП Главы КФХ Убийко А. А., расположенного по адресу: Ростовская обл., Веселовский р-н, х. Свобода, участок находится примерно в 1,5 км от ориентира по направлению на север (к.н. 61:06:0600007:51)</t>
  </si>
  <si>
    <t>Установка прибора учета для присоединения малоэтажной жилой застройки Овсянниковой В.В. расположенной по адресу: 346651, Российская Федерация, Ростовская обл., р-н Семикаракорский, х. Сусат, д. 72, кадастровый номер земельного участка: 61:35:0090101:615 (1 шт.)</t>
  </si>
  <si>
    <t>Установка приборов учета для присоединения ВРУ 0,4 кВ малоэтажных жилых застроек, расположенных по адресу: РО., п. Октябрьский, ст-ца Ольгинская, КН:61:02:0600004:2234, 61:02:0090102:4258, (2шт.)</t>
  </si>
  <si>
    <t>Установка приборов учета для присоединения ВРУ 0,4 кВ индивидуального жилого дома, малоэтажных жилых застроек, нежилой застройки и базовой станции, расположенных по адресу: РО., х. Нижнетемерницкий, п. Темерницкий, п. АО «Октябрьское», п. Янтарный, КН:61:02:0600005:13930, 61:02:0600005:14284, 61:02:0600005:13710, 61:02:0600005:13519, 61:02:0600004:3351, 61:02:0010152:1, (6шт.)</t>
  </si>
  <si>
    <t>Установка прибора учета для присоединения ВРУ 0,4 кВ малоэтажной жилой застройки, расположенной по адресу: РО., ст-ца Мишкинская, ул. Платова, д. 64, КН:61:02:0070201:21, (1шт.)</t>
  </si>
  <si>
    <t>Установка прибора учета для присоединения ВРУ 0,4 кВ нежилой застройки, расположенной по адресу: РО., ст-ца Ольгинская, ул. Ленина, д.152-Д, КН:61:02:0090102:4294, (1шт.)</t>
  </si>
  <si>
    <t>Установка прибора учета для присоединения ВРУ 0,4 кВ малоэтажной жилой застройки, расположенной по адресу: РО., г. Аксай, проезд Воронцова, д.40, КН:61:02:0600010:5562, (1шт.)</t>
  </si>
  <si>
    <t>Установка прибора учета для присоединения ВРУ 0,4 кВ малоэтажной жилой застройки, расположенной по адресу: РО., п. Аглос, поле рядом с котеджным поселком Ясная поляна, КН:61:02:0600005:11388, (1шт.)</t>
  </si>
  <si>
    <t>Установка приборов учета для присоединения ВРУ 0,4 кВ малоэтажной жилой застройки и земельного участка индивидуального жилого дома, расположенных по адресу: РО., х. Нижнетемерницкий, х. Каменный Брод, КН:61:02:0080401:38, 61:33:0600015:1472, (2шт.)</t>
  </si>
  <si>
    <t>Установка приборов учета для присоединения ВРУ 0,4 кВ малоэтажных жилых застроек, нежилой застройки, земельного участка индивидуального жилого дома, расположенных по адресу: РО., г. Аксай, п. Красный Сад, п. Янтарный, п. Водопадный, КСП им. М. Горького, п. Темерницкий, х. Большой Лог, ст-ца Ольгинская, ст-ца Старочеркасская, п. Щепкин, п. Октябрьский, п. Красный, (19шт.)</t>
  </si>
  <si>
    <t>Установка приборов учета для присоединения ВРУ 0,4 кВ малоэтажных жилых застроек, земельных участков, жилого дома, нежилой застройки, расположенных по адресу: РО., ст-ца Мишкинская, п. Янтарный, п. Щепкин, п. Темерницкий, КН:61:02:0070203:72, 61:02:0011001:18, 61:02:0600006:6136, 61:02:0080501:547, 61:02:0600006:8498, 61:02:0081101:3583, 61:02:0600005:9985, (7шт.)</t>
  </si>
  <si>
    <t>Установка прибора учета для присоединения жилого дома Миронова А.А. расположенного по адресу: Ростовская обл., р-н Аксайский, х. Слава Труда, ул. Славянская, д. 7, к.н. 61:02:0020301:79 (1 шт.)</t>
  </si>
  <si>
    <t>Установка прибора учета для присоединения жилого дома Карибян А.О. расположенного по адресу: Ростовская обл., р-н Багаевский, х. Ажинов, ул. Школьная, д. 20, к.н. 61:03:0020103:10 (1 шт.)</t>
  </si>
  <si>
    <t>Установка прибора учета для присоединения малоэтажной жилой застройки (Индивидуальный жилой дом/ Садовый/Дачный дом), заявителя Елисеевой А. С., расположенной по адресу: Ростовская обл., Веселовский р-н, Веселовское сельское поселение, к.н. 61:06:0600012:1135</t>
  </si>
  <si>
    <t>Установка прибора учета для присоединения магазина ИП Поликарповой А. М., расположенного по адресу: Ростовская обл., Веселовский район, п. Садковский, ул. Центральная, д. 16-б, к.н. 61:06:0020504:49</t>
  </si>
  <si>
    <t>Установка прибора учета для присоединения жилого дома, заявителя Кравчука С. Н., расположенного по адресу: Ростовская обл., Веселовский р-н, п. Веселый, пер. Западный, 7, к.н. 61:06:0010116:202</t>
  </si>
  <si>
    <t>Установка прибора учета для присоединения нежилого помещения АО «Почта России» расположенного по адресу: 346647, Ростовская область, р-н Семикаракорский, п. Зеленая Горка, ул. А.С. Пушкина, д. 11, кадастровый номер земельного участка: 61:35:0040101:1068 (1 шт.)</t>
  </si>
  <si>
    <t>Установка прибора учета для присоединения нежилого помещения АО «Почта России» расположенного по адресу: 346642, Ростовская область, р-н Семикаракорский, х. Страхов, пер. Почтовый, д. 17, кв. 1,2,3,4,5 кадастровый номер земельного участка: 61:35:0100201:1040 (1 шт.)</t>
  </si>
  <si>
    <t>Установка прибора учета для присоединения ВРУ 0,4 кВ малоэтажной жилой застройки, расположенной по адресу: РО., ст-ца Грушевская, ул. Шостаковича, КН:61:02:0600002:3302, (1шт.)</t>
  </si>
  <si>
    <t>Установка приборов учета для присоединения ВРУ 0,4 кВ земельных участков индивидуальных жилых домов, малоэтажных жилых застроек, объектов наружного освещения, расположенных по адресу: РО., п. Щепкин, КСП им. Горького, х. Большой Лог, п. Российский, х. Камышеваха, х. Каменный Брод, п. Темерницкий, х. Ленина, г. Аксай, ст-ца Ольгинская, КН:61:33:0600015:1483, 61:02:0600006:6935, 61:02:0600009:1285, 61:02:0600010:2858, 61:02:0600010:2863, 61:02:0600011:2852, 61:02:0010301:1332, 61:02:0000000:493, 61:33:0600015:1102,  61:02:0600005:10491, 61:02:0080502:1435, 61:02:0060101:4223, 61:02:00600010:14254, 61:02:0090102:4399, (14шт.)</t>
  </si>
  <si>
    <t>Установка прибора учета для присоединения ВРУ 0,4 кВ жилого дома, солнечной электростанции, расположенных по адресу: РО., п. Щепкин, ул. Молодежная, д.5, КН:61:02:0080501:47, (1шт.)</t>
  </si>
  <si>
    <t>Установка приборов учета для присоединения ВРУ 0,4 кВ малоэтажных жилых застроек, жилого дома, земельного участка, расположенных по адресу: РО., х. Большой Лог, ст-ца Ольгинская, г. Аксай, ст-ца Мишкинская, п. Дорожный, п. Красный Сад, х. Нижнеподпольный, п. Щепкин, п. Октябрьский, х. Островского, КН: 61:02:0600011:743, 61:02:0010201:6159, 61:02:0090102:3575, 61:02:0070202:2368, 61:02:0600010:5570,  61:02:00600009:3710, 61:02:0050101:2650, 61:01:0130201:4574, 61:01:0090201:1070, 61:02:0080502:1419, 61:02:00600004:3448, 61:02:0050201:494, (12шт.)</t>
  </si>
  <si>
    <t>Установка прибора учета для присоединения ВРУ 0,4 кВ малоэтажной жилой застройки, расположенной по адресу: РО., ст-ца Старочеркасская, ул. Ильинская, д. 38, КН:61:02:0600013:1943, (1шт.)</t>
  </si>
  <si>
    <t>Установка прибора учета для присоединения ВРУ 0,4 кВ малоэтажной жилой застройки, расположенных по адресу: РО., х. Островского, ул. Кирова, д.5а, КН:61:02:0050201:958, (1шт.)</t>
  </si>
  <si>
    <t>Установка прибора учета для присоединения ВРУ 0,4 кВ малоэтажной жилой застройки, расположенных по адресу: РО., п. Красный Сад, ул. Некрасова, д.4, КН:61:01:0130201:5709, (1шт.)</t>
  </si>
  <si>
    <t>Установка приборов учета для присоединения ВРУ 0,22 кВ малоэтажных жилых застроек, расположенных по адресу: РО., п. Российский, ст-ца Ольгинская, п. Щепкин, г. Аксай, п. Красный Сад, х. Ленина, (17шт.)</t>
  </si>
  <si>
    <t>Установка приборов учета для присоединения ВРУ 0,4 кВ земельных участков и индивидуальных жилых домов, малоэтажных жилых застроек, нежилой застройки, солнечной электростанции, расположенных по адресу: РО., п. Щепкин, г. Аксай, ст-ца Ольгинская, п. Российский, ст-ца Старочеркасская, х. Большой Лог, п. Темерницкий, п. Красный Сад, х. Каменный Брод, п. Водопадный, х. Камышеваха, п. Янтарный, п. Красный, (23шт.)</t>
  </si>
  <si>
    <t>Установка приборов учета для присоединения ВРУ 0,4 кВ земельных участков и индивидуального жилого дома, расположенных по адресу: РО., х. Каменный Брод, уч. 60, п. Щепкин, проезд Золотой 17, КН:61:33:0600015:1079, 61:02:0600006:6094, (2шт.)</t>
  </si>
  <si>
    <t>Установка приборов учета для присоединения ВРУ 0,4 кВ малоэтажных жилых застроек и объекта животноводства, расположенных по адресу: РО., п. Красный Сад, п. Темерницкий, п. Октябрьский, г. Аксай, ст-ца Ольгинская, ст-ца Старочеркасская, п. Янтарный, (10шт.)</t>
  </si>
  <si>
    <t>Установка приборов учета для присоединения ВРУ 0,4 кВ малоэтажных жилых застроек, земельных участков индивидуальных жилых домов, расположенных по адресу: РО., х. Большой Лог, п. Аглос, п. Красный Сад, с/х КСП им. М.Горького, п. Щепкин, х. Камышеваха, КН:61:02:0600011:2857,61:02:0600011:2861,61:02:0600006:7080, 61:01:0130201:5162, 61:01:0600007:2225, 61:02:0600009:1575, 61:02:0600006:8516, 61:02:0010401:783, (8шт.)</t>
  </si>
  <si>
    <t>Установка прибора учета для присоединения малоэтажной жилой застройки (Индивидуальный жилой дом/ Садовый/Дачный дом), заявителя Колесниковой Е. П., расположенной по адресу: Ростовская обл., Веселовский р-н, п. Веселый, пер. Кленовый, к.н. 61:06:0600012:1782</t>
  </si>
  <si>
    <t>Установка прибора учета для присоединения жилого дома, заявителя Павлюковой А. В., расположенного по адресу: Ростовская обл., Веселовский р-н, п. Веселый, ул. Ленинская, 109, к.н. 61:06:0010125:28</t>
  </si>
  <si>
    <t>Установка приборов учета для присоединения ВРУ 0,4 кВ малоэтажных жилых застроек, земельного участка, жилых домов и вышка связи, расположенных по адресу: РО., п. Темерницкий, х. Большой Лог, ст-ца Грушевская, п. Янтарный, п. Щепкин, п. Красный Сад, х. Ленина, ст-ца Старочеркасская, (19шт.)</t>
  </si>
  <si>
    <t>Установка приборов учета для присоединения ВРУ 0,4 кВ малоэтажных жилых застроек, расположенных по адресу: РО., х. Каменный Брод, п. Темерницкий, КН: 61:33:0600015:1308, 61:02:0600005:5363, (2шт.)</t>
  </si>
  <si>
    <t>Установка приборов учета для присоединения ВРУ 0,4 кВ малоэтажных жилых застроек, земельных участков, индивидуальных жилых домов, расположенных по адресу: РО., х. Махин, ст-ца Ольгинская, ст-ца Грушевская, ст-ца Старочеркасская, п. Российский, х. Каменный Брод, п. Щепкин, КН: 61:02:0600015:5706, 61:02:0600015:7851, 61:02:0600002:1134, 61:02:0600013:1936, 61:02:0010301:1763, 61:33:0600015:1495, 61:02:0600006:6864, 61:02:0600006:8513, (8шт.)</t>
  </si>
  <si>
    <t>Установка прибора учета для присоединения ВРУ 0,4 кВ СТО, расположенного по адресу: РО., ст-ца Грушевская, Новочеркасское шоссе, КН: 61:02:0600002:3157, (1шт.)</t>
  </si>
  <si>
    <t>Установка приборов учета для присоединения ВРУ 0,4 кВ малоэтажных жилых застроек, склада металлических изделий, расположенных по адресу: РО., ст-ца Ольгинская, п. АО «Октябрьское», п. Темерницкий, х. Большой Лог, п. Щепкин, АО "Темерницкое", КН: 61:02:0600015:7852, 61:02:0090103:3543, 61:02:0600004:2498, 61:02:0600005:7354, 61:02:0081101:2769, 61:02:0600011:2856, 61:02:0600011:2884, 61:02:0600011:2941, 61:02:0081101:54 (9шт.)</t>
  </si>
  <si>
    <t>Установка прибора учета для присоединения ВРУ 0,4 кВ индивидуального жилого дома, расположенного по адресу: РО., п. Октябрьский, ул. Степная, д. 19, корп. А, КН: 61:02:0500004:2025, (1шт.)</t>
  </si>
  <si>
    <t>Установка приборов учета для присоединения ВРУ 0,4 кВ малоэтажных жилых застроек и дачного участка Якидовича В.М., Кривенко Н. А., Логвинов Ю.Е., расположенных по адресу: РО., п. Российский, ст-ца Старочеркасская, Кутейниковское сельское поселение "Царицино", КН: 61:02:0600010:18638, 61:02:0110102:4357, 61:33:0600015:1498 (3шт.)</t>
  </si>
  <si>
    <t>Установка приборов учета для присоединения ВРУ 0,4 кВ малоэтажных жилых застроек, гаража, нежилой
застройки, расположенных по адресу: РО., п. Водопадный, х. Камышеваха, п. Красный Сад, х. Большой Лог, п. Российский, п. Щепкин, ст-ца Старочеркасская, ст-ца Ольгинская, х. Ленина, п. Янтарный, ст-ца. Мишкинская, г. Аксай, г. Батайск, (31шт.)</t>
  </si>
  <si>
    <t>Установка прибора учета для присоединения магазина ИП Ахмедовой Э.Т. расположенного по адресу: Ростовская обл., р-н Багаевский, х. Усьман, пер. Солнечный, д. 1/1, к.н. 61:03:0060407:444 (1 шт.)</t>
  </si>
  <si>
    <t>Установка прибора учета для присоединения малоэтажной жилой застройки (Индивидуальный жилой дом/ Садовый/Дачный дом), заявителя Чукавиной Е. В., расположенной по адресу: Ростовская обл., Веселовский р-н, п. Новоселовка, ул. Коллективная, 22, к.н. 61:06:0040301:54</t>
  </si>
  <si>
    <t>Установка прибора учета для присоединения малоэтажной жилой застройки Абдурахмановой А.И. расположенной по адресу: Ростовская обл., р-н. Семикаракорский, ст-ца. Новозолотовская, ул. Первомайская, д. 16, к. н.: 61:35:0060101:804 (1 шт.)</t>
  </si>
  <si>
    <t>Установка прибора учета для присоединения объекта торговли Казанцевой Г.В. расположенного по адресу: Ростовская обл., р-н. Семикаракорский, ст-ца. Задоно-Кагальницкая, пер. Советский, д. 1, к. н.: 61:35:0030101:3796 (1 шт.)</t>
  </si>
  <si>
    <t>Установка прибора учета для присоединения малоэтажной жилой застройки Ковалева Р.А. расположенной по адресу: Ростовская обл., р-н. Семикаракорский, г. Семикаракорск, ул. Заводская, д. 32а, к.н. 61:35:0110202:371 (1 шт.)</t>
  </si>
  <si>
    <t>Установка прибора учета для присоединения земельного участка Шаюсупова Я.А. расположенного по адресу: Ростовская обл., р-н Семикаракорский, г. Семикаракорск, контур поля № 13 массива земель реорганизованного сельскохозяйственного предприятия АО "Донское", к.н. 61:35:0600012:1070 (1 шт.)</t>
  </si>
  <si>
    <t>Установка прибора учета для присоединения малоэтажной жилой застройки Ковалева Р.А. расположенной по адресу: Ростовская обл., р-н. Семикаракорский, г. Семикаракорск, ул. Заводская, д. 32, к.н. 61:35:0110202:372 (1 шт.)</t>
  </si>
  <si>
    <t>Установка прибора учета для присоединения малоэтажной жилой застройки Гаушева А.В. расположенной по адресу: Ростовская обл., р-н. Семикаракорский, г. Семикаракорск, ул. Солнечная, д. 1/5, к.н. 61:35:0110208:139 (1 шт.)</t>
  </si>
  <si>
    <t>Установка прибора коммерческого учета электрической энергии (мощности) в точке поставки для присоединения офисного здания (к.н. 61:20:0070101:2965) ООО «Новоселовское», расположенного по адресу: Ростовская область, Мартыновский район, х. Новоселовка, ул. Советская, д. 100, к.н.з.у: 61:20:0070101:2927 (количество приборов - 1 шт)</t>
  </si>
  <si>
    <t>Установка прибора коммерческого учета электрической энергии (мощности) в точке поставки для присоединения ТП 6/0,4 кВ ПАО «Газпром», расположенной по адресу: Ростовская область, Волгодонской район, х. Сухая Балка, 6300 м северо-западнее дома №2 ул. Новоселов, к.н.з.у: 61:08:0600801:851 (количество приборов - 1 шт)</t>
  </si>
  <si>
    <t>Установка прибора коммерческого учета электрической энергии (мощности) в точке поставки для присоединения ТП 6/0,4 кВ ООО «РЗК «Ресурс», расположенной по адресу: Ростовская область, Волгодонской район, х. Сухая Балка, раб уч. 10, 25, 26, 27, 78, 79, 80, 82 в 4 км к западу от х. Сухая Балка, к.н.з.у.: 61:08:0600801:34</t>
  </si>
  <si>
    <t>Установка прибора коммерческого учета электрической энергии (мощности) в точке поставки и монтаж ответвления от ВЛ к вводу для присоединения  электроприемников объектов в составе стройки "Расширение ЕСГ для обеспечения подачи газа в газопровод "Южный поток." Этап 2.2 (код стройки 051-2002669), расположенных (которые будут распологаться) расположенные Ростовской области участок газопровода «Починки-Анапа» км 963,7-км 1168,1</t>
  </si>
  <si>
    <t>Установка прибора коммерческого учета электрической энергии (мощности) в точке поставки для присоединения животноводческой точки СПК «Прима», расположенной по адресу: Ростовская область, Мартыновский район, сл. Большая Мартыновка, Мартыновское сельское поселение, к.н.з.у: 61:20:00600025:3736 (количество приборов - 1 шт</t>
  </si>
  <si>
    <t>Установка прибора коммерческого учета электрической энергии (мощности) в точке поставки для присоединения базовой станции ПАО «МТС», расположенной по адресу: Ростовская область, г. Волгодонск, СНТ «Машиностроитель», 123 ж др, кадастровый номер земельного участка 61:48:0020704:81 (количество приборов - 1 шт)</t>
  </si>
  <si>
    <t xml:space="preserve">Установка прибора коммерческого учета электрической энергии (мощности) в точке поставки для присоединения дома механизатора ООО «Комаровское», расположенного по адресу: Ростовская область, Мартыновский район, Комаровское сельское поселение, к.н.з.у: 61:20:0600014:1516 </t>
  </si>
  <si>
    <t>Установка прибора коммерческого учета электрической энергии (мощности) в точке поставки для присоединения производственной базы КХ "Маяк", расположенной по адресу: Ростовская область, Мартыновский район, х. Новониколаевский, ул. Центральная д.6, корп. а, к.н.з.у.: 61:20:0000000:3355</t>
  </si>
  <si>
    <t>Установка пункта коммерческого учета, для присоединения ТП 10/0,4 кВ ФКУ «УАМ Москва-Волгоград Федерального дорожного агентства», расположенного по адресу: Ростовская область, Тацинский район, х. Коминтерн, автодорога А-280 (М-21) км 252+250-км, к.н. отсутствует (прибор учёта электроэнергии - 1шт.)</t>
  </si>
  <si>
    <t>Установка пункта коммерческого учета, для присоединения ТП 10/0,4 кВ ООО «Каменсквзрывпром», расположенного по адресу: Ростовская область, Каменский р-н, п. Чистоозерный, ул. Степная, д. № 7-А к.н. 61:15:602501:0004, ул. Степная, д. № 7-Г,к.н. 61:15:0602501:1498 (прибор учета электрической энергии - 1 шт.)</t>
  </si>
  <si>
    <t>Установка пункта коммерческого учета, для присоединения объекта фермерского хозяйства ИП Крютченко А.В., расположенного по адресу: Ростовская область, Каменский р-н, х. Старая Станица, земли фонда перераспределения (ПТФ «Старостаничная») участок   № 10, К.Н.З.У. 61:15:0601601:214 (прибор учета электрической энергии - 1 шт.)</t>
  </si>
  <si>
    <t>Установка пункта коммерческого учёта, для присоединения ТП 6/0,4 кВ карьера ООО «Ключевское Горное Управление», расположенного по адресу: Ростовская область, Тацинский район, п. Жирнов, примерно в 3,01 км на запад от пер. Пионерский, д. 10, к.н. 61:38:0600008:1292 (прибор учёта электроэнергии - 1шт.)</t>
  </si>
  <si>
    <t>Установка пункта коммерческого учёта, для присоединения ТП 10/0,4 кВ ФКУ «УАМ Москва-Волгоград Федерального дорожного агентства», расположенного по адресу: Ростовская обл., р-н. Тацинский, ст-ца. Тацинская, установлено относительно ориентира, расположенного в границах участка. Почтовый адрес ориентира: Ростовская обл., р-н Тацинский, автодорога М-21 км. 248+50 - км. 271+1150, к.н. 61:38:0000000:91 (прибор учёта электроэнергии - 1шт.)</t>
  </si>
  <si>
    <t>Установка пункта коммерческого учета, для присоединения ВЛ-10 кВ,ООО «Рыбная ферма «Экодон», расположенного по адресу: Ростовская область, Каменский р-н, х. Волченский, ул. Молодёжная, 70, КН 61:15:0602301:148 (прибор учета электрической энергии - 1 шт.)</t>
  </si>
  <si>
    <t>Установка прибора коммерческого учёта электрической энергии, для присоединения скважины 11Л АО «Леоновское», расположенного по адресу: Ростовская область, Тарасовский район, западнее  х. Нижнемитякин в соответствии с кадастровым номером, к.н. 61:37:0600010:629 (прибор учёта электроэнергии - 1шт)</t>
  </si>
  <si>
    <t>Установка пункта коммерческого учета, для присоединения АГНКС ИП Вовк М.С., расположенной по адресу: Ростовская область, Каменский р-н, п. Глубокий, 500 м на на восток от ул. Н. Элеваторная, к.н. 61:15:0010111:82 (1 шт.)</t>
  </si>
  <si>
    <t>Установка пункта коммерческого учёта, для присоединения ЛЭП 6 кВ АЗС ООО «Альянс Розница» расположенного по адресу: Ростовская область, Тацинский район, станица Тацинская, автодорога «Волгоград-Каменск-Шахтинский», 272 км, к.н. 61:38:0600004:952 (прибор учёта электроэнергии – 1 шт.)</t>
  </si>
  <si>
    <t>Установка системы учета для технологического присоединения энергопринимающих устройств Заявителя (ИП Панкова Е.В.) по адресу: Ростовская область, г. Таганрог, ул. Мариупольское шоссе, д. 14, корпус 2, к.н. 61:58:0005169:78 (1 шт.)</t>
  </si>
  <si>
    <t>Установка системы учета для технологического присоединения Заявителя ООО "Примэнерго" по адресу: Ростовская область, Неклиновский район, с. Александрова Коса, ул. Смирнова, д. 8л, к.н. 61:26:0180601:744 (1 шт.)</t>
  </si>
  <si>
    <t>Установка системы учета для технологического присоединения Заявителя: ООО «Компания АКВА-ЮГ» в Неклиновском районе Ростовской области (1 шт.).</t>
  </si>
  <si>
    <t>Установка системы учета для технологического присоединения ИП Чередниченко Владимир Васильевич по адресу: Ростовская область, Неклиновский район, с. Покровское, ул. Привокзальная, д. 104, (1шт.)</t>
  </si>
  <si>
    <t>Установка системы учета для технологического присоединения энергопринимающих устройств Заявителя (ИП Янчук В.В.) по адресу: Ростовская область, Мясниковский район, х. Калинин, ж/д станция Хапры, к.н. 61:25:0601001:2866 (1 шт.)</t>
  </si>
  <si>
    <t>Установка системы учета для технологического присоединения энергопринимающих устройств Заявителя (ИП Бедин Д.А.) по адресу: Ростовская область, Мясниковский район, х. Ленинакан, ул. Торговый проспект, д. 1, к.н. 61:25:0600401:16517 (1 шт.)</t>
  </si>
  <si>
    <t>Установка системы учета для технологического присоединения Заявителя (Микиртычев Н.С.) по адресу: Ростовская область, Мясниковский район, х. Красный Крым, ул. Налбандяна, уч. 2, к.н. 61:25:0600401:17843. (1шт.)</t>
  </si>
  <si>
    <t>Установка системы учета для технологического присоединения Заявителя (Григорьян А.Г.) по адресу: Ростовская область, Мясниковский район, х. Красный Крым, ул. Георгиевская, д. 1/1, к.н. 61:25:0600401:18048. (1шт.)</t>
  </si>
  <si>
    <t>Установка системы учета для технологического присоединения Заявителя (Сухоруков Н.Н.) по адресу: Ростовская область, Мясниковский район, Краснокрымское сельское поселение, на землях колхоза «Дружба», к.н. 61:25:0600401:2532. (1шт.)</t>
  </si>
  <si>
    <t>Установка системы учета для технологического присоединения Заявителя (Орос Р.Г.) по адресу: Ростовская область, Мясниковский район, Краснокрымское с/п на землях колхоза «Дружба», к.н. 61:25:0600401:2500. (1шт.)</t>
  </si>
  <si>
    <t>Установка системы учета для технологического присоединения Заявителя (ИП Тамбиева М.Ю.) по адресу: Ростовская область, Мясниковский район, установлено относительно ориентира в границах участка к.н. 61:25:0600401:17236. (1шт.)</t>
  </si>
  <si>
    <t>Установка системы учета для технологического присоединения Заявителя (ИП Тышлангян А.Х.) по адресу: Ростовская область, Мясниковский район, установлено относительно ориентира в границах участка к.н. 61:25:0600401:9195. (1шт.)</t>
  </si>
  <si>
    <t>Установка системы учета для технологического присоединения Заявителя: Хордаев В.С. в Мясниковском районе Ростовской области (1 шт.)</t>
  </si>
  <si>
    <t>Установка системы учета для технологического присоединения энергопринимающих устройств Заявителя (ООО «Горизонт») по адресу: Ростовская область, г. Таганрог, ул. Таврическая, 2а (1 шт.)</t>
  </si>
  <si>
    <t>Установка системы учета для технологического присоединения энергопринимающих устройств Заявителя (ООО «Радиус») по адресу: Ростовская область, г. Таганрог, ул. 1-я Котельная, д. 69, к.н. 61:58:0003233:122 (1 шт.)</t>
  </si>
  <si>
    <t>Установка системы учета для технологического присоединения Заявителя (ООО «Радиус») по адресу: Ростовская область, Неклиновский район, с. Петрушино, РПС колхоз Заря России, поле 8/21, к.н. 61:26:0600024:44 (1 шт.)</t>
  </si>
  <si>
    <t>Установка системы учета для технологического присоединения энергопринимающих устройств Заявителей: ПАО «МТС» в г. Таганроге, Ростовской области (1 шт.)</t>
  </si>
  <si>
    <t>Установка системы учета для технологического присоединения Заявителя (Термалаян С.С.) по адресу: Ростовская область, Мясниковский район, установлено относительно ориентира в границах участка к.н. 61:25:0600401:8102. (1шт.)</t>
  </si>
  <si>
    <t>Установка системы учета для технологического присоединения Заявителя (ООО «Новые технологии») по адресу: Ростовская область, Мясниковский район, к.н. 61:25:0600401:1313. (1шт.)</t>
  </si>
  <si>
    <t>Установка системы учета для технологического присоединения энергопринимающих устройств Заявителя (ФКУ «Управление автомобильной магистрали Москва-Волгоград Федерального дорожного агентства») по адресу: Ростовская область, Мясниковский район, к.н. 61:25:0601001:1842 (1 шт.)</t>
  </si>
  <si>
    <t>Установка системы учета для технологического присоединения Заявителя: Подосян А.С. в Мясниковском районе Ростовской области (1 шт.)</t>
  </si>
  <si>
    <t>Установка системы учета для технологического присоединения Заявителей: Подосян А.С, Подкопаева Г.Р в Мясниковском районе Ростовской области (2 шт)</t>
  </si>
  <si>
    <t>Установка системы учета 10 кВ для технологического присоединения энергопринимающих устройств Заявителя (ИП Дарбинян Р.М.) по адресу: Ростовская область, Неклиновский район, с. Самбек, ул. Красноармейская, к.н. 61:26:0020101:5161</t>
  </si>
  <si>
    <t>Установка системы учета для технологического присоединения ИП Хаишбашян Мнацаган Ардашесович по адресу: Ростовская область, Неклиновский район, земельные участки к.н. 61:26:0600014:1908, к.н. 61:26:0600006:1435 (2 шт.)</t>
  </si>
  <si>
    <t>Установка систем учета для технологического присоединения заявителя ИП Ковалев М.Н. по адресу: Ростовская область, Неклиновский район, с. Новобессергеневка, ж.к. «Жемчужный», ул. Восточностроительная, 3, к.н. 61:26:0600024:3083 (2 шт.)</t>
  </si>
  <si>
    <t>Установка системы учета для технологического присоединения Заявителя ООО «Примэнерго» по адресу: Ростовская область, Неклиновский район, с. Петрушино, ул. Колхозная, д. 8, (1 шт.)</t>
  </si>
  <si>
    <t>Установка системы учета 10 кВ для технологического присоединения энергопринимающих устройств Заявителя (ИП Наполов Ю.А.) по адресу: Ростовская область, Неклиновский район с. Новобессергеневка, ул. Золотая, к.н. 61:26:0600024:8338 (1 шт.)</t>
  </si>
  <si>
    <t>Установка системы учета для технологического присоединения Заявителя ООО «ДОРОЖНОЕ РЕМОНТНОЕ СТРОИТЕЛЬНОЕ УПРАВЛЕНИЕ - 61» по адресу: Ростовская область, Мясниковский район, с. Большие Салы, ул. 5-я Промышленная, уч. 1, к.н. 61:25:0600501:2051 (1 шт.)</t>
  </si>
  <si>
    <t>Установка системы учета 10 кВ для технологического присоединения энергопринимающих устройств Заявителя (ИП Катарян Ф.С.) по адресу: Ростовская область, Мясниковский район х. Красный Крым, пер. 1-й Промышленный, д. 4, к.н. 61:25:0600401:15295 (1 шт.)</t>
  </si>
  <si>
    <t>Установка системы учета для технологического присоединения Заявителя ИП Неткачев А.В. по адресу: Ростовская область, Неклиновский район, с. Андреево-Мелентьево, ЗАО «Сармат», к.н. 61:26:0600013:1913 (1 шт.)</t>
  </si>
  <si>
    <t>Установка системы учета для технологического присоединения энергопринимающих устройств Заявителя (ИП Колесник Л.А.) по адресу: Ростовская область, Мясниковский район Краснокрымское с/п, на землях колхоза «Дружба», к.н. 61:25:0600401:2988 (1 шт.)</t>
  </si>
  <si>
    <t>Установка системы учета 10 кВ для технологического присоединения энергопринимающих устройств Заявителя (ИП Хбликян К.А.) по адресу: Ростовская область, Мясниковский район х. Ленинакан, ул. 2-я Особенная, д. 1, к.н. 61:25:0600401:20183 (1 шт.)</t>
  </si>
  <si>
    <t>Установка системы учета для технологического присоединения энергопринимающих устройств Заявителя (ИП Шапошников А.В.) по адресу: Ростовская область, Мясниковский район, Крымское с/п, с. Крым, ул. Транспортная, 10, к.н. 61:25:0600201:991 (1 шт.)</t>
  </si>
  <si>
    <t>Установка системы учета для технологического присоединения энергопринимающих устройств Заявителя (Орос Р.Г.) по адресу: Ростовская область, Мясниковский район, Краснокрымское с/п, на землях колхоза «Дружба», к.н. 61:25:0600401:2553 (1 шт.)</t>
  </si>
  <si>
    <t>Установка системы учета для технологического присоединения энергопринимающих устройств Заявителя (ИП Сухоруков Н.Н.) по адресу: Ростовская область, Мясниковский район, Краснокрымское с/п, на землях колхоза «Дружба», к.н. 61:25:0600401:2623 (1 шт.)</t>
  </si>
  <si>
    <t>Установка системы учета 0.4 кВ для технологического присоединения энергопринимающих устройств Заявителя (Хордаева М.Б.) по адресу: Ростовская область, Мясниковский район, в 215 м. на север от западной окраины х. Ленинаван, к.н. 61:25:0600401:22303 (1 шт.)</t>
  </si>
  <si>
    <t>Установка шкафа коммерческого учета электрической энергии (мощности) в точке поставки и монтаж спуска от проводов ВЛ до шкафа коммерческого учета электрической энергии(мощности) для присоединения объекта крестьянского (фермерского) хозяйства ИП главы К(Ф)Х Бакаева С.С., расположенного по адресу: Ростовская область, Зимовниковский район, х. Новолодин, вблизи ул. Речная, К.Н.З.у.: 61:13:0000000:9236</t>
  </si>
  <si>
    <t>Установка шкафа коммерческого учета электрической энергии (мощности) в точке поставки и монтаж спуска от проводов ВЛ до шкафа коммерческого учета электрической энергии (мощности) для присоединения свинарника-маточника ИП главы К(Ф)Х Квасовой С.А., расположенного по адресу: Ростовская область, Константиновский район, в 170 м юго-западнее х. Хрящевский, к.н.з.у.: 61:17:0600010:3725</t>
  </si>
  <si>
    <t>Установка прибора учета для технологического присоединения автомобильного пункта пропуска Волошино, Заявителя, ФГКУ «Дирекция по строительству и эксплуатации объектов Росграницы», расположенного по адресу: Ростовская область, Миллеровский район, сл. Волошино к.н.з.у. 61:22:0600017:601 (1 шт.)</t>
  </si>
  <si>
    <t>Установка прибора учета для технологического присоединения нежилого здания заявителя ИП Никифорова А.Е., расположенного по адресу: Ростовская область, Миллеровский район, х. Грай-Воронец, ул. Ракетная, д. 34, (1шт.)</t>
  </si>
  <si>
    <t>Установка прибора коммерческого учёта электрической энергии, для присоединения складского помещения ИП Даниловой Н.И., расположенного по адресу: Ростовская область, Каменский район, х. Старая Станица, ул. Железнодорожная, дом № 11, к.н.з.у. 61:15:0130101:160(прибор учёта электроэнергии - 1шт.)</t>
  </si>
  <si>
    <t>Установка прибора коммерческого учета электрической энергии, для присоединения объектов ООО «БСК», расположенных по адресу: Ростовская область, Каменский р-н, х. Акатновка, к.н.з.у. 61:15:0602001:507 и 61:15:0602001:599 (прибор учета электрической энергии - 1 шт.)</t>
  </si>
  <si>
    <t>Установка прибора коммерческого учета электрической энергии, для присоединения физкультурно-оздоровительных сооружений ИП Новойдарского С.М., расположенного по адресу: Ростовская область, Каменский район, х. Абрамовка, ул. Ленина, 27 Г, КН 61:15:0000000:6247 (прибор учета электроэнергии - 1 шт.)</t>
  </si>
  <si>
    <t>Установка прибора коммерческого учета электрической энергии, для присоединения «объект сельскохозяйственного производства» ООО «Союз», расположенного по адресу: Российская Федерация, Ростовская обл., р-н. Каменский, Волченское с.п. АКХ «Победа» КН 61:15:0602301:1549 (прибор учета электроэнергии - 1 шт.)</t>
  </si>
  <si>
    <t>Установка прибора коммерческого учета электрической энергии, для присоединения «объект сельскохозяйственного производства» ООО «Союз», расположенного по адресу: Российская Федерация, Ростовская обл., р-н. Каменский, х. Волченский, ул. Молодежная, 68, КН 61:15:0602301:1561 (прибор учета электроэнергии - 1 шт.)</t>
  </si>
  <si>
    <t>Установка прибора учета для присоединения передвижного объекта ООО «Мастер», расположенного по адресу: РО, р-н Аксайский, КН 61:02:0600009:2282 (1 шт.)</t>
  </si>
  <si>
    <t>Установка прибора учета для присоединения складского помещения Усачева К. Б., расположенного по адресу: РО, р-н Аксайский, ст-ца Мишкинская, ул. Декабристов, 14, КН 61:02:0070202:627 (1 шт.)</t>
  </si>
  <si>
    <t>Установка прибора учета для присоединения ЛЭП-0,4 кВ малоэтажной жилой застройки, расположенной по адресу: РО., Азовский р-н, п. Красный Сад, ул. Крылова, д. 8, КН: 61:01:0130201:87, (1шт.)</t>
  </si>
  <si>
    <t>Учет электрической энергии в РУ 0,4 кВ ТП 10/0,4 №106 и ТП 10/0,4 кВ №107 по КЛ 10 кВ №28-64 и КЛ 28-61 от ПС 110 кВ Р28 в целях электроснабжения нежилого здания Ревякиной И.В.., расположенной по адресу: г. Ростов-на-Дону, пер. 2-й Поселковый, д.25/225 (2шт)</t>
  </si>
  <si>
    <t>Установка узла учета для присоединения в РУ 0,4 кВ ТП 10/0,4 кВ ВЛ 10 кВ №414 ПС 220 кВ Р4 заявителя ИП Федоровой А.В., расположенной по адресу: Ростовская обл., р-н Аксайский, кадастровый номер земельного участка:61:02:0600010:24056 (1 шт.)</t>
  </si>
  <si>
    <t>Установка прибора учета в РУ 0,4 кВ КТП-10/0,4 кВ ВЛ 10 кВ №3 ПС 35 кВ Б. Салы заявителя ИП Чехомовой О. В., расположенной по адресу: Ростовская обл., р-н. Аксайский, п. Темерницкий, ул. Степная, 50, кадастровый номер земельного участка: 61:02:0081101:0283 (1 шт.)</t>
  </si>
  <si>
    <t>Установка узла учета для присоединения в РУ 0,4 кВ ТП 10/0,4 кВ ВЛ 10 кВ №414 ПС 220 кВ Р4 производственного здания/помещения, заявителя ИП Меликян Э.А., расположенного по адресу: РО, р-н Аксайский, КН:61:02:0600010:24057 (1шт.)</t>
  </si>
  <si>
    <t>Установка узла учета для присоединения в шкафу 0,4 кВ от опоры №3 ВЛ 0,4 кВ №4 ТП 10/0,4 кВ №464 ВЛ 10 кВ №1101 ПС 110/35/10 кВ АС-11 нежилой застройки, заявителя ООО «ДонЛитМаш», расположенной по адресу: РО, р-н Аксайский, ст-ца Мишкинска, КН:61:02:0070202:2324 (1шт.)</t>
  </si>
  <si>
    <t>Установка узлов учета для присоединения в РУ 0,4 кВ ТП 10/0,4 кВ, ВЛ 10 кВ №3 ПС 35/10 кВ Б. Салы трубного завода, заявителя ИП Цесарского И.В., расположенного по адресу: Ростовская обл., р-н Аксайский, АО «Темерницкое», поле №26, КН: 61:02:0600005:13157, 61:02:0600005:9513, 61:02:0600005:13158, (3шт.)</t>
  </si>
  <si>
    <t>Установка узла учета для присоединения в РУ 0,4 кВ ТП 10/0,4 кВ ВЛ 0,4 кВ №1 ТП 10/0,4 кВ №145 ВЛ 10 кВ №15-13 ПС 110/10-10 кВ AC-15 объекта общественного питания заявителя ООО “Янтарь”, расположенного по адресу: Ростовская обл., р-н Аксайский, п. Водопадный, ул. Совхозная, д. 1а, КН: 61:02:0010804:434, (1шт.)</t>
  </si>
  <si>
    <t>Установка прибора учета для присоединения РУ-0,4 кВ для электроснабжения земельного участка заявителя Мардаровского Александра Николаевича, расположенного по адресу: Ростовская обл., Веселовский р-н, п. Веселый, ул. Октябрьская, д. 224, к.н. 61:06:0600012:81</t>
  </si>
  <si>
    <t>Установка узла учета для присоединения в РУ 0,4 кВ ТП 10/0,4 кВ ВЛ 6 кВ №806 ПС 35/6 кВ АС-8 нежилой застройки заявителя ИП Бибиков А.Н., расположенной по адресу: Ростовская обл., р-н Аксайский, п. Реконструктор, ул. Отраслевая, КН:61:02:0600011:2919, (1шт.)</t>
  </si>
  <si>
    <t xml:space="preserve">Строительство КЛ 0,4 кВ от РУ 0,4 кВ ТП №250 по КЛ 10 кВ № 15-15 и №15-23 ПС 110кВ AC 15 для электроснабжения ВРУ-0,4 кВ «МБУ Спортивная школа №13», по адресу: РО, г. Ростов-на-дону, ул. Зеленая, рядом с домом №22, КН: 61:44:0022207:6 </t>
  </si>
  <si>
    <t>Установка коммерческого учета электрической энергии (мощности) на границе балансовой принадлежности, подключенного от опоры №95 ВЛ-10 кВ №105Н ПС 110/6/10 кВ "НС-1", для электроснабжения объекта "промзона" заявителя ООО "Малая Голландия", х. Усть-Койсуг Азовского района, Ростовская область"</t>
  </si>
  <si>
    <t>Установка коммерческого учета электрической энергии (мощности) на границе балансовой принадлежности, подключенного от опоры №58 ВЛ-10 кВ №808 ПС 110/10 кВ «БОС», для электроснабжения объекта АЗС заявителя ООО «Донрегионгаз», Азовского района, Ростовская область</t>
  </si>
  <si>
    <t>Установка коммерческого учета электрической энергии (мощности) на границе балансовой принадлежности, подключенного от опоры (номер опоры определить при проектировании) ВЛ 10 кВ №808 ПС 110/10 кВ БОС, для электроснабжения объекта сельскохозяйственного производства заявителя АО «Оптово-розничный торговый комплекс «Южный Хаб», г. Батайск Ростовская область (1 шт)</t>
  </si>
  <si>
    <t>Установка коммерческого учета электрической энергии (мощности) на границе балансовой принадлежности, подключенного от опоры №2-48 ВЛ 10 кВ №1107 ПС 35/10 кВ А-11, для электроснабжения насосной станции (к.н. 61:01:0060101:5524) заявителя УКС ЖКХ Администрации Азовского района, с. Кагальник, Азовский р-он, Ростовская область (1 шт)</t>
  </si>
  <si>
    <t>Установка прибора коммерческого учета электрической энергии (мощности) на границе земельного участка, подключенного от опоры №3-315 ВЛ 10кВ №2608 ПС 110/10 кВ А-26 для технологического присоединения энергопринимающих устройств объекта подсобное хозяйство Заявителя ООО «Лакомый кусочек», ул. Азовская, д. 7-а, с. Кулешовка, Азовский район, Ростовская область, к.н. 61:01:0090102:369 (1 шт.)</t>
  </si>
  <si>
    <t>Установка коммерческого учета электрической энергии (мощности) на границе балансовой принадлежности, подключенного от опоры №133 ВЛ 10 кВ №1020 ПС 110/35/10 кВ Самарская, для электроснабжения производственного здания/помещения заявителя Графов А.С., Азовский район, Ростовская область, к.н. 61:01:0600007:1564 (1 шт)</t>
  </si>
  <si>
    <t>Установка прибора коммерческого учета электрической энергии (мощности) на границе земельного участка, подключенного оп. № 4-422  ВЛ-10  904  ПС 110кВ Балко-Грузская для технологического присоединения энергопринимающих устройств школа  Заявителя Муниципальное бюджетное общеобразовательное учреждение Балко-Грузская средняя общеобразовательная школа №12, Ростовская  обл., Егорлыкский р-он,  х.Балко-Грузский,  ул.Школьная, д. 8;  к.н. 61:10:0020101:26, 1 шт</t>
  </si>
  <si>
    <t>Установка коммерческого учета электрической энергии (мощности) на границе балансовой принадлежности, подключенного от опоры №74 ВЛ 6 кВ №2301 ПС 35/6 кВ Правобережная, для электроснабжения ТП 6/0,4 кВ испытательного полигона №2 ФГУП «РНИИРС» заявителя ООО «Спец-энерго», Азовский р-он, Ростовская область (1 шт)</t>
  </si>
  <si>
    <t>«Установка прибора учета для присоединения объекта КФХ (ИП Годунова Л.А.), расположенного по адресу: Ростовская область, Октябрьский р-н, х. Веселая Бахмутовка, ул. Артема»</t>
  </si>
  <si>
    <t>Установка прибора учета для присоединения нежилого здания ООО «МОЛОЧНЫЙ ЗАВОД «РОДИОНОВСКАЯ СЛОБОДА», расположенного по адресу: 346580, Ростовская область, Родионово-Несветайский район, сл. Родионово-Несветайская, ул. Гвардейцев-Танкистов, д. 10К, КН ЗУ: 61:33:0040125:327</t>
  </si>
  <si>
    <t>Установка прибора учета для присоединения КТП-250/10кВА ООО «РостовДорСтрой» расположенного по адресу: 346599Российская Федерация, Ростовская обл., р-н. Родионово-Несветайский, примерно 1200м по направлению на северо-запад от ориентира х.Каменный Брод, к.н.з.у. 61:33:0600015:523 (1 шт.)</t>
  </si>
  <si>
    <t>Установка прибора учета для присоединения строительной площадки (ООО «МонтажТехСтрой»), расположенного по адресу: Ростовская область, Родионово-Несветайский р-он примерно 10 м на юго-восток от сл. Родионово-Несветайской в пределе кадастрового квартала 61:33:0600010</t>
  </si>
  <si>
    <t>Установка прибора учета для присоединения базы отдыха Чернышевой Е.Н., расположенной по адресу: Ростовская область, Красносулинский район, Красносулинское лесничество, квартал 44, КН ЗУ: 61:18:0600022:457</t>
  </si>
  <si>
    <t>Строительство ЛЭП-6 кВ от оп. №5 отпайки к КТП №519 ВЛ 6 кВ Кривянка ПС Ш-40 для присоединения цеха по производству пластика ИП Сидоренко Э.Е.  по адресу: Октябрьский район, северо-восточнее ст.Кривянская прилегает к ж/дороге Хотунок-Нч-ГРЭС, (ориентировочная протяженность ЛЭП 0,22 км</t>
  </si>
  <si>
    <t>«Установка ПКУ на границе балансовой принадлежности от опоры 4-00/149 по ВЛ 10 кВ Л-4 Орловская для технологического присоединения объекта «производственное здание/помещение», расположенного по адресу: Российская Федерация, Ростовская обл., р-н. Орловский, с/п Орловское, п. Орловский, 1 км 200 м автодороги п. Орловский-х. Майорский, к.н. з.у.:61:31:0600004:40, заявитель АО «Кагальницкий мясокостный завод  (1 шт.)</t>
  </si>
  <si>
    <t>«Установка ПКУ на границе балансовой принадлежности опора 2-00/70 по ВЛ 10 кВ Л-2 КРС для технологического присоединения объекта – «ЛЭП 10 кВ», расположенного по адресу: Российская Федерация, Ростовская область участок газопровода «Починки-Анапа» км 963,7-км 1168.1, заявитель ПАО «Газпром»</t>
  </si>
  <si>
    <t>«Установка ПКУ на границе балансовой принадлежности от опоры 3-00/11 по ВЛ 10 кВ Л-3 Лопанская для технологического присоединения объекта «теплица», расположенного по адресу: Российская Федерация, Ростовская область, Целинский район, с. Лопанка, ул. Октябрьская, д. 46, к.н. з.у.: 61:40:0040101:4867, заявитель ИП Дзреев И.С.» (1 шт.)</t>
  </si>
  <si>
    <t>Установка пункта коммерческого учета для присоединения комплекса зданий для хранения и переработки сельскохозяйственной продукции ИП Полянского А. П., расположенного по адресу: Ростовская обл., р-н. Аксайский, Щепкинское сельское поселение, х. Нижнетемерницкий, ул. Гайдара, уч. 6, участок с КН 61:02:0600005:11037 (1 шт.)</t>
  </si>
  <si>
    <t>Установка пункта коммерческого учета для присоединения нежилой застройки ООО «Востокагроснаб», расположенной по адресу: Ростовская обл., р-н. Аксайский, кадастровый номер земельного участка: 61:02:0600015:8307 (1 шт.)</t>
  </si>
  <si>
    <t>Установка пункта коммерческого учета для присоединения объекта малоэтажной жилой застройки Глотова А.Ю., расположенной по адресу: Ростовская обл., р-н. Аксайский, п. Темерницкий, КН: 61:02:0600005:13255 (1 шт.)</t>
  </si>
  <si>
    <t>Установка пункта коммерческого учета для присоединения производственного здания/помещения Веретениной О.В., расположенной по адресу: г. Ростов-на-Дону, пер. Радиаторный, д.10 (1 шт.)</t>
  </si>
  <si>
    <t xml:space="preserve">Установка пункта коммерческого учета для присоединения объекта кирпичный завод расположенного по адресу: Ростовская обл., Веселовский р-н, х. Позднеевка, ул. Кирпичная, д. 8, к.н. 61:06:0600011:231 </t>
  </si>
  <si>
    <t>Установка пункта коммерческого учета для присоединения производственного здания/помещения ООО «Трансстроймеханизация», расположенной по адресу: Ростовская обл., р-н. Аксайский, нп. АО Луговое, поле №10, участок с КН 61:02:0600017:3887 (1 шт. (I этап))</t>
  </si>
  <si>
    <t>Установка пункта коммерческого учета для присоединения объектов жилищно-коммунального хозяйства УКДХ Администрации Аксайского района Ростовской области, расположенных по адресу: Ростовская обл., р-н. Аксайский, х. Ленина, ул. Онучкина, 42А, кадастровый номер земельного участка: 61:02:0060101:3357 (1 шт.)</t>
  </si>
  <si>
    <t>Установка пункта коммерческого учета для присоединения малоэтажной жилой застройки ООО «Ростовская инвестиционная компания», расположенной по адресу: РО., р-н. Аксайский, АО «Темерницкое», поле №3, КН: 61:02:0600005:12899 (1 шт.)</t>
  </si>
  <si>
    <t>Установка пункта коммерческого учета для присоединения коттеджного комплекса заявителя ИП Исаевой М.В., расположенного по адресу: Р.О, р-н Аксайский, АОЗТ «Янтарное», поле № 43, к.н:61:02:0600010:1006 (1 шт.)</t>
  </si>
  <si>
    <t>Установка пункта коммерческого учета для присоединения объекта существующие временные строения Чинибалаянц В.Г., расположенные по адресу: Ростовская обл., р-н. Аксайский, х. Махин, КН:61:02:0600015:8248 (1 шт.)</t>
  </si>
  <si>
    <t>Установка пункта коммерческого учета для присоединения ТП 10/0,4 кВ заявителя ИП Заварской Е.И., расположенного по адресу: Ростовская обл., р-н. Аксайский, ст-ца Старочеркасская, КН: 61:02:0600013:1540 (1шт.)</t>
  </si>
  <si>
    <t>Установка пункта коммерческого учета для присоединения жилых домов заявителя ООО «Сетевая компания «Тесла», расположенного по адресу: Ростовская обл., р-н Аксайский, п. Водопадный, К.Н:61:02:0600010:21019 (1 шт.)</t>
  </si>
  <si>
    <t>Установка пункта коммерческого учета для присоединения объекта сельскохозяйственного производства ООО «ЮгАгроХолдинг», по адресу: РО., Веселовский р-н, п. Новый, ул. Школьная, 15 к.н. 61:06:0600001:407</t>
  </si>
  <si>
    <t>3.6.2.1.2.1</t>
  </si>
  <si>
    <t>1-10 кВ и ниже</t>
  </si>
  <si>
    <t>Строительство участка ЛЭП-10 кВ от ВЛ № 2, КТП № 543, ПС 35/10 кВ «Первомайская», для подключения объектов крестьянско-фермерских хозяйств ИП Трушко и ИП Хоперскова В.И., расположенных по адресу: Ростовская область, Каменский р-н, Гусевское сп., х. Гусев, к.н.з.у.:61:15:0601701:1087, х. Гусев, ТОО «Гусевское», пашня р.у. № 9,  10,12,13,19,24, пастбище р.у. № 1,  № 12, к.н.з.у.: 61:15:0601701:2001 (ориентировочная протяженность ЛЭП – 0,400 км, прибор учёта электроэнергии – 2 шт.)</t>
  </si>
  <si>
    <t>35 кВ</t>
  </si>
  <si>
    <t>сметный расчет в ценах 2024 года</t>
  </si>
  <si>
    <t>27,5 - 60 кВ</t>
  </si>
  <si>
    <t>Однотрансформаторные подстанции (за исключением РТП) мощностью от 400 до 630 кВА включительно шкафного или киоскового типа</t>
  </si>
  <si>
    <t>плановые расходы - сметный расчет в ценах 2024 года</t>
  </si>
  <si>
    <t>Строительство отпаечной ВЛ 110кВ от опоры №42 ВЛ 110кВ Г4-Г18 к ПС 35/110 кВ Заря, (ориентировочной протяжённостью ЛЭП- 1,665 км.)</t>
  </si>
  <si>
    <t>Строительство ЛЭП 110 кВ от опоры № 90 ВЛ 110 кВ ГПП1 – Волченская ПТФ до РУ 110 кВ Казачей ВЭС с образованием ВЛ 110 кВ ГПП1 – Волченская ПТФ с отпайкой на Казачью ВЭС (ориентировочная протяженность ЛЭП - 12,5 км)</t>
  </si>
  <si>
    <t>Неизолированный провод</t>
  </si>
  <si>
    <t>Номер обосновывающих документов представленых в электронном виде 
на флеш-носителе</t>
  </si>
  <si>
    <t>Расходы на строительство введенных в эксплуатацию объектов электросетевого хозяйства для целей технологического присоединения и для целей реализации иных мероприятий инвестиционной программы филиала ПАО "Россети Юг" - "Ростовэнерго", а также на обеспечение средствами коммерческого учета электрической энергии (мощности)</t>
  </si>
  <si>
    <t>Приложение 2 
к Методическим указаниям ФАС России 
от 30.06.2022г. № 490/22</t>
  </si>
  <si>
    <t>(рекомендуемый образец)</t>
  </si>
  <si>
    <t>Расходы филиала ПАО "Россети Юг" - "Ростовэнерго" на выполнение мероприятий по технологическому присоединению, 
предусмотренных подпунктами «а» и «в» пункта 16 Методических указаний по определению размера платы за технологическое присоединение к электрическим сетям, за 2021 - 2023 гг.</t>
  </si>
  <si>
    <t>№
п/п</t>
  </si>
  <si>
    <t>Наименование мероприятий</t>
  </si>
  <si>
    <t>2021 год</t>
  </si>
  <si>
    <t>2022 год</t>
  </si>
  <si>
    <t>2023 год</t>
  </si>
  <si>
    <r>
      <t>Информация для расчета стандартизированной тарифной ставки С</t>
    </r>
    <r>
      <rPr>
        <vertAlign val="subscript"/>
        <sz val="10"/>
        <color theme="1"/>
        <rFont val="Times New Roman"/>
        <family val="1"/>
        <charset val="204"/>
      </rPr>
      <t>1</t>
    </r>
    <r>
      <rPr>
        <sz val="10"/>
        <color theme="1"/>
        <rFont val="Times New Roman"/>
        <family val="1"/>
        <charset val="204"/>
      </rPr>
      <t xml:space="preserve"> </t>
    </r>
    <r>
      <rPr>
        <sz val="12"/>
        <color theme="1"/>
        <rFont val="Times New Roman"/>
        <family val="1"/>
        <charset val="204"/>
      </rPr>
      <t>*</t>
    </r>
  </si>
  <si>
    <t>Расходы на одно присоединение
(руб. на одно ТП)</t>
  </si>
  <si>
    <r>
      <t>Информация для расчета стандартизированной тарифной ставки С</t>
    </r>
    <r>
      <rPr>
        <vertAlign val="subscript"/>
        <sz val="10"/>
        <color theme="1"/>
        <rFont val="Times New Roman"/>
        <family val="1"/>
        <charset val="204"/>
      </rPr>
      <t xml:space="preserve">1 </t>
    </r>
    <r>
      <rPr>
        <sz val="12"/>
        <color theme="1"/>
        <rFont val="Times New Roman"/>
        <family val="1"/>
        <charset val="204"/>
      </rPr>
      <t>*</t>
    </r>
  </si>
  <si>
    <t>Расходы по каждому мероприятию
(руб.)</t>
  </si>
  <si>
    <t>Количество технологических присоединений
(шт.) **</t>
  </si>
  <si>
    <t>Объем максимальной мощности
(кВт)</t>
  </si>
  <si>
    <r>
      <t xml:space="preserve">Количество технологических присоединений
(шт.) </t>
    </r>
    <r>
      <rPr>
        <sz val="10"/>
        <rFont val="Times New Roman"/>
        <family val="1"/>
        <charset val="204"/>
      </rPr>
      <t>**</t>
    </r>
  </si>
  <si>
    <t>1.</t>
  </si>
  <si>
    <t>Подготовка и выдача сетевой организацией технических условий Заявителю</t>
  </si>
  <si>
    <t>2.</t>
  </si>
  <si>
    <t>Проверка сетевой организацией выполнения технических условий Заявителем</t>
  </si>
  <si>
    <t xml:space="preserve"> - </t>
  </si>
  <si>
    <t>2.1.</t>
  </si>
  <si>
    <t>Выдача сетевой организацией уведомления об обеспечении сетевой организацией возможности присоединения к электрическим сетям (акта об осуществлении технологического присоединения) Заявителям, указанным в абзаце шестом п. 24 Методических указаний по определению размера платы за технологическое присоединение к электрическим сетям (Заявители указанные в п. 12(1) и 14 Правил ТП на уровне напряжения 0,4 кВ и ниже)</t>
  </si>
  <si>
    <t>2.2.</t>
  </si>
  <si>
    <t>Проверка сетевой организацией выполнения ТУ  Заявителями, указанными в абзаце седьмом п. 24 Методических указан по определению размера платы за технологическое присоединение к электрическим сетям (Заявители, кроме указанных в п. 12(1) и 14 Правил ТП на уровне напряжения 0,4 кВ и ниже)</t>
  </si>
  <si>
    <r>
      <rPr>
        <b/>
        <sz val="12"/>
        <color theme="1"/>
        <rFont val="Times New Roman"/>
        <family val="1"/>
        <charset val="204"/>
      </rPr>
      <t>*</t>
    </r>
    <r>
      <rPr>
        <sz val="12"/>
        <color theme="1"/>
        <rFont val="Times New Roman"/>
        <family val="1"/>
        <charset val="204"/>
      </rPr>
      <t xml:space="preserve"> Трудозатраты на выполнение работ по "постоянной схеме электроснабжения" и "временной схеме электроснабжения" эквивалентны, при этом как в бухгалтерском, так и в управленческом учете Общества не ведется отдельный учет расходов по схемам электроснабжения, соответственно ставки идентичны.</t>
    </r>
  </si>
  <si>
    <t>** 2021 год показатель количество ТП (столбец 12) учитывает  заключенные и исполненные в 2021 году договоры ТП (акт ТП выдан Заявителю), а также заключенные в 2021 году договоры ТП с дополнительными соглашениями о продлении сроков исполнения мероприятий ТУ, которые переходят на 2022 г. и последующие периоды.</t>
  </si>
  <si>
    <t>** 2022 год показатель количество ТП (столбец 12) учитывает  заключенные и исполненные в 2022 году договоры ТП (акт ТП выдан Заявителю), а также заключенные в 2022 году договоры ТП с дополнительными соглашениями о продлении сроков исполнения мероприятий ТУ, которые переходят на 2023 г. и последующие периоды.</t>
  </si>
  <si>
    <t>** 2023 год показатель количество ТП (столбец 12) учитывает  выданные СО технические условия Заявителю и заключенные в 2023 году договоры ТП.</t>
  </si>
  <si>
    <t>ч/час</t>
  </si>
  <si>
    <t>руб. на одно ТП</t>
  </si>
  <si>
    <t>расходы выдача Акта</t>
  </si>
  <si>
    <t>Приложение 3 к Методическим указаниям ФАС России от 30.06.2022г. № 490/22</t>
  </si>
  <si>
    <t xml:space="preserve"> </t>
  </si>
  <si>
    <t>Расчет фактических расходов филиала ПАО "Россети Юг" - "Ростовэнерго" на выполнение мероприятий
по технологическому присоединению, предусмотренных подпунктами «а» и «в» пункта 16 
Методических указаний по определению размера платы за технологическое присоединение к электрическим сетям, за 2021 - 2023 гг.</t>
  </si>
  <si>
    <t>(выполняется отдельно по мероприятиям, предусмотренным подпунктами «а» и «в» пункта 16 Методических указаний по определению размера платы за технологическое присоединение к электрическим сетям)</t>
  </si>
  <si>
    <t>Показатели</t>
  </si>
  <si>
    <t>Данные
за 2023 год,
тыс. руб.</t>
  </si>
  <si>
    <t>Данные
за 2022 год,
тыс. руб.</t>
  </si>
  <si>
    <t>Данные
за 2021 год,
тыс. руб.</t>
  </si>
  <si>
    <t>Расходы по выполнению мероприятий по технологическому присоединению, всего</t>
  </si>
  <si>
    <t>1.1.</t>
  </si>
  <si>
    <t>Вспомогательные материалы</t>
  </si>
  <si>
    <t>1.2.</t>
  </si>
  <si>
    <t>Энергия на хозяйственные нужды</t>
  </si>
  <si>
    <t>1.3.</t>
  </si>
  <si>
    <t>Оплата труда ППП</t>
  </si>
  <si>
    <t>1.4.</t>
  </si>
  <si>
    <t>Отчисления на страховые взносы</t>
  </si>
  <si>
    <t>1.5.</t>
  </si>
  <si>
    <t>Прочие расходы, всего, в том числе:</t>
  </si>
  <si>
    <t>1.5.1.</t>
  </si>
  <si>
    <t>- работы и услуги производственного характера</t>
  </si>
  <si>
    <t>1.5.2.</t>
  </si>
  <si>
    <t>- налоги и сборы, уменьшающие налогооблагаемую базу на прибыль организаций, всего</t>
  </si>
  <si>
    <t>1.5.3.</t>
  </si>
  <si>
    <t>- работы и услуги непроизводственного характера, в том числе:</t>
  </si>
  <si>
    <t>1.5.3.1.</t>
  </si>
  <si>
    <t>услуги связи</t>
  </si>
  <si>
    <t>1.5.3.2.</t>
  </si>
  <si>
    <t>расходы на охрану и пожарную безопасность</t>
  </si>
  <si>
    <t>1.5.3.3.</t>
  </si>
  <si>
    <t>расходы на информационное обслуживание, иные услуги, связанные с деятельностью по технологическому присоединению</t>
  </si>
  <si>
    <t>1.5.3.4.</t>
  </si>
  <si>
    <t>плата за аренду имущества</t>
  </si>
  <si>
    <t>1.5.3.5.</t>
  </si>
  <si>
    <t>другие прочие расходы, связанные с производством и реализацией</t>
  </si>
  <si>
    <t>1.6.</t>
  </si>
  <si>
    <t>Внереализационные расходы, всего</t>
  </si>
  <si>
    <t>1.6.1.</t>
  </si>
  <si>
    <t>- расходы на услуги банков</t>
  </si>
  <si>
    <t>1.6.2.</t>
  </si>
  <si>
    <t>- % за пользование кредитом</t>
  </si>
  <si>
    <t>1.6.3.</t>
  </si>
  <si>
    <t>- прочие обоснованные расходы</t>
  </si>
  <si>
    <t>1.6.4.</t>
  </si>
  <si>
    <t>- денежные выплаты социального характера (по Коллективному договору)</t>
  </si>
  <si>
    <t>1.6.5.</t>
  </si>
  <si>
    <t>- создание резерва по сомнительным долгам</t>
  </si>
  <si>
    <t>1.6.6.</t>
  </si>
  <si>
    <t>-убыток прошлых лет, выявленный в отчетном периоде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</si>
</sst>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 _₽_-;\-* #,##0.00\ _₽_-;_-* &quot;-&quot;??\ _₽_-;_-@_-"/>
    <numFmt numFmtId="165" formatCode="#,##0.000"/>
    <numFmt numFmtId="166" formatCode="0.0000"/>
    <numFmt numFmtId="167" formatCode="0.000"/>
    <numFmt numFmtId="168" formatCode="#,##0.000_ ;\-#,##0.000\ "/>
    <numFmt numFmtId="169" formatCode="0.0"/>
    <numFmt numFmtId="170" formatCode="0_)"/>
  </numFmts>
  <fonts count="46" x14ac:knownFonts="1">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2"/>
      <name val="Times New Roman"/>
      <family val="1"/>
      <charset val="204"/>
    </font>
    <font>
      <sz val="11"/>
      <color theme="1"/>
      <name val="Calibri"/>
      <family val="2"/>
      <scheme val="minor"/>
    </font>
    <font>
      <sz val="10"/>
      <color indexed="8"/>
      <name val="Times New Roman"/>
      <family val="1"/>
      <charset val="204"/>
    </font>
    <font>
      <b/>
      <sz val="12"/>
      <color theme="1"/>
      <name val="Times New Roman"/>
      <family val="1"/>
      <charset val="204"/>
    </font>
    <font>
      <sz val="12"/>
      <color indexed="8"/>
      <name val="Times New Roman"/>
      <family val="1"/>
      <charset val="204"/>
    </font>
    <font>
      <b/>
      <sz val="14"/>
      <color indexed="8"/>
      <name val="Times New Roman"/>
      <family val="1"/>
      <charset val="204"/>
    </font>
    <font>
      <b/>
      <vertAlign val="subscript"/>
      <sz val="14"/>
      <color indexed="8"/>
      <name val="Times New Roman"/>
      <family val="1"/>
      <charset val="204"/>
    </font>
    <font>
      <b/>
      <sz val="12"/>
      <color indexed="8"/>
      <name val="Times New Roman"/>
      <family val="1"/>
      <charset val="204"/>
    </font>
    <font>
      <sz val="12"/>
      <color theme="1"/>
      <name val="Times New Roman"/>
      <family val="1"/>
      <charset val="204"/>
    </font>
    <font>
      <sz val="11"/>
      <color theme="1"/>
      <name val="Times New Roman"/>
      <family val="1"/>
      <charset val="204"/>
    </font>
    <font>
      <b/>
      <sz val="12"/>
      <name val="Times New Roman"/>
      <family val="1"/>
      <charset val="204"/>
    </font>
    <font>
      <sz val="12"/>
      <color theme="1"/>
      <name val="Times New Roman"/>
      <family val="2"/>
      <charset val="204"/>
    </font>
    <font>
      <sz val="11"/>
      <name val="Times New Roman"/>
      <family val="1"/>
      <charset val="204"/>
    </font>
    <font>
      <sz val="10"/>
      <name val="Times New Roman"/>
      <family val="1"/>
      <charset val="204"/>
    </font>
    <font>
      <sz val="10"/>
      <name val="Arial"/>
      <family val="2"/>
      <charset val="204"/>
    </font>
    <font>
      <b/>
      <sz val="13"/>
      <color theme="1"/>
      <name val="Times New Roman"/>
      <family val="1"/>
      <charset val="204"/>
    </font>
    <font>
      <b/>
      <sz val="13"/>
      <name val="Times New Roman"/>
      <family val="1"/>
      <charset val="204"/>
    </font>
    <font>
      <b/>
      <sz val="13"/>
      <color theme="1"/>
      <name val="Calibri"/>
      <family val="2"/>
      <charset val="204"/>
      <scheme val="minor"/>
    </font>
    <font>
      <sz val="13"/>
      <color theme="1"/>
      <name val="Calibri"/>
      <family val="2"/>
      <charset val="204"/>
      <scheme val="minor"/>
    </font>
    <font>
      <sz val="14"/>
      <color indexed="8"/>
      <name val="Times New Roman"/>
      <family val="1"/>
      <charset val="204"/>
    </font>
    <font>
      <sz val="10"/>
      <name val="Arial Cyr"/>
      <charset val="204"/>
    </font>
    <font>
      <sz val="13"/>
      <color indexed="8"/>
      <name val="Times New Roman"/>
      <family val="1"/>
      <charset val="204"/>
    </font>
    <font>
      <sz val="12"/>
      <color theme="1"/>
      <name val="Calibri"/>
      <family val="2"/>
      <charset val="204"/>
      <scheme val="minor"/>
    </font>
    <font>
      <sz val="12"/>
      <name val="Times New Roman"/>
      <family val="1"/>
      <charset val="1"/>
    </font>
    <font>
      <sz val="16"/>
      <color indexed="8"/>
      <name val="Times New Roman"/>
      <family val="1"/>
      <charset val="204"/>
    </font>
    <font>
      <sz val="11"/>
      <name val="Times New Roman"/>
      <family val="1"/>
      <charset val="1"/>
    </font>
    <font>
      <sz val="11"/>
      <color rgb="FF000000"/>
      <name val="Calibri"/>
      <family val="2"/>
      <charset val="204"/>
    </font>
    <font>
      <sz val="11"/>
      <color indexed="8"/>
      <name val="Calibri"/>
      <family val="2"/>
      <charset val="204"/>
    </font>
    <font>
      <sz val="11"/>
      <color indexed="8"/>
      <name val="Arial"/>
      <family val="2"/>
      <charset val="204"/>
    </font>
    <font>
      <sz val="10"/>
      <color rgb="FF000000"/>
      <name val="Arial Cyr"/>
      <family val="2"/>
      <charset val="204"/>
    </font>
    <font>
      <sz val="11"/>
      <name val="Arial"/>
      <family val="1"/>
    </font>
    <font>
      <sz val="12"/>
      <color theme="0"/>
      <name val="Times New Roman"/>
      <family val="2"/>
      <charset val="204"/>
    </font>
    <font>
      <sz val="10"/>
      <color theme="1"/>
      <name val="Times New Roman"/>
      <family val="2"/>
      <charset val="204"/>
    </font>
    <font>
      <sz val="10"/>
      <color theme="1"/>
      <name val="Times New Roman"/>
      <family val="1"/>
      <charset val="204"/>
    </font>
    <font>
      <vertAlign val="subscript"/>
      <sz val="10"/>
      <color theme="1"/>
      <name val="Times New Roman"/>
      <family val="1"/>
      <charset val="204"/>
    </font>
    <font>
      <sz val="10"/>
      <name val="Courier"/>
      <family val="1"/>
      <charset val="204"/>
    </font>
    <font>
      <sz val="10"/>
      <color theme="0"/>
      <name val="Times New Roman"/>
      <family val="1"/>
      <charset val="204"/>
    </font>
    <font>
      <sz val="12"/>
      <color theme="0"/>
      <name val="Times New Roman"/>
      <family val="1"/>
      <charset val="204"/>
    </font>
    <font>
      <sz val="11"/>
      <color theme="0"/>
      <name val="Times New Roman"/>
      <family val="1"/>
      <charset val="204"/>
    </font>
    <font>
      <sz val="12"/>
      <color rgb="FFFF0000"/>
      <name val="Times New Roman"/>
      <family val="1"/>
      <charset val="204"/>
    </font>
    <font>
      <b/>
      <i/>
      <sz val="12"/>
      <color theme="0"/>
      <name val="Times New Roman"/>
      <family val="1"/>
      <charset val="204"/>
    </font>
    <font>
      <sz val="8"/>
      <color theme="0"/>
      <name val="Times New Roman"/>
      <family val="2"/>
      <charset val="204"/>
    </font>
    <font>
      <b/>
      <sz val="12"/>
      <color theme="0"/>
      <name val="Times New Roman"/>
      <family val="1"/>
      <charset val="204"/>
    </font>
  </fonts>
  <fills count="9">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4" tint="0.39997558519241921"/>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diagonal/>
    </border>
    <border>
      <left/>
      <right/>
      <top style="thin">
        <color auto="1"/>
      </top>
      <bottom/>
      <diagonal/>
    </border>
    <border>
      <left/>
      <right/>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style="thin">
        <color indexed="64"/>
      </bottom>
      <diagonal/>
    </border>
  </borders>
  <cellStyleXfs count="20">
    <xf numFmtId="0" fontId="0" fillId="0" borderId="0"/>
    <xf numFmtId="0" fontId="1" fillId="0" borderId="0"/>
    <xf numFmtId="0" fontId="4" fillId="0" borderId="0"/>
    <xf numFmtId="164" fontId="1" fillId="0" borderId="0" applyFont="0" applyFill="0" applyBorder="0" applyAlignment="0" applyProtection="0"/>
    <xf numFmtId="0" fontId="14" fillId="0" borderId="0"/>
    <xf numFmtId="0" fontId="17" fillId="0" borderId="0"/>
    <xf numFmtId="164" fontId="1" fillId="0" borderId="0" applyFont="0" applyFill="0" applyBorder="0" applyAlignment="0" applyProtection="0"/>
    <xf numFmtId="0" fontId="23" fillId="0" borderId="0"/>
    <xf numFmtId="0" fontId="17" fillId="0" borderId="0"/>
    <xf numFmtId="0" fontId="29" fillId="0" borderId="0" applyBorder="0" applyProtection="0"/>
    <xf numFmtId="0" fontId="30" fillId="0" borderId="0"/>
    <xf numFmtId="0" fontId="32" fillId="0" borderId="0"/>
    <xf numFmtId="0" fontId="31" fillId="0" borderId="0"/>
    <xf numFmtId="0" fontId="30" fillId="0" borderId="0"/>
    <xf numFmtId="0" fontId="31" fillId="0" borderId="0"/>
    <xf numFmtId="0" fontId="17" fillId="0" borderId="0"/>
    <xf numFmtId="0" fontId="17" fillId="0" borderId="0"/>
    <xf numFmtId="0" fontId="31" fillId="0" borderId="0"/>
    <xf numFmtId="0" fontId="33" fillId="0" borderId="0"/>
    <xf numFmtId="170" fontId="38" fillId="0" borderId="0"/>
  </cellStyleXfs>
  <cellXfs count="382">
    <xf numFmtId="0" fontId="0" fillId="0" borderId="0" xfId="0"/>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right"/>
    </xf>
    <xf numFmtId="0" fontId="7" fillId="0" borderId="1" xfId="0" applyFont="1" applyFill="1" applyBorder="1" applyAlignment="1">
      <alignment horizontal="center" vertical="center" wrapText="1"/>
    </xf>
    <xf numFmtId="0" fontId="7" fillId="0" borderId="0" xfId="0" applyFont="1" applyFill="1" applyAlignment="1">
      <alignment vertical="center" wrapText="1"/>
    </xf>
    <xf numFmtId="0" fontId="10" fillId="0" borderId="1"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0" xfId="0" applyFont="1" applyFill="1" applyAlignment="1">
      <alignment vertical="center" wrapText="1"/>
    </xf>
    <xf numFmtId="1" fontId="10" fillId="2"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3" borderId="0" xfId="0" applyFont="1" applyFill="1" applyAlignment="1">
      <alignment vertical="center" wrapText="1"/>
    </xf>
    <xf numFmtId="1" fontId="10" fillId="3" borderId="1" xfId="0" applyNumberFormat="1" applyFont="1" applyFill="1" applyBorder="1" applyAlignment="1">
      <alignment horizontal="center" vertical="center" wrapText="1"/>
    </xf>
    <xf numFmtId="0" fontId="11" fillId="0" borderId="0" xfId="0" applyFont="1" applyFill="1"/>
    <xf numFmtId="0" fontId="11" fillId="0" borderId="0" xfId="0" applyFont="1"/>
    <xf numFmtId="0" fontId="13" fillId="2" borderId="1" xfId="0" applyFont="1" applyFill="1" applyBorder="1" applyAlignment="1">
      <alignment horizontal="center" vertical="center" wrapText="1"/>
    </xf>
    <xf numFmtId="0" fontId="11" fillId="0" borderId="1" xfId="0" applyFont="1" applyFill="1" applyBorder="1" applyAlignment="1">
      <alignment horizontal="center" vertical="center"/>
    </xf>
    <xf numFmtId="0" fontId="6" fillId="2" borderId="1" xfId="0" applyFont="1" applyFill="1" applyBorder="1" applyAlignment="1">
      <alignment horizontal="center" vertical="center"/>
    </xf>
    <xf numFmtId="0" fontId="6" fillId="3" borderId="1" xfId="0" applyFont="1" applyFill="1" applyBorder="1" applyAlignment="1">
      <alignment horizontal="center" vertical="center"/>
    </xf>
    <xf numFmtId="0" fontId="11" fillId="3" borderId="0" xfId="0" applyFont="1" applyFill="1"/>
    <xf numFmtId="0" fontId="11" fillId="0" borderId="1" xfId="0" applyFont="1" applyFill="1" applyBorder="1" applyAlignment="1">
      <alignment vertical="center" wrapText="1"/>
    </xf>
    <xf numFmtId="0" fontId="6" fillId="0" borderId="1" xfId="0" applyFont="1" applyFill="1" applyBorder="1" applyAlignment="1">
      <alignment horizontal="center" vertical="center"/>
    </xf>
    <xf numFmtId="0" fontId="11" fillId="2" borderId="0" xfId="0" applyFont="1" applyFill="1"/>
    <xf numFmtId="0" fontId="6" fillId="0" borderId="0" xfId="0" applyFont="1" applyAlignment="1">
      <alignment horizontal="left" vertical="center"/>
    </xf>
    <xf numFmtId="0" fontId="7" fillId="4" borderId="0" xfId="0" applyFont="1" applyFill="1" applyAlignment="1">
      <alignment vertical="center" wrapText="1"/>
    </xf>
    <xf numFmtId="0" fontId="11" fillId="4" borderId="0" xfId="0" applyFont="1" applyFill="1"/>
    <xf numFmtId="0" fontId="11" fillId="5" borderId="0" xfId="0" applyFont="1" applyFill="1"/>
    <xf numFmtId="0" fontId="7" fillId="5" borderId="0" xfId="0" applyFont="1" applyFill="1" applyAlignment="1">
      <alignment vertical="center" wrapText="1"/>
    </xf>
    <xf numFmtId="0" fontId="0" fillId="0" borderId="0" xfId="0" applyFill="1" applyAlignment="1">
      <alignment horizontal="right"/>
    </xf>
    <xf numFmtId="0" fontId="0" fillId="0" borderId="0" xfId="0" applyFill="1"/>
    <xf numFmtId="1" fontId="13" fillId="2" borderId="1" xfId="0" applyNumberFormat="1" applyFont="1" applyFill="1" applyBorder="1" applyAlignment="1">
      <alignment horizontal="center" vertical="center" wrapText="1"/>
    </xf>
    <xf numFmtId="0" fontId="13" fillId="3" borderId="1" xfId="0" applyFont="1" applyFill="1" applyBorder="1" applyAlignment="1">
      <alignment horizontal="center" vertical="center" wrapText="1"/>
    </xf>
    <xf numFmtId="1" fontId="13" fillId="3"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17" fontId="11" fillId="0" borderId="1" xfId="0" applyNumberFormat="1" applyFont="1" applyFill="1" applyBorder="1" applyAlignment="1">
      <alignment horizontal="center" vertical="center"/>
    </xf>
    <xf numFmtId="0" fontId="11" fillId="0" borderId="1" xfId="0" applyFont="1" applyFill="1" applyBorder="1" applyAlignment="1">
      <alignment wrapText="1"/>
    </xf>
    <xf numFmtId="0" fontId="7" fillId="0" borderId="1" xfId="0" applyFont="1" applyFill="1" applyBorder="1" applyAlignment="1">
      <alignment horizontal="left" vertical="center" wrapText="1"/>
    </xf>
    <xf numFmtId="0" fontId="11" fillId="0" borderId="0" xfId="0" applyFont="1" applyFill="1" applyAlignment="1">
      <alignment vertical="top"/>
    </xf>
    <xf numFmtId="1" fontId="10" fillId="0" borderId="1" xfId="0" applyNumberFormat="1" applyFont="1" applyFill="1" applyBorder="1" applyAlignment="1">
      <alignment horizontal="center" vertical="center" wrapText="1"/>
    </xf>
    <xf numFmtId="1" fontId="7" fillId="0" borderId="1" xfId="0" applyNumberFormat="1" applyFont="1" applyFill="1" applyBorder="1" applyAlignment="1">
      <alignment horizontal="center" vertical="center" wrapText="1"/>
    </xf>
    <xf numFmtId="3" fontId="7" fillId="0" borderId="1" xfId="0" applyNumberFormat="1" applyFont="1" applyFill="1" applyBorder="1" applyAlignment="1">
      <alignment horizontal="center" vertical="center" wrapText="1"/>
    </xf>
    <xf numFmtId="0" fontId="11" fillId="0" borderId="1" xfId="0" applyFont="1" applyBorder="1" applyAlignment="1">
      <alignment horizontal="center" vertical="center"/>
    </xf>
    <xf numFmtId="0" fontId="3" fillId="0" borderId="1" xfId="0" applyFont="1" applyFill="1" applyBorder="1" applyAlignment="1">
      <alignment horizontal="center" vertical="center"/>
    </xf>
    <xf numFmtId="3" fontId="11" fillId="0" borderId="1" xfId="0" applyNumberFormat="1" applyFont="1" applyFill="1" applyBorder="1" applyAlignment="1">
      <alignment horizontal="center" vertical="center"/>
    </xf>
    <xf numFmtId="1" fontId="11" fillId="0" borderId="1" xfId="0" applyNumberFormat="1" applyFont="1" applyFill="1" applyBorder="1" applyAlignment="1">
      <alignment horizontal="center" vertical="center"/>
    </xf>
    <xf numFmtId="3" fontId="11" fillId="0" borderId="0" xfId="0" applyNumberFormat="1" applyFont="1" applyFill="1" applyAlignment="1">
      <alignment horizontal="center" vertical="center"/>
    </xf>
    <xf numFmtId="1" fontId="11" fillId="0" borderId="0" xfId="0" applyNumberFormat="1" applyFont="1" applyFill="1" applyAlignment="1">
      <alignment horizontal="center" vertical="center"/>
    </xf>
    <xf numFmtId="0" fontId="11" fillId="0" borderId="0" xfId="0" applyFont="1" applyFill="1" applyAlignment="1">
      <alignment horizontal="center" vertical="center"/>
    </xf>
    <xf numFmtId="0" fontId="0" fillId="0" borderId="1" xfId="0" applyFill="1" applyBorder="1" applyAlignment="1">
      <alignment horizontal="center" vertical="center" wrapText="1"/>
    </xf>
    <xf numFmtId="1" fontId="3" fillId="0" borderId="1" xfId="0" applyNumberFormat="1" applyFont="1" applyFill="1" applyBorder="1" applyAlignment="1">
      <alignment horizontal="center" vertical="center"/>
    </xf>
    <xf numFmtId="0" fontId="13" fillId="0" borderId="1" xfId="0" applyFont="1" applyFill="1" applyBorder="1" applyAlignment="1">
      <alignment horizontal="center" vertical="center" wrapText="1"/>
    </xf>
    <xf numFmtId="0" fontId="3" fillId="0" borderId="1" xfId="0" applyFont="1" applyFill="1" applyBorder="1" applyAlignment="1">
      <alignment vertical="center" wrapText="1"/>
    </xf>
    <xf numFmtId="3" fontId="3" fillId="0" borderId="1" xfId="0" applyNumberFormat="1" applyFont="1" applyFill="1" applyBorder="1" applyAlignment="1">
      <alignment horizontal="center" vertical="center" wrapText="1"/>
    </xf>
    <xf numFmtId="0" fontId="3" fillId="0" borderId="1" xfId="0" applyFont="1" applyFill="1" applyBorder="1" applyAlignment="1">
      <alignment horizontal="left" vertical="center" wrapText="1"/>
    </xf>
    <xf numFmtId="0" fontId="13" fillId="0" borderId="1" xfId="0" applyNumberFormat="1" applyFont="1" applyFill="1" applyBorder="1" applyAlignment="1">
      <alignment horizontal="center" vertical="center" wrapText="1"/>
    </xf>
    <xf numFmtId="0" fontId="3" fillId="0" borderId="0" xfId="0" applyFont="1" applyFill="1" applyAlignment="1">
      <alignment vertical="center" wrapText="1"/>
    </xf>
    <xf numFmtId="0" fontId="10" fillId="0" borderId="1" xfId="0" applyNumberFormat="1" applyFont="1" applyFill="1" applyBorder="1" applyAlignment="1">
      <alignment horizontal="center" vertical="center" wrapText="1"/>
    </xf>
    <xf numFmtId="0" fontId="3" fillId="0" borderId="1" xfId="0" quotePrefix="1" applyFont="1" applyFill="1" applyBorder="1" applyAlignment="1">
      <alignment horizontal="left" vertical="center" wrapText="1"/>
    </xf>
    <xf numFmtId="0" fontId="10" fillId="7" borderId="1" xfId="0" applyFont="1" applyFill="1" applyBorder="1" applyAlignment="1">
      <alignment horizontal="center" vertical="center" wrapText="1"/>
    </xf>
    <xf numFmtId="0" fontId="7" fillId="0" borderId="1" xfId="0" quotePrefix="1" applyFont="1" applyFill="1" applyBorder="1" applyAlignment="1">
      <alignment horizontal="left" vertical="center" wrapText="1"/>
    </xf>
    <xf numFmtId="0" fontId="10" fillId="0" borderId="1" xfId="0" applyFont="1" applyFill="1" applyBorder="1" applyAlignment="1">
      <alignment horizontal="left" vertical="center" wrapText="1"/>
    </xf>
    <xf numFmtId="14" fontId="10" fillId="0" borderId="1" xfId="0" applyNumberFormat="1" applyFont="1" applyFill="1" applyBorder="1" applyAlignment="1">
      <alignment horizontal="center" vertical="center" wrapText="1"/>
    </xf>
    <xf numFmtId="16" fontId="10" fillId="3" borderId="1" xfId="0" applyNumberFormat="1" applyFont="1" applyFill="1" applyBorder="1" applyAlignment="1">
      <alignment horizontal="center" vertical="center" wrapText="1"/>
    </xf>
    <xf numFmtId="14" fontId="10" fillId="7" borderId="1" xfId="0" applyNumberFormat="1" applyFont="1" applyFill="1" applyBorder="1" applyAlignment="1">
      <alignment horizontal="center" vertical="center" wrapText="1"/>
    </xf>
    <xf numFmtId="0" fontId="6" fillId="7" borderId="1" xfId="0" applyFont="1" applyFill="1" applyBorder="1" applyAlignment="1">
      <alignment horizontal="left" vertical="center" wrapText="1"/>
    </xf>
    <xf numFmtId="0" fontId="11" fillId="7" borderId="1" xfId="0" applyFont="1" applyFill="1" applyBorder="1" applyAlignment="1">
      <alignment horizontal="center" vertical="center"/>
    </xf>
    <xf numFmtId="0" fontId="6" fillId="7" borderId="1" xfId="0" applyFont="1" applyFill="1" applyBorder="1" applyAlignment="1">
      <alignment horizontal="center" vertical="center"/>
    </xf>
    <xf numFmtId="14" fontId="10" fillId="6" borderId="1" xfId="0" applyNumberFormat="1" applyFont="1" applyFill="1" applyBorder="1" applyAlignment="1">
      <alignment horizontal="center" vertical="center" wrapText="1"/>
    </xf>
    <xf numFmtId="0" fontId="6" fillId="6" borderId="1" xfId="0" applyFont="1" applyFill="1" applyBorder="1" applyAlignment="1">
      <alignment horizontal="left" vertical="center" wrapText="1"/>
    </xf>
    <xf numFmtId="0" fontId="11" fillId="6" borderId="1" xfId="0" applyFont="1" applyFill="1" applyBorder="1" applyAlignment="1">
      <alignment horizontal="center" vertical="center"/>
    </xf>
    <xf numFmtId="0" fontId="10" fillId="6" borderId="1" xfId="0" applyFont="1" applyFill="1" applyBorder="1" applyAlignment="1">
      <alignment horizontal="center" vertical="center" wrapText="1"/>
    </xf>
    <xf numFmtId="0" fontId="6" fillId="6" borderId="1" xfId="0" applyFont="1" applyFill="1" applyBorder="1" applyAlignment="1">
      <alignment vertical="center" wrapText="1"/>
    </xf>
    <xf numFmtId="0" fontId="6" fillId="7" borderId="1" xfId="0" applyFont="1" applyFill="1" applyBorder="1" applyAlignment="1">
      <alignment vertical="center" wrapText="1"/>
    </xf>
    <xf numFmtId="16" fontId="10" fillId="7" borderId="1" xfId="0" applyNumberFormat="1" applyFont="1" applyFill="1" applyBorder="1" applyAlignment="1">
      <alignment horizontal="center" vertical="center" wrapText="1"/>
    </xf>
    <xf numFmtId="0" fontId="6" fillId="6" borderId="1" xfId="0" applyFont="1" applyFill="1" applyBorder="1" applyAlignment="1">
      <alignment horizontal="center" vertical="center"/>
    </xf>
    <xf numFmtId="0" fontId="11" fillId="0" borderId="1" xfId="0" applyFont="1" applyFill="1" applyBorder="1" applyAlignment="1">
      <alignment vertical="top" wrapText="1"/>
    </xf>
    <xf numFmtId="0" fontId="11" fillId="0" borderId="1" xfId="0" quotePrefix="1" applyFont="1" applyFill="1" applyBorder="1" applyAlignment="1">
      <alignment vertical="center" wrapText="1"/>
    </xf>
    <xf numFmtId="0" fontId="6" fillId="0" borderId="1" xfId="0" applyFont="1" applyFill="1" applyBorder="1" applyAlignment="1">
      <alignment horizontal="center" vertical="center" wrapText="1"/>
    </xf>
    <xf numFmtId="0" fontId="11" fillId="7" borderId="1" xfId="0" applyFont="1" applyFill="1" applyBorder="1" applyAlignment="1">
      <alignment vertical="center" wrapText="1"/>
    </xf>
    <xf numFmtId="0" fontId="11" fillId="6" borderId="1" xfId="0" applyFont="1" applyFill="1" applyBorder="1" applyAlignment="1">
      <alignment vertical="center" wrapText="1"/>
    </xf>
    <xf numFmtId="0" fontId="19" fillId="0" borderId="0" xfId="0" applyFont="1"/>
    <xf numFmtId="0" fontId="20" fillId="0" borderId="0" xfId="0" applyFont="1" applyAlignment="1">
      <alignment horizontal="center" vertical="center"/>
    </xf>
    <xf numFmtId="0" fontId="19" fillId="0" borderId="0" xfId="0" applyFont="1" applyBorder="1"/>
    <xf numFmtId="0" fontId="19" fillId="0" borderId="0" xfId="0" applyFont="1" applyBorder="1" applyAlignment="1">
      <alignment horizontal="center"/>
    </xf>
    <xf numFmtId="0" fontId="21" fillId="0" borderId="0" xfId="0" applyFont="1" applyAlignment="1">
      <alignment vertical="center" wrapText="1"/>
    </xf>
    <xf numFmtId="0" fontId="21" fillId="0" borderId="0" xfId="0" applyFont="1" applyAlignment="1">
      <alignment horizontal="center" vertical="center"/>
    </xf>
    <xf numFmtId="0" fontId="19" fillId="0" borderId="0" xfId="5" applyFont="1" applyBorder="1" applyAlignment="1">
      <alignment horizontal="left" vertical="center" wrapText="1"/>
    </xf>
    <xf numFmtId="0" fontId="19" fillId="0" borderId="0" xfId="0" applyFont="1" applyBorder="1" applyAlignment="1">
      <alignment horizontal="left"/>
    </xf>
    <xf numFmtId="0" fontId="11" fillId="0" borderId="0" xfId="0" applyFont="1" applyFill="1" applyBorder="1" applyAlignment="1">
      <alignment horizontal="center" vertical="center"/>
    </xf>
    <xf numFmtId="0" fontId="11" fillId="0" borderId="1" xfId="0" applyFont="1" applyFill="1" applyBorder="1" applyAlignment="1">
      <alignment horizontal="left" vertical="center" wrapText="1"/>
    </xf>
    <xf numFmtId="1" fontId="6" fillId="0" borderId="1" xfId="0" applyNumberFormat="1" applyFont="1" applyFill="1" applyBorder="1" applyAlignment="1">
      <alignment horizontal="center" vertical="center" wrapText="1"/>
    </xf>
    <xf numFmtId="0" fontId="11" fillId="0" borderId="5" xfId="0" applyNumberFormat="1" applyFont="1" applyFill="1" applyBorder="1" applyAlignment="1">
      <alignment vertical="center" wrapText="1"/>
    </xf>
    <xf numFmtId="165" fontId="11" fillId="0" borderId="1" xfId="0" applyNumberFormat="1" applyFont="1" applyFill="1" applyBorder="1" applyAlignment="1">
      <alignment horizontal="center" vertical="center" wrapText="1"/>
    </xf>
    <xf numFmtId="0" fontId="11" fillId="0" borderId="9" xfId="0" applyNumberFormat="1" applyFont="1" applyFill="1" applyBorder="1" applyAlignment="1">
      <alignment horizontal="left" vertical="center" wrapText="1"/>
    </xf>
    <xf numFmtId="166" fontId="11" fillId="0" borderId="1" xfId="6" applyNumberFormat="1" applyFont="1" applyFill="1" applyBorder="1" applyAlignment="1">
      <alignment horizontal="center" vertical="center"/>
    </xf>
    <xf numFmtId="0" fontId="11" fillId="0" borderId="5" xfId="0" applyFont="1" applyFill="1" applyBorder="1" applyAlignment="1">
      <alignment wrapText="1"/>
    </xf>
    <xf numFmtId="0" fontId="11" fillId="0" borderId="1" xfId="0" applyFont="1" applyFill="1" applyBorder="1" applyAlignment="1">
      <alignment horizontal="left" vertical="top" wrapText="1"/>
    </xf>
    <xf numFmtId="167" fontId="11" fillId="0" borderId="5" xfId="0" applyNumberFormat="1" applyFont="1" applyFill="1" applyBorder="1" applyAlignment="1">
      <alignment vertical="center" wrapText="1"/>
    </xf>
    <xf numFmtId="1" fontId="11" fillId="0" borderId="1" xfId="6" applyNumberFormat="1" applyFont="1" applyFill="1" applyBorder="1" applyAlignment="1">
      <alignment horizontal="center" vertical="center"/>
    </xf>
    <xf numFmtId="168" fontId="11" fillId="0" borderId="1" xfId="6" applyNumberFormat="1" applyFont="1" applyFill="1" applyBorder="1" applyAlignment="1">
      <alignment horizontal="center" vertical="center"/>
    </xf>
    <xf numFmtId="167" fontId="11" fillId="0" borderId="1" xfId="0" applyNumberFormat="1" applyFont="1" applyFill="1" applyBorder="1" applyAlignment="1">
      <alignment horizontal="left" vertical="center" wrapText="1"/>
    </xf>
    <xf numFmtId="0" fontId="11" fillId="0" borderId="1" xfId="0" applyNumberFormat="1" applyFont="1" applyFill="1" applyBorder="1" applyAlignment="1">
      <alignment vertical="center" wrapText="1"/>
    </xf>
    <xf numFmtId="0" fontId="11" fillId="0" borderId="5" xfId="0" applyFont="1" applyFill="1" applyBorder="1" applyAlignment="1">
      <alignment vertical="center" wrapText="1"/>
    </xf>
    <xf numFmtId="167" fontId="11" fillId="0" borderId="5" xfId="0" applyNumberFormat="1" applyFont="1" applyFill="1" applyBorder="1" applyAlignment="1">
      <alignment wrapText="1"/>
    </xf>
    <xf numFmtId="0" fontId="3" fillId="0" borderId="5" xfId="0" applyFont="1" applyFill="1" applyBorder="1" applyAlignment="1">
      <alignment wrapText="1"/>
    </xf>
    <xf numFmtId="1" fontId="3" fillId="0" borderId="1" xfId="6" applyNumberFormat="1" applyFont="1" applyFill="1" applyBorder="1" applyAlignment="1">
      <alignment horizontal="center" vertical="center"/>
    </xf>
    <xf numFmtId="168" fontId="3" fillId="0" borderId="1" xfId="6" applyNumberFormat="1" applyFont="1" applyFill="1" applyBorder="1" applyAlignment="1">
      <alignment horizontal="center" vertical="center"/>
    </xf>
    <xf numFmtId="0" fontId="3" fillId="0" borderId="5" xfId="0" applyNumberFormat="1" applyFont="1" applyFill="1" applyBorder="1" applyAlignment="1">
      <alignment vertical="center" wrapText="1"/>
    </xf>
    <xf numFmtId="167" fontId="3" fillId="0" borderId="1" xfId="0" applyNumberFormat="1" applyFont="1" applyFill="1" applyBorder="1" applyAlignment="1">
      <alignment vertical="center" wrapText="1"/>
    </xf>
    <xf numFmtId="0" fontId="3" fillId="0" borderId="1" xfId="0" applyNumberFormat="1" applyFont="1" applyFill="1" applyBorder="1" applyAlignment="1">
      <alignment vertical="center" wrapText="1"/>
    </xf>
    <xf numFmtId="0" fontId="3" fillId="0" borderId="6" xfId="0" applyNumberFormat="1" applyFont="1" applyFill="1" applyBorder="1" applyAlignment="1">
      <alignment vertical="center" wrapText="1"/>
    </xf>
    <xf numFmtId="0" fontId="3" fillId="0" borderId="1" xfId="0" applyFont="1" applyFill="1" applyBorder="1" applyAlignment="1">
      <alignment wrapText="1"/>
    </xf>
    <xf numFmtId="49" fontId="11" fillId="0" borderId="5" xfId="7" applyNumberFormat="1" applyFont="1" applyFill="1" applyBorder="1" applyAlignment="1">
      <alignment vertical="center" wrapText="1"/>
    </xf>
    <xf numFmtId="0" fontId="7" fillId="0" borderId="1" xfId="0" applyNumberFormat="1" applyFont="1" applyFill="1" applyBorder="1" applyAlignment="1">
      <alignment horizontal="center" vertical="center" wrapText="1"/>
    </xf>
    <xf numFmtId="0" fontId="10" fillId="0" borderId="5" xfId="0" applyFont="1" applyFill="1" applyBorder="1" applyAlignment="1">
      <alignment horizontal="center" vertical="center" wrapText="1"/>
    </xf>
    <xf numFmtId="2" fontId="7" fillId="0" borderId="1" xfId="0" applyNumberFormat="1" applyFont="1" applyFill="1" applyBorder="1" applyAlignment="1">
      <alignment horizontal="center" vertical="center" wrapText="1"/>
    </xf>
    <xf numFmtId="0" fontId="7" fillId="0" borderId="5" xfId="0" applyFont="1" applyFill="1" applyBorder="1" applyAlignment="1">
      <alignment horizontal="left" vertical="center" wrapText="1"/>
    </xf>
    <xf numFmtId="1" fontId="10" fillId="0" borderId="5" xfId="0" applyNumberFormat="1" applyFont="1" applyFill="1" applyBorder="1" applyAlignment="1">
      <alignment horizontal="center" vertical="center" wrapText="1"/>
    </xf>
    <xf numFmtId="0" fontId="7" fillId="0" borderId="1" xfId="0" applyFont="1" applyFill="1" applyBorder="1" applyAlignment="1">
      <alignment horizontal="center" vertical="top" wrapText="1"/>
    </xf>
    <xf numFmtId="4" fontId="7" fillId="0" borderId="1"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7" fillId="0" borderId="5" xfId="0" applyFont="1" applyFill="1" applyBorder="1" applyAlignment="1">
      <alignment horizontal="center" vertical="center" wrapText="1"/>
    </xf>
    <xf numFmtId="0" fontId="24" fillId="0" borderId="1" xfId="0" applyFont="1" applyFill="1" applyBorder="1" applyAlignment="1">
      <alignment horizontal="center" vertical="center" wrapText="1"/>
    </xf>
    <xf numFmtId="0" fontId="21" fillId="0" borderId="1" xfId="0" applyFont="1" applyFill="1" applyBorder="1" applyAlignment="1">
      <alignment horizontal="center" vertical="center" wrapText="1"/>
    </xf>
    <xf numFmtId="16" fontId="7" fillId="0" borderId="1" xfId="0" applyNumberFormat="1" applyFont="1" applyFill="1" applyBorder="1" applyAlignment="1">
      <alignment horizontal="center" vertical="center" wrapText="1"/>
    </xf>
    <xf numFmtId="0" fontId="25" fillId="0" borderId="9" xfId="0" applyFont="1" applyFill="1" applyBorder="1" applyAlignment="1">
      <alignment horizontal="center" vertical="center" wrapText="1"/>
    </xf>
    <xf numFmtId="0" fontId="25" fillId="0" borderId="1" xfId="0" applyFont="1" applyFill="1" applyBorder="1" applyAlignment="1">
      <alignment horizontal="center" vertical="center" wrapText="1"/>
    </xf>
    <xf numFmtId="1" fontId="6" fillId="3" borderId="1" xfId="0" applyNumberFormat="1" applyFont="1" applyFill="1" applyBorder="1" applyAlignment="1">
      <alignment horizontal="center" vertical="center"/>
    </xf>
    <xf numFmtId="0" fontId="11" fillId="0" borderId="1" xfId="0" applyFont="1" applyFill="1" applyBorder="1" applyAlignment="1">
      <alignment horizontal="center" vertical="center" wrapText="1"/>
    </xf>
    <xf numFmtId="1" fontId="11" fillId="0" borderId="5" xfId="0" applyNumberFormat="1" applyFont="1" applyFill="1" applyBorder="1" applyAlignment="1">
      <alignment horizontal="center" vertical="center"/>
    </xf>
    <xf numFmtId="0" fontId="11" fillId="0" borderId="1" xfId="0" applyFont="1" applyFill="1" applyBorder="1" applyAlignment="1">
      <alignment horizontal="center" vertical="center" wrapText="1"/>
    </xf>
    <xf numFmtId="0" fontId="11" fillId="8" borderId="1" xfId="0" applyFont="1" applyFill="1" applyBorder="1" applyAlignment="1">
      <alignment horizontal="center" vertical="center"/>
    </xf>
    <xf numFmtId="0" fontId="7" fillId="8" borderId="1" xfId="0" applyFont="1" applyFill="1" applyBorder="1" applyAlignment="1">
      <alignment horizontal="center" vertical="center" wrapText="1"/>
    </xf>
    <xf numFmtId="0" fontId="7" fillId="8" borderId="1" xfId="0" applyFont="1" applyFill="1" applyBorder="1" applyAlignment="1">
      <alignment horizontal="left" vertical="center" wrapText="1"/>
    </xf>
    <xf numFmtId="0" fontId="10" fillId="6" borderId="1" xfId="0" applyFont="1" applyFill="1" applyBorder="1" applyAlignment="1">
      <alignment horizontal="left" vertical="center" wrapText="1"/>
    </xf>
    <xf numFmtId="1" fontId="10" fillId="6" borderId="1" xfId="0" applyNumberFormat="1" applyFont="1" applyFill="1" applyBorder="1" applyAlignment="1">
      <alignment horizontal="center" vertical="center" wrapText="1"/>
    </xf>
    <xf numFmtId="3" fontId="3" fillId="0" borderId="1" xfId="0" applyNumberFormat="1" applyFont="1" applyFill="1" applyBorder="1" applyAlignment="1">
      <alignment horizontal="center" vertical="center"/>
    </xf>
    <xf numFmtId="0" fontId="10" fillId="8" borderId="1" xfId="0" applyFont="1" applyFill="1" applyBorder="1" applyAlignment="1">
      <alignment horizontal="center" vertical="center" wrapText="1"/>
    </xf>
    <xf numFmtId="1" fontId="10" fillId="8"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1" fontId="11" fillId="0" borderId="9" xfId="0" applyNumberFormat="1" applyFont="1" applyFill="1" applyBorder="1" applyAlignment="1">
      <alignment horizontal="center" vertical="center"/>
    </xf>
    <xf numFmtId="0" fontId="7" fillId="0" borderId="9" xfId="0" applyFont="1" applyFill="1" applyBorder="1" applyAlignment="1">
      <alignment horizontal="center" vertical="center" wrapText="1"/>
    </xf>
    <xf numFmtId="0" fontId="7" fillId="0" borderId="9" xfId="0" applyFont="1" applyFill="1" applyBorder="1" applyAlignment="1">
      <alignment horizontal="left" vertical="center" wrapText="1"/>
    </xf>
    <xf numFmtId="0" fontId="11" fillId="0" borderId="9" xfId="0" applyFont="1" applyFill="1" applyBorder="1" applyAlignment="1">
      <alignment horizontal="center" vertical="center"/>
    </xf>
    <xf numFmtId="1" fontId="7" fillId="0" borderId="9" xfId="0" applyNumberFormat="1" applyFont="1" applyFill="1" applyBorder="1" applyAlignment="1">
      <alignment horizontal="center" vertical="center" wrapText="1"/>
    </xf>
    <xf numFmtId="0" fontId="6" fillId="3" borderId="1" xfId="0" applyFont="1" applyFill="1" applyBorder="1" applyAlignment="1">
      <alignment horizontal="center" vertical="center" wrapText="1"/>
    </xf>
    <xf numFmtId="1" fontId="7" fillId="0" borderId="5" xfId="0" applyNumberFormat="1" applyFont="1" applyFill="1" applyBorder="1" applyAlignment="1">
      <alignment horizontal="center" vertical="center" wrapText="1"/>
    </xf>
    <xf numFmtId="0" fontId="7" fillId="0" borderId="5" xfId="0" quotePrefix="1" applyFont="1" applyFill="1" applyBorder="1" applyAlignment="1">
      <alignment horizontal="left" vertical="center" wrapText="1"/>
    </xf>
    <xf numFmtId="169" fontId="10" fillId="2" borderId="1" xfId="0" applyNumberFormat="1" applyFont="1" applyFill="1" applyBorder="1" applyAlignment="1">
      <alignment horizontal="center" vertical="center" wrapText="1"/>
    </xf>
    <xf numFmtId="169" fontId="7" fillId="0" borderId="1" xfId="0" applyNumberFormat="1" applyFont="1" applyFill="1" applyBorder="1" applyAlignment="1">
      <alignment horizontal="center" vertical="center" wrapText="1"/>
    </xf>
    <xf numFmtId="169" fontId="10" fillId="0" borderId="1" xfId="0" applyNumberFormat="1" applyFont="1" applyFill="1" applyBorder="1" applyAlignment="1">
      <alignment horizontal="center" vertical="center" wrapText="1"/>
    </xf>
    <xf numFmtId="0" fontId="11" fillId="0" borderId="5" xfId="0" applyFont="1" applyFill="1" applyBorder="1" applyAlignment="1">
      <alignment horizontal="center" vertical="center"/>
    </xf>
    <xf numFmtId="0" fontId="10" fillId="0" borderId="5" xfId="0" applyFont="1" applyFill="1" applyBorder="1" applyAlignment="1">
      <alignment horizontal="center" vertical="center" wrapText="1"/>
    </xf>
    <xf numFmtId="0" fontId="3" fillId="0" borderId="14" xfId="0" applyNumberFormat="1" applyFont="1" applyFill="1" applyBorder="1" applyAlignment="1" applyProtection="1">
      <alignment horizontal="center" vertical="center" wrapText="1"/>
    </xf>
    <xf numFmtId="4" fontId="3" fillId="0" borderId="14"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xf>
    <xf numFmtId="0" fontId="3" fillId="0" borderId="1" xfId="0" applyFont="1" applyFill="1" applyBorder="1" applyAlignment="1" applyProtection="1">
      <alignment horizontal="left" vertical="center" wrapText="1"/>
    </xf>
    <xf numFmtId="4" fontId="3" fillId="0" borderId="1" xfId="0" applyNumberFormat="1" applyFont="1" applyFill="1" applyBorder="1" applyAlignment="1" applyProtection="1">
      <alignment horizontal="center" vertical="center"/>
    </xf>
    <xf numFmtId="0" fontId="7" fillId="0" borderId="15" xfId="0" applyFont="1" applyFill="1" applyBorder="1" applyAlignment="1">
      <alignment horizontal="center" vertical="center" wrapText="1"/>
    </xf>
    <xf numFmtId="1" fontId="7" fillId="0" borderId="15" xfId="0" applyNumberFormat="1" applyFont="1" applyFill="1" applyBorder="1" applyAlignment="1">
      <alignment horizontal="center" vertical="center" wrapText="1"/>
    </xf>
    <xf numFmtId="0" fontId="11" fillId="0" borderId="15" xfId="0" applyFont="1" applyFill="1" applyBorder="1" applyAlignment="1">
      <alignment horizontal="center" vertical="center"/>
    </xf>
    <xf numFmtId="0" fontId="11" fillId="0" borderId="15" xfId="0" applyFont="1" applyFill="1" applyBorder="1" applyAlignment="1">
      <alignment vertical="center" wrapText="1"/>
    </xf>
    <xf numFmtId="0" fontId="11" fillId="0" borderId="1" xfId="0" applyFont="1" applyFill="1" applyBorder="1" applyAlignment="1">
      <alignment horizontal="center" vertical="top"/>
    </xf>
    <xf numFmtId="0" fontId="10" fillId="0" borderId="1" xfId="0" applyFont="1" applyFill="1" applyBorder="1" applyAlignment="1">
      <alignment horizontal="center" vertical="top" wrapText="1"/>
    </xf>
    <xf numFmtId="0" fontId="7" fillId="0" borderId="1" xfId="0" applyFont="1" applyFill="1" applyBorder="1" applyAlignment="1">
      <alignment horizontal="left" vertical="top" wrapText="1"/>
    </xf>
    <xf numFmtId="1" fontId="7" fillId="0" borderId="1" xfId="0" applyNumberFormat="1" applyFont="1" applyFill="1" applyBorder="1" applyAlignment="1">
      <alignment horizontal="center" vertical="top" wrapText="1"/>
    </xf>
    <xf numFmtId="1" fontId="11" fillId="0" borderId="1" xfId="0" applyNumberFormat="1" applyFont="1" applyFill="1" applyBorder="1" applyAlignment="1">
      <alignment horizontal="center" vertical="top"/>
    </xf>
    <xf numFmtId="3" fontId="11" fillId="0" borderId="1" xfId="0" applyNumberFormat="1" applyFont="1" applyFill="1" applyBorder="1" applyAlignment="1">
      <alignment horizontal="center" vertical="top"/>
    </xf>
    <xf numFmtId="0" fontId="0" fillId="0" borderId="1" xfId="0" applyFill="1" applyBorder="1" applyAlignment="1">
      <alignment horizontal="left" vertical="center"/>
    </xf>
    <xf numFmtId="0" fontId="0" fillId="0" borderId="1" xfId="0" applyFill="1" applyBorder="1" applyAlignment="1">
      <alignment vertical="center"/>
    </xf>
    <xf numFmtId="0" fontId="2" fillId="0" borderId="1"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22" fillId="0" borderId="1" xfId="0" applyFont="1" applyFill="1" applyBorder="1" applyAlignment="1">
      <alignment horizontal="center" vertical="center" wrapText="1"/>
    </xf>
    <xf numFmtId="1" fontId="27" fillId="0" borderId="1" xfId="0" applyNumberFormat="1" applyFont="1" applyFill="1" applyBorder="1" applyAlignment="1">
      <alignment horizontal="center" vertical="center" wrapText="1"/>
    </xf>
    <xf numFmtId="0" fontId="26" fillId="0" borderId="14" xfId="0" applyNumberFormat="1" applyFont="1" applyFill="1" applyBorder="1" applyAlignment="1" applyProtection="1">
      <alignment horizontal="left" vertical="center" wrapText="1"/>
    </xf>
    <xf numFmtId="1" fontId="3" fillId="0" borderId="14" xfId="0" applyNumberFormat="1" applyFont="1" applyFill="1" applyBorder="1" applyAlignment="1" applyProtection="1">
      <alignment horizontal="center" vertical="center" wrapText="1"/>
    </xf>
    <xf numFmtId="0" fontId="26" fillId="0" borderId="14" xfId="0" applyNumberFormat="1" applyFont="1" applyFill="1" applyBorder="1" applyAlignment="1" applyProtection="1">
      <alignment horizontal="center" vertical="center" wrapText="1"/>
    </xf>
    <xf numFmtId="3" fontId="27" fillId="0" borderId="1" xfId="0" applyNumberFormat="1" applyFont="1" applyFill="1" applyBorder="1" applyAlignment="1">
      <alignment horizontal="center" vertical="center" wrapText="1"/>
    </xf>
    <xf numFmtId="0" fontId="15" fillId="0" borderId="14" xfId="0" applyNumberFormat="1" applyFont="1" applyFill="1" applyBorder="1" applyAlignment="1" applyProtection="1">
      <alignment horizontal="center" vertical="center" wrapText="1"/>
    </xf>
    <xf numFmtId="0" fontId="15" fillId="0" borderId="14" xfId="0" applyNumberFormat="1" applyFont="1" applyFill="1" applyBorder="1" applyAlignment="1" applyProtection="1">
      <alignment vertical="center" wrapText="1"/>
      <protection locked="0"/>
    </xf>
    <xf numFmtId="0" fontId="28" fillId="0" borderId="14" xfId="0" applyNumberFormat="1" applyFont="1" applyFill="1" applyBorder="1" applyAlignment="1" applyProtection="1">
      <alignment horizontal="center" vertical="center" wrapText="1"/>
    </xf>
    <xf numFmtId="0" fontId="28" fillId="0" borderId="14" xfId="0" applyNumberFormat="1" applyFont="1" applyFill="1" applyBorder="1" applyAlignment="1" applyProtection="1">
      <alignment vertical="center" wrapText="1"/>
      <protection locked="0"/>
    </xf>
    <xf numFmtId="0" fontId="13" fillId="0" borderId="14" xfId="0" applyNumberFormat="1" applyFont="1" applyFill="1" applyBorder="1" applyAlignment="1" applyProtection="1">
      <alignment horizontal="center" vertical="center" wrapText="1"/>
    </xf>
    <xf numFmtId="0" fontId="10" fillId="0" borderId="5" xfId="0" applyFont="1" applyFill="1" applyBorder="1" applyAlignment="1">
      <alignment horizontal="center" vertical="center" wrapText="1"/>
    </xf>
    <xf numFmtId="0" fontId="11" fillId="0" borderId="5" xfId="0" applyFont="1" applyFill="1" applyBorder="1" applyAlignment="1">
      <alignment horizontal="center" vertical="center"/>
    </xf>
    <xf numFmtId="0" fontId="11" fillId="0" borderId="15" xfId="0" applyFont="1" applyFill="1" applyBorder="1" applyAlignment="1">
      <alignment horizontal="center" vertical="center" wrapText="1"/>
    </xf>
    <xf numFmtId="0" fontId="0" fillId="0" borderId="15" xfId="0" applyFill="1" applyBorder="1" applyAlignment="1">
      <alignment horizontal="center" vertical="center" wrapText="1"/>
    </xf>
    <xf numFmtId="0" fontId="11" fillId="0" borderId="16" xfId="0" applyFont="1" applyBorder="1" applyAlignment="1">
      <alignment horizontal="center" vertical="center"/>
    </xf>
    <xf numFmtId="0" fontId="10" fillId="0" borderId="16" xfId="0" applyFont="1" applyFill="1" applyBorder="1" applyAlignment="1">
      <alignment horizontal="center" vertical="center" wrapText="1"/>
    </xf>
    <xf numFmtId="0" fontId="6" fillId="0" borderId="16" xfId="0" applyFont="1" applyFill="1" applyBorder="1" applyAlignment="1">
      <alignment horizontal="left" vertical="center" wrapText="1"/>
    </xf>
    <xf numFmtId="0" fontId="11" fillId="0" borderId="16" xfId="0" applyFont="1" applyFill="1" applyBorder="1" applyAlignment="1">
      <alignment horizontal="center" vertical="center"/>
    </xf>
    <xf numFmtId="0" fontId="6" fillId="0" borderId="5" xfId="0" applyFont="1" applyFill="1" applyBorder="1" applyAlignment="1">
      <alignment horizontal="left" vertical="center" wrapText="1"/>
    </xf>
    <xf numFmtId="0" fontId="10" fillId="2" borderId="1" xfId="0" applyFont="1" applyFill="1" applyBorder="1" applyAlignment="1">
      <alignment horizontal="left" vertical="center" wrapText="1"/>
    </xf>
    <xf numFmtId="3" fontId="7" fillId="0" borderId="11" xfId="0" applyNumberFormat="1" applyFont="1" applyFill="1" applyBorder="1" applyAlignment="1">
      <alignment horizontal="center" vertical="center" wrapText="1"/>
    </xf>
    <xf numFmtId="0" fontId="7" fillId="0" borderId="12" xfId="0" applyFont="1" applyFill="1" applyBorder="1" applyAlignment="1">
      <alignment horizontal="center" vertical="center" wrapText="1"/>
    </xf>
    <xf numFmtId="0" fontId="7" fillId="0" borderId="12" xfId="0" applyFont="1" applyFill="1" applyBorder="1" applyAlignment="1">
      <alignment horizontal="left" vertical="center" wrapText="1"/>
    </xf>
    <xf numFmtId="0" fontId="7" fillId="0" borderId="7" xfId="0" applyFont="1" applyFill="1" applyBorder="1" applyAlignment="1">
      <alignment horizontal="center" vertical="center" wrapText="1"/>
    </xf>
    <xf numFmtId="0" fontId="0" fillId="0" borderId="0" xfId="0" applyAlignment="1">
      <alignment horizontal="center" vertical="center"/>
    </xf>
    <xf numFmtId="0" fontId="5" fillId="0" borderId="0" xfId="0" applyFont="1" applyFill="1" applyAlignment="1">
      <alignment horizontal="right" vertical="center" wrapText="1"/>
    </xf>
    <xf numFmtId="0" fontId="7" fillId="0" borderId="0"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10" fillId="7" borderId="0" xfId="0" applyFont="1" applyFill="1" applyBorder="1" applyAlignment="1">
      <alignment horizontal="left" vertical="center" wrapText="1"/>
    </xf>
    <xf numFmtId="0" fontId="0" fillId="7" borderId="0" xfId="0" applyFill="1" applyBorder="1" applyAlignment="1">
      <alignment horizontal="left" vertical="center" wrapText="1"/>
    </xf>
    <xf numFmtId="1" fontId="10" fillId="2" borderId="0"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0" fontId="6" fillId="0" borderId="0" xfId="0" applyFont="1" applyFill="1" applyBorder="1" applyAlignment="1">
      <alignment horizontal="center" vertical="center" wrapText="1"/>
    </xf>
    <xf numFmtId="165" fontId="11" fillId="0" borderId="0" xfId="0" applyNumberFormat="1" applyFont="1" applyFill="1" applyBorder="1" applyAlignment="1">
      <alignment horizontal="center" vertical="center" wrapText="1"/>
    </xf>
    <xf numFmtId="166" fontId="11" fillId="0" borderId="0" xfId="6" applyNumberFormat="1" applyFont="1" applyFill="1" applyBorder="1" applyAlignment="1">
      <alignment horizontal="center" vertical="center"/>
    </xf>
    <xf numFmtId="168" fontId="11" fillId="0" borderId="0" xfId="6" applyNumberFormat="1" applyFont="1" applyFill="1" applyBorder="1" applyAlignment="1">
      <alignment horizontal="center" vertical="center"/>
    </xf>
    <xf numFmtId="168" fontId="3" fillId="0" borderId="0" xfId="6" applyNumberFormat="1" applyFont="1" applyFill="1" applyBorder="1" applyAlignment="1">
      <alignment horizontal="center" vertical="center"/>
    </xf>
    <xf numFmtId="1" fontId="10" fillId="0" borderId="0" xfId="0" applyNumberFormat="1" applyFont="1" applyFill="1" applyBorder="1" applyAlignment="1">
      <alignment horizontal="center" vertical="center" wrapText="1"/>
    </xf>
    <xf numFmtId="4" fontId="3" fillId="0" borderId="0" xfId="0" applyNumberFormat="1" applyFont="1" applyFill="1" applyBorder="1" applyAlignment="1" applyProtection="1">
      <alignment horizontal="center" vertical="center"/>
    </xf>
    <xf numFmtId="0" fontId="10"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13" fillId="0" borderId="0" xfId="0" applyFont="1" applyFill="1" applyBorder="1" applyAlignment="1">
      <alignment horizontal="center" vertical="center" wrapText="1"/>
    </xf>
    <xf numFmtId="4" fontId="3" fillId="0" borderId="0" xfId="0" applyNumberFormat="1" applyFont="1" applyFill="1" applyBorder="1" applyAlignment="1" applyProtection="1">
      <alignment horizontal="center" vertical="center" wrapText="1"/>
    </xf>
    <xf numFmtId="0" fontId="10" fillId="6" borderId="0" xfId="0" applyFont="1" applyFill="1" applyBorder="1" applyAlignment="1">
      <alignment horizontal="center" vertical="center" wrapText="1"/>
    </xf>
    <xf numFmtId="0" fontId="0" fillId="6" borderId="0" xfId="0" applyFill="1" applyBorder="1" applyAlignment="1">
      <alignment horizontal="center" vertical="center" wrapText="1"/>
    </xf>
    <xf numFmtId="1" fontId="10" fillId="3" borderId="0" xfId="0" applyNumberFormat="1" applyFont="1" applyFill="1" applyBorder="1" applyAlignment="1">
      <alignment horizontal="center" vertical="center" wrapText="1"/>
    </xf>
    <xf numFmtId="1" fontId="7" fillId="0" borderId="0" xfId="0" applyNumberFormat="1" applyFont="1" applyFill="1" applyBorder="1" applyAlignment="1">
      <alignment horizontal="center" vertical="center" wrapText="1"/>
    </xf>
    <xf numFmtId="1" fontId="13" fillId="3" borderId="0" xfId="0" applyNumberFormat="1" applyFont="1" applyFill="1" applyBorder="1" applyAlignment="1">
      <alignment horizontal="center" vertical="center" wrapText="1"/>
    </xf>
    <xf numFmtId="169" fontId="10" fillId="2" borderId="0" xfId="0" applyNumberFormat="1"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6" borderId="0" xfId="0" applyFont="1" applyFill="1" applyBorder="1" applyAlignment="1">
      <alignment horizontal="left" vertical="center" wrapText="1"/>
    </xf>
    <xf numFmtId="0" fontId="0" fillId="6" borderId="0" xfId="0" applyFill="1" applyBorder="1" applyAlignment="1">
      <alignment vertical="center" wrapText="1"/>
    </xf>
    <xf numFmtId="0" fontId="0" fillId="7" borderId="0" xfId="0" applyFill="1" applyBorder="1" applyAlignment="1">
      <alignment vertical="center" wrapText="1"/>
    </xf>
    <xf numFmtId="1" fontId="10" fillId="6" borderId="0" xfId="0" applyNumberFormat="1" applyFont="1" applyFill="1" applyBorder="1" applyAlignment="1">
      <alignment horizontal="center" vertical="center" wrapText="1"/>
    </xf>
    <xf numFmtId="1" fontId="10" fillId="8" borderId="0" xfId="0" applyNumberFormat="1" applyFont="1" applyFill="1" applyBorder="1" applyAlignment="1">
      <alignment horizontal="center" vertical="center" wrapText="1"/>
    </xf>
    <xf numFmtId="1" fontId="6" fillId="3" borderId="0" xfId="0" applyNumberFormat="1" applyFont="1" applyFill="1" applyBorder="1" applyAlignment="1">
      <alignment horizontal="center" vertical="center"/>
    </xf>
    <xf numFmtId="0" fontId="11" fillId="6" borderId="0" xfId="0" applyFont="1" applyFill="1" applyBorder="1" applyAlignment="1">
      <alignment horizontal="center" vertical="center"/>
    </xf>
    <xf numFmtId="0" fontId="11" fillId="7" borderId="0" xfId="0" applyFont="1" applyFill="1" applyBorder="1" applyAlignment="1">
      <alignment horizontal="center" vertical="center"/>
    </xf>
    <xf numFmtId="0" fontId="10" fillId="2" borderId="0" xfId="0" applyFont="1" applyFill="1" applyBorder="1" applyAlignment="1">
      <alignment horizontal="center" vertical="center" wrapText="1"/>
    </xf>
    <xf numFmtId="1" fontId="11" fillId="0" borderId="0" xfId="0" applyNumberFormat="1" applyFont="1" applyFill="1" applyBorder="1" applyAlignment="1">
      <alignment horizontal="center" vertical="center"/>
    </xf>
    <xf numFmtId="0" fontId="7" fillId="0" borderId="0" xfId="0" applyFont="1" applyFill="1" applyBorder="1" applyAlignment="1">
      <alignment horizontal="center" vertical="top" wrapText="1"/>
    </xf>
    <xf numFmtId="1" fontId="7" fillId="0" borderId="0" xfId="0" applyNumberFormat="1" applyFont="1" applyFill="1" applyBorder="1" applyAlignment="1">
      <alignment horizontal="center" vertical="top" wrapText="1"/>
    </xf>
    <xf numFmtId="4" fontId="7" fillId="0" borderId="0" xfId="0" applyNumberFormat="1" applyFont="1" applyFill="1" applyBorder="1" applyAlignment="1">
      <alignment horizontal="center" vertical="center" wrapText="1"/>
    </xf>
    <xf numFmtId="0" fontId="14" fillId="0" borderId="0" xfId="4"/>
    <xf numFmtId="0" fontId="34" fillId="8" borderId="0" xfId="4" applyFont="1" applyFill="1"/>
    <xf numFmtId="4" fontId="34" fillId="8" borderId="0" xfId="4" applyNumberFormat="1" applyFont="1" applyFill="1"/>
    <xf numFmtId="3" fontId="34" fillId="0" borderId="0" xfId="4" applyNumberFormat="1" applyFont="1"/>
    <xf numFmtId="4" fontId="34" fillId="0" borderId="0" xfId="4" applyNumberFormat="1" applyFont="1"/>
    <xf numFmtId="0" fontId="34" fillId="0" borderId="0" xfId="4" applyFont="1"/>
    <xf numFmtId="0" fontId="14" fillId="0" borderId="0" xfId="4" applyFont="1"/>
    <xf numFmtId="0" fontId="35" fillId="0" borderId="0" xfId="4" applyFont="1" applyAlignment="1">
      <alignment vertical="top" wrapText="1"/>
    </xf>
    <xf numFmtId="0" fontId="35" fillId="0" borderId="0" xfId="4" applyFont="1" applyAlignment="1">
      <alignment horizontal="right" vertical="top" wrapText="1"/>
    </xf>
    <xf numFmtId="0" fontId="14" fillId="0" borderId="0" xfId="4" applyFont="1" applyAlignment="1">
      <alignment vertical="top" wrapText="1"/>
    </xf>
    <xf numFmtId="0" fontId="35" fillId="0" borderId="0" xfId="4" applyFont="1" applyAlignment="1">
      <alignment vertical="top"/>
    </xf>
    <xf numFmtId="0" fontId="14" fillId="0" borderId="13" xfId="4" applyBorder="1"/>
    <xf numFmtId="0" fontId="36" fillId="0" borderId="18" xfId="4" applyFont="1" applyBorder="1" applyAlignment="1">
      <alignment horizontal="center" vertical="center" wrapText="1"/>
    </xf>
    <xf numFmtId="0" fontId="36" fillId="0" borderId="15" xfId="4" applyFont="1" applyBorder="1" applyAlignment="1">
      <alignment horizontal="center" vertical="center" wrapText="1"/>
    </xf>
    <xf numFmtId="0" fontId="11" fillId="0" borderId="15" xfId="4" applyFont="1" applyBorder="1" applyAlignment="1">
      <alignment horizontal="center" vertical="center" wrapText="1"/>
    </xf>
    <xf numFmtId="0" fontId="11" fillId="0" borderId="17" xfId="4" applyFont="1" applyBorder="1" applyAlignment="1">
      <alignment horizontal="center" vertical="center" wrapText="1"/>
    </xf>
    <xf numFmtId="0" fontId="11" fillId="0" borderId="18" xfId="4" applyFont="1" applyBorder="1" applyAlignment="1">
      <alignment horizontal="center" vertical="center" wrapText="1"/>
    </xf>
    <xf numFmtId="0" fontId="11" fillId="0" borderId="19" xfId="4" applyFont="1" applyBorder="1" applyAlignment="1">
      <alignment horizontal="center" vertical="center" wrapText="1"/>
    </xf>
    <xf numFmtId="0" fontId="11" fillId="0" borderId="20" xfId="4" applyFont="1" applyBorder="1" applyAlignment="1">
      <alignment horizontal="center" vertical="center" wrapText="1"/>
    </xf>
    <xf numFmtId="0" fontId="11" fillId="0" borderId="0" xfId="4" applyFont="1"/>
    <xf numFmtId="0" fontId="12" fillId="0" borderId="15" xfId="4" applyFont="1" applyBorder="1" applyAlignment="1">
      <alignment horizontal="center" vertical="center" wrapText="1"/>
    </xf>
    <xf numFmtId="0" fontId="12" fillId="0" borderId="17" xfId="4" applyFont="1" applyBorder="1" applyAlignment="1">
      <alignment horizontal="left" vertical="center" wrapText="1"/>
    </xf>
    <xf numFmtId="4" fontId="12" fillId="0" borderId="18" xfId="4" applyNumberFormat="1" applyFont="1" applyFill="1" applyBorder="1" applyAlignment="1">
      <alignment horizontal="center" vertical="center" wrapText="1"/>
    </xf>
    <xf numFmtId="3" fontId="12" fillId="0" borderId="15" xfId="4" applyNumberFormat="1" applyFont="1" applyFill="1" applyBorder="1" applyAlignment="1">
      <alignment horizontal="center" vertical="center" wrapText="1"/>
    </xf>
    <xf numFmtId="4" fontId="12" fillId="0" borderId="15" xfId="4" applyNumberFormat="1" applyFont="1" applyFill="1" applyBorder="1" applyAlignment="1">
      <alignment horizontal="center" vertical="center" wrapText="1"/>
    </xf>
    <xf numFmtId="4" fontId="12" fillId="0" borderId="15" xfId="4" applyNumberFormat="1" applyFont="1" applyBorder="1" applyAlignment="1">
      <alignment horizontal="center" vertical="center" wrapText="1"/>
    </xf>
    <xf numFmtId="4" fontId="12" fillId="0" borderId="19" xfId="4" applyNumberFormat="1" applyFont="1" applyBorder="1" applyAlignment="1">
      <alignment horizontal="center" vertical="center" wrapText="1"/>
    </xf>
    <xf numFmtId="4" fontId="12" fillId="0" borderId="20" xfId="4" applyNumberFormat="1" applyFont="1" applyBorder="1" applyAlignment="1">
      <alignment horizontal="center" vertical="center" wrapText="1"/>
    </xf>
    <xf numFmtId="4" fontId="15" fillId="0" borderId="20" xfId="4" applyNumberFormat="1" applyFont="1" applyBorder="1" applyAlignment="1">
      <alignment horizontal="center" vertical="center" wrapText="1"/>
    </xf>
    <xf numFmtId="4" fontId="12" fillId="8" borderId="18" xfId="4" applyNumberFormat="1" applyFont="1" applyFill="1" applyBorder="1" applyAlignment="1">
      <alignment horizontal="center" vertical="center" wrapText="1"/>
    </xf>
    <xf numFmtId="3" fontId="12" fillId="8" borderId="15" xfId="4" applyNumberFormat="1" applyFont="1" applyFill="1" applyBorder="1" applyAlignment="1">
      <alignment horizontal="center" vertical="center" wrapText="1"/>
    </xf>
    <xf numFmtId="4" fontId="12" fillId="8" borderId="19" xfId="4" applyNumberFormat="1" applyFont="1" applyFill="1" applyBorder="1" applyAlignment="1">
      <alignment horizontal="center" vertical="center" wrapText="1"/>
    </xf>
    <xf numFmtId="4" fontId="12" fillId="8" borderId="15" xfId="4" applyNumberFormat="1" applyFont="1" applyFill="1" applyBorder="1" applyAlignment="1">
      <alignment horizontal="center" vertical="center" wrapText="1"/>
    </xf>
    <xf numFmtId="0" fontId="11" fillId="0" borderId="0" xfId="4" applyFont="1" applyBorder="1"/>
    <xf numFmtId="0" fontId="12" fillId="0" borderId="17" xfId="4" applyFont="1" applyBorder="1" applyAlignment="1">
      <alignment horizontal="center" vertical="center" wrapText="1"/>
    </xf>
    <xf numFmtId="16" fontId="12" fillId="0" borderId="15" xfId="4" applyNumberFormat="1" applyFont="1" applyBorder="1" applyAlignment="1">
      <alignment horizontal="center" vertical="center" wrapText="1"/>
    </xf>
    <xf numFmtId="0" fontId="11" fillId="0" borderId="0" xfId="4" applyFont="1" applyAlignment="1">
      <alignment horizontal="left" wrapText="1"/>
    </xf>
    <xf numFmtId="4" fontId="36" fillId="0" borderId="0" xfId="4" applyNumberFormat="1" applyFont="1"/>
    <xf numFmtId="4" fontId="39" fillId="0" borderId="0" xfId="4" applyNumberFormat="1" applyFont="1"/>
    <xf numFmtId="0" fontId="40" fillId="0" borderId="0" xfId="4" applyFont="1"/>
    <xf numFmtId="0" fontId="11" fillId="0" borderId="21" xfId="4" applyFont="1" applyBorder="1"/>
    <xf numFmtId="0" fontId="11" fillId="0" borderId="22" xfId="4" applyFont="1" applyBorder="1"/>
    <xf numFmtId="0" fontId="12" fillId="0" borderId="22" xfId="4" applyFont="1" applyBorder="1" applyAlignment="1">
      <alignment horizontal="center"/>
    </xf>
    <xf numFmtId="0" fontId="12" fillId="0" borderId="23" xfId="4" applyFont="1" applyBorder="1"/>
    <xf numFmtId="0" fontId="40" fillId="0" borderId="21" xfId="4" applyFont="1" applyBorder="1"/>
    <xf numFmtId="0" fontId="40" fillId="0" borderId="22" xfId="4" applyFont="1" applyBorder="1"/>
    <xf numFmtId="0" fontId="41" fillId="0" borderId="22" xfId="4" applyFont="1" applyBorder="1" applyAlignment="1">
      <alignment horizontal="center"/>
    </xf>
    <xf numFmtId="0" fontId="41" fillId="0" borderId="23" xfId="4" applyFont="1" applyBorder="1"/>
    <xf numFmtId="4" fontId="12" fillId="0" borderId="24" xfId="4" applyNumberFormat="1" applyFont="1" applyBorder="1"/>
    <xf numFmtId="4" fontId="12" fillId="0" borderId="0" xfId="4" applyNumberFormat="1" applyFont="1" applyBorder="1"/>
    <xf numFmtId="4" fontId="12" fillId="0" borderId="25" xfId="4" applyNumberFormat="1" applyFont="1" applyBorder="1"/>
    <xf numFmtId="4" fontId="41" fillId="0" borderId="24" xfId="4" applyNumberFormat="1" applyFont="1" applyBorder="1"/>
    <xf numFmtId="0" fontId="40" fillId="0" borderId="0" xfId="4" applyFont="1" applyBorder="1"/>
    <xf numFmtId="4" fontId="41" fillId="0" borderId="0" xfId="4" applyNumberFormat="1" applyFont="1" applyBorder="1"/>
    <xf numFmtId="4" fontId="41" fillId="0" borderId="25" xfId="4" applyNumberFormat="1" applyFont="1" applyBorder="1"/>
    <xf numFmtId="0" fontId="11" fillId="0" borderId="24" xfId="4" applyFont="1" applyBorder="1"/>
    <xf numFmtId="0" fontId="40" fillId="0" borderId="24" xfId="4" applyFont="1" applyBorder="1"/>
    <xf numFmtId="0" fontId="11" fillId="0" borderId="25" xfId="4" applyFont="1" applyBorder="1"/>
    <xf numFmtId="0" fontId="40" fillId="0" borderId="25" xfId="4" applyFont="1" applyBorder="1"/>
    <xf numFmtId="4" fontId="11" fillId="0" borderId="25" xfId="4" applyNumberFormat="1" applyFont="1" applyBorder="1"/>
    <xf numFmtId="4" fontId="40" fillId="0" borderId="25" xfId="4" applyNumberFormat="1" applyFont="1" applyBorder="1"/>
    <xf numFmtId="0" fontId="11" fillId="0" borderId="10" xfId="4" applyFont="1" applyBorder="1"/>
    <xf numFmtId="0" fontId="11" fillId="0" borderId="13" xfId="4" applyFont="1" applyBorder="1"/>
    <xf numFmtId="4" fontId="11" fillId="0" borderId="8" xfId="4" applyNumberFormat="1" applyFont="1" applyBorder="1"/>
    <xf numFmtId="0" fontId="40" fillId="0" borderId="10" xfId="4" applyFont="1" applyBorder="1"/>
    <xf numFmtId="0" fontId="40" fillId="0" borderId="13" xfId="4" applyFont="1" applyBorder="1"/>
    <xf numFmtId="4" fontId="40" fillId="0" borderId="8" xfId="4" applyNumberFormat="1" applyFont="1" applyBorder="1"/>
    <xf numFmtId="0" fontId="42" fillId="0" borderId="0" xfId="4" applyFont="1" applyAlignment="1">
      <alignment horizontal="left" wrapText="1"/>
    </xf>
    <xf numFmtId="0" fontId="6" fillId="0" borderId="0" xfId="4" applyFont="1"/>
    <xf numFmtId="4" fontId="43" fillId="0" borderId="0" xfId="4" applyNumberFormat="1" applyFont="1" applyAlignment="1">
      <alignment horizontal="center"/>
    </xf>
    <xf numFmtId="0" fontId="12" fillId="0" borderId="15" xfId="4" applyFont="1" applyBorder="1" applyAlignment="1">
      <alignment horizontal="left" vertical="center" wrapText="1"/>
    </xf>
    <xf numFmtId="4" fontId="12" fillId="8" borderId="0" xfId="4" applyNumberFormat="1" applyFont="1" applyFill="1" applyBorder="1" applyAlignment="1">
      <alignment horizontal="center" vertical="center" wrapText="1"/>
    </xf>
    <xf numFmtId="4" fontId="14" fillId="0" borderId="0" xfId="4" applyNumberFormat="1"/>
    <xf numFmtId="4" fontId="15" fillId="0" borderId="15" xfId="4" applyNumberFormat="1" applyFont="1" applyBorder="1" applyAlignment="1">
      <alignment horizontal="center" vertical="center" wrapText="1"/>
    </xf>
    <xf numFmtId="165" fontId="14" fillId="0" borderId="0" xfId="4" applyNumberFormat="1"/>
    <xf numFmtId="165" fontId="12" fillId="8" borderId="15" xfId="4" applyNumberFormat="1" applyFont="1" applyFill="1" applyBorder="1" applyAlignment="1">
      <alignment horizontal="center" vertical="center" wrapText="1"/>
    </xf>
    <xf numFmtId="165" fontId="12" fillId="0" borderId="15" xfId="4" applyNumberFormat="1" applyFont="1" applyFill="1" applyBorder="1" applyAlignment="1">
      <alignment horizontal="center" vertical="center" wrapText="1"/>
    </xf>
    <xf numFmtId="165" fontId="15" fillId="0" borderId="15" xfId="4" applyNumberFormat="1" applyFont="1" applyFill="1" applyBorder="1" applyAlignment="1">
      <alignment horizontal="center"/>
    </xf>
    <xf numFmtId="0" fontId="44" fillId="0" borderId="0" xfId="4" applyFont="1"/>
    <xf numFmtId="165" fontId="15" fillId="8" borderId="15" xfId="4" applyNumberFormat="1" applyFont="1" applyFill="1" applyBorder="1" applyAlignment="1">
      <alignment horizontal="center"/>
    </xf>
    <xf numFmtId="0" fontId="45" fillId="0" borderId="0" xfId="4" applyFont="1"/>
    <xf numFmtId="0" fontId="10" fillId="6" borderId="5" xfId="0" applyFont="1" applyFill="1" applyBorder="1" applyAlignment="1">
      <alignment horizontal="center" vertical="center" wrapText="1"/>
    </xf>
    <xf numFmtId="0" fontId="0" fillId="6" borderId="9" xfId="0" applyFill="1" applyBorder="1" applyAlignment="1">
      <alignment horizontal="center" vertical="center" wrapText="1"/>
    </xf>
    <xf numFmtId="0" fontId="10" fillId="7" borderId="5" xfId="0" applyFont="1" applyFill="1" applyBorder="1" applyAlignment="1">
      <alignment horizontal="center" vertical="center" wrapText="1"/>
    </xf>
    <xf numFmtId="0" fontId="0" fillId="7" borderId="6" xfId="0" applyFill="1" applyBorder="1" applyAlignment="1">
      <alignment horizontal="center" vertical="center" wrapText="1"/>
    </xf>
    <xf numFmtId="0" fontId="0" fillId="7" borderId="9" xfId="0" applyFill="1" applyBorder="1" applyAlignment="1">
      <alignment horizontal="center" vertical="center" wrapText="1"/>
    </xf>
    <xf numFmtId="0" fontId="10" fillId="6" borderId="5" xfId="0" applyFont="1" applyFill="1" applyBorder="1" applyAlignment="1">
      <alignment horizontal="left" vertical="center" wrapText="1"/>
    </xf>
    <xf numFmtId="0" fontId="0" fillId="6" borderId="6" xfId="0" applyFill="1" applyBorder="1" applyAlignment="1">
      <alignment vertical="center" wrapText="1"/>
    </xf>
    <xf numFmtId="0" fontId="0" fillId="6" borderId="9" xfId="0" applyFill="1" applyBorder="1" applyAlignment="1">
      <alignment vertical="center" wrapText="1"/>
    </xf>
    <xf numFmtId="0" fontId="6" fillId="6" borderId="5" xfId="0" applyFont="1" applyFill="1" applyBorder="1" applyAlignment="1">
      <alignment vertical="center" wrapText="1"/>
    </xf>
    <xf numFmtId="0" fontId="0" fillId="6" borderId="6" xfId="0" applyFill="1" applyBorder="1" applyAlignment="1">
      <alignment horizontal="center" vertical="center" wrapText="1"/>
    </xf>
    <xf numFmtId="0" fontId="10" fillId="7" borderId="5" xfId="0" applyFont="1" applyFill="1" applyBorder="1" applyAlignment="1">
      <alignment horizontal="left" vertical="center" wrapText="1"/>
    </xf>
    <xf numFmtId="0" fontId="0" fillId="7" borderId="6" xfId="0" applyFill="1" applyBorder="1" applyAlignment="1">
      <alignment vertical="center" wrapText="1"/>
    </xf>
    <xf numFmtId="0" fontId="0" fillId="7" borderId="9" xfId="0" applyFill="1" applyBorder="1" applyAlignment="1">
      <alignment vertical="center" wrapText="1"/>
    </xf>
    <xf numFmtId="0" fontId="11" fillId="0" borderId="5" xfId="0" applyFont="1" applyFill="1" applyBorder="1" applyAlignment="1">
      <alignment horizontal="center" vertical="center" wrapText="1"/>
    </xf>
    <xf numFmtId="0" fontId="0" fillId="0" borderId="6" xfId="0" applyFill="1" applyBorder="1" applyAlignment="1">
      <alignment horizontal="center" vertical="center"/>
    </xf>
    <xf numFmtId="0" fontId="0" fillId="0" borderId="9" xfId="0" applyFill="1" applyBorder="1" applyAlignment="1">
      <alignment horizontal="center" vertical="center"/>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0" fillId="0" borderId="6" xfId="0" applyFill="1" applyBorder="1" applyAlignment="1">
      <alignment horizontal="center" vertical="center" wrapText="1"/>
    </xf>
    <xf numFmtId="0" fontId="0" fillId="0" borderId="9" xfId="0" applyFill="1" applyBorder="1" applyAlignment="1">
      <alignment horizontal="center" vertical="center" wrapText="1"/>
    </xf>
    <xf numFmtId="0" fontId="0" fillId="6" borderId="6" xfId="0" applyFill="1" applyBorder="1" applyAlignment="1">
      <alignment horizontal="left" vertical="center" wrapText="1"/>
    </xf>
    <xf numFmtId="0" fontId="0" fillId="6" borderId="9" xfId="0" applyFill="1" applyBorder="1" applyAlignment="1">
      <alignment horizontal="left" vertical="center" wrapText="1"/>
    </xf>
    <xf numFmtId="0" fontId="11" fillId="0" borderId="5" xfId="0" applyFont="1" applyFill="1" applyBorder="1" applyAlignment="1">
      <alignment horizontal="center" vertical="center"/>
    </xf>
    <xf numFmtId="0" fontId="11" fillId="0" borderId="9" xfId="0" applyFont="1" applyFill="1" applyBorder="1" applyAlignment="1">
      <alignment horizontal="center" vertical="center"/>
    </xf>
    <xf numFmtId="0" fontId="0" fillId="0" borderId="9" xfId="0" applyBorder="1" applyAlignment="1">
      <alignment horizontal="left" vertical="center" wrapText="1"/>
    </xf>
    <xf numFmtId="0" fontId="0" fillId="0" borderId="9" xfId="0" applyBorder="1" applyAlignment="1">
      <alignment horizontal="center" vertical="center" wrapText="1"/>
    </xf>
    <xf numFmtId="0" fontId="10" fillId="7" borderId="6" xfId="0" applyFont="1" applyFill="1" applyBorder="1" applyAlignment="1">
      <alignment horizontal="left" vertical="center" wrapText="1"/>
    </xf>
    <xf numFmtId="0" fontId="10" fillId="7" borderId="9" xfId="0" applyFont="1" applyFill="1" applyBorder="1" applyAlignment="1">
      <alignment horizontal="left" vertical="center" wrapText="1"/>
    </xf>
    <xf numFmtId="0" fontId="10" fillId="7" borderId="6" xfId="0" applyFont="1" applyFill="1" applyBorder="1" applyAlignment="1">
      <alignment horizontal="center" vertical="center" wrapText="1"/>
    </xf>
    <xf numFmtId="0" fontId="10" fillId="7" borderId="9" xfId="0" applyFont="1" applyFill="1" applyBorder="1" applyAlignment="1">
      <alignment horizontal="center" vertical="center" wrapText="1"/>
    </xf>
    <xf numFmtId="0" fontId="0" fillId="7" borderId="6" xfId="0" applyFill="1" applyBorder="1" applyAlignment="1">
      <alignment horizontal="left" vertical="center" wrapText="1"/>
    </xf>
    <xf numFmtId="0" fontId="0" fillId="7" borderId="9" xfId="0" applyFill="1" applyBorder="1" applyAlignment="1">
      <alignment horizontal="left" vertical="center" wrapText="1"/>
    </xf>
    <xf numFmtId="0" fontId="5" fillId="0" borderId="0" xfId="0" applyFont="1" applyFill="1" applyAlignment="1">
      <alignment horizontal="right" vertical="center" wrapText="1"/>
    </xf>
    <xf numFmtId="0" fontId="6" fillId="7" borderId="5" xfId="0" applyFont="1" applyFill="1" applyBorder="1" applyAlignment="1">
      <alignment vertical="center" wrapText="1"/>
    </xf>
    <xf numFmtId="0" fontId="18" fillId="0" borderId="0" xfId="0" applyFont="1" applyAlignment="1">
      <alignment horizontal="center" vertical="center" wrapText="1"/>
    </xf>
    <xf numFmtId="0" fontId="0" fillId="0" borderId="0" xfId="0" applyAlignment="1">
      <alignment horizontal="center" vertical="center"/>
    </xf>
    <xf numFmtId="0" fontId="8" fillId="0" borderId="10"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11" fillId="0" borderId="0" xfId="4" applyFont="1" applyBorder="1" applyAlignment="1">
      <alignment wrapText="1"/>
    </xf>
    <xf numFmtId="0" fontId="11" fillId="0" borderId="0" xfId="4" applyFont="1" applyAlignment="1">
      <alignment horizontal="left" wrapText="1"/>
    </xf>
    <xf numFmtId="0" fontId="14" fillId="0" borderId="0" xfId="4" applyBorder="1" applyAlignment="1">
      <alignment wrapText="1"/>
    </xf>
    <xf numFmtId="0" fontId="36" fillId="0" borderId="0" xfId="4" applyFont="1" applyBorder="1" applyAlignment="1">
      <alignment wrapText="1"/>
    </xf>
    <xf numFmtId="0" fontId="14" fillId="0" borderId="13" xfId="4" applyBorder="1" applyAlignment="1">
      <alignment wrapText="1"/>
    </xf>
    <xf numFmtId="0" fontId="39" fillId="0" borderId="0" xfId="4" applyFont="1" applyBorder="1" applyAlignment="1">
      <alignment wrapText="1"/>
    </xf>
    <xf numFmtId="0" fontId="40" fillId="0" borderId="13" xfId="4" applyFont="1" applyBorder="1" applyAlignment="1">
      <alignment wrapText="1"/>
    </xf>
    <xf numFmtId="0" fontId="36" fillId="0" borderId="17" xfId="4" applyFont="1" applyBorder="1" applyAlignment="1">
      <alignment horizontal="center" vertical="center" wrapText="1"/>
    </xf>
    <xf numFmtId="0" fontId="36" fillId="0" borderId="18" xfId="4" applyFont="1" applyBorder="1" applyAlignment="1">
      <alignment horizontal="center" vertical="center" wrapText="1"/>
    </xf>
    <xf numFmtId="0" fontId="36" fillId="0" borderId="15" xfId="4" applyFont="1" applyBorder="1" applyAlignment="1">
      <alignment horizontal="center" vertical="center" wrapText="1"/>
    </xf>
    <xf numFmtId="0" fontId="36" fillId="0" borderId="19" xfId="4" applyFont="1" applyBorder="1" applyAlignment="1">
      <alignment horizontal="center" vertical="center" wrapText="1"/>
    </xf>
    <xf numFmtId="0" fontId="12" fillId="0" borderId="0" xfId="4" applyFont="1" applyBorder="1" applyAlignment="1">
      <alignment horizontal="right" vertical="center" wrapText="1"/>
    </xf>
    <xf numFmtId="0" fontId="14" fillId="0" borderId="0" xfId="4" applyAlignment="1"/>
    <xf numFmtId="0" fontId="35" fillId="0" borderId="0" xfId="4" applyFont="1" applyAlignment="1">
      <alignment horizontal="right" vertical="center"/>
    </xf>
    <xf numFmtId="0" fontId="6" fillId="0" borderId="0" xfId="4" applyFont="1" applyAlignment="1">
      <alignment horizontal="center" vertical="top" wrapText="1"/>
    </xf>
    <xf numFmtId="0" fontId="35" fillId="0" borderId="0" xfId="4" applyFont="1" applyAlignment="1">
      <alignment horizontal="center" vertical="top"/>
    </xf>
    <xf numFmtId="0" fontId="6" fillId="0" borderId="18" xfId="4" applyFont="1" applyBorder="1" applyAlignment="1">
      <alignment horizontal="center" vertical="center"/>
    </xf>
    <xf numFmtId="0" fontId="6" fillId="0" borderId="15" xfId="4" applyFont="1" applyBorder="1" applyAlignment="1">
      <alignment horizontal="center" vertical="center"/>
    </xf>
    <xf numFmtId="0" fontId="6" fillId="0" borderId="19" xfId="4" applyFont="1" applyBorder="1" applyAlignment="1">
      <alignment horizontal="center" vertical="center"/>
    </xf>
    <xf numFmtId="0" fontId="14" fillId="0" borderId="0" xfId="4" applyAlignment="1">
      <alignment horizontal="right" vertical="center"/>
    </xf>
    <xf numFmtId="0" fontId="35" fillId="0" borderId="0" xfId="4" applyFont="1" applyAlignment="1">
      <alignment horizontal="center" vertical="top" wrapText="1"/>
    </xf>
    <xf numFmtId="0" fontId="11" fillId="0" borderId="26" xfId="4" applyFont="1" applyBorder="1" applyAlignment="1">
      <alignment horizontal="center" vertical="center" wrapText="1"/>
    </xf>
    <xf numFmtId="4" fontId="12" fillId="0" borderId="18" xfId="4" applyNumberFormat="1" applyFont="1" applyBorder="1" applyAlignment="1">
      <alignment horizontal="center" vertical="center" wrapText="1"/>
    </xf>
  </cellXfs>
  <cellStyles count="20">
    <cellStyle name="Excel Built-in Excel Built-in Excel Built-in Excel Built-in Excel Built-in Excel Built-in Excel Built-in Excel Built-in Excel Built-in Обычный_Лист1" xfId="16"/>
    <cellStyle name="Excel Built-in Excel Built-in Excel Built-in Excel Built-in Excel Built-in Excel Built-in Excel Built-in Excel Built-in Обычный 10 2" xfId="17"/>
    <cellStyle name="Excel Built-in Excel Built-in Excel Built-in Excel Built-in Excel Built-in Обычный 16" xfId="15"/>
    <cellStyle name="Excel Built-in Excel Built-in Excel Built-in Excel Built-in Excel Built-in Обычный 2 13" xfId="14"/>
    <cellStyle name="Excel Built-in Excel Built-in Excel Built-in Excel Built-in TableStyleLight1" xfId="8"/>
    <cellStyle name="Excel Built-in Normal" xfId="10"/>
    <cellStyle name="Excel Built-in Normal 1" xfId="13"/>
    <cellStyle name="Excel Built-in Normal 2 2 2" xfId="9"/>
    <cellStyle name="Normal" xfId="18"/>
    <cellStyle name="TableStyleLight1" xfId="11"/>
    <cellStyle name="Обычный" xfId="0" builtinId="0"/>
    <cellStyle name="Обычный 2" xfId="1"/>
    <cellStyle name="Обычный 2 13" xfId="12"/>
    <cellStyle name="Обычный 3" xfId="4"/>
    <cellStyle name="Обычный 4" xfId="19"/>
    <cellStyle name="Обычный 7" xfId="2"/>
    <cellStyle name="Обычный_Вихарева" xfId="7"/>
    <cellStyle name="Обычный_Приложение 1" xfId="5"/>
    <cellStyle name="Финансовый" xfId="6" builtinId="3"/>
    <cellStyle name="Финансовый 2" xfId="3"/>
  </cellStyles>
  <dxfs count="0"/>
  <tableStyles count="0" defaultTableStyle="TableStyleMedium2" defaultPivotStyle="PivotStyleLight16"/>
  <colors>
    <mruColors>
      <color rgb="FFFFCCFF"/>
      <color rgb="FFFF66FF"/>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767"/>
  <sheetViews>
    <sheetView tabSelected="1" view="pageBreakPreview" zoomScale="60" zoomScaleNormal="70" workbookViewId="0">
      <selection activeCell="B9" sqref="B9:H9"/>
    </sheetView>
  </sheetViews>
  <sheetFormatPr defaultRowHeight="15" outlineLevelRow="1" x14ac:dyDescent="0.25"/>
  <cols>
    <col min="1" max="1" width="19.140625" style="1" customWidth="1"/>
    <col min="2" max="2" width="13.85546875" style="1" customWidth="1"/>
    <col min="3" max="3" width="69.140625" style="2" customWidth="1"/>
    <col min="4" max="4" width="20.28515625" style="1" customWidth="1"/>
    <col min="5" max="5" width="17.140625" style="1" customWidth="1"/>
    <col min="6" max="6" width="37.42578125" style="1" customWidth="1"/>
    <col min="7" max="7" width="17.85546875" style="1" customWidth="1"/>
    <col min="8" max="8" width="27.28515625" style="1" customWidth="1"/>
    <col min="9" max="10" width="27.28515625" style="199" customWidth="1"/>
    <col min="11" max="11" width="31.85546875" style="31" customWidth="1"/>
    <col min="12" max="36" width="9.140625" style="31"/>
  </cols>
  <sheetData>
    <row r="1" spans="1:36" s="3" customFormat="1" x14ac:dyDescent="0.25">
      <c r="A1" s="1"/>
      <c r="B1" s="352" t="s">
        <v>14</v>
      </c>
      <c r="C1" s="352"/>
      <c r="D1" s="352"/>
      <c r="E1" s="352"/>
      <c r="F1" s="352"/>
      <c r="G1" s="352"/>
      <c r="H1" s="352"/>
      <c r="I1" s="200"/>
      <c r="J1" s="200"/>
      <c r="K1" s="30"/>
      <c r="L1" s="30"/>
      <c r="M1" s="30"/>
      <c r="N1" s="30"/>
      <c r="O1" s="30"/>
      <c r="P1" s="30"/>
      <c r="Q1" s="30"/>
      <c r="R1" s="30"/>
      <c r="S1" s="30"/>
      <c r="T1" s="30"/>
      <c r="U1" s="30"/>
      <c r="V1" s="30"/>
      <c r="W1" s="30"/>
      <c r="X1" s="30"/>
      <c r="Y1" s="30"/>
      <c r="Z1" s="30"/>
      <c r="AA1" s="30"/>
      <c r="AB1" s="30"/>
      <c r="AC1" s="30"/>
      <c r="AD1" s="30"/>
      <c r="AE1" s="30"/>
      <c r="AF1" s="30"/>
      <c r="AG1" s="30"/>
      <c r="AH1" s="30"/>
      <c r="AI1" s="30"/>
      <c r="AJ1" s="30"/>
    </row>
    <row r="2" spans="1:36" s="3" customFormat="1" x14ac:dyDescent="0.25">
      <c r="A2" s="1"/>
      <c r="B2" s="352" t="s">
        <v>9</v>
      </c>
      <c r="C2" s="352"/>
      <c r="D2" s="352"/>
      <c r="E2" s="352"/>
      <c r="F2" s="352"/>
      <c r="G2" s="352"/>
      <c r="H2" s="352"/>
      <c r="I2" s="200"/>
      <c r="J2" s="200"/>
      <c r="K2" s="30"/>
      <c r="L2" s="30"/>
      <c r="M2" s="30"/>
      <c r="N2" s="30"/>
      <c r="O2" s="30"/>
      <c r="P2" s="30"/>
      <c r="Q2" s="30"/>
      <c r="R2" s="30"/>
      <c r="S2" s="30"/>
      <c r="T2" s="30"/>
      <c r="U2" s="30"/>
      <c r="V2" s="30"/>
      <c r="W2" s="30"/>
      <c r="X2" s="30"/>
      <c r="Y2" s="30"/>
      <c r="Z2" s="30"/>
      <c r="AA2" s="30"/>
      <c r="AB2" s="30"/>
      <c r="AC2" s="30"/>
      <c r="AD2" s="30"/>
      <c r="AE2" s="30"/>
      <c r="AF2" s="30"/>
      <c r="AG2" s="30"/>
      <c r="AH2" s="30"/>
      <c r="AI2" s="30"/>
      <c r="AJ2" s="30"/>
    </row>
    <row r="3" spans="1:36" s="3" customFormat="1" x14ac:dyDescent="0.25">
      <c r="A3" s="1"/>
      <c r="B3" s="352" t="s">
        <v>10</v>
      </c>
      <c r="C3" s="352"/>
      <c r="D3" s="352"/>
      <c r="E3" s="352"/>
      <c r="F3" s="352"/>
      <c r="G3" s="352"/>
      <c r="H3" s="352"/>
      <c r="I3" s="200"/>
      <c r="J3" s="200"/>
      <c r="K3" s="30"/>
      <c r="L3" s="30"/>
      <c r="M3" s="30"/>
      <c r="N3" s="30"/>
      <c r="O3" s="30"/>
      <c r="P3" s="30"/>
      <c r="Q3" s="30"/>
      <c r="R3" s="30"/>
      <c r="S3" s="30"/>
      <c r="T3" s="30"/>
      <c r="U3" s="30"/>
      <c r="V3" s="30"/>
      <c r="W3" s="30"/>
      <c r="X3" s="30"/>
      <c r="Y3" s="30"/>
      <c r="Z3" s="30"/>
      <c r="AA3" s="30"/>
      <c r="AB3" s="30"/>
      <c r="AC3" s="30"/>
      <c r="AD3" s="30"/>
      <c r="AE3" s="30"/>
      <c r="AF3" s="30"/>
      <c r="AG3" s="30"/>
      <c r="AH3" s="30"/>
      <c r="AI3" s="30"/>
      <c r="AJ3" s="30"/>
    </row>
    <row r="4" spans="1:36" s="3" customFormat="1" ht="15" customHeight="1" x14ac:dyDescent="0.25">
      <c r="A4" s="1"/>
      <c r="B4" s="352" t="s">
        <v>11</v>
      </c>
      <c r="C4" s="352"/>
      <c r="D4" s="352"/>
      <c r="E4" s="352"/>
      <c r="F4" s="352"/>
      <c r="G4" s="352"/>
      <c r="H4" s="352"/>
      <c r="I4" s="200"/>
      <c r="J4" s="200"/>
      <c r="K4" s="30"/>
      <c r="L4" s="30"/>
      <c r="M4" s="30"/>
      <c r="N4" s="30"/>
      <c r="O4" s="30"/>
      <c r="P4" s="30"/>
      <c r="Q4" s="30"/>
      <c r="R4" s="30"/>
      <c r="S4" s="30"/>
      <c r="T4" s="30"/>
      <c r="U4" s="30"/>
      <c r="V4" s="30"/>
      <c r="W4" s="30"/>
      <c r="X4" s="30"/>
      <c r="Y4" s="30"/>
      <c r="Z4" s="30"/>
      <c r="AA4" s="30"/>
      <c r="AB4" s="30"/>
      <c r="AC4" s="30"/>
      <c r="AD4" s="30"/>
      <c r="AE4" s="30"/>
      <c r="AF4" s="30"/>
      <c r="AG4" s="30"/>
      <c r="AH4" s="30"/>
      <c r="AI4" s="30"/>
      <c r="AJ4" s="30"/>
    </row>
    <row r="5" spans="1:36" s="3" customFormat="1" x14ac:dyDescent="0.25">
      <c r="A5" s="1"/>
      <c r="B5" s="352" t="s">
        <v>2126</v>
      </c>
      <c r="C5" s="352"/>
      <c r="D5" s="352"/>
      <c r="E5" s="352"/>
      <c r="F5" s="352"/>
      <c r="G5" s="352"/>
      <c r="H5" s="352"/>
      <c r="I5" s="200"/>
      <c r="J5" s="200"/>
      <c r="K5" s="30"/>
      <c r="L5" s="30"/>
      <c r="M5" s="30"/>
      <c r="N5" s="30"/>
      <c r="O5" s="30"/>
      <c r="P5" s="30"/>
      <c r="Q5" s="30"/>
      <c r="R5" s="30"/>
      <c r="S5" s="30"/>
      <c r="T5" s="30"/>
      <c r="U5" s="30"/>
      <c r="V5" s="30"/>
      <c r="W5" s="30"/>
      <c r="X5" s="30"/>
      <c r="Y5" s="30"/>
      <c r="Z5" s="30"/>
      <c r="AA5" s="30"/>
      <c r="AB5" s="30"/>
      <c r="AC5" s="30"/>
      <c r="AD5" s="30"/>
      <c r="AE5" s="30"/>
      <c r="AF5" s="30"/>
      <c r="AG5" s="30"/>
      <c r="AH5" s="30"/>
      <c r="AI5" s="30"/>
      <c r="AJ5" s="30"/>
    </row>
    <row r="6" spans="1:36" ht="56.25" customHeight="1" x14ac:dyDescent="0.25">
      <c r="A6" s="354" t="s">
        <v>13639</v>
      </c>
      <c r="B6" s="355"/>
      <c r="C6" s="355"/>
      <c r="D6" s="355"/>
      <c r="E6" s="355"/>
      <c r="F6" s="355"/>
      <c r="G6" s="355"/>
      <c r="H6" s="355"/>
    </row>
    <row r="7" spans="1:36" s="5" customFormat="1" ht="105" customHeight="1" x14ac:dyDescent="0.25">
      <c r="A7" s="4" t="s">
        <v>13638</v>
      </c>
      <c r="B7" s="4" t="s">
        <v>2089</v>
      </c>
      <c r="C7" s="4" t="s">
        <v>6</v>
      </c>
      <c r="D7" s="4" t="s">
        <v>3</v>
      </c>
      <c r="E7" s="4" t="s">
        <v>4</v>
      </c>
      <c r="F7" s="4" t="s">
        <v>7</v>
      </c>
      <c r="G7" s="4" t="s">
        <v>5</v>
      </c>
      <c r="H7" s="4" t="s">
        <v>8</v>
      </c>
      <c r="I7" s="201"/>
      <c r="J7" s="201"/>
    </row>
    <row r="8" spans="1:36" s="5" customFormat="1" ht="15.75" x14ac:dyDescent="0.25">
      <c r="A8" s="4"/>
      <c r="B8" s="4">
        <v>1</v>
      </c>
      <c r="C8" s="4">
        <v>2</v>
      </c>
      <c r="D8" s="4">
        <v>3</v>
      </c>
      <c r="E8" s="4">
        <v>4</v>
      </c>
      <c r="F8" s="4">
        <v>5</v>
      </c>
      <c r="G8" s="4">
        <v>6</v>
      </c>
      <c r="H8" s="4">
        <v>7</v>
      </c>
      <c r="I8" s="201"/>
      <c r="J8" s="201"/>
    </row>
    <row r="9" spans="1:36" s="29" customFormat="1" ht="27" customHeight="1" x14ac:dyDescent="0.25">
      <c r="A9" s="4"/>
      <c r="B9" s="335" t="s">
        <v>53</v>
      </c>
      <c r="C9" s="336"/>
      <c r="D9" s="336"/>
      <c r="E9" s="336"/>
      <c r="F9" s="336"/>
      <c r="G9" s="336"/>
      <c r="H9" s="337"/>
      <c r="I9" s="5"/>
      <c r="J9" s="5"/>
      <c r="K9" s="5"/>
      <c r="L9" s="5"/>
      <c r="M9" s="5"/>
      <c r="N9" s="5"/>
      <c r="O9" s="5"/>
      <c r="P9" s="5"/>
      <c r="Q9" s="5"/>
      <c r="R9" s="5"/>
      <c r="S9" s="5"/>
      <c r="T9" s="5"/>
      <c r="U9" s="5"/>
      <c r="V9" s="5"/>
      <c r="W9" s="5"/>
      <c r="X9" s="5"/>
      <c r="Y9" s="5"/>
      <c r="Z9" s="5"/>
      <c r="AA9" s="5"/>
      <c r="AB9" s="5"/>
      <c r="AC9" s="5"/>
      <c r="AD9" s="5"/>
      <c r="AE9" s="5"/>
      <c r="AF9" s="5"/>
      <c r="AG9" s="5"/>
      <c r="AH9" s="5"/>
      <c r="AI9" s="5"/>
      <c r="AJ9" s="5"/>
    </row>
    <row r="10" spans="1:36" s="5" customFormat="1" ht="12.75" customHeight="1" x14ac:dyDescent="0.25">
      <c r="A10" s="4"/>
      <c r="B10" s="321" t="s">
        <v>15</v>
      </c>
      <c r="C10" s="329" t="s">
        <v>2090</v>
      </c>
      <c r="D10" s="329"/>
      <c r="E10" s="321" t="s">
        <v>12</v>
      </c>
      <c r="F10" s="329"/>
      <c r="G10" s="329"/>
      <c r="H10" s="329"/>
      <c r="I10" s="203"/>
      <c r="J10" s="203"/>
    </row>
    <row r="11" spans="1:36" s="5" customFormat="1" ht="13.5" customHeight="1" x14ac:dyDescent="0.25">
      <c r="A11" s="4"/>
      <c r="B11" s="322"/>
      <c r="C11" s="350"/>
      <c r="D11" s="350"/>
      <c r="E11" s="322"/>
      <c r="F11" s="350"/>
      <c r="G11" s="350"/>
      <c r="H11" s="350"/>
      <c r="I11" s="204"/>
      <c r="J11" s="204"/>
    </row>
    <row r="12" spans="1:36" s="5" customFormat="1" ht="15.75" x14ac:dyDescent="0.25">
      <c r="A12" s="4"/>
      <c r="B12" s="322"/>
      <c r="C12" s="350"/>
      <c r="D12" s="350"/>
      <c r="E12" s="322"/>
      <c r="F12" s="350"/>
      <c r="G12" s="350"/>
      <c r="H12" s="350"/>
      <c r="I12" s="204"/>
      <c r="J12" s="204"/>
    </row>
    <row r="13" spans="1:36" s="9" customFormat="1" ht="6.75" customHeight="1" x14ac:dyDescent="0.25">
      <c r="A13" s="4"/>
      <c r="B13" s="322"/>
      <c r="C13" s="350"/>
      <c r="D13" s="350"/>
      <c r="E13" s="323"/>
      <c r="F13" s="350"/>
      <c r="G13" s="350"/>
      <c r="H13" s="350"/>
      <c r="I13" s="204"/>
      <c r="J13" s="204"/>
      <c r="K13" s="5"/>
      <c r="L13" s="5"/>
      <c r="M13" s="5"/>
      <c r="N13" s="5"/>
      <c r="O13" s="5"/>
      <c r="P13" s="5"/>
      <c r="Q13" s="5"/>
      <c r="R13" s="5"/>
      <c r="S13" s="5"/>
      <c r="T13" s="5"/>
      <c r="U13" s="5"/>
      <c r="V13" s="5"/>
      <c r="W13" s="5"/>
      <c r="X13" s="5"/>
      <c r="Y13" s="5"/>
      <c r="Z13" s="5"/>
      <c r="AA13" s="5"/>
      <c r="AB13" s="5"/>
      <c r="AC13" s="5"/>
      <c r="AD13" s="5"/>
      <c r="AE13" s="5"/>
      <c r="AF13" s="5"/>
      <c r="AG13" s="5"/>
      <c r="AH13" s="5"/>
      <c r="AI13" s="5"/>
      <c r="AJ13" s="5"/>
    </row>
    <row r="14" spans="1:36" s="9" customFormat="1" ht="3" hidden="1" customHeight="1" x14ac:dyDescent="0.25">
      <c r="A14" s="4"/>
      <c r="B14" s="323"/>
      <c r="C14" s="351"/>
      <c r="D14" s="351"/>
      <c r="E14" s="60"/>
      <c r="F14" s="351"/>
      <c r="G14" s="351"/>
      <c r="H14" s="351"/>
      <c r="I14" s="204"/>
      <c r="J14" s="204"/>
      <c r="K14" s="5"/>
      <c r="L14" s="5"/>
      <c r="M14" s="5"/>
      <c r="N14" s="5"/>
      <c r="O14" s="5"/>
      <c r="P14" s="5"/>
      <c r="Q14" s="5"/>
      <c r="R14" s="5"/>
      <c r="S14" s="5"/>
      <c r="T14" s="5"/>
      <c r="U14" s="5"/>
      <c r="V14" s="5"/>
      <c r="W14" s="5"/>
      <c r="X14" s="5"/>
      <c r="Y14" s="5"/>
      <c r="Z14" s="5"/>
      <c r="AA14" s="5"/>
      <c r="AB14" s="5"/>
      <c r="AC14" s="5"/>
      <c r="AD14" s="5"/>
      <c r="AE14" s="5"/>
      <c r="AF14" s="5"/>
      <c r="AG14" s="5"/>
      <c r="AH14" s="5"/>
      <c r="AI14" s="5"/>
      <c r="AJ14" s="5"/>
    </row>
    <row r="15" spans="1:36" s="9" customFormat="1" ht="17.25" customHeight="1" x14ac:dyDescent="0.25">
      <c r="A15" s="4"/>
      <c r="B15" s="7" t="s">
        <v>15</v>
      </c>
      <c r="C15" s="8" t="s">
        <v>57</v>
      </c>
      <c r="D15" s="7">
        <v>2021</v>
      </c>
      <c r="E15" s="7" t="s">
        <v>12</v>
      </c>
      <c r="F15" s="7">
        <f>SUMIF($D$18:$D$1760,$D$15,$F$18:$F$1760)</f>
        <v>21011</v>
      </c>
      <c r="G15" s="10">
        <f>SUMIF($D$18:$D$1760,$D$15,$G$18:$G$1760)</f>
        <v>3094.5299999999997</v>
      </c>
      <c r="H15" s="10">
        <f>SUMIF($D$18:$D$1760,$D$15,$H$18:$H$1760)</f>
        <v>32601.23367999999</v>
      </c>
      <c r="I15" s="5"/>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row>
    <row r="16" spans="1:36" s="26" customFormat="1" ht="17.25" customHeight="1" x14ac:dyDescent="0.25">
      <c r="A16" s="4"/>
      <c r="B16" s="7" t="s">
        <v>15</v>
      </c>
      <c r="C16" s="8" t="s">
        <v>57</v>
      </c>
      <c r="D16" s="7">
        <v>2022</v>
      </c>
      <c r="E16" s="7" t="s">
        <v>12</v>
      </c>
      <c r="F16" s="7">
        <f>SUMIF($D$18:$D$1760,$D$16,$F$18:$F$1760)</f>
        <v>75581</v>
      </c>
      <c r="G16" s="10">
        <f>SUMIF($D$18:$D$1760,$D$16,$G$18:$G$1760)</f>
        <v>15630.490000000002</v>
      </c>
      <c r="H16" s="10">
        <f>SUMIF($D$18:$D$1760,$D$16,$H$18:$H$1760)</f>
        <v>132242.85028199997</v>
      </c>
      <c r="I16" s="205"/>
      <c r="J16" s="205"/>
      <c r="K16" s="5"/>
      <c r="L16" s="5"/>
      <c r="M16" s="5"/>
      <c r="N16" s="5"/>
      <c r="O16" s="5"/>
      <c r="P16" s="5"/>
      <c r="Q16" s="5"/>
      <c r="R16" s="5"/>
      <c r="S16" s="5"/>
      <c r="T16" s="5"/>
      <c r="U16" s="5"/>
      <c r="V16" s="5"/>
      <c r="W16" s="5"/>
      <c r="X16" s="5"/>
      <c r="Y16" s="5"/>
      <c r="Z16" s="5"/>
      <c r="AA16" s="5"/>
      <c r="AB16" s="5"/>
      <c r="AC16" s="5"/>
      <c r="AD16" s="5"/>
      <c r="AE16" s="5"/>
      <c r="AF16" s="5"/>
      <c r="AG16" s="5"/>
      <c r="AH16" s="5"/>
      <c r="AI16" s="5"/>
      <c r="AJ16" s="5"/>
    </row>
    <row r="17" spans="1:10" s="5" customFormat="1" ht="19.5" customHeight="1" x14ac:dyDescent="0.25">
      <c r="A17" s="4"/>
      <c r="B17" s="7" t="s">
        <v>15</v>
      </c>
      <c r="C17" s="8" t="s">
        <v>2811</v>
      </c>
      <c r="D17" s="7">
        <v>2023</v>
      </c>
      <c r="E17" s="7" t="s">
        <v>12</v>
      </c>
      <c r="F17" s="7">
        <f>SUMIF($D$18:$D$1760,$D$17,$F$18:$F$1760)</f>
        <v>107244</v>
      </c>
      <c r="G17" s="10">
        <f>SUMIF($D$18:$D$1760,$D$17,$G$18:$G$19126)</f>
        <v>20424.640000000003</v>
      </c>
      <c r="H17" s="10">
        <f>SUMIF($D$18:$D$1760,$D$17,$H$18:$H$1760)</f>
        <v>205990.49011300009</v>
      </c>
      <c r="I17" s="205"/>
      <c r="J17" s="205"/>
    </row>
    <row r="18" spans="1:10" s="5" customFormat="1" ht="30" hidden="1" customHeight="1" outlineLevel="1" x14ac:dyDescent="0.25">
      <c r="A18" s="4">
        <v>2924</v>
      </c>
      <c r="B18" s="6" t="s">
        <v>15</v>
      </c>
      <c r="C18" s="38" t="s">
        <v>2127</v>
      </c>
      <c r="D18" s="6">
        <v>2022</v>
      </c>
      <c r="E18" s="6" t="s">
        <v>12</v>
      </c>
      <c r="F18" s="6">
        <v>276</v>
      </c>
      <c r="G18" s="6">
        <v>15</v>
      </c>
      <c r="H18" s="6">
        <f>0.487127*(1000)</f>
        <v>487.12699999999995</v>
      </c>
      <c r="I18" s="206"/>
      <c r="J18" s="206"/>
    </row>
    <row r="19" spans="1:10" s="5" customFormat="1" ht="30" hidden="1" customHeight="1" outlineLevel="1" x14ac:dyDescent="0.25">
      <c r="A19" s="4">
        <v>2926</v>
      </c>
      <c r="B19" s="6" t="s">
        <v>15</v>
      </c>
      <c r="C19" s="38" t="s">
        <v>2128</v>
      </c>
      <c r="D19" s="6">
        <v>2022</v>
      </c>
      <c r="E19" s="6" t="s">
        <v>12</v>
      </c>
      <c r="F19" s="6">
        <v>1</v>
      </c>
      <c r="G19" s="6">
        <v>15</v>
      </c>
      <c r="H19" s="6">
        <f>0.106*(1000)</f>
        <v>106</v>
      </c>
      <c r="I19" s="206"/>
      <c r="J19" s="206"/>
    </row>
    <row r="20" spans="1:10" s="5" customFormat="1" ht="30" hidden="1" customHeight="1" outlineLevel="1" x14ac:dyDescent="0.25">
      <c r="A20" s="4">
        <v>2850</v>
      </c>
      <c r="B20" s="6" t="s">
        <v>15</v>
      </c>
      <c r="C20" s="38" t="s">
        <v>2129</v>
      </c>
      <c r="D20" s="6">
        <v>2022</v>
      </c>
      <c r="E20" s="6" t="s">
        <v>12</v>
      </c>
      <c r="F20" s="6">
        <v>190</v>
      </c>
      <c r="G20" s="6">
        <v>10</v>
      </c>
      <c r="H20" s="6">
        <f>0.368856*(1000)</f>
        <v>368.85599999999999</v>
      </c>
      <c r="I20" s="206"/>
      <c r="J20" s="206"/>
    </row>
    <row r="21" spans="1:10" s="5" customFormat="1" ht="30" hidden="1" customHeight="1" outlineLevel="1" x14ac:dyDescent="0.25">
      <c r="A21" s="4">
        <v>2888</v>
      </c>
      <c r="B21" s="6" t="s">
        <v>15</v>
      </c>
      <c r="C21" s="38" t="s">
        <v>2130</v>
      </c>
      <c r="D21" s="6">
        <v>2022</v>
      </c>
      <c r="E21" s="6" t="s">
        <v>12</v>
      </c>
      <c r="F21" s="6">
        <v>104</v>
      </c>
      <c r="G21" s="6">
        <v>15</v>
      </c>
      <c r="H21" s="6">
        <f>0.212129*(1000)</f>
        <v>212.12900000000002</v>
      </c>
      <c r="I21" s="206"/>
      <c r="J21" s="206"/>
    </row>
    <row r="22" spans="1:10" s="5" customFormat="1" ht="30" hidden="1" customHeight="1" outlineLevel="1" x14ac:dyDescent="0.25">
      <c r="A22" s="4">
        <v>2927</v>
      </c>
      <c r="B22" s="6" t="s">
        <v>15</v>
      </c>
      <c r="C22" s="38" t="s">
        <v>2132</v>
      </c>
      <c r="D22" s="6">
        <v>2022</v>
      </c>
      <c r="E22" s="6" t="s">
        <v>12</v>
      </c>
      <c r="F22" s="6">
        <v>42</v>
      </c>
      <c r="G22" s="6">
        <v>10</v>
      </c>
      <c r="H22" s="6">
        <f>0.21778*(1000)</f>
        <v>217.78</v>
      </c>
      <c r="I22" s="206"/>
      <c r="J22" s="206"/>
    </row>
    <row r="23" spans="1:10" s="5" customFormat="1" ht="30" hidden="1" customHeight="1" outlineLevel="1" x14ac:dyDescent="0.25">
      <c r="A23" s="4">
        <v>2718</v>
      </c>
      <c r="B23" s="6" t="s">
        <v>15</v>
      </c>
      <c r="C23" s="38" t="s">
        <v>2133</v>
      </c>
      <c r="D23" s="6">
        <v>2022</v>
      </c>
      <c r="E23" s="6" t="s">
        <v>12</v>
      </c>
      <c r="F23" s="6">
        <v>15</v>
      </c>
      <c r="G23" s="6">
        <v>25</v>
      </c>
      <c r="H23" s="6">
        <f>0.074271*(1000)</f>
        <v>74.271000000000001</v>
      </c>
      <c r="I23" s="206"/>
      <c r="J23" s="206"/>
    </row>
    <row r="24" spans="1:10" s="5" customFormat="1" ht="30" hidden="1" customHeight="1" outlineLevel="1" x14ac:dyDescent="0.25">
      <c r="A24" s="4">
        <v>2732</v>
      </c>
      <c r="B24" s="6" t="s">
        <v>15</v>
      </c>
      <c r="C24" s="38" t="s">
        <v>2134</v>
      </c>
      <c r="D24" s="6">
        <v>2022</v>
      </c>
      <c r="E24" s="6" t="s">
        <v>12</v>
      </c>
      <c r="F24" s="6">
        <v>128</v>
      </c>
      <c r="G24" s="6">
        <v>10</v>
      </c>
      <c r="H24" s="6">
        <f>0.264166*(1000)</f>
        <v>264.166</v>
      </c>
      <c r="I24" s="206"/>
      <c r="J24" s="206"/>
    </row>
    <row r="25" spans="1:10" s="5" customFormat="1" ht="30" hidden="1" customHeight="1" outlineLevel="1" x14ac:dyDescent="0.25">
      <c r="A25" s="4">
        <v>2749</v>
      </c>
      <c r="B25" s="6" t="s">
        <v>15</v>
      </c>
      <c r="C25" s="38" t="s">
        <v>2135</v>
      </c>
      <c r="D25" s="6">
        <v>2022</v>
      </c>
      <c r="E25" s="6" t="s">
        <v>12</v>
      </c>
      <c r="F25" s="6">
        <v>55</v>
      </c>
      <c r="G25" s="6">
        <v>20</v>
      </c>
      <c r="H25" s="6">
        <f>0.083549*(1000)</f>
        <v>83.548999999999992</v>
      </c>
      <c r="I25" s="206"/>
      <c r="J25" s="206"/>
    </row>
    <row r="26" spans="1:10" s="5" customFormat="1" ht="30" hidden="1" customHeight="1" outlineLevel="1" x14ac:dyDescent="0.25">
      <c r="A26" s="4">
        <v>2750</v>
      </c>
      <c r="B26" s="6" t="s">
        <v>15</v>
      </c>
      <c r="C26" s="38" t="s">
        <v>2136</v>
      </c>
      <c r="D26" s="6">
        <v>2022</v>
      </c>
      <c r="E26" s="6" t="s">
        <v>12</v>
      </c>
      <c r="F26" s="6">
        <v>25</v>
      </c>
      <c r="G26" s="6">
        <v>10</v>
      </c>
      <c r="H26" s="6">
        <f>0.065571*(1000)</f>
        <v>65.570999999999998</v>
      </c>
      <c r="I26" s="206"/>
      <c r="J26" s="206"/>
    </row>
    <row r="27" spans="1:10" s="5" customFormat="1" ht="30" hidden="1" customHeight="1" outlineLevel="1" x14ac:dyDescent="0.25">
      <c r="A27" s="4">
        <v>2770</v>
      </c>
      <c r="B27" s="6" t="s">
        <v>15</v>
      </c>
      <c r="C27" s="38" t="s">
        <v>2139</v>
      </c>
      <c r="D27" s="6">
        <v>2022</v>
      </c>
      <c r="E27" s="6" t="s">
        <v>12</v>
      </c>
      <c r="F27" s="6">
        <v>5</v>
      </c>
      <c r="G27" s="6">
        <v>100</v>
      </c>
      <c r="H27" s="6">
        <f>0.064112*(1000)</f>
        <v>64.112000000000009</v>
      </c>
      <c r="I27" s="206"/>
      <c r="J27" s="206"/>
    </row>
    <row r="28" spans="1:10" s="5" customFormat="1" ht="30" hidden="1" customHeight="1" outlineLevel="1" x14ac:dyDescent="0.25">
      <c r="A28" s="4">
        <v>2771</v>
      </c>
      <c r="B28" s="6" t="s">
        <v>15</v>
      </c>
      <c r="C28" s="38" t="s">
        <v>2140</v>
      </c>
      <c r="D28" s="6">
        <v>2022</v>
      </c>
      <c r="E28" s="6" t="s">
        <v>12</v>
      </c>
      <c r="F28" s="6">
        <v>3</v>
      </c>
      <c r="G28" s="6">
        <v>15</v>
      </c>
      <c r="H28" s="6">
        <f>0.056825*(1000)</f>
        <v>56.825000000000003</v>
      </c>
      <c r="I28" s="206"/>
      <c r="J28" s="206"/>
    </row>
    <row r="29" spans="1:10" s="5" customFormat="1" ht="30" hidden="1" customHeight="1" outlineLevel="1" x14ac:dyDescent="0.25">
      <c r="A29" s="4">
        <v>2776</v>
      </c>
      <c r="B29" s="6" t="s">
        <v>15</v>
      </c>
      <c r="C29" s="38" t="s">
        <v>2141</v>
      </c>
      <c r="D29" s="6">
        <v>2022</v>
      </c>
      <c r="E29" s="6" t="s">
        <v>12</v>
      </c>
      <c r="F29" s="6">
        <v>98</v>
      </c>
      <c r="G29" s="6">
        <v>10</v>
      </c>
      <c r="H29" s="6">
        <f>0.142145*(1000)</f>
        <v>142.14499999999998</v>
      </c>
      <c r="I29" s="206"/>
      <c r="J29" s="206"/>
    </row>
    <row r="30" spans="1:10" s="5" customFormat="1" ht="30" hidden="1" customHeight="1" outlineLevel="1" x14ac:dyDescent="0.25">
      <c r="A30" s="4">
        <v>2777</v>
      </c>
      <c r="B30" s="6" t="s">
        <v>15</v>
      </c>
      <c r="C30" s="38" t="s">
        <v>2142</v>
      </c>
      <c r="D30" s="6">
        <v>2022</v>
      </c>
      <c r="E30" s="6" t="s">
        <v>12</v>
      </c>
      <c r="F30" s="6">
        <v>43</v>
      </c>
      <c r="G30" s="6">
        <v>10</v>
      </c>
      <c r="H30" s="6">
        <f>0.101462*(1000)</f>
        <v>101.462</v>
      </c>
      <c r="I30" s="206"/>
      <c r="J30" s="206"/>
    </row>
    <row r="31" spans="1:10" s="5" customFormat="1" ht="30" hidden="1" customHeight="1" outlineLevel="1" x14ac:dyDescent="0.25">
      <c r="A31" s="4">
        <v>2778</v>
      </c>
      <c r="B31" s="6" t="s">
        <v>15</v>
      </c>
      <c r="C31" s="38" t="s">
        <v>2143</v>
      </c>
      <c r="D31" s="6">
        <v>2022</v>
      </c>
      <c r="E31" s="6" t="s">
        <v>12</v>
      </c>
      <c r="F31" s="6">
        <v>116</v>
      </c>
      <c r="G31" s="6">
        <v>15</v>
      </c>
      <c r="H31" s="6">
        <f>0.149*(1000)</f>
        <v>149</v>
      </c>
      <c r="I31" s="206"/>
      <c r="J31" s="206"/>
    </row>
    <row r="32" spans="1:10" s="5" customFormat="1" ht="30" hidden="1" customHeight="1" outlineLevel="1" x14ac:dyDescent="0.25">
      <c r="A32" s="4">
        <v>2783</v>
      </c>
      <c r="B32" s="6" t="s">
        <v>15</v>
      </c>
      <c r="C32" s="38" t="s">
        <v>2146</v>
      </c>
      <c r="D32" s="6">
        <v>2022</v>
      </c>
      <c r="E32" s="6" t="s">
        <v>12</v>
      </c>
      <c r="F32" s="6">
        <v>34</v>
      </c>
      <c r="G32" s="6">
        <v>10</v>
      </c>
      <c r="H32" s="6">
        <f>0.087778*(1000)</f>
        <v>87.777999999999992</v>
      </c>
      <c r="I32" s="206"/>
      <c r="J32" s="206"/>
    </row>
    <row r="33" spans="1:10" s="5" customFormat="1" ht="30" hidden="1" customHeight="1" outlineLevel="1" x14ac:dyDescent="0.25">
      <c r="A33" s="4">
        <v>2784</v>
      </c>
      <c r="B33" s="6" t="s">
        <v>15</v>
      </c>
      <c r="C33" s="38" t="s">
        <v>2147</v>
      </c>
      <c r="D33" s="6">
        <v>2022</v>
      </c>
      <c r="E33" s="6" t="s">
        <v>12</v>
      </c>
      <c r="F33" s="6">
        <v>10</v>
      </c>
      <c r="G33" s="6">
        <v>30</v>
      </c>
      <c r="H33" s="6">
        <f>0.108779*(1000)</f>
        <v>108.779</v>
      </c>
      <c r="I33" s="206"/>
      <c r="J33" s="206"/>
    </row>
    <row r="34" spans="1:10" s="5" customFormat="1" ht="30" hidden="1" customHeight="1" outlineLevel="1" x14ac:dyDescent="0.25">
      <c r="A34" s="4">
        <v>2795</v>
      </c>
      <c r="B34" s="6" t="s">
        <v>15</v>
      </c>
      <c r="C34" s="38" t="s">
        <v>2148</v>
      </c>
      <c r="D34" s="6">
        <v>2022</v>
      </c>
      <c r="E34" s="6" t="s">
        <v>12</v>
      </c>
      <c r="F34" s="6">
        <v>3</v>
      </c>
      <c r="G34" s="6">
        <v>15</v>
      </c>
      <c r="H34" s="6">
        <f>0.052821*(1000)</f>
        <v>52.820999999999998</v>
      </c>
      <c r="I34" s="206"/>
      <c r="J34" s="206"/>
    </row>
    <row r="35" spans="1:10" s="5" customFormat="1" ht="30" hidden="1" customHeight="1" outlineLevel="1" x14ac:dyDescent="0.25">
      <c r="A35" s="4">
        <v>2796</v>
      </c>
      <c r="B35" s="6" t="s">
        <v>15</v>
      </c>
      <c r="C35" s="38" t="s">
        <v>2149</v>
      </c>
      <c r="D35" s="6">
        <v>2022</v>
      </c>
      <c r="E35" s="6" t="s">
        <v>12</v>
      </c>
      <c r="F35" s="6">
        <v>11</v>
      </c>
      <c r="G35" s="6">
        <v>100</v>
      </c>
      <c r="H35" s="6">
        <f>0.012415*(1000)</f>
        <v>12.415000000000001</v>
      </c>
      <c r="I35" s="206"/>
      <c r="J35" s="206"/>
    </row>
    <row r="36" spans="1:10" s="5" customFormat="1" ht="30" hidden="1" customHeight="1" outlineLevel="1" x14ac:dyDescent="0.25">
      <c r="A36" s="4">
        <v>2797</v>
      </c>
      <c r="B36" s="6" t="s">
        <v>15</v>
      </c>
      <c r="C36" s="38" t="s">
        <v>2150</v>
      </c>
      <c r="D36" s="6">
        <v>2022</v>
      </c>
      <c r="E36" s="6" t="s">
        <v>12</v>
      </c>
      <c r="F36" s="6">
        <v>27</v>
      </c>
      <c r="G36" s="6">
        <v>10</v>
      </c>
      <c r="H36" s="6">
        <f>0.060575*(1000)</f>
        <v>60.574999999999996</v>
      </c>
      <c r="I36" s="206"/>
      <c r="J36" s="206"/>
    </row>
    <row r="37" spans="1:10" s="5" customFormat="1" ht="30" hidden="1" customHeight="1" outlineLevel="1" x14ac:dyDescent="0.25">
      <c r="A37" s="4">
        <v>2798</v>
      </c>
      <c r="B37" s="6" t="s">
        <v>15</v>
      </c>
      <c r="C37" s="38" t="s">
        <v>2151</v>
      </c>
      <c r="D37" s="6">
        <v>2022</v>
      </c>
      <c r="E37" s="6" t="s">
        <v>12</v>
      </c>
      <c r="F37" s="6">
        <v>31</v>
      </c>
      <c r="G37" s="6">
        <v>68</v>
      </c>
      <c r="H37" s="6">
        <f>0.070206*(1000)</f>
        <v>70.206000000000003</v>
      </c>
      <c r="I37" s="206"/>
      <c r="J37" s="206"/>
    </row>
    <row r="38" spans="1:10" s="5" customFormat="1" ht="30" hidden="1" customHeight="1" outlineLevel="1" x14ac:dyDescent="0.25">
      <c r="A38" s="4">
        <v>2799</v>
      </c>
      <c r="B38" s="6" t="s">
        <v>15</v>
      </c>
      <c r="C38" s="38" t="s">
        <v>2152</v>
      </c>
      <c r="D38" s="6">
        <v>2022</v>
      </c>
      <c r="E38" s="6" t="s">
        <v>12</v>
      </c>
      <c r="F38" s="6">
        <v>35</v>
      </c>
      <c r="G38" s="6">
        <v>10</v>
      </c>
      <c r="H38" s="6">
        <f>0.0523*(1000)</f>
        <v>52.3</v>
      </c>
      <c r="I38" s="206"/>
      <c r="J38" s="206"/>
    </row>
    <row r="39" spans="1:10" s="5" customFormat="1" ht="30" hidden="1" customHeight="1" outlineLevel="1" x14ac:dyDescent="0.25">
      <c r="A39" s="4">
        <v>2814</v>
      </c>
      <c r="B39" s="6" t="s">
        <v>15</v>
      </c>
      <c r="C39" s="38" t="s">
        <v>2154</v>
      </c>
      <c r="D39" s="6">
        <v>2022</v>
      </c>
      <c r="E39" s="6" t="s">
        <v>12</v>
      </c>
      <c r="F39" s="6">
        <v>7</v>
      </c>
      <c r="G39" s="6">
        <v>60</v>
      </c>
      <c r="H39" s="6">
        <f>0.111626*(1000)</f>
        <v>111.626</v>
      </c>
      <c r="I39" s="206"/>
      <c r="J39" s="206"/>
    </row>
    <row r="40" spans="1:10" s="5" customFormat="1" ht="30" hidden="1" customHeight="1" outlineLevel="1" x14ac:dyDescent="0.25">
      <c r="A40" s="4">
        <v>2843</v>
      </c>
      <c r="B40" s="6" t="s">
        <v>15</v>
      </c>
      <c r="C40" s="38" t="s">
        <v>2155</v>
      </c>
      <c r="D40" s="6">
        <v>2022</v>
      </c>
      <c r="E40" s="6" t="s">
        <v>12</v>
      </c>
      <c r="F40" s="6">
        <v>106</v>
      </c>
      <c r="G40" s="6">
        <v>15</v>
      </c>
      <c r="H40" s="6">
        <f>0.111191*(1000)</f>
        <v>111.191</v>
      </c>
      <c r="I40" s="206"/>
      <c r="J40" s="206"/>
    </row>
    <row r="41" spans="1:10" s="5" customFormat="1" ht="30" hidden="1" customHeight="1" outlineLevel="1" x14ac:dyDescent="0.25">
      <c r="A41" s="4">
        <v>2845</v>
      </c>
      <c r="B41" s="6" t="s">
        <v>15</v>
      </c>
      <c r="C41" s="38" t="s">
        <v>2156</v>
      </c>
      <c r="D41" s="6">
        <v>2022</v>
      </c>
      <c r="E41" s="6" t="s">
        <v>12</v>
      </c>
      <c r="F41" s="6">
        <v>380</v>
      </c>
      <c r="G41" s="6">
        <v>15</v>
      </c>
      <c r="H41" s="6">
        <f>0.480142*(1000)</f>
        <v>480.142</v>
      </c>
      <c r="I41" s="206"/>
      <c r="J41" s="206"/>
    </row>
    <row r="42" spans="1:10" s="5" customFormat="1" ht="30" hidden="1" customHeight="1" outlineLevel="1" x14ac:dyDescent="0.25">
      <c r="A42" s="4">
        <v>2852</v>
      </c>
      <c r="B42" s="6" t="s">
        <v>15</v>
      </c>
      <c r="C42" s="38" t="s">
        <v>2157</v>
      </c>
      <c r="D42" s="6">
        <v>2022</v>
      </c>
      <c r="E42" s="6" t="s">
        <v>12</v>
      </c>
      <c r="F42" s="6">
        <v>64</v>
      </c>
      <c r="G42" s="6">
        <v>10</v>
      </c>
      <c r="H42" s="6">
        <f>0.102295*(1000)</f>
        <v>102.295</v>
      </c>
      <c r="I42" s="206"/>
      <c r="J42" s="206"/>
    </row>
    <row r="43" spans="1:10" s="5" customFormat="1" ht="30" hidden="1" customHeight="1" outlineLevel="1" x14ac:dyDescent="0.25">
      <c r="A43" s="4">
        <v>2992</v>
      </c>
      <c r="B43" s="6" t="s">
        <v>15</v>
      </c>
      <c r="C43" s="38" t="s">
        <v>2160</v>
      </c>
      <c r="D43" s="6">
        <v>2022</v>
      </c>
      <c r="E43" s="6" t="s">
        <v>12</v>
      </c>
      <c r="F43" s="6">
        <v>215</v>
      </c>
      <c r="G43" s="6">
        <v>15</v>
      </c>
      <c r="H43" s="6">
        <f>0.58464*(1000)</f>
        <v>584.6400000000001</v>
      </c>
      <c r="I43" s="206"/>
      <c r="J43" s="206"/>
    </row>
    <row r="44" spans="1:10" s="5" customFormat="1" ht="30" hidden="1" customHeight="1" outlineLevel="1" x14ac:dyDescent="0.25">
      <c r="A44" s="4">
        <v>2996</v>
      </c>
      <c r="B44" s="6" t="s">
        <v>15</v>
      </c>
      <c r="C44" s="38" t="s">
        <v>2161</v>
      </c>
      <c r="D44" s="6">
        <v>2022</v>
      </c>
      <c r="E44" s="6" t="s">
        <v>12</v>
      </c>
      <c r="F44" s="6">
        <v>25</v>
      </c>
      <c r="G44" s="6">
        <v>6</v>
      </c>
      <c r="H44" s="6">
        <f>0.11537*(1000)</f>
        <v>115.37</v>
      </c>
      <c r="I44" s="206"/>
      <c r="J44" s="206"/>
    </row>
    <row r="45" spans="1:10" s="5" customFormat="1" ht="30" hidden="1" customHeight="1" outlineLevel="1" x14ac:dyDescent="0.25">
      <c r="A45" s="4">
        <v>3001</v>
      </c>
      <c r="B45" s="6" t="s">
        <v>15</v>
      </c>
      <c r="C45" s="38" t="s">
        <v>2162</v>
      </c>
      <c r="D45" s="6">
        <v>2022</v>
      </c>
      <c r="E45" s="6" t="s">
        <v>12</v>
      </c>
      <c r="F45" s="6">
        <v>243</v>
      </c>
      <c r="G45" s="6">
        <v>15</v>
      </c>
      <c r="H45" s="6">
        <f>0.607608*(1000)</f>
        <v>607.60800000000006</v>
      </c>
      <c r="I45" s="206"/>
      <c r="J45" s="206"/>
    </row>
    <row r="46" spans="1:10" s="5" customFormat="1" ht="30" hidden="1" customHeight="1" outlineLevel="1" x14ac:dyDescent="0.25">
      <c r="A46" s="4">
        <v>3001</v>
      </c>
      <c r="B46" s="6" t="s">
        <v>15</v>
      </c>
      <c r="C46" s="38" t="s">
        <v>2163</v>
      </c>
      <c r="D46" s="6">
        <v>2022</v>
      </c>
      <c r="E46" s="6" t="s">
        <v>12</v>
      </c>
      <c r="F46" s="6">
        <v>208</v>
      </c>
      <c r="G46" s="6">
        <v>15</v>
      </c>
      <c r="H46" s="6">
        <f>0.62241564*(1000)</f>
        <v>622.41564000000005</v>
      </c>
      <c r="I46" s="206"/>
      <c r="J46" s="206"/>
    </row>
    <row r="47" spans="1:10" s="5" customFormat="1" ht="30" hidden="1" customHeight="1" outlineLevel="1" x14ac:dyDescent="0.25">
      <c r="A47" s="4">
        <v>3006</v>
      </c>
      <c r="B47" s="6" t="s">
        <v>15</v>
      </c>
      <c r="C47" s="38" t="s">
        <v>2164</v>
      </c>
      <c r="D47" s="6">
        <v>2022</v>
      </c>
      <c r="E47" s="6" t="s">
        <v>12</v>
      </c>
      <c r="F47" s="6">
        <v>188</v>
      </c>
      <c r="G47" s="6">
        <v>15</v>
      </c>
      <c r="H47" s="6">
        <f>0.513731*(1000)</f>
        <v>513.73099999999999</v>
      </c>
      <c r="I47" s="206"/>
      <c r="J47" s="206"/>
    </row>
    <row r="48" spans="1:10" s="5" customFormat="1" ht="30" hidden="1" customHeight="1" outlineLevel="1" x14ac:dyDescent="0.25">
      <c r="A48" s="4">
        <v>2729</v>
      </c>
      <c r="B48" s="6" t="s">
        <v>15</v>
      </c>
      <c r="C48" s="38" t="s">
        <v>2165</v>
      </c>
      <c r="D48" s="6">
        <v>2022</v>
      </c>
      <c r="E48" s="6" t="s">
        <v>12</v>
      </c>
      <c r="F48" s="6">
        <v>154</v>
      </c>
      <c r="G48" s="6">
        <v>15</v>
      </c>
      <c r="H48" s="6">
        <f>0.341468*(1000)</f>
        <v>341.46800000000002</v>
      </c>
      <c r="I48" s="206"/>
      <c r="J48" s="206"/>
    </row>
    <row r="49" spans="1:10" s="5" customFormat="1" ht="30" hidden="1" customHeight="1" outlineLevel="1" x14ac:dyDescent="0.25">
      <c r="A49" s="4">
        <v>2730</v>
      </c>
      <c r="B49" s="6" t="s">
        <v>15</v>
      </c>
      <c r="C49" s="38" t="s">
        <v>2166</v>
      </c>
      <c r="D49" s="6">
        <v>2022</v>
      </c>
      <c r="E49" s="6" t="s">
        <v>12</v>
      </c>
      <c r="F49" s="6">
        <v>241</v>
      </c>
      <c r="G49" s="6">
        <v>10</v>
      </c>
      <c r="H49" s="6">
        <f>0.401301*(1000)</f>
        <v>401.30100000000004</v>
      </c>
      <c r="I49" s="206"/>
      <c r="J49" s="206"/>
    </row>
    <row r="50" spans="1:10" s="5" customFormat="1" ht="30" hidden="1" customHeight="1" outlineLevel="1" x14ac:dyDescent="0.25">
      <c r="A50" s="4">
        <v>2846</v>
      </c>
      <c r="B50" s="6" t="s">
        <v>15</v>
      </c>
      <c r="C50" s="38" t="s">
        <v>2167</v>
      </c>
      <c r="D50" s="6">
        <v>2022</v>
      </c>
      <c r="E50" s="6" t="s">
        <v>12</v>
      </c>
      <c r="F50" s="6">
        <v>352</v>
      </c>
      <c r="G50" s="6">
        <v>15</v>
      </c>
      <c r="H50" s="6">
        <f>0.491644*(1000)</f>
        <v>491.64400000000001</v>
      </c>
      <c r="I50" s="206"/>
      <c r="J50" s="206"/>
    </row>
    <row r="51" spans="1:10" s="5" customFormat="1" ht="30" hidden="1" customHeight="1" outlineLevel="1" x14ac:dyDescent="0.25">
      <c r="A51" s="4">
        <v>2851</v>
      </c>
      <c r="B51" s="6" t="s">
        <v>15</v>
      </c>
      <c r="C51" s="38" t="s">
        <v>2168</v>
      </c>
      <c r="D51" s="6">
        <v>2022</v>
      </c>
      <c r="E51" s="6" t="s">
        <v>12</v>
      </c>
      <c r="F51" s="6">
        <v>256</v>
      </c>
      <c r="G51" s="6">
        <v>136.52000000000001</v>
      </c>
      <c r="H51" s="6">
        <f>0.495*(1000)</f>
        <v>495</v>
      </c>
      <c r="I51" s="206"/>
      <c r="J51" s="206"/>
    </row>
    <row r="52" spans="1:10" s="5" customFormat="1" ht="30" hidden="1" customHeight="1" outlineLevel="1" x14ac:dyDescent="0.25">
      <c r="A52" s="4">
        <v>2912</v>
      </c>
      <c r="B52" s="6" t="s">
        <v>15</v>
      </c>
      <c r="C52" s="38" t="s">
        <v>2171</v>
      </c>
      <c r="D52" s="6">
        <v>2022</v>
      </c>
      <c r="E52" s="6" t="s">
        <v>12</v>
      </c>
      <c r="F52" s="6">
        <v>331</v>
      </c>
      <c r="G52" s="6">
        <v>15</v>
      </c>
      <c r="H52" s="6">
        <f>0.474262*(1000)</f>
        <v>474.262</v>
      </c>
      <c r="I52" s="206"/>
      <c r="J52" s="206"/>
    </row>
    <row r="53" spans="1:10" s="5" customFormat="1" ht="30" hidden="1" customHeight="1" outlineLevel="1" x14ac:dyDescent="0.25">
      <c r="A53" s="4">
        <v>2914</v>
      </c>
      <c r="B53" s="6" t="s">
        <v>15</v>
      </c>
      <c r="C53" s="38" t="s">
        <v>2172</v>
      </c>
      <c r="D53" s="6">
        <v>2022</v>
      </c>
      <c r="E53" s="6" t="s">
        <v>12</v>
      </c>
      <c r="F53" s="6">
        <v>181</v>
      </c>
      <c r="G53" s="6">
        <v>120</v>
      </c>
      <c r="H53" s="6">
        <f>0.472921*(1000)</f>
        <v>472.92099999999999</v>
      </c>
      <c r="I53" s="206"/>
      <c r="J53" s="206"/>
    </row>
    <row r="54" spans="1:10" s="5" customFormat="1" ht="30" hidden="1" customHeight="1" outlineLevel="1" x14ac:dyDescent="0.25">
      <c r="A54" s="4">
        <v>2916</v>
      </c>
      <c r="B54" s="6" t="s">
        <v>15</v>
      </c>
      <c r="C54" s="38" t="s">
        <v>2173</v>
      </c>
      <c r="D54" s="6">
        <v>2022</v>
      </c>
      <c r="E54" s="6" t="s">
        <v>12</v>
      </c>
      <c r="F54" s="6">
        <v>9</v>
      </c>
      <c r="G54" s="6">
        <v>85</v>
      </c>
      <c r="H54" s="6">
        <f>0.026883*(1000)</f>
        <v>26.882999999999999</v>
      </c>
      <c r="I54" s="206"/>
      <c r="J54" s="206"/>
    </row>
    <row r="55" spans="1:10" s="5" customFormat="1" ht="30" hidden="1" customHeight="1" outlineLevel="1" x14ac:dyDescent="0.25">
      <c r="A55" s="4">
        <v>2858</v>
      </c>
      <c r="B55" s="6" t="s">
        <v>15</v>
      </c>
      <c r="C55" s="38" t="s">
        <v>2174</v>
      </c>
      <c r="D55" s="6">
        <v>2022</v>
      </c>
      <c r="E55" s="6" t="s">
        <v>12</v>
      </c>
      <c r="F55" s="6">
        <v>15</v>
      </c>
      <c r="G55" s="6">
        <v>150</v>
      </c>
      <c r="H55" s="6">
        <f>0.0536*(1000)</f>
        <v>53.6</v>
      </c>
      <c r="I55" s="206"/>
      <c r="J55" s="206"/>
    </row>
    <row r="56" spans="1:10" s="5" customFormat="1" ht="30" hidden="1" customHeight="1" outlineLevel="1" x14ac:dyDescent="0.25">
      <c r="A56" s="4">
        <v>2842</v>
      </c>
      <c r="B56" s="6" t="s">
        <v>15</v>
      </c>
      <c r="C56" s="38" t="s">
        <v>2175</v>
      </c>
      <c r="D56" s="6">
        <v>2022</v>
      </c>
      <c r="E56" s="6" t="s">
        <v>12</v>
      </c>
      <c r="F56" s="6">
        <v>15</v>
      </c>
      <c r="G56" s="6">
        <v>30</v>
      </c>
      <c r="H56" s="6">
        <f>0.035682*(1000)</f>
        <v>35.681999999999995</v>
      </c>
      <c r="I56" s="206"/>
      <c r="J56" s="206"/>
    </row>
    <row r="57" spans="1:10" s="5" customFormat="1" ht="30" hidden="1" customHeight="1" outlineLevel="1" x14ac:dyDescent="0.25">
      <c r="A57" s="4">
        <v>2918</v>
      </c>
      <c r="B57" s="6" t="s">
        <v>15</v>
      </c>
      <c r="C57" s="38" t="s">
        <v>2176</v>
      </c>
      <c r="D57" s="6">
        <v>2022</v>
      </c>
      <c r="E57" s="6" t="s">
        <v>12</v>
      </c>
      <c r="F57" s="6">
        <v>180</v>
      </c>
      <c r="G57" s="6">
        <v>15</v>
      </c>
      <c r="H57" s="6">
        <f>0.348071*(1000)</f>
        <v>348.07100000000003</v>
      </c>
      <c r="I57" s="206"/>
      <c r="J57" s="206"/>
    </row>
    <row r="58" spans="1:10" s="5" customFormat="1" ht="30" hidden="1" customHeight="1" outlineLevel="1" x14ac:dyDescent="0.25">
      <c r="A58" s="4">
        <v>2715</v>
      </c>
      <c r="B58" s="6" t="s">
        <v>15</v>
      </c>
      <c r="C58" s="38" t="s">
        <v>2177</v>
      </c>
      <c r="D58" s="6">
        <v>2022</v>
      </c>
      <c r="E58" s="6" t="s">
        <v>12</v>
      </c>
      <c r="F58" s="6">
        <v>12</v>
      </c>
      <c r="G58" s="6">
        <v>45</v>
      </c>
      <c r="H58" s="6">
        <f>0.031059*(1000)</f>
        <v>31.059000000000001</v>
      </c>
      <c r="I58" s="206"/>
      <c r="J58" s="206"/>
    </row>
    <row r="59" spans="1:10" s="5" customFormat="1" ht="30" hidden="1" customHeight="1" outlineLevel="1" x14ac:dyDescent="0.25">
      <c r="A59" s="4">
        <v>2716</v>
      </c>
      <c r="B59" s="6" t="s">
        <v>15</v>
      </c>
      <c r="C59" s="38" t="s">
        <v>2178</v>
      </c>
      <c r="D59" s="6">
        <v>2022</v>
      </c>
      <c r="E59" s="6" t="s">
        <v>12</v>
      </c>
      <c r="F59" s="6">
        <v>22</v>
      </c>
      <c r="G59" s="6">
        <v>22</v>
      </c>
      <c r="H59" s="6">
        <f>0.02857*(1000)</f>
        <v>28.57</v>
      </c>
      <c r="I59" s="206"/>
      <c r="J59" s="206"/>
    </row>
    <row r="60" spans="1:10" s="5" customFormat="1" ht="30" hidden="1" customHeight="1" outlineLevel="1" x14ac:dyDescent="0.25">
      <c r="A60" s="4">
        <v>4112</v>
      </c>
      <c r="B60" s="6" t="s">
        <v>15</v>
      </c>
      <c r="C60" s="38" t="s">
        <v>2179</v>
      </c>
      <c r="D60" s="6">
        <v>2022</v>
      </c>
      <c r="E60" s="6" t="s">
        <v>12</v>
      </c>
      <c r="F60" s="6">
        <v>140</v>
      </c>
      <c r="G60" s="6">
        <v>45</v>
      </c>
      <c r="H60" s="6">
        <f>0.320771*(1000)</f>
        <v>320.77099999999996</v>
      </c>
      <c r="I60" s="206"/>
      <c r="J60" s="206"/>
    </row>
    <row r="61" spans="1:10" s="5" customFormat="1" ht="30" hidden="1" customHeight="1" outlineLevel="1" x14ac:dyDescent="0.25">
      <c r="A61" s="4">
        <v>4114</v>
      </c>
      <c r="B61" s="6" t="s">
        <v>15</v>
      </c>
      <c r="C61" s="38" t="s">
        <v>2180</v>
      </c>
      <c r="D61" s="6">
        <v>2022</v>
      </c>
      <c r="E61" s="6" t="s">
        <v>12</v>
      </c>
      <c r="F61" s="6">
        <v>73</v>
      </c>
      <c r="G61" s="6">
        <v>15</v>
      </c>
      <c r="H61" s="6">
        <f>0.24000699*(1000)</f>
        <v>240.00699</v>
      </c>
      <c r="I61" s="206"/>
      <c r="J61" s="206"/>
    </row>
    <row r="62" spans="1:10" s="5" customFormat="1" ht="30" hidden="1" customHeight="1" outlineLevel="1" x14ac:dyDescent="0.25">
      <c r="A62" s="4">
        <v>2717</v>
      </c>
      <c r="B62" s="6" t="s">
        <v>15</v>
      </c>
      <c r="C62" s="38" t="s">
        <v>2181</v>
      </c>
      <c r="D62" s="6">
        <v>2022</v>
      </c>
      <c r="E62" s="6" t="s">
        <v>12</v>
      </c>
      <c r="F62" s="6">
        <v>3</v>
      </c>
      <c r="G62" s="6">
        <v>15</v>
      </c>
      <c r="H62" s="6">
        <f>0.0849185*(1000)</f>
        <v>84.918499999999995</v>
      </c>
      <c r="I62" s="206"/>
      <c r="J62" s="206"/>
    </row>
    <row r="63" spans="1:10" s="5" customFormat="1" ht="30" hidden="1" customHeight="1" outlineLevel="1" x14ac:dyDescent="0.25">
      <c r="A63" s="4">
        <v>2786</v>
      </c>
      <c r="B63" s="6" t="s">
        <v>15</v>
      </c>
      <c r="C63" s="38" t="s">
        <v>2183</v>
      </c>
      <c r="D63" s="6">
        <v>2022</v>
      </c>
      <c r="E63" s="6" t="s">
        <v>12</v>
      </c>
      <c r="F63" s="6">
        <v>3</v>
      </c>
      <c r="G63" s="6">
        <v>60</v>
      </c>
      <c r="H63" s="6">
        <f>0.07778227*(1000)</f>
        <v>77.782269999999997</v>
      </c>
      <c r="I63" s="206"/>
      <c r="J63" s="206"/>
    </row>
    <row r="64" spans="1:10" s="5" customFormat="1" ht="30" hidden="1" customHeight="1" outlineLevel="1" x14ac:dyDescent="0.25">
      <c r="A64" s="4">
        <v>2859</v>
      </c>
      <c r="B64" s="6" t="s">
        <v>15</v>
      </c>
      <c r="C64" s="38" t="s">
        <v>2185</v>
      </c>
      <c r="D64" s="6">
        <v>2022</v>
      </c>
      <c r="E64" s="6" t="s">
        <v>12</v>
      </c>
      <c r="F64" s="6">
        <v>11</v>
      </c>
      <c r="G64" s="6">
        <v>100</v>
      </c>
      <c r="H64" s="6">
        <f>0.0562825*(1000)</f>
        <v>56.282499999999999</v>
      </c>
      <c r="I64" s="206"/>
      <c r="J64" s="206"/>
    </row>
    <row r="65" spans="1:10" s="5" customFormat="1" ht="30" hidden="1" customHeight="1" outlineLevel="1" x14ac:dyDescent="0.25">
      <c r="A65" s="4">
        <v>2861</v>
      </c>
      <c r="B65" s="6" t="s">
        <v>15</v>
      </c>
      <c r="C65" s="38" t="s">
        <v>2186</v>
      </c>
      <c r="D65" s="6">
        <v>2022</v>
      </c>
      <c r="E65" s="6" t="s">
        <v>12</v>
      </c>
      <c r="F65" s="6">
        <v>3</v>
      </c>
      <c r="G65" s="6">
        <v>100</v>
      </c>
      <c r="H65" s="6">
        <f>0.08696506*(1000)</f>
        <v>86.965059999999994</v>
      </c>
      <c r="I65" s="206"/>
      <c r="J65" s="206"/>
    </row>
    <row r="66" spans="1:10" s="5" customFormat="1" ht="30" hidden="1" customHeight="1" outlineLevel="1" x14ac:dyDescent="0.25">
      <c r="A66" s="4">
        <v>2862</v>
      </c>
      <c r="B66" s="6" t="s">
        <v>15</v>
      </c>
      <c r="C66" s="38" t="s">
        <v>2187</v>
      </c>
      <c r="D66" s="6">
        <v>2022</v>
      </c>
      <c r="E66" s="6" t="s">
        <v>12</v>
      </c>
      <c r="F66" s="6">
        <v>4</v>
      </c>
      <c r="G66" s="6">
        <v>50</v>
      </c>
      <c r="H66" s="6">
        <f>0.05833789*(1000)</f>
        <v>58.337890000000002</v>
      </c>
      <c r="I66" s="206"/>
      <c r="J66" s="206"/>
    </row>
    <row r="67" spans="1:10" s="5" customFormat="1" ht="30" hidden="1" customHeight="1" outlineLevel="1" x14ac:dyDescent="0.25">
      <c r="A67" s="4">
        <v>2867</v>
      </c>
      <c r="B67" s="6" t="s">
        <v>15</v>
      </c>
      <c r="C67" s="38" t="s">
        <v>2188</v>
      </c>
      <c r="D67" s="6">
        <v>2022</v>
      </c>
      <c r="E67" s="6" t="s">
        <v>12</v>
      </c>
      <c r="F67" s="6">
        <v>13</v>
      </c>
      <c r="G67" s="6">
        <v>100</v>
      </c>
      <c r="H67" s="6">
        <f>0.062777722*(1000)</f>
        <v>62.777721999999997</v>
      </c>
      <c r="I67" s="206"/>
      <c r="J67" s="206"/>
    </row>
    <row r="68" spans="1:10" s="5" customFormat="1" ht="30" hidden="1" customHeight="1" outlineLevel="1" x14ac:dyDescent="0.25">
      <c r="A68" s="4">
        <v>2910</v>
      </c>
      <c r="B68" s="6" t="s">
        <v>15</v>
      </c>
      <c r="C68" s="38" t="s">
        <v>2189</v>
      </c>
      <c r="D68" s="6">
        <v>2022</v>
      </c>
      <c r="E68" s="6" t="s">
        <v>12</v>
      </c>
      <c r="F68" s="6">
        <v>11</v>
      </c>
      <c r="G68" s="6">
        <v>100</v>
      </c>
      <c r="H68" s="6">
        <f>0.03894668*(1000)</f>
        <v>38.946680000000001</v>
      </c>
      <c r="I68" s="206"/>
      <c r="J68" s="206"/>
    </row>
    <row r="69" spans="1:10" s="5" customFormat="1" ht="30" hidden="1" customHeight="1" outlineLevel="1" x14ac:dyDescent="0.25">
      <c r="A69" s="4">
        <v>2915</v>
      </c>
      <c r="B69" s="6" t="s">
        <v>15</v>
      </c>
      <c r="C69" s="38" t="s">
        <v>2190</v>
      </c>
      <c r="D69" s="6">
        <v>2022</v>
      </c>
      <c r="E69" s="6" t="s">
        <v>12</v>
      </c>
      <c r="F69" s="6">
        <v>11</v>
      </c>
      <c r="G69" s="6">
        <v>80</v>
      </c>
      <c r="H69" s="6">
        <f>0.05662644*(1000)</f>
        <v>56.626440000000002</v>
      </c>
      <c r="I69" s="206"/>
      <c r="J69" s="206"/>
    </row>
    <row r="70" spans="1:10" s="5" customFormat="1" ht="30" hidden="1" customHeight="1" outlineLevel="1" x14ac:dyDescent="0.25">
      <c r="A70" s="4">
        <v>4118</v>
      </c>
      <c r="B70" s="6" t="s">
        <v>15</v>
      </c>
      <c r="C70" s="38" t="s">
        <v>2191</v>
      </c>
      <c r="D70" s="6">
        <v>2022</v>
      </c>
      <c r="E70" s="6" t="s">
        <v>12</v>
      </c>
      <c r="F70" s="6">
        <v>211</v>
      </c>
      <c r="G70" s="6">
        <v>15</v>
      </c>
      <c r="H70" s="6">
        <f>0.42912088*(1000)</f>
        <v>429.12088</v>
      </c>
      <c r="I70" s="206"/>
      <c r="J70" s="206"/>
    </row>
    <row r="71" spans="1:10" s="5" customFormat="1" ht="30" hidden="1" customHeight="1" outlineLevel="1" x14ac:dyDescent="0.25">
      <c r="A71" s="4">
        <v>4119</v>
      </c>
      <c r="B71" s="6" t="s">
        <v>15</v>
      </c>
      <c r="C71" s="38" t="s">
        <v>2192</v>
      </c>
      <c r="D71" s="6">
        <v>2022</v>
      </c>
      <c r="E71" s="6" t="s">
        <v>12</v>
      </c>
      <c r="F71" s="6">
        <v>236</v>
      </c>
      <c r="G71" s="6">
        <v>6</v>
      </c>
      <c r="H71" s="6">
        <f>0.23440994*(1000)</f>
        <v>234.40994000000001</v>
      </c>
      <c r="I71" s="206"/>
      <c r="J71" s="206"/>
    </row>
    <row r="72" spans="1:10" s="5" customFormat="1" ht="30" hidden="1" customHeight="1" outlineLevel="1" x14ac:dyDescent="0.25">
      <c r="A72" s="4">
        <v>4120</v>
      </c>
      <c r="B72" s="6" t="s">
        <v>15</v>
      </c>
      <c r="C72" s="38" t="s">
        <v>2193</v>
      </c>
      <c r="D72" s="6">
        <v>2022</v>
      </c>
      <c r="E72" s="6" t="s">
        <v>12</v>
      </c>
      <c r="F72" s="6">
        <v>302</v>
      </c>
      <c r="G72" s="6">
        <v>11</v>
      </c>
      <c r="H72" s="6">
        <f>0.52266293*(1000)</f>
        <v>522.66292999999996</v>
      </c>
      <c r="I72" s="206"/>
      <c r="J72" s="206"/>
    </row>
    <row r="73" spans="1:10" s="5" customFormat="1" ht="30" hidden="1" customHeight="1" outlineLevel="1" x14ac:dyDescent="0.25">
      <c r="A73" s="4">
        <v>4121</v>
      </c>
      <c r="B73" s="6" t="s">
        <v>15</v>
      </c>
      <c r="C73" s="38" t="s">
        <v>2194</v>
      </c>
      <c r="D73" s="6">
        <v>2022</v>
      </c>
      <c r="E73" s="6" t="s">
        <v>12</v>
      </c>
      <c r="F73" s="6">
        <v>222</v>
      </c>
      <c r="G73" s="6">
        <v>30</v>
      </c>
      <c r="H73" s="6">
        <f>0.52417374*(1000)</f>
        <v>524.17374000000007</v>
      </c>
      <c r="I73" s="206"/>
      <c r="J73" s="206"/>
    </row>
    <row r="74" spans="1:10" s="5" customFormat="1" ht="30" hidden="1" customHeight="1" outlineLevel="1" x14ac:dyDescent="0.25">
      <c r="A74" s="4">
        <v>4122</v>
      </c>
      <c r="B74" s="6" t="s">
        <v>15</v>
      </c>
      <c r="C74" s="38" t="s">
        <v>2195</v>
      </c>
      <c r="D74" s="6">
        <v>2022</v>
      </c>
      <c r="E74" s="6" t="s">
        <v>12</v>
      </c>
      <c r="F74" s="6">
        <v>207</v>
      </c>
      <c r="G74" s="6">
        <v>15</v>
      </c>
      <c r="H74" s="6">
        <f>0.49236967*(1000)</f>
        <v>492.36966999999999</v>
      </c>
      <c r="I74" s="206"/>
      <c r="J74" s="206"/>
    </row>
    <row r="75" spans="1:10" s="5" customFormat="1" ht="30" hidden="1" customHeight="1" outlineLevel="1" x14ac:dyDescent="0.25">
      <c r="A75" s="4">
        <v>4123</v>
      </c>
      <c r="B75" s="6" t="s">
        <v>15</v>
      </c>
      <c r="C75" s="38" t="s">
        <v>2196</v>
      </c>
      <c r="D75" s="6">
        <v>2022</v>
      </c>
      <c r="E75" s="6" t="s">
        <v>12</v>
      </c>
      <c r="F75" s="6">
        <v>340</v>
      </c>
      <c r="G75" s="6">
        <v>75</v>
      </c>
      <c r="H75" s="6">
        <f>0.59601215*(1000)</f>
        <v>596.01215000000002</v>
      </c>
      <c r="I75" s="206"/>
      <c r="J75" s="206"/>
    </row>
    <row r="76" spans="1:10" s="5" customFormat="1" ht="30" hidden="1" customHeight="1" outlineLevel="1" x14ac:dyDescent="0.25">
      <c r="A76" s="4">
        <v>4124</v>
      </c>
      <c r="B76" s="6" t="s">
        <v>15</v>
      </c>
      <c r="C76" s="38" t="s">
        <v>2197</v>
      </c>
      <c r="D76" s="6">
        <v>2022</v>
      </c>
      <c r="E76" s="6" t="s">
        <v>12</v>
      </c>
      <c r="F76" s="6">
        <v>275</v>
      </c>
      <c r="G76" s="6">
        <v>108.67</v>
      </c>
      <c r="H76" s="6">
        <f>0.27393707*(1000)</f>
        <v>273.93707000000001</v>
      </c>
      <c r="I76" s="206"/>
      <c r="J76" s="206"/>
    </row>
    <row r="77" spans="1:10" s="5" customFormat="1" ht="30" hidden="1" customHeight="1" outlineLevel="1" x14ac:dyDescent="0.25">
      <c r="A77" s="4">
        <v>4126</v>
      </c>
      <c r="B77" s="6" t="s">
        <v>15</v>
      </c>
      <c r="C77" s="38" t="s">
        <v>2198</v>
      </c>
      <c r="D77" s="6">
        <v>2022</v>
      </c>
      <c r="E77" s="6" t="s">
        <v>12</v>
      </c>
      <c r="F77" s="6">
        <v>499</v>
      </c>
      <c r="G77" s="6">
        <v>80</v>
      </c>
      <c r="H77" s="6">
        <f>0.58140267*(1000)</f>
        <v>581.40267000000006</v>
      </c>
      <c r="I77" s="206"/>
      <c r="J77" s="206"/>
    </row>
    <row r="78" spans="1:10" s="5" customFormat="1" ht="30" hidden="1" customHeight="1" outlineLevel="1" x14ac:dyDescent="0.25">
      <c r="A78" s="4">
        <v>4128</v>
      </c>
      <c r="B78" s="6" t="s">
        <v>15</v>
      </c>
      <c r="C78" s="38" t="s">
        <v>2199</v>
      </c>
      <c r="D78" s="6">
        <v>2022</v>
      </c>
      <c r="E78" s="6" t="s">
        <v>12</v>
      </c>
      <c r="F78" s="6">
        <v>416</v>
      </c>
      <c r="G78" s="6">
        <v>34</v>
      </c>
      <c r="H78" s="6">
        <f>0.69146134*(1000)</f>
        <v>691.46134000000006</v>
      </c>
      <c r="I78" s="206"/>
      <c r="J78" s="206"/>
    </row>
    <row r="79" spans="1:10" s="5" customFormat="1" ht="30" hidden="1" customHeight="1" outlineLevel="1" x14ac:dyDescent="0.25">
      <c r="A79" s="4">
        <v>2721</v>
      </c>
      <c r="B79" s="6" t="s">
        <v>15</v>
      </c>
      <c r="C79" s="38" t="s">
        <v>2200</v>
      </c>
      <c r="D79" s="6">
        <v>2022</v>
      </c>
      <c r="E79" s="6" t="s">
        <v>12</v>
      </c>
      <c r="F79" s="6">
        <v>31</v>
      </c>
      <c r="G79" s="6">
        <v>15</v>
      </c>
      <c r="H79" s="6">
        <f>0.09171643*(1000)</f>
        <v>91.716430000000003</v>
      </c>
      <c r="I79" s="206"/>
      <c r="J79" s="206"/>
    </row>
    <row r="80" spans="1:10" s="5" customFormat="1" ht="30" hidden="1" customHeight="1" outlineLevel="1" x14ac:dyDescent="0.25">
      <c r="A80" s="4">
        <v>2723</v>
      </c>
      <c r="B80" s="6" t="s">
        <v>15</v>
      </c>
      <c r="C80" s="38" t="s">
        <v>2201</v>
      </c>
      <c r="D80" s="6">
        <v>2022</v>
      </c>
      <c r="E80" s="6" t="s">
        <v>12</v>
      </c>
      <c r="F80" s="6">
        <v>133</v>
      </c>
      <c r="G80" s="6">
        <v>15</v>
      </c>
      <c r="H80" s="6">
        <f>0.170489*(1000)</f>
        <v>170.489</v>
      </c>
      <c r="I80" s="206"/>
      <c r="J80" s="206"/>
    </row>
    <row r="81" spans="1:10" s="5" customFormat="1" ht="30" hidden="1" customHeight="1" outlineLevel="1" x14ac:dyDescent="0.25">
      <c r="A81" s="4">
        <v>2724</v>
      </c>
      <c r="B81" s="6" t="s">
        <v>15</v>
      </c>
      <c r="C81" s="38" t="s">
        <v>2202</v>
      </c>
      <c r="D81" s="6">
        <v>2022</v>
      </c>
      <c r="E81" s="6" t="s">
        <v>12</v>
      </c>
      <c r="F81" s="6">
        <v>256</v>
      </c>
      <c r="G81" s="6">
        <v>12</v>
      </c>
      <c r="H81" s="6">
        <f>0.29360088*(1000)</f>
        <v>293.60088000000002</v>
      </c>
      <c r="I81" s="206"/>
      <c r="J81" s="206"/>
    </row>
    <row r="82" spans="1:10" s="5" customFormat="1" ht="30" hidden="1" customHeight="1" outlineLevel="1" x14ac:dyDescent="0.25">
      <c r="A82" s="4">
        <v>2726</v>
      </c>
      <c r="B82" s="6" t="s">
        <v>15</v>
      </c>
      <c r="C82" s="38" t="s">
        <v>2203</v>
      </c>
      <c r="D82" s="6">
        <v>2022</v>
      </c>
      <c r="E82" s="6" t="s">
        <v>12</v>
      </c>
      <c r="F82" s="6">
        <v>62</v>
      </c>
      <c r="G82" s="6">
        <v>34</v>
      </c>
      <c r="H82" s="6">
        <f>0.14105109*(1000)</f>
        <v>141.05108999999999</v>
      </c>
      <c r="I82" s="206"/>
      <c r="J82" s="206"/>
    </row>
    <row r="83" spans="1:10" s="5" customFormat="1" ht="30" hidden="1" customHeight="1" outlineLevel="1" x14ac:dyDescent="0.25">
      <c r="A83" s="4">
        <v>2760</v>
      </c>
      <c r="B83" s="6" t="s">
        <v>15</v>
      </c>
      <c r="C83" s="38" t="s">
        <v>2204</v>
      </c>
      <c r="D83" s="6">
        <v>2022</v>
      </c>
      <c r="E83" s="6" t="s">
        <v>12</v>
      </c>
      <c r="F83" s="6">
        <v>64</v>
      </c>
      <c r="G83" s="6">
        <v>15</v>
      </c>
      <c r="H83" s="6">
        <f>0.10864299*(1000)</f>
        <v>108.64299</v>
      </c>
      <c r="I83" s="206"/>
      <c r="J83" s="206"/>
    </row>
    <row r="84" spans="1:10" s="5" customFormat="1" ht="30" hidden="1" customHeight="1" outlineLevel="1" x14ac:dyDescent="0.25">
      <c r="A84" s="4">
        <v>2765</v>
      </c>
      <c r="B84" s="6" t="s">
        <v>15</v>
      </c>
      <c r="C84" s="38" t="s">
        <v>2205</v>
      </c>
      <c r="D84" s="6">
        <v>2022</v>
      </c>
      <c r="E84" s="6" t="s">
        <v>12</v>
      </c>
      <c r="F84" s="6">
        <v>50</v>
      </c>
      <c r="G84" s="6">
        <v>25</v>
      </c>
      <c r="H84" s="6">
        <f>0.0781236*(1000)</f>
        <v>78.123599999999996</v>
      </c>
      <c r="I84" s="206"/>
      <c r="J84" s="206"/>
    </row>
    <row r="85" spans="1:10" s="5" customFormat="1" ht="30" hidden="1" customHeight="1" outlineLevel="1" x14ac:dyDescent="0.25">
      <c r="A85" s="4">
        <v>2841</v>
      </c>
      <c r="B85" s="6" t="s">
        <v>15</v>
      </c>
      <c r="C85" s="38" t="s">
        <v>2209</v>
      </c>
      <c r="D85" s="6">
        <v>2022</v>
      </c>
      <c r="E85" s="6" t="s">
        <v>12</v>
      </c>
      <c r="F85" s="6">
        <v>70</v>
      </c>
      <c r="G85" s="6">
        <v>10</v>
      </c>
      <c r="H85" s="6">
        <f>0.07813181*(1000)</f>
        <v>78.131810000000002</v>
      </c>
      <c r="I85" s="206"/>
      <c r="J85" s="206"/>
    </row>
    <row r="86" spans="1:10" s="5" customFormat="1" ht="30" hidden="1" customHeight="1" outlineLevel="1" x14ac:dyDescent="0.25">
      <c r="A86" s="4">
        <v>2847</v>
      </c>
      <c r="B86" s="6" t="s">
        <v>15</v>
      </c>
      <c r="C86" s="38" t="s">
        <v>2210</v>
      </c>
      <c r="D86" s="6">
        <v>2022</v>
      </c>
      <c r="E86" s="6" t="s">
        <v>12</v>
      </c>
      <c r="F86" s="6">
        <v>145</v>
      </c>
      <c r="G86" s="6">
        <v>25</v>
      </c>
      <c r="H86" s="6">
        <f>0.14008525*(1000)</f>
        <v>140.08525</v>
      </c>
      <c r="I86" s="206"/>
      <c r="J86" s="206"/>
    </row>
    <row r="87" spans="1:10" s="5" customFormat="1" ht="30" hidden="1" customHeight="1" outlineLevel="1" x14ac:dyDescent="0.25">
      <c r="A87" s="4">
        <v>2848</v>
      </c>
      <c r="B87" s="6" t="s">
        <v>15</v>
      </c>
      <c r="C87" s="38" t="s">
        <v>2211</v>
      </c>
      <c r="D87" s="6">
        <v>2022</v>
      </c>
      <c r="E87" s="6" t="s">
        <v>12</v>
      </c>
      <c r="F87" s="6">
        <v>36</v>
      </c>
      <c r="G87" s="6">
        <v>11</v>
      </c>
      <c r="H87" s="6">
        <f>0.07077792*(1000)</f>
        <v>70.777919999999995</v>
      </c>
      <c r="I87" s="206"/>
      <c r="J87" s="206"/>
    </row>
    <row r="88" spans="1:10" s="5" customFormat="1" ht="30" hidden="1" customHeight="1" outlineLevel="1" x14ac:dyDescent="0.25">
      <c r="A88" s="4">
        <v>2860</v>
      </c>
      <c r="B88" s="6" t="s">
        <v>15</v>
      </c>
      <c r="C88" s="38" t="s">
        <v>2212</v>
      </c>
      <c r="D88" s="6">
        <v>2022</v>
      </c>
      <c r="E88" s="6" t="s">
        <v>12</v>
      </c>
      <c r="F88" s="6">
        <v>40</v>
      </c>
      <c r="G88" s="6">
        <v>6</v>
      </c>
      <c r="H88" s="6">
        <f>0.07908444*(1000)</f>
        <v>79.084440000000001</v>
      </c>
      <c r="I88" s="206"/>
      <c r="J88" s="206"/>
    </row>
    <row r="89" spans="1:10" s="5" customFormat="1" ht="30" hidden="1" customHeight="1" outlineLevel="1" x14ac:dyDescent="0.25">
      <c r="A89" s="4">
        <v>2869</v>
      </c>
      <c r="B89" s="6" t="s">
        <v>15</v>
      </c>
      <c r="C89" s="38" t="s">
        <v>2213</v>
      </c>
      <c r="D89" s="6">
        <v>2022</v>
      </c>
      <c r="E89" s="6" t="s">
        <v>12</v>
      </c>
      <c r="F89" s="6">
        <v>57</v>
      </c>
      <c r="G89" s="6">
        <v>30</v>
      </c>
      <c r="H89" s="6">
        <f>0.05700358*(1000)</f>
        <v>57.003579999999999</v>
      </c>
      <c r="I89" s="206"/>
      <c r="J89" s="206"/>
    </row>
    <row r="90" spans="1:10" s="5" customFormat="1" ht="30" hidden="1" customHeight="1" outlineLevel="1" x14ac:dyDescent="0.25">
      <c r="A90" s="4">
        <v>2870</v>
      </c>
      <c r="B90" s="6" t="s">
        <v>15</v>
      </c>
      <c r="C90" s="38" t="s">
        <v>2214</v>
      </c>
      <c r="D90" s="6">
        <v>2022</v>
      </c>
      <c r="E90" s="6" t="s">
        <v>12</v>
      </c>
      <c r="F90" s="6">
        <v>163</v>
      </c>
      <c r="G90" s="6">
        <v>10</v>
      </c>
      <c r="H90" s="6">
        <f>0.06899167*(1000)</f>
        <v>68.991669999999999</v>
      </c>
      <c r="I90" s="206"/>
      <c r="J90" s="206"/>
    </row>
    <row r="91" spans="1:10" s="5" customFormat="1" ht="30" hidden="1" customHeight="1" outlineLevel="1" x14ac:dyDescent="0.25">
      <c r="A91" s="4">
        <v>2880</v>
      </c>
      <c r="B91" s="6" t="s">
        <v>15</v>
      </c>
      <c r="C91" s="38" t="s">
        <v>2215</v>
      </c>
      <c r="D91" s="6">
        <v>2022</v>
      </c>
      <c r="E91" s="6" t="s">
        <v>12</v>
      </c>
      <c r="F91" s="6">
        <v>62</v>
      </c>
      <c r="G91" s="6">
        <v>40</v>
      </c>
      <c r="H91" s="6">
        <f>0.09690833*(1000)</f>
        <v>96.908330000000007</v>
      </c>
      <c r="I91" s="206"/>
      <c r="J91" s="206"/>
    </row>
    <row r="92" spans="1:10" s="5" customFormat="1" ht="30" hidden="1" customHeight="1" outlineLevel="1" x14ac:dyDescent="0.25">
      <c r="A92" s="4">
        <v>2882</v>
      </c>
      <c r="B92" s="6" t="s">
        <v>15</v>
      </c>
      <c r="C92" s="38" t="s">
        <v>2216</v>
      </c>
      <c r="D92" s="6">
        <v>2022</v>
      </c>
      <c r="E92" s="6" t="s">
        <v>12</v>
      </c>
      <c r="F92" s="6">
        <v>33</v>
      </c>
      <c r="G92" s="6">
        <v>30</v>
      </c>
      <c r="H92" s="6">
        <f>0.08269476*(1000)</f>
        <v>82.694760000000002</v>
      </c>
      <c r="I92" s="206"/>
      <c r="J92" s="206"/>
    </row>
    <row r="93" spans="1:10" s="5" customFormat="1" ht="30" hidden="1" customHeight="1" outlineLevel="1" x14ac:dyDescent="0.25">
      <c r="A93" s="4">
        <v>2883</v>
      </c>
      <c r="B93" s="6" t="s">
        <v>15</v>
      </c>
      <c r="C93" s="38" t="s">
        <v>2217</v>
      </c>
      <c r="D93" s="6">
        <v>2022</v>
      </c>
      <c r="E93" s="6" t="s">
        <v>12</v>
      </c>
      <c r="F93" s="6">
        <v>25</v>
      </c>
      <c r="G93" s="6">
        <v>8</v>
      </c>
      <c r="H93" s="6">
        <f>0.04740273*(1000)</f>
        <v>47.402729999999998</v>
      </c>
      <c r="I93" s="206"/>
      <c r="J93" s="206"/>
    </row>
    <row r="94" spans="1:10" s="5" customFormat="1" ht="30" hidden="1" customHeight="1" outlineLevel="1" x14ac:dyDescent="0.25">
      <c r="A94" s="4">
        <v>2884</v>
      </c>
      <c r="B94" s="6" t="s">
        <v>15</v>
      </c>
      <c r="C94" s="38" t="s">
        <v>2218</v>
      </c>
      <c r="D94" s="6">
        <v>2022</v>
      </c>
      <c r="E94" s="6" t="s">
        <v>12</v>
      </c>
      <c r="F94" s="6">
        <v>55</v>
      </c>
      <c r="G94" s="6">
        <v>24</v>
      </c>
      <c r="H94" s="6">
        <f>0.07836966*(1000)</f>
        <v>78.369659999999996</v>
      </c>
      <c r="I94" s="206"/>
      <c r="J94" s="206"/>
    </row>
    <row r="95" spans="1:10" s="5" customFormat="1" ht="30" hidden="1" customHeight="1" outlineLevel="1" x14ac:dyDescent="0.25">
      <c r="A95" s="4">
        <v>2894</v>
      </c>
      <c r="B95" s="6" t="s">
        <v>15</v>
      </c>
      <c r="C95" s="38" t="s">
        <v>2219</v>
      </c>
      <c r="D95" s="6">
        <v>2022</v>
      </c>
      <c r="E95" s="6" t="s">
        <v>12</v>
      </c>
      <c r="F95" s="6">
        <v>113</v>
      </c>
      <c r="G95" s="6">
        <v>15</v>
      </c>
      <c r="H95" s="6">
        <f>0.14001619*(1000)</f>
        <v>140.01619000000002</v>
      </c>
      <c r="I95" s="206"/>
      <c r="J95" s="206"/>
    </row>
    <row r="96" spans="1:10" s="5" customFormat="1" ht="30" hidden="1" customHeight="1" outlineLevel="1" x14ac:dyDescent="0.25">
      <c r="A96" s="4">
        <v>2895</v>
      </c>
      <c r="B96" s="6" t="s">
        <v>15</v>
      </c>
      <c r="C96" s="38" t="s">
        <v>2220</v>
      </c>
      <c r="D96" s="6">
        <v>2022</v>
      </c>
      <c r="E96" s="6" t="s">
        <v>12</v>
      </c>
      <c r="F96" s="6">
        <v>86</v>
      </c>
      <c r="G96" s="6">
        <v>15</v>
      </c>
      <c r="H96" s="6">
        <f>0.0874887*(1000)</f>
        <v>87.488700000000009</v>
      </c>
      <c r="I96" s="206"/>
      <c r="J96" s="206"/>
    </row>
    <row r="97" spans="1:10" s="5" customFormat="1" ht="30" hidden="1" customHeight="1" outlineLevel="1" x14ac:dyDescent="0.25">
      <c r="A97" s="4">
        <v>2986</v>
      </c>
      <c r="B97" s="6" t="s">
        <v>15</v>
      </c>
      <c r="C97" s="38" t="s">
        <v>2221</v>
      </c>
      <c r="D97" s="6">
        <v>2022</v>
      </c>
      <c r="E97" s="6" t="s">
        <v>12</v>
      </c>
      <c r="F97" s="6">
        <v>54</v>
      </c>
      <c r="G97" s="6">
        <v>15</v>
      </c>
      <c r="H97" s="6">
        <f>0.09627225*(1000)</f>
        <v>96.27225</v>
      </c>
      <c r="I97" s="206"/>
      <c r="J97" s="206"/>
    </row>
    <row r="98" spans="1:10" s="5" customFormat="1" ht="30" hidden="1" customHeight="1" outlineLevel="1" x14ac:dyDescent="0.25">
      <c r="A98" s="4">
        <v>2989</v>
      </c>
      <c r="B98" s="6" t="s">
        <v>15</v>
      </c>
      <c r="C98" s="38" t="s">
        <v>2222</v>
      </c>
      <c r="D98" s="6">
        <v>2022</v>
      </c>
      <c r="E98" s="6" t="s">
        <v>12</v>
      </c>
      <c r="F98" s="6">
        <v>52</v>
      </c>
      <c r="G98" s="6">
        <v>15</v>
      </c>
      <c r="H98" s="6">
        <f>0.07468244*(1000)</f>
        <v>74.68244</v>
      </c>
      <c r="I98" s="206"/>
      <c r="J98" s="206"/>
    </row>
    <row r="99" spans="1:10" s="5" customFormat="1" ht="30" hidden="1" customHeight="1" outlineLevel="1" x14ac:dyDescent="0.25">
      <c r="A99" s="4">
        <v>2994</v>
      </c>
      <c r="B99" s="6" t="s">
        <v>15</v>
      </c>
      <c r="C99" s="38" t="s">
        <v>2223</v>
      </c>
      <c r="D99" s="6">
        <v>2022</v>
      </c>
      <c r="E99" s="6" t="s">
        <v>12</v>
      </c>
      <c r="F99" s="6">
        <v>36</v>
      </c>
      <c r="G99" s="6">
        <v>15</v>
      </c>
      <c r="H99" s="6">
        <f>0.06075359*(1000)</f>
        <v>60.753590000000003</v>
      </c>
      <c r="I99" s="206"/>
      <c r="J99" s="206"/>
    </row>
    <row r="100" spans="1:10" s="5" customFormat="1" ht="30" hidden="1" customHeight="1" outlineLevel="1" x14ac:dyDescent="0.25">
      <c r="A100" s="4">
        <v>2995</v>
      </c>
      <c r="B100" s="6" t="s">
        <v>15</v>
      </c>
      <c r="C100" s="38" t="s">
        <v>2224</v>
      </c>
      <c r="D100" s="6">
        <v>2022</v>
      </c>
      <c r="E100" s="6" t="s">
        <v>12</v>
      </c>
      <c r="F100" s="6">
        <v>19</v>
      </c>
      <c r="G100" s="6">
        <v>15</v>
      </c>
      <c r="H100" s="6">
        <f>0.04752097*(1000)</f>
        <v>47.520970000000005</v>
      </c>
      <c r="I100" s="206"/>
      <c r="J100" s="206"/>
    </row>
    <row r="101" spans="1:10" s="5" customFormat="1" ht="30" hidden="1" customHeight="1" outlineLevel="1" x14ac:dyDescent="0.25">
      <c r="A101" s="4">
        <v>2997</v>
      </c>
      <c r="B101" s="6" t="s">
        <v>15</v>
      </c>
      <c r="C101" s="38" t="s">
        <v>2225</v>
      </c>
      <c r="D101" s="6">
        <v>2022</v>
      </c>
      <c r="E101" s="6" t="s">
        <v>12</v>
      </c>
      <c r="F101" s="6">
        <v>80</v>
      </c>
      <c r="G101" s="6">
        <v>10</v>
      </c>
      <c r="H101" s="6">
        <f>0.09551211*(1000)</f>
        <v>95.512109999999993</v>
      </c>
      <c r="I101" s="206"/>
      <c r="J101" s="206"/>
    </row>
    <row r="102" spans="1:10" s="5" customFormat="1" ht="30" hidden="1" customHeight="1" outlineLevel="1" x14ac:dyDescent="0.25">
      <c r="A102" s="4">
        <v>2998</v>
      </c>
      <c r="B102" s="6" t="s">
        <v>15</v>
      </c>
      <c r="C102" s="38" t="s">
        <v>2226</v>
      </c>
      <c r="D102" s="6">
        <v>2022</v>
      </c>
      <c r="E102" s="6" t="s">
        <v>12</v>
      </c>
      <c r="F102" s="6">
        <v>148</v>
      </c>
      <c r="G102" s="6">
        <v>15</v>
      </c>
      <c r="H102" s="6">
        <f>0.13341841*(1000)</f>
        <v>133.41840999999999</v>
      </c>
      <c r="I102" s="206"/>
      <c r="J102" s="206"/>
    </row>
    <row r="103" spans="1:10" s="5" customFormat="1" ht="30" hidden="1" customHeight="1" outlineLevel="1" x14ac:dyDescent="0.25">
      <c r="A103" s="4">
        <v>2999</v>
      </c>
      <c r="B103" s="6" t="s">
        <v>15</v>
      </c>
      <c r="C103" s="38" t="s">
        <v>2227</v>
      </c>
      <c r="D103" s="6">
        <v>2022</v>
      </c>
      <c r="E103" s="6" t="s">
        <v>12</v>
      </c>
      <c r="F103" s="6">
        <v>43</v>
      </c>
      <c r="G103" s="6">
        <v>10</v>
      </c>
      <c r="H103" s="6">
        <f>0.05039641*(1000)</f>
        <v>50.396410000000003</v>
      </c>
      <c r="I103" s="206"/>
      <c r="J103" s="206"/>
    </row>
    <row r="104" spans="1:10" s="5" customFormat="1" ht="30" hidden="1" customHeight="1" outlineLevel="1" x14ac:dyDescent="0.25">
      <c r="A104" s="4">
        <v>3007</v>
      </c>
      <c r="B104" s="6" t="s">
        <v>15</v>
      </c>
      <c r="C104" s="38" t="s">
        <v>2228</v>
      </c>
      <c r="D104" s="6">
        <v>2022</v>
      </c>
      <c r="E104" s="6" t="s">
        <v>12</v>
      </c>
      <c r="F104" s="6">
        <v>57</v>
      </c>
      <c r="G104" s="6">
        <v>15</v>
      </c>
      <c r="H104" s="6">
        <f>0.06233135*(1000)</f>
        <v>62.33135</v>
      </c>
      <c r="I104" s="206"/>
      <c r="J104" s="206"/>
    </row>
    <row r="105" spans="1:10" s="5" customFormat="1" ht="30" hidden="1" customHeight="1" outlineLevel="1" x14ac:dyDescent="0.25">
      <c r="A105" s="4">
        <v>3008</v>
      </c>
      <c r="B105" s="6" t="s">
        <v>15</v>
      </c>
      <c r="C105" s="38" t="s">
        <v>2229</v>
      </c>
      <c r="D105" s="6">
        <v>2022</v>
      </c>
      <c r="E105" s="6" t="s">
        <v>12</v>
      </c>
      <c r="F105" s="6">
        <v>51</v>
      </c>
      <c r="G105" s="6">
        <v>15</v>
      </c>
      <c r="H105" s="6">
        <f>0.07356509*(1000)</f>
        <v>73.565089999999998</v>
      </c>
      <c r="I105" s="206"/>
      <c r="J105" s="206"/>
    </row>
    <row r="106" spans="1:10" s="5" customFormat="1" ht="30" hidden="1" customHeight="1" outlineLevel="1" x14ac:dyDescent="0.25">
      <c r="A106" s="4">
        <v>3012</v>
      </c>
      <c r="B106" s="6" t="s">
        <v>15</v>
      </c>
      <c r="C106" s="38" t="s">
        <v>2230</v>
      </c>
      <c r="D106" s="6">
        <v>2022</v>
      </c>
      <c r="E106" s="6" t="s">
        <v>12</v>
      </c>
      <c r="F106" s="6">
        <v>40</v>
      </c>
      <c r="G106" s="6">
        <v>55</v>
      </c>
      <c r="H106" s="6">
        <f>0.05838645*(1000)</f>
        <v>58.386449999999996</v>
      </c>
      <c r="I106" s="206"/>
      <c r="J106" s="206"/>
    </row>
    <row r="107" spans="1:10" s="5" customFormat="1" ht="30" hidden="1" customHeight="1" outlineLevel="1" x14ac:dyDescent="0.25">
      <c r="A107" s="4">
        <v>3013</v>
      </c>
      <c r="B107" s="6" t="s">
        <v>15</v>
      </c>
      <c r="C107" s="38" t="s">
        <v>2231</v>
      </c>
      <c r="D107" s="6">
        <v>2022</v>
      </c>
      <c r="E107" s="6" t="s">
        <v>12</v>
      </c>
      <c r="F107" s="6">
        <v>111</v>
      </c>
      <c r="G107" s="6">
        <v>8</v>
      </c>
      <c r="H107" s="6">
        <f>0.09577523*(1000)</f>
        <v>95.775230000000008</v>
      </c>
      <c r="I107" s="206"/>
      <c r="J107" s="206"/>
    </row>
    <row r="108" spans="1:10" s="5" customFormat="1" ht="30" hidden="1" customHeight="1" outlineLevel="1" x14ac:dyDescent="0.25">
      <c r="A108" s="4">
        <v>3014</v>
      </c>
      <c r="B108" s="6" t="s">
        <v>15</v>
      </c>
      <c r="C108" s="38" t="s">
        <v>2232</v>
      </c>
      <c r="D108" s="6">
        <v>2022</v>
      </c>
      <c r="E108" s="6" t="s">
        <v>12</v>
      </c>
      <c r="F108" s="6">
        <v>59</v>
      </c>
      <c r="G108" s="6">
        <v>15</v>
      </c>
      <c r="H108" s="6">
        <f>0.05291875*(1000)</f>
        <v>52.918750000000003</v>
      </c>
      <c r="I108" s="206"/>
      <c r="J108" s="206"/>
    </row>
    <row r="109" spans="1:10" s="5" customFormat="1" ht="30" hidden="1" customHeight="1" outlineLevel="1" x14ac:dyDescent="0.25">
      <c r="A109" s="4">
        <v>4115</v>
      </c>
      <c r="B109" s="6" t="s">
        <v>15</v>
      </c>
      <c r="C109" s="38" t="s">
        <v>2233</v>
      </c>
      <c r="D109" s="6">
        <v>2022</v>
      </c>
      <c r="E109" s="6" t="s">
        <v>12</v>
      </c>
      <c r="F109" s="6">
        <v>102</v>
      </c>
      <c r="G109" s="6">
        <v>15</v>
      </c>
      <c r="H109" s="6">
        <f>0.12105616*(1000)</f>
        <v>121.05615999999999</v>
      </c>
      <c r="I109" s="206"/>
      <c r="J109" s="206"/>
    </row>
    <row r="110" spans="1:10" s="5" customFormat="1" ht="30" hidden="1" customHeight="1" outlineLevel="1" x14ac:dyDescent="0.25">
      <c r="A110" s="4">
        <v>4222</v>
      </c>
      <c r="B110" s="6" t="s">
        <v>15</v>
      </c>
      <c r="C110" s="38" t="s">
        <v>2235</v>
      </c>
      <c r="D110" s="6">
        <v>2022</v>
      </c>
      <c r="E110" s="6" t="s">
        <v>12</v>
      </c>
      <c r="F110" s="6">
        <v>36</v>
      </c>
      <c r="G110" s="6">
        <v>15</v>
      </c>
      <c r="H110" s="6">
        <f>0.05007441*(1000)</f>
        <v>50.07441</v>
      </c>
      <c r="I110" s="206"/>
      <c r="J110" s="206"/>
    </row>
    <row r="111" spans="1:10" s="5" customFormat="1" ht="30" hidden="1" customHeight="1" outlineLevel="1" x14ac:dyDescent="0.25">
      <c r="A111" s="4">
        <v>4223</v>
      </c>
      <c r="B111" s="6" t="s">
        <v>15</v>
      </c>
      <c r="C111" s="38" t="s">
        <v>2236</v>
      </c>
      <c r="D111" s="6">
        <v>2022</v>
      </c>
      <c r="E111" s="6" t="s">
        <v>12</v>
      </c>
      <c r="F111" s="6">
        <v>19</v>
      </c>
      <c r="G111" s="6">
        <v>90</v>
      </c>
      <c r="H111" s="6">
        <f>0.13040747*(1000)</f>
        <v>130.40746999999999</v>
      </c>
      <c r="I111" s="206"/>
      <c r="J111" s="206"/>
    </row>
    <row r="112" spans="1:10" s="5" customFormat="1" ht="30" hidden="1" customHeight="1" outlineLevel="1" x14ac:dyDescent="0.25">
      <c r="A112" s="4">
        <v>4225</v>
      </c>
      <c r="B112" s="6" t="s">
        <v>15</v>
      </c>
      <c r="C112" s="38" t="s">
        <v>2237</v>
      </c>
      <c r="D112" s="6">
        <v>2022</v>
      </c>
      <c r="E112" s="6" t="s">
        <v>12</v>
      </c>
      <c r="F112" s="6">
        <v>209</v>
      </c>
      <c r="G112" s="6">
        <v>50</v>
      </c>
      <c r="H112" s="6">
        <f>0.4362876*(1000)</f>
        <v>436.2876</v>
      </c>
      <c r="I112" s="206"/>
      <c r="J112" s="206"/>
    </row>
    <row r="113" spans="1:10" s="5" customFormat="1" ht="30" hidden="1" customHeight="1" outlineLevel="1" x14ac:dyDescent="0.25">
      <c r="A113" s="4">
        <v>4226</v>
      </c>
      <c r="B113" s="6" t="s">
        <v>15</v>
      </c>
      <c r="C113" s="38" t="s">
        <v>2238</v>
      </c>
      <c r="D113" s="6">
        <v>2022</v>
      </c>
      <c r="E113" s="6" t="s">
        <v>12</v>
      </c>
      <c r="F113" s="6">
        <v>123</v>
      </c>
      <c r="G113" s="6">
        <v>12</v>
      </c>
      <c r="H113" s="6">
        <f>0.21825248*(1000)</f>
        <v>218.25247999999999</v>
      </c>
      <c r="I113" s="206"/>
      <c r="J113" s="206"/>
    </row>
    <row r="114" spans="1:10" s="5" customFormat="1" ht="30" hidden="1" customHeight="1" outlineLevel="1" x14ac:dyDescent="0.25">
      <c r="A114" s="4">
        <v>4227</v>
      </c>
      <c r="B114" s="6" t="s">
        <v>15</v>
      </c>
      <c r="C114" s="38" t="s">
        <v>2239</v>
      </c>
      <c r="D114" s="6">
        <v>2022</v>
      </c>
      <c r="E114" s="6" t="s">
        <v>12</v>
      </c>
      <c r="F114" s="6">
        <v>210</v>
      </c>
      <c r="G114" s="6">
        <v>4.5</v>
      </c>
      <c r="H114" s="6">
        <f>0.29992875*(1000)</f>
        <v>299.92875000000004</v>
      </c>
      <c r="I114" s="206"/>
      <c r="J114" s="206"/>
    </row>
    <row r="115" spans="1:10" s="5" customFormat="1" ht="30" hidden="1" customHeight="1" outlineLevel="1" x14ac:dyDescent="0.25">
      <c r="A115" s="4">
        <v>4229</v>
      </c>
      <c r="B115" s="6" t="s">
        <v>15</v>
      </c>
      <c r="C115" s="38" t="s">
        <v>2240</v>
      </c>
      <c r="D115" s="6">
        <v>2022</v>
      </c>
      <c r="E115" s="6" t="s">
        <v>12</v>
      </c>
      <c r="F115" s="6">
        <v>203</v>
      </c>
      <c r="G115" s="6">
        <v>25</v>
      </c>
      <c r="H115" s="6">
        <f>0.57383546*(1000)</f>
        <v>573.83546000000001</v>
      </c>
      <c r="I115" s="206"/>
      <c r="J115" s="206"/>
    </row>
    <row r="116" spans="1:10" s="5" customFormat="1" ht="30" hidden="1" customHeight="1" outlineLevel="1" x14ac:dyDescent="0.25">
      <c r="A116" s="4">
        <v>2810</v>
      </c>
      <c r="B116" s="6" t="s">
        <v>15</v>
      </c>
      <c r="C116" s="38" t="s">
        <v>2241</v>
      </c>
      <c r="D116" s="6">
        <v>2022</v>
      </c>
      <c r="E116" s="6" t="s">
        <v>12</v>
      </c>
      <c r="F116" s="6">
        <v>170</v>
      </c>
      <c r="G116" s="6">
        <v>10</v>
      </c>
      <c r="H116" s="6">
        <f>0.200853*(1000)</f>
        <v>200.85300000000001</v>
      </c>
      <c r="I116" s="206"/>
      <c r="J116" s="206"/>
    </row>
    <row r="117" spans="1:10" s="5" customFormat="1" ht="30" hidden="1" customHeight="1" outlineLevel="1" x14ac:dyDescent="0.25">
      <c r="A117" s="4">
        <v>2844</v>
      </c>
      <c r="B117" s="6" t="s">
        <v>15</v>
      </c>
      <c r="C117" s="38" t="s">
        <v>2242</v>
      </c>
      <c r="D117" s="6">
        <v>2022</v>
      </c>
      <c r="E117" s="6" t="s">
        <v>12</v>
      </c>
      <c r="F117" s="6">
        <v>140</v>
      </c>
      <c r="G117" s="6">
        <v>80</v>
      </c>
      <c r="H117" s="6">
        <f>0.164055*(1000)</f>
        <v>164.05500000000001</v>
      </c>
      <c r="I117" s="206"/>
      <c r="J117" s="206"/>
    </row>
    <row r="118" spans="1:10" s="5" customFormat="1" ht="30" hidden="1" customHeight="1" outlineLevel="1" x14ac:dyDescent="0.25">
      <c r="A118" s="4">
        <v>2887</v>
      </c>
      <c r="B118" s="6" t="s">
        <v>15</v>
      </c>
      <c r="C118" s="38" t="s">
        <v>2243</v>
      </c>
      <c r="D118" s="6">
        <v>2022</v>
      </c>
      <c r="E118" s="6" t="s">
        <v>12</v>
      </c>
      <c r="F118" s="6">
        <v>101</v>
      </c>
      <c r="G118" s="6">
        <v>100</v>
      </c>
      <c r="H118" s="6">
        <f>0.123499*(1000)</f>
        <v>123.499</v>
      </c>
      <c r="I118" s="206"/>
      <c r="J118" s="206"/>
    </row>
    <row r="119" spans="1:10" s="5" customFormat="1" ht="30" hidden="1" customHeight="1" outlineLevel="1" x14ac:dyDescent="0.25">
      <c r="A119" s="4">
        <v>2868</v>
      </c>
      <c r="B119" s="6" t="s">
        <v>15</v>
      </c>
      <c r="C119" s="38" t="s">
        <v>2244</v>
      </c>
      <c r="D119" s="6">
        <v>2022</v>
      </c>
      <c r="E119" s="6" t="s">
        <v>12</v>
      </c>
      <c r="F119" s="6">
        <v>11</v>
      </c>
      <c r="G119" s="6">
        <v>150</v>
      </c>
      <c r="H119" s="6">
        <f>0.050853*(1000)</f>
        <v>50.853000000000002</v>
      </c>
      <c r="I119" s="206"/>
      <c r="J119" s="206"/>
    </row>
    <row r="120" spans="1:10" s="5" customFormat="1" ht="30" hidden="1" customHeight="1" outlineLevel="1" x14ac:dyDescent="0.25">
      <c r="A120" s="4">
        <v>3015</v>
      </c>
      <c r="B120" s="6" t="s">
        <v>15</v>
      </c>
      <c r="C120" s="38" t="s">
        <v>2245</v>
      </c>
      <c r="D120" s="6">
        <v>2022</v>
      </c>
      <c r="E120" s="6" t="s">
        <v>12</v>
      </c>
      <c r="F120" s="6">
        <v>533</v>
      </c>
      <c r="G120" s="6">
        <v>24</v>
      </c>
      <c r="H120" s="6">
        <f>0.796748*(1000)</f>
        <v>796.74800000000005</v>
      </c>
      <c r="I120" s="206"/>
      <c r="J120" s="206"/>
    </row>
    <row r="121" spans="1:10" s="5" customFormat="1" ht="30" hidden="1" customHeight="1" outlineLevel="1" x14ac:dyDescent="0.25">
      <c r="A121" s="4">
        <v>3016</v>
      </c>
      <c r="B121" s="6" t="s">
        <v>15</v>
      </c>
      <c r="C121" s="38" t="s">
        <v>2246</v>
      </c>
      <c r="D121" s="6">
        <v>2022</v>
      </c>
      <c r="E121" s="6" t="s">
        <v>12</v>
      </c>
      <c r="F121" s="6">
        <v>388</v>
      </c>
      <c r="G121" s="6">
        <v>24</v>
      </c>
      <c r="H121" s="6">
        <f>0.612183*(1000)</f>
        <v>612.18299999999999</v>
      </c>
      <c r="I121" s="206"/>
      <c r="J121" s="206"/>
    </row>
    <row r="122" spans="1:10" s="5" customFormat="1" ht="30" hidden="1" customHeight="1" outlineLevel="1" x14ac:dyDescent="0.25">
      <c r="A122" s="4">
        <v>4127</v>
      </c>
      <c r="B122" s="6" t="s">
        <v>15</v>
      </c>
      <c r="C122" s="38" t="s">
        <v>2247</v>
      </c>
      <c r="D122" s="6">
        <v>2022</v>
      </c>
      <c r="E122" s="6" t="s">
        <v>12</v>
      </c>
      <c r="F122" s="6">
        <v>24</v>
      </c>
      <c r="G122" s="6">
        <v>15</v>
      </c>
      <c r="H122" s="6">
        <v>196.947</v>
      </c>
      <c r="I122" s="206"/>
      <c r="J122" s="206"/>
    </row>
    <row r="123" spans="1:10" s="5" customFormat="1" ht="30" hidden="1" customHeight="1" outlineLevel="1" x14ac:dyDescent="0.25">
      <c r="A123" s="4">
        <v>1488</v>
      </c>
      <c r="B123" s="6" t="s">
        <v>15</v>
      </c>
      <c r="C123" s="91" t="s">
        <v>2248</v>
      </c>
      <c r="D123" s="79">
        <v>2022</v>
      </c>
      <c r="E123" s="79" t="s">
        <v>12</v>
      </c>
      <c r="F123" s="92">
        <v>6</v>
      </c>
      <c r="G123" s="79">
        <v>50</v>
      </c>
      <c r="H123" s="79">
        <v>58.307679999999998</v>
      </c>
      <c r="I123" s="207"/>
      <c r="J123" s="207"/>
    </row>
    <row r="124" spans="1:10" s="5" customFormat="1" ht="30" hidden="1" customHeight="1" outlineLevel="1" x14ac:dyDescent="0.25">
      <c r="A124" s="4">
        <v>1291</v>
      </c>
      <c r="B124" s="6" t="s">
        <v>15</v>
      </c>
      <c r="C124" s="91" t="s">
        <v>2249</v>
      </c>
      <c r="D124" s="79">
        <v>2022</v>
      </c>
      <c r="E124" s="79" t="s">
        <v>12</v>
      </c>
      <c r="F124" s="92">
        <v>27</v>
      </c>
      <c r="G124" s="79">
        <v>15</v>
      </c>
      <c r="H124" s="79">
        <v>98.850759999999994</v>
      </c>
      <c r="I124" s="207"/>
      <c r="J124" s="207"/>
    </row>
    <row r="125" spans="1:10" s="5" customFormat="1" ht="30" hidden="1" customHeight="1" outlineLevel="1" x14ac:dyDescent="0.25">
      <c r="A125" s="4">
        <v>1079</v>
      </c>
      <c r="B125" s="6" t="s">
        <v>15</v>
      </c>
      <c r="C125" s="91" t="s">
        <v>2250</v>
      </c>
      <c r="D125" s="79">
        <v>2022</v>
      </c>
      <c r="E125" s="79" t="s">
        <v>12</v>
      </c>
      <c r="F125" s="92">
        <v>270</v>
      </c>
      <c r="G125" s="79">
        <v>35</v>
      </c>
      <c r="H125" s="79">
        <v>349.04273000000001</v>
      </c>
      <c r="I125" s="207"/>
      <c r="J125" s="207"/>
    </row>
    <row r="126" spans="1:10" s="5" customFormat="1" ht="30" hidden="1" customHeight="1" outlineLevel="1" x14ac:dyDescent="0.25">
      <c r="A126" s="4">
        <v>1094</v>
      </c>
      <c r="B126" s="6" t="s">
        <v>15</v>
      </c>
      <c r="C126" s="91" t="s">
        <v>2251</v>
      </c>
      <c r="D126" s="79">
        <v>2022</v>
      </c>
      <c r="E126" s="79" t="s">
        <v>12</v>
      </c>
      <c r="F126" s="92">
        <v>54</v>
      </c>
      <c r="G126" s="79">
        <v>10</v>
      </c>
      <c r="H126" s="79">
        <v>129.69319999999999</v>
      </c>
      <c r="I126" s="207"/>
      <c r="J126" s="207"/>
    </row>
    <row r="127" spans="1:10" s="5" customFormat="1" ht="30" hidden="1" customHeight="1" outlineLevel="1" x14ac:dyDescent="0.25">
      <c r="A127" s="4">
        <v>1138</v>
      </c>
      <c r="B127" s="6" t="s">
        <v>15</v>
      </c>
      <c r="C127" s="91" t="s">
        <v>2252</v>
      </c>
      <c r="D127" s="79">
        <v>2022</v>
      </c>
      <c r="E127" s="79" t="s">
        <v>12</v>
      </c>
      <c r="F127" s="92">
        <v>61</v>
      </c>
      <c r="G127" s="79">
        <v>10</v>
      </c>
      <c r="H127" s="79">
        <v>178.76346000000001</v>
      </c>
      <c r="I127" s="207"/>
      <c r="J127" s="207"/>
    </row>
    <row r="128" spans="1:10" s="5" customFormat="1" ht="30" hidden="1" customHeight="1" outlineLevel="1" x14ac:dyDescent="0.25">
      <c r="A128" s="4">
        <v>1547</v>
      </c>
      <c r="B128" s="6" t="s">
        <v>15</v>
      </c>
      <c r="C128" s="91" t="s">
        <v>2253</v>
      </c>
      <c r="D128" s="79">
        <v>2022</v>
      </c>
      <c r="E128" s="79" t="s">
        <v>12</v>
      </c>
      <c r="F128" s="92">
        <v>495</v>
      </c>
      <c r="G128" s="79">
        <v>52</v>
      </c>
      <c r="H128" s="79">
        <v>564.81379000000004</v>
      </c>
      <c r="I128" s="207"/>
      <c r="J128" s="207"/>
    </row>
    <row r="129" spans="1:10" s="5" customFormat="1" ht="30" hidden="1" customHeight="1" outlineLevel="1" x14ac:dyDescent="0.25">
      <c r="A129" s="4">
        <v>1135</v>
      </c>
      <c r="B129" s="6" t="s">
        <v>15</v>
      </c>
      <c r="C129" s="91" t="s">
        <v>2254</v>
      </c>
      <c r="D129" s="79">
        <v>2022</v>
      </c>
      <c r="E129" s="79" t="s">
        <v>12</v>
      </c>
      <c r="F129" s="92">
        <v>70</v>
      </c>
      <c r="G129" s="79">
        <v>0.5</v>
      </c>
      <c r="H129" s="79">
        <v>122.67453</v>
      </c>
      <c r="I129" s="207"/>
      <c r="J129" s="207"/>
    </row>
    <row r="130" spans="1:10" s="5" customFormat="1" ht="30" hidden="1" customHeight="1" outlineLevel="1" x14ac:dyDescent="0.25">
      <c r="A130" s="4">
        <v>1105</v>
      </c>
      <c r="B130" s="6" t="s">
        <v>15</v>
      </c>
      <c r="C130" s="91" t="s">
        <v>2255</v>
      </c>
      <c r="D130" s="79">
        <v>2022</v>
      </c>
      <c r="E130" s="79" t="s">
        <v>12</v>
      </c>
      <c r="F130" s="92">
        <v>132</v>
      </c>
      <c r="G130" s="79">
        <v>8</v>
      </c>
      <c r="H130" s="79">
        <v>207.82971000000001</v>
      </c>
      <c r="I130" s="207"/>
      <c r="J130" s="207"/>
    </row>
    <row r="131" spans="1:10" s="5" customFormat="1" ht="30" hidden="1" customHeight="1" outlineLevel="1" x14ac:dyDescent="0.25">
      <c r="A131" s="4">
        <v>1066</v>
      </c>
      <c r="B131" s="6" t="s">
        <v>15</v>
      </c>
      <c r="C131" s="91" t="s">
        <v>2256</v>
      </c>
      <c r="D131" s="79">
        <v>2022</v>
      </c>
      <c r="E131" s="79" t="s">
        <v>12</v>
      </c>
      <c r="F131" s="92">
        <v>368</v>
      </c>
      <c r="G131" s="79">
        <v>13</v>
      </c>
      <c r="H131" s="79">
        <v>483.03219000000001</v>
      </c>
      <c r="I131" s="207"/>
      <c r="J131" s="207"/>
    </row>
    <row r="132" spans="1:10" s="5" customFormat="1" ht="30" hidden="1" customHeight="1" outlineLevel="1" x14ac:dyDescent="0.25">
      <c r="A132" s="4">
        <v>1358</v>
      </c>
      <c r="B132" s="6" t="s">
        <v>15</v>
      </c>
      <c r="C132" s="93" t="s">
        <v>2257</v>
      </c>
      <c r="D132" s="79">
        <v>2022</v>
      </c>
      <c r="E132" s="79" t="s">
        <v>12</v>
      </c>
      <c r="F132" s="92">
        <v>21</v>
      </c>
      <c r="G132" s="79">
        <v>15</v>
      </c>
      <c r="H132" s="94">
        <v>82.743279999999999</v>
      </c>
      <c r="I132" s="208"/>
      <c r="J132" s="208"/>
    </row>
    <row r="133" spans="1:10" s="5" customFormat="1" ht="30" hidden="1" customHeight="1" outlineLevel="1" x14ac:dyDescent="0.25">
      <c r="A133" s="4">
        <v>1221</v>
      </c>
      <c r="B133" s="6" t="s">
        <v>15</v>
      </c>
      <c r="C133" s="22" t="s">
        <v>2258</v>
      </c>
      <c r="D133" s="79">
        <v>2022</v>
      </c>
      <c r="E133" s="79" t="s">
        <v>12</v>
      </c>
      <c r="F133" s="92">
        <v>15</v>
      </c>
      <c r="G133" s="79">
        <v>15</v>
      </c>
      <c r="H133" s="94">
        <v>72.833489999999998</v>
      </c>
      <c r="I133" s="208"/>
      <c r="J133" s="208"/>
    </row>
    <row r="134" spans="1:10" s="5" customFormat="1" ht="30" hidden="1" customHeight="1" outlineLevel="1" x14ac:dyDescent="0.25">
      <c r="A134" s="4">
        <v>1195</v>
      </c>
      <c r="B134" s="6" t="s">
        <v>15</v>
      </c>
      <c r="C134" s="22" t="s">
        <v>2259</v>
      </c>
      <c r="D134" s="79">
        <v>2022</v>
      </c>
      <c r="E134" s="79" t="s">
        <v>12</v>
      </c>
      <c r="F134" s="92">
        <v>72</v>
      </c>
      <c r="G134" s="79">
        <v>15</v>
      </c>
      <c r="H134" s="94">
        <v>184.59378000000001</v>
      </c>
      <c r="I134" s="208"/>
      <c r="J134" s="208"/>
    </row>
    <row r="135" spans="1:10" s="5" customFormat="1" ht="30" hidden="1" customHeight="1" outlineLevel="1" x14ac:dyDescent="0.25">
      <c r="A135" s="4">
        <v>1316</v>
      </c>
      <c r="B135" s="6" t="s">
        <v>15</v>
      </c>
      <c r="C135" s="22" t="s">
        <v>2260</v>
      </c>
      <c r="D135" s="79">
        <v>2022</v>
      </c>
      <c r="E135" s="79" t="s">
        <v>12</v>
      </c>
      <c r="F135" s="92">
        <v>513</v>
      </c>
      <c r="G135" s="79">
        <v>50</v>
      </c>
      <c r="H135" s="94">
        <v>680.32929999999999</v>
      </c>
      <c r="I135" s="208"/>
      <c r="J135" s="208"/>
    </row>
    <row r="136" spans="1:10" s="5" customFormat="1" ht="30" hidden="1" customHeight="1" outlineLevel="1" x14ac:dyDescent="0.25">
      <c r="A136" s="4">
        <v>1465</v>
      </c>
      <c r="B136" s="6" t="s">
        <v>15</v>
      </c>
      <c r="C136" s="95" t="s">
        <v>2261</v>
      </c>
      <c r="D136" s="79">
        <v>2022</v>
      </c>
      <c r="E136" s="79" t="s">
        <v>12</v>
      </c>
      <c r="F136" s="92">
        <v>5</v>
      </c>
      <c r="G136" s="79">
        <v>15</v>
      </c>
      <c r="H136" s="94">
        <v>65.031700000000001</v>
      </c>
      <c r="I136" s="208"/>
      <c r="J136" s="208"/>
    </row>
    <row r="137" spans="1:10" s="5" customFormat="1" ht="30" hidden="1" customHeight="1" outlineLevel="1" x14ac:dyDescent="0.25">
      <c r="A137" s="4">
        <v>1466</v>
      </c>
      <c r="B137" s="6" t="s">
        <v>15</v>
      </c>
      <c r="C137" s="95" t="s">
        <v>2262</v>
      </c>
      <c r="D137" s="79">
        <v>2022</v>
      </c>
      <c r="E137" s="79" t="s">
        <v>12</v>
      </c>
      <c r="F137" s="92">
        <v>471</v>
      </c>
      <c r="G137" s="79">
        <v>15</v>
      </c>
      <c r="H137" s="94">
        <v>944.27883999999995</v>
      </c>
      <c r="I137" s="208"/>
      <c r="J137" s="208"/>
    </row>
    <row r="138" spans="1:10" s="5" customFormat="1" ht="30" hidden="1" customHeight="1" outlineLevel="1" x14ac:dyDescent="0.25">
      <c r="A138" s="4">
        <v>1467</v>
      </c>
      <c r="B138" s="6" t="s">
        <v>15</v>
      </c>
      <c r="C138" s="91" t="s">
        <v>2263</v>
      </c>
      <c r="D138" s="79">
        <v>2022</v>
      </c>
      <c r="E138" s="79" t="s">
        <v>12</v>
      </c>
      <c r="F138" s="92">
        <v>6</v>
      </c>
      <c r="G138" s="79">
        <v>15</v>
      </c>
      <c r="H138" s="96">
        <v>49.929139999999997</v>
      </c>
      <c r="I138" s="209"/>
      <c r="J138" s="209"/>
    </row>
    <row r="139" spans="1:10" s="5" customFormat="1" ht="30" hidden="1" customHeight="1" outlineLevel="1" x14ac:dyDescent="0.25">
      <c r="A139" s="4">
        <v>1230</v>
      </c>
      <c r="B139" s="6" t="s">
        <v>15</v>
      </c>
      <c r="C139" s="91" t="s">
        <v>2264</v>
      </c>
      <c r="D139" s="79">
        <v>2022</v>
      </c>
      <c r="E139" s="79" t="s">
        <v>12</v>
      </c>
      <c r="F139" s="92">
        <v>6</v>
      </c>
      <c r="G139" s="79">
        <v>1</v>
      </c>
      <c r="H139" s="96">
        <v>26.53492</v>
      </c>
      <c r="I139" s="209"/>
      <c r="J139" s="209"/>
    </row>
    <row r="140" spans="1:10" s="5" customFormat="1" ht="30" hidden="1" customHeight="1" outlineLevel="1" x14ac:dyDescent="0.25">
      <c r="A140" s="4">
        <v>1431</v>
      </c>
      <c r="B140" s="6" t="s">
        <v>15</v>
      </c>
      <c r="C140" s="97" t="s">
        <v>2265</v>
      </c>
      <c r="D140" s="79">
        <v>2022</v>
      </c>
      <c r="E140" s="79" t="s">
        <v>12</v>
      </c>
      <c r="F140" s="92">
        <v>301</v>
      </c>
      <c r="G140" s="79">
        <v>10</v>
      </c>
      <c r="H140" s="96">
        <v>457.78095000000002</v>
      </c>
      <c r="I140" s="209"/>
      <c r="J140" s="209"/>
    </row>
    <row r="141" spans="1:10" s="5" customFormat="1" ht="30" hidden="1" customHeight="1" outlineLevel="1" x14ac:dyDescent="0.25">
      <c r="A141" s="4">
        <v>1432</v>
      </c>
      <c r="B141" s="6" t="s">
        <v>15</v>
      </c>
      <c r="C141" s="97" t="s">
        <v>2266</v>
      </c>
      <c r="D141" s="79">
        <v>2022</v>
      </c>
      <c r="E141" s="79" t="s">
        <v>12</v>
      </c>
      <c r="F141" s="92">
        <v>369</v>
      </c>
      <c r="G141" s="79">
        <v>10</v>
      </c>
      <c r="H141" s="96">
        <v>516.13333999999998</v>
      </c>
      <c r="I141" s="209"/>
      <c r="J141" s="209"/>
    </row>
    <row r="142" spans="1:10" s="5" customFormat="1" ht="30" hidden="1" customHeight="1" outlineLevel="1" x14ac:dyDescent="0.25">
      <c r="A142" s="4">
        <v>1546</v>
      </c>
      <c r="B142" s="6" t="s">
        <v>15</v>
      </c>
      <c r="C142" s="97" t="s">
        <v>2267</v>
      </c>
      <c r="D142" s="79">
        <v>2022</v>
      </c>
      <c r="E142" s="79" t="s">
        <v>12</v>
      </c>
      <c r="F142" s="92">
        <v>730</v>
      </c>
      <c r="G142" s="79">
        <v>10</v>
      </c>
      <c r="H142" s="96">
        <v>1210.0360900000001</v>
      </c>
      <c r="I142" s="209"/>
      <c r="J142" s="209"/>
    </row>
    <row r="143" spans="1:10" s="5" customFormat="1" ht="30" hidden="1" customHeight="1" outlineLevel="1" x14ac:dyDescent="0.25">
      <c r="A143" s="4">
        <v>1592</v>
      </c>
      <c r="B143" s="6" t="s">
        <v>15</v>
      </c>
      <c r="C143" s="98" t="s">
        <v>2268</v>
      </c>
      <c r="D143" s="79">
        <v>2022</v>
      </c>
      <c r="E143" s="79" t="s">
        <v>12</v>
      </c>
      <c r="F143" s="92">
        <v>10</v>
      </c>
      <c r="G143" s="79">
        <v>30</v>
      </c>
      <c r="H143" s="96">
        <v>55.217120000000001</v>
      </c>
      <c r="I143" s="209"/>
      <c r="J143" s="209"/>
    </row>
    <row r="144" spans="1:10" s="5" customFormat="1" ht="30" hidden="1" customHeight="1" outlineLevel="1" x14ac:dyDescent="0.25">
      <c r="A144" s="4">
        <v>1374</v>
      </c>
      <c r="B144" s="6" t="s">
        <v>15</v>
      </c>
      <c r="C144" s="98" t="s">
        <v>2269</v>
      </c>
      <c r="D144" s="79">
        <v>2022</v>
      </c>
      <c r="E144" s="79" t="s">
        <v>12</v>
      </c>
      <c r="F144" s="92">
        <v>490</v>
      </c>
      <c r="G144" s="79">
        <v>15</v>
      </c>
      <c r="H144" s="96">
        <v>531.60736999999995</v>
      </c>
      <c r="I144" s="209"/>
      <c r="J144" s="209"/>
    </row>
    <row r="145" spans="1:10" s="5" customFormat="1" ht="30" hidden="1" customHeight="1" outlineLevel="1" x14ac:dyDescent="0.25">
      <c r="A145" s="4">
        <v>1196</v>
      </c>
      <c r="B145" s="6" t="s">
        <v>15</v>
      </c>
      <c r="C145" s="98" t="s">
        <v>2270</v>
      </c>
      <c r="D145" s="79">
        <v>2022</v>
      </c>
      <c r="E145" s="79" t="s">
        <v>12</v>
      </c>
      <c r="F145" s="92">
        <v>6</v>
      </c>
      <c r="G145" s="79">
        <v>15</v>
      </c>
      <c r="H145" s="96">
        <v>67.540199999999999</v>
      </c>
      <c r="I145" s="209"/>
      <c r="J145" s="209"/>
    </row>
    <row r="146" spans="1:10" s="5" customFormat="1" ht="30" hidden="1" customHeight="1" outlineLevel="1" x14ac:dyDescent="0.25">
      <c r="A146" s="4">
        <v>1590</v>
      </c>
      <c r="B146" s="6" t="s">
        <v>15</v>
      </c>
      <c r="C146" s="98" t="s">
        <v>2271</v>
      </c>
      <c r="D146" s="79">
        <v>2022</v>
      </c>
      <c r="E146" s="79" t="s">
        <v>12</v>
      </c>
      <c r="F146" s="92">
        <v>120</v>
      </c>
      <c r="G146" s="79">
        <v>30</v>
      </c>
      <c r="H146" s="96">
        <v>203.51443</v>
      </c>
      <c r="I146" s="209"/>
      <c r="J146" s="209"/>
    </row>
    <row r="147" spans="1:10" s="5" customFormat="1" ht="30" hidden="1" customHeight="1" outlineLevel="1" x14ac:dyDescent="0.25">
      <c r="A147" s="4">
        <v>1150</v>
      </c>
      <c r="B147" s="6" t="s">
        <v>15</v>
      </c>
      <c r="C147" s="98" t="s">
        <v>2272</v>
      </c>
      <c r="D147" s="79">
        <v>2022</v>
      </c>
      <c r="E147" s="79" t="s">
        <v>12</v>
      </c>
      <c r="F147" s="92">
        <v>10</v>
      </c>
      <c r="G147" s="79">
        <v>15</v>
      </c>
      <c r="H147" s="96">
        <v>67.14</v>
      </c>
      <c r="I147" s="209"/>
      <c r="J147" s="209"/>
    </row>
    <row r="148" spans="1:10" s="5" customFormat="1" ht="30" hidden="1" customHeight="1" outlineLevel="1" x14ac:dyDescent="0.25">
      <c r="A148" s="4">
        <v>1591</v>
      </c>
      <c r="B148" s="6" t="s">
        <v>15</v>
      </c>
      <c r="C148" s="98" t="s">
        <v>2273</v>
      </c>
      <c r="D148" s="79">
        <v>2022</v>
      </c>
      <c r="E148" s="79" t="s">
        <v>12</v>
      </c>
      <c r="F148" s="92">
        <v>7</v>
      </c>
      <c r="G148" s="79">
        <v>25</v>
      </c>
      <c r="H148" s="96">
        <v>60.606380000000001</v>
      </c>
      <c r="I148" s="209"/>
      <c r="J148" s="209"/>
    </row>
    <row r="149" spans="1:10" s="5" customFormat="1" ht="30" hidden="1" customHeight="1" outlineLevel="1" x14ac:dyDescent="0.25">
      <c r="A149" s="4">
        <v>1589</v>
      </c>
      <c r="B149" s="6" t="s">
        <v>15</v>
      </c>
      <c r="C149" s="98" t="s">
        <v>2274</v>
      </c>
      <c r="D149" s="79">
        <v>2022</v>
      </c>
      <c r="E149" s="79" t="s">
        <v>12</v>
      </c>
      <c r="F149" s="92">
        <v>7</v>
      </c>
      <c r="G149" s="79">
        <v>100.6</v>
      </c>
      <c r="H149" s="96">
        <v>52.821129999999997</v>
      </c>
      <c r="I149" s="209"/>
      <c r="J149" s="209"/>
    </row>
    <row r="150" spans="1:10" s="5" customFormat="1" ht="30" hidden="1" customHeight="1" outlineLevel="1" x14ac:dyDescent="0.25">
      <c r="A150" s="4">
        <v>1162</v>
      </c>
      <c r="B150" s="6" t="s">
        <v>15</v>
      </c>
      <c r="C150" s="98" t="s">
        <v>2275</v>
      </c>
      <c r="D150" s="79">
        <v>2022</v>
      </c>
      <c r="E150" s="79" t="s">
        <v>12</v>
      </c>
      <c r="F150" s="92">
        <v>6</v>
      </c>
      <c r="G150" s="79">
        <v>15</v>
      </c>
      <c r="H150" s="96">
        <v>61.047179999999997</v>
      </c>
      <c r="I150" s="209"/>
      <c r="J150" s="209"/>
    </row>
    <row r="151" spans="1:10" s="5" customFormat="1" ht="30" hidden="1" customHeight="1" outlineLevel="1" x14ac:dyDescent="0.25">
      <c r="A151" s="4">
        <v>1335</v>
      </c>
      <c r="B151" s="6" t="s">
        <v>15</v>
      </c>
      <c r="C151" s="99" t="s">
        <v>2276</v>
      </c>
      <c r="D151" s="79">
        <v>2022</v>
      </c>
      <c r="E151" s="79" t="s">
        <v>12</v>
      </c>
      <c r="F151" s="100">
        <v>30</v>
      </c>
      <c r="G151" s="79">
        <v>15</v>
      </c>
      <c r="H151" s="101">
        <v>65.526439999999994</v>
      </c>
      <c r="I151" s="210"/>
      <c r="J151" s="210"/>
    </row>
    <row r="152" spans="1:10" s="5" customFormat="1" ht="30" hidden="1" customHeight="1" outlineLevel="1" x14ac:dyDescent="0.25">
      <c r="A152" s="4">
        <v>1519</v>
      </c>
      <c r="B152" s="6" t="s">
        <v>15</v>
      </c>
      <c r="C152" s="99" t="s">
        <v>2277</v>
      </c>
      <c r="D152" s="79">
        <v>2022</v>
      </c>
      <c r="E152" s="79" t="s">
        <v>12</v>
      </c>
      <c r="F152" s="100">
        <v>16</v>
      </c>
      <c r="G152" s="79">
        <v>15</v>
      </c>
      <c r="H152" s="101">
        <v>77.717740000000006</v>
      </c>
      <c r="I152" s="210"/>
      <c r="J152" s="210"/>
    </row>
    <row r="153" spans="1:10" s="5" customFormat="1" ht="30" hidden="1" customHeight="1" outlineLevel="1" x14ac:dyDescent="0.25">
      <c r="A153" s="4">
        <v>1038</v>
      </c>
      <c r="B153" s="6" t="s">
        <v>15</v>
      </c>
      <c r="C153" s="102" t="s">
        <v>2278</v>
      </c>
      <c r="D153" s="79">
        <v>2022</v>
      </c>
      <c r="E153" s="79" t="s">
        <v>12</v>
      </c>
      <c r="F153" s="100">
        <v>35</v>
      </c>
      <c r="G153" s="79">
        <v>8</v>
      </c>
      <c r="H153" s="101">
        <v>121.66546</v>
      </c>
      <c r="I153" s="210"/>
      <c r="J153" s="210"/>
    </row>
    <row r="154" spans="1:10" s="5" customFormat="1" ht="30" hidden="1" customHeight="1" outlineLevel="1" x14ac:dyDescent="0.25">
      <c r="A154" s="4">
        <v>1110</v>
      </c>
      <c r="B154" s="6" t="s">
        <v>15</v>
      </c>
      <c r="C154" s="99" t="s">
        <v>2279</v>
      </c>
      <c r="D154" s="79">
        <v>2022</v>
      </c>
      <c r="E154" s="79" t="s">
        <v>12</v>
      </c>
      <c r="F154" s="100">
        <v>125</v>
      </c>
      <c r="G154" s="79">
        <v>15</v>
      </c>
      <c r="H154" s="101">
        <v>263.42653000000001</v>
      </c>
      <c r="I154" s="210"/>
      <c r="J154" s="210"/>
    </row>
    <row r="155" spans="1:10" s="5" customFormat="1" ht="30" hidden="1" customHeight="1" outlineLevel="1" x14ac:dyDescent="0.25">
      <c r="A155" s="4">
        <v>1039</v>
      </c>
      <c r="B155" s="6" t="s">
        <v>15</v>
      </c>
      <c r="C155" s="102" t="s">
        <v>2280</v>
      </c>
      <c r="D155" s="79">
        <v>2022</v>
      </c>
      <c r="E155" s="79" t="s">
        <v>12</v>
      </c>
      <c r="F155" s="100">
        <v>190</v>
      </c>
      <c r="G155" s="79">
        <v>10</v>
      </c>
      <c r="H155" s="101">
        <v>278.64314999999999</v>
      </c>
      <c r="I155" s="210"/>
      <c r="J155" s="210"/>
    </row>
    <row r="156" spans="1:10" s="5" customFormat="1" ht="30" hidden="1" customHeight="1" outlineLevel="1" x14ac:dyDescent="0.25">
      <c r="A156" s="4">
        <v>1104</v>
      </c>
      <c r="B156" s="6" t="s">
        <v>15</v>
      </c>
      <c r="C156" s="99" t="s">
        <v>2281</v>
      </c>
      <c r="D156" s="79">
        <v>2022</v>
      </c>
      <c r="E156" s="79" t="s">
        <v>12</v>
      </c>
      <c r="F156" s="100">
        <v>90</v>
      </c>
      <c r="G156" s="79">
        <v>10</v>
      </c>
      <c r="H156" s="101">
        <v>134.97262000000001</v>
      </c>
      <c r="I156" s="210"/>
      <c r="J156" s="210"/>
    </row>
    <row r="157" spans="1:10" s="5" customFormat="1" ht="30" hidden="1" customHeight="1" outlineLevel="1" x14ac:dyDescent="0.25">
      <c r="A157" s="4">
        <v>1469</v>
      </c>
      <c r="B157" s="6" t="s">
        <v>15</v>
      </c>
      <c r="C157" s="99" t="s">
        <v>2282</v>
      </c>
      <c r="D157" s="79">
        <v>2022</v>
      </c>
      <c r="E157" s="79" t="s">
        <v>12</v>
      </c>
      <c r="F157" s="100">
        <v>30</v>
      </c>
      <c r="G157" s="79">
        <v>15</v>
      </c>
      <c r="H157" s="101">
        <v>82.092389999999995</v>
      </c>
      <c r="I157" s="210"/>
      <c r="J157" s="210"/>
    </row>
    <row r="158" spans="1:10" s="5" customFormat="1" ht="30" hidden="1" customHeight="1" outlineLevel="1" x14ac:dyDescent="0.25">
      <c r="A158" s="4">
        <v>1434</v>
      </c>
      <c r="B158" s="6" t="s">
        <v>15</v>
      </c>
      <c r="C158" s="99" t="s">
        <v>2283</v>
      </c>
      <c r="D158" s="79">
        <v>2022</v>
      </c>
      <c r="E158" s="79" t="s">
        <v>12</v>
      </c>
      <c r="F158" s="100">
        <v>6</v>
      </c>
      <c r="G158" s="79">
        <v>25</v>
      </c>
      <c r="H158" s="101">
        <v>79.259</v>
      </c>
      <c r="I158" s="210"/>
      <c r="J158" s="210"/>
    </row>
    <row r="159" spans="1:10" s="5" customFormat="1" ht="30" hidden="1" customHeight="1" outlineLevel="1" x14ac:dyDescent="0.25">
      <c r="A159" s="4">
        <v>1050</v>
      </c>
      <c r="B159" s="6" t="s">
        <v>15</v>
      </c>
      <c r="C159" s="99" t="s">
        <v>2284</v>
      </c>
      <c r="D159" s="79">
        <v>2022</v>
      </c>
      <c r="E159" s="79" t="s">
        <v>12</v>
      </c>
      <c r="F159" s="100">
        <v>60</v>
      </c>
      <c r="G159" s="79">
        <v>15</v>
      </c>
      <c r="H159" s="101">
        <v>124.62909000000001</v>
      </c>
      <c r="I159" s="210"/>
      <c r="J159" s="210"/>
    </row>
    <row r="160" spans="1:10" s="5" customFormat="1" ht="30" hidden="1" customHeight="1" outlineLevel="1" x14ac:dyDescent="0.25">
      <c r="A160" s="4">
        <v>1109</v>
      </c>
      <c r="B160" s="6" t="s">
        <v>15</v>
      </c>
      <c r="C160" s="99" t="s">
        <v>2285</v>
      </c>
      <c r="D160" s="79">
        <v>2022</v>
      </c>
      <c r="E160" s="79" t="s">
        <v>12</v>
      </c>
      <c r="F160" s="100">
        <v>80</v>
      </c>
      <c r="G160" s="79">
        <v>5</v>
      </c>
      <c r="H160" s="101">
        <v>193.83853999999999</v>
      </c>
      <c r="I160" s="210"/>
      <c r="J160" s="210"/>
    </row>
    <row r="161" spans="1:10" s="5" customFormat="1" ht="30" hidden="1" customHeight="1" outlineLevel="1" x14ac:dyDescent="0.25">
      <c r="A161" s="4">
        <v>1490</v>
      </c>
      <c r="B161" s="6" t="s">
        <v>15</v>
      </c>
      <c r="C161" s="99" t="s">
        <v>2286</v>
      </c>
      <c r="D161" s="79">
        <v>2022</v>
      </c>
      <c r="E161" s="79" t="s">
        <v>12</v>
      </c>
      <c r="F161" s="100">
        <v>96</v>
      </c>
      <c r="G161" s="79">
        <v>80</v>
      </c>
      <c r="H161" s="101">
        <v>222.73652000000001</v>
      </c>
      <c r="I161" s="210"/>
      <c r="J161" s="210"/>
    </row>
    <row r="162" spans="1:10" s="5" customFormat="1" ht="30" hidden="1" customHeight="1" outlineLevel="1" x14ac:dyDescent="0.25">
      <c r="A162" s="4">
        <v>1054</v>
      </c>
      <c r="B162" s="6" t="s">
        <v>15</v>
      </c>
      <c r="C162" s="102" t="s">
        <v>2287</v>
      </c>
      <c r="D162" s="79">
        <v>2022</v>
      </c>
      <c r="E162" s="79" t="s">
        <v>12</v>
      </c>
      <c r="F162" s="100">
        <v>532</v>
      </c>
      <c r="G162" s="79">
        <v>10</v>
      </c>
      <c r="H162" s="101">
        <v>724.92328999999995</v>
      </c>
      <c r="I162" s="210"/>
      <c r="J162" s="210"/>
    </row>
    <row r="163" spans="1:10" s="5" customFormat="1" ht="30" hidden="1" customHeight="1" outlineLevel="1" x14ac:dyDescent="0.25">
      <c r="A163" s="4">
        <v>1040</v>
      </c>
      <c r="B163" s="6" t="s">
        <v>15</v>
      </c>
      <c r="C163" s="102" t="s">
        <v>2288</v>
      </c>
      <c r="D163" s="79">
        <v>2022</v>
      </c>
      <c r="E163" s="79" t="s">
        <v>12</v>
      </c>
      <c r="F163" s="100">
        <v>70</v>
      </c>
      <c r="G163" s="79">
        <v>10</v>
      </c>
      <c r="H163" s="101">
        <v>209.29751999999999</v>
      </c>
      <c r="I163" s="210"/>
      <c r="J163" s="210"/>
    </row>
    <row r="164" spans="1:10" s="5" customFormat="1" ht="30" hidden="1" customHeight="1" outlineLevel="1" x14ac:dyDescent="0.25">
      <c r="A164" s="4">
        <v>1520</v>
      </c>
      <c r="B164" s="6" t="s">
        <v>15</v>
      </c>
      <c r="C164" s="99" t="s">
        <v>2289</v>
      </c>
      <c r="D164" s="79">
        <v>2022</v>
      </c>
      <c r="E164" s="79" t="s">
        <v>12</v>
      </c>
      <c r="F164" s="100">
        <v>6</v>
      </c>
      <c r="G164" s="79">
        <v>50</v>
      </c>
      <c r="H164" s="101">
        <v>162.46024</v>
      </c>
      <c r="I164" s="210"/>
      <c r="J164" s="210"/>
    </row>
    <row r="165" spans="1:10" s="5" customFormat="1" ht="30" hidden="1" customHeight="1" outlineLevel="1" x14ac:dyDescent="0.25">
      <c r="A165" s="4">
        <v>1329</v>
      </c>
      <c r="B165" s="6" t="s">
        <v>15</v>
      </c>
      <c r="C165" s="99" t="s">
        <v>2290</v>
      </c>
      <c r="D165" s="79">
        <v>2022</v>
      </c>
      <c r="E165" s="79" t="s">
        <v>12</v>
      </c>
      <c r="F165" s="100">
        <v>22</v>
      </c>
      <c r="G165" s="79">
        <v>15</v>
      </c>
      <c r="H165" s="101">
        <v>102.10052</v>
      </c>
      <c r="I165" s="210"/>
      <c r="J165" s="210"/>
    </row>
    <row r="166" spans="1:10" s="5" customFormat="1" ht="30" hidden="1" customHeight="1" outlineLevel="1" x14ac:dyDescent="0.25">
      <c r="A166" s="4">
        <v>1254</v>
      </c>
      <c r="B166" s="6" t="s">
        <v>15</v>
      </c>
      <c r="C166" s="99" t="s">
        <v>2291</v>
      </c>
      <c r="D166" s="79">
        <v>2022</v>
      </c>
      <c r="E166" s="79" t="s">
        <v>12</v>
      </c>
      <c r="F166" s="100">
        <v>90</v>
      </c>
      <c r="G166" s="79">
        <v>70</v>
      </c>
      <c r="H166" s="101">
        <v>207.93158</v>
      </c>
      <c r="I166" s="210"/>
      <c r="J166" s="210"/>
    </row>
    <row r="167" spans="1:10" s="5" customFormat="1" ht="30" hidden="1" customHeight="1" outlineLevel="1" x14ac:dyDescent="0.25">
      <c r="A167" s="4">
        <v>1309</v>
      </c>
      <c r="B167" s="6" t="s">
        <v>15</v>
      </c>
      <c r="C167" s="103" t="s">
        <v>2292</v>
      </c>
      <c r="D167" s="79">
        <v>2022</v>
      </c>
      <c r="E167" s="79" t="s">
        <v>12</v>
      </c>
      <c r="F167" s="100">
        <v>20</v>
      </c>
      <c r="G167" s="79">
        <v>10</v>
      </c>
      <c r="H167" s="101">
        <v>69.370990000000006</v>
      </c>
      <c r="I167" s="210"/>
      <c r="J167" s="210"/>
    </row>
    <row r="168" spans="1:10" s="5" customFormat="1" ht="30" hidden="1" customHeight="1" outlineLevel="1" x14ac:dyDescent="0.25">
      <c r="A168" s="4">
        <v>1170</v>
      </c>
      <c r="B168" s="6" t="s">
        <v>15</v>
      </c>
      <c r="C168" s="103" t="s">
        <v>2293</v>
      </c>
      <c r="D168" s="79">
        <v>2022</v>
      </c>
      <c r="E168" s="79" t="s">
        <v>12</v>
      </c>
      <c r="F168" s="100">
        <v>32</v>
      </c>
      <c r="G168" s="79">
        <v>15</v>
      </c>
      <c r="H168" s="101">
        <v>93.180710000000005</v>
      </c>
      <c r="I168" s="210"/>
      <c r="J168" s="210"/>
    </row>
    <row r="169" spans="1:10" s="5" customFormat="1" ht="30" hidden="1" customHeight="1" outlineLevel="1" x14ac:dyDescent="0.25">
      <c r="A169" s="4">
        <v>1397</v>
      </c>
      <c r="B169" s="6" t="s">
        <v>15</v>
      </c>
      <c r="C169" s="103" t="s">
        <v>2294</v>
      </c>
      <c r="D169" s="79">
        <v>2022</v>
      </c>
      <c r="E169" s="79" t="s">
        <v>12</v>
      </c>
      <c r="F169" s="100">
        <v>32</v>
      </c>
      <c r="G169" s="79">
        <v>15</v>
      </c>
      <c r="H169" s="101">
        <v>84.193770000000001</v>
      </c>
      <c r="I169" s="210"/>
      <c r="J169" s="210"/>
    </row>
    <row r="170" spans="1:10" s="5" customFormat="1" ht="30" hidden="1" customHeight="1" outlineLevel="1" x14ac:dyDescent="0.25">
      <c r="A170" s="4">
        <v>1450</v>
      </c>
      <c r="B170" s="6" t="s">
        <v>15</v>
      </c>
      <c r="C170" s="103" t="s">
        <v>2295</v>
      </c>
      <c r="D170" s="79">
        <v>2022</v>
      </c>
      <c r="E170" s="79" t="s">
        <v>12</v>
      </c>
      <c r="F170" s="100">
        <v>97</v>
      </c>
      <c r="G170" s="79">
        <v>15</v>
      </c>
      <c r="H170" s="101">
        <v>181.66131999999999</v>
      </c>
      <c r="I170" s="210"/>
      <c r="J170" s="210"/>
    </row>
    <row r="171" spans="1:10" s="5" customFormat="1" ht="30" hidden="1" customHeight="1" outlineLevel="1" x14ac:dyDescent="0.25">
      <c r="A171" s="4">
        <v>1242</v>
      </c>
      <c r="B171" s="6" t="s">
        <v>15</v>
      </c>
      <c r="C171" s="103" t="s">
        <v>2296</v>
      </c>
      <c r="D171" s="79">
        <v>2022</v>
      </c>
      <c r="E171" s="79" t="s">
        <v>12</v>
      </c>
      <c r="F171" s="100">
        <v>17</v>
      </c>
      <c r="G171" s="79">
        <v>15</v>
      </c>
      <c r="H171" s="101">
        <v>76.44838</v>
      </c>
      <c r="I171" s="210"/>
      <c r="J171" s="210"/>
    </row>
    <row r="172" spans="1:10" s="5" customFormat="1" ht="30" hidden="1" customHeight="1" outlineLevel="1" x14ac:dyDescent="0.25">
      <c r="A172" s="4">
        <v>1093</v>
      </c>
      <c r="B172" s="6" t="s">
        <v>15</v>
      </c>
      <c r="C172" s="103" t="s">
        <v>2297</v>
      </c>
      <c r="D172" s="79">
        <v>2022</v>
      </c>
      <c r="E172" s="79" t="s">
        <v>12</v>
      </c>
      <c r="F172" s="100">
        <v>90</v>
      </c>
      <c r="G172" s="79">
        <v>10</v>
      </c>
      <c r="H172" s="101">
        <v>132.26285999999999</v>
      </c>
      <c r="I172" s="210"/>
      <c r="J172" s="210"/>
    </row>
    <row r="173" spans="1:10" s="5" customFormat="1" ht="30" hidden="1" customHeight="1" outlineLevel="1" x14ac:dyDescent="0.25">
      <c r="A173" s="4">
        <v>1095</v>
      </c>
      <c r="B173" s="6" t="s">
        <v>15</v>
      </c>
      <c r="C173" s="103" t="s">
        <v>2298</v>
      </c>
      <c r="D173" s="79">
        <v>2022</v>
      </c>
      <c r="E173" s="79" t="s">
        <v>12</v>
      </c>
      <c r="F173" s="100">
        <v>74</v>
      </c>
      <c r="G173" s="79">
        <v>15</v>
      </c>
      <c r="H173" s="101">
        <v>160.95400000000001</v>
      </c>
      <c r="I173" s="210"/>
      <c r="J173" s="210"/>
    </row>
    <row r="174" spans="1:10" s="5" customFormat="1" ht="30" hidden="1" customHeight="1" outlineLevel="1" x14ac:dyDescent="0.25">
      <c r="A174" s="4">
        <v>1449</v>
      </c>
      <c r="B174" s="6" t="s">
        <v>15</v>
      </c>
      <c r="C174" s="93" t="s">
        <v>2299</v>
      </c>
      <c r="D174" s="79">
        <v>2022</v>
      </c>
      <c r="E174" s="79" t="s">
        <v>12</v>
      </c>
      <c r="F174" s="100">
        <v>31</v>
      </c>
      <c r="G174" s="79">
        <v>14</v>
      </c>
      <c r="H174" s="101">
        <v>104.49771</v>
      </c>
      <c r="I174" s="210"/>
      <c r="J174" s="210"/>
    </row>
    <row r="175" spans="1:10" s="5" customFormat="1" ht="30" hidden="1" customHeight="1" outlineLevel="1" x14ac:dyDescent="0.25">
      <c r="A175" s="4">
        <v>1139</v>
      </c>
      <c r="B175" s="6" t="s">
        <v>15</v>
      </c>
      <c r="C175" s="93" t="s">
        <v>2300</v>
      </c>
      <c r="D175" s="79">
        <v>2022</v>
      </c>
      <c r="E175" s="79" t="s">
        <v>12</v>
      </c>
      <c r="F175" s="100">
        <v>30</v>
      </c>
      <c r="G175" s="79">
        <v>10</v>
      </c>
      <c r="H175" s="101">
        <v>124.80813000000001</v>
      </c>
      <c r="I175" s="210"/>
      <c r="J175" s="210"/>
    </row>
    <row r="176" spans="1:10" s="5" customFormat="1" ht="30" hidden="1" customHeight="1" outlineLevel="1" x14ac:dyDescent="0.25">
      <c r="A176" s="4">
        <v>1128</v>
      </c>
      <c r="B176" s="6" t="s">
        <v>15</v>
      </c>
      <c r="C176" s="103" t="s">
        <v>2301</v>
      </c>
      <c r="D176" s="79">
        <v>2022</v>
      </c>
      <c r="E176" s="79" t="s">
        <v>12</v>
      </c>
      <c r="F176" s="100">
        <v>62</v>
      </c>
      <c r="G176" s="79">
        <v>15</v>
      </c>
      <c r="H176" s="101">
        <v>156.12772000000001</v>
      </c>
      <c r="I176" s="210"/>
      <c r="J176" s="210"/>
    </row>
    <row r="177" spans="1:10" s="5" customFormat="1" ht="30" hidden="1" customHeight="1" outlineLevel="1" x14ac:dyDescent="0.25">
      <c r="A177" s="4">
        <v>1183</v>
      </c>
      <c r="B177" s="6" t="s">
        <v>15</v>
      </c>
      <c r="C177" s="93" t="s">
        <v>2302</v>
      </c>
      <c r="D177" s="79">
        <v>2022</v>
      </c>
      <c r="E177" s="79" t="s">
        <v>12</v>
      </c>
      <c r="F177" s="100">
        <v>462</v>
      </c>
      <c r="G177" s="79">
        <v>30</v>
      </c>
      <c r="H177" s="101">
        <v>523.42544999999996</v>
      </c>
      <c r="I177" s="210"/>
      <c r="J177" s="210"/>
    </row>
    <row r="178" spans="1:10" s="5" customFormat="1" ht="30" hidden="1" customHeight="1" outlineLevel="1" x14ac:dyDescent="0.25">
      <c r="A178" s="4">
        <v>1468</v>
      </c>
      <c r="B178" s="6" t="s">
        <v>15</v>
      </c>
      <c r="C178" s="97" t="s">
        <v>2303</v>
      </c>
      <c r="D178" s="79">
        <v>2022</v>
      </c>
      <c r="E178" s="79" t="s">
        <v>12</v>
      </c>
      <c r="F178" s="100">
        <v>30</v>
      </c>
      <c r="G178" s="79">
        <v>10</v>
      </c>
      <c r="H178" s="101">
        <v>81.782709999999994</v>
      </c>
      <c r="I178" s="210"/>
      <c r="J178" s="210"/>
    </row>
    <row r="179" spans="1:10" s="5" customFormat="1" ht="30" hidden="1" customHeight="1" outlineLevel="1" x14ac:dyDescent="0.25">
      <c r="A179" s="4">
        <v>1719</v>
      </c>
      <c r="B179" s="6" t="s">
        <v>15</v>
      </c>
      <c r="C179" s="97" t="s">
        <v>2304</v>
      </c>
      <c r="D179" s="79">
        <v>2022</v>
      </c>
      <c r="E179" s="79" t="s">
        <v>12</v>
      </c>
      <c r="F179" s="100">
        <v>430</v>
      </c>
      <c r="G179" s="79">
        <v>15</v>
      </c>
      <c r="H179" s="101">
        <v>874.45014000000003</v>
      </c>
      <c r="I179" s="210"/>
      <c r="J179" s="210"/>
    </row>
    <row r="180" spans="1:10" s="5" customFormat="1" ht="30" hidden="1" customHeight="1" outlineLevel="1" x14ac:dyDescent="0.25">
      <c r="A180" s="4">
        <v>1229</v>
      </c>
      <c r="B180" s="6" t="s">
        <v>15</v>
      </c>
      <c r="C180" s="97" t="s">
        <v>2305</v>
      </c>
      <c r="D180" s="79">
        <v>2022</v>
      </c>
      <c r="E180" s="79" t="s">
        <v>12</v>
      </c>
      <c r="F180" s="100">
        <v>60</v>
      </c>
      <c r="G180" s="79">
        <v>15</v>
      </c>
      <c r="H180" s="101">
        <v>226.11572000000001</v>
      </c>
      <c r="I180" s="210"/>
      <c r="J180" s="210"/>
    </row>
    <row r="181" spans="1:10" s="5" customFormat="1" ht="30" hidden="1" customHeight="1" outlineLevel="1" x14ac:dyDescent="0.25">
      <c r="A181" s="4">
        <v>1320</v>
      </c>
      <c r="B181" s="6" t="s">
        <v>15</v>
      </c>
      <c r="C181" s="97" t="s">
        <v>2306</v>
      </c>
      <c r="D181" s="79">
        <v>2022</v>
      </c>
      <c r="E181" s="79" t="s">
        <v>12</v>
      </c>
      <c r="F181" s="100">
        <v>170</v>
      </c>
      <c r="G181" s="79">
        <v>15</v>
      </c>
      <c r="H181" s="101">
        <v>284.27116999999998</v>
      </c>
      <c r="I181" s="210"/>
      <c r="J181" s="210"/>
    </row>
    <row r="182" spans="1:10" s="5" customFormat="1" ht="30" hidden="1" customHeight="1" outlineLevel="1" x14ac:dyDescent="0.25">
      <c r="A182" s="4">
        <v>1664</v>
      </c>
      <c r="B182" s="6" t="s">
        <v>15</v>
      </c>
      <c r="C182" s="97" t="s">
        <v>2307</v>
      </c>
      <c r="D182" s="79">
        <v>2022</v>
      </c>
      <c r="E182" s="79" t="s">
        <v>12</v>
      </c>
      <c r="F182" s="100">
        <v>455</v>
      </c>
      <c r="G182" s="79">
        <v>15</v>
      </c>
      <c r="H182" s="101">
        <v>1000.89307</v>
      </c>
      <c r="I182" s="210"/>
      <c r="J182" s="210"/>
    </row>
    <row r="183" spans="1:10" s="5" customFormat="1" ht="30" hidden="1" customHeight="1" outlineLevel="1" x14ac:dyDescent="0.25">
      <c r="A183" s="4">
        <v>1231</v>
      </c>
      <c r="B183" s="6" t="s">
        <v>15</v>
      </c>
      <c r="C183" s="93" t="s">
        <v>2308</v>
      </c>
      <c r="D183" s="79">
        <v>2022</v>
      </c>
      <c r="E183" s="79" t="s">
        <v>12</v>
      </c>
      <c r="F183" s="100">
        <v>58</v>
      </c>
      <c r="G183" s="79">
        <v>6</v>
      </c>
      <c r="H183" s="101">
        <v>138.43532999999999</v>
      </c>
      <c r="I183" s="210"/>
      <c r="J183" s="210"/>
    </row>
    <row r="184" spans="1:10" s="5" customFormat="1" ht="30" hidden="1" customHeight="1" outlineLevel="1" x14ac:dyDescent="0.25">
      <c r="A184" s="4">
        <v>1057</v>
      </c>
      <c r="B184" s="6" t="s">
        <v>15</v>
      </c>
      <c r="C184" s="93" t="s">
        <v>2309</v>
      </c>
      <c r="D184" s="79">
        <v>2022</v>
      </c>
      <c r="E184" s="79" t="s">
        <v>12</v>
      </c>
      <c r="F184" s="100">
        <v>6</v>
      </c>
      <c r="G184" s="79">
        <v>15</v>
      </c>
      <c r="H184" s="101">
        <v>69.200140000000005</v>
      </c>
      <c r="I184" s="210"/>
      <c r="J184" s="210"/>
    </row>
    <row r="185" spans="1:10" s="5" customFormat="1" ht="30" hidden="1" customHeight="1" outlineLevel="1" x14ac:dyDescent="0.25">
      <c r="A185" s="4">
        <v>1132</v>
      </c>
      <c r="B185" s="6" t="s">
        <v>15</v>
      </c>
      <c r="C185" s="93" t="s">
        <v>2310</v>
      </c>
      <c r="D185" s="79">
        <v>2022</v>
      </c>
      <c r="E185" s="79" t="s">
        <v>12</v>
      </c>
      <c r="F185" s="100">
        <v>10</v>
      </c>
      <c r="G185" s="79">
        <v>15</v>
      </c>
      <c r="H185" s="101">
        <v>68.830119999999994</v>
      </c>
      <c r="I185" s="210"/>
      <c r="J185" s="210"/>
    </row>
    <row r="186" spans="1:10" s="5" customFormat="1" ht="30" hidden="1" customHeight="1" outlineLevel="1" x14ac:dyDescent="0.25">
      <c r="A186" s="4">
        <v>1075</v>
      </c>
      <c r="B186" s="6" t="s">
        <v>15</v>
      </c>
      <c r="C186" s="93" t="s">
        <v>2311</v>
      </c>
      <c r="D186" s="79">
        <v>2022</v>
      </c>
      <c r="E186" s="79" t="s">
        <v>12</v>
      </c>
      <c r="F186" s="100">
        <v>50</v>
      </c>
      <c r="G186" s="79">
        <v>15</v>
      </c>
      <c r="H186" s="101">
        <v>140.03085999999999</v>
      </c>
      <c r="I186" s="210"/>
      <c r="J186" s="210"/>
    </row>
    <row r="187" spans="1:10" s="5" customFormat="1" ht="30" hidden="1" customHeight="1" outlineLevel="1" x14ac:dyDescent="0.25">
      <c r="A187" s="4">
        <v>1042</v>
      </c>
      <c r="B187" s="6" t="s">
        <v>15</v>
      </c>
      <c r="C187" s="93" t="s">
        <v>2312</v>
      </c>
      <c r="D187" s="79">
        <v>2022</v>
      </c>
      <c r="E187" s="79" t="s">
        <v>12</v>
      </c>
      <c r="F187" s="100">
        <v>51</v>
      </c>
      <c r="G187" s="79">
        <v>15</v>
      </c>
      <c r="H187" s="101">
        <v>167.02641</v>
      </c>
      <c r="I187" s="210"/>
      <c r="J187" s="210"/>
    </row>
    <row r="188" spans="1:10" s="5" customFormat="1" ht="30" hidden="1" customHeight="1" outlineLevel="1" x14ac:dyDescent="0.25">
      <c r="A188" s="4">
        <v>1491</v>
      </c>
      <c r="B188" s="6" t="s">
        <v>15</v>
      </c>
      <c r="C188" s="93" t="s">
        <v>2313</v>
      </c>
      <c r="D188" s="79">
        <v>2022</v>
      </c>
      <c r="E188" s="79" t="s">
        <v>12</v>
      </c>
      <c r="F188" s="100">
        <v>6</v>
      </c>
      <c r="G188" s="79">
        <v>15</v>
      </c>
      <c r="H188" s="101">
        <v>62.659460000000003</v>
      </c>
      <c r="I188" s="210"/>
      <c r="J188" s="210"/>
    </row>
    <row r="189" spans="1:10" s="5" customFormat="1" ht="30" hidden="1" customHeight="1" outlineLevel="1" x14ac:dyDescent="0.25">
      <c r="A189" s="4">
        <v>1263</v>
      </c>
      <c r="B189" s="6" t="s">
        <v>15</v>
      </c>
      <c r="C189" s="93" t="s">
        <v>2314</v>
      </c>
      <c r="D189" s="79">
        <v>2022</v>
      </c>
      <c r="E189" s="79" t="s">
        <v>12</v>
      </c>
      <c r="F189" s="100">
        <v>59</v>
      </c>
      <c r="G189" s="79">
        <v>15</v>
      </c>
      <c r="H189" s="101">
        <v>223.33950999999999</v>
      </c>
      <c r="I189" s="210"/>
      <c r="J189" s="210"/>
    </row>
    <row r="190" spans="1:10" s="5" customFormat="1" ht="30" hidden="1" customHeight="1" outlineLevel="1" x14ac:dyDescent="0.25">
      <c r="A190" s="4">
        <v>1317</v>
      </c>
      <c r="B190" s="6" t="s">
        <v>15</v>
      </c>
      <c r="C190" s="104" t="s">
        <v>2315</v>
      </c>
      <c r="D190" s="79">
        <v>2022</v>
      </c>
      <c r="E190" s="79" t="s">
        <v>12</v>
      </c>
      <c r="F190" s="100">
        <v>239</v>
      </c>
      <c r="G190" s="79">
        <v>11.5</v>
      </c>
      <c r="H190" s="101">
        <v>457.06058999999999</v>
      </c>
      <c r="I190" s="210"/>
      <c r="J190" s="210"/>
    </row>
    <row r="191" spans="1:10" s="5" customFormat="1" ht="30" hidden="1" customHeight="1" outlineLevel="1" x14ac:dyDescent="0.25">
      <c r="A191" s="4">
        <v>1366</v>
      </c>
      <c r="B191" s="6" t="s">
        <v>15</v>
      </c>
      <c r="C191" s="22" t="s">
        <v>2316</v>
      </c>
      <c r="D191" s="79">
        <v>2022</v>
      </c>
      <c r="E191" s="79" t="s">
        <v>12</v>
      </c>
      <c r="F191" s="100">
        <v>30</v>
      </c>
      <c r="G191" s="79">
        <v>12</v>
      </c>
      <c r="H191" s="101">
        <v>115.87991</v>
      </c>
      <c r="I191" s="210"/>
      <c r="J191" s="210"/>
    </row>
    <row r="192" spans="1:10" s="5" customFormat="1" ht="30" hidden="1" customHeight="1" outlineLevel="1" x14ac:dyDescent="0.25">
      <c r="A192" s="4">
        <v>1099</v>
      </c>
      <c r="B192" s="6" t="s">
        <v>15</v>
      </c>
      <c r="C192" s="91" t="s">
        <v>2317</v>
      </c>
      <c r="D192" s="79">
        <v>2022</v>
      </c>
      <c r="E192" s="79" t="s">
        <v>12</v>
      </c>
      <c r="F192" s="100">
        <v>120</v>
      </c>
      <c r="G192" s="79">
        <v>10</v>
      </c>
      <c r="H192" s="101">
        <v>361.58058999999997</v>
      </c>
      <c r="I192" s="210"/>
      <c r="J192" s="210"/>
    </row>
    <row r="193" spans="1:10" s="5" customFormat="1" ht="30" hidden="1" customHeight="1" outlineLevel="1" x14ac:dyDescent="0.25">
      <c r="A193" s="4">
        <v>1665</v>
      </c>
      <c r="B193" s="6" t="s">
        <v>15</v>
      </c>
      <c r="C193" s="104" t="s">
        <v>2318</v>
      </c>
      <c r="D193" s="79">
        <v>2022</v>
      </c>
      <c r="E193" s="79" t="s">
        <v>12</v>
      </c>
      <c r="F193" s="100">
        <v>262</v>
      </c>
      <c r="G193" s="79">
        <v>10</v>
      </c>
      <c r="H193" s="101">
        <v>635.91540999999995</v>
      </c>
      <c r="I193" s="210"/>
      <c r="J193" s="210"/>
    </row>
    <row r="194" spans="1:10" s="5" customFormat="1" ht="30" hidden="1" customHeight="1" outlineLevel="1" x14ac:dyDescent="0.25">
      <c r="A194" s="4">
        <v>1384</v>
      </c>
      <c r="B194" s="6" t="s">
        <v>15</v>
      </c>
      <c r="C194" s="104" t="s">
        <v>2319</v>
      </c>
      <c r="D194" s="79">
        <v>2022</v>
      </c>
      <c r="E194" s="79" t="s">
        <v>12</v>
      </c>
      <c r="F194" s="100">
        <v>13</v>
      </c>
      <c r="G194" s="79">
        <v>15</v>
      </c>
      <c r="H194" s="101">
        <v>99.452460000000002</v>
      </c>
      <c r="I194" s="210"/>
      <c r="J194" s="210"/>
    </row>
    <row r="195" spans="1:10" s="5" customFormat="1" ht="30" hidden="1" customHeight="1" outlineLevel="1" x14ac:dyDescent="0.25">
      <c r="A195" s="4">
        <v>1124</v>
      </c>
      <c r="B195" s="6" t="s">
        <v>15</v>
      </c>
      <c r="C195" s="105" t="s">
        <v>2320</v>
      </c>
      <c r="D195" s="79">
        <v>2022</v>
      </c>
      <c r="E195" s="79" t="s">
        <v>12</v>
      </c>
      <c r="F195" s="100">
        <v>30</v>
      </c>
      <c r="G195" s="79">
        <v>15</v>
      </c>
      <c r="H195" s="101">
        <v>86.695989999999995</v>
      </c>
      <c r="I195" s="210"/>
      <c r="J195" s="210"/>
    </row>
    <row r="196" spans="1:10" s="5" customFormat="1" ht="30" hidden="1" customHeight="1" outlineLevel="1" x14ac:dyDescent="0.25">
      <c r="A196" s="4">
        <v>1545</v>
      </c>
      <c r="B196" s="6" t="s">
        <v>15</v>
      </c>
      <c r="C196" s="99" t="s">
        <v>2321</v>
      </c>
      <c r="D196" s="79">
        <v>2022</v>
      </c>
      <c r="E196" s="79" t="s">
        <v>12</v>
      </c>
      <c r="F196" s="100">
        <v>127</v>
      </c>
      <c r="G196" s="79">
        <v>13</v>
      </c>
      <c r="H196" s="101">
        <v>228.57637</v>
      </c>
      <c r="I196" s="210"/>
      <c r="J196" s="210"/>
    </row>
    <row r="197" spans="1:10" s="5" customFormat="1" ht="30" hidden="1" customHeight="1" outlineLevel="1" x14ac:dyDescent="0.25">
      <c r="A197" s="4">
        <v>1047</v>
      </c>
      <c r="B197" s="6" t="s">
        <v>15</v>
      </c>
      <c r="C197" s="105" t="s">
        <v>2322</v>
      </c>
      <c r="D197" s="79">
        <v>2022</v>
      </c>
      <c r="E197" s="79" t="s">
        <v>12</v>
      </c>
      <c r="F197" s="100">
        <v>30</v>
      </c>
      <c r="G197" s="79">
        <v>15</v>
      </c>
      <c r="H197" s="101">
        <v>117.46265</v>
      </c>
      <c r="I197" s="210"/>
      <c r="J197" s="210"/>
    </row>
    <row r="198" spans="1:10" s="5" customFormat="1" ht="30" hidden="1" customHeight="1" outlineLevel="1" x14ac:dyDescent="0.25">
      <c r="A198" s="4">
        <v>1232</v>
      </c>
      <c r="B198" s="6" t="s">
        <v>15</v>
      </c>
      <c r="C198" s="105" t="s">
        <v>2323</v>
      </c>
      <c r="D198" s="79">
        <v>2022</v>
      </c>
      <c r="E198" s="79" t="s">
        <v>12</v>
      </c>
      <c r="F198" s="100">
        <v>30</v>
      </c>
      <c r="G198" s="79">
        <v>15</v>
      </c>
      <c r="H198" s="101">
        <v>61.667909999999999</v>
      </c>
      <c r="I198" s="210"/>
      <c r="J198" s="210"/>
    </row>
    <row r="199" spans="1:10" s="5" customFormat="1" ht="30" hidden="1" customHeight="1" outlineLevel="1" x14ac:dyDescent="0.25">
      <c r="A199" s="4">
        <v>1492</v>
      </c>
      <c r="B199" s="6" t="s">
        <v>15</v>
      </c>
      <c r="C199" s="114" t="s">
        <v>2324</v>
      </c>
      <c r="D199" s="79">
        <v>2022</v>
      </c>
      <c r="E199" s="79" t="s">
        <v>12</v>
      </c>
      <c r="F199" s="100">
        <v>7</v>
      </c>
      <c r="G199" s="79">
        <v>15</v>
      </c>
      <c r="H199" s="101">
        <v>46.947130000000001</v>
      </c>
      <c r="I199" s="210"/>
      <c r="J199" s="210"/>
    </row>
    <row r="200" spans="1:10" s="5" customFormat="1" ht="30" hidden="1" customHeight="1" outlineLevel="1" x14ac:dyDescent="0.25">
      <c r="A200" s="4">
        <v>1351</v>
      </c>
      <c r="B200" s="6" t="s">
        <v>15</v>
      </c>
      <c r="C200" s="93" t="s">
        <v>2325</v>
      </c>
      <c r="D200" s="79">
        <v>2022</v>
      </c>
      <c r="E200" s="79" t="s">
        <v>12</v>
      </c>
      <c r="F200" s="100">
        <v>75</v>
      </c>
      <c r="G200" s="79">
        <v>15</v>
      </c>
      <c r="H200" s="101">
        <v>130.15012999999999</v>
      </c>
      <c r="I200" s="210"/>
      <c r="J200" s="210"/>
    </row>
    <row r="201" spans="1:10" s="5" customFormat="1" ht="30" hidden="1" customHeight="1" outlineLevel="1" x14ac:dyDescent="0.25">
      <c r="A201" s="4">
        <v>1045</v>
      </c>
      <c r="B201" s="6" t="s">
        <v>15</v>
      </c>
      <c r="C201" s="93" t="s">
        <v>2326</v>
      </c>
      <c r="D201" s="79">
        <v>2022</v>
      </c>
      <c r="E201" s="79" t="s">
        <v>12</v>
      </c>
      <c r="F201" s="100">
        <v>35</v>
      </c>
      <c r="G201" s="79">
        <v>15</v>
      </c>
      <c r="H201" s="101">
        <v>61.319600000000001</v>
      </c>
      <c r="I201" s="210"/>
      <c r="J201" s="210"/>
    </row>
    <row r="202" spans="1:10" s="5" customFormat="1" ht="30" hidden="1" customHeight="1" outlineLevel="1" x14ac:dyDescent="0.25">
      <c r="A202" s="4">
        <v>1265</v>
      </c>
      <c r="B202" s="6" t="s">
        <v>15</v>
      </c>
      <c r="C202" s="93" t="s">
        <v>2327</v>
      </c>
      <c r="D202" s="79">
        <v>2022</v>
      </c>
      <c r="E202" s="79" t="s">
        <v>12</v>
      </c>
      <c r="F202" s="100">
        <v>85</v>
      </c>
      <c r="G202" s="79">
        <v>5</v>
      </c>
      <c r="H202" s="101">
        <v>187.06885</v>
      </c>
      <c r="I202" s="210"/>
      <c r="J202" s="210"/>
    </row>
    <row r="203" spans="1:10" s="5" customFormat="1" ht="30" hidden="1" customHeight="1" outlineLevel="1" x14ac:dyDescent="0.25">
      <c r="A203" s="4">
        <v>1106</v>
      </c>
      <c r="B203" s="6" t="s">
        <v>15</v>
      </c>
      <c r="C203" s="93" t="s">
        <v>2328</v>
      </c>
      <c r="D203" s="79">
        <v>2022</v>
      </c>
      <c r="E203" s="79" t="s">
        <v>12</v>
      </c>
      <c r="F203" s="100">
        <v>212</v>
      </c>
      <c r="G203" s="79">
        <v>15</v>
      </c>
      <c r="H203" s="101">
        <v>381.50468000000001</v>
      </c>
      <c r="I203" s="210"/>
      <c r="J203" s="210"/>
    </row>
    <row r="204" spans="1:10" s="5" customFormat="1" ht="30" hidden="1" customHeight="1" outlineLevel="1" x14ac:dyDescent="0.25">
      <c r="A204" s="4">
        <v>1385</v>
      </c>
      <c r="B204" s="6" t="s">
        <v>15</v>
      </c>
      <c r="C204" s="93" t="s">
        <v>2329</v>
      </c>
      <c r="D204" s="79">
        <v>2022</v>
      </c>
      <c r="E204" s="79" t="s">
        <v>12</v>
      </c>
      <c r="F204" s="100">
        <v>17</v>
      </c>
      <c r="G204" s="79">
        <v>15</v>
      </c>
      <c r="H204" s="101">
        <v>60.987769999999998</v>
      </c>
      <c r="I204" s="210"/>
      <c r="J204" s="210"/>
    </row>
    <row r="205" spans="1:10" s="5" customFormat="1" ht="30" hidden="1" customHeight="1" outlineLevel="1" x14ac:dyDescent="0.25">
      <c r="A205" s="4">
        <v>1163</v>
      </c>
      <c r="B205" s="6" t="s">
        <v>15</v>
      </c>
      <c r="C205" s="93" t="s">
        <v>2330</v>
      </c>
      <c r="D205" s="79">
        <v>2022</v>
      </c>
      <c r="E205" s="79" t="s">
        <v>12</v>
      </c>
      <c r="F205" s="100">
        <v>62</v>
      </c>
      <c r="G205" s="79">
        <v>15</v>
      </c>
      <c r="H205" s="101">
        <v>134.59009</v>
      </c>
      <c r="I205" s="210"/>
      <c r="J205" s="210"/>
    </row>
    <row r="206" spans="1:10" s="5" customFormat="1" ht="30" hidden="1" customHeight="1" outlineLevel="1" x14ac:dyDescent="0.25">
      <c r="A206" s="4">
        <v>1198</v>
      </c>
      <c r="B206" s="6" t="s">
        <v>15</v>
      </c>
      <c r="C206" s="93" t="s">
        <v>2331</v>
      </c>
      <c r="D206" s="79">
        <v>2022</v>
      </c>
      <c r="E206" s="79" t="s">
        <v>12</v>
      </c>
      <c r="F206" s="100">
        <v>25</v>
      </c>
      <c r="G206" s="79">
        <v>10</v>
      </c>
      <c r="H206" s="101">
        <v>73.342529999999996</v>
      </c>
      <c r="I206" s="210"/>
      <c r="J206" s="210"/>
    </row>
    <row r="207" spans="1:10" s="5" customFormat="1" ht="30" hidden="1" customHeight="1" outlineLevel="1" x14ac:dyDescent="0.25">
      <c r="A207" s="4">
        <v>1197</v>
      </c>
      <c r="B207" s="6" t="s">
        <v>15</v>
      </c>
      <c r="C207" s="93" t="s">
        <v>2332</v>
      </c>
      <c r="D207" s="79">
        <v>2022</v>
      </c>
      <c r="E207" s="79" t="s">
        <v>12</v>
      </c>
      <c r="F207" s="100">
        <v>20</v>
      </c>
      <c r="G207" s="79">
        <v>5</v>
      </c>
      <c r="H207" s="101">
        <v>77.268770000000004</v>
      </c>
      <c r="I207" s="210"/>
      <c r="J207" s="210"/>
    </row>
    <row r="208" spans="1:10" s="5" customFormat="1" ht="30" hidden="1" customHeight="1" outlineLevel="1" x14ac:dyDescent="0.25">
      <c r="A208" s="4">
        <v>1264</v>
      </c>
      <c r="B208" s="6" t="s">
        <v>15</v>
      </c>
      <c r="C208" s="93" t="s">
        <v>2333</v>
      </c>
      <c r="D208" s="79">
        <v>2022</v>
      </c>
      <c r="E208" s="79" t="s">
        <v>12</v>
      </c>
      <c r="F208" s="100">
        <v>17</v>
      </c>
      <c r="G208" s="79">
        <v>15</v>
      </c>
      <c r="H208" s="101">
        <v>64.073170000000005</v>
      </c>
      <c r="I208" s="210"/>
      <c r="J208" s="210"/>
    </row>
    <row r="209" spans="1:10" s="5" customFormat="1" ht="30" hidden="1" customHeight="1" outlineLevel="1" x14ac:dyDescent="0.25">
      <c r="A209" s="4">
        <v>1046</v>
      </c>
      <c r="B209" s="6" t="s">
        <v>15</v>
      </c>
      <c r="C209" s="93" t="s">
        <v>2334</v>
      </c>
      <c r="D209" s="79">
        <v>2022</v>
      </c>
      <c r="E209" s="79" t="s">
        <v>12</v>
      </c>
      <c r="F209" s="100">
        <v>22</v>
      </c>
      <c r="G209" s="79">
        <v>0.5</v>
      </c>
      <c r="H209" s="101">
        <v>74.944710000000001</v>
      </c>
      <c r="I209" s="210"/>
      <c r="J209" s="210"/>
    </row>
    <row r="210" spans="1:10" s="5" customFormat="1" ht="30" hidden="1" customHeight="1" outlineLevel="1" x14ac:dyDescent="0.25">
      <c r="A210" s="4">
        <v>1288</v>
      </c>
      <c r="B210" s="6" t="s">
        <v>15</v>
      </c>
      <c r="C210" s="93" t="s">
        <v>2335</v>
      </c>
      <c r="D210" s="79">
        <v>2022</v>
      </c>
      <c r="E210" s="79" t="s">
        <v>12</v>
      </c>
      <c r="F210" s="100">
        <v>17</v>
      </c>
      <c r="G210" s="79">
        <v>5</v>
      </c>
      <c r="H210" s="101">
        <v>74.034189999999995</v>
      </c>
      <c r="I210" s="210"/>
      <c r="J210" s="210"/>
    </row>
    <row r="211" spans="1:10" s="5" customFormat="1" ht="30" hidden="1" customHeight="1" outlineLevel="1" x14ac:dyDescent="0.25">
      <c r="A211" s="4">
        <v>1489</v>
      </c>
      <c r="B211" s="6" t="s">
        <v>15</v>
      </c>
      <c r="C211" s="93" t="s">
        <v>2336</v>
      </c>
      <c r="D211" s="79">
        <v>2022</v>
      </c>
      <c r="E211" s="79" t="s">
        <v>12</v>
      </c>
      <c r="F211" s="100">
        <v>30</v>
      </c>
      <c r="G211" s="79">
        <v>5</v>
      </c>
      <c r="H211" s="101">
        <v>76.537700000000001</v>
      </c>
      <c r="I211" s="210"/>
      <c r="J211" s="210"/>
    </row>
    <row r="212" spans="1:10" s="5" customFormat="1" ht="30" hidden="1" customHeight="1" outlineLevel="1" x14ac:dyDescent="0.25">
      <c r="A212" s="4">
        <v>1357</v>
      </c>
      <c r="B212" s="6" t="s">
        <v>15</v>
      </c>
      <c r="C212" s="97" t="s">
        <v>2337</v>
      </c>
      <c r="D212" s="79">
        <v>2022</v>
      </c>
      <c r="E212" s="79" t="s">
        <v>12</v>
      </c>
      <c r="F212" s="100">
        <v>20</v>
      </c>
      <c r="G212" s="79">
        <v>15</v>
      </c>
      <c r="H212" s="101">
        <v>82.552530000000004</v>
      </c>
      <c r="I212" s="210"/>
      <c r="J212" s="210"/>
    </row>
    <row r="213" spans="1:10" s="5" customFormat="1" ht="30" hidden="1" customHeight="1" outlineLevel="1" x14ac:dyDescent="0.25">
      <c r="A213" s="4">
        <v>1345</v>
      </c>
      <c r="B213" s="6" t="s">
        <v>15</v>
      </c>
      <c r="C213" s="37" t="s">
        <v>2338</v>
      </c>
      <c r="D213" s="79">
        <v>2022</v>
      </c>
      <c r="E213" s="79" t="s">
        <v>12</v>
      </c>
      <c r="F213" s="100">
        <v>25</v>
      </c>
      <c r="G213" s="79">
        <v>10</v>
      </c>
      <c r="H213" s="101">
        <v>75.88973</v>
      </c>
      <c r="I213" s="210"/>
      <c r="J213" s="210"/>
    </row>
    <row r="214" spans="1:10" s="5" customFormat="1" ht="30" hidden="1" customHeight="1" outlineLevel="1" x14ac:dyDescent="0.25">
      <c r="A214" s="4">
        <v>1323</v>
      </c>
      <c r="B214" s="6" t="s">
        <v>15</v>
      </c>
      <c r="C214" s="97" t="s">
        <v>2339</v>
      </c>
      <c r="D214" s="79">
        <v>2022</v>
      </c>
      <c r="E214" s="79" t="s">
        <v>12</v>
      </c>
      <c r="F214" s="100">
        <v>25</v>
      </c>
      <c r="G214" s="79">
        <v>10</v>
      </c>
      <c r="H214" s="101">
        <v>92.326949999999997</v>
      </c>
      <c r="I214" s="210"/>
      <c r="J214" s="210"/>
    </row>
    <row r="215" spans="1:10" s="5" customFormat="1" ht="30" hidden="1" customHeight="1" outlineLevel="1" x14ac:dyDescent="0.25">
      <c r="A215" s="4">
        <v>1048</v>
      </c>
      <c r="B215" s="6" t="s">
        <v>15</v>
      </c>
      <c r="C215" s="97" t="s">
        <v>2340</v>
      </c>
      <c r="D215" s="79">
        <v>2022</v>
      </c>
      <c r="E215" s="79" t="s">
        <v>12</v>
      </c>
      <c r="F215" s="100">
        <v>27</v>
      </c>
      <c r="G215" s="79">
        <v>10</v>
      </c>
      <c r="H215" s="101">
        <v>54.958919999999999</v>
      </c>
      <c r="I215" s="210"/>
      <c r="J215" s="210"/>
    </row>
    <row r="216" spans="1:10" s="5" customFormat="1" ht="30" hidden="1" customHeight="1" outlineLevel="1" x14ac:dyDescent="0.25">
      <c r="A216" s="4">
        <v>1350</v>
      </c>
      <c r="B216" s="6" t="s">
        <v>15</v>
      </c>
      <c r="C216" s="97" t="s">
        <v>2341</v>
      </c>
      <c r="D216" s="79">
        <v>2022</v>
      </c>
      <c r="E216" s="79" t="s">
        <v>12</v>
      </c>
      <c r="F216" s="100">
        <v>60</v>
      </c>
      <c r="G216" s="79">
        <v>7</v>
      </c>
      <c r="H216" s="101">
        <v>125.75944</v>
      </c>
      <c r="I216" s="210"/>
      <c r="J216" s="210"/>
    </row>
    <row r="217" spans="1:10" s="5" customFormat="1" ht="30" hidden="1" customHeight="1" outlineLevel="1" x14ac:dyDescent="0.25">
      <c r="A217" s="4">
        <v>1181</v>
      </c>
      <c r="B217" s="6" t="s">
        <v>15</v>
      </c>
      <c r="C217" s="97" t="s">
        <v>2342</v>
      </c>
      <c r="D217" s="79">
        <v>2022</v>
      </c>
      <c r="E217" s="79" t="s">
        <v>12</v>
      </c>
      <c r="F217" s="100">
        <v>100</v>
      </c>
      <c r="G217" s="79">
        <v>11.5</v>
      </c>
      <c r="H217" s="101">
        <v>166.99093999999999</v>
      </c>
      <c r="I217" s="210"/>
      <c r="J217" s="210"/>
    </row>
    <row r="218" spans="1:10" s="5" customFormat="1" ht="30" hidden="1" customHeight="1" outlineLevel="1" x14ac:dyDescent="0.25">
      <c r="A218" s="4">
        <v>1174</v>
      </c>
      <c r="B218" s="6" t="s">
        <v>15</v>
      </c>
      <c r="C218" s="104" t="s">
        <v>2343</v>
      </c>
      <c r="D218" s="79">
        <v>2022</v>
      </c>
      <c r="E218" s="79" t="s">
        <v>12</v>
      </c>
      <c r="F218" s="100">
        <v>10</v>
      </c>
      <c r="G218" s="79">
        <v>15</v>
      </c>
      <c r="H218" s="101">
        <v>55.794989999999999</v>
      </c>
      <c r="I218" s="210"/>
      <c r="J218" s="210"/>
    </row>
    <row r="219" spans="1:10" s="5" customFormat="1" ht="30" hidden="1" customHeight="1" outlineLevel="1" x14ac:dyDescent="0.25">
      <c r="A219" s="4">
        <v>1212</v>
      </c>
      <c r="B219" s="6" t="s">
        <v>15</v>
      </c>
      <c r="C219" s="97" t="s">
        <v>2344</v>
      </c>
      <c r="D219" s="79">
        <v>2022</v>
      </c>
      <c r="E219" s="79" t="s">
        <v>12</v>
      </c>
      <c r="F219" s="100">
        <v>295</v>
      </c>
      <c r="G219" s="79">
        <v>15</v>
      </c>
      <c r="H219" s="101">
        <v>435.79489999999998</v>
      </c>
      <c r="I219" s="210"/>
      <c r="J219" s="210"/>
    </row>
    <row r="220" spans="1:10" s="5" customFormat="1" ht="30" hidden="1" customHeight="1" outlineLevel="1" x14ac:dyDescent="0.25">
      <c r="A220" s="4">
        <v>1153</v>
      </c>
      <c r="B220" s="6" t="s">
        <v>15</v>
      </c>
      <c r="C220" s="97" t="s">
        <v>2345</v>
      </c>
      <c r="D220" s="79">
        <v>2022</v>
      </c>
      <c r="E220" s="79" t="s">
        <v>12</v>
      </c>
      <c r="F220" s="100">
        <v>135</v>
      </c>
      <c r="G220" s="79">
        <v>15</v>
      </c>
      <c r="H220" s="101">
        <v>181.67346000000001</v>
      </c>
      <c r="I220" s="210"/>
      <c r="J220" s="210"/>
    </row>
    <row r="221" spans="1:10" s="5" customFormat="1" ht="30" hidden="1" customHeight="1" outlineLevel="1" x14ac:dyDescent="0.25">
      <c r="A221" s="4">
        <v>1224</v>
      </c>
      <c r="B221" s="6" t="s">
        <v>15</v>
      </c>
      <c r="C221" s="97" t="s">
        <v>2346</v>
      </c>
      <c r="D221" s="79">
        <v>2022</v>
      </c>
      <c r="E221" s="79" t="s">
        <v>12</v>
      </c>
      <c r="F221" s="100">
        <v>94</v>
      </c>
      <c r="G221" s="79">
        <v>15</v>
      </c>
      <c r="H221" s="101">
        <v>175.33617000000001</v>
      </c>
      <c r="I221" s="210"/>
      <c r="J221" s="210"/>
    </row>
    <row r="222" spans="1:10" s="5" customFormat="1" ht="30" hidden="1" customHeight="1" outlineLevel="1" x14ac:dyDescent="0.25">
      <c r="A222" s="4">
        <v>1240</v>
      </c>
      <c r="B222" s="6" t="s">
        <v>15</v>
      </c>
      <c r="C222" s="97" t="s">
        <v>2347</v>
      </c>
      <c r="D222" s="79">
        <v>2022</v>
      </c>
      <c r="E222" s="79" t="s">
        <v>12</v>
      </c>
      <c r="F222" s="100">
        <v>174</v>
      </c>
      <c r="G222" s="79">
        <v>15</v>
      </c>
      <c r="H222" s="101">
        <v>270.06304</v>
      </c>
      <c r="I222" s="210"/>
      <c r="J222" s="210"/>
    </row>
    <row r="223" spans="1:10" s="5" customFormat="1" ht="30" hidden="1" customHeight="1" outlineLevel="1" x14ac:dyDescent="0.25">
      <c r="A223" s="4">
        <v>1633</v>
      </c>
      <c r="B223" s="6" t="s">
        <v>15</v>
      </c>
      <c r="C223" s="97" t="s">
        <v>2348</v>
      </c>
      <c r="D223" s="79">
        <v>2022</v>
      </c>
      <c r="E223" s="79" t="s">
        <v>12</v>
      </c>
      <c r="F223" s="100">
        <v>400</v>
      </c>
      <c r="G223" s="79">
        <v>15</v>
      </c>
      <c r="H223" s="101">
        <v>761.30247999999995</v>
      </c>
      <c r="I223" s="210"/>
      <c r="J223" s="210"/>
    </row>
    <row r="224" spans="1:10" s="5" customFormat="1" ht="30" hidden="1" customHeight="1" outlineLevel="1" x14ac:dyDescent="0.25">
      <c r="A224" s="4">
        <v>1077</v>
      </c>
      <c r="B224" s="6" t="s">
        <v>15</v>
      </c>
      <c r="C224" s="97" t="s">
        <v>2349</v>
      </c>
      <c r="D224" s="79">
        <v>2022</v>
      </c>
      <c r="E224" s="79" t="s">
        <v>12</v>
      </c>
      <c r="F224" s="100">
        <v>70</v>
      </c>
      <c r="G224" s="79">
        <v>10</v>
      </c>
      <c r="H224" s="101">
        <v>188.86062999999999</v>
      </c>
      <c r="I224" s="210"/>
      <c r="J224" s="210"/>
    </row>
    <row r="225" spans="1:10" s="5" customFormat="1" ht="30" hidden="1" customHeight="1" outlineLevel="1" x14ac:dyDescent="0.25">
      <c r="A225" s="4">
        <v>1326</v>
      </c>
      <c r="B225" s="6" t="s">
        <v>15</v>
      </c>
      <c r="C225" s="97" t="s">
        <v>2350</v>
      </c>
      <c r="D225" s="79">
        <v>2022</v>
      </c>
      <c r="E225" s="79" t="s">
        <v>12</v>
      </c>
      <c r="F225" s="100">
        <v>15</v>
      </c>
      <c r="G225" s="79">
        <v>15</v>
      </c>
      <c r="H225" s="101">
        <v>98.498149999999995</v>
      </c>
      <c r="I225" s="210"/>
      <c r="J225" s="210"/>
    </row>
    <row r="226" spans="1:10" s="5" customFormat="1" ht="30" hidden="1" customHeight="1" outlineLevel="1" x14ac:dyDescent="0.25">
      <c r="A226" s="4">
        <v>1349</v>
      </c>
      <c r="B226" s="6" t="s">
        <v>15</v>
      </c>
      <c r="C226" s="106" t="s">
        <v>2351</v>
      </c>
      <c r="D226" s="6">
        <v>2022</v>
      </c>
      <c r="E226" s="6" t="s">
        <v>12</v>
      </c>
      <c r="F226" s="107">
        <v>20</v>
      </c>
      <c r="G226" s="6">
        <v>15</v>
      </c>
      <c r="H226" s="108">
        <v>88.398300000000006</v>
      </c>
      <c r="I226" s="211"/>
      <c r="J226" s="211"/>
    </row>
    <row r="227" spans="1:10" s="5" customFormat="1" ht="30" hidden="1" customHeight="1" outlineLevel="1" x14ac:dyDescent="0.25">
      <c r="A227" s="4">
        <v>1454</v>
      </c>
      <c r="B227" s="6" t="s">
        <v>15</v>
      </c>
      <c r="C227" s="109" t="s">
        <v>2352</v>
      </c>
      <c r="D227" s="6">
        <v>2022</v>
      </c>
      <c r="E227" s="6" t="s">
        <v>12</v>
      </c>
      <c r="F227" s="51">
        <v>240</v>
      </c>
      <c r="G227" s="6">
        <v>81</v>
      </c>
      <c r="H227" s="108">
        <v>283.21023000000002</v>
      </c>
      <c r="I227" s="211"/>
      <c r="J227" s="211"/>
    </row>
    <row r="228" spans="1:10" s="5" customFormat="1" ht="30" hidden="1" customHeight="1" outlineLevel="1" x14ac:dyDescent="0.25">
      <c r="A228" s="4">
        <v>1037</v>
      </c>
      <c r="B228" s="6" t="s">
        <v>15</v>
      </c>
      <c r="C228" s="110" t="s">
        <v>2353</v>
      </c>
      <c r="D228" s="6">
        <v>2022</v>
      </c>
      <c r="E228" s="6" t="s">
        <v>12</v>
      </c>
      <c r="F228" s="51">
        <v>5</v>
      </c>
      <c r="G228" s="6">
        <v>130</v>
      </c>
      <c r="H228" s="108">
        <v>99.809659999999994</v>
      </c>
      <c r="I228" s="211"/>
      <c r="J228" s="211"/>
    </row>
    <row r="229" spans="1:10" s="5" customFormat="1" ht="30" hidden="1" customHeight="1" outlineLevel="1" x14ac:dyDescent="0.25">
      <c r="A229" s="4">
        <v>1085</v>
      </c>
      <c r="B229" s="6" t="s">
        <v>15</v>
      </c>
      <c r="C229" s="110" t="s">
        <v>2354</v>
      </c>
      <c r="D229" s="6">
        <v>2022</v>
      </c>
      <c r="E229" s="6" t="s">
        <v>12</v>
      </c>
      <c r="F229" s="51">
        <v>6</v>
      </c>
      <c r="G229" s="6">
        <v>10</v>
      </c>
      <c r="H229" s="108">
        <v>78.191450000000003</v>
      </c>
      <c r="I229" s="211"/>
      <c r="J229" s="211"/>
    </row>
    <row r="230" spans="1:10" s="5" customFormat="1" ht="30" hidden="1" customHeight="1" outlineLevel="1" x14ac:dyDescent="0.25">
      <c r="A230" s="4">
        <v>1386</v>
      </c>
      <c r="B230" s="6" t="s">
        <v>15</v>
      </c>
      <c r="C230" s="110" t="s">
        <v>2355</v>
      </c>
      <c r="D230" s="6">
        <v>2022</v>
      </c>
      <c r="E230" s="6" t="s">
        <v>12</v>
      </c>
      <c r="F230" s="51">
        <v>30</v>
      </c>
      <c r="G230" s="6">
        <v>15</v>
      </c>
      <c r="H230" s="108">
        <v>85.635409999999993</v>
      </c>
      <c r="I230" s="211"/>
      <c r="J230" s="211"/>
    </row>
    <row r="231" spans="1:10" s="5" customFormat="1" ht="30" hidden="1" customHeight="1" outlineLevel="1" x14ac:dyDescent="0.25">
      <c r="A231" s="4">
        <v>1482</v>
      </c>
      <c r="B231" s="6" t="s">
        <v>15</v>
      </c>
      <c r="C231" s="111" t="s">
        <v>2356</v>
      </c>
      <c r="D231" s="6">
        <v>2022</v>
      </c>
      <c r="E231" s="6" t="s">
        <v>12</v>
      </c>
      <c r="F231" s="51">
        <v>65</v>
      </c>
      <c r="G231" s="6">
        <v>10</v>
      </c>
      <c r="H231" s="108">
        <v>128.42385999999999</v>
      </c>
      <c r="I231" s="211"/>
      <c r="J231" s="211"/>
    </row>
    <row r="232" spans="1:10" s="5" customFormat="1" ht="30" hidden="1" customHeight="1" outlineLevel="1" x14ac:dyDescent="0.25">
      <c r="A232" s="4">
        <v>1509</v>
      </c>
      <c r="B232" s="6" t="s">
        <v>15</v>
      </c>
      <c r="C232" s="111" t="s">
        <v>2357</v>
      </c>
      <c r="D232" s="6">
        <v>2022</v>
      </c>
      <c r="E232" s="6" t="s">
        <v>12</v>
      </c>
      <c r="F232" s="51">
        <v>217</v>
      </c>
      <c r="G232" s="6">
        <v>15</v>
      </c>
      <c r="H232" s="108">
        <v>263.96107000000001</v>
      </c>
      <c r="I232" s="211"/>
      <c r="J232" s="211"/>
    </row>
    <row r="233" spans="1:10" s="5" customFormat="1" ht="30" hidden="1" customHeight="1" outlineLevel="1" x14ac:dyDescent="0.25">
      <c r="A233" s="4">
        <v>1588</v>
      </c>
      <c r="B233" s="6" t="s">
        <v>15</v>
      </c>
      <c r="C233" s="111" t="s">
        <v>2358</v>
      </c>
      <c r="D233" s="6">
        <v>2022</v>
      </c>
      <c r="E233" s="6" t="s">
        <v>12</v>
      </c>
      <c r="F233" s="51">
        <v>35</v>
      </c>
      <c r="G233" s="6">
        <v>15</v>
      </c>
      <c r="H233" s="108">
        <v>67.405739999999994</v>
      </c>
      <c r="I233" s="211"/>
      <c r="J233" s="211"/>
    </row>
    <row r="234" spans="1:10" s="5" customFormat="1" ht="30" hidden="1" customHeight="1" outlineLevel="1" x14ac:dyDescent="0.25">
      <c r="A234" s="4">
        <v>1607</v>
      </c>
      <c r="B234" s="6" t="s">
        <v>15</v>
      </c>
      <c r="C234" s="111" t="s">
        <v>2359</v>
      </c>
      <c r="D234" s="6">
        <v>2022</v>
      </c>
      <c r="E234" s="6" t="s">
        <v>12</v>
      </c>
      <c r="F234" s="51">
        <v>20</v>
      </c>
      <c r="G234" s="6">
        <v>15</v>
      </c>
      <c r="H234" s="108">
        <v>41.700960000000002</v>
      </c>
      <c r="I234" s="211"/>
      <c r="J234" s="211"/>
    </row>
    <row r="235" spans="1:10" s="5" customFormat="1" ht="30" hidden="1" customHeight="1" outlineLevel="1" x14ac:dyDescent="0.25">
      <c r="A235" s="4">
        <v>1576</v>
      </c>
      <c r="B235" s="6" t="s">
        <v>15</v>
      </c>
      <c r="C235" s="109" t="s">
        <v>2360</v>
      </c>
      <c r="D235" s="6">
        <v>2022</v>
      </c>
      <c r="E235" s="6" t="s">
        <v>12</v>
      </c>
      <c r="F235" s="51">
        <v>104</v>
      </c>
      <c r="G235" s="6">
        <v>15</v>
      </c>
      <c r="H235" s="108">
        <v>170.74578</v>
      </c>
      <c r="I235" s="211"/>
      <c r="J235" s="211"/>
    </row>
    <row r="236" spans="1:10" s="5" customFormat="1" ht="30" hidden="1" customHeight="1" outlineLevel="1" x14ac:dyDescent="0.25">
      <c r="A236" s="4">
        <v>1577</v>
      </c>
      <c r="B236" s="6" t="s">
        <v>15</v>
      </c>
      <c r="C236" s="111" t="s">
        <v>2361</v>
      </c>
      <c r="D236" s="6">
        <v>2022</v>
      </c>
      <c r="E236" s="6" t="s">
        <v>12</v>
      </c>
      <c r="F236" s="51">
        <v>100</v>
      </c>
      <c r="G236" s="6">
        <v>7.5</v>
      </c>
      <c r="H236" s="108">
        <v>180.77667</v>
      </c>
      <c r="I236" s="211"/>
      <c r="J236" s="211"/>
    </row>
    <row r="237" spans="1:10" s="5" customFormat="1" ht="30" hidden="1" customHeight="1" outlineLevel="1" x14ac:dyDescent="0.25">
      <c r="A237" s="4">
        <v>1398</v>
      </c>
      <c r="B237" s="6" t="s">
        <v>15</v>
      </c>
      <c r="C237" s="111" t="s">
        <v>2362</v>
      </c>
      <c r="D237" s="6">
        <v>2022</v>
      </c>
      <c r="E237" s="6" t="s">
        <v>12</v>
      </c>
      <c r="F237" s="51">
        <v>140</v>
      </c>
      <c r="G237" s="6">
        <v>15</v>
      </c>
      <c r="H237" s="108">
        <v>200.94627</v>
      </c>
      <c r="I237" s="211"/>
      <c r="J237" s="211"/>
    </row>
    <row r="238" spans="1:10" s="5" customFormat="1" ht="30" hidden="1" customHeight="1" outlineLevel="1" x14ac:dyDescent="0.25">
      <c r="A238" s="4">
        <v>1199</v>
      </c>
      <c r="B238" s="6" t="s">
        <v>15</v>
      </c>
      <c r="C238" s="112" t="s">
        <v>2363</v>
      </c>
      <c r="D238" s="6">
        <v>2022</v>
      </c>
      <c r="E238" s="6" t="s">
        <v>12</v>
      </c>
      <c r="F238" s="51">
        <v>5</v>
      </c>
      <c r="G238" s="6">
        <v>15</v>
      </c>
      <c r="H238" s="108">
        <v>44.871949999999998</v>
      </c>
      <c r="I238" s="211"/>
      <c r="J238" s="211"/>
    </row>
    <row r="239" spans="1:10" s="5" customFormat="1" ht="30" hidden="1" customHeight="1" outlineLevel="1" x14ac:dyDescent="0.25">
      <c r="A239" s="4">
        <v>1508</v>
      </c>
      <c r="B239" s="6" t="s">
        <v>15</v>
      </c>
      <c r="C239" s="109" t="s">
        <v>2364</v>
      </c>
      <c r="D239" s="6">
        <v>2022</v>
      </c>
      <c r="E239" s="6" t="s">
        <v>12</v>
      </c>
      <c r="F239" s="51">
        <v>20</v>
      </c>
      <c r="G239" s="6">
        <v>15</v>
      </c>
      <c r="H239" s="108">
        <v>80.51858</v>
      </c>
      <c r="I239" s="211"/>
      <c r="J239" s="211"/>
    </row>
    <row r="240" spans="1:10" s="5" customFormat="1" ht="30" hidden="1" customHeight="1" outlineLevel="1" x14ac:dyDescent="0.25">
      <c r="A240" s="4">
        <v>1127</v>
      </c>
      <c r="B240" s="6" t="s">
        <v>15</v>
      </c>
      <c r="C240" s="111" t="s">
        <v>2365</v>
      </c>
      <c r="D240" s="6">
        <v>2022</v>
      </c>
      <c r="E240" s="6" t="s">
        <v>12</v>
      </c>
      <c r="F240" s="51">
        <v>30</v>
      </c>
      <c r="G240" s="6">
        <v>15</v>
      </c>
      <c r="H240" s="108">
        <v>135.18854999999999</v>
      </c>
      <c r="I240" s="211"/>
      <c r="J240" s="211"/>
    </row>
    <row r="241" spans="1:10" s="5" customFormat="1" ht="30" hidden="1" customHeight="1" outlineLevel="1" x14ac:dyDescent="0.25">
      <c r="A241" s="4">
        <v>1147</v>
      </c>
      <c r="B241" s="6" t="s">
        <v>15</v>
      </c>
      <c r="C241" s="53" t="s">
        <v>2366</v>
      </c>
      <c r="D241" s="6">
        <v>2022</v>
      </c>
      <c r="E241" s="6" t="s">
        <v>12</v>
      </c>
      <c r="F241" s="51">
        <v>93</v>
      </c>
      <c r="G241" s="6">
        <v>15</v>
      </c>
      <c r="H241" s="108">
        <v>271.86883</v>
      </c>
      <c r="I241" s="211"/>
      <c r="J241" s="211"/>
    </row>
    <row r="242" spans="1:10" s="5" customFormat="1" ht="30" hidden="1" customHeight="1" outlineLevel="1" x14ac:dyDescent="0.25">
      <c r="A242" s="4">
        <v>1049</v>
      </c>
      <c r="B242" s="6" t="s">
        <v>15</v>
      </c>
      <c r="C242" s="111" t="s">
        <v>2367</v>
      </c>
      <c r="D242" s="6">
        <v>2022</v>
      </c>
      <c r="E242" s="6" t="s">
        <v>12</v>
      </c>
      <c r="F242" s="51">
        <v>17</v>
      </c>
      <c r="G242" s="6">
        <v>15</v>
      </c>
      <c r="H242" s="108">
        <v>103.27831</v>
      </c>
      <c r="I242" s="211"/>
      <c r="J242" s="211"/>
    </row>
    <row r="243" spans="1:10" s="5" customFormat="1" ht="30" hidden="1" customHeight="1" outlineLevel="1" x14ac:dyDescent="0.25">
      <c r="A243" s="4">
        <v>1430</v>
      </c>
      <c r="B243" s="6" t="s">
        <v>15</v>
      </c>
      <c r="C243" s="111" t="s">
        <v>2368</v>
      </c>
      <c r="D243" s="6">
        <v>2022</v>
      </c>
      <c r="E243" s="6" t="s">
        <v>12</v>
      </c>
      <c r="F243" s="51">
        <v>5</v>
      </c>
      <c r="G243" s="6">
        <v>15</v>
      </c>
      <c r="H243" s="108">
        <v>74.717010000000002</v>
      </c>
      <c r="I243" s="211"/>
      <c r="J243" s="211"/>
    </row>
    <row r="244" spans="1:10" s="5" customFormat="1" ht="30" hidden="1" customHeight="1" outlineLevel="1" x14ac:dyDescent="0.25">
      <c r="A244" s="4">
        <v>1548</v>
      </c>
      <c r="B244" s="6" t="s">
        <v>15</v>
      </c>
      <c r="C244" s="111" t="s">
        <v>2369</v>
      </c>
      <c r="D244" s="6">
        <v>2022</v>
      </c>
      <c r="E244" s="6" t="s">
        <v>12</v>
      </c>
      <c r="F244" s="51">
        <v>15</v>
      </c>
      <c r="G244" s="6">
        <v>5</v>
      </c>
      <c r="H244" s="108">
        <v>110.67224</v>
      </c>
      <c r="I244" s="211"/>
      <c r="J244" s="211"/>
    </row>
    <row r="245" spans="1:10" s="5" customFormat="1" ht="30" hidden="1" customHeight="1" outlineLevel="1" x14ac:dyDescent="0.25">
      <c r="A245" s="4">
        <v>1581</v>
      </c>
      <c r="B245" s="6" t="s">
        <v>15</v>
      </c>
      <c r="C245" s="53" t="s">
        <v>2370</v>
      </c>
      <c r="D245" s="6">
        <v>2022</v>
      </c>
      <c r="E245" s="6" t="s">
        <v>12</v>
      </c>
      <c r="F245" s="51">
        <v>230</v>
      </c>
      <c r="G245" s="6">
        <v>10</v>
      </c>
      <c r="H245" s="108">
        <v>333.40339</v>
      </c>
      <c r="I245" s="211"/>
      <c r="J245" s="211"/>
    </row>
    <row r="246" spans="1:10" s="5" customFormat="1" ht="30" hidden="1" customHeight="1" outlineLevel="1" x14ac:dyDescent="0.25">
      <c r="A246" s="4">
        <v>1606</v>
      </c>
      <c r="B246" s="6" t="s">
        <v>15</v>
      </c>
      <c r="C246" s="53" t="s">
        <v>2371</v>
      </c>
      <c r="D246" s="6">
        <v>2022</v>
      </c>
      <c r="E246" s="6" t="s">
        <v>12</v>
      </c>
      <c r="F246" s="51">
        <v>162</v>
      </c>
      <c r="G246" s="6">
        <v>15</v>
      </c>
      <c r="H246" s="108">
        <v>273.18070999999998</v>
      </c>
      <c r="I246" s="211"/>
      <c r="J246" s="211"/>
    </row>
    <row r="247" spans="1:10" s="5" customFormat="1" ht="30" hidden="1" customHeight="1" outlineLevel="1" x14ac:dyDescent="0.25">
      <c r="A247" s="4">
        <v>1718</v>
      </c>
      <c r="B247" s="6" t="s">
        <v>15</v>
      </c>
      <c r="C247" s="53" t="s">
        <v>2372</v>
      </c>
      <c r="D247" s="6">
        <v>2022</v>
      </c>
      <c r="E247" s="6" t="s">
        <v>12</v>
      </c>
      <c r="F247" s="51">
        <v>215</v>
      </c>
      <c r="G247" s="6">
        <v>7.5</v>
      </c>
      <c r="H247" s="108">
        <v>347.46132</v>
      </c>
      <c r="I247" s="211"/>
      <c r="J247" s="211"/>
    </row>
    <row r="248" spans="1:10" s="5" customFormat="1" ht="30" hidden="1" customHeight="1" outlineLevel="1" x14ac:dyDescent="0.25">
      <c r="A248" s="4">
        <v>1611</v>
      </c>
      <c r="B248" s="6" t="s">
        <v>15</v>
      </c>
      <c r="C248" s="53" t="s">
        <v>2373</v>
      </c>
      <c r="D248" s="6">
        <v>2022</v>
      </c>
      <c r="E248" s="6" t="s">
        <v>12</v>
      </c>
      <c r="F248" s="51">
        <v>20</v>
      </c>
      <c r="G248" s="6">
        <v>15</v>
      </c>
      <c r="H248" s="108">
        <v>50.997709999999998</v>
      </c>
      <c r="I248" s="211"/>
      <c r="J248" s="211"/>
    </row>
    <row r="249" spans="1:10" s="5" customFormat="1" ht="30" hidden="1" customHeight="1" outlineLevel="1" x14ac:dyDescent="0.25">
      <c r="A249" s="4">
        <v>1579</v>
      </c>
      <c r="B249" s="6" t="s">
        <v>15</v>
      </c>
      <c r="C249" s="53" t="s">
        <v>2374</v>
      </c>
      <c r="D249" s="6">
        <v>2022</v>
      </c>
      <c r="E249" s="6" t="s">
        <v>12</v>
      </c>
      <c r="F249" s="51">
        <v>6</v>
      </c>
      <c r="G249" s="6">
        <v>15</v>
      </c>
      <c r="H249" s="108">
        <v>53.793579999999999</v>
      </c>
      <c r="I249" s="211"/>
      <c r="J249" s="211"/>
    </row>
    <row r="250" spans="1:10" s="5" customFormat="1" ht="30" hidden="1" customHeight="1" outlineLevel="1" x14ac:dyDescent="0.25">
      <c r="A250" s="4">
        <v>1612</v>
      </c>
      <c r="B250" s="6" t="s">
        <v>15</v>
      </c>
      <c r="C250" s="113" t="s">
        <v>2375</v>
      </c>
      <c r="D250" s="6">
        <v>2022</v>
      </c>
      <c r="E250" s="6" t="s">
        <v>12</v>
      </c>
      <c r="F250" s="51">
        <v>38</v>
      </c>
      <c r="G250" s="6">
        <v>10</v>
      </c>
      <c r="H250" s="108">
        <v>78.018169999999998</v>
      </c>
      <c r="I250" s="211"/>
      <c r="J250" s="211"/>
    </row>
    <row r="251" spans="1:10" s="5" customFormat="1" ht="30" hidden="1" customHeight="1" outlineLevel="1" x14ac:dyDescent="0.25">
      <c r="A251" s="4">
        <v>1610</v>
      </c>
      <c r="B251" s="6" t="s">
        <v>15</v>
      </c>
      <c r="C251" s="113" t="s">
        <v>2376</v>
      </c>
      <c r="D251" s="6">
        <v>2022</v>
      </c>
      <c r="E251" s="6" t="s">
        <v>12</v>
      </c>
      <c r="F251" s="51">
        <v>77</v>
      </c>
      <c r="G251" s="6">
        <v>15</v>
      </c>
      <c r="H251" s="108">
        <v>140.36573000000001</v>
      </c>
      <c r="I251" s="211"/>
      <c r="J251" s="211"/>
    </row>
    <row r="252" spans="1:10" s="5" customFormat="1" ht="30" hidden="1" customHeight="1" outlineLevel="1" x14ac:dyDescent="0.25">
      <c r="A252" s="4">
        <v>1608</v>
      </c>
      <c r="B252" s="6" t="s">
        <v>15</v>
      </c>
      <c r="C252" s="111" t="s">
        <v>2377</v>
      </c>
      <c r="D252" s="6">
        <v>2022</v>
      </c>
      <c r="E252" s="6" t="s">
        <v>12</v>
      </c>
      <c r="F252" s="51">
        <v>5</v>
      </c>
      <c r="G252" s="6">
        <v>75</v>
      </c>
      <c r="H252" s="108">
        <v>54.704230000000003</v>
      </c>
      <c r="I252" s="211"/>
      <c r="J252" s="211"/>
    </row>
    <row r="253" spans="1:10" s="5" customFormat="1" ht="30" hidden="1" customHeight="1" outlineLevel="1" x14ac:dyDescent="0.25">
      <c r="A253" s="4">
        <v>1043</v>
      </c>
      <c r="B253" s="6" t="s">
        <v>15</v>
      </c>
      <c r="C253" s="111" t="s">
        <v>2378</v>
      </c>
      <c r="D253" s="6">
        <v>2022</v>
      </c>
      <c r="E253" s="6" t="s">
        <v>12</v>
      </c>
      <c r="F253" s="51">
        <v>5</v>
      </c>
      <c r="G253" s="6">
        <v>15</v>
      </c>
      <c r="H253" s="108">
        <v>60.260120000000001</v>
      </c>
      <c r="I253" s="211"/>
      <c r="J253" s="211"/>
    </row>
    <row r="254" spans="1:10" s="5" customFormat="1" ht="30" hidden="1" customHeight="1" outlineLevel="1" x14ac:dyDescent="0.25">
      <c r="A254" s="4">
        <v>1189</v>
      </c>
      <c r="B254" s="6" t="s">
        <v>15</v>
      </c>
      <c r="C254" s="53" t="s">
        <v>2379</v>
      </c>
      <c r="D254" s="6">
        <v>2022</v>
      </c>
      <c r="E254" s="6" t="s">
        <v>12</v>
      </c>
      <c r="F254" s="51">
        <v>40</v>
      </c>
      <c r="G254" s="6">
        <v>11.5</v>
      </c>
      <c r="H254" s="108">
        <v>158.75072</v>
      </c>
      <c r="I254" s="211"/>
      <c r="J254" s="211"/>
    </row>
    <row r="255" spans="1:10" s="5" customFormat="1" ht="30" hidden="1" customHeight="1" outlineLevel="1" x14ac:dyDescent="0.25">
      <c r="A255" s="4">
        <v>1435</v>
      </c>
      <c r="B255" s="6" t="s">
        <v>15</v>
      </c>
      <c r="C255" s="113" t="s">
        <v>2380</v>
      </c>
      <c r="D255" s="6">
        <v>2022</v>
      </c>
      <c r="E255" s="6" t="s">
        <v>12</v>
      </c>
      <c r="F255" s="51">
        <v>114</v>
      </c>
      <c r="G255" s="6">
        <v>15</v>
      </c>
      <c r="H255" s="108">
        <v>192.48505</v>
      </c>
      <c r="I255" s="211"/>
      <c r="J255" s="211"/>
    </row>
    <row r="256" spans="1:10" s="5" customFormat="1" ht="30" hidden="1" customHeight="1" outlineLevel="1" x14ac:dyDescent="0.25">
      <c r="A256" s="4">
        <v>1356</v>
      </c>
      <c r="B256" s="6" t="s">
        <v>15</v>
      </c>
      <c r="C256" s="113" t="s">
        <v>2381</v>
      </c>
      <c r="D256" s="6">
        <v>2022</v>
      </c>
      <c r="E256" s="6" t="s">
        <v>12</v>
      </c>
      <c r="F256" s="51">
        <v>212</v>
      </c>
      <c r="G256" s="6">
        <v>9.5</v>
      </c>
      <c r="H256" s="108">
        <v>329.62873000000002</v>
      </c>
      <c r="I256" s="211"/>
      <c r="J256" s="211"/>
    </row>
    <row r="257" spans="1:10" s="5" customFormat="1" ht="30" hidden="1" customHeight="1" outlineLevel="1" x14ac:dyDescent="0.25">
      <c r="A257" s="4">
        <v>507</v>
      </c>
      <c r="B257" s="6" t="s">
        <v>15</v>
      </c>
      <c r="C257" s="38" t="s">
        <v>2383</v>
      </c>
      <c r="D257" s="6">
        <v>2022</v>
      </c>
      <c r="E257" s="6" t="s">
        <v>12</v>
      </c>
      <c r="F257" s="4">
        <v>50</v>
      </c>
      <c r="G257" s="4">
        <v>25</v>
      </c>
      <c r="H257" s="4">
        <v>76.681370000000001</v>
      </c>
      <c r="I257" s="201"/>
      <c r="J257" s="201"/>
    </row>
    <row r="258" spans="1:10" s="5" customFormat="1" ht="30" hidden="1" customHeight="1" outlineLevel="1" x14ac:dyDescent="0.25">
      <c r="A258" s="4">
        <v>483</v>
      </c>
      <c r="B258" s="6" t="s">
        <v>15</v>
      </c>
      <c r="C258" s="38" t="s">
        <v>2384</v>
      </c>
      <c r="D258" s="6">
        <v>2022</v>
      </c>
      <c r="E258" s="6" t="s">
        <v>12</v>
      </c>
      <c r="F258" s="4">
        <v>80</v>
      </c>
      <c r="G258" s="4">
        <v>15</v>
      </c>
      <c r="H258" s="4">
        <v>92.635739999999998</v>
      </c>
      <c r="I258" s="201"/>
      <c r="J258" s="201"/>
    </row>
    <row r="259" spans="1:10" s="5" customFormat="1" ht="30" hidden="1" customHeight="1" outlineLevel="1" x14ac:dyDescent="0.25">
      <c r="A259" s="4">
        <v>494</v>
      </c>
      <c r="B259" s="6" t="s">
        <v>15</v>
      </c>
      <c r="C259" s="38" t="s">
        <v>2385</v>
      </c>
      <c r="D259" s="6">
        <v>2022</v>
      </c>
      <c r="E259" s="6" t="s">
        <v>12</v>
      </c>
      <c r="F259" s="4">
        <v>130</v>
      </c>
      <c r="G259" s="4">
        <v>15</v>
      </c>
      <c r="H259" s="4">
        <v>138.55509000000001</v>
      </c>
      <c r="I259" s="201"/>
      <c r="J259" s="201"/>
    </row>
    <row r="260" spans="1:10" s="5" customFormat="1" ht="30" hidden="1" customHeight="1" outlineLevel="1" x14ac:dyDescent="0.25">
      <c r="A260" s="4">
        <v>448</v>
      </c>
      <c r="B260" s="6" t="s">
        <v>15</v>
      </c>
      <c r="C260" s="38" t="s">
        <v>2387</v>
      </c>
      <c r="D260" s="6">
        <v>2022</v>
      </c>
      <c r="E260" s="6" t="s">
        <v>12</v>
      </c>
      <c r="F260" s="4">
        <v>10</v>
      </c>
      <c r="G260" s="4">
        <v>150</v>
      </c>
      <c r="H260" s="4">
        <v>48.51417</v>
      </c>
      <c r="I260" s="201"/>
      <c r="J260" s="201"/>
    </row>
    <row r="261" spans="1:10" s="5" customFormat="1" ht="30" hidden="1" customHeight="1" outlineLevel="1" x14ac:dyDescent="0.25">
      <c r="A261" s="4">
        <v>527</v>
      </c>
      <c r="B261" s="6" t="s">
        <v>15</v>
      </c>
      <c r="C261" s="38" t="s">
        <v>2388</v>
      </c>
      <c r="D261" s="6">
        <v>2022</v>
      </c>
      <c r="E261" s="6" t="s">
        <v>12</v>
      </c>
      <c r="F261" s="4">
        <v>832</v>
      </c>
      <c r="G261" s="4">
        <v>15</v>
      </c>
      <c r="H261" s="4">
        <v>1136.2906</v>
      </c>
      <c r="I261" s="201"/>
      <c r="J261" s="201"/>
    </row>
    <row r="262" spans="1:10" s="5" customFormat="1" ht="30" hidden="1" customHeight="1" outlineLevel="1" x14ac:dyDescent="0.25">
      <c r="A262" s="4">
        <v>476</v>
      </c>
      <c r="B262" s="6" t="s">
        <v>15</v>
      </c>
      <c r="C262" s="38" t="s">
        <v>2389</v>
      </c>
      <c r="D262" s="6">
        <v>2022</v>
      </c>
      <c r="E262" s="6" t="s">
        <v>12</v>
      </c>
      <c r="F262" s="4">
        <v>498</v>
      </c>
      <c r="G262" s="4">
        <v>15</v>
      </c>
      <c r="H262" s="4">
        <v>760.67341999999996</v>
      </c>
      <c r="I262" s="201"/>
      <c r="J262" s="201"/>
    </row>
    <row r="263" spans="1:10" s="5" customFormat="1" ht="30" hidden="1" customHeight="1" outlineLevel="1" x14ac:dyDescent="0.25">
      <c r="A263" s="4">
        <v>528</v>
      </c>
      <c r="B263" s="6" t="s">
        <v>15</v>
      </c>
      <c r="C263" s="38" t="s">
        <v>2390</v>
      </c>
      <c r="D263" s="6">
        <v>2022</v>
      </c>
      <c r="E263" s="6" t="s">
        <v>12</v>
      </c>
      <c r="F263" s="4">
        <v>74</v>
      </c>
      <c r="G263" s="4">
        <v>25</v>
      </c>
      <c r="H263" s="4">
        <v>147.01255</v>
      </c>
      <c r="I263" s="201"/>
      <c r="J263" s="201"/>
    </row>
    <row r="264" spans="1:10" s="5" customFormat="1" ht="30" hidden="1" customHeight="1" outlineLevel="1" x14ac:dyDescent="0.25">
      <c r="A264" s="4">
        <v>513</v>
      </c>
      <c r="B264" s="6" t="s">
        <v>15</v>
      </c>
      <c r="C264" s="38" t="s">
        <v>2391</v>
      </c>
      <c r="D264" s="6">
        <v>2022</v>
      </c>
      <c r="E264" s="6" t="s">
        <v>12</v>
      </c>
      <c r="F264" s="4">
        <v>80</v>
      </c>
      <c r="G264" s="4">
        <v>15</v>
      </c>
      <c r="H264" s="4">
        <v>84.582440000000005</v>
      </c>
      <c r="I264" s="201"/>
      <c r="J264" s="201"/>
    </row>
    <row r="265" spans="1:10" s="5" customFormat="1" ht="30" hidden="1" customHeight="1" outlineLevel="1" x14ac:dyDescent="0.25">
      <c r="A265" s="4">
        <v>484</v>
      </c>
      <c r="B265" s="6" t="s">
        <v>15</v>
      </c>
      <c r="C265" s="38" t="s">
        <v>2392</v>
      </c>
      <c r="D265" s="6">
        <v>2022</v>
      </c>
      <c r="E265" s="6" t="s">
        <v>12</v>
      </c>
      <c r="F265" s="4">
        <v>30</v>
      </c>
      <c r="G265" s="4">
        <v>15</v>
      </c>
      <c r="H265" s="4">
        <v>61.324460000000002</v>
      </c>
      <c r="I265" s="201"/>
      <c r="J265" s="201"/>
    </row>
    <row r="266" spans="1:10" s="5" customFormat="1" ht="30" hidden="1" customHeight="1" outlineLevel="1" x14ac:dyDescent="0.25">
      <c r="A266" s="4">
        <v>504</v>
      </c>
      <c r="B266" s="6" t="s">
        <v>15</v>
      </c>
      <c r="C266" s="38" t="s">
        <v>2393</v>
      </c>
      <c r="D266" s="6">
        <v>2022</v>
      </c>
      <c r="E266" s="6" t="s">
        <v>12</v>
      </c>
      <c r="F266" s="4">
        <v>101</v>
      </c>
      <c r="G266" s="4">
        <v>8</v>
      </c>
      <c r="H266" s="4">
        <v>112.61185</v>
      </c>
      <c r="I266" s="201"/>
      <c r="J266" s="201"/>
    </row>
    <row r="267" spans="1:10" s="5" customFormat="1" ht="30" hidden="1" customHeight="1" outlineLevel="1" x14ac:dyDescent="0.25">
      <c r="A267" s="4">
        <v>546</v>
      </c>
      <c r="B267" s="6" t="s">
        <v>15</v>
      </c>
      <c r="C267" s="38" t="s">
        <v>2394</v>
      </c>
      <c r="D267" s="6">
        <v>2022</v>
      </c>
      <c r="E267" s="6" t="s">
        <v>12</v>
      </c>
      <c r="F267" s="4">
        <v>234</v>
      </c>
      <c r="G267" s="4">
        <v>45</v>
      </c>
      <c r="H267" s="4">
        <v>441.82686000000001</v>
      </c>
      <c r="I267" s="201"/>
      <c r="J267" s="201"/>
    </row>
    <row r="268" spans="1:10" s="5" customFormat="1" ht="30" hidden="1" customHeight="1" outlineLevel="1" x14ac:dyDescent="0.25">
      <c r="A268" s="4">
        <v>537</v>
      </c>
      <c r="B268" s="6" t="s">
        <v>15</v>
      </c>
      <c r="C268" s="38" t="s">
        <v>2395</v>
      </c>
      <c r="D268" s="6">
        <v>2022</v>
      </c>
      <c r="E268" s="6" t="s">
        <v>12</v>
      </c>
      <c r="F268" s="4">
        <v>359</v>
      </c>
      <c r="G268" s="4">
        <v>15</v>
      </c>
      <c r="H268" s="4">
        <v>597.86526000000003</v>
      </c>
      <c r="I268" s="201"/>
      <c r="J268" s="201"/>
    </row>
    <row r="269" spans="1:10" s="5" customFormat="1" ht="30" hidden="1" customHeight="1" outlineLevel="1" x14ac:dyDescent="0.25">
      <c r="A269" s="4">
        <v>538</v>
      </c>
      <c r="B269" s="6" t="s">
        <v>15</v>
      </c>
      <c r="C269" s="38" t="s">
        <v>2396</v>
      </c>
      <c r="D269" s="6">
        <v>2022</v>
      </c>
      <c r="E269" s="6" t="s">
        <v>12</v>
      </c>
      <c r="F269" s="4">
        <v>15</v>
      </c>
      <c r="G269" s="4">
        <v>15</v>
      </c>
      <c r="H269" s="4">
        <v>68.578919999999997</v>
      </c>
      <c r="I269" s="201"/>
      <c r="J269" s="201"/>
    </row>
    <row r="270" spans="1:10" s="5" customFormat="1" ht="30" hidden="1" customHeight="1" outlineLevel="1" x14ac:dyDescent="0.25">
      <c r="A270" s="4">
        <v>548</v>
      </c>
      <c r="B270" s="6" t="s">
        <v>15</v>
      </c>
      <c r="C270" s="38" t="s">
        <v>2397</v>
      </c>
      <c r="D270" s="6">
        <v>2022</v>
      </c>
      <c r="E270" s="6" t="s">
        <v>12</v>
      </c>
      <c r="F270" s="4">
        <v>82</v>
      </c>
      <c r="G270" s="4">
        <v>15</v>
      </c>
      <c r="H270" s="4">
        <v>157.12530000000001</v>
      </c>
      <c r="I270" s="201"/>
      <c r="J270" s="201"/>
    </row>
    <row r="271" spans="1:10" s="5" customFormat="1" ht="30" hidden="1" customHeight="1" outlineLevel="1" x14ac:dyDescent="0.25">
      <c r="A271" s="4">
        <v>540</v>
      </c>
      <c r="B271" s="6" t="s">
        <v>15</v>
      </c>
      <c r="C271" s="38" t="s">
        <v>2398</v>
      </c>
      <c r="D271" s="6">
        <v>2022</v>
      </c>
      <c r="E271" s="6" t="s">
        <v>12</v>
      </c>
      <c r="F271" s="4">
        <v>242</v>
      </c>
      <c r="G271" s="4">
        <v>15</v>
      </c>
      <c r="H271" s="4">
        <v>306.95316000000003</v>
      </c>
      <c r="I271" s="201"/>
      <c r="J271" s="201"/>
    </row>
    <row r="272" spans="1:10" s="5" customFormat="1" ht="30" hidden="1" customHeight="1" outlineLevel="1" x14ac:dyDescent="0.25">
      <c r="A272" s="4">
        <v>539</v>
      </c>
      <c r="B272" s="6" t="s">
        <v>15</v>
      </c>
      <c r="C272" s="38" t="s">
        <v>2399</v>
      </c>
      <c r="D272" s="6">
        <v>2022</v>
      </c>
      <c r="E272" s="6" t="s">
        <v>12</v>
      </c>
      <c r="F272" s="4">
        <v>229</v>
      </c>
      <c r="G272" s="4">
        <v>15</v>
      </c>
      <c r="H272" s="4">
        <v>356.90062999999998</v>
      </c>
      <c r="I272" s="201"/>
      <c r="J272" s="201"/>
    </row>
    <row r="273" spans="1:10" s="5" customFormat="1" ht="30" hidden="1" customHeight="1" outlineLevel="1" x14ac:dyDescent="0.25">
      <c r="A273" s="4">
        <v>541</v>
      </c>
      <c r="B273" s="6" t="s">
        <v>15</v>
      </c>
      <c r="C273" s="38" t="s">
        <v>2400</v>
      </c>
      <c r="D273" s="6">
        <v>2022</v>
      </c>
      <c r="E273" s="6" t="s">
        <v>12</v>
      </c>
      <c r="F273" s="4">
        <v>254</v>
      </c>
      <c r="G273" s="4">
        <v>15</v>
      </c>
      <c r="H273" s="4">
        <v>385.92149000000001</v>
      </c>
      <c r="I273" s="201"/>
      <c r="J273" s="201"/>
    </row>
    <row r="274" spans="1:10" s="5" customFormat="1" ht="30" hidden="1" customHeight="1" outlineLevel="1" x14ac:dyDescent="0.25">
      <c r="A274" s="4">
        <v>543</v>
      </c>
      <c r="B274" s="6" t="s">
        <v>15</v>
      </c>
      <c r="C274" s="38" t="s">
        <v>2401</v>
      </c>
      <c r="D274" s="6">
        <v>2022</v>
      </c>
      <c r="E274" s="6" t="s">
        <v>12</v>
      </c>
      <c r="F274" s="4">
        <v>95</v>
      </c>
      <c r="G274" s="4">
        <v>45</v>
      </c>
      <c r="H274" s="4">
        <v>168.05533</v>
      </c>
      <c r="I274" s="201"/>
      <c r="J274" s="201"/>
    </row>
    <row r="275" spans="1:10" s="5" customFormat="1" ht="30" hidden="1" customHeight="1" outlineLevel="1" x14ac:dyDescent="0.25">
      <c r="A275" s="4">
        <v>542</v>
      </c>
      <c r="B275" s="6" t="s">
        <v>15</v>
      </c>
      <c r="C275" s="38" t="s">
        <v>2402</v>
      </c>
      <c r="D275" s="6">
        <v>2022</v>
      </c>
      <c r="E275" s="6" t="s">
        <v>12</v>
      </c>
      <c r="F275" s="4">
        <v>261</v>
      </c>
      <c r="G275" s="4">
        <v>15</v>
      </c>
      <c r="H275" s="4">
        <v>458.47714000000002</v>
      </c>
      <c r="I275" s="201"/>
      <c r="J275" s="201"/>
    </row>
    <row r="276" spans="1:10" s="5" customFormat="1" ht="30" hidden="1" customHeight="1" outlineLevel="1" x14ac:dyDescent="0.25">
      <c r="A276" s="4">
        <v>547</v>
      </c>
      <c r="B276" s="6" t="s">
        <v>15</v>
      </c>
      <c r="C276" s="38" t="s">
        <v>2403</v>
      </c>
      <c r="D276" s="6">
        <v>2022</v>
      </c>
      <c r="E276" s="6" t="s">
        <v>12</v>
      </c>
      <c r="F276" s="4">
        <v>222</v>
      </c>
      <c r="G276" s="4">
        <v>15</v>
      </c>
      <c r="H276" s="4">
        <v>388.44153999999997</v>
      </c>
      <c r="I276" s="201"/>
      <c r="J276" s="201"/>
    </row>
    <row r="277" spans="1:10" s="5" customFormat="1" ht="30" hidden="1" customHeight="1" outlineLevel="1" x14ac:dyDescent="0.25">
      <c r="A277" s="4">
        <v>544</v>
      </c>
      <c r="B277" s="6" t="s">
        <v>15</v>
      </c>
      <c r="C277" s="38" t="s">
        <v>2404</v>
      </c>
      <c r="D277" s="6">
        <v>2022</v>
      </c>
      <c r="E277" s="6" t="s">
        <v>12</v>
      </c>
      <c r="F277" s="4">
        <v>438</v>
      </c>
      <c r="G277" s="4">
        <v>15</v>
      </c>
      <c r="H277" s="4">
        <v>519.26859999999999</v>
      </c>
      <c r="I277" s="201"/>
      <c r="J277" s="201"/>
    </row>
    <row r="278" spans="1:10" s="5" customFormat="1" ht="30" hidden="1" customHeight="1" outlineLevel="1" x14ac:dyDescent="0.25">
      <c r="A278" s="4">
        <v>534</v>
      </c>
      <c r="B278" s="6" t="s">
        <v>15</v>
      </c>
      <c r="C278" s="38" t="s">
        <v>2405</v>
      </c>
      <c r="D278" s="6">
        <v>2022</v>
      </c>
      <c r="E278" s="6" t="s">
        <v>12</v>
      </c>
      <c r="F278" s="4">
        <v>202</v>
      </c>
      <c r="G278" s="4">
        <v>15</v>
      </c>
      <c r="H278" s="4">
        <v>320.16737000000001</v>
      </c>
      <c r="I278" s="201"/>
      <c r="J278" s="201"/>
    </row>
    <row r="279" spans="1:10" s="5" customFormat="1" ht="30" hidden="1" customHeight="1" outlineLevel="1" x14ac:dyDescent="0.25">
      <c r="A279" s="4">
        <v>535</v>
      </c>
      <c r="B279" s="6" t="s">
        <v>15</v>
      </c>
      <c r="C279" s="38" t="s">
        <v>2406</v>
      </c>
      <c r="D279" s="6">
        <v>2022</v>
      </c>
      <c r="E279" s="6" t="s">
        <v>12</v>
      </c>
      <c r="F279" s="4">
        <v>206</v>
      </c>
      <c r="G279" s="4">
        <v>15</v>
      </c>
      <c r="H279" s="4">
        <v>304.89049</v>
      </c>
      <c r="I279" s="201"/>
      <c r="J279" s="201"/>
    </row>
    <row r="280" spans="1:10" s="5" customFormat="1" ht="30" hidden="1" customHeight="1" outlineLevel="1" x14ac:dyDescent="0.25">
      <c r="A280" s="4">
        <v>505</v>
      </c>
      <c r="B280" s="6" t="s">
        <v>15</v>
      </c>
      <c r="C280" s="38" t="s">
        <v>2407</v>
      </c>
      <c r="D280" s="6">
        <v>2022</v>
      </c>
      <c r="E280" s="6" t="s">
        <v>12</v>
      </c>
      <c r="F280" s="4">
        <v>79</v>
      </c>
      <c r="G280" s="4">
        <v>12</v>
      </c>
      <c r="H280" s="4">
        <v>108.54040000000001</v>
      </c>
      <c r="I280" s="201"/>
      <c r="J280" s="201"/>
    </row>
    <row r="281" spans="1:10" s="5" customFormat="1" ht="30" hidden="1" customHeight="1" outlineLevel="1" x14ac:dyDescent="0.25">
      <c r="A281" s="4">
        <v>515</v>
      </c>
      <c r="B281" s="6" t="s">
        <v>15</v>
      </c>
      <c r="C281" s="38" t="s">
        <v>2408</v>
      </c>
      <c r="D281" s="6">
        <v>2022</v>
      </c>
      <c r="E281" s="6" t="s">
        <v>12</v>
      </c>
      <c r="F281" s="4">
        <v>79</v>
      </c>
      <c r="G281" s="4">
        <v>8</v>
      </c>
      <c r="H281" s="4">
        <v>78.675809999999998</v>
      </c>
      <c r="I281" s="201"/>
      <c r="J281" s="201"/>
    </row>
    <row r="282" spans="1:10" s="5" customFormat="1" ht="30" hidden="1" customHeight="1" outlineLevel="1" x14ac:dyDescent="0.25">
      <c r="A282" s="4">
        <v>490</v>
      </c>
      <c r="B282" s="6" t="s">
        <v>15</v>
      </c>
      <c r="C282" s="38" t="s">
        <v>2409</v>
      </c>
      <c r="D282" s="6">
        <v>2022</v>
      </c>
      <c r="E282" s="6" t="s">
        <v>12</v>
      </c>
      <c r="F282" s="4">
        <v>30</v>
      </c>
      <c r="G282" s="4">
        <v>6</v>
      </c>
      <c r="H282" s="4">
        <v>47.545529999999999</v>
      </c>
      <c r="I282" s="201"/>
      <c r="J282" s="201"/>
    </row>
    <row r="283" spans="1:10" s="5" customFormat="1" ht="30" hidden="1" customHeight="1" outlineLevel="1" x14ac:dyDescent="0.25">
      <c r="A283" s="4">
        <v>512</v>
      </c>
      <c r="B283" s="6" t="s">
        <v>15</v>
      </c>
      <c r="C283" s="38" t="s">
        <v>2410</v>
      </c>
      <c r="D283" s="6">
        <v>2022</v>
      </c>
      <c r="E283" s="6" t="s">
        <v>12</v>
      </c>
      <c r="F283" s="4">
        <v>25</v>
      </c>
      <c r="G283" s="4">
        <v>15</v>
      </c>
      <c r="H283" s="4">
        <v>43.223750000000003</v>
      </c>
      <c r="I283" s="201"/>
      <c r="J283" s="201"/>
    </row>
    <row r="284" spans="1:10" s="5" customFormat="1" ht="30" hidden="1" customHeight="1" outlineLevel="1" x14ac:dyDescent="0.25">
      <c r="A284" s="4">
        <v>478</v>
      </c>
      <c r="B284" s="6" t="s">
        <v>15</v>
      </c>
      <c r="C284" s="38" t="s">
        <v>2411</v>
      </c>
      <c r="D284" s="6">
        <v>2022</v>
      </c>
      <c r="E284" s="6" t="s">
        <v>12</v>
      </c>
      <c r="F284" s="4">
        <v>45</v>
      </c>
      <c r="G284" s="4">
        <v>15</v>
      </c>
      <c r="H284" s="4">
        <v>57.142400000000002</v>
      </c>
      <c r="I284" s="201"/>
      <c r="J284" s="201"/>
    </row>
    <row r="285" spans="1:10" s="5" customFormat="1" ht="30" hidden="1" customHeight="1" outlineLevel="1" x14ac:dyDescent="0.25">
      <c r="A285" s="4">
        <v>481</v>
      </c>
      <c r="B285" s="6" t="s">
        <v>15</v>
      </c>
      <c r="C285" s="38" t="s">
        <v>2412</v>
      </c>
      <c r="D285" s="6">
        <v>2022</v>
      </c>
      <c r="E285" s="6" t="s">
        <v>12</v>
      </c>
      <c r="F285" s="4">
        <v>32</v>
      </c>
      <c r="G285" s="4">
        <v>15</v>
      </c>
      <c r="H285" s="4">
        <v>45.986530000000002</v>
      </c>
      <c r="I285" s="201"/>
      <c r="J285" s="201"/>
    </row>
    <row r="286" spans="1:10" s="5" customFormat="1" ht="30" hidden="1" customHeight="1" outlineLevel="1" x14ac:dyDescent="0.25">
      <c r="A286" s="4">
        <v>550</v>
      </c>
      <c r="B286" s="6" t="s">
        <v>15</v>
      </c>
      <c r="C286" s="38" t="s">
        <v>2413</v>
      </c>
      <c r="D286" s="6">
        <v>2022</v>
      </c>
      <c r="E286" s="6" t="s">
        <v>12</v>
      </c>
      <c r="F286" s="4">
        <v>111</v>
      </c>
      <c r="G286" s="4">
        <v>10</v>
      </c>
      <c r="H286" s="4">
        <v>407.63623999999999</v>
      </c>
      <c r="I286" s="201"/>
      <c r="J286" s="201"/>
    </row>
    <row r="287" spans="1:10" s="5" customFormat="1" ht="30" hidden="1" customHeight="1" outlineLevel="1" x14ac:dyDescent="0.25">
      <c r="A287" s="4">
        <v>551</v>
      </c>
      <c r="B287" s="6" t="s">
        <v>15</v>
      </c>
      <c r="C287" s="38" t="s">
        <v>2414</v>
      </c>
      <c r="D287" s="6">
        <v>2022</v>
      </c>
      <c r="E287" s="6" t="s">
        <v>12</v>
      </c>
      <c r="F287" s="4">
        <v>352</v>
      </c>
      <c r="G287" s="4">
        <v>15</v>
      </c>
      <c r="H287" s="4">
        <v>544.17678999999998</v>
      </c>
      <c r="I287" s="201"/>
      <c r="J287" s="201"/>
    </row>
    <row r="288" spans="1:10" s="5" customFormat="1" ht="30" hidden="1" customHeight="1" outlineLevel="1" x14ac:dyDescent="0.25">
      <c r="A288" s="4">
        <v>552</v>
      </c>
      <c r="B288" s="6" t="s">
        <v>15</v>
      </c>
      <c r="C288" s="38" t="s">
        <v>2415</v>
      </c>
      <c r="D288" s="6">
        <v>2022</v>
      </c>
      <c r="E288" s="6" t="s">
        <v>12</v>
      </c>
      <c r="F288" s="4">
        <v>250</v>
      </c>
      <c r="G288" s="4">
        <v>9</v>
      </c>
      <c r="H288" s="4">
        <v>450.41041000000001</v>
      </c>
      <c r="I288" s="201"/>
      <c r="J288" s="201"/>
    </row>
    <row r="289" spans="1:10" s="5" customFormat="1" ht="30" hidden="1" customHeight="1" outlineLevel="1" x14ac:dyDescent="0.25">
      <c r="A289" s="4">
        <v>453</v>
      </c>
      <c r="B289" s="6" t="s">
        <v>15</v>
      </c>
      <c r="C289" s="38" t="s">
        <v>2416</v>
      </c>
      <c r="D289" s="6">
        <v>2022</v>
      </c>
      <c r="E289" s="6" t="s">
        <v>12</v>
      </c>
      <c r="F289" s="4">
        <v>15</v>
      </c>
      <c r="G289" s="4">
        <v>15</v>
      </c>
      <c r="H289" s="4">
        <v>95.808999999999997</v>
      </c>
      <c r="I289" s="201"/>
      <c r="J289" s="201"/>
    </row>
    <row r="290" spans="1:10" s="5" customFormat="1" ht="30" hidden="1" customHeight="1" outlineLevel="1" x14ac:dyDescent="0.25">
      <c r="A290" s="4">
        <v>511</v>
      </c>
      <c r="B290" s="6" t="s">
        <v>15</v>
      </c>
      <c r="C290" s="38" t="s">
        <v>2417</v>
      </c>
      <c r="D290" s="6">
        <v>2022</v>
      </c>
      <c r="E290" s="6" t="s">
        <v>12</v>
      </c>
      <c r="F290" s="4">
        <v>40</v>
      </c>
      <c r="G290" s="4">
        <v>15</v>
      </c>
      <c r="H290" s="4">
        <v>64.231790000000004</v>
      </c>
      <c r="I290" s="201"/>
      <c r="J290" s="201"/>
    </row>
    <row r="291" spans="1:10" s="5" customFormat="1" ht="30" hidden="1" customHeight="1" outlineLevel="1" x14ac:dyDescent="0.25">
      <c r="A291" s="4">
        <v>491</v>
      </c>
      <c r="B291" s="6" t="s">
        <v>15</v>
      </c>
      <c r="C291" s="38" t="s">
        <v>2418</v>
      </c>
      <c r="D291" s="6">
        <v>2022</v>
      </c>
      <c r="E291" s="6" t="s">
        <v>12</v>
      </c>
      <c r="F291" s="4">
        <v>50</v>
      </c>
      <c r="G291" s="4">
        <v>15</v>
      </c>
      <c r="H291" s="4">
        <v>89.076070000000001</v>
      </c>
      <c r="I291" s="201"/>
      <c r="J291" s="201"/>
    </row>
    <row r="292" spans="1:10" s="5" customFormat="1" ht="30" hidden="1" customHeight="1" outlineLevel="1" x14ac:dyDescent="0.25">
      <c r="A292" s="4">
        <v>489</v>
      </c>
      <c r="B292" s="6" t="s">
        <v>15</v>
      </c>
      <c r="C292" s="38" t="s">
        <v>2419</v>
      </c>
      <c r="D292" s="6">
        <v>2022</v>
      </c>
      <c r="E292" s="6" t="s">
        <v>12</v>
      </c>
      <c r="F292" s="4">
        <v>70</v>
      </c>
      <c r="G292" s="4">
        <v>15</v>
      </c>
      <c r="H292" s="4">
        <v>84.207030000000003</v>
      </c>
      <c r="I292" s="201"/>
      <c r="J292" s="201"/>
    </row>
    <row r="293" spans="1:10" s="5" customFormat="1" ht="30" hidden="1" customHeight="1" outlineLevel="1" x14ac:dyDescent="0.25">
      <c r="A293" s="4">
        <v>510</v>
      </c>
      <c r="B293" s="6" t="s">
        <v>15</v>
      </c>
      <c r="C293" s="38" t="s">
        <v>2420</v>
      </c>
      <c r="D293" s="6">
        <v>2022</v>
      </c>
      <c r="E293" s="6" t="s">
        <v>12</v>
      </c>
      <c r="F293" s="4">
        <v>60</v>
      </c>
      <c r="G293" s="4">
        <v>15</v>
      </c>
      <c r="H293" s="4">
        <v>69.356979999999993</v>
      </c>
      <c r="I293" s="201"/>
      <c r="J293" s="201"/>
    </row>
    <row r="294" spans="1:10" s="5" customFormat="1" ht="30" hidden="1" customHeight="1" outlineLevel="1" x14ac:dyDescent="0.25">
      <c r="A294" s="4">
        <v>517</v>
      </c>
      <c r="B294" s="6" t="s">
        <v>15</v>
      </c>
      <c r="C294" s="38" t="s">
        <v>2421</v>
      </c>
      <c r="D294" s="6">
        <v>2022</v>
      </c>
      <c r="E294" s="6" t="s">
        <v>12</v>
      </c>
      <c r="F294" s="4">
        <v>207</v>
      </c>
      <c r="G294" s="4">
        <v>15</v>
      </c>
      <c r="H294" s="4">
        <v>171.23723000000001</v>
      </c>
      <c r="I294" s="201"/>
      <c r="J294" s="201"/>
    </row>
    <row r="295" spans="1:10" s="5" customFormat="1" ht="30" hidden="1" customHeight="1" outlineLevel="1" x14ac:dyDescent="0.25">
      <c r="A295" s="4">
        <v>485</v>
      </c>
      <c r="B295" s="6" t="s">
        <v>15</v>
      </c>
      <c r="C295" s="38" t="s">
        <v>2422</v>
      </c>
      <c r="D295" s="6">
        <v>2022</v>
      </c>
      <c r="E295" s="6" t="s">
        <v>12</v>
      </c>
      <c r="F295" s="4">
        <v>100</v>
      </c>
      <c r="G295" s="4">
        <v>15</v>
      </c>
      <c r="H295" s="4">
        <v>146.81829999999999</v>
      </c>
      <c r="I295" s="201"/>
      <c r="J295" s="201"/>
    </row>
    <row r="296" spans="1:10" s="5" customFormat="1" ht="30" hidden="1" customHeight="1" outlineLevel="1" x14ac:dyDescent="0.25">
      <c r="A296" s="4">
        <v>554</v>
      </c>
      <c r="B296" s="6" t="s">
        <v>15</v>
      </c>
      <c r="C296" s="38" t="s">
        <v>2423</v>
      </c>
      <c r="D296" s="6">
        <v>2022</v>
      </c>
      <c r="E296" s="6" t="s">
        <v>12</v>
      </c>
      <c r="F296" s="4">
        <v>120</v>
      </c>
      <c r="G296" s="4">
        <v>15</v>
      </c>
      <c r="H296" s="4">
        <v>185.05725000000001</v>
      </c>
      <c r="I296" s="201"/>
      <c r="J296" s="201"/>
    </row>
    <row r="297" spans="1:10" s="5" customFormat="1" ht="30" hidden="1" customHeight="1" outlineLevel="1" x14ac:dyDescent="0.25">
      <c r="A297" s="4">
        <v>521</v>
      </c>
      <c r="B297" s="6" t="s">
        <v>15</v>
      </c>
      <c r="C297" s="38" t="s">
        <v>2424</v>
      </c>
      <c r="D297" s="6">
        <v>2022</v>
      </c>
      <c r="E297" s="6" t="s">
        <v>12</v>
      </c>
      <c r="F297" s="4">
        <v>70</v>
      </c>
      <c r="G297" s="4">
        <v>6</v>
      </c>
      <c r="H297" s="4">
        <v>91.986919999999998</v>
      </c>
      <c r="I297" s="201"/>
      <c r="J297" s="201"/>
    </row>
    <row r="298" spans="1:10" s="5" customFormat="1" ht="30" hidden="1" customHeight="1" outlineLevel="1" x14ac:dyDescent="0.25">
      <c r="A298" s="4">
        <v>522</v>
      </c>
      <c r="B298" s="6" t="s">
        <v>15</v>
      </c>
      <c r="C298" s="38" t="s">
        <v>2425</v>
      </c>
      <c r="D298" s="6">
        <v>2022</v>
      </c>
      <c r="E298" s="6" t="s">
        <v>12</v>
      </c>
      <c r="F298" s="4">
        <v>130</v>
      </c>
      <c r="G298" s="4">
        <v>15</v>
      </c>
      <c r="H298" s="4">
        <v>174.79154</v>
      </c>
      <c r="I298" s="201"/>
      <c r="J298" s="201"/>
    </row>
    <row r="299" spans="1:10" s="5" customFormat="1" ht="30" hidden="1" customHeight="1" outlineLevel="1" x14ac:dyDescent="0.25">
      <c r="A299" s="4">
        <v>524</v>
      </c>
      <c r="B299" s="6" t="s">
        <v>15</v>
      </c>
      <c r="C299" s="38" t="s">
        <v>2426</v>
      </c>
      <c r="D299" s="6">
        <v>2022</v>
      </c>
      <c r="E299" s="6" t="s">
        <v>12</v>
      </c>
      <c r="F299" s="4">
        <v>80</v>
      </c>
      <c r="G299" s="4">
        <v>15</v>
      </c>
      <c r="H299" s="4">
        <v>99.865710000000007</v>
      </c>
      <c r="I299" s="201"/>
      <c r="J299" s="201"/>
    </row>
    <row r="300" spans="1:10" s="5" customFormat="1" ht="30" hidden="1" customHeight="1" outlineLevel="1" x14ac:dyDescent="0.25">
      <c r="A300" s="4">
        <v>558</v>
      </c>
      <c r="B300" s="6" t="s">
        <v>15</v>
      </c>
      <c r="C300" s="38" t="s">
        <v>2427</v>
      </c>
      <c r="D300" s="6">
        <v>2022</v>
      </c>
      <c r="E300" s="6" t="s">
        <v>12</v>
      </c>
      <c r="F300" s="4">
        <v>429</v>
      </c>
      <c r="G300" s="4">
        <v>6</v>
      </c>
      <c r="H300" s="4">
        <v>731.35284000000001</v>
      </c>
      <c r="I300" s="201"/>
      <c r="J300" s="201"/>
    </row>
    <row r="301" spans="1:10" s="5" customFormat="1" ht="30" hidden="1" customHeight="1" outlineLevel="1" x14ac:dyDescent="0.25">
      <c r="A301" s="4">
        <v>457</v>
      </c>
      <c r="B301" s="6" t="s">
        <v>15</v>
      </c>
      <c r="C301" s="38" t="s">
        <v>2428</v>
      </c>
      <c r="D301" s="6">
        <v>2022</v>
      </c>
      <c r="E301" s="6" t="s">
        <v>12</v>
      </c>
      <c r="F301" s="4">
        <v>3</v>
      </c>
      <c r="G301" s="4">
        <v>15</v>
      </c>
      <c r="H301" s="4">
        <v>50.829740000000001</v>
      </c>
      <c r="I301" s="201"/>
      <c r="J301" s="201"/>
    </row>
    <row r="302" spans="1:10" s="5" customFormat="1" ht="30" hidden="1" customHeight="1" outlineLevel="1" x14ac:dyDescent="0.25">
      <c r="A302" s="4">
        <v>559</v>
      </c>
      <c r="B302" s="6" t="s">
        <v>15</v>
      </c>
      <c r="C302" s="38" t="s">
        <v>2429</v>
      </c>
      <c r="D302" s="6">
        <v>2022</v>
      </c>
      <c r="E302" s="6" t="s">
        <v>12</v>
      </c>
      <c r="F302" s="4">
        <v>60</v>
      </c>
      <c r="G302" s="4">
        <v>10</v>
      </c>
      <c r="H302" s="4">
        <v>76.681910000000002</v>
      </c>
      <c r="I302" s="201"/>
      <c r="J302" s="201"/>
    </row>
    <row r="303" spans="1:10" s="5" customFormat="1" ht="30" hidden="1" customHeight="1" outlineLevel="1" x14ac:dyDescent="0.25">
      <c r="A303" s="4">
        <v>531</v>
      </c>
      <c r="B303" s="6" t="s">
        <v>15</v>
      </c>
      <c r="C303" s="38" t="s">
        <v>2430</v>
      </c>
      <c r="D303" s="6">
        <v>2022</v>
      </c>
      <c r="E303" s="6" t="s">
        <v>12</v>
      </c>
      <c r="F303" s="4">
        <v>17</v>
      </c>
      <c r="G303" s="4">
        <v>15</v>
      </c>
      <c r="H303" s="4">
        <v>47.320450000000001</v>
      </c>
      <c r="I303" s="201"/>
      <c r="J303" s="201"/>
    </row>
    <row r="304" spans="1:10" s="5" customFormat="1" ht="30" hidden="1" customHeight="1" outlineLevel="1" x14ac:dyDescent="0.25">
      <c r="A304" s="4">
        <v>545</v>
      </c>
      <c r="B304" s="6" t="s">
        <v>15</v>
      </c>
      <c r="C304" s="38" t="s">
        <v>2431</v>
      </c>
      <c r="D304" s="6">
        <v>2022</v>
      </c>
      <c r="E304" s="6" t="s">
        <v>12</v>
      </c>
      <c r="F304" s="4">
        <v>40</v>
      </c>
      <c r="G304" s="4">
        <v>15</v>
      </c>
      <c r="H304" s="4">
        <v>74.245990000000006</v>
      </c>
      <c r="I304" s="201"/>
      <c r="J304" s="201"/>
    </row>
    <row r="305" spans="1:10" s="5" customFormat="1" ht="30" hidden="1" customHeight="1" outlineLevel="1" x14ac:dyDescent="0.25">
      <c r="A305" s="4">
        <v>497</v>
      </c>
      <c r="B305" s="6" t="s">
        <v>15</v>
      </c>
      <c r="C305" s="38" t="s">
        <v>2432</v>
      </c>
      <c r="D305" s="6">
        <v>2022</v>
      </c>
      <c r="E305" s="6" t="s">
        <v>12</v>
      </c>
      <c r="F305" s="4">
        <v>75</v>
      </c>
      <c r="G305" s="4">
        <v>7</v>
      </c>
      <c r="H305" s="4">
        <v>93.581659999999999</v>
      </c>
      <c r="I305" s="201"/>
      <c r="J305" s="201"/>
    </row>
    <row r="306" spans="1:10" s="5" customFormat="1" ht="30" hidden="1" customHeight="1" outlineLevel="1" x14ac:dyDescent="0.25">
      <c r="A306" s="4">
        <v>498</v>
      </c>
      <c r="B306" s="6" t="s">
        <v>15</v>
      </c>
      <c r="C306" s="38" t="s">
        <v>2433</v>
      </c>
      <c r="D306" s="6">
        <v>2022</v>
      </c>
      <c r="E306" s="6" t="s">
        <v>12</v>
      </c>
      <c r="F306" s="4">
        <v>87</v>
      </c>
      <c r="G306" s="4">
        <v>15</v>
      </c>
      <c r="H306" s="4">
        <v>122.85124999999999</v>
      </c>
      <c r="I306" s="201"/>
      <c r="J306" s="201"/>
    </row>
    <row r="307" spans="1:10" s="5" customFormat="1" ht="30" hidden="1" customHeight="1" outlineLevel="1" x14ac:dyDescent="0.25">
      <c r="A307" s="4">
        <v>486</v>
      </c>
      <c r="B307" s="6" t="s">
        <v>15</v>
      </c>
      <c r="C307" s="38" t="s">
        <v>2434</v>
      </c>
      <c r="D307" s="6">
        <v>2022</v>
      </c>
      <c r="E307" s="6" t="s">
        <v>12</v>
      </c>
      <c r="F307" s="4">
        <v>67</v>
      </c>
      <c r="G307" s="4">
        <v>15</v>
      </c>
      <c r="H307" s="4">
        <v>99.780749999999998</v>
      </c>
      <c r="I307" s="201"/>
      <c r="J307" s="201"/>
    </row>
    <row r="308" spans="1:10" s="5" customFormat="1" ht="30" hidden="1" customHeight="1" outlineLevel="1" x14ac:dyDescent="0.25">
      <c r="A308" s="4">
        <v>506</v>
      </c>
      <c r="B308" s="6" t="s">
        <v>15</v>
      </c>
      <c r="C308" s="38" t="s">
        <v>2435</v>
      </c>
      <c r="D308" s="6">
        <v>2022</v>
      </c>
      <c r="E308" s="6" t="s">
        <v>12</v>
      </c>
      <c r="F308" s="4">
        <v>40</v>
      </c>
      <c r="G308" s="4">
        <v>15</v>
      </c>
      <c r="H308" s="4">
        <v>70.731489999999994</v>
      </c>
      <c r="I308" s="201"/>
      <c r="J308" s="201"/>
    </row>
    <row r="309" spans="1:10" s="5" customFormat="1" ht="30" hidden="1" customHeight="1" outlineLevel="1" x14ac:dyDescent="0.25">
      <c r="A309" s="4">
        <v>556</v>
      </c>
      <c r="B309" s="6" t="s">
        <v>15</v>
      </c>
      <c r="C309" s="38" t="s">
        <v>2436</v>
      </c>
      <c r="D309" s="6">
        <v>2022</v>
      </c>
      <c r="E309" s="6" t="s">
        <v>12</v>
      </c>
      <c r="F309" s="4">
        <v>45</v>
      </c>
      <c r="G309" s="4">
        <v>15</v>
      </c>
      <c r="H309" s="4">
        <v>63.15737</v>
      </c>
      <c r="I309" s="201"/>
      <c r="J309" s="201"/>
    </row>
    <row r="310" spans="1:10" s="5" customFormat="1" ht="30" hidden="1" customHeight="1" outlineLevel="1" x14ac:dyDescent="0.25">
      <c r="A310" s="4">
        <v>519</v>
      </c>
      <c r="B310" s="6" t="s">
        <v>15</v>
      </c>
      <c r="C310" s="38" t="s">
        <v>2437</v>
      </c>
      <c r="D310" s="6">
        <v>2022</v>
      </c>
      <c r="E310" s="6" t="s">
        <v>12</v>
      </c>
      <c r="F310" s="4">
        <v>70</v>
      </c>
      <c r="G310" s="4">
        <v>30</v>
      </c>
      <c r="H310" s="4">
        <v>116.86789</v>
      </c>
      <c r="I310" s="201"/>
      <c r="J310" s="201"/>
    </row>
    <row r="311" spans="1:10" s="5" customFormat="1" ht="30" hidden="1" customHeight="1" outlineLevel="1" x14ac:dyDescent="0.25">
      <c r="A311" s="4">
        <v>458</v>
      </c>
      <c r="B311" s="6" t="s">
        <v>15</v>
      </c>
      <c r="C311" s="38" t="s">
        <v>2438</v>
      </c>
      <c r="D311" s="6">
        <v>2022</v>
      </c>
      <c r="E311" s="6" t="s">
        <v>12</v>
      </c>
      <c r="F311" s="4">
        <v>5</v>
      </c>
      <c r="G311" s="4">
        <v>10</v>
      </c>
      <c r="H311" s="4">
        <v>113.61928</v>
      </c>
      <c r="I311" s="201"/>
      <c r="J311" s="201"/>
    </row>
    <row r="312" spans="1:10" s="5" customFormat="1" ht="30" hidden="1" customHeight="1" outlineLevel="1" x14ac:dyDescent="0.25">
      <c r="A312" s="4">
        <v>459</v>
      </c>
      <c r="B312" s="6" t="s">
        <v>15</v>
      </c>
      <c r="C312" s="38" t="s">
        <v>2439</v>
      </c>
      <c r="D312" s="6">
        <v>2022</v>
      </c>
      <c r="E312" s="6" t="s">
        <v>12</v>
      </c>
      <c r="F312" s="4">
        <v>5</v>
      </c>
      <c r="G312" s="4">
        <v>150</v>
      </c>
      <c r="H312" s="4">
        <v>114.42673000000001</v>
      </c>
      <c r="I312" s="201"/>
      <c r="J312" s="201"/>
    </row>
    <row r="313" spans="1:10" s="5" customFormat="1" ht="30" hidden="1" customHeight="1" outlineLevel="1" x14ac:dyDescent="0.25">
      <c r="A313" s="4">
        <v>499</v>
      </c>
      <c r="B313" s="6" t="s">
        <v>15</v>
      </c>
      <c r="C313" s="38" t="s">
        <v>2440</v>
      </c>
      <c r="D313" s="6">
        <v>2022</v>
      </c>
      <c r="E313" s="6" t="s">
        <v>12</v>
      </c>
      <c r="F313" s="4">
        <v>146</v>
      </c>
      <c r="G313" s="4">
        <v>15</v>
      </c>
      <c r="H313" s="4">
        <v>198.70015000000001</v>
      </c>
      <c r="I313" s="201"/>
      <c r="J313" s="201"/>
    </row>
    <row r="314" spans="1:10" s="5" customFormat="1" ht="30" hidden="1" customHeight="1" outlineLevel="1" x14ac:dyDescent="0.25">
      <c r="A314" s="4">
        <v>488</v>
      </c>
      <c r="B314" s="6" t="s">
        <v>15</v>
      </c>
      <c r="C314" s="38" t="s">
        <v>2441</v>
      </c>
      <c r="D314" s="6">
        <v>2022</v>
      </c>
      <c r="E314" s="6" t="s">
        <v>12</v>
      </c>
      <c r="F314" s="4">
        <v>50</v>
      </c>
      <c r="G314" s="4">
        <v>15</v>
      </c>
      <c r="H314" s="4">
        <v>119.18939</v>
      </c>
      <c r="I314" s="201"/>
      <c r="J314" s="201"/>
    </row>
    <row r="315" spans="1:10" s="5" customFormat="1" ht="30" hidden="1" customHeight="1" outlineLevel="1" x14ac:dyDescent="0.25">
      <c r="A315" s="4">
        <v>529</v>
      </c>
      <c r="B315" s="6" t="s">
        <v>15</v>
      </c>
      <c r="C315" s="38" t="s">
        <v>2442</v>
      </c>
      <c r="D315" s="6">
        <v>2022</v>
      </c>
      <c r="E315" s="6" t="s">
        <v>12</v>
      </c>
      <c r="F315" s="4">
        <v>60</v>
      </c>
      <c r="G315" s="4">
        <v>10</v>
      </c>
      <c r="H315" s="4">
        <v>123.19410999999999</v>
      </c>
      <c r="I315" s="201"/>
      <c r="J315" s="201"/>
    </row>
    <row r="316" spans="1:10" s="5" customFormat="1" ht="30" hidden="1" customHeight="1" outlineLevel="1" x14ac:dyDescent="0.25">
      <c r="A316" s="4">
        <v>525</v>
      </c>
      <c r="B316" s="6" t="s">
        <v>15</v>
      </c>
      <c r="C316" s="38" t="s">
        <v>2443</v>
      </c>
      <c r="D316" s="6">
        <v>2022</v>
      </c>
      <c r="E316" s="6" t="s">
        <v>12</v>
      </c>
      <c r="F316" s="4">
        <v>60</v>
      </c>
      <c r="G316" s="4">
        <v>15</v>
      </c>
      <c r="H316" s="4">
        <v>116.68177</v>
      </c>
      <c r="I316" s="201"/>
      <c r="J316" s="201"/>
    </row>
    <row r="317" spans="1:10" s="5" customFormat="1" ht="30" hidden="1" customHeight="1" outlineLevel="1" x14ac:dyDescent="0.25">
      <c r="A317" s="4">
        <v>503</v>
      </c>
      <c r="B317" s="6" t="s">
        <v>15</v>
      </c>
      <c r="C317" s="38" t="s">
        <v>2444</v>
      </c>
      <c r="D317" s="6">
        <v>2022</v>
      </c>
      <c r="E317" s="6" t="s">
        <v>12</v>
      </c>
      <c r="F317" s="4">
        <v>75</v>
      </c>
      <c r="G317" s="4">
        <v>15</v>
      </c>
      <c r="H317" s="4">
        <v>105.43219000000001</v>
      </c>
      <c r="I317" s="201"/>
      <c r="J317" s="201"/>
    </row>
    <row r="318" spans="1:10" s="5" customFormat="1" ht="30" hidden="1" customHeight="1" outlineLevel="1" x14ac:dyDescent="0.25">
      <c r="A318" s="4">
        <v>536</v>
      </c>
      <c r="B318" s="6" t="s">
        <v>15</v>
      </c>
      <c r="C318" s="38" t="s">
        <v>2445</v>
      </c>
      <c r="D318" s="6">
        <v>2022</v>
      </c>
      <c r="E318" s="6" t="s">
        <v>12</v>
      </c>
      <c r="F318" s="4">
        <v>18</v>
      </c>
      <c r="G318" s="4">
        <v>9</v>
      </c>
      <c r="H318" s="4">
        <v>45.406599999999997</v>
      </c>
      <c r="I318" s="201"/>
      <c r="J318" s="201"/>
    </row>
    <row r="319" spans="1:10" s="5" customFormat="1" ht="30" hidden="1" customHeight="1" outlineLevel="1" x14ac:dyDescent="0.25">
      <c r="A319" s="4">
        <v>477</v>
      </c>
      <c r="B319" s="6" t="s">
        <v>15</v>
      </c>
      <c r="C319" s="38" t="s">
        <v>2446</v>
      </c>
      <c r="D319" s="6">
        <v>2022</v>
      </c>
      <c r="E319" s="6" t="s">
        <v>12</v>
      </c>
      <c r="F319" s="4">
        <v>236</v>
      </c>
      <c r="G319" s="4">
        <v>30</v>
      </c>
      <c r="H319" s="4">
        <v>301.27055999999999</v>
      </c>
      <c r="I319" s="201"/>
      <c r="J319" s="201"/>
    </row>
    <row r="320" spans="1:10" s="5" customFormat="1" ht="30" hidden="1" customHeight="1" outlineLevel="1" x14ac:dyDescent="0.25">
      <c r="A320" s="4">
        <v>563</v>
      </c>
      <c r="B320" s="6" t="s">
        <v>15</v>
      </c>
      <c r="C320" s="38" t="s">
        <v>2447</v>
      </c>
      <c r="D320" s="6">
        <v>2022</v>
      </c>
      <c r="E320" s="6" t="s">
        <v>12</v>
      </c>
      <c r="F320" s="4">
        <v>274</v>
      </c>
      <c r="G320" s="4">
        <v>33</v>
      </c>
      <c r="H320" s="4">
        <v>638.58929999999998</v>
      </c>
      <c r="I320" s="201"/>
      <c r="J320" s="201"/>
    </row>
    <row r="321" spans="1:10" s="5" customFormat="1" ht="30" hidden="1" customHeight="1" outlineLevel="1" x14ac:dyDescent="0.25">
      <c r="A321" s="4">
        <v>565</v>
      </c>
      <c r="B321" s="6" t="s">
        <v>15</v>
      </c>
      <c r="C321" s="38" t="s">
        <v>2448</v>
      </c>
      <c r="D321" s="6">
        <v>2022</v>
      </c>
      <c r="E321" s="6" t="s">
        <v>12</v>
      </c>
      <c r="F321" s="4">
        <v>392</v>
      </c>
      <c r="G321" s="4">
        <v>15</v>
      </c>
      <c r="H321" s="4">
        <v>664.91034000000002</v>
      </c>
      <c r="I321" s="201"/>
      <c r="J321" s="201"/>
    </row>
    <row r="322" spans="1:10" s="5" customFormat="1" ht="30" hidden="1" customHeight="1" outlineLevel="1" x14ac:dyDescent="0.25">
      <c r="A322" s="4">
        <v>566</v>
      </c>
      <c r="B322" s="6" t="s">
        <v>15</v>
      </c>
      <c r="C322" s="38" t="s">
        <v>2449</v>
      </c>
      <c r="D322" s="6">
        <v>2022</v>
      </c>
      <c r="E322" s="6" t="s">
        <v>12</v>
      </c>
      <c r="F322" s="4">
        <v>205</v>
      </c>
      <c r="G322" s="4">
        <v>9</v>
      </c>
      <c r="H322" s="4">
        <v>454.65312999999998</v>
      </c>
      <c r="I322" s="201"/>
      <c r="J322" s="201"/>
    </row>
    <row r="323" spans="1:10" s="5" customFormat="1" ht="30" hidden="1" customHeight="1" outlineLevel="1" x14ac:dyDescent="0.25">
      <c r="A323" s="4">
        <v>462</v>
      </c>
      <c r="B323" s="6" t="s">
        <v>15</v>
      </c>
      <c r="C323" s="38" t="s">
        <v>2450</v>
      </c>
      <c r="D323" s="6">
        <v>2022</v>
      </c>
      <c r="E323" s="6" t="s">
        <v>12</v>
      </c>
      <c r="F323" s="4">
        <v>10</v>
      </c>
      <c r="G323" s="4">
        <v>15</v>
      </c>
      <c r="H323" s="4">
        <v>204.73282</v>
      </c>
      <c r="I323" s="201"/>
      <c r="J323" s="201"/>
    </row>
    <row r="324" spans="1:10" s="5" customFormat="1" ht="30" hidden="1" customHeight="1" outlineLevel="1" x14ac:dyDescent="0.25">
      <c r="A324" s="4">
        <v>480</v>
      </c>
      <c r="B324" s="6" t="s">
        <v>15</v>
      </c>
      <c r="C324" s="38" t="s">
        <v>2451</v>
      </c>
      <c r="D324" s="6">
        <v>2022</v>
      </c>
      <c r="E324" s="6" t="s">
        <v>12</v>
      </c>
      <c r="F324" s="4">
        <v>70</v>
      </c>
      <c r="G324" s="4">
        <v>15</v>
      </c>
      <c r="H324" s="4">
        <v>114.75586</v>
      </c>
      <c r="I324" s="201"/>
      <c r="J324" s="201"/>
    </row>
    <row r="325" spans="1:10" s="5" customFormat="1" ht="30" hidden="1" customHeight="1" outlineLevel="1" x14ac:dyDescent="0.25">
      <c r="A325" s="4">
        <v>463</v>
      </c>
      <c r="B325" s="6" t="s">
        <v>15</v>
      </c>
      <c r="C325" s="38" t="s">
        <v>2452</v>
      </c>
      <c r="D325" s="6">
        <v>2022</v>
      </c>
      <c r="E325" s="6" t="s">
        <v>12</v>
      </c>
      <c r="F325" s="4">
        <v>5</v>
      </c>
      <c r="G325" s="4">
        <v>50</v>
      </c>
      <c r="H325" s="4">
        <v>72.729249999999993</v>
      </c>
      <c r="I325" s="201"/>
      <c r="J325" s="201"/>
    </row>
    <row r="326" spans="1:10" s="5" customFormat="1" ht="30" hidden="1" customHeight="1" outlineLevel="1" x14ac:dyDescent="0.25">
      <c r="A326" s="4">
        <v>567</v>
      </c>
      <c r="B326" s="6" t="s">
        <v>15</v>
      </c>
      <c r="C326" s="38" t="s">
        <v>2453</v>
      </c>
      <c r="D326" s="6">
        <v>2022</v>
      </c>
      <c r="E326" s="6" t="s">
        <v>12</v>
      </c>
      <c r="F326" s="4">
        <v>469</v>
      </c>
      <c r="G326" s="4">
        <v>15</v>
      </c>
      <c r="H326" s="4">
        <v>920.31254999999999</v>
      </c>
      <c r="I326" s="201"/>
      <c r="J326" s="201"/>
    </row>
    <row r="327" spans="1:10" s="5" customFormat="1" ht="30" hidden="1" customHeight="1" outlineLevel="1" x14ac:dyDescent="0.25">
      <c r="A327" s="4">
        <v>465</v>
      </c>
      <c r="B327" s="6" t="s">
        <v>15</v>
      </c>
      <c r="C327" s="38" t="s">
        <v>2454</v>
      </c>
      <c r="D327" s="6">
        <v>2022</v>
      </c>
      <c r="E327" s="6" t="s">
        <v>12</v>
      </c>
      <c r="F327" s="4">
        <v>15</v>
      </c>
      <c r="G327" s="4">
        <v>15</v>
      </c>
      <c r="H327" s="4">
        <v>105.99618</v>
      </c>
      <c r="I327" s="201"/>
      <c r="J327" s="201"/>
    </row>
    <row r="328" spans="1:10" s="5" customFormat="1" ht="30" hidden="1" customHeight="1" outlineLevel="1" x14ac:dyDescent="0.25">
      <c r="A328" s="4">
        <v>467</v>
      </c>
      <c r="B328" s="6" t="s">
        <v>15</v>
      </c>
      <c r="C328" s="38" t="s">
        <v>2455</v>
      </c>
      <c r="D328" s="6">
        <v>2022</v>
      </c>
      <c r="E328" s="6" t="s">
        <v>12</v>
      </c>
      <c r="F328" s="4">
        <v>10</v>
      </c>
      <c r="G328" s="4">
        <v>15</v>
      </c>
      <c r="H328" s="4">
        <v>147.21777</v>
      </c>
      <c r="I328" s="201"/>
      <c r="J328" s="201"/>
    </row>
    <row r="329" spans="1:10" s="5" customFormat="1" ht="30" hidden="1" customHeight="1" outlineLevel="1" x14ac:dyDescent="0.25">
      <c r="A329" s="4">
        <v>501</v>
      </c>
      <c r="B329" s="6" t="s">
        <v>15</v>
      </c>
      <c r="C329" s="38" t="s">
        <v>2456</v>
      </c>
      <c r="D329" s="6">
        <v>2022</v>
      </c>
      <c r="E329" s="6" t="s">
        <v>12</v>
      </c>
      <c r="F329" s="4">
        <v>40</v>
      </c>
      <c r="G329" s="4">
        <v>15</v>
      </c>
      <c r="H329" s="4">
        <v>82.810109999999995</v>
      </c>
      <c r="I329" s="201"/>
      <c r="J329" s="201"/>
    </row>
    <row r="330" spans="1:10" s="5" customFormat="1" ht="30" hidden="1" customHeight="1" outlineLevel="1" x14ac:dyDescent="0.25">
      <c r="A330" s="4">
        <v>493</v>
      </c>
      <c r="B330" s="6" t="s">
        <v>15</v>
      </c>
      <c r="C330" s="38" t="s">
        <v>2457</v>
      </c>
      <c r="D330" s="6">
        <v>2022</v>
      </c>
      <c r="E330" s="6" t="s">
        <v>12</v>
      </c>
      <c r="F330" s="4">
        <v>55</v>
      </c>
      <c r="G330" s="4">
        <v>7.5</v>
      </c>
      <c r="H330" s="4">
        <v>119.44837</v>
      </c>
      <c r="I330" s="201"/>
      <c r="J330" s="201"/>
    </row>
    <row r="331" spans="1:10" s="5" customFormat="1" ht="30" hidden="1" customHeight="1" outlineLevel="1" x14ac:dyDescent="0.25">
      <c r="A331" s="4">
        <v>516</v>
      </c>
      <c r="B331" s="6" t="s">
        <v>15</v>
      </c>
      <c r="C331" s="38" t="s">
        <v>2458</v>
      </c>
      <c r="D331" s="6">
        <v>2022</v>
      </c>
      <c r="E331" s="6" t="s">
        <v>12</v>
      </c>
      <c r="F331" s="4">
        <v>85</v>
      </c>
      <c r="G331" s="4">
        <v>13</v>
      </c>
      <c r="H331" s="4">
        <v>131.46483000000001</v>
      </c>
      <c r="I331" s="201"/>
      <c r="J331" s="201"/>
    </row>
    <row r="332" spans="1:10" s="5" customFormat="1" ht="30" hidden="1" customHeight="1" outlineLevel="1" x14ac:dyDescent="0.25">
      <c r="A332" s="4">
        <v>496</v>
      </c>
      <c r="B332" s="6" t="s">
        <v>15</v>
      </c>
      <c r="C332" s="38" t="s">
        <v>2459</v>
      </c>
      <c r="D332" s="6">
        <v>2022</v>
      </c>
      <c r="E332" s="6" t="s">
        <v>12</v>
      </c>
      <c r="F332" s="4">
        <v>30</v>
      </c>
      <c r="G332" s="4">
        <v>15</v>
      </c>
      <c r="H332" s="4">
        <v>61.341560000000001</v>
      </c>
      <c r="I332" s="201"/>
      <c r="J332" s="201"/>
    </row>
    <row r="333" spans="1:10" s="5" customFormat="1" ht="30" hidden="1" customHeight="1" outlineLevel="1" x14ac:dyDescent="0.25">
      <c r="A333" s="4">
        <v>555</v>
      </c>
      <c r="B333" s="6" t="s">
        <v>15</v>
      </c>
      <c r="C333" s="38" t="s">
        <v>2460</v>
      </c>
      <c r="D333" s="6">
        <v>2022</v>
      </c>
      <c r="E333" s="6" t="s">
        <v>12</v>
      </c>
      <c r="F333" s="4">
        <v>50</v>
      </c>
      <c r="G333" s="4">
        <v>15</v>
      </c>
      <c r="H333" s="4">
        <v>94.268199999999993</v>
      </c>
      <c r="I333" s="201"/>
      <c r="J333" s="201"/>
    </row>
    <row r="334" spans="1:10" s="5" customFormat="1" ht="30" hidden="1" customHeight="1" outlineLevel="1" x14ac:dyDescent="0.25">
      <c r="A334" s="4">
        <v>526</v>
      </c>
      <c r="B334" s="6" t="s">
        <v>15</v>
      </c>
      <c r="C334" s="38" t="s">
        <v>2461</v>
      </c>
      <c r="D334" s="6">
        <v>2022</v>
      </c>
      <c r="E334" s="6" t="s">
        <v>12</v>
      </c>
      <c r="F334" s="4">
        <v>30</v>
      </c>
      <c r="G334" s="4">
        <v>15</v>
      </c>
      <c r="H334" s="4">
        <v>81.459059999999994</v>
      </c>
      <c r="I334" s="201"/>
      <c r="J334" s="201"/>
    </row>
    <row r="335" spans="1:10" s="5" customFormat="1" ht="30" hidden="1" customHeight="1" outlineLevel="1" x14ac:dyDescent="0.25">
      <c r="A335" s="4">
        <v>470</v>
      </c>
      <c r="B335" s="6" t="s">
        <v>15</v>
      </c>
      <c r="C335" s="38" t="s">
        <v>2462</v>
      </c>
      <c r="D335" s="6">
        <v>2022</v>
      </c>
      <c r="E335" s="6" t="s">
        <v>12</v>
      </c>
      <c r="F335" s="4">
        <v>5</v>
      </c>
      <c r="G335" s="4">
        <v>15</v>
      </c>
      <c r="H335" s="4">
        <v>56.00188</v>
      </c>
      <c r="I335" s="201"/>
      <c r="J335" s="201"/>
    </row>
    <row r="336" spans="1:10" s="5" customFormat="1" ht="30" hidden="1" customHeight="1" outlineLevel="1" x14ac:dyDescent="0.25">
      <c r="A336" s="4">
        <v>523</v>
      </c>
      <c r="B336" s="6" t="s">
        <v>15</v>
      </c>
      <c r="C336" s="38" t="s">
        <v>2463</v>
      </c>
      <c r="D336" s="6">
        <v>2022</v>
      </c>
      <c r="E336" s="6" t="s">
        <v>12</v>
      </c>
      <c r="F336" s="4">
        <v>198</v>
      </c>
      <c r="G336" s="4">
        <v>9</v>
      </c>
      <c r="H336" s="4">
        <v>216.77954</v>
      </c>
      <c r="I336" s="201"/>
      <c r="J336" s="201"/>
    </row>
    <row r="337" spans="1:10" s="5" customFormat="1" ht="30" hidden="1" customHeight="1" outlineLevel="1" x14ac:dyDescent="0.25">
      <c r="A337" s="4">
        <v>570</v>
      </c>
      <c r="B337" s="6" t="s">
        <v>15</v>
      </c>
      <c r="C337" s="38" t="s">
        <v>2464</v>
      </c>
      <c r="D337" s="6">
        <v>2022</v>
      </c>
      <c r="E337" s="6" t="s">
        <v>12</v>
      </c>
      <c r="F337" s="4">
        <v>646</v>
      </c>
      <c r="G337" s="4">
        <v>75</v>
      </c>
      <c r="H337" s="4">
        <v>1238.25721</v>
      </c>
      <c r="I337" s="201"/>
      <c r="J337" s="201"/>
    </row>
    <row r="338" spans="1:10" s="5" customFormat="1" ht="30" hidden="1" customHeight="1" outlineLevel="1" x14ac:dyDescent="0.25">
      <c r="A338" s="4">
        <v>571</v>
      </c>
      <c r="B338" s="6" t="s">
        <v>15</v>
      </c>
      <c r="C338" s="38" t="s">
        <v>2465</v>
      </c>
      <c r="D338" s="6">
        <v>2022</v>
      </c>
      <c r="E338" s="6" t="s">
        <v>12</v>
      </c>
      <c r="F338" s="4">
        <v>374</v>
      </c>
      <c r="G338" s="4">
        <v>15</v>
      </c>
      <c r="H338" s="4">
        <v>696.54776000000004</v>
      </c>
      <c r="I338" s="201"/>
      <c r="J338" s="201"/>
    </row>
    <row r="339" spans="1:10" s="5" customFormat="1" ht="30" hidden="1" customHeight="1" outlineLevel="1" x14ac:dyDescent="0.25">
      <c r="A339" s="4">
        <v>572</v>
      </c>
      <c r="B339" s="6" t="s">
        <v>15</v>
      </c>
      <c r="C339" s="38" t="s">
        <v>2466</v>
      </c>
      <c r="D339" s="6">
        <v>2022</v>
      </c>
      <c r="E339" s="6" t="s">
        <v>12</v>
      </c>
      <c r="F339" s="4">
        <v>104</v>
      </c>
      <c r="G339" s="4">
        <v>15</v>
      </c>
      <c r="H339" s="4">
        <v>297.51693999999998</v>
      </c>
      <c r="I339" s="201"/>
      <c r="J339" s="201"/>
    </row>
    <row r="340" spans="1:10" s="5" customFormat="1" ht="30" hidden="1" customHeight="1" outlineLevel="1" x14ac:dyDescent="0.25">
      <c r="A340" s="4">
        <v>573</v>
      </c>
      <c r="B340" s="6" t="s">
        <v>15</v>
      </c>
      <c r="C340" s="38" t="s">
        <v>2467</v>
      </c>
      <c r="D340" s="6">
        <v>2022</v>
      </c>
      <c r="E340" s="6" t="s">
        <v>12</v>
      </c>
      <c r="F340" s="4">
        <v>87</v>
      </c>
      <c r="G340" s="4">
        <v>15</v>
      </c>
      <c r="H340" s="4">
        <v>292.1601</v>
      </c>
      <c r="I340" s="201"/>
      <c r="J340" s="201"/>
    </row>
    <row r="341" spans="1:10" s="5" customFormat="1" ht="30" hidden="1" customHeight="1" outlineLevel="1" x14ac:dyDescent="0.25">
      <c r="A341" s="4">
        <v>574</v>
      </c>
      <c r="B341" s="6" t="s">
        <v>15</v>
      </c>
      <c r="C341" s="38" t="s">
        <v>2468</v>
      </c>
      <c r="D341" s="6">
        <v>2022</v>
      </c>
      <c r="E341" s="6" t="s">
        <v>12</v>
      </c>
      <c r="F341" s="4">
        <v>265</v>
      </c>
      <c r="G341" s="4">
        <v>30</v>
      </c>
      <c r="H341" s="4">
        <v>624.99323000000004</v>
      </c>
      <c r="I341" s="201"/>
      <c r="J341" s="201"/>
    </row>
    <row r="342" spans="1:10" s="5" customFormat="1" ht="30" hidden="1" customHeight="1" outlineLevel="1" x14ac:dyDescent="0.25">
      <c r="A342" s="4">
        <v>473</v>
      </c>
      <c r="B342" s="6" t="s">
        <v>15</v>
      </c>
      <c r="C342" s="38" t="s">
        <v>2469</v>
      </c>
      <c r="D342" s="6">
        <v>2022</v>
      </c>
      <c r="E342" s="6" t="s">
        <v>12</v>
      </c>
      <c r="F342" s="4">
        <v>26</v>
      </c>
      <c r="G342" s="4">
        <v>15</v>
      </c>
      <c r="H342" s="4">
        <v>142.55452</v>
      </c>
      <c r="I342" s="201"/>
      <c r="J342" s="201"/>
    </row>
    <row r="343" spans="1:10" s="5" customFormat="1" ht="30" hidden="1" customHeight="1" outlineLevel="1" x14ac:dyDescent="0.25">
      <c r="A343" s="4">
        <v>575</v>
      </c>
      <c r="B343" s="6" t="s">
        <v>15</v>
      </c>
      <c r="C343" s="38" t="s">
        <v>2470</v>
      </c>
      <c r="D343" s="6">
        <v>2022</v>
      </c>
      <c r="E343" s="6" t="s">
        <v>12</v>
      </c>
      <c r="F343" s="4">
        <v>97</v>
      </c>
      <c r="G343" s="4">
        <v>15</v>
      </c>
      <c r="H343" s="4">
        <v>341.56259999999997</v>
      </c>
      <c r="I343" s="201"/>
      <c r="J343" s="201"/>
    </row>
    <row r="344" spans="1:10" s="5" customFormat="1" ht="30" hidden="1" customHeight="1" outlineLevel="1" x14ac:dyDescent="0.25">
      <c r="A344" s="4">
        <v>576</v>
      </c>
      <c r="B344" s="6" t="s">
        <v>15</v>
      </c>
      <c r="C344" s="38" t="s">
        <v>2471</v>
      </c>
      <c r="D344" s="6">
        <v>2022</v>
      </c>
      <c r="E344" s="6" t="s">
        <v>12</v>
      </c>
      <c r="F344" s="4">
        <v>30</v>
      </c>
      <c r="G344" s="4">
        <v>15</v>
      </c>
      <c r="H344" s="4">
        <v>159.92272</v>
      </c>
      <c r="I344" s="201"/>
      <c r="J344" s="201"/>
    </row>
    <row r="345" spans="1:10" s="5" customFormat="1" ht="30" hidden="1" customHeight="1" outlineLevel="1" x14ac:dyDescent="0.25">
      <c r="A345" s="4">
        <v>577</v>
      </c>
      <c r="B345" s="6" t="s">
        <v>15</v>
      </c>
      <c r="C345" s="38" t="s">
        <v>2472</v>
      </c>
      <c r="D345" s="6">
        <v>2022</v>
      </c>
      <c r="E345" s="6" t="s">
        <v>12</v>
      </c>
      <c r="F345" s="4">
        <v>30</v>
      </c>
      <c r="G345" s="4">
        <v>15</v>
      </c>
      <c r="H345" s="4">
        <v>172.40461999999999</v>
      </c>
      <c r="I345" s="201"/>
      <c r="J345" s="201"/>
    </row>
    <row r="346" spans="1:10" s="5" customFormat="1" ht="30" hidden="1" customHeight="1" outlineLevel="1" x14ac:dyDescent="0.25">
      <c r="A346" s="4">
        <v>487</v>
      </c>
      <c r="B346" s="6" t="s">
        <v>15</v>
      </c>
      <c r="C346" s="38" t="s">
        <v>2473</v>
      </c>
      <c r="D346" s="6">
        <v>2022</v>
      </c>
      <c r="E346" s="6" t="s">
        <v>12</v>
      </c>
      <c r="F346" s="4">
        <v>100</v>
      </c>
      <c r="G346" s="4">
        <v>15</v>
      </c>
      <c r="H346" s="4">
        <v>128.53939</v>
      </c>
      <c r="I346" s="201"/>
      <c r="J346" s="201"/>
    </row>
    <row r="347" spans="1:10" s="5" customFormat="1" ht="30" hidden="1" customHeight="1" outlineLevel="1" x14ac:dyDescent="0.25">
      <c r="A347" s="4">
        <v>569</v>
      </c>
      <c r="B347" s="6" t="s">
        <v>15</v>
      </c>
      <c r="C347" s="38" t="s">
        <v>2474</v>
      </c>
      <c r="D347" s="6">
        <v>2022</v>
      </c>
      <c r="E347" s="6" t="s">
        <v>12</v>
      </c>
      <c r="F347" s="4">
        <v>55</v>
      </c>
      <c r="G347" s="4">
        <v>7.5</v>
      </c>
      <c r="H347" s="4">
        <v>72.569190000000006</v>
      </c>
      <c r="I347" s="201"/>
      <c r="J347" s="201"/>
    </row>
    <row r="348" spans="1:10" s="5" customFormat="1" ht="30" hidden="1" customHeight="1" outlineLevel="1" x14ac:dyDescent="0.25">
      <c r="A348" s="4">
        <v>509</v>
      </c>
      <c r="B348" s="6" t="s">
        <v>15</v>
      </c>
      <c r="C348" s="38" t="s">
        <v>2475</v>
      </c>
      <c r="D348" s="6">
        <v>2022</v>
      </c>
      <c r="E348" s="6" t="s">
        <v>12</v>
      </c>
      <c r="F348" s="4">
        <v>130</v>
      </c>
      <c r="G348" s="4">
        <v>15</v>
      </c>
      <c r="H348" s="4">
        <v>159.82772</v>
      </c>
      <c r="I348" s="201"/>
      <c r="J348" s="201"/>
    </row>
    <row r="349" spans="1:10" s="5" customFormat="1" ht="30" hidden="1" customHeight="1" outlineLevel="1" x14ac:dyDescent="0.25">
      <c r="A349" s="4">
        <v>520</v>
      </c>
      <c r="B349" s="6" t="s">
        <v>15</v>
      </c>
      <c r="C349" s="38" t="s">
        <v>2476</v>
      </c>
      <c r="D349" s="6">
        <v>2022</v>
      </c>
      <c r="E349" s="6" t="s">
        <v>12</v>
      </c>
      <c r="F349" s="4">
        <v>30</v>
      </c>
      <c r="G349" s="4">
        <v>6</v>
      </c>
      <c r="H349" s="4">
        <v>51.695880000000002</v>
      </c>
      <c r="I349" s="201"/>
      <c r="J349" s="201"/>
    </row>
    <row r="350" spans="1:10" s="5" customFormat="1" ht="30" hidden="1" customHeight="1" outlineLevel="1" x14ac:dyDescent="0.25">
      <c r="A350" s="4">
        <v>500</v>
      </c>
      <c r="B350" s="6" t="s">
        <v>15</v>
      </c>
      <c r="C350" s="38" t="s">
        <v>2477</v>
      </c>
      <c r="D350" s="6">
        <v>2022</v>
      </c>
      <c r="E350" s="6" t="s">
        <v>12</v>
      </c>
      <c r="F350" s="4">
        <v>30</v>
      </c>
      <c r="G350" s="4">
        <v>15</v>
      </c>
      <c r="H350" s="4">
        <v>64.788960000000003</v>
      </c>
      <c r="I350" s="201"/>
      <c r="J350" s="201"/>
    </row>
    <row r="351" spans="1:10" s="5" customFormat="1" ht="30" hidden="1" customHeight="1" outlineLevel="1" x14ac:dyDescent="0.25">
      <c r="A351" s="4">
        <v>568</v>
      </c>
      <c r="B351" s="6" t="s">
        <v>15</v>
      </c>
      <c r="C351" s="38" t="s">
        <v>2478</v>
      </c>
      <c r="D351" s="6">
        <v>2022</v>
      </c>
      <c r="E351" s="6" t="s">
        <v>12</v>
      </c>
      <c r="F351" s="4">
        <v>75</v>
      </c>
      <c r="G351" s="4">
        <v>15</v>
      </c>
      <c r="H351" s="4">
        <v>120.9772</v>
      </c>
      <c r="I351" s="201"/>
      <c r="J351" s="201"/>
    </row>
    <row r="352" spans="1:10" s="5" customFormat="1" ht="30" hidden="1" customHeight="1" outlineLevel="1" x14ac:dyDescent="0.25">
      <c r="A352" s="4">
        <v>578</v>
      </c>
      <c r="B352" s="6" t="s">
        <v>15</v>
      </c>
      <c r="C352" s="38" t="s">
        <v>2479</v>
      </c>
      <c r="D352" s="6">
        <v>2022</v>
      </c>
      <c r="E352" s="6" t="s">
        <v>12</v>
      </c>
      <c r="F352" s="4">
        <v>359</v>
      </c>
      <c r="G352" s="4">
        <v>15</v>
      </c>
      <c r="H352" s="4">
        <v>839.52675999999997</v>
      </c>
      <c r="I352" s="201"/>
      <c r="J352" s="201"/>
    </row>
    <row r="353" spans="1:10" s="5" customFormat="1" ht="30" hidden="1" customHeight="1" outlineLevel="1" x14ac:dyDescent="0.25">
      <c r="A353" s="4">
        <v>580</v>
      </c>
      <c r="B353" s="6" t="s">
        <v>15</v>
      </c>
      <c r="C353" s="38" t="s">
        <v>2480</v>
      </c>
      <c r="D353" s="6">
        <v>2022</v>
      </c>
      <c r="E353" s="6" t="s">
        <v>12</v>
      </c>
      <c r="F353" s="4">
        <v>600</v>
      </c>
      <c r="G353" s="4">
        <v>15</v>
      </c>
      <c r="H353" s="4">
        <v>1122.0989</v>
      </c>
      <c r="I353" s="201"/>
      <c r="J353" s="201"/>
    </row>
    <row r="354" spans="1:10" s="5" customFormat="1" ht="30" hidden="1" customHeight="1" outlineLevel="1" x14ac:dyDescent="0.25">
      <c r="A354" s="4">
        <v>581</v>
      </c>
      <c r="B354" s="6" t="s">
        <v>15</v>
      </c>
      <c r="C354" s="38" t="s">
        <v>2481</v>
      </c>
      <c r="D354" s="6">
        <v>2022</v>
      </c>
      <c r="E354" s="6" t="s">
        <v>12</v>
      </c>
      <c r="F354" s="4">
        <v>60</v>
      </c>
      <c r="G354" s="4">
        <v>15</v>
      </c>
      <c r="H354" s="4">
        <v>158.33752999999999</v>
      </c>
      <c r="I354" s="201"/>
      <c r="J354" s="201"/>
    </row>
    <row r="355" spans="1:10" s="5" customFormat="1" ht="30" hidden="1" customHeight="1" outlineLevel="1" x14ac:dyDescent="0.25">
      <c r="A355" s="4">
        <v>582</v>
      </c>
      <c r="B355" s="6" t="s">
        <v>15</v>
      </c>
      <c r="C355" s="38" t="s">
        <v>2482</v>
      </c>
      <c r="D355" s="6">
        <v>2022</v>
      </c>
      <c r="E355" s="6" t="s">
        <v>12</v>
      </c>
      <c r="F355" s="4">
        <v>260</v>
      </c>
      <c r="G355" s="4">
        <v>15</v>
      </c>
      <c r="H355" s="4">
        <v>709.18024000000003</v>
      </c>
      <c r="I355" s="201"/>
      <c r="J355" s="201"/>
    </row>
    <row r="356" spans="1:10" s="5" customFormat="1" ht="30" hidden="1" customHeight="1" outlineLevel="1" x14ac:dyDescent="0.25">
      <c r="A356" s="4">
        <v>514</v>
      </c>
      <c r="B356" s="6" t="s">
        <v>15</v>
      </c>
      <c r="C356" s="38" t="s">
        <v>2483</v>
      </c>
      <c r="D356" s="6">
        <v>2022</v>
      </c>
      <c r="E356" s="6" t="s">
        <v>12</v>
      </c>
      <c r="F356" s="4">
        <v>170</v>
      </c>
      <c r="G356" s="4">
        <v>15</v>
      </c>
      <c r="H356" s="4">
        <v>244.80686</v>
      </c>
      <c r="I356" s="201"/>
      <c r="J356" s="201"/>
    </row>
    <row r="357" spans="1:10" s="5" customFormat="1" ht="30" hidden="1" customHeight="1" outlineLevel="1" x14ac:dyDescent="0.25">
      <c r="A357" s="4">
        <v>553</v>
      </c>
      <c r="B357" s="6" t="s">
        <v>15</v>
      </c>
      <c r="C357" s="38" t="s">
        <v>2484</v>
      </c>
      <c r="D357" s="6">
        <v>2022</v>
      </c>
      <c r="E357" s="6" t="s">
        <v>12</v>
      </c>
      <c r="F357" s="4">
        <v>30</v>
      </c>
      <c r="G357" s="4">
        <v>15</v>
      </c>
      <c r="H357" s="4">
        <v>67.529740000000004</v>
      </c>
      <c r="I357" s="201"/>
      <c r="J357" s="201"/>
    </row>
    <row r="358" spans="1:10" s="5" customFormat="1" ht="30" hidden="1" customHeight="1" outlineLevel="1" x14ac:dyDescent="0.25">
      <c r="A358" s="4">
        <v>518</v>
      </c>
      <c r="B358" s="6" t="s">
        <v>15</v>
      </c>
      <c r="C358" s="38" t="s">
        <v>2485</v>
      </c>
      <c r="D358" s="6">
        <v>2022</v>
      </c>
      <c r="E358" s="6" t="s">
        <v>12</v>
      </c>
      <c r="F358" s="4">
        <v>40</v>
      </c>
      <c r="G358" s="4">
        <v>15</v>
      </c>
      <c r="H358" s="4">
        <v>82.723849999999999</v>
      </c>
      <c r="I358" s="201"/>
      <c r="J358" s="201"/>
    </row>
    <row r="359" spans="1:10" s="5" customFormat="1" ht="30" hidden="1" customHeight="1" outlineLevel="1" x14ac:dyDescent="0.25">
      <c r="A359" s="4">
        <v>530</v>
      </c>
      <c r="B359" s="6" t="s">
        <v>15</v>
      </c>
      <c r="C359" s="38" t="s">
        <v>2486</v>
      </c>
      <c r="D359" s="6">
        <v>2022</v>
      </c>
      <c r="E359" s="6" t="s">
        <v>12</v>
      </c>
      <c r="F359" s="4">
        <v>30</v>
      </c>
      <c r="G359" s="4">
        <v>15</v>
      </c>
      <c r="H359" s="4">
        <v>63.001350000000002</v>
      </c>
      <c r="I359" s="201"/>
      <c r="J359" s="201"/>
    </row>
    <row r="360" spans="1:10" s="5" customFormat="1" ht="30" hidden="1" customHeight="1" outlineLevel="1" x14ac:dyDescent="0.25">
      <c r="A360" s="4">
        <v>508</v>
      </c>
      <c r="B360" s="6" t="s">
        <v>15</v>
      </c>
      <c r="C360" s="38" t="s">
        <v>2487</v>
      </c>
      <c r="D360" s="6">
        <v>2022</v>
      </c>
      <c r="E360" s="6" t="s">
        <v>12</v>
      </c>
      <c r="F360" s="4">
        <v>45</v>
      </c>
      <c r="G360" s="4">
        <v>15</v>
      </c>
      <c r="H360" s="4">
        <v>85.221180000000004</v>
      </c>
      <c r="I360" s="201"/>
      <c r="J360" s="201"/>
    </row>
    <row r="361" spans="1:10" s="5" customFormat="1" ht="30" hidden="1" customHeight="1" outlineLevel="1" x14ac:dyDescent="0.25">
      <c r="A361" s="4">
        <v>557</v>
      </c>
      <c r="B361" s="6" t="s">
        <v>15</v>
      </c>
      <c r="C361" s="38" t="s">
        <v>2488</v>
      </c>
      <c r="D361" s="6">
        <v>2022</v>
      </c>
      <c r="E361" s="6" t="s">
        <v>12</v>
      </c>
      <c r="F361" s="4">
        <v>45</v>
      </c>
      <c r="G361" s="4">
        <v>15</v>
      </c>
      <c r="H361" s="4">
        <v>85.530479999999997</v>
      </c>
      <c r="I361" s="201"/>
      <c r="J361" s="201"/>
    </row>
    <row r="362" spans="1:10" s="5" customFormat="1" ht="30" hidden="1" customHeight="1" outlineLevel="1" x14ac:dyDescent="0.25">
      <c r="A362" s="4">
        <v>502</v>
      </c>
      <c r="B362" s="6" t="s">
        <v>15</v>
      </c>
      <c r="C362" s="38" t="s">
        <v>2489</v>
      </c>
      <c r="D362" s="6">
        <v>2022</v>
      </c>
      <c r="E362" s="6" t="s">
        <v>12</v>
      </c>
      <c r="F362" s="4">
        <v>45</v>
      </c>
      <c r="G362" s="4">
        <v>15</v>
      </c>
      <c r="H362" s="4">
        <v>75.01858</v>
      </c>
      <c r="I362" s="201"/>
      <c r="J362" s="201"/>
    </row>
    <row r="363" spans="1:10" s="5" customFormat="1" ht="30" hidden="1" customHeight="1" outlineLevel="1" x14ac:dyDescent="0.25">
      <c r="A363" s="4">
        <v>532</v>
      </c>
      <c r="B363" s="6" t="s">
        <v>15</v>
      </c>
      <c r="C363" s="38" t="s">
        <v>2490</v>
      </c>
      <c r="D363" s="6">
        <v>2022</v>
      </c>
      <c r="E363" s="6" t="s">
        <v>12</v>
      </c>
      <c r="F363" s="4">
        <v>170</v>
      </c>
      <c r="G363" s="4">
        <v>15</v>
      </c>
      <c r="H363" s="4">
        <v>234.99970999999999</v>
      </c>
      <c r="I363" s="201"/>
      <c r="J363" s="201"/>
    </row>
    <row r="364" spans="1:10" s="5" customFormat="1" ht="30" hidden="1" customHeight="1" outlineLevel="1" x14ac:dyDescent="0.25">
      <c r="A364" s="4">
        <v>583</v>
      </c>
      <c r="B364" s="6" t="s">
        <v>15</v>
      </c>
      <c r="C364" s="38" t="s">
        <v>2491</v>
      </c>
      <c r="D364" s="6">
        <v>2022</v>
      </c>
      <c r="E364" s="6" t="s">
        <v>12</v>
      </c>
      <c r="F364" s="4">
        <v>20</v>
      </c>
      <c r="G364" s="4">
        <v>15</v>
      </c>
      <c r="H364" s="4">
        <v>260.81921</v>
      </c>
      <c r="I364" s="201"/>
      <c r="J364" s="201"/>
    </row>
    <row r="365" spans="1:10" s="5" customFormat="1" ht="30" hidden="1" customHeight="1" outlineLevel="1" x14ac:dyDescent="0.25">
      <c r="A365" s="4">
        <v>584</v>
      </c>
      <c r="B365" s="6" t="s">
        <v>15</v>
      </c>
      <c r="C365" s="38" t="s">
        <v>2492</v>
      </c>
      <c r="D365" s="6">
        <v>2022</v>
      </c>
      <c r="E365" s="6" t="s">
        <v>12</v>
      </c>
      <c r="F365" s="4">
        <v>25</v>
      </c>
      <c r="G365" s="4">
        <v>15</v>
      </c>
      <c r="H365" s="4">
        <v>199.46014</v>
      </c>
      <c r="I365" s="201"/>
      <c r="J365" s="201"/>
    </row>
    <row r="366" spans="1:10" s="5" customFormat="1" ht="30" hidden="1" customHeight="1" outlineLevel="1" x14ac:dyDescent="0.25">
      <c r="A366" s="4">
        <v>585</v>
      </c>
      <c r="B366" s="6" t="s">
        <v>15</v>
      </c>
      <c r="C366" s="38" t="s">
        <v>2493</v>
      </c>
      <c r="D366" s="6">
        <v>2022</v>
      </c>
      <c r="E366" s="6" t="s">
        <v>12</v>
      </c>
      <c r="F366" s="4">
        <v>66</v>
      </c>
      <c r="G366" s="4">
        <v>15</v>
      </c>
      <c r="H366" s="4">
        <v>265.08226999999999</v>
      </c>
      <c r="I366" s="201"/>
      <c r="J366" s="201"/>
    </row>
    <row r="367" spans="1:10" s="5" customFormat="1" ht="30" hidden="1" customHeight="1" outlineLevel="1" x14ac:dyDescent="0.25">
      <c r="A367" s="4">
        <v>586</v>
      </c>
      <c r="B367" s="6" t="s">
        <v>15</v>
      </c>
      <c r="C367" s="38" t="s">
        <v>2494</v>
      </c>
      <c r="D367" s="6">
        <v>2022</v>
      </c>
      <c r="E367" s="6" t="s">
        <v>12</v>
      </c>
      <c r="F367" s="4">
        <v>249</v>
      </c>
      <c r="G367" s="4">
        <v>15</v>
      </c>
      <c r="H367" s="4">
        <v>793.77412000000004</v>
      </c>
      <c r="I367" s="201"/>
      <c r="J367" s="201"/>
    </row>
    <row r="368" spans="1:10" s="5" customFormat="1" ht="30" hidden="1" customHeight="1" outlineLevel="1" x14ac:dyDescent="0.25">
      <c r="A368" s="4">
        <v>474</v>
      </c>
      <c r="B368" s="6" t="s">
        <v>15</v>
      </c>
      <c r="C368" s="38" t="s">
        <v>2495</v>
      </c>
      <c r="D368" s="6">
        <v>2022</v>
      </c>
      <c r="E368" s="6" t="s">
        <v>12</v>
      </c>
      <c r="F368" s="4">
        <v>11</v>
      </c>
      <c r="G368" s="4">
        <v>15</v>
      </c>
      <c r="H368" s="4">
        <v>102.60263999999999</v>
      </c>
      <c r="I368" s="201"/>
      <c r="J368" s="201"/>
    </row>
    <row r="369" spans="1:10" s="5" customFormat="1" ht="30" hidden="1" customHeight="1" outlineLevel="1" x14ac:dyDescent="0.25">
      <c r="A369" s="4">
        <v>5548</v>
      </c>
      <c r="B369" s="6" t="s">
        <v>15</v>
      </c>
      <c r="C369" s="38" t="s">
        <v>2496</v>
      </c>
      <c r="D369" s="6">
        <v>2022</v>
      </c>
      <c r="E369" s="6" t="s">
        <v>12</v>
      </c>
      <c r="F369" s="4">
        <v>64</v>
      </c>
      <c r="G369" s="4">
        <v>1</v>
      </c>
      <c r="H369" s="4">
        <v>111.723</v>
      </c>
      <c r="I369" s="201"/>
      <c r="J369" s="201"/>
    </row>
    <row r="370" spans="1:10" s="5" customFormat="1" ht="30" hidden="1" customHeight="1" outlineLevel="1" x14ac:dyDescent="0.25">
      <c r="A370" s="4">
        <v>5579</v>
      </c>
      <c r="B370" s="6" t="s">
        <v>15</v>
      </c>
      <c r="C370" s="38" t="s">
        <v>2497</v>
      </c>
      <c r="D370" s="6">
        <v>2022</v>
      </c>
      <c r="E370" s="6" t="s">
        <v>12</v>
      </c>
      <c r="F370" s="4">
        <v>195</v>
      </c>
      <c r="G370" s="4">
        <v>50</v>
      </c>
      <c r="H370" s="4">
        <v>195.762</v>
      </c>
      <c r="I370" s="201"/>
      <c r="J370" s="201"/>
    </row>
    <row r="371" spans="1:10" s="5" customFormat="1" ht="30" hidden="1" customHeight="1" outlineLevel="1" x14ac:dyDescent="0.25">
      <c r="A371" s="4">
        <v>5576</v>
      </c>
      <c r="B371" s="6" t="s">
        <v>15</v>
      </c>
      <c r="C371" s="38" t="s">
        <v>2498</v>
      </c>
      <c r="D371" s="6">
        <v>2022</v>
      </c>
      <c r="E371" s="6" t="s">
        <v>12</v>
      </c>
      <c r="F371" s="4">
        <v>110</v>
      </c>
      <c r="G371" s="4">
        <v>28</v>
      </c>
      <c r="H371" s="4">
        <v>137.03700000000001</v>
      </c>
      <c r="I371" s="201"/>
      <c r="J371" s="201"/>
    </row>
    <row r="372" spans="1:10" s="5" customFormat="1" ht="30" hidden="1" customHeight="1" outlineLevel="1" x14ac:dyDescent="0.25">
      <c r="A372" s="4">
        <v>5603</v>
      </c>
      <c r="B372" s="6" t="s">
        <v>15</v>
      </c>
      <c r="C372" s="38" t="s">
        <v>2499</v>
      </c>
      <c r="D372" s="6">
        <v>2022</v>
      </c>
      <c r="E372" s="6" t="s">
        <v>12</v>
      </c>
      <c r="F372" s="4">
        <v>40</v>
      </c>
      <c r="G372" s="4">
        <v>8</v>
      </c>
      <c r="H372" s="4">
        <v>119.241</v>
      </c>
      <c r="I372" s="201"/>
      <c r="J372" s="201"/>
    </row>
    <row r="373" spans="1:10" s="5" customFormat="1" ht="30" hidden="1" customHeight="1" outlineLevel="1" x14ac:dyDescent="0.25">
      <c r="A373" s="4">
        <v>5435</v>
      </c>
      <c r="B373" s="6" t="s">
        <v>15</v>
      </c>
      <c r="C373" s="38" t="s">
        <v>2500</v>
      </c>
      <c r="D373" s="6">
        <v>2022</v>
      </c>
      <c r="E373" s="6" t="s">
        <v>12</v>
      </c>
      <c r="F373" s="4">
        <v>37</v>
      </c>
      <c r="G373" s="4">
        <v>15</v>
      </c>
      <c r="H373" s="4">
        <v>185.31100000000001</v>
      </c>
      <c r="I373" s="201"/>
      <c r="J373" s="201"/>
    </row>
    <row r="374" spans="1:10" s="5" customFormat="1" ht="30" hidden="1" customHeight="1" outlineLevel="1" x14ac:dyDescent="0.25">
      <c r="A374" s="4">
        <v>5419</v>
      </c>
      <c r="B374" s="6" t="s">
        <v>15</v>
      </c>
      <c r="C374" s="38" t="s">
        <v>2501</v>
      </c>
      <c r="D374" s="6">
        <v>2022</v>
      </c>
      <c r="E374" s="6" t="s">
        <v>12</v>
      </c>
      <c r="F374" s="4">
        <v>96</v>
      </c>
      <c r="G374" s="4">
        <v>100</v>
      </c>
      <c r="H374" s="4">
        <v>225.70699999999999</v>
      </c>
      <c r="I374" s="201"/>
      <c r="J374" s="201"/>
    </row>
    <row r="375" spans="1:10" s="5" customFormat="1" ht="30" hidden="1" customHeight="1" outlineLevel="1" x14ac:dyDescent="0.25">
      <c r="A375" s="4">
        <v>5424</v>
      </c>
      <c r="B375" s="6" t="s">
        <v>15</v>
      </c>
      <c r="C375" s="38" t="s">
        <v>2502</v>
      </c>
      <c r="D375" s="6">
        <v>2022</v>
      </c>
      <c r="E375" s="6" t="s">
        <v>12</v>
      </c>
      <c r="F375" s="4">
        <v>60</v>
      </c>
      <c r="G375" s="4">
        <v>15</v>
      </c>
      <c r="H375" s="4">
        <v>132.79900000000001</v>
      </c>
      <c r="I375" s="201"/>
      <c r="J375" s="201"/>
    </row>
    <row r="376" spans="1:10" s="5" customFormat="1" ht="30" hidden="1" customHeight="1" outlineLevel="1" x14ac:dyDescent="0.25">
      <c r="A376" s="4">
        <v>5449</v>
      </c>
      <c r="B376" s="6" t="s">
        <v>15</v>
      </c>
      <c r="C376" s="38" t="s">
        <v>2503</v>
      </c>
      <c r="D376" s="6">
        <v>2022</v>
      </c>
      <c r="E376" s="6" t="s">
        <v>12</v>
      </c>
      <c r="F376" s="4">
        <v>30</v>
      </c>
      <c r="G376" s="4">
        <v>15</v>
      </c>
      <c r="H376" s="4">
        <v>103.508</v>
      </c>
      <c r="I376" s="201"/>
      <c r="J376" s="201"/>
    </row>
    <row r="377" spans="1:10" s="5" customFormat="1" ht="30" hidden="1" customHeight="1" outlineLevel="1" x14ac:dyDescent="0.25">
      <c r="A377" s="4">
        <v>5537</v>
      </c>
      <c r="B377" s="6" t="s">
        <v>15</v>
      </c>
      <c r="C377" s="38" t="s">
        <v>2504</v>
      </c>
      <c r="D377" s="6">
        <v>2022</v>
      </c>
      <c r="E377" s="6" t="s">
        <v>12</v>
      </c>
      <c r="F377" s="4">
        <v>100</v>
      </c>
      <c r="G377" s="4">
        <v>15</v>
      </c>
      <c r="H377" s="4">
        <v>195.78399999999999</v>
      </c>
      <c r="I377" s="201"/>
      <c r="J377" s="201"/>
    </row>
    <row r="378" spans="1:10" s="5" customFormat="1" ht="30" hidden="1" customHeight="1" outlineLevel="1" x14ac:dyDescent="0.25">
      <c r="A378" s="4">
        <v>5536</v>
      </c>
      <c r="B378" s="6" t="s">
        <v>15</v>
      </c>
      <c r="C378" s="38" t="s">
        <v>2505</v>
      </c>
      <c r="D378" s="6">
        <v>2022</v>
      </c>
      <c r="E378" s="6" t="s">
        <v>12</v>
      </c>
      <c r="F378" s="4">
        <v>100</v>
      </c>
      <c r="G378" s="4">
        <v>3</v>
      </c>
      <c r="H378" s="4">
        <v>172.11199999999999</v>
      </c>
      <c r="I378" s="201"/>
      <c r="J378" s="201"/>
    </row>
    <row r="379" spans="1:10" s="5" customFormat="1" ht="30" hidden="1" customHeight="1" outlineLevel="1" x14ac:dyDescent="0.25">
      <c r="A379" s="4">
        <v>5691</v>
      </c>
      <c r="B379" s="6" t="s">
        <v>15</v>
      </c>
      <c r="C379" s="38" t="s">
        <v>2506</v>
      </c>
      <c r="D379" s="6">
        <v>2022</v>
      </c>
      <c r="E379" s="6" t="s">
        <v>12</v>
      </c>
      <c r="F379" s="4">
        <v>50</v>
      </c>
      <c r="G379" s="4">
        <v>15</v>
      </c>
      <c r="H379" s="4">
        <v>90.712000000000003</v>
      </c>
      <c r="I379" s="201"/>
      <c r="J379" s="201"/>
    </row>
    <row r="380" spans="1:10" s="5" customFormat="1" ht="30" hidden="1" customHeight="1" outlineLevel="1" x14ac:dyDescent="0.25">
      <c r="A380" s="4">
        <v>5728</v>
      </c>
      <c r="B380" s="6" t="s">
        <v>15</v>
      </c>
      <c r="C380" s="38" t="s">
        <v>2507</v>
      </c>
      <c r="D380" s="6">
        <v>2022</v>
      </c>
      <c r="E380" s="6" t="s">
        <v>12</v>
      </c>
      <c r="F380" s="4">
        <v>70</v>
      </c>
      <c r="G380" s="4">
        <v>50</v>
      </c>
      <c r="H380" s="4">
        <v>150.108</v>
      </c>
      <c r="I380" s="201"/>
      <c r="J380" s="201"/>
    </row>
    <row r="381" spans="1:10" s="5" customFormat="1" ht="30" hidden="1" customHeight="1" outlineLevel="1" x14ac:dyDescent="0.25">
      <c r="A381" s="4">
        <v>5690</v>
      </c>
      <c r="B381" s="6" t="s">
        <v>15</v>
      </c>
      <c r="C381" s="38" t="s">
        <v>2508</v>
      </c>
      <c r="D381" s="6">
        <v>2022</v>
      </c>
      <c r="E381" s="6" t="s">
        <v>12</v>
      </c>
      <c r="F381" s="4">
        <v>15</v>
      </c>
      <c r="G381" s="4">
        <v>10</v>
      </c>
      <c r="H381" s="4">
        <v>57.246000000000002</v>
      </c>
      <c r="I381" s="201"/>
      <c r="J381" s="201"/>
    </row>
    <row r="382" spans="1:10" s="5" customFormat="1" ht="30" hidden="1" customHeight="1" outlineLevel="1" x14ac:dyDescent="0.25">
      <c r="A382" s="4">
        <v>5623</v>
      </c>
      <c r="B382" s="6" t="s">
        <v>15</v>
      </c>
      <c r="C382" s="38" t="s">
        <v>2509</v>
      </c>
      <c r="D382" s="6">
        <v>2022</v>
      </c>
      <c r="E382" s="6" t="s">
        <v>12</v>
      </c>
      <c r="F382" s="4">
        <v>170</v>
      </c>
      <c r="G382" s="4">
        <v>15</v>
      </c>
      <c r="H382" s="4">
        <v>191.86600000000001</v>
      </c>
      <c r="I382" s="201"/>
      <c r="J382" s="201"/>
    </row>
    <row r="383" spans="1:10" s="5" customFormat="1" ht="30" hidden="1" customHeight="1" outlineLevel="1" x14ac:dyDescent="0.25">
      <c r="A383" s="4">
        <v>5501</v>
      </c>
      <c r="B383" s="6" t="s">
        <v>15</v>
      </c>
      <c r="C383" s="38" t="s">
        <v>2510</v>
      </c>
      <c r="D383" s="6">
        <v>2022</v>
      </c>
      <c r="E383" s="6" t="s">
        <v>12</v>
      </c>
      <c r="F383" s="4">
        <v>225</v>
      </c>
      <c r="G383" s="4">
        <v>15</v>
      </c>
      <c r="H383" s="4">
        <v>324.67700000000002</v>
      </c>
      <c r="I383" s="201"/>
      <c r="J383" s="201"/>
    </row>
    <row r="384" spans="1:10" s="5" customFormat="1" ht="30" hidden="1" customHeight="1" outlineLevel="1" x14ac:dyDescent="0.25">
      <c r="A384" s="4">
        <v>5522</v>
      </c>
      <c r="B384" s="6" t="s">
        <v>15</v>
      </c>
      <c r="C384" s="38" t="s">
        <v>2511</v>
      </c>
      <c r="D384" s="6">
        <v>2022</v>
      </c>
      <c r="E384" s="6" t="s">
        <v>12</v>
      </c>
      <c r="F384" s="4">
        <v>190</v>
      </c>
      <c r="G384" s="4">
        <v>15</v>
      </c>
      <c r="H384" s="4">
        <v>264.32900000000001</v>
      </c>
      <c r="I384" s="201"/>
      <c r="J384" s="201"/>
    </row>
    <row r="385" spans="1:10" s="5" customFormat="1" ht="30" hidden="1" customHeight="1" outlineLevel="1" x14ac:dyDescent="0.25">
      <c r="A385" s="4">
        <v>5549</v>
      </c>
      <c r="B385" s="6" t="s">
        <v>15</v>
      </c>
      <c r="C385" s="38" t="s">
        <v>2512</v>
      </c>
      <c r="D385" s="6">
        <v>2022</v>
      </c>
      <c r="E385" s="6" t="s">
        <v>12</v>
      </c>
      <c r="F385" s="4">
        <v>30</v>
      </c>
      <c r="G385" s="4">
        <v>15</v>
      </c>
      <c r="H385" s="4">
        <v>111.294</v>
      </c>
      <c r="I385" s="201"/>
      <c r="J385" s="201"/>
    </row>
    <row r="386" spans="1:10" s="5" customFormat="1" ht="30" hidden="1" customHeight="1" outlineLevel="1" x14ac:dyDescent="0.25">
      <c r="A386" s="4">
        <v>5693</v>
      </c>
      <c r="B386" s="6" t="s">
        <v>15</v>
      </c>
      <c r="C386" s="38" t="s">
        <v>2513</v>
      </c>
      <c r="D386" s="6">
        <v>2022</v>
      </c>
      <c r="E386" s="6" t="s">
        <v>12</v>
      </c>
      <c r="F386" s="4">
        <v>30</v>
      </c>
      <c r="G386" s="4">
        <v>15</v>
      </c>
      <c r="H386" s="4">
        <v>98.515000000000001</v>
      </c>
      <c r="I386" s="201"/>
      <c r="J386" s="201"/>
    </row>
    <row r="387" spans="1:10" s="5" customFormat="1" ht="30" hidden="1" customHeight="1" outlineLevel="1" x14ac:dyDescent="0.25">
      <c r="A387" s="4">
        <v>5643</v>
      </c>
      <c r="B387" s="6" t="s">
        <v>15</v>
      </c>
      <c r="C387" s="38" t="s">
        <v>2514</v>
      </c>
      <c r="D387" s="6">
        <v>2022</v>
      </c>
      <c r="E387" s="6" t="s">
        <v>12</v>
      </c>
      <c r="F387" s="4">
        <v>40</v>
      </c>
      <c r="G387" s="4">
        <v>15</v>
      </c>
      <c r="H387" s="4">
        <v>121.82899999999999</v>
      </c>
      <c r="I387" s="201"/>
      <c r="J387" s="201"/>
    </row>
    <row r="388" spans="1:10" s="5" customFormat="1" ht="30" hidden="1" customHeight="1" outlineLevel="1" x14ac:dyDescent="0.25">
      <c r="A388" s="4">
        <v>5644</v>
      </c>
      <c r="B388" s="6" t="s">
        <v>15</v>
      </c>
      <c r="C388" s="38" t="s">
        <v>2515</v>
      </c>
      <c r="D388" s="6">
        <v>2022</v>
      </c>
      <c r="E388" s="6" t="s">
        <v>12</v>
      </c>
      <c r="F388" s="4">
        <v>150</v>
      </c>
      <c r="G388" s="4">
        <v>15</v>
      </c>
      <c r="H388" s="4">
        <v>210.94900000000001</v>
      </c>
      <c r="I388" s="201"/>
      <c r="J388" s="201"/>
    </row>
    <row r="389" spans="1:10" s="5" customFormat="1" ht="30" hidden="1" customHeight="1" outlineLevel="1" x14ac:dyDescent="0.25">
      <c r="A389" s="4">
        <v>5642</v>
      </c>
      <c r="B389" s="6" t="s">
        <v>15</v>
      </c>
      <c r="C389" s="38" t="s">
        <v>2516</v>
      </c>
      <c r="D389" s="6">
        <v>2022</v>
      </c>
      <c r="E389" s="6" t="s">
        <v>12</v>
      </c>
      <c r="F389" s="4">
        <v>230</v>
      </c>
      <c r="G389" s="4">
        <v>13</v>
      </c>
      <c r="H389" s="4">
        <v>258.14699999999999</v>
      </c>
      <c r="I389" s="201"/>
      <c r="J389" s="201"/>
    </row>
    <row r="390" spans="1:10" s="5" customFormat="1" ht="30" hidden="1" customHeight="1" outlineLevel="1" x14ac:dyDescent="0.25">
      <c r="A390" s="4">
        <v>5422</v>
      </c>
      <c r="B390" s="6" t="s">
        <v>15</v>
      </c>
      <c r="C390" s="38" t="s">
        <v>2517</v>
      </c>
      <c r="D390" s="6">
        <v>2022</v>
      </c>
      <c r="E390" s="6" t="s">
        <v>12</v>
      </c>
      <c r="F390" s="4">
        <v>7</v>
      </c>
      <c r="G390" s="4">
        <v>25</v>
      </c>
      <c r="H390" s="4">
        <v>87.927999999999997</v>
      </c>
      <c r="I390" s="201"/>
      <c r="J390" s="201"/>
    </row>
    <row r="391" spans="1:10" s="5" customFormat="1" ht="30" hidden="1" customHeight="1" outlineLevel="1" x14ac:dyDescent="0.25">
      <c r="A391" s="4">
        <v>5423</v>
      </c>
      <c r="B391" s="6" t="s">
        <v>15</v>
      </c>
      <c r="C391" s="38" t="s">
        <v>2518</v>
      </c>
      <c r="D391" s="6">
        <v>2022</v>
      </c>
      <c r="E391" s="6" t="s">
        <v>12</v>
      </c>
      <c r="F391" s="4">
        <v>95</v>
      </c>
      <c r="G391" s="4">
        <v>15</v>
      </c>
      <c r="H391" s="4">
        <v>193.19399999999999</v>
      </c>
      <c r="I391" s="201"/>
      <c r="J391" s="201"/>
    </row>
    <row r="392" spans="1:10" s="5" customFormat="1" ht="30" hidden="1" customHeight="1" outlineLevel="1" x14ac:dyDescent="0.25">
      <c r="A392" s="4">
        <v>5478</v>
      </c>
      <c r="B392" s="6" t="s">
        <v>15</v>
      </c>
      <c r="C392" s="38" t="s">
        <v>2519</v>
      </c>
      <c r="D392" s="6">
        <v>2022</v>
      </c>
      <c r="E392" s="6" t="s">
        <v>12</v>
      </c>
      <c r="F392" s="4">
        <v>200</v>
      </c>
      <c r="G392" s="4">
        <v>15</v>
      </c>
      <c r="H392" s="4">
        <v>243.83</v>
      </c>
      <c r="I392" s="201"/>
      <c r="J392" s="201"/>
    </row>
    <row r="393" spans="1:10" s="5" customFormat="1" ht="30" hidden="1" customHeight="1" outlineLevel="1" x14ac:dyDescent="0.25">
      <c r="A393" s="4">
        <v>5500</v>
      </c>
      <c r="B393" s="6" t="s">
        <v>15</v>
      </c>
      <c r="C393" s="38" t="s">
        <v>2520</v>
      </c>
      <c r="D393" s="6">
        <v>2022</v>
      </c>
      <c r="E393" s="6" t="s">
        <v>12</v>
      </c>
      <c r="F393" s="4">
        <v>50</v>
      </c>
      <c r="G393" s="4">
        <v>15</v>
      </c>
      <c r="H393" s="4">
        <v>145.93899999999999</v>
      </c>
      <c r="I393" s="201"/>
      <c r="J393" s="201"/>
    </row>
    <row r="394" spans="1:10" s="5" customFormat="1" ht="30" hidden="1" customHeight="1" outlineLevel="1" x14ac:dyDescent="0.25">
      <c r="A394" s="4">
        <v>5521</v>
      </c>
      <c r="B394" s="6" t="s">
        <v>15</v>
      </c>
      <c r="C394" s="38" t="s">
        <v>2521</v>
      </c>
      <c r="D394" s="6">
        <v>2022</v>
      </c>
      <c r="E394" s="6" t="s">
        <v>12</v>
      </c>
      <c r="F394" s="4">
        <v>210</v>
      </c>
      <c r="G394" s="4">
        <v>15</v>
      </c>
      <c r="H394" s="4">
        <v>353.09800000000001</v>
      </c>
      <c r="I394" s="201"/>
      <c r="J394" s="201"/>
    </row>
    <row r="395" spans="1:10" s="5" customFormat="1" ht="30" hidden="1" customHeight="1" outlineLevel="1" x14ac:dyDescent="0.25">
      <c r="A395" s="4">
        <v>5523</v>
      </c>
      <c r="B395" s="6" t="s">
        <v>15</v>
      </c>
      <c r="C395" s="38" t="s">
        <v>2522</v>
      </c>
      <c r="D395" s="6">
        <v>2022</v>
      </c>
      <c r="E395" s="6" t="s">
        <v>12</v>
      </c>
      <c r="F395" s="4">
        <v>30</v>
      </c>
      <c r="G395" s="4">
        <v>15</v>
      </c>
      <c r="H395" s="4">
        <v>152.322</v>
      </c>
      <c r="I395" s="201"/>
      <c r="J395" s="201"/>
    </row>
    <row r="396" spans="1:10" s="5" customFormat="1" ht="30" hidden="1" customHeight="1" outlineLevel="1" x14ac:dyDescent="0.25">
      <c r="A396" s="4">
        <v>5535</v>
      </c>
      <c r="B396" s="6" t="s">
        <v>15</v>
      </c>
      <c r="C396" s="38" t="s">
        <v>2523</v>
      </c>
      <c r="D396" s="6">
        <v>2022</v>
      </c>
      <c r="E396" s="6" t="s">
        <v>12</v>
      </c>
      <c r="F396" s="4">
        <v>30</v>
      </c>
      <c r="G396" s="4">
        <v>10</v>
      </c>
      <c r="H396" s="4">
        <v>140.47300000000001</v>
      </c>
      <c r="I396" s="201"/>
      <c r="J396" s="201"/>
    </row>
    <row r="397" spans="1:10" s="5" customFormat="1" ht="30" hidden="1" customHeight="1" outlineLevel="1" x14ac:dyDescent="0.25">
      <c r="A397" s="4">
        <v>5578</v>
      </c>
      <c r="B397" s="6" t="s">
        <v>15</v>
      </c>
      <c r="C397" s="38" t="s">
        <v>2524</v>
      </c>
      <c r="D397" s="6">
        <v>2022</v>
      </c>
      <c r="E397" s="6" t="s">
        <v>12</v>
      </c>
      <c r="F397" s="4">
        <v>140</v>
      </c>
      <c r="G397" s="4">
        <v>17</v>
      </c>
      <c r="H397" s="4">
        <v>219.20099999999999</v>
      </c>
      <c r="I397" s="201"/>
      <c r="J397" s="201"/>
    </row>
    <row r="398" spans="1:10" s="5" customFormat="1" ht="30" hidden="1" customHeight="1" outlineLevel="1" x14ac:dyDescent="0.25">
      <c r="A398" s="4">
        <v>5604</v>
      </c>
      <c r="B398" s="6" t="s">
        <v>15</v>
      </c>
      <c r="C398" s="38" t="s">
        <v>2525</v>
      </c>
      <c r="D398" s="6">
        <v>2022</v>
      </c>
      <c r="E398" s="6" t="s">
        <v>12</v>
      </c>
      <c r="F398" s="4">
        <v>60</v>
      </c>
      <c r="G398" s="4">
        <v>15</v>
      </c>
      <c r="H398" s="4">
        <v>109.236</v>
      </c>
      <c r="I398" s="201"/>
      <c r="J398" s="201"/>
    </row>
    <row r="399" spans="1:10" s="5" customFormat="1" ht="30" hidden="1" customHeight="1" outlineLevel="1" x14ac:dyDescent="0.25">
      <c r="A399" s="4">
        <v>5605</v>
      </c>
      <c r="B399" s="6" t="s">
        <v>15</v>
      </c>
      <c r="C399" s="38" t="s">
        <v>2526</v>
      </c>
      <c r="D399" s="6">
        <v>2022</v>
      </c>
      <c r="E399" s="6" t="s">
        <v>12</v>
      </c>
      <c r="F399" s="4">
        <v>30</v>
      </c>
      <c r="G399" s="4">
        <v>15</v>
      </c>
      <c r="H399" s="4">
        <v>85.41</v>
      </c>
      <c r="I399" s="201"/>
      <c r="J399" s="201"/>
    </row>
    <row r="400" spans="1:10" s="5" customFormat="1" ht="30" hidden="1" customHeight="1" outlineLevel="1" x14ac:dyDescent="0.25">
      <c r="A400" s="4">
        <v>5687</v>
      </c>
      <c r="B400" s="6" t="s">
        <v>15</v>
      </c>
      <c r="C400" s="38" t="s">
        <v>2528</v>
      </c>
      <c r="D400" s="6">
        <v>2022</v>
      </c>
      <c r="E400" s="6" t="s">
        <v>12</v>
      </c>
      <c r="F400" s="4">
        <v>235</v>
      </c>
      <c r="G400" s="4">
        <v>15</v>
      </c>
      <c r="H400" s="4">
        <v>224.29599999999999</v>
      </c>
      <c r="I400" s="201"/>
      <c r="J400" s="201"/>
    </row>
    <row r="401" spans="1:10" s="5" customFormat="1" ht="30" hidden="1" customHeight="1" outlineLevel="1" x14ac:dyDescent="0.25">
      <c r="A401" s="4">
        <v>5835</v>
      </c>
      <c r="B401" s="6" t="s">
        <v>15</v>
      </c>
      <c r="C401" s="38" t="s">
        <v>2529</v>
      </c>
      <c r="D401" s="6">
        <v>2022</v>
      </c>
      <c r="E401" s="6" t="s">
        <v>12</v>
      </c>
      <c r="F401" s="4">
        <v>62</v>
      </c>
      <c r="G401" s="4">
        <v>15</v>
      </c>
      <c r="H401" s="4">
        <v>226.36600000000001</v>
      </c>
      <c r="I401" s="201"/>
      <c r="J401" s="201"/>
    </row>
    <row r="402" spans="1:10" s="5" customFormat="1" ht="30" hidden="1" customHeight="1" outlineLevel="1" x14ac:dyDescent="0.25">
      <c r="A402" s="4">
        <v>5902</v>
      </c>
      <c r="B402" s="6" t="s">
        <v>15</v>
      </c>
      <c r="C402" s="38" t="s">
        <v>2530</v>
      </c>
      <c r="D402" s="6">
        <v>2022</v>
      </c>
      <c r="E402" s="6" t="s">
        <v>12</v>
      </c>
      <c r="F402" s="4">
        <v>76</v>
      </c>
      <c r="G402" s="4">
        <v>15</v>
      </c>
      <c r="H402" s="4">
        <v>169.76900000000001</v>
      </c>
      <c r="I402" s="201"/>
      <c r="J402" s="201"/>
    </row>
    <row r="403" spans="1:10" s="5" customFormat="1" ht="30" hidden="1" customHeight="1" outlineLevel="1" x14ac:dyDescent="0.25">
      <c r="A403" s="4">
        <v>5903</v>
      </c>
      <c r="B403" s="6" t="s">
        <v>15</v>
      </c>
      <c r="C403" s="38" t="s">
        <v>2531</v>
      </c>
      <c r="D403" s="6">
        <v>2022</v>
      </c>
      <c r="E403" s="6" t="s">
        <v>12</v>
      </c>
      <c r="F403" s="4">
        <v>140</v>
      </c>
      <c r="G403" s="4">
        <v>15</v>
      </c>
      <c r="H403" s="4">
        <v>183.81200000000001</v>
      </c>
      <c r="I403" s="201"/>
      <c r="J403" s="201"/>
    </row>
    <row r="404" spans="1:10" s="5" customFormat="1" ht="30" hidden="1" customHeight="1" outlineLevel="1" x14ac:dyDescent="0.25">
      <c r="A404" s="4">
        <v>5904</v>
      </c>
      <c r="B404" s="6" t="s">
        <v>15</v>
      </c>
      <c r="C404" s="38" t="s">
        <v>2532</v>
      </c>
      <c r="D404" s="6">
        <v>2022</v>
      </c>
      <c r="E404" s="6" t="s">
        <v>12</v>
      </c>
      <c r="F404" s="4">
        <v>120</v>
      </c>
      <c r="G404" s="4">
        <v>15</v>
      </c>
      <c r="H404" s="4">
        <v>200.73099999999999</v>
      </c>
      <c r="I404" s="201"/>
      <c r="J404" s="201"/>
    </row>
    <row r="405" spans="1:10" s="5" customFormat="1" ht="30" hidden="1" customHeight="1" outlineLevel="1" x14ac:dyDescent="0.25">
      <c r="A405" s="4">
        <v>5624</v>
      </c>
      <c r="B405" s="6" t="s">
        <v>15</v>
      </c>
      <c r="C405" s="38" t="s">
        <v>2533</v>
      </c>
      <c r="D405" s="6">
        <v>2022</v>
      </c>
      <c r="E405" s="6" t="s">
        <v>12</v>
      </c>
      <c r="F405" s="4">
        <v>45</v>
      </c>
      <c r="G405" s="4">
        <v>15</v>
      </c>
      <c r="H405" s="4">
        <v>101.123</v>
      </c>
      <c r="I405" s="201"/>
      <c r="J405" s="201"/>
    </row>
    <row r="406" spans="1:10" s="5" customFormat="1" ht="30" hidden="1" customHeight="1" outlineLevel="1" x14ac:dyDescent="0.25">
      <c r="A406" s="4">
        <v>5727</v>
      </c>
      <c r="B406" s="6" t="s">
        <v>15</v>
      </c>
      <c r="C406" s="38" t="s">
        <v>2534</v>
      </c>
      <c r="D406" s="6">
        <v>2022</v>
      </c>
      <c r="E406" s="6" t="s">
        <v>12</v>
      </c>
      <c r="F406" s="4">
        <v>40</v>
      </c>
      <c r="G406" s="4">
        <v>10</v>
      </c>
      <c r="H406" s="4">
        <v>118.143</v>
      </c>
      <c r="I406" s="201"/>
      <c r="J406" s="201"/>
    </row>
    <row r="407" spans="1:10" s="5" customFormat="1" ht="30" hidden="1" customHeight="1" outlineLevel="1" x14ac:dyDescent="0.25">
      <c r="A407" s="4">
        <v>5685</v>
      </c>
      <c r="B407" s="6" t="s">
        <v>15</v>
      </c>
      <c r="C407" s="38" t="s">
        <v>2535</v>
      </c>
      <c r="D407" s="6">
        <v>2022</v>
      </c>
      <c r="E407" s="6" t="s">
        <v>12</v>
      </c>
      <c r="F407" s="4">
        <v>450</v>
      </c>
      <c r="G407" s="4">
        <v>15</v>
      </c>
      <c r="H407" s="4">
        <v>448.60599999999999</v>
      </c>
      <c r="I407" s="201"/>
      <c r="J407" s="201"/>
    </row>
    <row r="408" spans="1:10" s="5" customFormat="1" ht="30" hidden="1" customHeight="1" outlineLevel="1" x14ac:dyDescent="0.25">
      <c r="A408" s="4">
        <v>5688</v>
      </c>
      <c r="B408" s="6" t="s">
        <v>15</v>
      </c>
      <c r="C408" s="38" t="s">
        <v>2536</v>
      </c>
      <c r="D408" s="6">
        <v>2022</v>
      </c>
      <c r="E408" s="6" t="s">
        <v>12</v>
      </c>
      <c r="F408" s="4">
        <v>40</v>
      </c>
      <c r="G408" s="4">
        <v>3.8849999999999998</v>
      </c>
      <c r="H408" s="4">
        <v>88.454999999999998</v>
      </c>
      <c r="I408" s="201"/>
      <c r="J408" s="201"/>
    </row>
    <row r="409" spans="1:10" s="5" customFormat="1" ht="30" hidden="1" customHeight="1" outlineLevel="1" x14ac:dyDescent="0.25">
      <c r="A409" s="4">
        <v>5689</v>
      </c>
      <c r="B409" s="6" t="s">
        <v>15</v>
      </c>
      <c r="C409" s="38" t="s">
        <v>2537</v>
      </c>
      <c r="D409" s="6">
        <v>2022</v>
      </c>
      <c r="E409" s="6" t="s">
        <v>12</v>
      </c>
      <c r="F409" s="4">
        <v>30</v>
      </c>
      <c r="G409" s="4">
        <v>3.145</v>
      </c>
      <c r="H409" s="4">
        <v>89.194999999999993</v>
      </c>
      <c r="I409" s="201"/>
      <c r="J409" s="201"/>
    </row>
    <row r="410" spans="1:10" s="5" customFormat="1" ht="30" hidden="1" customHeight="1" outlineLevel="1" x14ac:dyDescent="0.25">
      <c r="A410" s="4">
        <v>5747</v>
      </c>
      <c r="B410" s="6" t="s">
        <v>15</v>
      </c>
      <c r="C410" s="38" t="s">
        <v>2538</v>
      </c>
      <c r="D410" s="6">
        <v>2022</v>
      </c>
      <c r="E410" s="6" t="s">
        <v>12</v>
      </c>
      <c r="F410" s="4">
        <v>90</v>
      </c>
      <c r="G410" s="4">
        <v>7.5</v>
      </c>
      <c r="H410" s="4">
        <v>133.88499999999999</v>
      </c>
      <c r="I410" s="201"/>
      <c r="J410" s="201"/>
    </row>
    <row r="411" spans="1:10" s="5" customFormat="1" ht="30" hidden="1" customHeight="1" outlineLevel="1" x14ac:dyDescent="0.25">
      <c r="A411" s="4">
        <v>5748</v>
      </c>
      <c r="B411" s="6" t="s">
        <v>15</v>
      </c>
      <c r="C411" s="38" t="s">
        <v>2539</v>
      </c>
      <c r="D411" s="6">
        <v>2022</v>
      </c>
      <c r="E411" s="6" t="s">
        <v>12</v>
      </c>
      <c r="F411" s="4">
        <v>35</v>
      </c>
      <c r="G411" s="4">
        <v>7.5</v>
      </c>
      <c r="H411" s="4">
        <v>99.385000000000005</v>
      </c>
      <c r="I411" s="201"/>
      <c r="J411" s="201"/>
    </row>
    <row r="412" spans="1:10" s="5" customFormat="1" ht="30" hidden="1" customHeight="1" outlineLevel="1" x14ac:dyDescent="0.25">
      <c r="A412" s="4">
        <v>5834</v>
      </c>
      <c r="B412" s="6" t="s">
        <v>15</v>
      </c>
      <c r="C412" s="38" t="s">
        <v>2540</v>
      </c>
      <c r="D412" s="6">
        <v>2022</v>
      </c>
      <c r="E412" s="6" t="s">
        <v>12</v>
      </c>
      <c r="F412" s="4">
        <v>35</v>
      </c>
      <c r="G412" s="4">
        <v>100</v>
      </c>
      <c r="H412" s="4">
        <v>115.43600000000001</v>
      </c>
      <c r="I412" s="201"/>
      <c r="J412" s="201"/>
    </row>
    <row r="413" spans="1:10" s="5" customFormat="1" ht="30" hidden="1" customHeight="1" outlineLevel="1" x14ac:dyDescent="0.25">
      <c r="A413" s="4">
        <v>5420</v>
      </c>
      <c r="B413" s="6" t="s">
        <v>15</v>
      </c>
      <c r="C413" s="38" t="s">
        <v>2541</v>
      </c>
      <c r="D413" s="6">
        <v>2022</v>
      </c>
      <c r="E413" s="6" t="s">
        <v>12</v>
      </c>
      <c r="F413" s="4">
        <v>40</v>
      </c>
      <c r="G413" s="4">
        <v>30</v>
      </c>
      <c r="H413" s="4">
        <v>145.69200000000001</v>
      </c>
      <c r="I413" s="201"/>
      <c r="J413" s="201"/>
    </row>
    <row r="414" spans="1:10" s="5" customFormat="1" ht="30" hidden="1" customHeight="1" outlineLevel="1" x14ac:dyDescent="0.25">
      <c r="A414" s="4">
        <v>5477</v>
      </c>
      <c r="B414" s="6" t="s">
        <v>15</v>
      </c>
      <c r="C414" s="38" t="s">
        <v>2542</v>
      </c>
      <c r="D414" s="6">
        <v>2022</v>
      </c>
      <c r="E414" s="6" t="s">
        <v>12</v>
      </c>
      <c r="F414" s="4">
        <v>30</v>
      </c>
      <c r="G414" s="4">
        <v>15</v>
      </c>
      <c r="H414" s="4">
        <v>114.899</v>
      </c>
      <c r="I414" s="201"/>
      <c r="J414" s="201"/>
    </row>
    <row r="415" spans="1:10" s="5" customFormat="1" ht="30" hidden="1" customHeight="1" outlineLevel="1" x14ac:dyDescent="0.25">
      <c r="A415" s="4">
        <v>5666</v>
      </c>
      <c r="B415" s="6" t="s">
        <v>15</v>
      </c>
      <c r="C415" s="38" t="s">
        <v>2543</v>
      </c>
      <c r="D415" s="6">
        <v>2022</v>
      </c>
      <c r="E415" s="6" t="s">
        <v>12</v>
      </c>
      <c r="F415" s="4">
        <v>480</v>
      </c>
      <c r="G415" s="4">
        <v>15</v>
      </c>
      <c r="H415" s="4">
        <v>583.971</v>
      </c>
      <c r="I415" s="201"/>
      <c r="J415" s="201"/>
    </row>
    <row r="416" spans="1:10" s="5" customFormat="1" ht="30" hidden="1" customHeight="1" outlineLevel="1" x14ac:dyDescent="0.25">
      <c r="A416" s="4">
        <v>5686</v>
      </c>
      <c r="B416" s="6" t="s">
        <v>15</v>
      </c>
      <c r="C416" s="38" t="s">
        <v>2544</v>
      </c>
      <c r="D416" s="6">
        <v>2022</v>
      </c>
      <c r="E416" s="6" t="s">
        <v>12</v>
      </c>
      <c r="F416" s="4">
        <v>55</v>
      </c>
      <c r="G416" s="4">
        <v>15</v>
      </c>
      <c r="H416" s="4">
        <v>109.7</v>
      </c>
      <c r="I416" s="201"/>
      <c r="J416" s="201"/>
    </row>
    <row r="417" spans="1:10" s="5" customFormat="1" ht="30" hidden="1" customHeight="1" outlineLevel="1" x14ac:dyDescent="0.25">
      <c r="A417" s="4">
        <v>5763</v>
      </c>
      <c r="B417" s="6" t="s">
        <v>15</v>
      </c>
      <c r="C417" s="38" t="s">
        <v>2545</v>
      </c>
      <c r="D417" s="6">
        <v>2022</v>
      </c>
      <c r="E417" s="6" t="s">
        <v>12</v>
      </c>
      <c r="F417" s="4">
        <v>105</v>
      </c>
      <c r="G417" s="4">
        <v>15</v>
      </c>
      <c r="H417" s="4">
        <v>207.43799999999999</v>
      </c>
      <c r="I417" s="201"/>
      <c r="J417" s="201"/>
    </row>
    <row r="418" spans="1:10" s="5" customFormat="1" ht="30" hidden="1" customHeight="1" outlineLevel="1" x14ac:dyDescent="0.25">
      <c r="A418" s="4">
        <v>5764</v>
      </c>
      <c r="B418" s="6" t="s">
        <v>15</v>
      </c>
      <c r="C418" s="38" t="s">
        <v>2546</v>
      </c>
      <c r="D418" s="6">
        <v>2022</v>
      </c>
      <c r="E418" s="6" t="s">
        <v>12</v>
      </c>
      <c r="F418" s="4">
        <v>30</v>
      </c>
      <c r="G418" s="4">
        <v>6.5</v>
      </c>
      <c r="H418" s="4">
        <v>124.78700000000001</v>
      </c>
      <c r="I418" s="201"/>
      <c r="J418" s="201"/>
    </row>
    <row r="419" spans="1:10" s="5" customFormat="1" ht="30" hidden="1" customHeight="1" outlineLevel="1" x14ac:dyDescent="0.25">
      <c r="A419" s="4">
        <v>5829</v>
      </c>
      <c r="B419" s="6" t="s">
        <v>15</v>
      </c>
      <c r="C419" s="38" t="s">
        <v>2547</v>
      </c>
      <c r="D419" s="6">
        <v>2022</v>
      </c>
      <c r="E419" s="6" t="s">
        <v>12</v>
      </c>
      <c r="F419" s="4">
        <v>35</v>
      </c>
      <c r="G419" s="4">
        <v>15</v>
      </c>
      <c r="H419" s="4">
        <v>106.419</v>
      </c>
      <c r="I419" s="201"/>
      <c r="J419" s="201"/>
    </row>
    <row r="420" spans="1:10" s="5" customFormat="1" ht="30" hidden="1" customHeight="1" outlineLevel="1" x14ac:dyDescent="0.25">
      <c r="A420" s="4">
        <v>5852</v>
      </c>
      <c r="B420" s="6" t="s">
        <v>15</v>
      </c>
      <c r="C420" s="38" t="s">
        <v>2548</v>
      </c>
      <c r="D420" s="6">
        <v>2022</v>
      </c>
      <c r="E420" s="6" t="s">
        <v>12</v>
      </c>
      <c r="F420" s="4">
        <v>32</v>
      </c>
      <c r="G420" s="4">
        <v>6</v>
      </c>
      <c r="H420" s="4">
        <v>81.513999999999996</v>
      </c>
      <c r="I420" s="201"/>
      <c r="J420" s="201"/>
    </row>
    <row r="421" spans="1:10" s="5" customFormat="1" ht="30" hidden="1" customHeight="1" outlineLevel="1" x14ac:dyDescent="0.25">
      <c r="A421" s="4">
        <v>5436</v>
      </c>
      <c r="B421" s="6" t="s">
        <v>15</v>
      </c>
      <c r="C421" s="38" t="s">
        <v>2549</v>
      </c>
      <c r="D421" s="6">
        <v>2022</v>
      </c>
      <c r="E421" s="6" t="s">
        <v>12</v>
      </c>
      <c r="F421" s="4">
        <v>10</v>
      </c>
      <c r="G421" s="4">
        <v>15</v>
      </c>
      <c r="H421" s="4">
        <v>121.907</v>
      </c>
      <c r="I421" s="201"/>
      <c r="J421" s="201"/>
    </row>
    <row r="422" spans="1:10" s="5" customFormat="1" ht="30" hidden="1" customHeight="1" outlineLevel="1" x14ac:dyDescent="0.25">
      <c r="A422" s="4">
        <v>5692</v>
      </c>
      <c r="B422" s="6" t="s">
        <v>15</v>
      </c>
      <c r="C422" s="38" t="s">
        <v>2550</v>
      </c>
      <c r="D422" s="6">
        <v>2022</v>
      </c>
      <c r="E422" s="6" t="s">
        <v>12</v>
      </c>
      <c r="F422" s="4">
        <v>106</v>
      </c>
      <c r="G422" s="4">
        <v>15</v>
      </c>
      <c r="H422" s="4">
        <v>164.434</v>
      </c>
      <c r="I422" s="201"/>
      <c r="J422" s="201"/>
    </row>
    <row r="423" spans="1:10" s="5" customFormat="1" ht="30" hidden="1" customHeight="1" outlineLevel="1" x14ac:dyDescent="0.25">
      <c r="A423" s="4">
        <v>5766</v>
      </c>
      <c r="B423" s="6" t="s">
        <v>15</v>
      </c>
      <c r="C423" s="38" t="s">
        <v>2551</v>
      </c>
      <c r="D423" s="6">
        <v>2022</v>
      </c>
      <c r="E423" s="6" t="s">
        <v>12</v>
      </c>
      <c r="F423" s="4">
        <v>360</v>
      </c>
      <c r="G423" s="4">
        <v>15</v>
      </c>
      <c r="H423" s="4">
        <v>407.68799999999999</v>
      </c>
      <c r="I423" s="201"/>
      <c r="J423" s="201"/>
    </row>
    <row r="424" spans="1:10" s="5" customFormat="1" ht="30" hidden="1" customHeight="1" outlineLevel="1" x14ac:dyDescent="0.25">
      <c r="A424" s="4">
        <v>5824</v>
      </c>
      <c r="B424" s="6" t="s">
        <v>15</v>
      </c>
      <c r="C424" s="38" t="s">
        <v>2552</v>
      </c>
      <c r="D424" s="6">
        <v>2022</v>
      </c>
      <c r="E424" s="6" t="s">
        <v>12</v>
      </c>
      <c r="F424" s="4">
        <v>45</v>
      </c>
      <c r="G424" s="4">
        <v>10</v>
      </c>
      <c r="H424" s="4">
        <v>130.37899999999999</v>
      </c>
      <c r="I424" s="201"/>
      <c r="J424" s="201"/>
    </row>
    <row r="425" spans="1:10" s="5" customFormat="1" ht="30" hidden="1" customHeight="1" outlineLevel="1" x14ac:dyDescent="0.25">
      <c r="A425" s="4">
        <v>5885</v>
      </c>
      <c r="B425" s="6" t="s">
        <v>15</v>
      </c>
      <c r="C425" s="38" t="s">
        <v>2553</v>
      </c>
      <c r="D425" s="6">
        <v>2022</v>
      </c>
      <c r="E425" s="6" t="s">
        <v>12</v>
      </c>
      <c r="F425" s="4">
        <v>62</v>
      </c>
      <c r="G425" s="4">
        <v>30</v>
      </c>
      <c r="H425" s="4">
        <v>286.666</v>
      </c>
      <c r="I425" s="201"/>
      <c r="J425" s="201"/>
    </row>
    <row r="426" spans="1:10" s="5" customFormat="1" ht="30" hidden="1" customHeight="1" outlineLevel="1" x14ac:dyDescent="0.25">
      <c r="A426" s="4">
        <v>5577</v>
      </c>
      <c r="B426" s="6" t="s">
        <v>15</v>
      </c>
      <c r="C426" s="38" t="s">
        <v>2554</v>
      </c>
      <c r="D426" s="6">
        <v>2022</v>
      </c>
      <c r="E426" s="6" t="s">
        <v>12</v>
      </c>
      <c r="F426" s="4">
        <v>750</v>
      </c>
      <c r="G426" s="4">
        <v>15</v>
      </c>
      <c r="H426" s="4">
        <v>937.17100000000005</v>
      </c>
      <c r="I426" s="201"/>
      <c r="J426" s="201"/>
    </row>
    <row r="427" spans="1:10" s="5" customFormat="1" ht="30" hidden="1" customHeight="1" outlineLevel="1" x14ac:dyDescent="0.25">
      <c r="A427" s="4">
        <v>5607</v>
      </c>
      <c r="B427" s="6" t="s">
        <v>15</v>
      </c>
      <c r="C427" s="38" t="s">
        <v>2555</v>
      </c>
      <c r="D427" s="6">
        <v>2022</v>
      </c>
      <c r="E427" s="6" t="s">
        <v>12</v>
      </c>
      <c r="F427" s="4">
        <v>280</v>
      </c>
      <c r="G427" s="4">
        <v>10</v>
      </c>
      <c r="H427" s="4">
        <v>335.61799999999999</v>
      </c>
      <c r="I427" s="201"/>
      <c r="J427" s="201"/>
    </row>
    <row r="428" spans="1:10" s="5" customFormat="1" ht="30" hidden="1" customHeight="1" outlineLevel="1" x14ac:dyDescent="0.25">
      <c r="A428" s="4">
        <v>5622</v>
      </c>
      <c r="B428" s="6" t="s">
        <v>15</v>
      </c>
      <c r="C428" s="38" t="s">
        <v>2556</v>
      </c>
      <c r="D428" s="6">
        <v>2022</v>
      </c>
      <c r="E428" s="6" t="s">
        <v>12</v>
      </c>
      <c r="F428" s="4">
        <v>560</v>
      </c>
      <c r="G428" s="4">
        <v>15</v>
      </c>
      <c r="H428" s="4">
        <v>546.41099999999994</v>
      </c>
      <c r="I428" s="201"/>
      <c r="J428" s="201"/>
    </row>
    <row r="429" spans="1:10" s="5" customFormat="1" ht="30" hidden="1" customHeight="1" outlineLevel="1" x14ac:dyDescent="0.25">
      <c r="A429" s="4">
        <v>5729</v>
      </c>
      <c r="B429" s="6" t="s">
        <v>15</v>
      </c>
      <c r="C429" s="38" t="s">
        <v>2557</v>
      </c>
      <c r="D429" s="6">
        <v>2022</v>
      </c>
      <c r="E429" s="6" t="s">
        <v>12</v>
      </c>
      <c r="F429" s="4">
        <v>170</v>
      </c>
      <c r="G429" s="4">
        <v>10</v>
      </c>
      <c r="H429" s="4">
        <v>252.42400000000001</v>
      </c>
      <c r="I429" s="201"/>
      <c r="J429" s="201"/>
    </row>
    <row r="430" spans="1:10" s="5" customFormat="1" ht="30" hidden="1" customHeight="1" outlineLevel="1" x14ac:dyDescent="0.25">
      <c r="A430" s="4">
        <v>5765</v>
      </c>
      <c r="B430" s="6" t="s">
        <v>15</v>
      </c>
      <c r="C430" s="38" t="s">
        <v>2558</v>
      </c>
      <c r="D430" s="6">
        <v>2022</v>
      </c>
      <c r="E430" s="6" t="s">
        <v>12</v>
      </c>
      <c r="F430" s="4">
        <v>40</v>
      </c>
      <c r="G430" s="4">
        <v>10</v>
      </c>
      <c r="H430" s="4">
        <v>109.354</v>
      </c>
      <c r="I430" s="201"/>
      <c r="J430" s="201"/>
    </row>
    <row r="431" spans="1:10" s="5" customFormat="1" ht="30" hidden="1" customHeight="1" outlineLevel="1" x14ac:dyDescent="0.25">
      <c r="A431" s="4">
        <v>5767</v>
      </c>
      <c r="B431" s="6" t="s">
        <v>15</v>
      </c>
      <c r="C431" s="38" t="s">
        <v>2559</v>
      </c>
      <c r="D431" s="6">
        <v>2022</v>
      </c>
      <c r="E431" s="6" t="s">
        <v>12</v>
      </c>
      <c r="F431" s="4">
        <v>5</v>
      </c>
      <c r="G431" s="4">
        <v>15</v>
      </c>
      <c r="H431" s="4">
        <v>62.343000000000004</v>
      </c>
      <c r="I431" s="201"/>
      <c r="J431" s="201"/>
    </row>
    <row r="432" spans="1:10" s="5" customFormat="1" ht="30" hidden="1" customHeight="1" outlineLevel="1" x14ac:dyDescent="0.25">
      <c r="A432" s="4">
        <v>5768</v>
      </c>
      <c r="B432" s="6" t="s">
        <v>15</v>
      </c>
      <c r="C432" s="38" t="s">
        <v>2560</v>
      </c>
      <c r="D432" s="6">
        <v>2022</v>
      </c>
      <c r="E432" s="6" t="s">
        <v>12</v>
      </c>
      <c r="F432" s="4">
        <v>10</v>
      </c>
      <c r="G432" s="4">
        <v>62</v>
      </c>
      <c r="H432" s="4">
        <v>94.807000000000002</v>
      </c>
      <c r="I432" s="201"/>
      <c r="J432" s="201"/>
    </row>
    <row r="433" spans="1:10" s="5" customFormat="1" ht="30" hidden="1" customHeight="1" outlineLevel="1" x14ac:dyDescent="0.25">
      <c r="A433" s="4">
        <v>5825</v>
      </c>
      <c r="B433" s="6" t="s">
        <v>15</v>
      </c>
      <c r="C433" s="38" t="s">
        <v>2561</v>
      </c>
      <c r="D433" s="6">
        <v>2022</v>
      </c>
      <c r="E433" s="6" t="s">
        <v>12</v>
      </c>
      <c r="F433" s="4">
        <v>58</v>
      </c>
      <c r="G433" s="4">
        <v>15</v>
      </c>
      <c r="H433" s="4">
        <v>128.16999999999999</v>
      </c>
      <c r="I433" s="201"/>
      <c r="J433" s="201"/>
    </row>
    <row r="434" spans="1:10" s="5" customFormat="1" ht="30" hidden="1" customHeight="1" outlineLevel="1" x14ac:dyDescent="0.25">
      <c r="A434" s="4">
        <v>5826</v>
      </c>
      <c r="B434" s="6" t="s">
        <v>15</v>
      </c>
      <c r="C434" s="38" t="s">
        <v>2562</v>
      </c>
      <c r="D434" s="6">
        <v>2022</v>
      </c>
      <c r="E434" s="6" t="s">
        <v>12</v>
      </c>
      <c r="F434" s="4">
        <v>207</v>
      </c>
      <c r="G434" s="4">
        <v>30</v>
      </c>
      <c r="H434" s="4">
        <v>323.92899999999997</v>
      </c>
      <c r="I434" s="201"/>
      <c r="J434" s="201"/>
    </row>
    <row r="435" spans="1:10" s="5" customFormat="1" ht="30" hidden="1" customHeight="1" outlineLevel="1" x14ac:dyDescent="0.25">
      <c r="A435" s="4">
        <v>5827</v>
      </c>
      <c r="B435" s="6" t="s">
        <v>15</v>
      </c>
      <c r="C435" s="38" t="s">
        <v>2563</v>
      </c>
      <c r="D435" s="6">
        <v>2022</v>
      </c>
      <c r="E435" s="6" t="s">
        <v>12</v>
      </c>
      <c r="F435" s="4">
        <v>220</v>
      </c>
      <c r="G435" s="4">
        <v>33</v>
      </c>
      <c r="H435" s="4">
        <v>326.971</v>
      </c>
      <c r="I435" s="201"/>
      <c r="J435" s="201"/>
    </row>
    <row r="436" spans="1:10" s="5" customFormat="1" ht="30" hidden="1" customHeight="1" outlineLevel="1" x14ac:dyDescent="0.25">
      <c r="A436" s="4">
        <v>5860</v>
      </c>
      <c r="B436" s="6" t="s">
        <v>15</v>
      </c>
      <c r="C436" s="38" t="s">
        <v>2564</v>
      </c>
      <c r="D436" s="6">
        <v>2022</v>
      </c>
      <c r="E436" s="6" t="s">
        <v>12</v>
      </c>
      <c r="F436" s="4">
        <v>145</v>
      </c>
      <c r="G436" s="4">
        <v>60</v>
      </c>
      <c r="H436" s="4">
        <v>346.16399999999999</v>
      </c>
      <c r="I436" s="201"/>
      <c r="J436" s="201"/>
    </row>
    <row r="437" spans="1:10" s="5" customFormat="1" ht="30" hidden="1" customHeight="1" outlineLevel="1" x14ac:dyDescent="0.25">
      <c r="A437" s="4">
        <v>164</v>
      </c>
      <c r="B437" s="6" t="s">
        <v>15</v>
      </c>
      <c r="C437" s="38" t="s">
        <v>2565</v>
      </c>
      <c r="D437" s="6">
        <v>2022</v>
      </c>
      <c r="E437" s="6" t="s">
        <v>12</v>
      </c>
      <c r="F437" s="4">
        <v>60</v>
      </c>
      <c r="G437" s="4">
        <v>15</v>
      </c>
      <c r="H437" s="4">
        <v>233</v>
      </c>
      <c r="I437" s="201"/>
      <c r="J437" s="201"/>
    </row>
    <row r="438" spans="1:10" s="5" customFormat="1" ht="30" hidden="1" customHeight="1" outlineLevel="1" x14ac:dyDescent="0.25">
      <c r="A438" s="4">
        <v>138</v>
      </c>
      <c r="B438" s="6" t="s">
        <v>15</v>
      </c>
      <c r="C438" s="38" t="s">
        <v>2566</v>
      </c>
      <c r="D438" s="6">
        <v>2022</v>
      </c>
      <c r="E438" s="6" t="s">
        <v>12</v>
      </c>
      <c r="F438" s="4">
        <v>150</v>
      </c>
      <c r="G438" s="4">
        <v>30</v>
      </c>
      <c r="H438" s="4">
        <v>449</v>
      </c>
      <c r="I438" s="201"/>
      <c r="J438" s="201"/>
    </row>
    <row r="439" spans="1:10" s="5" customFormat="1" ht="30" hidden="1" customHeight="1" outlineLevel="1" x14ac:dyDescent="0.25">
      <c r="A439" s="4">
        <v>150</v>
      </c>
      <c r="B439" s="6" t="s">
        <v>15</v>
      </c>
      <c r="C439" s="38" t="s">
        <v>2567</v>
      </c>
      <c r="D439" s="6">
        <v>2022</v>
      </c>
      <c r="E439" s="6" t="s">
        <v>12</v>
      </c>
      <c r="F439" s="4">
        <v>320</v>
      </c>
      <c r="G439" s="4">
        <v>10</v>
      </c>
      <c r="H439" s="4">
        <v>363</v>
      </c>
      <c r="I439" s="201"/>
      <c r="J439" s="201"/>
    </row>
    <row r="440" spans="1:10" s="5" customFormat="1" ht="30" hidden="1" customHeight="1" outlineLevel="1" x14ac:dyDescent="0.25">
      <c r="A440" s="4">
        <v>151</v>
      </c>
      <c r="B440" s="6" t="s">
        <v>15</v>
      </c>
      <c r="C440" s="38" t="s">
        <v>2568</v>
      </c>
      <c r="D440" s="6">
        <v>2022</v>
      </c>
      <c r="E440" s="6" t="s">
        <v>12</v>
      </c>
      <c r="F440" s="4">
        <v>269</v>
      </c>
      <c r="G440" s="4">
        <v>5</v>
      </c>
      <c r="H440" s="4">
        <v>458</v>
      </c>
      <c r="I440" s="201"/>
      <c r="J440" s="201"/>
    </row>
    <row r="441" spans="1:10" s="5" customFormat="1" ht="30" hidden="1" customHeight="1" outlineLevel="1" x14ac:dyDescent="0.25">
      <c r="A441" s="4">
        <v>149</v>
      </c>
      <c r="B441" s="6" t="s">
        <v>15</v>
      </c>
      <c r="C441" s="38" t="s">
        <v>2569</v>
      </c>
      <c r="D441" s="6">
        <v>2022</v>
      </c>
      <c r="E441" s="6" t="s">
        <v>12</v>
      </c>
      <c r="F441" s="4">
        <v>220</v>
      </c>
      <c r="G441" s="4">
        <v>30</v>
      </c>
      <c r="H441" s="4">
        <v>516</v>
      </c>
      <c r="I441" s="201"/>
      <c r="J441" s="201"/>
    </row>
    <row r="442" spans="1:10" s="5" customFormat="1" ht="30" hidden="1" customHeight="1" outlineLevel="1" x14ac:dyDescent="0.25">
      <c r="A442" s="4">
        <v>179</v>
      </c>
      <c r="B442" s="6" t="s">
        <v>15</v>
      </c>
      <c r="C442" s="38" t="s">
        <v>2570</v>
      </c>
      <c r="D442" s="6">
        <v>2022</v>
      </c>
      <c r="E442" s="6" t="s">
        <v>12</v>
      </c>
      <c r="F442" s="4">
        <v>80</v>
      </c>
      <c r="G442" s="4">
        <v>100</v>
      </c>
      <c r="H442" s="4">
        <v>125</v>
      </c>
      <c r="I442" s="201"/>
      <c r="J442" s="201"/>
    </row>
    <row r="443" spans="1:10" s="5" customFormat="1" ht="30" hidden="1" customHeight="1" outlineLevel="1" x14ac:dyDescent="0.25">
      <c r="A443" s="4">
        <v>118</v>
      </c>
      <c r="B443" s="6" t="s">
        <v>15</v>
      </c>
      <c r="C443" s="38" t="s">
        <v>2571</v>
      </c>
      <c r="D443" s="6">
        <v>2022</v>
      </c>
      <c r="E443" s="6" t="s">
        <v>12</v>
      </c>
      <c r="F443" s="4">
        <v>17</v>
      </c>
      <c r="G443" s="4">
        <v>100</v>
      </c>
      <c r="H443" s="4">
        <v>30</v>
      </c>
      <c r="I443" s="201"/>
      <c r="J443" s="201"/>
    </row>
    <row r="444" spans="1:10" s="5" customFormat="1" ht="30" hidden="1" customHeight="1" outlineLevel="1" x14ac:dyDescent="0.25">
      <c r="A444" s="4">
        <v>115</v>
      </c>
      <c r="B444" s="6" t="s">
        <v>15</v>
      </c>
      <c r="C444" s="38" t="s">
        <v>2573</v>
      </c>
      <c r="D444" s="6">
        <v>2022</v>
      </c>
      <c r="E444" s="6" t="s">
        <v>12</v>
      </c>
      <c r="F444" s="4">
        <v>50</v>
      </c>
      <c r="G444" s="4">
        <v>5</v>
      </c>
      <c r="H444" s="4">
        <v>103</v>
      </c>
      <c r="I444" s="201"/>
      <c r="J444" s="201"/>
    </row>
    <row r="445" spans="1:10" s="5" customFormat="1" ht="30" hidden="1" customHeight="1" outlineLevel="1" x14ac:dyDescent="0.25">
      <c r="A445" s="4">
        <v>121</v>
      </c>
      <c r="B445" s="6" t="s">
        <v>15</v>
      </c>
      <c r="C445" s="38" t="s">
        <v>2574</v>
      </c>
      <c r="D445" s="6">
        <v>2022</v>
      </c>
      <c r="E445" s="6" t="s">
        <v>12</v>
      </c>
      <c r="F445" s="4">
        <v>10</v>
      </c>
      <c r="G445" s="4">
        <v>15</v>
      </c>
      <c r="H445" s="4">
        <v>51</v>
      </c>
      <c r="I445" s="201"/>
      <c r="J445" s="201"/>
    </row>
    <row r="446" spans="1:10" s="5" customFormat="1" ht="30" hidden="1" customHeight="1" outlineLevel="1" x14ac:dyDescent="0.25">
      <c r="A446" s="4">
        <v>119</v>
      </c>
      <c r="B446" s="6" t="s">
        <v>15</v>
      </c>
      <c r="C446" s="38" t="s">
        <v>2575</v>
      </c>
      <c r="D446" s="6">
        <v>2022</v>
      </c>
      <c r="E446" s="6" t="s">
        <v>12</v>
      </c>
      <c r="F446" s="4">
        <v>5</v>
      </c>
      <c r="G446" s="4">
        <v>15</v>
      </c>
      <c r="H446" s="4">
        <v>18</v>
      </c>
      <c r="I446" s="201"/>
      <c r="J446" s="201"/>
    </row>
    <row r="447" spans="1:10" s="5" customFormat="1" ht="30" hidden="1" customHeight="1" outlineLevel="1" x14ac:dyDescent="0.25">
      <c r="A447" s="4">
        <v>112</v>
      </c>
      <c r="B447" s="6" t="s">
        <v>15</v>
      </c>
      <c r="C447" s="38" t="s">
        <v>2576</v>
      </c>
      <c r="D447" s="6">
        <v>2022</v>
      </c>
      <c r="E447" s="6" t="s">
        <v>12</v>
      </c>
      <c r="F447" s="4">
        <v>220</v>
      </c>
      <c r="G447" s="4">
        <v>20</v>
      </c>
      <c r="H447" s="4">
        <v>243</v>
      </c>
      <c r="I447" s="201"/>
      <c r="J447" s="201"/>
    </row>
    <row r="448" spans="1:10" s="5" customFormat="1" ht="30" hidden="1" customHeight="1" outlineLevel="1" x14ac:dyDescent="0.25">
      <c r="A448" s="4">
        <v>48</v>
      </c>
      <c r="B448" s="6" t="s">
        <v>15</v>
      </c>
      <c r="C448" s="38" t="s">
        <v>2577</v>
      </c>
      <c r="D448" s="6">
        <v>2022</v>
      </c>
      <c r="E448" s="6" t="s">
        <v>12</v>
      </c>
      <c r="F448" s="4">
        <v>130</v>
      </c>
      <c r="G448" s="4">
        <v>30</v>
      </c>
      <c r="H448" s="4">
        <v>119</v>
      </c>
      <c r="I448" s="201"/>
      <c r="J448" s="201"/>
    </row>
    <row r="449" spans="1:10" s="5" customFormat="1" ht="30" hidden="1" customHeight="1" outlineLevel="1" x14ac:dyDescent="0.25">
      <c r="A449" s="4">
        <v>181</v>
      </c>
      <c r="B449" s="6" t="s">
        <v>15</v>
      </c>
      <c r="C449" s="38" t="s">
        <v>2578</v>
      </c>
      <c r="D449" s="6">
        <v>2022</v>
      </c>
      <c r="E449" s="6" t="s">
        <v>12</v>
      </c>
      <c r="F449" s="4">
        <v>14</v>
      </c>
      <c r="G449" s="4">
        <v>15</v>
      </c>
      <c r="H449" s="4">
        <v>60</v>
      </c>
      <c r="I449" s="201"/>
      <c r="J449" s="201"/>
    </row>
    <row r="450" spans="1:10" s="5" customFormat="1" ht="30" hidden="1" customHeight="1" outlineLevel="1" x14ac:dyDescent="0.25">
      <c r="A450" s="4">
        <v>116</v>
      </c>
      <c r="B450" s="6" t="s">
        <v>15</v>
      </c>
      <c r="C450" s="38" t="s">
        <v>2579</v>
      </c>
      <c r="D450" s="6">
        <v>2022</v>
      </c>
      <c r="E450" s="6" t="s">
        <v>12</v>
      </c>
      <c r="F450" s="4">
        <v>30</v>
      </c>
      <c r="G450" s="4">
        <v>150</v>
      </c>
      <c r="H450" s="4">
        <v>36</v>
      </c>
      <c r="I450" s="201"/>
      <c r="J450" s="201"/>
    </row>
    <row r="451" spans="1:10" s="5" customFormat="1" ht="30" hidden="1" customHeight="1" outlineLevel="1" x14ac:dyDescent="0.25">
      <c r="A451" s="4">
        <v>108</v>
      </c>
      <c r="B451" s="6" t="s">
        <v>15</v>
      </c>
      <c r="C451" s="38" t="s">
        <v>2580</v>
      </c>
      <c r="D451" s="6">
        <v>2022</v>
      </c>
      <c r="E451" s="6" t="s">
        <v>12</v>
      </c>
      <c r="F451" s="4">
        <v>155</v>
      </c>
      <c r="G451" s="4">
        <v>15</v>
      </c>
      <c r="H451" s="4">
        <v>185</v>
      </c>
      <c r="I451" s="201"/>
      <c r="J451" s="201"/>
    </row>
    <row r="452" spans="1:10" s="5" customFormat="1" ht="30" hidden="1" customHeight="1" outlineLevel="1" x14ac:dyDescent="0.25">
      <c r="A452" s="4">
        <v>110</v>
      </c>
      <c r="B452" s="6" t="s">
        <v>15</v>
      </c>
      <c r="C452" s="38" t="s">
        <v>2581</v>
      </c>
      <c r="D452" s="6">
        <v>2022</v>
      </c>
      <c r="E452" s="6" t="s">
        <v>12</v>
      </c>
      <c r="F452" s="4">
        <v>63</v>
      </c>
      <c r="G452" s="4">
        <v>15</v>
      </c>
      <c r="H452" s="4">
        <v>91</v>
      </c>
      <c r="I452" s="201"/>
      <c r="J452" s="201"/>
    </row>
    <row r="453" spans="1:10" s="5" customFormat="1" ht="30" hidden="1" customHeight="1" outlineLevel="1" x14ac:dyDescent="0.25">
      <c r="A453" s="4">
        <v>117</v>
      </c>
      <c r="B453" s="6" t="s">
        <v>15</v>
      </c>
      <c r="C453" s="38" t="s">
        <v>2582</v>
      </c>
      <c r="D453" s="6">
        <v>2022</v>
      </c>
      <c r="E453" s="6" t="s">
        <v>12</v>
      </c>
      <c r="F453" s="4">
        <v>10</v>
      </c>
      <c r="G453" s="4">
        <v>15</v>
      </c>
      <c r="H453" s="4">
        <v>14</v>
      </c>
      <c r="I453" s="201"/>
      <c r="J453" s="201"/>
    </row>
    <row r="454" spans="1:10" s="5" customFormat="1" ht="30" hidden="1" customHeight="1" outlineLevel="1" x14ac:dyDescent="0.25">
      <c r="A454" s="4">
        <v>113</v>
      </c>
      <c r="B454" s="6" t="s">
        <v>15</v>
      </c>
      <c r="C454" s="38" t="s">
        <v>2583</v>
      </c>
      <c r="D454" s="6">
        <v>2022</v>
      </c>
      <c r="E454" s="6" t="s">
        <v>12</v>
      </c>
      <c r="F454" s="4">
        <v>30</v>
      </c>
      <c r="G454" s="4">
        <v>7</v>
      </c>
      <c r="H454" s="4">
        <v>72</v>
      </c>
      <c r="I454" s="201"/>
      <c r="J454" s="201"/>
    </row>
    <row r="455" spans="1:10" s="5" customFormat="1" ht="30" hidden="1" customHeight="1" outlineLevel="1" x14ac:dyDescent="0.25">
      <c r="A455" s="4">
        <v>156</v>
      </c>
      <c r="B455" s="6" t="s">
        <v>15</v>
      </c>
      <c r="C455" s="38" t="s">
        <v>2587</v>
      </c>
      <c r="D455" s="6">
        <v>2022</v>
      </c>
      <c r="E455" s="6" t="s">
        <v>12</v>
      </c>
      <c r="F455" s="4">
        <v>110</v>
      </c>
      <c r="G455" s="4">
        <v>30</v>
      </c>
      <c r="H455" s="4">
        <v>160</v>
      </c>
      <c r="I455" s="201"/>
      <c r="J455" s="201"/>
    </row>
    <row r="456" spans="1:10" s="5" customFormat="1" ht="30" hidden="1" customHeight="1" outlineLevel="1" x14ac:dyDescent="0.25">
      <c r="A456" s="4">
        <v>157</v>
      </c>
      <c r="B456" s="6" t="s">
        <v>15</v>
      </c>
      <c r="C456" s="38" t="s">
        <v>2588</v>
      </c>
      <c r="D456" s="6">
        <v>2022</v>
      </c>
      <c r="E456" s="6" t="s">
        <v>12</v>
      </c>
      <c r="F456" s="4">
        <v>5</v>
      </c>
      <c r="G456" s="4">
        <v>15</v>
      </c>
      <c r="H456" s="4">
        <v>18</v>
      </c>
      <c r="I456" s="201"/>
      <c r="J456" s="201"/>
    </row>
    <row r="457" spans="1:10" s="5" customFormat="1" ht="30" hidden="1" customHeight="1" outlineLevel="1" x14ac:dyDescent="0.25">
      <c r="A457" s="4">
        <v>202</v>
      </c>
      <c r="B457" s="6" t="s">
        <v>15</v>
      </c>
      <c r="C457" s="38" t="s">
        <v>2590</v>
      </c>
      <c r="D457" s="6">
        <v>2022</v>
      </c>
      <c r="E457" s="6" t="s">
        <v>12</v>
      </c>
      <c r="F457" s="4">
        <v>208</v>
      </c>
      <c r="G457" s="4">
        <v>60</v>
      </c>
      <c r="H457" s="4">
        <v>620</v>
      </c>
      <c r="I457" s="201"/>
      <c r="J457" s="201"/>
    </row>
    <row r="458" spans="1:10" s="5" customFormat="1" ht="30" hidden="1" customHeight="1" outlineLevel="1" x14ac:dyDescent="0.25">
      <c r="A458" s="4">
        <v>205</v>
      </c>
      <c r="B458" s="6" t="s">
        <v>15</v>
      </c>
      <c r="C458" s="38" t="s">
        <v>2591</v>
      </c>
      <c r="D458" s="6">
        <v>2022</v>
      </c>
      <c r="E458" s="6" t="s">
        <v>12</v>
      </c>
      <c r="F458" s="4">
        <v>14</v>
      </c>
      <c r="G458" s="4">
        <v>15</v>
      </c>
      <c r="H458" s="4">
        <v>51</v>
      </c>
      <c r="I458" s="201"/>
      <c r="J458" s="201"/>
    </row>
    <row r="459" spans="1:10" s="5" customFormat="1" ht="30" hidden="1" customHeight="1" outlineLevel="1" x14ac:dyDescent="0.25">
      <c r="A459" s="4">
        <v>204</v>
      </c>
      <c r="B459" s="6" t="s">
        <v>15</v>
      </c>
      <c r="C459" s="38" t="s">
        <v>2592</v>
      </c>
      <c r="D459" s="6">
        <v>2022</v>
      </c>
      <c r="E459" s="6" t="s">
        <v>12</v>
      </c>
      <c r="F459" s="4">
        <v>200</v>
      </c>
      <c r="G459" s="4">
        <v>5</v>
      </c>
      <c r="H459" s="4">
        <v>459</v>
      </c>
      <c r="I459" s="201"/>
      <c r="J459" s="201"/>
    </row>
    <row r="460" spans="1:10" s="5" customFormat="1" ht="30" hidden="1" customHeight="1" outlineLevel="1" x14ac:dyDescent="0.25">
      <c r="A460" s="4">
        <v>206</v>
      </c>
      <c r="B460" s="6" t="s">
        <v>15</v>
      </c>
      <c r="C460" s="38" t="s">
        <v>2593</v>
      </c>
      <c r="D460" s="6">
        <v>2022</v>
      </c>
      <c r="E460" s="6" t="s">
        <v>12</v>
      </c>
      <c r="F460" s="4">
        <v>366</v>
      </c>
      <c r="G460" s="4">
        <v>60</v>
      </c>
      <c r="H460" s="4">
        <v>578</v>
      </c>
      <c r="I460" s="201"/>
      <c r="J460" s="201"/>
    </row>
    <row r="461" spans="1:10" s="5" customFormat="1" ht="30" hidden="1" customHeight="1" outlineLevel="1" x14ac:dyDescent="0.25">
      <c r="A461" s="4">
        <v>207</v>
      </c>
      <c r="B461" s="6" t="s">
        <v>15</v>
      </c>
      <c r="C461" s="38" t="s">
        <v>2594</v>
      </c>
      <c r="D461" s="6">
        <v>2022</v>
      </c>
      <c r="E461" s="6" t="s">
        <v>12</v>
      </c>
      <c r="F461" s="4">
        <v>234</v>
      </c>
      <c r="G461" s="4">
        <v>15</v>
      </c>
      <c r="H461" s="4">
        <v>349</v>
      </c>
      <c r="I461" s="201"/>
      <c r="J461" s="201"/>
    </row>
    <row r="462" spans="1:10" s="5" customFormat="1" ht="30" hidden="1" customHeight="1" outlineLevel="1" x14ac:dyDescent="0.25">
      <c r="A462" s="4">
        <v>251</v>
      </c>
      <c r="B462" s="6" t="s">
        <v>15</v>
      </c>
      <c r="C462" s="38" t="s">
        <v>2595</v>
      </c>
      <c r="D462" s="6">
        <v>2022</v>
      </c>
      <c r="E462" s="6" t="s">
        <v>12</v>
      </c>
      <c r="F462" s="4">
        <v>618</v>
      </c>
      <c r="G462" s="4">
        <v>45</v>
      </c>
      <c r="H462" s="4">
        <v>968</v>
      </c>
      <c r="I462" s="201"/>
      <c r="J462" s="201"/>
    </row>
    <row r="463" spans="1:10" s="5" customFormat="1" ht="30" hidden="1" customHeight="1" outlineLevel="1" x14ac:dyDescent="0.25">
      <c r="A463" s="4">
        <v>203</v>
      </c>
      <c r="B463" s="6" t="s">
        <v>15</v>
      </c>
      <c r="C463" s="38" t="s">
        <v>2596</v>
      </c>
      <c r="D463" s="6">
        <v>2022</v>
      </c>
      <c r="E463" s="6" t="s">
        <v>12</v>
      </c>
      <c r="F463" s="4">
        <v>25</v>
      </c>
      <c r="G463" s="4">
        <v>30</v>
      </c>
      <c r="H463" s="4">
        <v>85</v>
      </c>
      <c r="I463" s="201"/>
      <c r="J463" s="201"/>
    </row>
    <row r="464" spans="1:10" s="5" customFormat="1" ht="30" hidden="1" customHeight="1" outlineLevel="1" x14ac:dyDescent="0.25">
      <c r="A464" s="4">
        <v>201</v>
      </c>
      <c r="B464" s="6" t="s">
        <v>15</v>
      </c>
      <c r="C464" s="38" t="s">
        <v>2597</v>
      </c>
      <c r="D464" s="6">
        <v>2022</v>
      </c>
      <c r="E464" s="6" t="s">
        <v>12</v>
      </c>
      <c r="F464" s="4">
        <v>5</v>
      </c>
      <c r="G464" s="4">
        <v>15</v>
      </c>
      <c r="H464" s="4">
        <v>39</v>
      </c>
      <c r="I464" s="201"/>
      <c r="J464" s="201"/>
    </row>
    <row r="465" spans="1:10" s="5" customFormat="1" ht="30" hidden="1" customHeight="1" outlineLevel="1" x14ac:dyDescent="0.25">
      <c r="A465" s="4">
        <v>128</v>
      </c>
      <c r="B465" s="6" t="s">
        <v>15</v>
      </c>
      <c r="C465" s="38" t="s">
        <v>2598</v>
      </c>
      <c r="D465" s="6">
        <v>2022</v>
      </c>
      <c r="E465" s="6" t="s">
        <v>12</v>
      </c>
      <c r="F465" s="4">
        <v>236</v>
      </c>
      <c r="G465" s="4">
        <v>45</v>
      </c>
      <c r="H465" s="4">
        <v>416</v>
      </c>
      <c r="I465" s="201"/>
      <c r="J465" s="201"/>
    </row>
    <row r="466" spans="1:10" s="5" customFormat="1" ht="30" hidden="1" customHeight="1" outlineLevel="1" x14ac:dyDescent="0.25">
      <c r="A466" s="4">
        <v>154</v>
      </c>
      <c r="B466" s="6" t="s">
        <v>15</v>
      </c>
      <c r="C466" s="38" t="s">
        <v>2599</v>
      </c>
      <c r="D466" s="6">
        <v>2022</v>
      </c>
      <c r="E466" s="6" t="s">
        <v>12</v>
      </c>
      <c r="F466" s="4">
        <v>30</v>
      </c>
      <c r="G466" s="4">
        <v>10</v>
      </c>
      <c r="H466" s="4">
        <v>39</v>
      </c>
      <c r="I466" s="201"/>
      <c r="J466" s="201"/>
    </row>
    <row r="467" spans="1:10" s="5" customFormat="1" ht="30" hidden="1" customHeight="1" outlineLevel="1" x14ac:dyDescent="0.25">
      <c r="A467" s="4">
        <v>155</v>
      </c>
      <c r="B467" s="6" t="s">
        <v>15</v>
      </c>
      <c r="C467" s="38" t="s">
        <v>2600</v>
      </c>
      <c r="D467" s="6">
        <v>2022</v>
      </c>
      <c r="E467" s="6" t="s">
        <v>12</v>
      </c>
      <c r="F467" s="4">
        <v>30</v>
      </c>
      <c r="G467" s="4">
        <v>15</v>
      </c>
      <c r="H467" s="4">
        <v>28</v>
      </c>
      <c r="I467" s="201"/>
      <c r="J467" s="201"/>
    </row>
    <row r="468" spans="1:10" s="5" customFormat="1" ht="30" hidden="1" customHeight="1" outlineLevel="1" x14ac:dyDescent="0.25">
      <c r="A468" s="4">
        <v>146</v>
      </c>
      <c r="B468" s="6" t="s">
        <v>15</v>
      </c>
      <c r="C468" s="38" t="s">
        <v>2601</v>
      </c>
      <c r="D468" s="6">
        <v>2022</v>
      </c>
      <c r="E468" s="6" t="s">
        <v>12</v>
      </c>
      <c r="F468" s="4">
        <v>45</v>
      </c>
      <c r="G468" s="4">
        <v>10</v>
      </c>
      <c r="H468" s="4">
        <v>45</v>
      </c>
      <c r="I468" s="201"/>
      <c r="J468" s="201"/>
    </row>
    <row r="469" spans="1:10" s="5" customFormat="1" ht="30" hidden="1" customHeight="1" outlineLevel="1" x14ac:dyDescent="0.25">
      <c r="A469" s="4">
        <v>145</v>
      </c>
      <c r="B469" s="6" t="s">
        <v>15</v>
      </c>
      <c r="C469" s="38" t="s">
        <v>2602</v>
      </c>
      <c r="D469" s="6">
        <v>2022</v>
      </c>
      <c r="E469" s="6" t="s">
        <v>12</v>
      </c>
      <c r="F469" s="4">
        <v>50</v>
      </c>
      <c r="G469" s="4">
        <v>15</v>
      </c>
      <c r="H469" s="4">
        <v>82</v>
      </c>
      <c r="I469" s="201"/>
      <c r="J469" s="201"/>
    </row>
    <row r="470" spans="1:10" s="5" customFormat="1" ht="30" hidden="1" customHeight="1" outlineLevel="1" x14ac:dyDescent="0.25">
      <c r="A470" s="4">
        <v>143</v>
      </c>
      <c r="B470" s="6" t="s">
        <v>15</v>
      </c>
      <c r="C470" s="38" t="s">
        <v>2603</v>
      </c>
      <c r="D470" s="6">
        <v>2022</v>
      </c>
      <c r="E470" s="6" t="s">
        <v>12</v>
      </c>
      <c r="F470" s="4">
        <v>70</v>
      </c>
      <c r="G470" s="4">
        <v>15</v>
      </c>
      <c r="H470" s="4">
        <v>64</v>
      </c>
      <c r="I470" s="201"/>
      <c r="J470" s="201"/>
    </row>
    <row r="471" spans="1:10" s="5" customFormat="1" ht="30" hidden="1" customHeight="1" outlineLevel="1" x14ac:dyDescent="0.25">
      <c r="A471" s="4">
        <v>213</v>
      </c>
      <c r="B471" s="6" t="s">
        <v>15</v>
      </c>
      <c r="C471" s="38" t="s">
        <v>2608</v>
      </c>
      <c r="D471" s="6">
        <v>2022</v>
      </c>
      <c r="E471" s="6" t="s">
        <v>12</v>
      </c>
      <c r="F471" s="4">
        <v>20</v>
      </c>
      <c r="G471" s="4">
        <v>15</v>
      </c>
      <c r="H471" s="4">
        <v>30</v>
      </c>
      <c r="I471" s="201"/>
      <c r="J471" s="201"/>
    </row>
    <row r="472" spans="1:10" s="5" customFormat="1" ht="30" hidden="1" customHeight="1" outlineLevel="1" x14ac:dyDescent="0.25">
      <c r="A472" s="4">
        <v>223</v>
      </c>
      <c r="B472" s="6" t="s">
        <v>15</v>
      </c>
      <c r="C472" s="38" t="s">
        <v>2609</v>
      </c>
      <c r="D472" s="6">
        <v>2022</v>
      </c>
      <c r="E472" s="6" t="s">
        <v>12</v>
      </c>
      <c r="F472" s="4">
        <v>20</v>
      </c>
      <c r="G472" s="4">
        <v>15</v>
      </c>
      <c r="H472" s="4">
        <v>31</v>
      </c>
      <c r="I472" s="201"/>
      <c r="J472" s="201"/>
    </row>
    <row r="473" spans="1:10" s="5" customFormat="1" ht="30" hidden="1" customHeight="1" outlineLevel="1" x14ac:dyDescent="0.25">
      <c r="A473" s="4">
        <v>215</v>
      </c>
      <c r="B473" s="6" t="s">
        <v>15</v>
      </c>
      <c r="C473" s="38" t="s">
        <v>2610</v>
      </c>
      <c r="D473" s="6">
        <v>2022</v>
      </c>
      <c r="E473" s="6" t="s">
        <v>12</v>
      </c>
      <c r="F473" s="4">
        <v>37</v>
      </c>
      <c r="G473" s="4">
        <v>10</v>
      </c>
      <c r="H473" s="4">
        <v>38</v>
      </c>
      <c r="I473" s="201"/>
      <c r="J473" s="201"/>
    </row>
    <row r="474" spans="1:10" s="5" customFormat="1" ht="30" hidden="1" customHeight="1" outlineLevel="1" x14ac:dyDescent="0.25">
      <c r="A474" s="4">
        <v>144</v>
      </c>
      <c r="B474" s="6" t="s">
        <v>15</v>
      </c>
      <c r="C474" s="38" t="s">
        <v>2611</v>
      </c>
      <c r="D474" s="6">
        <v>2022</v>
      </c>
      <c r="E474" s="6" t="s">
        <v>12</v>
      </c>
      <c r="F474" s="4">
        <v>25</v>
      </c>
      <c r="G474" s="4">
        <v>15</v>
      </c>
      <c r="H474" s="4">
        <v>36</v>
      </c>
      <c r="I474" s="201"/>
      <c r="J474" s="201"/>
    </row>
    <row r="475" spans="1:10" s="5" customFormat="1" ht="30" hidden="1" customHeight="1" outlineLevel="1" x14ac:dyDescent="0.25">
      <c r="A475" s="4">
        <v>135</v>
      </c>
      <c r="B475" s="6" t="s">
        <v>15</v>
      </c>
      <c r="C475" s="38" t="s">
        <v>2612</v>
      </c>
      <c r="D475" s="6">
        <v>2022</v>
      </c>
      <c r="E475" s="6" t="s">
        <v>12</v>
      </c>
      <c r="F475" s="4">
        <v>90</v>
      </c>
      <c r="G475" s="4">
        <v>15</v>
      </c>
      <c r="H475" s="4">
        <v>156</v>
      </c>
      <c r="I475" s="201"/>
      <c r="J475" s="201"/>
    </row>
    <row r="476" spans="1:10" s="5" customFormat="1" ht="30" hidden="1" customHeight="1" outlineLevel="1" x14ac:dyDescent="0.25">
      <c r="A476" s="4">
        <v>183</v>
      </c>
      <c r="B476" s="6" t="s">
        <v>15</v>
      </c>
      <c r="C476" s="38" t="s">
        <v>2614</v>
      </c>
      <c r="D476" s="6">
        <v>2022</v>
      </c>
      <c r="E476" s="6" t="s">
        <v>12</v>
      </c>
      <c r="F476" s="4">
        <v>5</v>
      </c>
      <c r="G476" s="4">
        <v>15</v>
      </c>
      <c r="H476" s="4">
        <v>17</v>
      </c>
      <c r="I476" s="201"/>
      <c r="J476" s="201"/>
    </row>
    <row r="477" spans="1:10" s="5" customFormat="1" ht="30" hidden="1" customHeight="1" outlineLevel="1" x14ac:dyDescent="0.25">
      <c r="A477" s="4">
        <v>126</v>
      </c>
      <c r="B477" s="6" t="s">
        <v>15</v>
      </c>
      <c r="C477" s="38" t="s">
        <v>2615</v>
      </c>
      <c r="D477" s="6">
        <v>2022</v>
      </c>
      <c r="E477" s="6" t="s">
        <v>12</v>
      </c>
      <c r="F477" s="4">
        <v>182</v>
      </c>
      <c r="G477" s="4">
        <v>30</v>
      </c>
      <c r="H477" s="4">
        <v>257</v>
      </c>
      <c r="I477" s="201"/>
      <c r="J477" s="201"/>
    </row>
    <row r="478" spans="1:10" s="5" customFormat="1" ht="30" hidden="1" customHeight="1" outlineLevel="1" x14ac:dyDescent="0.25">
      <c r="A478" s="4">
        <v>127</v>
      </c>
      <c r="B478" s="6" t="s">
        <v>15</v>
      </c>
      <c r="C478" s="38" t="s">
        <v>2616</v>
      </c>
      <c r="D478" s="6">
        <v>2022</v>
      </c>
      <c r="E478" s="6" t="s">
        <v>12</v>
      </c>
      <c r="F478" s="4">
        <v>222</v>
      </c>
      <c r="G478" s="4">
        <v>15</v>
      </c>
      <c r="H478" s="4">
        <v>299</v>
      </c>
      <c r="I478" s="201"/>
      <c r="J478" s="201"/>
    </row>
    <row r="479" spans="1:10" s="5" customFormat="1" ht="30" hidden="1" customHeight="1" outlineLevel="1" x14ac:dyDescent="0.25">
      <c r="A479" s="4">
        <v>104</v>
      </c>
      <c r="B479" s="6" t="s">
        <v>15</v>
      </c>
      <c r="C479" s="38" t="s">
        <v>2617</v>
      </c>
      <c r="D479" s="6">
        <v>2022</v>
      </c>
      <c r="E479" s="6" t="s">
        <v>12</v>
      </c>
      <c r="F479" s="4">
        <v>60</v>
      </c>
      <c r="G479" s="4">
        <v>30</v>
      </c>
      <c r="H479" s="4">
        <v>154</v>
      </c>
      <c r="I479" s="201"/>
      <c r="J479" s="201"/>
    </row>
    <row r="480" spans="1:10" s="5" customFormat="1" ht="30" hidden="1" customHeight="1" outlineLevel="1" x14ac:dyDescent="0.25">
      <c r="A480" s="4">
        <v>105</v>
      </c>
      <c r="B480" s="6" t="s">
        <v>15</v>
      </c>
      <c r="C480" s="38" t="s">
        <v>2618</v>
      </c>
      <c r="D480" s="6">
        <v>2022</v>
      </c>
      <c r="E480" s="6" t="s">
        <v>12</v>
      </c>
      <c r="F480" s="4">
        <v>43</v>
      </c>
      <c r="G480" s="4">
        <v>15</v>
      </c>
      <c r="H480" s="4">
        <v>141</v>
      </c>
      <c r="I480" s="201"/>
      <c r="J480" s="201"/>
    </row>
    <row r="481" spans="1:10" s="5" customFormat="1" ht="30" hidden="1" customHeight="1" outlineLevel="1" x14ac:dyDescent="0.25">
      <c r="A481" s="4">
        <v>103</v>
      </c>
      <c r="B481" s="6" t="s">
        <v>15</v>
      </c>
      <c r="C481" s="38" t="s">
        <v>2619</v>
      </c>
      <c r="D481" s="6">
        <v>2022</v>
      </c>
      <c r="E481" s="6" t="s">
        <v>12</v>
      </c>
      <c r="F481" s="4">
        <v>5</v>
      </c>
      <c r="G481" s="4">
        <v>15</v>
      </c>
      <c r="H481" s="4">
        <v>65</v>
      </c>
      <c r="I481" s="201"/>
      <c r="J481" s="201"/>
    </row>
    <row r="482" spans="1:10" s="5" customFormat="1" ht="30" hidden="1" customHeight="1" outlineLevel="1" x14ac:dyDescent="0.25">
      <c r="A482" s="4">
        <v>102</v>
      </c>
      <c r="B482" s="6" t="s">
        <v>15</v>
      </c>
      <c r="C482" s="38" t="s">
        <v>2620</v>
      </c>
      <c r="D482" s="6">
        <v>2022</v>
      </c>
      <c r="E482" s="6" t="s">
        <v>12</v>
      </c>
      <c r="F482" s="4">
        <v>297</v>
      </c>
      <c r="G482" s="4">
        <v>15</v>
      </c>
      <c r="H482" s="4">
        <v>481</v>
      </c>
      <c r="I482" s="201"/>
      <c r="J482" s="201"/>
    </row>
    <row r="483" spans="1:10" s="5" customFormat="1" ht="30" hidden="1" customHeight="1" outlineLevel="1" x14ac:dyDescent="0.25">
      <c r="A483" s="4">
        <v>15</v>
      </c>
      <c r="B483" s="6" t="s">
        <v>15</v>
      </c>
      <c r="C483" s="38" t="s">
        <v>2621</v>
      </c>
      <c r="D483" s="6">
        <v>2022</v>
      </c>
      <c r="E483" s="6" t="s">
        <v>12</v>
      </c>
      <c r="F483" s="4">
        <v>290</v>
      </c>
      <c r="G483" s="4">
        <v>15</v>
      </c>
      <c r="H483" s="4">
        <v>416</v>
      </c>
      <c r="I483" s="201"/>
      <c r="J483" s="201"/>
    </row>
    <row r="484" spans="1:10" s="5" customFormat="1" ht="30" hidden="1" customHeight="1" outlineLevel="1" x14ac:dyDescent="0.25">
      <c r="A484" s="4">
        <v>16</v>
      </c>
      <c r="B484" s="6" t="s">
        <v>15</v>
      </c>
      <c r="C484" s="38" t="s">
        <v>2622</v>
      </c>
      <c r="D484" s="6">
        <v>2022</v>
      </c>
      <c r="E484" s="6" t="s">
        <v>12</v>
      </c>
      <c r="F484" s="4">
        <v>3</v>
      </c>
      <c r="G484" s="4">
        <v>15</v>
      </c>
      <c r="H484" s="4">
        <v>72</v>
      </c>
      <c r="I484" s="201"/>
      <c r="J484" s="201"/>
    </row>
    <row r="485" spans="1:10" s="5" customFormat="1" ht="30" hidden="1" customHeight="1" outlineLevel="1" x14ac:dyDescent="0.25">
      <c r="A485" s="4">
        <v>106</v>
      </c>
      <c r="B485" s="6" t="s">
        <v>15</v>
      </c>
      <c r="C485" s="38" t="s">
        <v>2623</v>
      </c>
      <c r="D485" s="6">
        <v>2022</v>
      </c>
      <c r="E485" s="6" t="s">
        <v>12</v>
      </c>
      <c r="F485" s="4">
        <v>352</v>
      </c>
      <c r="G485" s="4">
        <v>45</v>
      </c>
      <c r="H485" s="4">
        <v>475</v>
      </c>
      <c r="I485" s="201"/>
      <c r="J485" s="201"/>
    </row>
    <row r="486" spans="1:10" s="5" customFormat="1" ht="30" hidden="1" customHeight="1" outlineLevel="1" x14ac:dyDescent="0.25">
      <c r="A486" s="4">
        <v>101</v>
      </c>
      <c r="B486" s="6" t="s">
        <v>15</v>
      </c>
      <c r="C486" s="38" t="s">
        <v>2624</v>
      </c>
      <c r="D486" s="6">
        <v>2022</v>
      </c>
      <c r="E486" s="6" t="s">
        <v>12</v>
      </c>
      <c r="F486" s="4">
        <v>210</v>
      </c>
      <c r="G486" s="4">
        <v>15</v>
      </c>
      <c r="H486" s="4">
        <v>424</v>
      </c>
      <c r="I486" s="201"/>
      <c r="J486" s="201"/>
    </row>
    <row r="487" spans="1:10" s="5" customFormat="1" ht="30" hidden="1" customHeight="1" outlineLevel="1" x14ac:dyDescent="0.25">
      <c r="A487" s="4">
        <v>22</v>
      </c>
      <c r="B487" s="6" t="s">
        <v>15</v>
      </c>
      <c r="C487" s="38" t="s">
        <v>2625</v>
      </c>
      <c r="D487" s="6">
        <v>2022</v>
      </c>
      <c r="E487" s="6" t="s">
        <v>12</v>
      </c>
      <c r="F487" s="4">
        <v>335</v>
      </c>
      <c r="G487" s="4">
        <v>15</v>
      </c>
      <c r="H487" s="4">
        <v>304</v>
      </c>
      <c r="I487" s="201"/>
      <c r="J487" s="201"/>
    </row>
    <row r="488" spans="1:10" s="5" customFormat="1" ht="30" hidden="1" customHeight="1" outlineLevel="1" x14ac:dyDescent="0.25">
      <c r="A488" s="4">
        <v>29</v>
      </c>
      <c r="B488" s="6" t="s">
        <v>15</v>
      </c>
      <c r="C488" s="38" t="s">
        <v>2626</v>
      </c>
      <c r="D488" s="6">
        <v>2022</v>
      </c>
      <c r="E488" s="6" t="s">
        <v>12</v>
      </c>
      <c r="F488" s="4">
        <v>75</v>
      </c>
      <c r="G488" s="4">
        <v>45</v>
      </c>
      <c r="H488" s="4">
        <v>100</v>
      </c>
      <c r="I488" s="201"/>
      <c r="J488" s="201"/>
    </row>
    <row r="489" spans="1:10" s="5" customFormat="1" ht="30" hidden="1" customHeight="1" outlineLevel="1" x14ac:dyDescent="0.25">
      <c r="A489" s="4">
        <v>18</v>
      </c>
      <c r="B489" s="6" t="s">
        <v>15</v>
      </c>
      <c r="C489" s="38" t="s">
        <v>2627</v>
      </c>
      <c r="D489" s="6">
        <v>2022</v>
      </c>
      <c r="E489" s="6" t="s">
        <v>12</v>
      </c>
      <c r="F489" s="4">
        <v>30</v>
      </c>
      <c r="G489" s="4">
        <v>150</v>
      </c>
      <c r="H489" s="4">
        <v>48</v>
      </c>
      <c r="I489" s="201"/>
      <c r="J489" s="201"/>
    </row>
    <row r="490" spans="1:10" s="5" customFormat="1" ht="30" hidden="1" customHeight="1" outlineLevel="1" x14ac:dyDescent="0.25">
      <c r="A490" s="4">
        <v>21</v>
      </c>
      <c r="B490" s="6" t="s">
        <v>15</v>
      </c>
      <c r="C490" s="38" t="s">
        <v>2629</v>
      </c>
      <c r="D490" s="6">
        <v>2022</v>
      </c>
      <c r="E490" s="6" t="s">
        <v>12</v>
      </c>
      <c r="F490" s="4">
        <v>125</v>
      </c>
      <c r="G490" s="4">
        <v>15</v>
      </c>
      <c r="H490" s="4">
        <v>119</v>
      </c>
      <c r="I490" s="201"/>
      <c r="J490" s="201"/>
    </row>
    <row r="491" spans="1:10" s="5" customFormat="1" ht="30" hidden="1" customHeight="1" outlineLevel="1" x14ac:dyDescent="0.25">
      <c r="A491" s="4">
        <v>40</v>
      </c>
      <c r="B491" s="6" t="s">
        <v>15</v>
      </c>
      <c r="C491" s="38" t="s">
        <v>2631</v>
      </c>
      <c r="D491" s="6">
        <v>2022</v>
      </c>
      <c r="E491" s="6" t="s">
        <v>12</v>
      </c>
      <c r="F491" s="4">
        <v>82</v>
      </c>
      <c r="G491" s="4">
        <v>15</v>
      </c>
      <c r="H491" s="4">
        <v>82</v>
      </c>
      <c r="I491" s="201"/>
      <c r="J491" s="201"/>
    </row>
    <row r="492" spans="1:10" s="5" customFormat="1" ht="30" hidden="1" customHeight="1" outlineLevel="1" x14ac:dyDescent="0.25">
      <c r="A492" s="4">
        <v>41</v>
      </c>
      <c r="B492" s="6" t="s">
        <v>15</v>
      </c>
      <c r="C492" s="38" t="s">
        <v>2632</v>
      </c>
      <c r="D492" s="6">
        <v>2022</v>
      </c>
      <c r="E492" s="6" t="s">
        <v>12</v>
      </c>
      <c r="F492" s="4">
        <v>120</v>
      </c>
      <c r="G492" s="4">
        <v>15</v>
      </c>
      <c r="H492" s="4">
        <v>149</v>
      </c>
      <c r="I492" s="201"/>
      <c r="J492" s="201"/>
    </row>
    <row r="493" spans="1:10" s="5" customFormat="1" ht="30" hidden="1" customHeight="1" outlineLevel="1" x14ac:dyDescent="0.25">
      <c r="A493" s="4">
        <v>19</v>
      </c>
      <c r="B493" s="6" t="s">
        <v>15</v>
      </c>
      <c r="C493" s="38" t="s">
        <v>2633</v>
      </c>
      <c r="D493" s="6">
        <v>2022</v>
      </c>
      <c r="E493" s="6" t="s">
        <v>12</v>
      </c>
      <c r="F493" s="4">
        <v>150</v>
      </c>
      <c r="G493" s="4">
        <v>35</v>
      </c>
      <c r="H493" s="4">
        <v>64</v>
      </c>
      <c r="I493" s="201"/>
      <c r="J493" s="201"/>
    </row>
    <row r="494" spans="1:10" s="5" customFormat="1" ht="30" hidden="1" customHeight="1" outlineLevel="1" x14ac:dyDescent="0.25">
      <c r="A494" s="4">
        <v>23</v>
      </c>
      <c r="B494" s="6" t="s">
        <v>15</v>
      </c>
      <c r="C494" s="38" t="s">
        <v>2634</v>
      </c>
      <c r="D494" s="6">
        <v>2022</v>
      </c>
      <c r="E494" s="6" t="s">
        <v>12</v>
      </c>
      <c r="F494" s="4">
        <v>237</v>
      </c>
      <c r="G494" s="4">
        <v>15</v>
      </c>
      <c r="H494" s="4">
        <v>242</v>
      </c>
      <c r="I494" s="201"/>
      <c r="J494" s="201"/>
    </row>
    <row r="495" spans="1:10" s="5" customFormat="1" ht="30" hidden="1" customHeight="1" outlineLevel="1" x14ac:dyDescent="0.25">
      <c r="A495" s="4">
        <v>47</v>
      </c>
      <c r="B495" s="6" t="s">
        <v>15</v>
      </c>
      <c r="C495" s="38" t="s">
        <v>2636</v>
      </c>
      <c r="D495" s="6">
        <v>2022</v>
      </c>
      <c r="E495" s="6" t="s">
        <v>12</v>
      </c>
      <c r="F495" s="4">
        <v>30</v>
      </c>
      <c r="G495" s="4">
        <v>40</v>
      </c>
      <c r="H495" s="4">
        <v>48</v>
      </c>
      <c r="I495" s="201"/>
      <c r="J495" s="201"/>
    </row>
    <row r="496" spans="1:10" s="5" customFormat="1" ht="30" hidden="1" customHeight="1" outlineLevel="1" x14ac:dyDescent="0.25">
      <c r="A496" s="4">
        <v>45</v>
      </c>
      <c r="B496" s="6" t="s">
        <v>15</v>
      </c>
      <c r="C496" s="38" t="s">
        <v>2637</v>
      </c>
      <c r="D496" s="6">
        <v>2022</v>
      </c>
      <c r="E496" s="6" t="s">
        <v>12</v>
      </c>
      <c r="F496" s="4">
        <v>30</v>
      </c>
      <c r="G496" s="4">
        <v>100</v>
      </c>
      <c r="H496" s="4">
        <v>50</v>
      </c>
      <c r="I496" s="201"/>
      <c r="J496" s="201"/>
    </row>
    <row r="497" spans="1:10" s="5" customFormat="1" ht="30" hidden="1" customHeight="1" outlineLevel="1" x14ac:dyDescent="0.25">
      <c r="A497" s="4">
        <v>20</v>
      </c>
      <c r="B497" s="6" t="s">
        <v>15</v>
      </c>
      <c r="C497" s="38" t="s">
        <v>2639</v>
      </c>
      <c r="D497" s="6">
        <v>2022</v>
      </c>
      <c r="E497" s="6" t="s">
        <v>12</v>
      </c>
      <c r="F497" s="4">
        <v>50</v>
      </c>
      <c r="G497" s="4">
        <v>15</v>
      </c>
      <c r="H497" s="4">
        <v>62</v>
      </c>
      <c r="I497" s="201"/>
      <c r="J497" s="201"/>
    </row>
    <row r="498" spans="1:10" s="5" customFormat="1" ht="30" hidden="1" customHeight="1" outlineLevel="1" x14ac:dyDescent="0.25">
      <c r="A498" s="4">
        <v>33</v>
      </c>
      <c r="B498" s="6" t="s">
        <v>15</v>
      </c>
      <c r="C498" s="38" t="s">
        <v>2640</v>
      </c>
      <c r="D498" s="6">
        <v>2022</v>
      </c>
      <c r="E498" s="6" t="s">
        <v>12</v>
      </c>
      <c r="F498" s="4">
        <v>50</v>
      </c>
      <c r="G498" s="4">
        <v>15</v>
      </c>
      <c r="H498" s="4">
        <v>59</v>
      </c>
      <c r="I498" s="201"/>
      <c r="J498" s="201"/>
    </row>
    <row r="499" spans="1:10" s="5" customFormat="1" ht="30" hidden="1" customHeight="1" outlineLevel="1" x14ac:dyDescent="0.25">
      <c r="A499" s="4">
        <v>38</v>
      </c>
      <c r="B499" s="6" t="s">
        <v>15</v>
      </c>
      <c r="C499" s="38" t="s">
        <v>2641</v>
      </c>
      <c r="D499" s="6">
        <v>2022</v>
      </c>
      <c r="E499" s="6" t="s">
        <v>12</v>
      </c>
      <c r="F499" s="4">
        <v>40</v>
      </c>
      <c r="G499" s="4">
        <v>6</v>
      </c>
      <c r="H499" s="4">
        <v>56</v>
      </c>
      <c r="I499" s="201"/>
      <c r="J499" s="201"/>
    </row>
    <row r="500" spans="1:10" s="5" customFormat="1" ht="30" hidden="1" customHeight="1" outlineLevel="1" x14ac:dyDescent="0.25">
      <c r="A500" s="4">
        <v>28</v>
      </c>
      <c r="B500" s="6" t="s">
        <v>15</v>
      </c>
      <c r="C500" s="38" t="s">
        <v>2643</v>
      </c>
      <c r="D500" s="6">
        <v>2022</v>
      </c>
      <c r="E500" s="6" t="s">
        <v>12</v>
      </c>
      <c r="F500" s="4">
        <v>30</v>
      </c>
      <c r="G500" s="4">
        <v>5</v>
      </c>
      <c r="H500" s="4">
        <v>59</v>
      </c>
      <c r="I500" s="201"/>
      <c r="J500" s="201"/>
    </row>
    <row r="501" spans="1:10" s="5" customFormat="1" ht="30" hidden="1" customHeight="1" outlineLevel="1" x14ac:dyDescent="0.25">
      <c r="A501" s="4">
        <v>39</v>
      </c>
      <c r="B501" s="6" t="s">
        <v>15</v>
      </c>
      <c r="C501" s="38" t="s">
        <v>2644</v>
      </c>
      <c r="D501" s="6">
        <v>2022</v>
      </c>
      <c r="E501" s="6" t="s">
        <v>12</v>
      </c>
      <c r="F501" s="4">
        <v>20</v>
      </c>
      <c r="G501" s="4">
        <v>15</v>
      </c>
      <c r="H501" s="4">
        <v>41</v>
      </c>
      <c r="I501" s="201"/>
      <c r="J501" s="201"/>
    </row>
    <row r="502" spans="1:10" s="5" customFormat="1" ht="30" hidden="1" customHeight="1" outlineLevel="1" x14ac:dyDescent="0.25">
      <c r="A502" s="4">
        <v>24</v>
      </c>
      <c r="B502" s="6" t="s">
        <v>15</v>
      </c>
      <c r="C502" s="38" t="s">
        <v>2645</v>
      </c>
      <c r="D502" s="6">
        <v>2022</v>
      </c>
      <c r="E502" s="6" t="s">
        <v>12</v>
      </c>
      <c r="F502" s="4">
        <v>30</v>
      </c>
      <c r="G502" s="4">
        <v>3</v>
      </c>
      <c r="H502" s="4">
        <v>27</v>
      </c>
      <c r="I502" s="201"/>
      <c r="J502" s="201"/>
    </row>
    <row r="503" spans="1:10" s="5" customFormat="1" ht="30" hidden="1" customHeight="1" outlineLevel="1" x14ac:dyDescent="0.25">
      <c r="A503" s="4">
        <v>31</v>
      </c>
      <c r="B503" s="6" t="s">
        <v>15</v>
      </c>
      <c r="C503" s="38" t="s">
        <v>2646</v>
      </c>
      <c r="D503" s="6">
        <v>2022</v>
      </c>
      <c r="E503" s="6" t="s">
        <v>12</v>
      </c>
      <c r="F503" s="4">
        <v>60</v>
      </c>
      <c r="G503" s="4">
        <v>7</v>
      </c>
      <c r="H503" s="4">
        <v>76</v>
      </c>
      <c r="I503" s="201"/>
      <c r="J503" s="201"/>
    </row>
    <row r="504" spans="1:10" s="5" customFormat="1" ht="30" hidden="1" customHeight="1" outlineLevel="1" x14ac:dyDescent="0.25">
      <c r="A504" s="4">
        <v>136</v>
      </c>
      <c r="B504" s="6" t="s">
        <v>15</v>
      </c>
      <c r="C504" s="38" t="s">
        <v>2647</v>
      </c>
      <c r="D504" s="6">
        <v>2022</v>
      </c>
      <c r="E504" s="6" t="s">
        <v>12</v>
      </c>
      <c r="F504" s="4">
        <v>228</v>
      </c>
      <c r="G504" s="4">
        <v>75</v>
      </c>
      <c r="H504" s="4">
        <v>258</v>
      </c>
      <c r="I504" s="201"/>
      <c r="J504" s="201"/>
    </row>
    <row r="505" spans="1:10" s="5" customFormat="1" ht="30" hidden="1" customHeight="1" outlineLevel="1" x14ac:dyDescent="0.25">
      <c r="A505" s="4">
        <v>94</v>
      </c>
      <c r="B505" s="6" t="s">
        <v>15</v>
      </c>
      <c r="C505" s="38" t="s">
        <v>2648</v>
      </c>
      <c r="D505" s="6">
        <v>2022</v>
      </c>
      <c r="E505" s="6" t="s">
        <v>12</v>
      </c>
      <c r="F505" s="4">
        <v>15</v>
      </c>
      <c r="G505" s="4">
        <v>7.5</v>
      </c>
      <c r="H505" s="4">
        <v>25</v>
      </c>
      <c r="I505" s="201"/>
      <c r="J505" s="201"/>
    </row>
    <row r="506" spans="1:10" s="5" customFormat="1" ht="30" hidden="1" customHeight="1" outlineLevel="1" x14ac:dyDescent="0.25">
      <c r="A506" s="4">
        <v>91</v>
      </c>
      <c r="B506" s="6" t="s">
        <v>15</v>
      </c>
      <c r="C506" s="38" t="s">
        <v>2649</v>
      </c>
      <c r="D506" s="6">
        <v>2022</v>
      </c>
      <c r="E506" s="6" t="s">
        <v>12</v>
      </c>
      <c r="F506" s="4">
        <v>30</v>
      </c>
      <c r="G506" s="4">
        <v>5</v>
      </c>
      <c r="H506" s="4">
        <v>46</v>
      </c>
      <c r="I506" s="201"/>
      <c r="J506" s="201"/>
    </row>
    <row r="507" spans="1:10" s="5" customFormat="1" ht="30" hidden="1" customHeight="1" outlineLevel="1" x14ac:dyDescent="0.25">
      <c r="A507" s="4">
        <v>46</v>
      </c>
      <c r="B507" s="6" t="s">
        <v>15</v>
      </c>
      <c r="C507" s="38" t="s">
        <v>2650</v>
      </c>
      <c r="D507" s="6">
        <v>2022</v>
      </c>
      <c r="E507" s="6" t="s">
        <v>12</v>
      </c>
      <c r="F507" s="4">
        <v>30</v>
      </c>
      <c r="G507" s="4">
        <v>50</v>
      </c>
      <c r="H507" s="4">
        <v>54</v>
      </c>
      <c r="I507" s="201"/>
      <c r="J507" s="201"/>
    </row>
    <row r="508" spans="1:10" s="5" customFormat="1" ht="30" hidden="1" customHeight="1" outlineLevel="1" x14ac:dyDescent="0.25">
      <c r="A508" s="4">
        <v>92</v>
      </c>
      <c r="B508" s="6" t="s">
        <v>15</v>
      </c>
      <c r="C508" s="38" t="s">
        <v>2652</v>
      </c>
      <c r="D508" s="6">
        <v>2022</v>
      </c>
      <c r="E508" s="6" t="s">
        <v>12</v>
      </c>
      <c r="F508" s="4">
        <v>20</v>
      </c>
      <c r="G508" s="4">
        <v>6</v>
      </c>
      <c r="H508" s="4">
        <v>40</v>
      </c>
      <c r="I508" s="201"/>
      <c r="J508" s="201"/>
    </row>
    <row r="509" spans="1:10" s="5" customFormat="1" ht="30" hidden="1" customHeight="1" outlineLevel="1" x14ac:dyDescent="0.25">
      <c r="A509" s="4">
        <v>76</v>
      </c>
      <c r="B509" s="6" t="s">
        <v>15</v>
      </c>
      <c r="C509" s="38" t="s">
        <v>2653</v>
      </c>
      <c r="D509" s="6">
        <v>2022</v>
      </c>
      <c r="E509" s="6" t="s">
        <v>12</v>
      </c>
      <c r="F509" s="4">
        <v>35</v>
      </c>
      <c r="G509" s="4">
        <v>15</v>
      </c>
      <c r="H509" s="4">
        <v>48</v>
      </c>
      <c r="I509" s="201"/>
      <c r="J509" s="201"/>
    </row>
    <row r="510" spans="1:10" s="5" customFormat="1" ht="30" hidden="1" customHeight="1" outlineLevel="1" x14ac:dyDescent="0.25">
      <c r="A510" s="4">
        <v>36</v>
      </c>
      <c r="B510" s="6" t="s">
        <v>15</v>
      </c>
      <c r="C510" s="38" t="s">
        <v>2655</v>
      </c>
      <c r="D510" s="6">
        <v>2022</v>
      </c>
      <c r="E510" s="6" t="s">
        <v>12</v>
      </c>
      <c r="F510" s="4">
        <v>40</v>
      </c>
      <c r="G510" s="4">
        <v>13.5</v>
      </c>
      <c r="H510" s="4">
        <v>38</v>
      </c>
      <c r="I510" s="201"/>
      <c r="J510" s="201"/>
    </row>
    <row r="511" spans="1:10" s="5" customFormat="1" ht="30" hidden="1" customHeight="1" outlineLevel="1" x14ac:dyDescent="0.25">
      <c r="A511" s="4">
        <v>93</v>
      </c>
      <c r="B511" s="6" t="s">
        <v>15</v>
      </c>
      <c r="C511" s="38" t="s">
        <v>2656</v>
      </c>
      <c r="D511" s="6">
        <v>2022</v>
      </c>
      <c r="E511" s="6" t="s">
        <v>12</v>
      </c>
      <c r="F511" s="4">
        <v>20</v>
      </c>
      <c r="G511" s="4">
        <v>15</v>
      </c>
      <c r="H511" s="4">
        <v>39</v>
      </c>
      <c r="I511" s="201"/>
      <c r="J511" s="201"/>
    </row>
    <row r="512" spans="1:10" s="5" customFormat="1" ht="30" hidden="1" customHeight="1" outlineLevel="1" x14ac:dyDescent="0.25">
      <c r="A512" s="4">
        <v>120</v>
      </c>
      <c r="B512" s="6" t="s">
        <v>15</v>
      </c>
      <c r="C512" s="38" t="s">
        <v>2657</v>
      </c>
      <c r="D512" s="6">
        <v>2022</v>
      </c>
      <c r="E512" s="6" t="s">
        <v>12</v>
      </c>
      <c r="F512" s="4">
        <v>3</v>
      </c>
      <c r="G512" s="4">
        <v>150</v>
      </c>
      <c r="H512" s="4">
        <v>34</v>
      </c>
      <c r="I512" s="201"/>
      <c r="J512" s="201"/>
    </row>
    <row r="513" spans="1:10" s="5" customFormat="1" ht="30" hidden="1" customHeight="1" outlineLevel="1" x14ac:dyDescent="0.25">
      <c r="A513" s="4">
        <v>109</v>
      </c>
      <c r="B513" s="6" t="s">
        <v>15</v>
      </c>
      <c r="C513" s="38" t="s">
        <v>2658</v>
      </c>
      <c r="D513" s="6">
        <v>2022</v>
      </c>
      <c r="E513" s="6" t="s">
        <v>12</v>
      </c>
      <c r="F513" s="4">
        <v>30</v>
      </c>
      <c r="G513" s="4">
        <v>15</v>
      </c>
      <c r="H513" s="4">
        <v>59</v>
      </c>
      <c r="I513" s="201"/>
      <c r="J513" s="201"/>
    </row>
    <row r="514" spans="1:10" s="5" customFormat="1" ht="30" hidden="1" customHeight="1" outlineLevel="1" x14ac:dyDescent="0.25">
      <c r="A514" s="4">
        <v>30</v>
      </c>
      <c r="B514" s="6" t="s">
        <v>15</v>
      </c>
      <c r="C514" s="38" t="s">
        <v>2659</v>
      </c>
      <c r="D514" s="6">
        <v>2022</v>
      </c>
      <c r="E514" s="6" t="s">
        <v>12</v>
      </c>
      <c r="F514" s="4">
        <v>130</v>
      </c>
      <c r="G514" s="4">
        <v>15</v>
      </c>
      <c r="H514" s="4">
        <v>146</v>
      </c>
      <c r="I514" s="201"/>
      <c r="J514" s="201"/>
    </row>
    <row r="515" spans="1:10" s="5" customFormat="1" ht="30" hidden="1" customHeight="1" outlineLevel="1" x14ac:dyDescent="0.25">
      <c r="A515" s="4">
        <v>90</v>
      </c>
      <c r="B515" s="6" t="s">
        <v>15</v>
      </c>
      <c r="C515" s="38" t="s">
        <v>2660</v>
      </c>
      <c r="D515" s="6">
        <v>2022</v>
      </c>
      <c r="E515" s="6" t="s">
        <v>12</v>
      </c>
      <c r="F515" s="4">
        <v>30</v>
      </c>
      <c r="G515" s="4">
        <v>15</v>
      </c>
      <c r="H515" s="4">
        <v>46</v>
      </c>
      <c r="I515" s="201"/>
      <c r="J515" s="201"/>
    </row>
    <row r="516" spans="1:10" s="5" customFormat="1" ht="30" hidden="1" customHeight="1" outlineLevel="1" x14ac:dyDescent="0.25">
      <c r="A516" s="4">
        <v>32</v>
      </c>
      <c r="B516" s="6" t="s">
        <v>15</v>
      </c>
      <c r="C516" s="38" t="s">
        <v>2661</v>
      </c>
      <c r="D516" s="6">
        <v>2022</v>
      </c>
      <c r="E516" s="6" t="s">
        <v>12</v>
      </c>
      <c r="F516" s="4">
        <v>45</v>
      </c>
      <c r="G516" s="4">
        <v>15</v>
      </c>
      <c r="H516" s="4">
        <v>70</v>
      </c>
      <c r="I516" s="201"/>
      <c r="J516" s="201"/>
    </row>
    <row r="517" spans="1:10" s="5" customFormat="1" ht="30" hidden="1" customHeight="1" outlineLevel="1" x14ac:dyDescent="0.25">
      <c r="A517" s="4">
        <v>249</v>
      </c>
      <c r="B517" s="6" t="s">
        <v>15</v>
      </c>
      <c r="C517" s="38" t="s">
        <v>2662</v>
      </c>
      <c r="D517" s="6">
        <v>2022</v>
      </c>
      <c r="E517" s="6" t="s">
        <v>12</v>
      </c>
      <c r="F517" s="4">
        <v>308</v>
      </c>
      <c r="G517" s="4">
        <v>15</v>
      </c>
      <c r="H517" s="4">
        <v>752</v>
      </c>
      <c r="I517" s="201"/>
      <c r="J517" s="201"/>
    </row>
    <row r="518" spans="1:10" s="5" customFormat="1" ht="30" hidden="1" customHeight="1" outlineLevel="1" x14ac:dyDescent="0.25">
      <c r="A518" s="4">
        <v>148</v>
      </c>
      <c r="B518" s="6" t="s">
        <v>15</v>
      </c>
      <c r="C518" s="38" t="s">
        <v>2663</v>
      </c>
      <c r="D518" s="6">
        <v>2022</v>
      </c>
      <c r="E518" s="6" t="s">
        <v>12</v>
      </c>
      <c r="F518" s="4">
        <v>300</v>
      </c>
      <c r="G518" s="4">
        <v>56</v>
      </c>
      <c r="H518" s="4">
        <v>332</v>
      </c>
      <c r="I518" s="201"/>
      <c r="J518" s="201"/>
    </row>
    <row r="519" spans="1:10" s="5" customFormat="1" ht="30" hidden="1" customHeight="1" outlineLevel="1" x14ac:dyDescent="0.25">
      <c r="A519" s="4">
        <v>221</v>
      </c>
      <c r="B519" s="6" t="s">
        <v>15</v>
      </c>
      <c r="C519" s="38" t="s">
        <v>2664</v>
      </c>
      <c r="D519" s="6">
        <v>2022</v>
      </c>
      <c r="E519" s="6" t="s">
        <v>12</v>
      </c>
      <c r="F519" s="4">
        <v>30</v>
      </c>
      <c r="G519" s="4">
        <v>6</v>
      </c>
      <c r="H519" s="4">
        <v>56</v>
      </c>
      <c r="I519" s="201"/>
      <c r="J519" s="201"/>
    </row>
    <row r="520" spans="1:10" s="5" customFormat="1" ht="30" hidden="1" customHeight="1" outlineLevel="1" x14ac:dyDescent="0.25">
      <c r="A520" s="4">
        <v>211</v>
      </c>
      <c r="B520" s="6" t="s">
        <v>15</v>
      </c>
      <c r="C520" s="38" t="s">
        <v>2665</v>
      </c>
      <c r="D520" s="6">
        <v>2022</v>
      </c>
      <c r="E520" s="6" t="s">
        <v>12</v>
      </c>
      <c r="F520" s="4">
        <v>35</v>
      </c>
      <c r="G520" s="4">
        <v>15</v>
      </c>
      <c r="H520" s="4">
        <v>35</v>
      </c>
      <c r="I520" s="201"/>
      <c r="J520" s="201"/>
    </row>
    <row r="521" spans="1:10" s="5" customFormat="1" ht="30" hidden="1" customHeight="1" outlineLevel="1" x14ac:dyDescent="0.25">
      <c r="A521" s="4">
        <v>220</v>
      </c>
      <c r="B521" s="6" t="s">
        <v>15</v>
      </c>
      <c r="C521" s="38" t="s">
        <v>2668</v>
      </c>
      <c r="D521" s="6">
        <v>2022</v>
      </c>
      <c r="E521" s="6" t="s">
        <v>12</v>
      </c>
      <c r="F521" s="4">
        <v>35</v>
      </c>
      <c r="G521" s="4">
        <v>15</v>
      </c>
      <c r="H521" s="4">
        <v>56</v>
      </c>
      <c r="I521" s="201"/>
      <c r="J521" s="201"/>
    </row>
    <row r="522" spans="1:10" s="5" customFormat="1" ht="30" hidden="1" customHeight="1" outlineLevel="1" x14ac:dyDescent="0.25">
      <c r="A522" s="4">
        <v>216</v>
      </c>
      <c r="B522" s="6" t="s">
        <v>15</v>
      </c>
      <c r="C522" s="38" t="s">
        <v>2669</v>
      </c>
      <c r="D522" s="6">
        <v>2022</v>
      </c>
      <c r="E522" s="6" t="s">
        <v>12</v>
      </c>
      <c r="F522" s="4">
        <v>35</v>
      </c>
      <c r="G522" s="4">
        <v>15</v>
      </c>
      <c r="H522" s="4">
        <v>56</v>
      </c>
      <c r="I522" s="201"/>
      <c r="J522" s="201"/>
    </row>
    <row r="523" spans="1:10" s="5" customFormat="1" ht="30" hidden="1" customHeight="1" outlineLevel="1" x14ac:dyDescent="0.25">
      <c r="A523" s="4">
        <v>171</v>
      </c>
      <c r="B523" s="6" t="s">
        <v>15</v>
      </c>
      <c r="C523" s="38" t="s">
        <v>2671</v>
      </c>
      <c r="D523" s="6">
        <v>2022</v>
      </c>
      <c r="E523" s="6" t="s">
        <v>12</v>
      </c>
      <c r="F523" s="4"/>
      <c r="G523" s="4"/>
      <c r="H523" s="4"/>
      <c r="I523" s="201"/>
      <c r="J523" s="201"/>
    </row>
    <row r="524" spans="1:10" s="5" customFormat="1" ht="30" hidden="1" customHeight="1" outlineLevel="1" x14ac:dyDescent="0.25">
      <c r="A524" s="4">
        <v>137</v>
      </c>
      <c r="B524" s="6" t="s">
        <v>15</v>
      </c>
      <c r="C524" s="38" t="s">
        <v>2672</v>
      </c>
      <c r="D524" s="6">
        <v>2022</v>
      </c>
      <c r="E524" s="6" t="s">
        <v>12</v>
      </c>
      <c r="F524" s="4">
        <v>68</v>
      </c>
      <c r="G524" s="4">
        <v>58</v>
      </c>
      <c r="H524" s="4">
        <v>99</v>
      </c>
      <c r="I524" s="201"/>
      <c r="J524" s="201"/>
    </row>
    <row r="525" spans="1:10" s="5" customFormat="1" ht="30" hidden="1" customHeight="1" outlineLevel="1" x14ac:dyDescent="0.25">
      <c r="A525" s="4">
        <v>182</v>
      </c>
      <c r="B525" s="6" t="s">
        <v>15</v>
      </c>
      <c r="C525" s="38" t="s">
        <v>2676</v>
      </c>
      <c r="D525" s="6">
        <v>2022</v>
      </c>
      <c r="E525" s="6" t="s">
        <v>12</v>
      </c>
      <c r="F525" s="4">
        <v>150</v>
      </c>
      <c r="G525" s="4">
        <v>15</v>
      </c>
      <c r="H525" s="4">
        <v>164</v>
      </c>
      <c r="I525" s="201"/>
      <c r="J525" s="201"/>
    </row>
    <row r="526" spans="1:10" s="5" customFormat="1" ht="30" hidden="1" customHeight="1" outlineLevel="1" x14ac:dyDescent="0.25">
      <c r="A526" s="4">
        <v>352</v>
      </c>
      <c r="B526" s="6" t="s">
        <v>15</v>
      </c>
      <c r="C526" s="38" t="s">
        <v>2678</v>
      </c>
      <c r="D526" s="6">
        <v>2022</v>
      </c>
      <c r="E526" s="6" t="s">
        <v>12</v>
      </c>
      <c r="F526" s="4">
        <v>260</v>
      </c>
      <c r="G526" s="4">
        <v>7</v>
      </c>
      <c r="H526" s="4">
        <v>477</v>
      </c>
      <c r="I526" s="201"/>
      <c r="J526" s="201"/>
    </row>
    <row r="527" spans="1:10" s="5" customFormat="1" ht="30" hidden="1" customHeight="1" outlineLevel="1" x14ac:dyDescent="0.25">
      <c r="A527" s="4">
        <v>353</v>
      </c>
      <c r="B527" s="6" t="s">
        <v>15</v>
      </c>
      <c r="C527" s="38" t="s">
        <v>2679</v>
      </c>
      <c r="D527" s="6">
        <v>2022</v>
      </c>
      <c r="E527" s="6" t="s">
        <v>12</v>
      </c>
      <c r="F527" s="4">
        <v>1221</v>
      </c>
      <c r="G527" s="4">
        <v>135</v>
      </c>
      <c r="H527" s="4">
        <v>2033</v>
      </c>
      <c r="I527" s="201"/>
      <c r="J527" s="201"/>
    </row>
    <row r="528" spans="1:10" s="5" customFormat="1" ht="30" hidden="1" customHeight="1" outlineLevel="1" x14ac:dyDescent="0.25">
      <c r="A528" s="4">
        <v>359</v>
      </c>
      <c r="B528" s="6" t="s">
        <v>15</v>
      </c>
      <c r="C528" s="38" t="s">
        <v>2680</v>
      </c>
      <c r="D528" s="6">
        <v>2022</v>
      </c>
      <c r="E528" s="6" t="s">
        <v>12</v>
      </c>
      <c r="F528" s="4">
        <v>370</v>
      </c>
      <c r="G528" s="4">
        <v>15</v>
      </c>
      <c r="H528" s="4">
        <v>807</v>
      </c>
      <c r="I528" s="201"/>
      <c r="J528" s="201"/>
    </row>
    <row r="529" spans="1:10" s="5" customFormat="1" ht="30" hidden="1" customHeight="1" outlineLevel="1" x14ac:dyDescent="0.25">
      <c r="A529" s="4">
        <v>287</v>
      </c>
      <c r="B529" s="6" t="s">
        <v>15</v>
      </c>
      <c r="C529" s="38" t="s">
        <v>2681</v>
      </c>
      <c r="D529" s="6">
        <v>2022</v>
      </c>
      <c r="E529" s="6" t="s">
        <v>12</v>
      </c>
      <c r="F529" s="4">
        <v>50</v>
      </c>
      <c r="G529" s="4">
        <v>15</v>
      </c>
      <c r="H529" s="4">
        <v>86</v>
      </c>
      <c r="I529" s="201"/>
      <c r="J529" s="201"/>
    </row>
    <row r="530" spans="1:10" s="5" customFormat="1" ht="30" hidden="1" customHeight="1" outlineLevel="1" x14ac:dyDescent="0.25">
      <c r="A530" s="4">
        <v>185</v>
      </c>
      <c r="B530" s="6" t="s">
        <v>15</v>
      </c>
      <c r="C530" s="38" t="s">
        <v>2682</v>
      </c>
      <c r="D530" s="6">
        <v>2022</v>
      </c>
      <c r="E530" s="6" t="s">
        <v>12</v>
      </c>
      <c r="F530" s="4">
        <v>35</v>
      </c>
      <c r="G530" s="4">
        <v>150</v>
      </c>
      <c r="H530" s="4">
        <v>46</v>
      </c>
      <c r="I530" s="201"/>
      <c r="J530" s="201"/>
    </row>
    <row r="531" spans="1:10" s="5" customFormat="1" ht="30" hidden="1" customHeight="1" outlineLevel="1" x14ac:dyDescent="0.25">
      <c r="A531" s="4">
        <v>186</v>
      </c>
      <c r="B531" s="6" t="s">
        <v>15</v>
      </c>
      <c r="C531" s="38" t="s">
        <v>2683</v>
      </c>
      <c r="D531" s="6">
        <v>2022</v>
      </c>
      <c r="E531" s="6" t="s">
        <v>12</v>
      </c>
      <c r="F531" s="4">
        <v>10</v>
      </c>
      <c r="G531" s="4">
        <v>150</v>
      </c>
      <c r="H531" s="4">
        <v>34</v>
      </c>
      <c r="I531" s="201"/>
      <c r="J531" s="201"/>
    </row>
    <row r="532" spans="1:10" s="5" customFormat="1" ht="30" hidden="1" customHeight="1" outlineLevel="1" x14ac:dyDescent="0.25">
      <c r="A532" s="4">
        <v>184</v>
      </c>
      <c r="B532" s="6" t="s">
        <v>15</v>
      </c>
      <c r="C532" s="38" t="s">
        <v>2684</v>
      </c>
      <c r="D532" s="6">
        <v>2022</v>
      </c>
      <c r="E532" s="6" t="s">
        <v>12</v>
      </c>
      <c r="F532" s="4">
        <v>710</v>
      </c>
      <c r="G532" s="4">
        <v>405</v>
      </c>
      <c r="H532" s="4">
        <v>734</v>
      </c>
      <c r="I532" s="201"/>
      <c r="J532" s="201"/>
    </row>
    <row r="533" spans="1:10" s="5" customFormat="1" ht="30" hidden="1" customHeight="1" outlineLevel="1" x14ac:dyDescent="0.25">
      <c r="A533" s="4">
        <v>262</v>
      </c>
      <c r="B533" s="6" t="s">
        <v>15</v>
      </c>
      <c r="C533" s="38" t="s">
        <v>2685</v>
      </c>
      <c r="D533" s="6">
        <v>2022</v>
      </c>
      <c r="E533" s="6" t="s">
        <v>12</v>
      </c>
      <c r="F533" s="4">
        <v>30</v>
      </c>
      <c r="G533" s="4">
        <v>15</v>
      </c>
      <c r="H533" s="4">
        <v>41</v>
      </c>
      <c r="I533" s="201"/>
      <c r="J533" s="201"/>
    </row>
    <row r="534" spans="1:10" s="5" customFormat="1" ht="30" hidden="1" customHeight="1" outlineLevel="1" x14ac:dyDescent="0.25">
      <c r="A534" s="4">
        <v>286</v>
      </c>
      <c r="B534" s="6" t="s">
        <v>15</v>
      </c>
      <c r="C534" s="38" t="s">
        <v>2686</v>
      </c>
      <c r="D534" s="6">
        <v>2022</v>
      </c>
      <c r="E534" s="6" t="s">
        <v>12</v>
      </c>
      <c r="F534" s="4">
        <v>245</v>
      </c>
      <c r="G534" s="4">
        <v>15</v>
      </c>
      <c r="H534" s="4">
        <v>276</v>
      </c>
      <c r="I534" s="201"/>
      <c r="J534" s="201"/>
    </row>
    <row r="535" spans="1:10" s="5" customFormat="1" ht="30" hidden="1" customHeight="1" outlineLevel="1" x14ac:dyDescent="0.25">
      <c r="A535" s="4">
        <v>219</v>
      </c>
      <c r="B535" s="6" t="s">
        <v>15</v>
      </c>
      <c r="C535" s="38" t="s">
        <v>2687</v>
      </c>
      <c r="D535" s="6">
        <v>2022</v>
      </c>
      <c r="E535" s="6" t="s">
        <v>12</v>
      </c>
      <c r="F535" s="4">
        <v>50</v>
      </c>
      <c r="G535" s="4">
        <v>15</v>
      </c>
      <c r="H535" s="4">
        <v>64</v>
      </c>
      <c r="I535" s="201"/>
      <c r="J535" s="201"/>
    </row>
    <row r="536" spans="1:10" s="5" customFormat="1" ht="30" hidden="1" customHeight="1" outlineLevel="1" x14ac:dyDescent="0.25">
      <c r="A536" s="4">
        <v>222</v>
      </c>
      <c r="B536" s="6" t="s">
        <v>15</v>
      </c>
      <c r="C536" s="38" t="s">
        <v>2688</v>
      </c>
      <c r="D536" s="6">
        <v>2022</v>
      </c>
      <c r="E536" s="6" t="s">
        <v>12</v>
      </c>
      <c r="F536" s="4">
        <v>30</v>
      </c>
      <c r="G536" s="4">
        <v>14</v>
      </c>
      <c r="H536" s="4">
        <v>50</v>
      </c>
      <c r="I536" s="201"/>
      <c r="J536" s="201"/>
    </row>
    <row r="537" spans="1:10" s="5" customFormat="1" ht="30" hidden="1" customHeight="1" outlineLevel="1" x14ac:dyDescent="0.25">
      <c r="A537" s="4">
        <v>208</v>
      </c>
      <c r="B537" s="6" t="s">
        <v>15</v>
      </c>
      <c r="C537" s="38" t="s">
        <v>2689</v>
      </c>
      <c r="D537" s="6">
        <v>2022</v>
      </c>
      <c r="E537" s="6" t="s">
        <v>12</v>
      </c>
      <c r="F537" s="4">
        <v>40</v>
      </c>
      <c r="G537" s="4">
        <v>15</v>
      </c>
      <c r="H537" s="4">
        <v>45</v>
      </c>
      <c r="I537" s="201"/>
      <c r="J537" s="201"/>
    </row>
    <row r="538" spans="1:10" s="5" customFormat="1" ht="30" hidden="1" customHeight="1" outlineLevel="1" x14ac:dyDescent="0.25">
      <c r="A538" s="4">
        <v>260</v>
      </c>
      <c r="B538" s="6" t="s">
        <v>15</v>
      </c>
      <c r="C538" s="38" t="s">
        <v>2690</v>
      </c>
      <c r="D538" s="6">
        <v>2022</v>
      </c>
      <c r="E538" s="6" t="s">
        <v>12</v>
      </c>
      <c r="F538" s="4">
        <v>50</v>
      </c>
      <c r="G538" s="4">
        <v>15</v>
      </c>
      <c r="H538" s="4">
        <v>61</v>
      </c>
      <c r="I538" s="201"/>
      <c r="J538" s="201"/>
    </row>
    <row r="539" spans="1:10" s="5" customFormat="1" ht="30" hidden="1" customHeight="1" outlineLevel="1" x14ac:dyDescent="0.25">
      <c r="A539" s="4">
        <v>209</v>
      </c>
      <c r="B539" s="6" t="s">
        <v>15</v>
      </c>
      <c r="C539" s="38" t="s">
        <v>2691</v>
      </c>
      <c r="D539" s="6">
        <v>2022</v>
      </c>
      <c r="E539" s="6" t="s">
        <v>12</v>
      </c>
      <c r="F539" s="4">
        <v>30</v>
      </c>
      <c r="G539" s="4">
        <v>15</v>
      </c>
      <c r="H539" s="4">
        <v>39</v>
      </c>
      <c r="I539" s="201"/>
      <c r="J539" s="201"/>
    </row>
    <row r="540" spans="1:10" s="5" customFormat="1" ht="30" hidden="1" customHeight="1" outlineLevel="1" x14ac:dyDescent="0.25">
      <c r="A540" s="4">
        <v>210</v>
      </c>
      <c r="B540" s="6" t="s">
        <v>15</v>
      </c>
      <c r="C540" s="38" t="s">
        <v>2692</v>
      </c>
      <c r="D540" s="6">
        <v>2022</v>
      </c>
      <c r="E540" s="6" t="s">
        <v>12</v>
      </c>
      <c r="F540" s="4">
        <v>40</v>
      </c>
      <c r="G540" s="4">
        <v>10</v>
      </c>
      <c r="H540" s="4">
        <v>43</v>
      </c>
      <c r="I540" s="201"/>
      <c r="J540" s="201"/>
    </row>
    <row r="541" spans="1:10" s="5" customFormat="1" ht="30" hidden="1" customHeight="1" outlineLevel="1" x14ac:dyDescent="0.25">
      <c r="A541" s="4">
        <v>218</v>
      </c>
      <c r="B541" s="6" t="s">
        <v>15</v>
      </c>
      <c r="C541" s="38" t="s">
        <v>2693</v>
      </c>
      <c r="D541" s="6">
        <v>2022</v>
      </c>
      <c r="E541" s="6" t="s">
        <v>12</v>
      </c>
      <c r="F541" s="4">
        <v>45</v>
      </c>
      <c r="G541" s="4">
        <v>28</v>
      </c>
      <c r="H541" s="4">
        <v>47</v>
      </c>
      <c r="I541" s="201"/>
      <c r="J541" s="201"/>
    </row>
    <row r="542" spans="1:10" s="5" customFormat="1" ht="30" hidden="1" customHeight="1" outlineLevel="1" x14ac:dyDescent="0.25">
      <c r="A542" s="4">
        <v>212</v>
      </c>
      <c r="B542" s="6" t="s">
        <v>15</v>
      </c>
      <c r="C542" s="38" t="s">
        <v>2694</v>
      </c>
      <c r="D542" s="6">
        <v>2022</v>
      </c>
      <c r="E542" s="6" t="s">
        <v>12</v>
      </c>
      <c r="F542" s="4">
        <v>15</v>
      </c>
      <c r="G542" s="4">
        <v>15</v>
      </c>
      <c r="H542" s="4">
        <v>33</v>
      </c>
      <c r="I542" s="201"/>
      <c r="J542" s="201"/>
    </row>
    <row r="543" spans="1:10" s="5" customFormat="1" ht="30" hidden="1" customHeight="1" outlineLevel="1" x14ac:dyDescent="0.25">
      <c r="A543" s="4">
        <v>255</v>
      </c>
      <c r="B543" s="6" t="s">
        <v>15</v>
      </c>
      <c r="C543" s="38" t="s">
        <v>2695</v>
      </c>
      <c r="D543" s="6">
        <v>2022</v>
      </c>
      <c r="E543" s="6" t="s">
        <v>12</v>
      </c>
      <c r="F543" s="4">
        <v>50</v>
      </c>
      <c r="G543" s="4">
        <v>6</v>
      </c>
      <c r="H543" s="4">
        <v>59</v>
      </c>
      <c r="I543" s="201"/>
      <c r="J543" s="201"/>
    </row>
    <row r="544" spans="1:10" s="5" customFormat="1" ht="30" hidden="1" customHeight="1" outlineLevel="1" x14ac:dyDescent="0.25">
      <c r="A544" s="4">
        <v>193</v>
      </c>
      <c r="B544" s="6" t="s">
        <v>15</v>
      </c>
      <c r="C544" s="38" t="s">
        <v>2696</v>
      </c>
      <c r="D544" s="6">
        <v>2022</v>
      </c>
      <c r="E544" s="6" t="s">
        <v>12</v>
      </c>
      <c r="F544" s="4">
        <v>50</v>
      </c>
      <c r="G544" s="4">
        <v>15</v>
      </c>
      <c r="H544" s="4">
        <v>61</v>
      </c>
      <c r="I544" s="201"/>
      <c r="J544" s="201"/>
    </row>
    <row r="545" spans="1:10" s="5" customFormat="1" ht="30" hidden="1" customHeight="1" outlineLevel="1" x14ac:dyDescent="0.25">
      <c r="A545" s="4">
        <v>253</v>
      </c>
      <c r="B545" s="6" t="s">
        <v>15</v>
      </c>
      <c r="C545" s="38" t="s">
        <v>2699</v>
      </c>
      <c r="D545" s="6">
        <v>2022</v>
      </c>
      <c r="E545" s="6" t="s">
        <v>12</v>
      </c>
      <c r="F545" s="4">
        <v>150</v>
      </c>
      <c r="G545" s="4">
        <v>15</v>
      </c>
      <c r="H545" s="4">
        <v>145</v>
      </c>
      <c r="I545" s="201"/>
      <c r="J545" s="201"/>
    </row>
    <row r="546" spans="1:10" s="5" customFormat="1" ht="30" hidden="1" customHeight="1" outlineLevel="1" x14ac:dyDescent="0.25">
      <c r="A546" s="4">
        <v>252</v>
      </c>
      <c r="B546" s="6" t="s">
        <v>15</v>
      </c>
      <c r="C546" s="38" t="s">
        <v>2700</v>
      </c>
      <c r="D546" s="6">
        <v>2022</v>
      </c>
      <c r="E546" s="6" t="s">
        <v>12</v>
      </c>
      <c r="F546" s="4">
        <v>40</v>
      </c>
      <c r="G546" s="4">
        <v>15</v>
      </c>
      <c r="H546" s="4">
        <v>46</v>
      </c>
      <c r="I546" s="201"/>
      <c r="J546" s="201"/>
    </row>
    <row r="547" spans="1:10" s="5" customFormat="1" ht="30" hidden="1" customHeight="1" outlineLevel="1" x14ac:dyDescent="0.25">
      <c r="A547" s="4">
        <v>278</v>
      </c>
      <c r="B547" s="6" t="s">
        <v>15</v>
      </c>
      <c r="C547" s="38" t="s">
        <v>2701</v>
      </c>
      <c r="D547" s="6">
        <v>2022</v>
      </c>
      <c r="E547" s="6" t="s">
        <v>12</v>
      </c>
      <c r="F547" s="4">
        <v>110</v>
      </c>
      <c r="G547" s="4">
        <v>15</v>
      </c>
      <c r="H547" s="4">
        <v>107</v>
      </c>
      <c r="I547" s="201"/>
      <c r="J547" s="201"/>
    </row>
    <row r="548" spans="1:10" s="5" customFormat="1" ht="30" hidden="1" customHeight="1" outlineLevel="1" x14ac:dyDescent="0.25">
      <c r="A548" s="4">
        <v>196</v>
      </c>
      <c r="B548" s="6" t="s">
        <v>15</v>
      </c>
      <c r="C548" s="38" t="s">
        <v>2702</v>
      </c>
      <c r="D548" s="6">
        <v>2022</v>
      </c>
      <c r="E548" s="6" t="s">
        <v>12</v>
      </c>
      <c r="F548" s="4">
        <v>200</v>
      </c>
      <c r="G548" s="4">
        <v>30</v>
      </c>
      <c r="H548" s="4">
        <v>226</v>
      </c>
      <c r="I548" s="201"/>
      <c r="J548" s="201"/>
    </row>
    <row r="549" spans="1:10" s="5" customFormat="1" ht="30" hidden="1" customHeight="1" outlineLevel="1" x14ac:dyDescent="0.25">
      <c r="A549" s="4">
        <v>197</v>
      </c>
      <c r="B549" s="6" t="s">
        <v>15</v>
      </c>
      <c r="C549" s="38" t="s">
        <v>2703</v>
      </c>
      <c r="D549" s="6">
        <v>2022</v>
      </c>
      <c r="E549" s="6" t="s">
        <v>12</v>
      </c>
      <c r="F549" s="4">
        <v>30</v>
      </c>
      <c r="G549" s="4">
        <v>15</v>
      </c>
      <c r="H549" s="4">
        <v>44</v>
      </c>
      <c r="I549" s="201"/>
      <c r="J549" s="201"/>
    </row>
    <row r="550" spans="1:10" s="5" customFormat="1" ht="30" hidden="1" customHeight="1" outlineLevel="1" x14ac:dyDescent="0.25">
      <c r="A550" s="4">
        <v>256</v>
      </c>
      <c r="B550" s="6" t="s">
        <v>15</v>
      </c>
      <c r="C550" s="38" t="s">
        <v>2705</v>
      </c>
      <c r="D550" s="6">
        <v>2022</v>
      </c>
      <c r="E550" s="6" t="s">
        <v>12</v>
      </c>
      <c r="F550" s="4">
        <v>30</v>
      </c>
      <c r="G550" s="4">
        <v>15</v>
      </c>
      <c r="H550" s="4">
        <v>42</v>
      </c>
      <c r="I550" s="201"/>
      <c r="J550" s="201"/>
    </row>
    <row r="551" spans="1:10" s="5" customFormat="1" ht="30" hidden="1" customHeight="1" outlineLevel="1" x14ac:dyDescent="0.25">
      <c r="A551" s="4">
        <v>256</v>
      </c>
      <c r="B551" s="6" t="s">
        <v>15</v>
      </c>
      <c r="C551" s="38" t="s">
        <v>2706</v>
      </c>
      <c r="D551" s="6">
        <v>2022</v>
      </c>
      <c r="E551" s="6" t="s">
        <v>12</v>
      </c>
      <c r="F551" s="4">
        <v>30</v>
      </c>
      <c r="G551" s="4">
        <v>15</v>
      </c>
      <c r="H551" s="4">
        <v>42</v>
      </c>
      <c r="I551" s="201"/>
      <c r="J551" s="201"/>
    </row>
    <row r="552" spans="1:10" s="5" customFormat="1" ht="30" hidden="1" customHeight="1" outlineLevel="1" x14ac:dyDescent="0.25">
      <c r="A552" s="4">
        <v>258</v>
      </c>
      <c r="B552" s="6" t="s">
        <v>15</v>
      </c>
      <c r="C552" s="38" t="s">
        <v>2708</v>
      </c>
      <c r="D552" s="6">
        <v>2022</v>
      </c>
      <c r="E552" s="6" t="s">
        <v>12</v>
      </c>
      <c r="F552" s="4">
        <v>150</v>
      </c>
      <c r="G552" s="4">
        <v>45</v>
      </c>
      <c r="H552" s="4">
        <v>216</v>
      </c>
      <c r="I552" s="201"/>
      <c r="J552" s="201"/>
    </row>
    <row r="553" spans="1:10" s="5" customFormat="1" ht="30" hidden="1" customHeight="1" outlineLevel="1" x14ac:dyDescent="0.25">
      <c r="A553" s="4">
        <v>355</v>
      </c>
      <c r="B553" s="6" t="s">
        <v>15</v>
      </c>
      <c r="C553" s="38" t="s">
        <v>2709</v>
      </c>
      <c r="D553" s="6">
        <v>2022</v>
      </c>
      <c r="E553" s="6" t="s">
        <v>12</v>
      </c>
      <c r="F553" s="4">
        <v>404</v>
      </c>
      <c r="G553" s="4">
        <v>60</v>
      </c>
      <c r="H553" s="4">
        <v>734</v>
      </c>
      <c r="I553" s="201"/>
      <c r="J553" s="201"/>
    </row>
    <row r="554" spans="1:10" s="5" customFormat="1" ht="30" hidden="1" customHeight="1" outlineLevel="1" x14ac:dyDescent="0.25">
      <c r="A554" s="4">
        <v>396</v>
      </c>
      <c r="B554" s="6" t="s">
        <v>15</v>
      </c>
      <c r="C554" s="38" t="s">
        <v>2710</v>
      </c>
      <c r="D554" s="6">
        <v>2022</v>
      </c>
      <c r="E554" s="6" t="s">
        <v>12</v>
      </c>
      <c r="F554" s="4">
        <v>453</v>
      </c>
      <c r="G554" s="4">
        <v>21</v>
      </c>
      <c r="H554" s="4">
        <v>882</v>
      </c>
      <c r="I554" s="201"/>
      <c r="J554" s="201"/>
    </row>
    <row r="555" spans="1:10" s="5" customFormat="1" ht="30" hidden="1" customHeight="1" outlineLevel="1" x14ac:dyDescent="0.25">
      <c r="A555" s="4">
        <v>398</v>
      </c>
      <c r="B555" s="6" t="s">
        <v>15</v>
      </c>
      <c r="C555" s="38" t="s">
        <v>2711</v>
      </c>
      <c r="D555" s="6">
        <v>2022</v>
      </c>
      <c r="E555" s="6" t="s">
        <v>12</v>
      </c>
      <c r="F555" s="4">
        <v>734</v>
      </c>
      <c r="G555" s="4">
        <v>30</v>
      </c>
      <c r="H555" s="4">
        <v>1384</v>
      </c>
      <c r="I555" s="201"/>
      <c r="J555" s="201"/>
    </row>
    <row r="556" spans="1:10" s="5" customFormat="1" ht="30" hidden="1" customHeight="1" outlineLevel="1" x14ac:dyDescent="0.25">
      <c r="A556" s="4">
        <v>351</v>
      </c>
      <c r="B556" s="6" t="s">
        <v>15</v>
      </c>
      <c r="C556" s="38" t="s">
        <v>2712</v>
      </c>
      <c r="D556" s="6">
        <v>2022</v>
      </c>
      <c r="E556" s="6" t="s">
        <v>12</v>
      </c>
      <c r="F556" s="4">
        <v>1125</v>
      </c>
      <c r="G556" s="4">
        <v>40</v>
      </c>
      <c r="H556" s="4">
        <v>1579</v>
      </c>
      <c r="I556" s="201"/>
      <c r="J556" s="201"/>
    </row>
    <row r="557" spans="1:10" s="5" customFormat="1" ht="30" hidden="1" customHeight="1" outlineLevel="1" x14ac:dyDescent="0.25">
      <c r="A557" s="4">
        <v>357</v>
      </c>
      <c r="B557" s="6" t="s">
        <v>15</v>
      </c>
      <c r="C557" s="38" t="s">
        <v>2713</v>
      </c>
      <c r="D557" s="6">
        <v>2022</v>
      </c>
      <c r="E557" s="6" t="s">
        <v>12</v>
      </c>
      <c r="F557" s="4">
        <v>5</v>
      </c>
      <c r="G557" s="4">
        <v>15</v>
      </c>
      <c r="H557" s="4">
        <v>45</v>
      </c>
      <c r="I557" s="201"/>
      <c r="J557" s="201"/>
    </row>
    <row r="558" spans="1:10" s="5" customFormat="1" ht="30" hidden="1" customHeight="1" outlineLevel="1" x14ac:dyDescent="0.25">
      <c r="A558" s="4">
        <v>350</v>
      </c>
      <c r="B558" s="6" t="s">
        <v>15</v>
      </c>
      <c r="C558" s="38" t="s">
        <v>2714</v>
      </c>
      <c r="D558" s="6">
        <v>2022</v>
      </c>
      <c r="E558" s="6" t="s">
        <v>12</v>
      </c>
      <c r="F558" s="4">
        <v>936</v>
      </c>
      <c r="G558" s="4">
        <v>150</v>
      </c>
      <c r="H558" s="4">
        <v>973</v>
      </c>
      <c r="I558" s="201"/>
      <c r="J558" s="201"/>
    </row>
    <row r="559" spans="1:10" s="5" customFormat="1" ht="30" hidden="1" customHeight="1" outlineLevel="1" x14ac:dyDescent="0.25">
      <c r="A559" s="4">
        <v>428</v>
      </c>
      <c r="B559" s="6" t="s">
        <v>15</v>
      </c>
      <c r="C559" s="38" t="s">
        <v>2715</v>
      </c>
      <c r="D559" s="6">
        <v>2022</v>
      </c>
      <c r="E559" s="6" t="s">
        <v>12</v>
      </c>
      <c r="F559" s="4">
        <v>293</v>
      </c>
      <c r="G559" s="4">
        <v>30</v>
      </c>
      <c r="H559" s="4">
        <v>611</v>
      </c>
      <c r="I559" s="201"/>
      <c r="J559" s="201"/>
    </row>
    <row r="560" spans="1:10" s="5" customFormat="1" ht="30" hidden="1" customHeight="1" outlineLevel="1" x14ac:dyDescent="0.25">
      <c r="A560" s="4">
        <v>429</v>
      </c>
      <c r="B560" s="6" t="s">
        <v>15</v>
      </c>
      <c r="C560" s="38" t="s">
        <v>2716</v>
      </c>
      <c r="D560" s="6">
        <v>2022</v>
      </c>
      <c r="E560" s="6" t="s">
        <v>12</v>
      </c>
      <c r="F560" s="4">
        <v>203</v>
      </c>
      <c r="G560" s="4">
        <v>15</v>
      </c>
      <c r="H560" s="4">
        <v>478</v>
      </c>
      <c r="I560" s="201"/>
      <c r="J560" s="201"/>
    </row>
    <row r="561" spans="1:10" s="5" customFormat="1" ht="30" hidden="1" customHeight="1" outlineLevel="1" x14ac:dyDescent="0.25">
      <c r="A561" s="4">
        <v>427</v>
      </c>
      <c r="B561" s="6" t="s">
        <v>15</v>
      </c>
      <c r="C561" s="38" t="s">
        <v>2717</v>
      </c>
      <c r="D561" s="6">
        <v>2022</v>
      </c>
      <c r="E561" s="6" t="s">
        <v>12</v>
      </c>
      <c r="F561" s="4">
        <v>13</v>
      </c>
      <c r="G561" s="4">
        <v>15</v>
      </c>
      <c r="H561" s="4">
        <v>66</v>
      </c>
      <c r="I561" s="201"/>
      <c r="J561" s="201"/>
    </row>
    <row r="562" spans="1:10" s="5" customFormat="1" ht="30" hidden="1" customHeight="1" outlineLevel="1" x14ac:dyDescent="0.25">
      <c r="A562" s="4">
        <v>430</v>
      </c>
      <c r="B562" s="6" t="s">
        <v>15</v>
      </c>
      <c r="C562" s="38" t="s">
        <v>2718</v>
      </c>
      <c r="D562" s="6">
        <v>2022</v>
      </c>
      <c r="E562" s="6" t="s">
        <v>12</v>
      </c>
      <c r="F562" s="4">
        <v>506</v>
      </c>
      <c r="G562" s="4">
        <v>160</v>
      </c>
      <c r="H562" s="4">
        <v>737</v>
      </c>
      <c r="I562" s="201"/>
      <c r="J562" s="201"/>
    </row>
    <row r="563" spans="1:10" s="5" customFormat="1" ht="30" hidden="1" customHeight="1" outlineLevel="1" x14ac:dyDescent="0.25">
      <c r="A563" s="4">
        <v>425</v>
      </c>
      <c r="B563" s="6" t="s">
        <v>15</v>
      </c>
      <c r="C563" s="38" t="s">
        <v>2719</v>
      </c>
      <c r="D563" s="6">
        <v>2022</v>
      </c>
      <c r="E563" s="6" t="s">
        <v>12</v>
      </c>
      <c r="F563" s="4">
        <v>1014</v>
      </c>
      <c r="G563" s="4">
        <v>120</v>
      </c>
      <c r="H563" s="4">
        <v>1562</v>
      </c>
      <c r="I563" s="201"/>
      <c r="J563" s="201"/>
    </row>
    <row r="564" spans="1:10" s="5" customFormat="1" ht="30" hidden="1" customHeight="1" outlineLevel="1" x14ac:dyDescent="0.25">
      <c r="A564" s="4">
        <v>397</v>
      </c>
      <c r="B564" s="6" t="s">
        <v>15</v>
      </c>
      <c r="C564" s="38" t="s">
        <v>2720</v>
      </c>
      <c r="D564" s="6">
        <v>2022</v>
      </c>
      <c r="E564" s="6" t="s">
        <v>12</v>
      </c>
      <c r="F564" s="4">
        <v>14</v>
      </c>
      <c r="G564" s="4">
        <v>15</v>
      </c>
      <c r="H564" s="4">
        <v>112</v>
      </c>
      <c r="I564" s="201"/>
      <c r="J564" s="201"/>
    </row>
    <row r="565" spans="1:10" s="5" customFormat="1" ht="30" hidden="1" customHeight="1" outlineLevel="1" x14ac:dyDescent="0.25">
      <c r="A565" s="4">
        <v>370</v>
      </c>
      <c r="B565" s="6" t="s">
        <v>15</v>
      </c>
      <c r="C565" s="38" t="s">
        <v>2722</v>
      </c>
      <c r="D565" s="6">
        <v>2022</v>
      </c>
      <c r="E565" s="6" t="s">
        <v>12</v>
      </c>
      <c r="F565" s="4">
        <v>86</v>
      </c>
      <c r="G565" s="4">
        <v>28</v>
      </c>
      <c r="H565" s="4">
        <v>142</v>
      </c>
      <c r="I565" s="201"/>
      <c r="J565" s="201"/>
    </row>
    <row r="566" spans="1:10" s="5" customFormat="1" ht="30" hidden="1" customHeight="1" outlineLevel="1" x14ac:dyDescent="0.25">
      <c r="A566" s="4">
        <v>323</v>
      </c>
      <c r="B566" s="6" t="s">
        <v>15</v>
      </c>
      <c r="C566" s="38" t="s">
        <v>2723</v>
      </c>
      <c r="D566" s="6">
        <v>2022</v>
      </c>
      <c r="E566" s="6" t="s">
        <v>12</v>
      </c>
      <c r="F566" s="4">
        <v>180</v>
      </c>
      <c r="G566" s="4">
        <v>30</v>
      </c>
      <c r="H566" s="4">
        <v>221</v>
      </c>
      <c r="I566" s="201"/>
      <c r="J566" s="201"/>
    </row>
    <row r="567" spans="1:10" s="5" customFormat="1" ht="30" hidden="1" customHeight="1" outlineLevel="1" x14ac:dyDescent="0.25">
      <c r="A567" s="4">
        <v>375</v>
      </c>
      <c r="B567" s="6" t="s">
        <v>15</v>
      </c>
      <c r="C567" s="38" t="s">
        <v>2724</v>
      </c>
      <c r="D567" s="6">
        <v>2022</v>
      </c>
      <c r="E567" s="6" t="s">
        <v>12</v>
      </c>
      <c r="F567" s="4">
        <v>75</v>
      </c>
      <c r="G567" s="4">
        <v>15</v>
      </c>
      <c r="H567" s="4">
        <v>111</v>
      </c>
      <c r="I567" s="201"/>
      <c r="J567" s="201"/>
    </row>
    <row r="568" spans="1:10" s="5" customFormat="1" ht="30" hidden="1" customHeight="1" outlineLevel="1" x14ac:dyDescent="0.25">
      <c r="A568" s="4">
        <v>326</v>
      </c>
      <c r="B568" s="6" t="s">
        <v>15</v>
      </c>
      <c r="C568" s="38" t="s">
        <v>2725</v>
      </c>
      <c r="D568" s="6">
        <v>2022</v>
      </c>
      <c r="E568" s="6" t="s">
        <v>12</v>
      </c>
      <c r="F568" s="4">
        <v>120</v>
      </c>
      <c r="G568" s="4">
        <v>15</v>
      </c>
      <c r="H568" s="4">
        <v>150</v>
      </c>
      <c r="I568" s="201"/>
      <c r="J568" s="201"/>
    </row>
    <row r="569" spans="1:10" s="5" customFormat="1" ht="30" hidden="1" customHeight="1" outlineLevel="1" x14ac:dyDescent="0.25">
      <c r="A569" s="4">
        <v>319</v>
      </c>
      <c r="B569" s="6" t="s">
        <v>15</v>
      </c>
      <c r="C569" s="38" t="s">
        <v>2726</v>
      </c>
      <c r="D569" s="6">
        <v>2022</v>
      </c>
      <c r="E569" s="6" t="s">
        <v>12</v>
      </c>
      <c r="F569" s="4">
        <v>40</v>
      </c>
      <c r="G569" s="4">
        <v>15</v>
      </c>
      <c r="H569" s="4">
        <v>58</v>
      </c>
      <c r="I569" s="201"/>
      <c r="J569" s="201"/>
    </row>
    <row r="570" spans="1:10" s="5" customFormat="1" ht="30" hidden="1" customHeight="1" outlineLevel="1" x14ac:dyDescent="0.25">
      <c r="A570" s="4">
        <v>383</v>
      </c>
      <c r="B570" s="6" t="s">
        <v>15</v>
      </c>
      <c r="C570" s="38" t="s">
        <v>2727</v>
      </c>
      <c r="D570" s="6">
        <v>2022</v>
      </c>
      <c r="E570" s="6" t="s">
        <v>12</v>
      </c>
      <c r="F570" s="4">
        <v>70</v>
      </c>
      <c r="G570" s="4">
        <v>15</v>
      </c>
      <c r="H570" s="4">
        <v>109</v>
      </c>
      <c r="I570" s="201"/>
      <c r="J570" s="201"/>
    </row>
    <row r="571" spans="1:10" s="5" customFormat="1" ht="30" hidden="1" customHeight="1" outlineLevel="1" x14ac:dyDescent="0.25">
      <c r="A571" s="4">
        <v>330</v>
      </c>
      <c r="B571" s="6" t="s">
        <v>15</v>
      </c>
      <c r="C571" s="38" t="s">
        <v>2728</v>
      </c>
      <c r="D571" s="6">
        <v>2022</v>
      </c>
      <c r="E571" s="6" t="s">
        <v>12</v>
      </c>
      <c r="F571" s="4">
        <v>70</v>
      </c>
      <c r="G571" s="4">
        <v>15</v>
      </c>
      <c r="H571" s="4">
        <v>65</v>
      </c>
      <c r="I571" s="201"/>
      <c r="J571" s="201"/>
    </row>
    <row r="572" spans="1:10" s="5" customFormat="1" ht="30" hidden="1" customHeight="1" outlineLevel="1" x14ac:dyDescent="0.25">
      <c r="A572" s="4">
        <v>320</v>
      </c>
      <c r="B572" s="6" t="s">
        <v>15</v>
      </c>
      <c r="C572" s="38" t="s">
        <v>2729</v>
      </c>
      <c r="D572" s="6">
        <v>2022</v>
      </c>
      <c r="E572" s="6" t="s">
        <v>12</v>
      </c>
      <c r="F572" s="4">
        <v>60</v>
      </c>
      <c r="G572" s="4">
        <v>15</v>
      </c>
      <c r="H572" s="4">
        <v>89</v>
      </c>
      <c r="I572" s="201"/>
      <c r="J572" s="201"/>
    </row>
    <row r="573" spans="1:10" s="5" customFormat="1" ht="30" hidden="1" customHeight="1" outlineLevel="1" x14ac:dyDescent="0.25">
      <c r="A573" s="4">
        <v>325</v>
      </c>
      <c r="B573" s="6" t="s">
        <v>15</v>
      </c>
      <c r="C573" s="38" t="s">
        <v>2730</v>
      </c>
      <c r="D573" s="6">
        <v>2022</v>
      </c>
      <c r="E573" s="6" t="s">
        <v>12</v>
      </c>
      <c r="F573" s="4">
        <v>110</v>
      </c>
      <c r="G573" s="4">
        <v>14</v>
      </c>
      <c r="H573" s="4">
        <v>141</v>
      </c>
      <c r="I573" s="201"/>
      <c r="J573" s="201"/>
    </row>
    <row r="574" spans="1:10" s="5" customFormat="1" ht="30" hidden="1" customHeight="1" outlineLevel="1" x14ac:dyDescent="0.25">
      <c r="A574" s="4">
        <v>328</v>
      </c>
      <c r="B574" s="6" t="s">
        <v>15</v>
      </c>
      <c r="C574" s="38" t="s">
        <v>2731</v>
      </c>
      <c r="D574" s="6">
        <v>2022</v>
      </c>
      <c r="E574" s="6" t="s">
        <v>12</v>
      </c>
      <c r="F574" s="4">
        <v>30</v>
      </c>
      <c r="G574" s="4">
        <v>14</v>
      </c>
      <c r="H574" s="4">
        <v>70</v>
      </c>
      <c r="I574" s="201"/>
      <c r="J574" s="201"/>
    </row>
    <row r="575" spans="1:10" s="5" customFormat="1" ht="30" hidden="1" customHeight="1" outlineLevel="1" x14ac:dyDescent="0.25">
      <c r="A575" s="4">
        <v>382</v>
      </c>
      <c r="B575" s="6" t="s">
        <v>15</v>
      </c>
      <c r="C575" s="38" t="s">
        <v>2732</v>
      </c>
      <c r="D575" s="6">
        <v>2022</v>
      </c>
      <c r="E575" s="6" t="s">
        <v>12</v>
      </c>
      <c r="F575" s="4">
        <v>30</v>
      </c>
      <c r="G575" s="4">
        <v>15</v>
      </c>
      <c r="H575" s="4">
        <v>50</v>
      </c>
      <c r="I575" s="201"/>
      <c r="J575" s="201"/>
    </row>
    <row r="576" spans="1:10" s="5" customFormat="1" ht="30" hidden="1" customHeight="1" outlineLevel="1" x14ac:dyDescent="0.25">
      <c r="A576" s="4">
        <v>321</v>
      </c>
      <c r="B576" s="6" t="s">
        <v>15</v>
      </c>
      <c r="C576" s="38" t="s">
        <v>2733</v>
      </c>
      <c r="D576" s="6">
        <v>2022</v>
      </c>
      <c r="E576" s="6" t="s">
        <v>12</v>
      </c>
      <c r="F576" s="4">
        <v>180</v>
      </c>
      <c r="G576" s="4">
        <v>30</v>
      </c>
      <c r="H576" s="4">
        <v>253</v>
      </c>
      <c r="I576" s="201"/>
      <c r="J576" s="201"/>
    </row>
    <row r="577" spans="1:10" s="5" customFormat="1" ht="30" hidden="1" customHeight="1" outlineLevel="1" x14ac:dyDescent="0.25">
      <c r="A577" s="4">
        <v>366</v>
      </c>
      <c r="B577" s="6" t="s">
        <v>15</v>
      </c>
      <c r="C577" s="38" t="s">
        <v>2734</v>
      </c>
      <c r="D577" s="6">
        <v>2022</v>
      </c>
      <c r="E577" s="6" t="s">
        <v>12</v>
      </c>
      <c r="F577" s="4">
        <v>40</v>
      </c>
      <c r="G577" s="4">
        <v>6</v>
      </c>
      <c r="H577" s="4">
        <v>54</v>
      </c>
      <c r="I577" s="201"/>
      <c r="J577" s="201"/>
    </row>
    <row r="578" spans="1:10" s="5" customFormat="1" ht="30" hidden="1" customHeight="1" outlineLevel="1" x14ac:dyDescent="0.25">
      <c r="A578" s="4">
        <v>374</v>
      </c>
      <c r="B578" s="6" t="s">
        <v>15</v>
      </c>
      <c r="C578" s="38" t="s">
        <v>2735</v>
      </c>
      <c r="D578" s="6">
        <v>2022</v>
      </c>
      <c r="E578" s="6" t="s">
        <v>12</v>
      </c>
      <c r="F578" s="4">
        <v>70</v>
      </c>
      <c r="G578" s="4">
        <v>15</v>
      </c>
      <c r="H578" s="4">
        <v>87</v>
      </c>
      <c r="I578" s="201"/>
      <c r="J578" s="201"/>
    </row>
    <row r="579" spans="1:10" s="5" customFormat="1" ht="30" hidden="1" customHeight="1" outlineLevel="1" x14ac:dyDescent="0.25">
      <c r="A579" s="4">
        <v>327</v>
      </c>
      <c r="B579" s="6" t="s">
        <v>15</v>
      </c>
      <c r="C579" s="38" t="s">
        <v>2736</v>
      </c>
      <c r="D579" s="6">
        <v>2022</v>
      </c>
      <c r="E579" s="6" t="s">
        <v>12</v>
      </c>
      <c r="F579" s="4">
        <v>140</v>
      </c>
      <c r="G579" s="4">
        <v>15</v>
      </c>
      <c r="H579" s="4">
        <v>181</v>
      </c>
      <c r="I579" s="201"/>
      <c r="J579" s="201"/>
    </row>
    <row r="580" spans="1:10" s="5" customFormat="1" ht="30" hidden="1" customHeight="1" outlineLevel="1" x14ac:dyDescent="0.25">
      <c r="A580" s="4">
        <v>365</v>
      </c>
      <c r="B580" s="6" t="s">
        <v>15</v>
      </c>
      <c r="C580" s="38" t="s">
        <v>2737</v>
      </c>
      <c r="D580" s="6">
        <v>2022</v>
      </c>
      <c r="E580" s="6" t="s">
        <v>12</v>
      </c>
      <c r="F580" s="4">
        <v>45</v>
      </c>
      <c r="G580" s="4">
        <v>15</v>
      </c>
      <c r="H580" s="4">
        <v>94</v>
      </c>
      <c r="I580" s="201"/>
      <c r="J580" s="201"/>
    </row>
    <row r="581" spans="1:10" s="5" customFormat="1" ht="30" hidden="1" customHeight="1" outlineLevel="1" x14ac:dyDescent="0.25">
      <c r="A581" s="4">
        <v>214</v>
      </c>
      <c r="B581" s="6" t="s">
        <v>15</v>
      </c>
      <c r="C581" s="38" t="s">
        <v>2738</v>
      </c>
      <c r="D581" s="6">
        <v>2022</v>
      </c>
      <c r="E581" s="6" t="s">
        <v>12</v>
      </c>
      <c r="F581" s="4">
        <v>30</v>
      </c>
      <c r="G581" s="4">
        <v>15</v>
      </c>
      <c r="H581" s="4">
        <v>44</v>
      </c>
      <c r="I581" s="201"/>
      <c r="J581" s="201"/>
    </row>
    <row r="582" spans="1:10" s="5" customFormat="1" ht="30" hidden="1" customHeight="1" outlineLevel="1" x14ac:dyDescent="0.25">
      <c r="A582" s="4">
        <v>294</v>
      </c>
      <c r="B582" s="6" t="s">
        <v>15</v>
      </c>
      <c r="C582" s="38" t="s">
        <v>2740</v>
      </c>
      <c r="D582" s="6">
        <v>2022</v>
      </c>
      <c r="E582" s="6" t="s">
        <v>12</v>
      </c>
      <c r="F582" s="4">
        <v>35</v>
      </c>
      <c r="G582" s="4">
        <v>10</v>
      </c>
      <c r="H582" s="4">
        <v>37</v>
      </c>
      <c r="I582" s="201"/>
      <c r="J582" s="201"/>
    </row>
    <row r="583" spans="1:10" s="5" customFormat="1" ht="30" hidden="1" customHeight="1" outlineLevel="1" x14ac:dyDescent="0.25">
      <c r="A583" s="4">
        <v>293</v>
      </c>
      <c r="B583" s="6" t="s">
        <v>15</v>
      </c>
      <c r="C583" s="38" t="s">
        <v>2741</v>
      </c>
      <c r="D583" s="6">
        <v>2022</v>
      </c>
      <c r="E583" s="6" t="s">
        <v>12</v>
      </c>
      <c r="F583" s="4">
        <v>80</v>
      </c>
      <c r="G583" s="4">
        <v>10</v>
      </c>
      <c r="H583" s="4">
        <v>55</v>
      </c>
      <c r="I583" s="201"/>
      <c r="J583" s="201"/>
    </row>
    <row r="584" spans="1:10" s="5" customFormat="1" ht="30" hidden="1" customHeight="1" outlineLevel="1" x14ac:dyDescent="0.25">
      <c r="A584" s="4">
        <v>296</v>
      </c>
      <c r="B584" s="6" t="s">
        <v>15</v>
      </c>
      <c r="C584" s="38" t="s">
        <v>2742</v>
      </c>
      <c r="D584" s="6">
        <v>2022</v>
      </c>
      <c r="E584" s="6" t="s">
        <v>12</v>
      </c>
      <c r="F584" s="4">
        <v>45</v>
      </c>
      <c r="G584" s="4">
        <v>15</v>
      </c>
      <c r="H584" s="4">
        <v>68</v>
      </c>
      <c r="I584" s="201"/>
      <c r="J584" s="201"/>
    </row>
    <row r="585" spans="1:10" s="5" customFormat="1" ht="30" hidden="1" customHeight="1" outlineLevel="1" x14ac:dyDescent="0.25">
      <c r="A585" s="4">
        <v>292</v>
      </c>
      <c r="B585" s="6" t="s">
        <v>15</v>
      </c>
      <c r="C585" s="38" t="s">
        <v>2743</v>
      </c>
      <c r="D585" s="6">
        <v>2022</v>
      </c>
      <c r="E585" s="6" t="s">
        <v>12</v>
      </c>
      <c r="F585" s="4">
        <v>65</v>
      </c>
      <c r="G585" s="4">
        <v>7.0000000000000007E-2</v>
      </c>
      <c r="H585" s="4">
        <v>102</v>
      </c>
      <c r="I585" s="201"/>
      <c r="J585" s="201"/>
    </row>
    <row r="586" spans="1:10" s="5" customFormat="1" ht="30" hidden="1" customHeight="1" outlineLevel="1" x14ac:dyDescent="0.25">
      <c r="A586" s="4">
        <v>291</v>
      </c>
      <c r="B586" s="6" t="s">
        <v>15</v>
      </c>
      <c r="C586" s="38" t="s">
        <v>2744</v>
      </c>
      <c r="D586" s="6">
        <v>2022</v>
      </c>
      <c r="E586" s="6" t="s">
        <v>12</v>
      </c>
      <c r="F586" s="4">
        <v>310</v>
      </c>
      <c r="G586" s="4">
        <v>15</v>
      </c>
      <c r="H586" s="4">
        <v>302</v>
      </c>
      <c r="I586" s="201"/>
      <c r="J586" s="201"/>
    </row>
    <row r="587" spans="1:10" s="5" customFormat="1" ht="30" hidden="1" customHeight="1" outlineLevel="1" x14ac:dyDescent="0.25">
      <c r="A587" s="4">
        <v>299</v>
      </c>
      <c r="B587" s="6" t="s">
        <v>15</v>
      </c>
      <c r="C587" s="38" t="s">
        <v>2745</v>
      </c>
      <c r="D587" s="6">
        <v>2022</v>
      </c>
      <c r="E587" s="6" t="s">
        <v>12</v>
      </c>
      <c r="F587" s="4">
        <v>40</v>
      </c>
      <c r="G587" s="4">
        <v>15</v>
      </c>
      <c r="H587" s="4">
        <v>83</v>
      </c>
      <c r="I587" s="201"/>
      <c r="J587" s="201"/>
    </row>
    <row r="588" spans="1:10" s="5" customFormat="1" ht="30" hidden="1" customHeight="1" outlineLevel="1" x14ac:dyDescent="0.25">
      <c r="A588" s="4">
        <v>298</v>
      </c>
      <c r="B588" s="6" t="s">
        <v>15</v>
      </c>
      <c r="C588" s="38" t="s">
        <v>2746</v>
      </c>
      <c r="D588" s="6">
        <v>2022</v>
      </c>
      <c r="E588" s="6" t="s">
        <v>12</v>
      </c>
      <c r="F588" s="4">
        <v>30</v>
      </c>
      <c r="G588" s="4">
        <v>5</v>
      </c>
      <c r="H588" s="4">
        <v>42</v>
      </c>
      <c r="I588" s="201"/>
      <c r="J588" s="201"/>
    </row>
    <row r="589" spans="1:10" s="5" customFormat="1" ht="30" hidden="1" customHeight="1" outlineLevel="1" x14ac:dyDescent="0.25">
      <c r="A589" s="4">
        <v>362</v>
      </c>
      <c r="B589" s="6" t="s">
        <v>15</v>
      </c>
      <c r="C589" s="38" t="s">
        <v>2747</v>
      </c>
      <c r="D589" s="6">
        <v>2022</v>
      </c>
      <c r="E589" s="6" t="s">
        <v>12</v>
      </c>
      <c r="F589" s="4">
        <v>20</v>
      </c>
      <c r="G589" s="4">
        <v>15</v>
      </c>
      <c r="H589" s="4">
        <v>51</v>
      </c>
      <c r="I589" s="201"/>
      <c r="J589" s="201"/>
    </row>
    <row r="590" spans="1:10" s="5" customFormat="1" ht="30" hidden="1" customHeight="1" outlineLevel="1" x14ac:dyDescent="0.25">
      <c r="A590" s="4">
        <v>381</v>
      </c>
      <c r="B590" s="6" t="s">
        <v>15</v>
      </c>
      <c r="C590" s="38" t="s">
        <v>2748</v>
      </c>
      <c r="D590" s="6">
        <v>2022</v>
      </c>
      <c r="E590" s="6" t="s">
        <v>12</v>
      </c>
      <c r="F590" s="4">
        <v>40</v>
      </c>
      <c r="G590" s="4">
        <v>15</v>
      </c>
      <c r="H590" s="4">
        <v>80</v>
      </c>
      <c r="I590" s="201"/>
      <c r="J590" s="201"/>
    </row>
    <row r="591" spans="1:10" s="5" customFormat="1" ht="30" hidden="1" customHeight="1" outlineLevel="1" x14ac:dyDescent="0.25">
      <c r="A591" s="4">
        <v>300</v>
      </c>
      <c r="B591" s="6" t="s">
        <v>15</v>
      </c>
      <c r="C591" s="38" t="s">
        <v>2749</v>
      </c>
      <c r="D591" s="6">
        <v>2022</v>
      </c>
      <c r="E591" s="6" t="s">
        <v>12</v>
      </c>
      <c r="F591" s="4">
        <v>30</v>
      </c>
      <c r="G591" s="4">
        <v>15</v>
      </c>
      <c r="H591" s="4">
        <v>46</v>
      </c>
      <c r="I591" s="201"/>
      <c r="J591" s="201"/>
    </row>
    <row r="592" spans="1:10" s="5" customFormat="1" ht="30" hidden="1" customHeight="1" outlineLevel="1" x14ac:dyDescent="0.25">
      <c r="A592" s="4">
        <v>426</v>
      </c>
      <c r="B592" s="6" t="s">
        <v>15</v>
      </c>
      <c r="C592" s="38" t="s">
        <v>2750</v>
      </c>
      <c r="D592" s="6">
        <v>2022</v>
      </c>
      <c r="E592" s="6" t="s">
        <v>12</v>
      </c>
      <c r="F592" s="4">
        <v>839</v>
      </c>
      <c r="G592" s="4">
        <v>104.4</v>
      </c>
      <c r="H592" s="4">
        <v>1538</v>
      </c>
      <c r="I592" s="201"/>
      <c r="J592" s="201"/>
    </row>
    <row r="593" spans="1:10" s="5" customFormat="1" ht="30" hidden="1" customHeight="1" outlineLevel="1" x14ac:dyDescent="0.25">
      <c r="A593" s="4">
        <v>322</v>
      </c>
      <c r="B593" s="6" t="s">
        <v>15</v>
      </c>
      <c r="C593" s="38" t="s">
        <v>2751</v>
      </c>
      <c r="D593" s="6">
        <v>2022</v>
      </c>
      <c r="E593" s="6" t="s">
        <v>12</v>
      </c>
      <c r="F593" s="4">
        <v>340</v>
      </c>
      <c r="G593" s="4">
        <v>15</v>
      </c>
      <c r="H593" s="4">
        <v>366</v>
      </c>
      <c r="I593" s="201"/>
      <c r="J593" s="201"/>
    </row>
    <row r="594" spans="1:10" s="5" customFormat="1" ht="30" hidden="1" customHeight="1" outlineLevel="1" x14ac:dyDescent="0.25">
      <c r="A594" s="4">
        <v>324</v>
      </c>
      <c r="B594" s="6" t="s">
        <v>15</v>
      </c>
      <c r="C594" s="38" t="s">
        <v>2752</v>
      </c>
      <c r="D594" s="6">
        <v>2022</v>
      </c>
      <c r="E594" s="6" t="s">
        <v>12</v>
      </c>
      <c r="F594" s="4">
        <v>70</v>
      </c>
      <c r="G594" s="4">
        <v>15</v>
      </c>
      <c r="H594" s="4">
        <v>113</v>
      </c>
      <c r="I594" s="201"/>
      <c r="J594" s="201"/>
    </row>
    <row r="595" spans="1:10" s="5" customFormat="1" ht="30" hidden="1" customHeight="1" outlineLevel="1" x14ac:dyDescent="0.25">
      <c r="A595" s="4">
        <v>376</v>
      </c>
      <c r="B595" s="6" t="s">
        <v>15</v>
      </c>
      <c r="C595" s="38" t="s">
        <v>2753</v>
      </c>
      <c r="D595" s="6">
        <v>2022</v>
      </c>
      <c r="E595" s="6" t="s">
        <v>12</v>
      </c>
      <c r="F595" s="4">
        <v>60</v>
      </c>
      <c r="G595" s="4">
        <v>15</v>
      </c>
      <c r="H595" s="4">
        <v>88</v>
      </c>
      <c r="I595" s="201"/>
      <c r="J595" s="201"/>
    </row>
    <row r="596" spans="1:10" s="5" customFormat="1" ht="30" hidden="1" customHeight="1" outlineLevel="1" x14ac:dyDescent="0.25">
      <c r="A596" s="4">
        <v>360</v>
      </c>
      <c r="B596" s="6" t="s">
        <v>15</v>
      </c>
      <c r="C596" s="38" t="s">
        <v>2754</v>
      </c>
      <c r="D596" s="6">
        <v>2022</v>
      </c>
      <c r="E596" s="6" t="s">
        <v>12</v>
      </c>
      <c r="F596" s="4">
        <v>156</v>
      </c>
      <c r="G596" s="4">
        <v>15</v>
      </c>
      <c r="H596" s="4">
        <v>207</v>
      </c>
      <c r="I596" s="201"/>
      <c r="J596" s="201"/>
    </row>
    <row r="597" spans="1:10" s="5" customFormat="1" ht="30" hidden="1" customHeight="1" outlineLevel="1" x14ac:dyDescent="0.25">
      <c r="A597" s="4">
        <v>369</v>
      </c>
      <c r="B597" s="6" t="s">
        <v>15</v>
      </c>
      <c r="C597" s="38" t="s">
        <v>2755</v>
      </c>
      <c r="D597" s="6">
        <v>2022</v>
      </c>
      <c r="E597" s="6" t="s">
        <v>12</v>
      </c>
      <c r="F597" s="4">
        <v>60</v>
      </c>
      <c r="G597" s="4">
        <v>15</v>
      </c>
      <c r="H597" s="4">
        <v>108</v>
      </c>
      <c r="I597" s="201"/>
      <c r="J597" s="201"/>
    </row>
    <row r="598" spans="1:10" s="5" customFormat="1" ht="30" hidden="1" customHeight="1" outlineLevel="1" x14ac:dyDescent="0.25">
      <c r="A598" s="4">
        <v>373</v>
      </c>
      <c r="B598" s="6" t="s">
        <v>15</v>
      </c>
      <c r="C598" s="38" t="s">
        <v>2756</v>
      </c>
      <c r="D598" s="6">
        <v>2022</v>
      </c>
      <c r="E598" s="6" t="s">
        <v>12</v>
      </c>
      <c r="F598" s="4">
        <v>40</v>
      </c>
      <c r="G598" s="4">
        <v>15</v>
      </c>
      <c r="H598" s="4">
        <v>53</v>
      </c>
      <c r="I598" s="201"/>
      <c r="J598" s="201"/>
    </row>
    <row r="599" spans="1:10" s="5" customFormat="1" ht="30" hidden="1" customHeight="1" outlineLevel="1" x14ac:dyDescent="0.25">
      <c r="A599" s="4">
        <v>364</v>
      </c>
      <c r="B599" s="6" t="s">
        <v>15</v>
      </c>
      <c r="C599" s="38" t="s">
        <v>2757</v>
      </c>
      <c r="D599" s="6">
        <v>2022</v>
      </c>
      <c r="E599" s="6" t="s">
        <v>12</v>
      </c>
      <c r="F599" s="4">
        <v>100</v>
      </c>
      <c r="G599" s="4">
        <v>15</v>
      </c>
      <c r="H599" s="4">
        <v>146</v>
      </c>
      <c r="I599" s="201"/>
      <c r="J599" s="201"/>
    </row>
    <row r="600" spans="1:10" s="5" customFormat="1" ht="30" hidden="1" customHeight="1" outlineLevel="1" x14ac:dyDescent="0.25">
      <c r="A600" s="4">
        <v>367</v>
      </c>
      <c r="B600" s="6" t="s">
        <v>15</v>
      </c>
      <c r="C600" s="38" t="s">
        <v>2758</v>
      </c>
      <c r="D600" s="6">
        <v>2022</v>
      </c>
      <c r="E600" s="6" t="s">
        <v>12</v>
      </c>
      <c r="F600" s="4">
        <v>80</v>
      </c>
      <c r="G600" s="4">
        <v>15</v>
      </c>
      <c r="H600" s="4">
        <v>119</v>
      </c>
      <c r="I600" s="201"/>
      <c r="J600" s="201"/>
    </row>
    <row r="601" spans="1:10" s="5" customFormat="1" ht="30" hidden="1" customHeight="1" outlineLevel="1" x14ac:dyDescent="0.25">
      <c r="A601" s="4">
        <v>368</v>
      </c>
      <c r="B601" s="6" t="s">
        <v>15</v>
      </c>
      <c r="C601" s="38" t="s">
        <v>2759</v>
      </c>
      <c r="D601" s="6">
        <v>2022</v>
      </c>
      <c r="E601" s="6" t="s">
        <v>12</v>
      </c>
      <c r="F601" s="4">
        <v>30</v>
      </c>
      <c r="G601" s="4">
        <v>15</v>
      </c>
      <c r="H601" s="4">
        <v>50</v>
      </c>
      <c r="I601" s="201"/>
      <c r="J601" s="201"/>
    </row>
    <row r="602" spans="1:10" s="5" customFormat="1" ht="30" hidden="1" customHeight="1" outlineLevel="1" x14ac:dyDescent="0.25">
      <c r="A602" s="4">
        <v>372</v>
      </c>
      <c r="B602" s="6" t="s">
        <v>15</v>
      </c>
      <c r="C602" s="38" t="s">
        <v>2760</v>
      </c>
      <c r="D602" s="6">
        <v>2022</v>
      </c>
      <c r="E602" s="6" t="s">
        <v>12</v>
      </c>
      <c r="F602" s="4">
        <v>40</v>
      </c>
      <c r="G602" s="4">
        <v>15</v>
      </c>
      <c r="H602" s="4">
        <v>55</v>
      </c>
      <c r="I602" s="201"/>
      <c r="J602" s="201"/>
    </row>
    <row r="603" spans="1:10" s="5" customFormat="1" ht="30" hidden="1" customHeight="1" outlineLevel="1" x14ac:dyDescent="0.25">
      <c r="A603" s="4">
        <v>371</v>
      </c>
      <c r="B603" s="6" t="s">
        <v>15</v>
      </c>
      <c r="C603" s="38" t="s">
        <v>2761</v>
      </c>
      <c r="D603" s="6">
        <v>2022</v>
      </c>
      <c r="E603" s="6" t="s">
        <v>12</v>
      </c>
      <c r="F603" s="4">
        <v>30</v>
      </c>
      <c r="G603" s="4">
        <v>15</v>
      </c>
      <c r="H603" s="4">
        <v>47</v>
      </c>
      <c r="I603" s="201"/>
      <c r="J603" s="201"/>
    </row>
    <row r="604" spans="1:10" s="5" customFormat="1" ht="30" hidden="1" customHeight="1" outlineLevel="1" x14ac:dyDescent="0.25">
      <c r="A604" s="4">
        <v>377</v>
      </c>
      <c r="B604" s="6" t="s">
        <v>15</v>
      </c>
      <c r="C604" s="38" t="s">
        <v>2762</v>
      </c>
      <c r="D604" s="6">
        <v>2022</v>
      </c>
      <c r="E604" s="6" t="s">
        <v>12</v>
      </c>
      <c r="F604" s="4">
        <v>70</v>
      </c>
      <c r="G604" s="4">
        <v>15</v>
      </c>
      <c r="H604" s="4">
        <v>84</v>
      </c>
      <c r="I604" s="201"/>
      <c r="J604" s="201"/>
    </row>
    <row r="605" spans="1:10" s="5" customFormat="1" ht="30" hidden="1" customHeight="1" outlineLevel="1" x14ac:dyDescent="0.25">
      <c r="A605" s="4">
        <v>379</v>
      </c>
      <c r="B605" s="6" t="s">
        <v>15</v>
      </c>
      <c r="C605" s="38" t="s">
        <v>2763</v>
      </c>
      <c r="D605" s="6">
        <v>2022</v>
      </c>
      <c r="E605" s="6" t="s">
        <v>12</v>
      </c>
      <c r="F605" s="4">
        <v>30</v>
      </c>
      <c r="G605" s="4">
        <v>15</v>
      </c>
      <c r="H605" s="4">
        <v>52</v>
      </c>
      <c r="I605" s="201"/>
      <c r="J605" s="201"/>
    </row>
    <row r="606" spans="1:10" s="5" customFormat="1" ht="30" hidden="1" customHeight="1" outlineLevel="1" x14ac:dyDescent="0.25">
      <c r="A606" s="4">
        <v>378</v>
      </c>
      <c r="B606" s="6" t="s">
        <v>15</v>
      </c>
      <c r="C606" s="38" t="s">
        <v>2764</v>
      </c>
      <c r="D606" s="6">
        <v>2022</v>
      </c>
      <c r="E606" s="6" t="s">
        <v>12</v>
      </c>
      <c r="F606" s="4">
        <v>80</v>
      </c>
      <c r="G606" s="4">
        <v>15</v>
      </c>
      <c r="H606" s="4">
        <v>159</v>
      </c>
      <c r="I606" s="201"/>
      <c r="J606" s="201"/>
    </row>
    <row r="607" spans="1:10" s="5" customFormat="1" ht="30" hidden="1" customHeight="1" outlineLevel="1" x14ac:dyDescent="0.25">
      <c r="A607" s="4">
        <v>380</v>
      </c>
      <c r="B607" s="6" t="s">
        <v>15</v>
      </c>
      <c r="C607" s="38" t="s">
        <v>2765</v>
      </c>
      <c r="D607" s="6">
        <v>2022</v>
      </c>
      <c r="E607" s="6" t="s">
        <v>12</v>
      </c>
      <c r="F607" s="4">
        <v>60</v>
      </c>
      <c r="G607" s="4">
        <v>15</v>
      </c>
      <c r="H607" s="4">
        <v>52</v>
      </c>
      <c r="I607" s="201"/>
      <c r="J607" s="201"/>
    </row>
    <row r="608" spans="1:10" s="5" customFormat="1" ht="30" hidden="1" customHeight="1" outlineLevel="1" x14ac:dyDescent="0.25">
      <c r="A608" s="4">
        <v>361</v>
      </c>
      <c r="B608" s="6" t="s">
        <v>15</v>
      </c>
      <c r="C608" s="38" t="s">
        <v>2766</v>
      </c>
      <c r="D608" s="6">
        <v>2022</v>
      </c>
      <c r="E608" s="6" t="s">
        <v>12</v>
      </c>
      <c r="F608" s="4">
        <v>75</v>
      </c>
      <c r="G608" s="4">
        <v>10</v>
      </c>
      <c r="H608" s="4">
        <v>116</v>
      </c>
      <c r="I608" s="201"/>
      <c r="J608" s="201"/>
    </row>
    <row r="609" spans="1:10" s="5" customFormat="1" ht="30" hidden="1" customHeight="1" outlineLevel="1" x14ac:dyDescent="0.25">
      <c r="A609" s="4">
        <v>407</v>
      </c>
      <c r="B609" s="6" t="s">
        <v>15</v>
      </c>
      <c r="C609" s="38" t="s">
        <v>2767</v>
      </c>
      <c r="D609" s="6">
        <v>2022</v>
      </c>
      <c r="E609" s="6" t="s">
        <v>12</v>
      </c>
      <c r="F609" s="4">
        <v>170</v>
      </c>
      <c r="G609" s="4">
        <v>30</v>
      </c>
      <c r="H609" s="4">
        <v>123</v>
      </c>
      <c r="I609" s="201"/>
      <c r="J609" s="201"/>
    </row>
    <row r="610" spans="1:10" s="5" customFormat="1" ht="30" hidden="1" customHeight="1" outlineLevel="1" x14ac:dyDescent="0.25">
      <c r="A610" s="4">
        <v>404</v>
      </c>
      <c r="B610" s="6" t="s">
        <v>15</v>
      </c>
      <c r="C610" s="38" t="s">
        <v>2768</v>
      </c>
      <c r="D610" s="6">
        <v>2022</v>
      </c>
      <c r="E610" s="6" t="s">
        <v>12</v>
      </c>
      <c r="F610" s="4">
        <v>25</v>
      </c>
      <c r="G610" s="4">
        <v>15</v>
      </c>
      <c r="H610" s="4">
        <v>38</v>
      </c>
      <c r="I610" s="201"/>
      <c r="J610" s="201"/>
    </row>
    <row r="611" spans="1:10" s="5" customFormat="1" ht="30" hidden="1" customHeight="1" outlineLevel="1" x14ac:dyDescent="0.25">
      <c r="A611" s="4">
        <v>406</v>
      </c>
      <c r="B611" s="6" t="s">
        <v>15</v>
      </c>
      <c r="C611" s="38" t="s">
        <v>2769</v>
      </c>
      <c r="D611" s="6">
        <v>2022</v>
      </c>
      <c r="E611" s="6" t="s">
        <v>12</v>
      </c>
      <c r="F611" s="4">
        <v>22</v>
      </c>
      <c r="G611" s="4">
        <v>15</v>
      </c>
      <c r="H611" s="4">
        <v>37</v>
      </c>
      <c r="I611" s="201"/>
      <c r="J611" s="201"/>
    </row>
    <row r="612" spans="1:10" s="5" customFormat="1" ht="30" hidden="1" customHeight="1" outlineLevel="1" x14ac:dyDescent="0.25">
      <c r="A612" s="4">
        <v>433</v>
      </c>
      <c r="B612" s="6" t="s">
        <v>15</v>
      </c>
      <c r="C612" s="38" t="s">
        <v>2770</v>
      </c>
      <c r="D612" s="6">
        <v>2022</v>
      </c>
      <c r="E612" s="6" t="s">
        <v>12</v>
      </c>
      <c r="F612" s="4">
        <v>100</v>
      </c>
      <c r="G612" s="4">
        <v>10</v>
      </c>
      <c r="H612" s="4">
        <v>224</v>
      </c>
      <c r="I612" s="201"/>
      <c r="J612" s="201"/>
    </row>
    <row r="613" spans="1:10" s="5" customFormat="1" ht="30" hidden="1" customHeight="1" outlineLevel="1" x14ac:dyDescent="0.25">
      <c r="A613" s="4">
        <v>403</v>
      </c>
      <c r="B613" s="6" t="s">
        <v>15</v>
      </c>
      <c r="C613" s="38" t="s">
        <v>2771</v>
      </c>
      <c r="D613" s="6">
        <v>2022</v>
      </c>
      <c r="E613" s="6" t="s">
        <v>12</v>
      </c>
      <c r="F613" s="4">
        <v>120</v>
      </c>
      <c r="G613" s="4">
        <v>5</v>
      </c>
      <c r="H613" s="4">
        <v>99</v>
      </c>
      <c r="I613" s="201"/>
      <c r="J613" s="201"/>
    </row>
    <row r="614" spans="1:10" s="5" customFormat="1" ht="30" hidden="1" customHeight="1" outlineLevel="1" x14ac:dyDescent="0.25">
      <c r="A614" s="4">
        <v>5056</v>
      </c>
      <c r="B614" s="6" t="s">
        <v>15</v>
      </c>
      <c r="C614" s="38" t="s">
        <v>2772</v>
      </c>
      <c r="D614" s="6">
        <v>2022</v>
      </c>
      <c r="E614" s="6" t="s">
        <v>12</v>
      </c>
      <c r="F614" s="4">
        <v>90</v>
      </c>
      <c r="G614" s="4">
        <v>269.2</v>
      </c>
      <c r="H614" s="4">
        <v>270</v>
      </c>
      <c r="I614" s="201"/>
      <c r="J614" s="201"/>
    </row>
    <row r="615" spans="1:10" s="5" customFormat="1" ht="30" hidden="1" customHeight="1" outlineLevel="1" x14ac:dyDescent="0.25">
      <c r="A615" s="4">
        <v>5395</v>
      </c>
      <c r="B615" s="6" t="s">
        <v>15</v>
      </c>
      <c r="C615" s="38" t="s">
        <v>2773</v>
      </c>
      <c r="D615" s="6">
        <v>2022</v>
      </c>
      <c r="E615" s="6" t="s">
        <v>12</v>
      </c>
      <c r="F615" s="4">
        <v>40</v>
      </c>
      <c r="G615" s="4">
        <v>15</v>
      </c>
      <c r="H615" s="4">
        <v>91</v>
      </c>
      <c r="I615" s="201"/>
      <c r="J615" s="201"/>
    </row>
    <row r="616" spans="1:10" s="5" customFormat="1" ht="30" hidden="1" customHeight="1" outlineLevel="1" x14ac:dyDescent="0.25">
      <c r="A616" s="4">
        <v>5396</v>
      </c>
      <c r="B616" s="6" t="s">
        <v>15</v>
      </c>
      <c r="C616" s="38" t="s">
        <v>2774</v>
      </c>
      <c r="D616" s="6">
        <v>2022</v>
      </c>
      <c r="E616" s="6" t="s">
        <v>12</v>
      </c>
      <c r="F616" s="4">
        <v>4</v>
      </c>
      <c r="G616" s="4">
        <v>15</v>
      </c>
      <c r="H616" s="4">
        <v>101</v>
      </c>
      <c r="I616" s="201"/>
      <c r="J616" s="201"/>
    </row>
    <row r="617" spans="1:10" s="5" customFormat="1" ht="30" hidden="1" customHeight="1" outlineLevel="1" x14ac:dyDescent="0.25">
      <c r="A617" s="4">
        <v>5397</v>
      </c>
      <c r="B617" s="6" t="s">
        <v>15</v>
      </c>
      <c r="C617" s="38" t="s">
        <v>2775</v>
      </c>
      <c r="D617" s="6">
        <v>2022</v>
      </c>
      <c r="E617" s="6" t="s">
        <v>12</v>
      </c>
      <c r="F617" s="4">
        <v>10</v>
      </c>
      <c r="G617" s="4">
        <v>15</v>
      </c>
      <c r="H617" s="4">
        <v>48</v>
      </c>
      <c r="I617" s="201"/>
      <c r="J617" s="201"/>
    </row>
    <row r="618" spans="1:10" s="5" customFormat="1" ht="30" hidden="1" customHeight="1" outlineLevel="1" x14ac:dyDescent="0.25">
      <c r="A618" s="4">
        <v>5398</v>
      </c>
      <c r="B618" s="6" t="s">
        <v>15</v>
      </c>
      <c r="C618" s="38" t="s">
        <v>2776</v>
      </c>
      <c r="D618" s="6">
        <v>2022</v>
      </c>
      <c r="E618" s="6" t="s">
        <v>12</v>
      </c>
      <c r="F618" s="4">
        <v>50</v>
      </c>
      <c r="G618" s="4">
        <v>150</v>
      </c>
      <c r="H618" s="4">
        <v>76</v>
      </c>
      <c r="I618" s="201"/>
      <c r="J618" s="201"/>
    </row>
    <row r="619" spans="1:10" s="5" customFormat="1" ht="30" hidden="1" customHeight="1" outlineLevel="1" x14ac:dyDescent="0.25">
      <c r="A619" s="4">
        <v>5360</v>
      </c>
      <c r="B619" s="6" t="s">
        <v>15</v>
      </c>
      <c r="C619" s="38" t="s">
        <v>2777</v>
      </c>
      <c r="D619" s="6">
        <v>2022</v>
      </c>
      <c r="E619" s="6" t="s">
        <v>12</v>
      </c>
      <c r="F619" s="4">
        <v>65</v>
      </c>
      <c r="G619" s="4">
        <v>15</v>
      </c>
      <c r="H619" s="4">
        <v>130</v>
      </c>
      <c r="I619" s="201"/>
      <c r="J619" s="201"/>
    </row>
    <row r="620" spans="1:10" s="5" customFormat="1" ht="30" hidden="1" customHeight="1" outlineLevel="1" x14ac:dyDescent="0.25">
      <c r="A620" s="4">
        <v>5361</v>
      </c>
      <c r="B620" s="6" t="s">
        <v>15</v>
      </c>
      <c r="C620" s="38" t="s">
        <v>2778</v>
      </c>
      <c r="D620" s="6">
        <v>2022</v>
      </c>
      <c r="E620" s="6" t="s">
        <v>12</v>
      </c>
      <c r="F620" s="4">
        <v>30</v>
      </c>
      <c r="G620" s="4">
        <v>7.5</v>
      </c>
      <c r="H620" s="4">
        <v>121</v>
      </c>
      <c r="I620" s="201"/>
      <c r="J620" s="201"/>
    </row>
    <row r="621" spans="1:10" s="5" customFormat="1" ht="30" hidden="1" customHeight="1" outlineLevel="1" x14ac:dyDescent="0.25">
      <c r="A621" s="4">
        <v>5226</v>
      </c>
      <c r="B621" s="6" t="s">
        <v>15</v>
      </c>
      <c r="C621" s="38" t="s">
        <v>2779</v>
      </c>
      <c r="D621" s="6">
        <v>2022</v>
      </c>
      <c r="E621" s="6" t="s">
        <v>12</v>
      </c>
      <c r="F621" s="4">
        <v>154</v>
      </c>
      <c r="G621" s="4">
        <v>13</v>
      </c>
      <c r="H621" s="4">
        <v>174</v>
      </c>
      <c r="I621" s="201"/>
      <c r="J621" s="201"/>
    </row>
    <row r="622" spans="1:10" s="5" customFormat="1" ht="30" hidden="1" customHeight="1" outlineLevel="1" x14ac:dyDescent="0.25">
      <c r="A622" s="4">
        <v>5227</v>
      </c>
      <c r="B622" s="6" t="s">
        <v>15</v>
      </c>
      <c r="C622" s="38" t="s">
        <v>2780</v>
      </c>
      <c r="D622" s="6">
        <v>2022</v>
      </c>
      <c r="E622" s="6" t="s">
        <v>12</v>
      </c>
      <c r="F622" s="4">
        <v>75</v>
      </c>
      <c r="G622" s="4">
        <v>15</v>
      </c>
      <c r="H622" s="4">
        <v>131</v>
      </c>
      <c r="I622" s="201"/>
      <c r="J622" s="201"/>
    </row>
    <row r="623" spans="1:10" s="5" customFormat="1" ht="30" hidden="1" customHeight="1" outlineLevel="1" x14ac:dyDescent="0.25">
      <c r="A623" s="4">
        <v>5077</v>
      </c>
      <c r="B623" s="6" t="s">
        <v>15</v>
      </c>
      <c r="C623" s="38" t="s">
        <v>2781</v>
      </c>
      <c r="D623" s="6">
        <v>2022</v>
      </c>
      <c r="E623" s="6" t="s">
        <v>12</v>
      </c>
      <c r="F623" s="4">
        <v>10</v>
      </c>
      <c r="G623" s="4">
        <v>15</v>
      </c>
      <c r="H623" s="4">
        <v>106</v>
      </c>
      <c r="I623" s="201"/>
      <c r="J623" s="201"/>
    </row>
    <row r="624" spans="1:10" s="5" customFormat="1" ht="30" hidden="1" customHeight="1" outlineLevel="1" x14ac:dyDescent="0.25">
      <c r="A624" s="4">
        <v>5076</v>
      </c>
      <c r="B624" s="6" t="s">
        <v>15</v>
      </c>
      <c r="C624" s="38" t="s">
        <v>2782</v>
      </c>
      <c r="D624" s="6">
        <v>2022</v>
      </c>
      <c r="E624" s="6" t="s">
        <v>12</v>
      </c>
      <c r="F624" s="4">
        <v>190</v>
      </c>
      <c r="G624" s="4">
        <v>7.5</v>
      </c>
      <c r="H624" s="4">
        <v>175</v>
      </c>
      <c r="I624" s="201"/>
      <c r="J624" s="201"/>
    </row>
    <row r="625" spans="1:10" s="5" customFormat="1" ht="30" hidden="1" customHeight="1" outlineLevel="1" x14ac:dyDescent="0.25">
      <c r="A625" s="4">
        <v>5224</v>
      </c>
      <c r="B625" s="6" t="s">
        <v>15</v>
      </c>
      <c r="C625" s="38" t="s">
        <v>2783</v>
      </c>
      <c r="D625" s="6">
        <v>2022</v>
      </c>
      <c r="E625" s="6" t="s">
        <v>12</v>
      </c>
      <c r="F625" s="4">
        <v>20</v>
      </c>
      <c r="G625" s="4">
        <v>15</v>
      </c>
      <c r="H625" s="4">
        <v>65</v>
      </c>
      <c r="I625" s="201"/>
      <c r="J625" s="201"/>
    </row>
    <row r="626" spans="1:10" s="5" customFormat="1" ht="30" hidden="1" customHeight="1" outlineLevel="1" x14ac:dyDescent="0.25">
      <c r="A626" s="4">
        <v>5225</v>
      </c>
      <c r="B626" s="6" t="s">
        <v>15</v>
      </c>
      <c r="C626" s="38" t="s">
        <v>2784</v>
      </c>
      <c r="D626" s="6">
        <v>2022</v>
      </c>
      <c r="E626" s="6" t="s">
        <v>12</v>
      </c>
      <c r="F626" s="4">
        <v>165</v>
      </c>
      <c r="G626" s="4">
        <v>15</v>
      </c>
      <c r="H626" s="4">
        <v>325</v>
      </c>
      <c r="I626" s="201"/>
      <c r="J626" s="201"/>
    </row>
    <row r="627" spans="1:10" s="5" customFormat="1" ht="30" hidden="1" customHeight="1" outlineLevel="1" x14ac:dyDescent="0.25">
      <c r="A627" s="4">
        <v>5212</v>
      </c>
      <c r="B627" s="6" t="s">
        <v>15</v>
      </c>
      <c r="C627" s="38" t="s">
        <v>2785</v>
      </c>
      <c r="D627" s="6">
        <v>2022</v>
      </c>
      <c r="E627" s="6" t="s">
        <v>12</v>
      </c>
      <c r="F627" s="4">
        <v>90</v>
      </c>
      <c r="G627" s="4">
        <v>15</v>
      </c>
      <c r="H627" s="4">
        <v>139</v>
      </c>
      <c r="I627" s="201"/>
      <c r="J627" s="201"/>
    </row>
    <row r="628" spans="1:10" s="5" customFormat="1" ht="30" hidden="1" customHeight="1" outlineLevel="1" x14ac:dyDescent="0.25">
      <c r="A628" s="4">
        <v>5213</v>
      </c>
      <c r="B628" s="6" t="s">
        <v>15</v>
      </c>
      <c r="C628" s="38" t="s">
        <v>2786</v>
      </c>
      <c r="D628" s="6">
        <v>2022</v>
      </c>
      <c r="E628" s="6" t="s">
        <v>12</v>
      </c>
      <c r="F628" s="4">
        <v>80</v>
      </c>
      <c r="G628" s="4">
        <v>13</v>
      </c>
      <c r="H628" s="4">
        <v>142</v>
      </c>
      <c r="I628" s="201"/>
      <c r="J628" s="201"/>
    </row>
    <row r="629" spans="1:10" s="5" customFormat="1" ht="30" hidden="1" customHeight="1" outlineLevel="1" x14ac:dyDescent="0.25">
      <c r="A629" s="4">
        <v>5213</v>
      </c>
      <c r="B629" s="6" t="s">
        <v>15</v>
      </c>
      <c r="C629" s="38" t="s">
        <v>2786</v>
      </c>
      <c r="D629" s="6">
        <v>2022</v>
      </c>
      <c r="E629" s="6" t="s">
        <v>12</v>
      </c>
      <c r="F629" s="4">
        <v>80</v>
      </c>
      <c r="G629" s="4">
        <v>13</v>
      </c>
      <c r="H629" s="4">
        <v>142</v>
      </c>
      <c r="I629" s="201"/>
      <c r="J629" s="201"/>
    </row>
    <row r="630" spans="1:10" s="5" customFormat="1" ht="30" hidden="1" customHeight="1" outlineLevel="1" x14ac:dyDescent="0.25">
      <c r="A630" s="4">
        <v>5149</v>
      </c>
      <c r="B630" s="6" t="s">
        <v>15</v>
      </c>
      <c r="C630" s="38" t="s">
        <v>2787</v>
      </c>
      <c r="D630" s="6">
        <v>2022</v>
      </c>
      <c r="E630" s="6" t="s">
        <v>12</v>
      </c>
      <c r="F630" s="4">
        <v>53</v>
      </c>
      <c r="G630" s="4">
        <v>13.5</v>
      </c>
      <c r="H630" s="4">
        <v>94</v>
      </c>
      <c r="I630" s="201"/>
      <c r="J630" s="201"/>
    </row>
    <row r="631" spans="1:10" s="5" customFormat="1" ht="30" hidden="1" customHeight="1" outlineLevel="1" x14ac:dyDescent="0.25">
      <c r="A631" s="4">
        <v>5151</v>
      </c>
      <c r="B631" s="6" t="s">
        <v>15</v>
      </c>
      <c r="C631" s="38" t="s">
        <v>2788</v>
      </c>
      <c r="D631" s="6">
        <v>2022</v>
      </c>
      <c r="E631" s="6" t="s">
        <v>12</v>
      </c>
      <c r="F631" s="4">
        <v>270</v>
      </c>
      <c r="G631" s="4">
        <v>150</v>
      </c>
      <c r="H631" s="4">
        <v>475</v>
      </c>
      <c r="I631" s="201"/>
      <c r="J631" s="201"/>
    </row>
    <row r="632" spans="1:10" s="5" customFormat="1" ht="30" hidden="1" customHeight="1" outlineLevel="1" x14ac:dyDescent="0.25">
      <c r="A632" s="4">
        <v>5150</v>
      </c>
      <c r="B632" s="6" t="s">
        <v>15</v>
      </c>
      <c r="C632" s="38" t="s">
        <v>2789</v>
      </c>
      <c r="D632" s="6">
        <v>2022</v>
      </c>
      <c r="E632" s="6" t="s">
        <v>12</v>
      </c>
      <c r="F632" s="4">
        <v>30</v>
      </c>
      <c r="G632" s="4">
        <v>25</v>
      </c>
      <c r="H632" s="4">
        <v>99</v>
      </c>
      <c r="I632" s="201"/>
      <c r="J632" s="201"/>
    </row>
    <row r="633" spans="1:10" s="5" customFormat="1" ht="30" hidden="1" customHeight="1" outlineLevel="1" x14ac:dyDescent="0.25">
      <c r="A633" s="4">
        <v>5152</v>
      </c>
      <c r="B633" s="6" t="s">
        <v>15</v>
      </c>
      <c r="C633" s="38" t="s">
        <v>2790</v>
      </c>
      <c r="D633" s="6">
        <v>2022</v>
      </c>
      <c r="E633" s="6" t="s">
        <v>12</v>
      </c>
      <c r="F633" s="4">
        <v>46</v>
      </c>
      <c r="G633" s="4">
        <v>15</v>
      </c>
      <c r="H633" s="4">
        <v>128</v>
      </c>
      <c r="I633" s="201"/>
      <c r="J633" s="201"/>
    </row>
    <row r="634" spans="1:10" s="5" customFormat="1" ht="30" hidden="1" customHeight="1" outlineLevel="1" x14ac:dyDescent="0.25">
      <c r="A634" s="4">
        <v>5058</v>
      </c>
      <c r="B634" s="6" t="s">
        <v>15</v>
      </c>
      <c r="C634" s="38" t="s">
        <v>2791</v>
      </c>
      <c r="D634" s="6">
        <v>2022</v>
      </c>
      <c r="E634" s="6" t="s">
        <v>12</v>
      </c>
      <c r="F634" s="4">
        <v>25</v>
      </c>
      <c r="G634" s="4">
        <v>8</v>
      </c>
      <c r="H634" s="4">
        <v>128</v>
      </c>
      <c r="I634" s="201"/>
      <c r="J634" s="201"/>
    </row>
    <row r="635" spans="1:10" s="5" customFormat="1" ht="30" hidden="1" customHeight="1" outlineLevel="1" x14ac:dyDescent="0.25">
      <c r="A635" s="4">
        <v>5059</v>
      </c>
      <c r="B635" s="6" t="s">
        <v>15</v>
      </c>
      <c r="C635" s="38" t="s">
        <v>2792</v>
      </c>
      <c r="D635" s="6">
        <v>2022</v>
      </c>
      <c r="E635" s="6" t="s">
        <v>12</v>
      </c>
      <c r="F635" s="4">
        <v>25</v>
      </c>
      <c r="G635" s="4">
        <v>30</v>
      </c>
      <c r="H635" s="4">
        <v>116</v>
      </c>
      <c r="I635" s="201"/>
      <c r="J635" s="201"/>
    </row>
    <row r="636" spans="1:10" s="5" customFormat="1" ht="30" hidden="1" customHeight="1" outlineLevel="1" x14ac:dyDescent="0.25">
      <c r="A636" s="4">
        <v>5337</v>
      </c>
      <c r="B636" s="6" t="s">
        <v>15</v>
      </c>
      <c r="C636" s="38" t="s">
        <v>2793</v>
      </c>
      <c r="D636" s="6">
        <v>2022</v>
      </c>
      <c r="E636" s="6" t="s">
        <v>12</v>
      </c>
      <c r="F636" s="4">
        <v>160</v>
      </c>
      <c r="G636" s="4">
        <v>8</v>
      </c>
      <c r="H636" s="4">
        <v>345</v>
      </c>
      <c r="I636" s="201"/>
      <c r="J636" s="201"/>
    </row>
    <row r="637" spans="1:10" s="5" customFormat="1" ht="30" hidden="1" customHeight="1" outlineLevel="1" x14ac:dyDescent="0.25">
      <c r="A637" s="4">
        <v>5338</v>
      </c>
      <c r="B637" s="6" t="s">
        <v>15</v>
      </c>
      <c r="C637" s="38" t="s">
        <v>2794</v>
      </c>
      <c r="D637" s="6">
        <v>2022</v>
      </c>
      <c r="E637" s="6" t="s">
        <v>12</v>
      </c>
      <c r="F637" s="4">
        <v>135</v>
      </c>
      <c r="G637" s="4">
        <v>2</v>
      </c>
      <c r="H637" s="4">
        <v>211</v>
      </c>
      <c r="I637" s="201"/>
      <c r="J637" s="201"/>
    </row>
    <row r="638" spans="1:10" s="5" customFormat="1" ht="30" hidden="1" customHeight="1" outlineLevel="1" x14ac:dyDescent="0.25">
      <c r="A638" s="4">
        <v>5335</v>
      </c>
      <c r="B638" s="6" t="s">
        <v>15</v>
      </c>
      <c r="C638" s="38" t="s">
        <v>2795</v>
      </c>
      <c r="D638" s="6">
        <v>2022</v>
      </c>
      <c r="E638" s="6" t="s">
        <v>12</v>
      </c>
      <c r="F638" s="4">
        <v>633</v>
      </c>
      <c r="G638" s="4">
        <v>15</v>
      </c>
      <c r="H638" s="4">
        <v>961</v>
      </c>
      <c r="I638" s="201"/>
      <c r="J638" s="201"/>
    </row>
    <row r="639" spans="1:10" s="5" customFormat="1" ht="30" hidden="1" customHeight="1" outlineLevel="1" x14ac:dyDescent="0.25">
      <c r="A639" s="4">
        <v>5144</v>
      </c>
      <c r="B639" s="6" t="s">
        <v>15</v>
      </c>
      <c r="C639" s="38" t="s">
        <v>2796</v>
      </c>
      <c r="D639" s="6">
        <v>2022</v>
      </c>
      <c r="E639" s="6" t="s">
        <v>12</v>
      </c>
      <c r="F639" s="4">
        <v>25</v>
      </c>
      <c r="G639" s="4">
        <v>10</v>
      </c>
      <c r="H639" s="4">
        <v>67</v>
      </c>
      <c r="I639" s="201"/>
      <c r="J639" s="201"/>
    </row>
    <row r="640" spans="1:10" s="5" customFormat="1" ht="30" hidden="1" customHeight="1" outlineLevel="1" x14ac:dyDescent="0.25">
      <c r="A640" s="4">
        <v>5301</v>
      </c>
      <c r="B640" s="6" t="s">
        <v>15</v>
      </c>
      <c r="C640" s="38" t="s">
        <v>2797</v>
      </c>
      <c r="D640" s="6">
        <v>2022</v>
      </c>
      <c r="E640" s="6" t="s">
        <v>12</v>
      </c>
      <c r="F640" s="4">
        <v>5</v>
      </c>
      <c r="G640" s="4">
        <v>15</v>
      </c>
      <c r="H640" s="4">
        <v>113</v>
      </c>
      <c r="I640" s="201"/>
      <c r="J640" s="201"/>
    </row>
    <row r="641" spans="1:10" s="5" customFormat="1" ht="30" hidden="1" customHeight="1" outlineLevel="1" x14ac:dyDescent="0.25">
      <c r="A641" s="4">
        <v>5302</v>
      </c>
      <c r="B641" s="6" t="s">
        <v>15</v>
      </c>
      <c r="C641" s="38" t="s">
        <v>2798</v>
      </c>
      <c r="D641" s="6">
        <v>2022</v>
      </c>
      <c r="E641" s="6" t="s">
        <v>12</v>
      </c>
      <c r="F641" s="4">
        <v>119</v>
      </c>
      <c r="G641" s="4">
        <v>25</v>
      </c>
      <c r="H641" s="4">
        <v>415</v>
      </c>
      <c r="I641" s="201"/>
      <c r="J641" s="201"/>
    </row>
    <row r="642" spans="1:10" s="5" customFormat="1" ht="30" hidden="1" customHeight="1" outlineLevel="1" x14ac:dyDescent="0.25">
      <c r="A642" s="4">
        <v>5256</v>
      </c>
      <c r="B642" s="6" t="s">
        <v>15</v>
      </c>
      <c r="C642" s="38" t="s">
        <v>2799</v>
      </c>
      <c r="D642" s="6">
        <v>2022</v>
      </c>
      <c r="E642" s="6" t="s">
        <v>12</v>
      </c>
      <c r="F642" s="4">
        <v>30</v>
      </c>
      <c r="G642" s="4">
        <v>7</v>
      </c>
      <c r="H642" s="4">
        <v>85</v>
      </c>
      <c r="I642" s="201"/>
      <c r="J642" s="201"/>
    </row>
    <row r="643" spans="1:10" s="5" customFormat="1" ht="30" hidden="1" customHeight="1" outlineLevel="1" x14ac:dyDescent="0.25">
      <c r="A643" s="4">
        <v>5258</v>
      </c>
      <c r="B643" s="6" t="s">
        <v>15</v>
      </c>
      <c r="C643" s="38" t="s">
        <v>2800</v>
      </c>
      <c r="D643" s="6">
        <v>2022</v>
      </c>
      <c r="E643" s="6" t="s">
        <v>12</v>
      </c>
      <c r="F643" s="4">
        <v>30</v>
      </c>
      <c r="G643" s="4">
        <v>15</v>
      </c>
      <c r="H643" s="4">
        <v>62</v>
      </c>
      <c r="I643" s="201"/>
      <c r="J643" s="201"/>
    </row>
    <row r="644" spans="1:10" s="5" customFormat="1" ht="30" hidden="1" customHeight="1" outlineLevel="1" x14ac:dyDescent="0.25">
      <c r="A644" s="4">
        <v>5259</v>
      </c>
      <c r="B644" s="6" t="s">
        <v>15</v>
      </c>
      <c r="C644" s="38" t="s">
        <v>2801</v>
      </c>
      <c r="D644" s="6">
        <v>2022</v>
      </c>
      <c r="E644" s="6" t="s">
        <v>12</v>
      </c>
      <c r="F644" s="4">
        <v>100</v>
      </c>
      <c r="G644" s="4">
        <v>15</v>
      </c>
      <c r="H644" s="4">
        <v>145</v>
      </c>
      <c r="I644" s="201"/>
      <c r="J644" s="201"/>
    </row>
    <row r="645" spans="1:10" s="5" customFormat="1" ht="30" hidden="1" customHeight="1" outlineLevel="1" x14ac:dyDescent="0.25">
      <c r="A645" s="4">
        <v>5260</v>
      </c>
      <c r="B645" s="6" t="s">
        <v>15</v>
      </c>
      <c r="C645" s="38" t="s">
        <v>2802</v>
      </c>
      <c r="D645" s="6">
        <v>2022</v>
      </c>
      <c r="E645" s="6" t="s">
        <v>12</v>
      </c>
      <c r="F645" s="4">
        <v>80</v>
      </c>
      <c r="G645" s="4">
        <v>15</v>
      </c>
      <c r="H645" s="4">
        <v>143</v>
      </c>
      <c r="I645" s="201"/>
      <c r="J645" s="201"/>
    </row>
    <row r="646" spans="1:10" s="5" customFormat="1" ht="30" hidden="1" customHeight="1" outlineLevel="1" x14ac:dyDescent="0.25">
      <c r="A646" s="4">
        <v>5098</v>
      </c>
      <c r="B646" s="6" t="s">
        <v>15</v>
      </c>
      <c r="C646" s="38" t="s">
        <v>2803</v>
      </c>
      <c r="D646" s="6">
        <v>2022</v>
      </c>
      <c r="E646" s="6" t="s">
        <v>12</v>
      </c>
      <c r="F646" s="4">
        <v>135</v>
      </c>
      <c r="G646" s="4">
        <v>150</v>
      </c>
      <c r="H646" s="4">
        <v>108</v>
      </c>
      <c r="I646" s="201"/>
      <c r="J646" s="201"/>
    </row>
    <row r="647" spans="1:10" s="5" customFormat="1" ht="30" hidden="1" customHeight="1" outlineLevel="1" x14ac:dyDescent="0.25">
      <c r="A647" s="4">
        <v>5099</v>
      </c>
      <c r="B647" s="6" t="s">
        <v>15</v>
      </c>
      <c r="C647" s="38" t="s">
        <v>2804</v>
      </c>
      <c r="D647" s="6">
        <v>2022</v>
      </c>
      <c r="E647" s="6" t="s">
        <v>12</v>
      </c>
      <c r="F647" s="4">
        <v>7</v>
      </c>
      <c r="G647" s="4">
        <v>15</v>
      </c>
      <c r="H647" s="4">
        <v>173</v>
      </c>
      <c r="I647" s="201"/>
      <c r="J647" s="201"/>
    </row>
    <row r="648" spans="1:10" s="5" customFormat="1" ht="30" hidden="1" customHeight="1" outlineLevel="1" x14ac:dyDescent="0.25">
      <c r="A648" s="4">
        <v>5100</v>
      </c>
      <c r="B648" s="6" t="s">
        <v>15</v>
      </c>
      <c r="C648" s="38" t="s">
        <v>2805</v>
      </c>
      <c r="D648" s="6">
        <v>2022</v>
      </c>
      <c r="E648" s="6" t="s">
        <v>12</v>
      </c>
      <c r="F648" s="4">
        <v>5</v>
      </c>
      <c r="G648" s="4">
        <v>10</v>
      </c>
      <c r="H648" s="4">
        <v>178</v>
      </c>
      <c r="I648" s="201"/>
      <c r="J648" s="201"/>
    </row>
    <row r="649" spans="1:10" s="5" customFormat="1" ht="30" hidden="1" customHeight="1" outlineLevel="1" x14ac:dyDescent="0.25">
      <c r="A649" s="4">
        <v>5101</v>
      </c>
      <c r="B649" s="6" t="s">
        <v>15</v>
      </c>
      <c r="C649" s="38" t="s">
        <v>2806</v>
      </c>
      <c r="D649" s="6">
        <v>2022</v>
      </c>
      <c r="E649" s="6" t="s">
        <v>12</v>
      </c>
      <c r="F649" s="4">
        <v>334</v>
      </c>
      <c r="G649" s="4">
        <v>13</v>
      </c>
      <c r="H649" s="4">
        <v>764</v>
      </c>
      <c r="I649" s="201"/>
      <c r="J649" s="201"/>
    </row>
    <row r="650" spans="1:10" s="5" customFormat="1" ht="30" hidden="1" customHeight="1" outlineLevel="1" x14ac:dyDescent="0.25">
      <c r="A650" s="4">
        <v>5102</v>
      </c>
      <c r="B650" s="6" t="s">
        <v>15</v>
      </c>
      <c r="C650" s="38" t="s">
        <v>2807</v>
      </c>
      <c r="D650" s="6">
        <v>2022</v>
      </c>
      <c r="E650" s="6" t="s">
        <v>12</v>
      </c>
      <c r="F650" s="4">
        <v>40</v>
      </c>
      <c r="G650" s="4">
        <v>15</v>
      </c>
      <c r="H650" s="4">
        <v>168</v>
      </c>
      <c r="I650" s="201"/>
      <c r="J650" s="201"/>
    </row>
    <row r="651" spans="1:10" s="5" customFormat="1" ht="30" hidden="1" customHeight="1" outlineLevel="1" x14ac:dyDescent="0.25">
      <c r="A651" s="4">
        <v>5103</v>
      </c>
      <c r="B651" s="6" t="s">
        <v>15</v>
      </c>
      <c r="C651" s="38" t="s">
        <v>2808</v>
      </c>
      <c r="D651" s="6">
        <v>2022</v>
      </c>
      <c r="E651" s="6" t="s">
        <v>12</v>
      </c>
      <c r="F651" s="4">
        <v>240</v>
      </c>
      <c r="G651" s="4">
        <v>15</v>
      </c>
      <c r="H651" s="4">
        <v>78</v>
      </c>
      <c r="I651" s="201"/>
      <c r="J651" s="201"/>
    </row>
    <row r="652" spans="1:10" s="5" customFormat="1" ht="30" hidden="1" customHeight="1" outlineLevel="1" x14ac:dyDescent="0.25">
      <c r="A652" s="4">
        <v>5104</v>
      </c>
      <c r="B652" s="6" t="s">
        <v>15</v>
      </c>
      <c r="C652" s="38" t="s">
        <v>2809</v>
      </c>
      <c r="D652" s="6">
        <v>2022</v>
      </c>
      <c r="E652" s="6" t="s">
        <v>12</v>
      </c>
      <c r="F652" s="4">
        <v>40</v>
      </c>
      <c r="G652" s="4">
        <v>15</v>
      </c>
      <c r="H652" s="4">
        <v>63</v>
      </c>
      <c r="I652" s="201"/>
      <c r="J652" s="201"/>
    </row>
    <row r="653" spans="1:10" s="5" customFormat="1" ht="30" hidden="1" customHeight="1" outlineLevel="1" x14ac:dyDescent="0.25">
      <c r="A653" s="4">
        <v>5257</v>
      </c>
      <c r="B653" s="6" t="s">
        <v>15</v>
      </c>
      <c r="C653" s="38" t="s">
        <v>2810</v>
      </c>
      <c r="D653" s="6">
        <v>2022</v>
      </c>
      <c r="E653" s="6" t="s">
        <v>12</v>
      </c>
      <c r="F653" s="4">
        <v>110</v>
      </c>
      <c r="G653" s="4">
        <v>7.5</v>
      </c>
      <c r="H653" s="4">
        <v>193</v>
      </c>
      <c r="I653" s="201"/>
      <c r="J653" s="201"/>
    </row>
    <row r="654" spans="1:10" s="5" customFormat="1" ht="30" hidden="1" customHeight="1" outlineLevel="1" x14ac:dyDescent="0.25">
      <c r="A654" s="4">
        <v>3978</v>
      </c>
      <c r="B654" s="6" t="s">
        <v>15</v>
      </c>
      <c r="C654" s="38" t="s">
        <v>8035</v>
      </c>
      <c r="D654" s="6">
        <v>2023</v>
      </c>
      <c r="E654" s="6" t="s">
        <v>12</v>
      </c>
      <c r="F654" s="6">
        <v>180</v>
      </c>
      <c r="G654" s="40">
        <v>15</v>
      </c>
      <c r="H654" s="40">
        <v>227.197</v>
      </c>
      <c r="I654" s="212"/>
      <c r="J654" s="212"/>
    </row>
    <row r="655" spans="1:10" s="5" customFormat="1" ht="30" hidden="1" customHeight="1" outlineLevel="1" x14ac:dyDescent="0.25">
      <c r="A655" s="4">
        <v>6165</v>
      </c>
      <c r="B655" s="6" t="s">
        <v>15</v>
      </c>
      <c r="C655" s="38" t="s">
        <v>8036</v>
      </c>
      <c r="D655" s="6">
        <v>2023</v>
      </c>
      <c r="E655" s="6" t="s">
        <v>12</v>
      </c>
      <c r="F655" s="6">
        <v>150</v>
      </c>
      <c r="G655" s="40">
        <v>15</v>
      </c>
      <c r="H655" s="40">
        <v>208.81200000000001</v>
      </c>
      <c r="I655" s="212"/>
      <c r="J655" s="212"/>
    </row>
    <row r="656" spans="1:10" s="5" customFormat="1" ht="30" hidden="1" customHeight="1" outlineLevel="1" x14ac:dyDescent="0.25">
      <c r="A656" s="4">
        <v>3967</v>
      </c>
      <c r="B656" s="6" t="s">
        <v>15</v>
      </c>
      <c r="C656" s="38" t="s">
        <v>8037</v>
      </c>
      <c r="D656" s="6">
        <v>2023</v>
      </c>
      <c r="E656" s="6" t="s">
        <v>12</v>
      </c>
      <c r="F656" s="6">
        <v>30</v>
      </c>
      <c r="G656" s="40">
        <v>10</v>
      </c>
      <c r="H656" s="40">
        <v>95.4</v>
      </c>
      <c r="I656" s="212"/>
      <c r="J656" s="212"/>
    </row>
    <row r="657" spans="1:10" s="5" customFormat="1" ht="30" hidden="1" customHeight="1" outlineLevel="1" x14ac:dyDescent="0.25">
      <c r="A657" s="4">
        <v>3930</v>
      </c>
      <c r="B657" s="6" t="s">
        <v>15</v>
      </c>
      <c r="C657" s="38" t="s">
        <v>8038</v>
      </c>
      <c r="D657" s="6">
        <v>2023</v>
      </c>
      <c r="E657" s="6" t="s">
        <v>12</v>
      </c>
      <c r="F657" s="6">
        <v>36</v>
      </c>
      <c r="G657" s="40">
        <v>5</v>
      </c>
      <c r="H657" s="40">
        <v>91.828999999999994</v>
      </c>
      <c r="I657" s="212"/>
      <c r="J657" s="212"/>
    </row>
    <row r="658" spans="1:10" s="5" customFormat="1" ht="30" hidden="1" customHeight="1" outlineLevel="1" x14ac:dyDescent="0.25">
      <c r="A658" s="4">
        <v>6168</v>
      </c>
      <c r="B658" s="6" t="s">
        <v>15</v>
      </c>
      <c r="C658" s="38" t="s">
        <v>8039</v>
      </c>
      <c r="D658" s="6">
        <v>2023</v>
      </c>
      <c r="E658" s="6" t="s">
        <v>12</v>
      </c>
      <c r="F658" s="6">
        <v>35</v>
      </c>
      <c r="G658" s="40">
        <v>6</v>
      </c>
      <c r="H658" s="40">
        <v>72.838999999999999</v>
      </c>
      <c r="I658" s="212"/>
      <c r="J658" s="212"/>
    </row>
    <row r="659" spans="1:10" s="5" customFormat="1" ht="30" hidden="1" customHeight="1" outlineLevel="1" x14ac:dyDescent="0.25">
      <c r="A659" s="4">
        <v>3921</v>
      </c>
      <c r="B659" s="6" t="s">
        <v>15</v>
      </c>
      <c r="C659" s="38" t="s">
        <v>8040</v>
      </c>
      <c r="D659" s="6">
        <v>2023</v>
      </c>
      <c r="E659" s="6" t="s">
        <v>12</v>
      </c>
      <c r="F659" s="6">
        <v>65</v>
      </c>
      <c r="G659" s="40">
        <v>15</v>
      </c>
      <c r="H659" s="40">
        <v>113.47699999999999</v>
      </c>
      <c r="I659" s="212"/>
      <c r="J659" s="212"/>
    </row>
    <row r="660" spans="1:10" s="5" customFormat="1" ht="30" hidden="1" customHeight="1" outlineLevel="1" x14ac:dyDescent="0.25">
      <c r="A660" s="4">
        <v>6169</v>
      </c>
      <c r="B660" s="6" t="s">
        <v>15</v>
      </c>
      <c r="C660" s="38" t="s">
        <v>8041</v>
      </c>
      <c r="D660" s="6">
        <v>2023</v>
      </c>
      <c r="E660" s="6" t="s">
        <v>12</v>
      </c>
      <c r="F660" s="6">
        <v>30</v>
      </c>
      <c r="G660" s="40">
        <v>15</v>
      </c>
      <c r="H660" s="40">
        <v>43.872</v>
      </c>
      <c r="I660" s="212"/>
      <c r="J660" s="212"/>
    </row>
    <row r="661" spans="1:10" s="5" customFormat="1" ht="30" hidden="1" customHeight="1" outlineLevel="1" x14ac:dyDescent="0.25">
      <c r="A661" s="4">
        <v>3906</v>
      </c>
      <c r="B661" s="6" t="s">
        <v>15</v>
      </c>
      <c r="C661" s="38" t="s">
        <v>8042</v>
      </c>
      <c r="D661" s="6">
        <v>2023</v>
      </c>
      <c r="E661" s="6" t="s">
        <v>12</v>
      </c>
      <c r="F661" s="6">
        <v>55</v>
      </c>
      <c r="G661" s="40">
        <v>15</v>
      </c>
      <c r="H661" s="40">
        <v>90.981000000000009</v>
      </c>
      <c r="I661" s="212"/>
      <c r="J661" s="212"/>
    </row>
    <row r="662" spans="1:10" s="5" customFormat="1" ht="30" hidden="1" customHeight="1" outlineLevel="1" x14ac:dyDescent="0.25">
      <c r="A662" s="4">
        <v>6197</v>
      </c>
      <c r="B662" s="6" t="s">
        <v>15</v>
      </c>
      <c r="C662" s="38" t="s">
        <v>8043</v>
      </c>
      <c r="D662" s="6">
        <v>2023</v>
      </c>
      <c r="E662" s="6" t="s">
        <v>12</v>
      </c>
      <c r="F662" s="6">
        <v>80</v>
      </c>
      <c r="G662" s="40">
        <v>40</v>
      </c>
      <c r="H662" s="40">
        <v>165.61799999999999</v>
      </c>
      <c r="I662" s="212"/>
      <c r="J662" s="212"/>
    </row>
    <row r="663" spans="1:10" s="5" customFormat="1" ht="30" hidden="1" customHeight="1" outlineLevel="1" x14ac:dyDescent="0.25">
      <c r="A663" s="4">
        <v>6166</v>
      </c>
      <c r="B663" s="6" t="s">
        <v>15</v>
      </c>
      <c r="C663" s="38" t="s">
        <v>8044</v>
      </c>
      <c r="D663" s="6">
        <v>2023</v>
      </c>
      <c r="E663" s="6" t="s">
        <v>12</v>
      </c>
      <c r="F663" s="6">
        <v>150</v>
      </c>
      <c r="G663" s="40">
        <v>15</v>
      </c>
      <c r="H663" s="40">
        <v>222.54</v>
      </c>
      <c r="I663" s="212"/>
      <c r="J663" s="212"/>
    </row>
    <row r="664" spans="1:10" s="5" customFormat="1" ht="30" hidden="1" customHeight="1" outlineLevel="1" x14ac:dyDescent="0.25">
      <c r="A664" s="4">
        <v>6167</v>
      </c>
      <c r="B664" s="6" t="s">
        <v>15</v>
      </c>
      <c r="C664" s="38" t="s">
        <v>8045</v>
      </c>
      <c r="D664" s="6">
        <v>2023</v>
      </c>
      <c r="E664" s="6" t="s">
        <v>12</v>
      </c>
      <c r="F664" s="6">
        <v>110</v>
      </c>
      <c r="G664" s="40">
        <v>14</v>
      </c>
      <c r="H664" s="40">
        <v>160.78200000000001</v>
      </c>
      <c r="I664" s="212"/>
      <c r="J664" s="212"/>
    </row>
    <row r="665" spans="1:10" s="5" customFormat="1" ht="30" hidden="1" customHeight="1" outlineLevel="1" x14ac:dyDescent="0.25">
      <c r="A665" s="4">
        <v>1046</v>
      </c>
      <c r="B665" s="6" t="s">
        <v>15</v>
      </c>
      <c r="C665" s="38" t="s">
        <v>8046</v>
      </c>
      <c r="D665" s="6">
        <v>2023</v>
      </c>
      <c r="E665" s="6" t="s">
        <v>12</v>
      </c>
      <c r="F665" s="6">
        <v>30</v>
      </c>
      <c r="G665" s="40">
        <v>15</v>
      </c>
      <c r="H665" s="40">
        <v>47.991</v>
      </c>
      <c r="I665" s="212"/>
      <c r="J665" s="212"/>
    </row>
    <row r="666" spans="1:10" s="5" customFormat="1" ht="30" hidden="1" customHeight="1" outlineLevel="1" x14ac:dyDescent="0.25">
      <c r="A666" s="4">
        <v>1069</v>
      </c>
      <c r="B666" s="6" t="s">
        <v>15</v>
      </c>
      <c r="C666" s="38" t="s">
        <v>8047</v>
      </c>
      <c r="D666" s="6">
        <v>2023</v>
      </c>
      <c r="E666" s="6" t="s">
        <v>12</v>
      </c>
      <c r="F666" s="6">
        <v>20</v>
      </c>
      <c r="G666" s="40">
        <v>15</v>
      </c>
      <c r="H666" s="40">
        <v>40.967000000000006</v>
      </c>
      <c r="I666" s="212"/>
      <c r="J666" s="212"/>
    </row>
    <row r="667" spans="1:10" s="5" customFormat="1" ht="30" hidden="1" customHeight="1" outlineLevel="1" x14ac:dyDescent="0.25">
      <c r="A667" s="4">
        <v>618</v>
      </c>
      <c r="B667" s="6" t="s">
        <v>15</v>
      </c>
      <c r="C667" s="38" t="s">
        <v>8048</v>
      </c>
      <c r="D667" s="6">
        <v>2023</v>
      </c>
      <c r="E667" s="6" t="s">
        <v>12</v>
      </c>
      <c r="F667" s="6">
        <v>309</v>
      </c>
      <c r="G667" s="40">
        <v>15</v>
      </c>
      <c r="H667" s="40">
        <v>787.72</v>
      </c>
      <c r="I667" s="212"/>
      <c r="J667" s="212"/>
    </row>
    <row r="668" spans="1:10" s="5" customFormat="1" ht="30" hidden="1" customHeight="1" outlineLevel="1" x14ac:dyDescent="0.25">
      <c r="A668" s="4">
        <v>2991</v>
      </c>
      <c r="B668" s="6" t="s">
        <v>15</v>
      </c>
      <c r="C668" s="38" t="s">
        <v>8049</v>
      </c>
      <c r="D668" s="6">
        <v>2023</v>
      </c>
      <c r="E668" s="6" t="s">
        <v>12</v>
      </c>
      <c r="F668" s="6">
        <v>80</v>
      </c>
      <c r="G668" s="40">
        <v>155</v>
      </c>
      <c r="H668" s="40">
        <v>434.834</v>
      </c>
      <c r="I668" s="212"/>
      <c r="J668" s="212"/>
    </row>
    <row r="669" spans="1:10" s="5" customFormat="1" ht="30" hidden="1" customHeight="1" outlineLevel="1" x14ac:dyDescent="0.25">
      <c r="A669" s="4">
        <v>6170</v>
      </c>
      <c r="B669" s="6" t="s">
        <v>15</v>
      </c>
      <c r="C669" s="38" t="s">
        <v>8050</v>
      </c>
      <c r="D669" s="6">
        <v>2023</v>
      </c>
      <c r="E669" s="6" t="s">
        <v>12</v>
      </c>
      <c r="F669" s="6">
        <v>20</v>
      </c>
      <c r="G669" s="40">
        <v>150</v>
      </c>
      <c r="H669" s="40">
        <v>38.608999999999995</v>
      </c>
      <c r="I669" s="212"/>
      <c r="J669" s="212"/>
    </row>
    <row r="670" spans="1:10" s="5" customFormat="1" ht="30" hidden="1" customHeight="1" outlineLevel="1" x14ac:dyDescent="0.25">
      <c r="A670" s="4">
        <v>560</v>
      </c>
      <c r="B670" s="6" t="s">
        <v>15</v>
      </c>
      <c r="C670" s="38" t="s">
        <v>8051</v>
      </c>
      <c r="D670" s="6">
        <v>2023</v>
      </c>
      <c r="E670" s="6" t="s">
        <v>12</v>
      </c>
      <c r="F670" s="6">
        <v>30</v>
      </c>
      <c r="G670" s="40">
        <v>15</v>
      </c>
      <c r="H670" s="40">
        <v>104.557</v>
      </c>
      <c r="I670" s="212"/>
      <c r="J670" s="212"/>
    </row>
    <row r="671" spans="1:10" s="5" customFormat="1" ht="30" hidden="1" customHeight="1" outlineLevel="1" x14ac:dyDescent="0.25">
      <c r="A671" s="4">
        <v>559</v>
      </c>
      <c r="B671" s="6" t="s">
        <v>15</v>
      </c>
      <c r="C671" s="38" t="s">
        <v>8052</v>
      </c>
      <c r="D671" s="6">
        <v>2023</v>
      </c>
      <c r="E671" s="6" t="s">
        <v>12</v>
      </c>
      <c r="F671" s="6">
        <v>30</v>
      </c>
      <c r="G671" s="40">
        <v>15</v>
      </c>
      <c r="H671" s="40">
        <v>78.363</v>
      </c>
      <c r="I671" s="212"/>
      <c r="J671" s="212"/>
    </row>
    <row r="672" spans="1:10" s="5" customFormat="1" ht="30" hidden="1" customHeight="1" outlineLevel="1" x14ac:dyDescent="0.25">
      <c r="A672" s="4">
        <v>642</v>
      </c>
      <c r="B672" s="6" t="s">
        <v>15</v>
      </c>
      <c r="C672" s="38" t="s">
        <v>8053</v>
      </c>
      <c r="D672" s="6">
        <v>2023</v>
      </c>
      <c r="E672" s="6" t="s">
        <v>12</v>
      </c>
      <c r="F672" s="6">
        <v>50</v>
      </c>
      <c r="G672" s="40">
        <v>30</v>
      </c>
      <c r="H672" s="40">
        <v>101.78</v>
      </c>
      <c r="I672" s="212"/>
      <c r="J672" s="212"/>
    </row>
    <row r="673" spans="1:10" s="5" customFormat="1" ht="30" hidden="1" customHeight="1" outlineLevel="1" x14ac:dyDescent="0.25">
      <c r="A673" s="4">
        <v>817</v>
      </c>
      <c r="B673" s="6" t="s">
        <v>15</v>
      </c>
      <c r="C673" s="38" t="s">
        <v>8054</v>
      </c>
      <c r="D673" s="6">
        <v>2023</v>
      </c>
      <c r="E673" s="6" t="s">
        <v>12</v>
      </c>
      <c r="F673" s="6">
        <v>40</v>
      </c>
      <c r="G673" s="40">
        <v>15</v>
      </c>
      <c r="H673" s="40">
        <v>91.966999999999999</v>
      </c>
      <c r="I673" s="212"/>
      <c r="J673" s="212"/>
    </row>
    <row r="674" spans="1:10" s="5" customFormat="1" ht="30" hidden="1" customHeight="1" outlineLevel="1" x14ac:dyDescent="0.25">
      <c r="A674" s="4">
        <v>818</v>
      </c>
      <c r="B674" s="6" t="s">
        <v>15</v>
      </c>
      <c r="C674" s="38" t="s">
        <v>8055</v>
      </c>
      <c r="D674" s="6">
        <v>2023</v>
      </c>
      <c r="E674" s="6" t="s">
        <v>12</v>
      </c>
      <c r="F674" s="6">
        <v>60</v>
      </c>
      <c r="G674" s="40">
        <v>15</v>
      </c>
      <c r="H674" s="40">
        <v>101.158</v>
      </c>
      <c r="I674" s="212"/>
      <c r="J674" s="212"/>
    </row>
    <row r="675" spans="1:10" s="5" customFormat="1" ht="30" hidden="1" customHeight="1" outlineLevel="1" x14ac:dyDescent="0.25">
      <c r="A675" s="4">
        <v>813</v>
      </c>
      <c r="B675" s="6" t="s">
        <v>15</v>
      </c>
      <c r="C675" s="38" t="s">
        <v>8056</v>
      </c>
      <c r="D675" s="6">
        <v>2023</v>
      </c>
      <c r="E675" s="6" t="s">
        <v>12</v>
      </c>
      <c r="F675" s="6">
        <v>40</v>
      </c>
      <c r="G675" s="40">
        <v>15</v>
      </c>
      <c r="H675" s="40">
        <v>111.82300000000001</v>
      </c>
      <c r="I675" s="212"/>
      <c r="J675" s="212"/>
    </row>
    <row r="676" spans="1:10" s="5" customFormat="1" ht="30" hidden="1" customHeight="1" outlineLevel="1" x14ac:dyDescent="0.25">
      <c r="A676" s="4">
        <v>845</v>
      </c>
      <c r="B676" s="6" t="s">
        <v>15</v>
      </c>
      <c r="C676" s="38" t="s">
        <v>8057</v>
      </c>
      <c r="D676" s="6">
        <v>2023</v>
      </c>
      <c r="E676" s="6" t="s">
        <v>12</v>
      </c>
      <c r="F676" s="6">
        <v>60</v>
      </c>
      <c r="G676" s="40">
        <v>15</v>
      </c>
      <c r="H676" s="40">
        <v>132.58670000000001</v>
      </c>
      <c r="I676" s="212"/>
      <c r="J676" s="212"/>
    </row>
    <row r="677" spans="1:10" s="5" customFormat="1" ht="30" hidden="1" customHeight="1" outlineLevel="1" x14ac:dyDescent="0.25">
      <c r="A677" s="4">
        <v>514</v>
      </c>
      <c r="B677" s="6" t="s">
        <v>15</v>
      </c>
      <c r="C677" s="38" t="s">
        <v>8058</v>
      </c>
      <c r="D677" s="6">
        <v>2023</v>
      </c>
      <c r="E677" s="6" t="s">
        <v>12</v>
      </c>
      <c r="F677" s="6">
        <v>206</v>
      </c>
      <c r="G677" s="40">
        <v>15</v>
      </c>
      <c r="H677" s="40">
        <v>406.423</v>
      </c>
      <c r="I677" s="212"/>
      <c r="J677" s="212"/>
    </row>
    <row r="678" spans="1:10" s="5" customFormat="1" ht="30" hidden="1" customHeight="1" outlineLevel="1" x14ac:dyDescent="0.25">
      <c r="A678" s="4">
        <v>6241</v>
      </c>
      <c r="B678" s="6" t="s">
        <v>15</v>
      </c>
      <c r="C678" s="38" t="s">
        <v>8059</v>
      </c>
      <c r="D678" s="6">
        <v>2023</v>
      </c>
      <c r="E678" s="6" t="s">
        <v>12</v>
      </c>
      <c r="F678" s="6">
        <v>240</v>
      </c>
      <c r="G678" s="40">
        <v>15</v>
      </c>
      <c r="H678" s="40">
        <v>305.20000000000005</v>
      </c>
      <c r="I678" s="212"/>
      <c r="J678" s="212"/>
    </row>
    <row r="679" spans="1:10" s="5" customFormat="1" ht="30" hidden="1" customHeight="1" outlineLevel="1" x14ac:dyDescent="0.25">
      <c r="A679" s="4">
        <v>509</v>
      </c>
      <c r="B679" s="6" t="s">
        <v>15</v>
      </c>
      <c r="C679" s="38" t="s">
        <v>8060</v>
      </c>
      <c r="D679" s="6">
        <v>2023</v>
      </c>
      <c r="E679" s="6" t="s">
        <v>12</v>
      </c>
      <c r="F679" s="6">
        <v>224</v>
      </c>
      <c r="G679" s="40">
        <v>15</v>
      </c>
      <c r="H679" s="40">
        <v>501.32</v>
      </c>
      <c r="I679" s="212"/>
      <c r="J679" s="212"/>
    </row>
    <row r="680" spans="1:10" s="5" customFormat="1" ht="30" hidden="1" customHeight="1" outlineLevel="1" x14ac:dyDescent="0.25">
      <c r="A680" s="4">
        <v>3011</v>
      </c>
      <c r="B680" s="6" t="s">
        <v>15</v>
      </c>
      <c r="C680" s="38" t="s">
        <v>8061</v>
      </c>
      <c r="D680" s="6">
        <v>2023</v>
      </c>
      <c r="E680" s="6" t="s">
        <v>12</v>
      </c>
      <c r="F680" s="6">
        <v>37</v>
      </c>
      <c r="G680" s="40">
        <v>150</v>
      </c>
      <c r="H680" s="40">
        <v>89.376999999999995</v>
      </c>
      <c r="I680" s="212"/>
      <c r="J680" s="212"/>
    </row>
    <row r="681" spans="1:10" s="5" customFormat="1" ht="30" hidden="1" customHeight="1" outlineLevel="1" x14ac:dyDescent="0.25">
      <c r="A681" s="4">
        <v>6196</v>
      </c>
      <c r="B681" s="6" t="s">
        <v>15</v>
      </c>
      <c r="C681" s="38" t="s">
        <v>8062</v>
      </c>
      <c r="D681" s="6">
        <v>2023</v>
      </c>
      <c r="E681" s="6" t="s">
        <v>12</v>
      </c>
      <c r="F681" s="6">
        <v>75</v>
      </c>
      <c r="G681" s="40">
        <v>15</v>
      </c>
      <c r="H681" s="40">
        <v>188.23644999999999</v>
      </c>
      <c r="I681" s="212"/>
      <c r="J681" s="212"/>
    </row>
    <row r="682" spans="1:10" s="5" customFormat="1" ht="30" hidden="1" customHeight="1" outlineLevel="1" x14ac:dyDescent="0.25">
      <c r="A682" s="4">
        <v>629</v>
      </c>
      <c r="B682" s="6" t="s">
        <v>15</v>
      </c>
      <c r="C682" s="38" t="s">
        <v>8063</v>
      </c>
      <c r="D682" s="6">
        <v>2023</v>
      </c>
      <c r="E682" s="6" t="s">
        <v>12</v>
      </c>
      <c r="F682" s="6">
        <v>100</v>
      </c>
      <c r="G682" s="40">
        <v>15</v>
      </c>
      <c r="H682" s="40">
        <v>163.48499999999999</v>
      </c>
      <c r="I682" s="212"/>
      <c r="J682" s="212"/>
    </row>
    <row r="683" spans="1:10" s="5" customFormat="1" ht="30" hidden="1" customHeight="1" outlineLevel="1" x14ac:dyDescent="0.25">
      <c r="A683" s="4">
        <v>636</v>
      </c>
      <c r="B683" s="6" t="s">
        <v>15</v>
      </c>
      <c r="C683" s="38" t="s">
        <v>8064</v>
      </c>
      <c r="D683" s="6">
        <v>2023</v>
      </c>
      <c r="E683" s="6" t="s">
        <v>12</v>
      </c>
      <c r="F683" s="6">
        <v>60</v>
      </c>
      <c r="G683" s="40">
        <v>15</v>
      </c>
      <c r="H683" s="40">
        <v>110.79700000000001</v>
      </c>
      <c r="I683" s="212"/>
      <c r="J683" s="212"/>
    </row>
    <row r="684" spans="1:10" s="5" customFormat="1" ht="30" hidden="1" customHeight="1" outlineLevel="1" x14ac:dyDescent="0.25">
      <c r="A684" s="4">
        <v>667</v>
      </c>
      <c r="B684" s="6" t="s">
        <v>15</v>
      </c>
      <c r="C684" s="38" t="s">
        <v>8065</v>
      </c>
      <c r="D684" s="6">
        <v>2023</v>
      </c>
      <c r="E684" s="6" t="s">
        <v>12</v>
      </c>
      <c r="F684" s="6">
        <v>190</v>
      </c>
      <c r="G684" s="40">
        <v>60</v>
      </c>
      <c r="H684" s="40">
        <v>382.14599999999996</v>
      </c>
      <c r="I684" s="212"/>
      <c r="J684" s="212"/>
    </row>
    <row r="685" spans="1:10" s="5" customFormat="1" ht="30" hidden="1" customHeight="1" outlineLevel="1" x14ac:dyDescent="0.25">
      <c r="A685" s="4">
        <v>679</v>
      </c>
      <c r="B685" s="6" t="s">
        <v>15</v>
      </c>
      <c r="C685" s="38" t="s">
        <v>8066</v>
      </c>
      <c r="D685" s="6">
        <v>2023</v>
      </c>
      <c r="E685" s="6" t="s">
        <v>12</v>
      </c>
      <c r="F685" s="6">
        <v>112</v>
      </c>
      <c r="G685" s="40">
        <v>15</v>
      </c>
      <c r="H685" s="40">
        <v>204.733</v>
      </c>
      <c r="I685" s="212"/>
      <c r="J685" s="212"/>
    </row>
    <row r="686" spans="1:10" s="5" customFormat="1" ht="30" hidden="1" customHeight="1" outlineLevel="1" x14ac:dyDescent="0.25">
      <c r="A686" s="4">
        <v>3659</v>
      </c>
      <c r="B686" s="6" t="s">
        <v>15</v>
      </c>
      <c r="C686" s="38" t="s">
        <v>8067</v>
      </c>
      <c r="D686" s="6">
        <v>2023</v>
      </c>
      <c r="E686" s="6" t="s">
        <v>12</v>
      </c>
      <c r="F686" s="6">
        <v>45</v>
      </c>
      <c r="G686" s="40">
        <v>15</v>
      </c>
      <c r="H686" s="40">
        <v>97.804000000000002</v>
      </c>
      <c r="I686" s="212"/>
      <c r="J686" s="212"/>
    </row>
    <row r="687" spans="1:10" s="5" customFormat="1" ht="30" hidden="1" customHeight="1" outlineLevel="1" x14ac:dyDescent="0.25">
      <c r="A687" s="4">
        <v>3075</v>
      </c>
      <c r="B687" s="6" t="s">
        <v>15</v>
      </c>
      <c r="C687" s="38" t="s">
        <v>8068</v>
      </c>
      <c r="D687" s="6">
        <v>2023</v>
      </c>
      <c r="E687" s="6" t="s">
        <v>12</v>
      </c>
      <c r="F687" s="6">
        <v>20</v>
      </c>
      <c r="G687" s="40">
        <v>100</v>
      </c>
      <c r="H687" s="40">
        <v>106.497</v>
      </c>
      <c r="I687" s="212"/>
      <c r="J687" s="212"/>
    </row>
    <row r="688" spans="1:10" s="5" customFormat="1" ht="30" hidden="1" customHeight="1" outlineLevel="1" x14ac:dyDescent="0.25">
      <c r="A688" s="4">
        <v>839</v>
      </c>
      <c r="B688" s="6" t="s">
        <v>15</v>
      </c>
      <c r="C688" s="38" t="s">
        <v>8069</v>
      </c>
      <c r="D688" s="6">
        <v>2023</v>
      </c>
      <c r="E688" s="6" t="s">
        <v>12</v>
      </c>
      <c r="F688" s="6">
        <v>40</v>
      </c>
      <c r="G688" s="40">
        <v>15</v>
      </c>
      <c r="H688" s="40">
        <v>95.47999999999999</v>
      </c>
      <c r="I688" s="212"/>
      <c r="J688" s="212"/>
    </row>
    <row r="689" spans="1:10" s="5" customFormat="1" ht="30" hidden="1" customHeight="1" outlineLevel="1" x14ac:dyDescent="0.25">
      <c r="A689" s="4">
        <v>1061</v>
      </c>
      <c r="B689" s="6" t="s">
        <v>15</v>
      </c>
      <c r="C689" s="38" t="s">
        <v>8070</v>
      </c>
      <c r="D689" s="6">
        <v>2023</v>
      </c>
      <c r="E689" s="6" t="s">
        <v>12</v>
      </c>
      <c r="F689" s="6">
        <v>200</v>
      </c>
      <c r="G689" s="40">
        <v>8</v>
      </c>
      <c r="H689" s="40">
        <v>336.41399999999999</v>
      </c>
      <c r="I689" s="212"/>
      <c r="J689" s="212"/>
    </row>
    <row r="690" spans="1:10" s="5" customFormat="1" ht="30" hidden="1" customHeight="1" outlineLevel="1" x14ac:dyDescent="0.25">
      <c r="A690" s="4">
        <v>3225</v>
      </c>
      <c r="B690" s="6" t="s">
        <v>15</v>
      </c>
      <c r="C690" s="38" t="s">
        <v>8071</v>
      </c>
      <c r="D690" s="6">
        <v>2023</v>
      </c>
      <c r="E690" s="6" t="s">
        <v>12</v>
      </c>
      <c r="F690" s="6">
        <v>30</v>
      </c>
      <c r="G690" s="40">
        <v>15</v>
      </c>
      <c r="H690" s="40">
        <v>45.71</v>
      </c>
      <c r="I690" s="212"/>
      <c r="J690" s="212"/>
    </row>
    <row r="691" spans="1:10" s="5" customFormat="1" ht="30" hidden="1" customHeight="1" outlineLevel="1" x14ac:dyDescent="0.25">
      <c r="A691" s="4">
        <v>934</v>
      </c>
      <c r="B691" s="6" t="s">
        <v>15</v>
      </c>
      <c r="C691" s="38" t="s">
        <v>8072</v>
      </c>
      <c r="D691" s="6">
        <v>2023</v>
      </c>
      <c r="E691" s="6" t="s">
        <v>12</v>
      </c>
      <c r="F691" s="6">
        <v>50</v>
      </c>
      <c r="G691" s="40">
        <v>15</v>
      </c>
      <c r="H691" s="40">
        <v>108.295</v>
      </c>
      <c r="I691" s="212"/>
      <c r="J691" s="212"/>
    </row>
    <row r="692" spans="1:10" s="5" customFormat="1" ht="30" hidden="1" customHeight="1" outlineLevel="1" x14ac:dyDescent="0.25">
      <c r="A692" s="4">
        <v>3296</v>
      </c>
      <c r="B692" s="6" t="s">
        <v>15</v>
      </c>
      <c r="C692" s="38" t="s">
        <v>8073</v>
      </c>
      <c r="D692" s="6">
        <v>2023</v>
      </c>
      <c r="E692" s="6" t="s">
        <v>12</v>
      </c>
      <c r="F692" s="6">
        <v>55</v>
      </c>
      <c r="G692" s="40">
        <v>15</v>
      </c>
      <c r="H692" s="40">
        <v>111.21000000000001</v>
      </c>
      <c r="I692" s="212"/>
      <c r="J692" s="212"/>
    </row>
    <row r="693" spans="1:10" s="5" customFormat="1" ht="30" hidden="1" customHeight="1" outlineLevel="1" x14ac:dyDescent="0.25">
      <c r="A693" s="4">
        <v>3108</v>
      </c>
      <c r="B693" s="6" t="s">
        <v>15</v>
      </c>
      <c r="C693" s="38" t="s">
        <v>8074</v>
      </c>
      <c r="D693" s="6">
        <v>2023</v>
      </c>
      <c r="E693" s="6" t="s">
        <v>12</v>
      </c>
      <c r="F693" s="6">
        <v>110</v>
      </c>
      <c r="G693" s="40">
        <v>23.75</v>
      </c>
      <c r="H693" s="40">
        <v>186.125</v>
      </c>
      <c r="I693" s="212"/>
      <c r="J693" s="212"/>
    </row>
    <row r="694" spans="1:10" s="5" customFormat="1" ht="30" hidden="1" customHeight="1" outlineLevel="1" x14ac:dyDescent="0.25">
      <c r="A694" s="4">
        <v>860</v>
      </c>
      <c r="B694" s="6" t="s">
        <v>15</v>
      </c>
      <c r="C694" s="38" t="s">
        <v>8075</v>
      </c>
      <c r="D694" s="6">
        <v>2023</v>
      </c>
      <c r="E694" s="6" t="s">
        <v>12</v>
      </c>
      <c r="F694" s="6">
        <v>196</v>
      </c>
      <c r="G694" s="40">
        <v>15</v>
      </c>
      <c r="H694" s="40">
        <v>528.97</v>
      </c>
      <c r="I694" s="212"/>
      <c r="J694" s="212"/>
    </row>
    <row r="695" spans="1:10" s="5" customFormat="1" ht="30" hidden="1" customHeight="1" outlineLevel="1" x14ac:dyDescent="0.25">
      <c r="A695" s="4">
        <v>6248</v>
      </c>
      <c r="B695" s="6" t="s">
        <v>15</v>
      </c>
      <c r="C695" s="38" t="s">
        <v>8076</v>
      </c>
      <c r="D695" s="6">
        <v>2023</v>
      </c>
      <c r="E695" s="6" t="s">
        <v>12</v>
      </c>
      <c r="F695" s="6">
        <v>551</v>
      </c>
      <c r="G695" s="40">
        <v>45</v>
      </c>
      <c r="H695" s="40">
        <v>1072.9299999999998</v>
      </c>
      <c r="I695" s="212"/>
      <c r="J695" s="212"/>
    </row>
    <row r="696" spans="1:10" s="5" customFormat="1" ht="30" hidden="1" customHeight="1" outlineLevel="1" x14ac:dyDescent="0.25">
      <c r="A696" s="4">
        <v>6256</v>
      </c>
      <c r="B696" s="6" t="s">
        <v>15</v>
      </c>
      <c r="C696" s="38" t="s">
        <v>8077</v>
      </c>
      <c r="D696" s="6">
        <v>2023</v>
      </c>
      <c r="E696" s="6" t="s">
        <v>12</v>
      </c>
      <c r="F696" s="6">
        <v>90</v>
      </c>
      <c r="G696" s="40">
        <v>7.5</v>
      </c>
      <c r="H696" s="40">
        <v>165.691</v>
      </c>
      <c r="I696" s="212"/>
      <c r="J696" s="212"/>
    </row>
    <row r="697" spans="1:10" s="5" customFormat="1" ht="30" hidden="1" customHeight="1" outlineLevel="1" x14ac:dyDescent="0.25">
      <c r="A697" s="4">
        <v>6257</v>
      </c>
      <c r="B697" s="6" t="s">
        <v>15</v>
      </c>
      <c r="C697" s="38" t="s">
        <v>8078</v>
      </c>
      <c r="D697" s="6">
        <v>2023</v>
      </c>
      <c r="E697" s="6" t="s">
        <v>12</v>
      </c>
      <c r="F697" s="6">
        <v>80</v>
      </c>
      <c r="G697" s="40">
        <v>7.5</v>
      </c>
      <c r="H697" s="40">
        <v>117.827</v>
      </c>
      <c r="I697" s="212"/>
      <c r="J697" s="212"/>
    </row>
    <row r="698" spans="1:10" s="5" customFormat="1" ht="30" hidden="1" customHeight="1" outlineLevel="1" x14ac:dyDescent="0.25">
      <c r="A698" s="4">
        <v>3864</v>
      </c>
      <c r="B698" s="6" t="s">
        <v>15</v>
      </c>
      <c r="C698" s="38" t="s">
        <v>8079</v>
      </c>
      <c r="D698" s="6">
        <v>2023</v>
      </c>
      <c r="E698" s="6" t="s">
        <v>12</v>
      </c>
      <c r="F698" s="6">
        <v>140</v>
      </c>
      <c r="G698" s="40">
        <v>15</v>
      </c>
      <c r="H698" s="40">
        <v>228.16</v>
      </c>
      <c r="I698" s="212"/>
      <c r="J698" s="212"/>
    </row>
    <row r="699" spans="1:10" s="5" customFormat="1" ht="30" hidden="1" customHeight="1" outlineLevel="1" x14ac:dyDescent="0.25">
      <c r="A699" s="4">
        <v>600</v>
      </c>
      <c r="B699" s="6" t="s">
        <v>15</v>
      </c>
      <c r="C699" s="38" t="s">
        <v>8080</v>
      </c>
      <c r="D699" s="6">
        <v>2023</v>
      </c>
      <c r="E699" s="6" t="s">
        <v>12</v>
      </c>
      <c r="F699" s="6">
        <v>80</v>
      </c>
      <c r="G699" s="40">
        <v>15</v>
      </c>
      <c r="H699" s="40">
        <v>148</v>
      </c>
      <c r="I699" s="212"/>
      <c r="J699" s="212"/>
    </row>
    <row r="700" spans="1:10" s="5" customFormat="1" ht="30" hidden="1" customHeight="1" outlineLevel="1" x14ac:dyDescent="0.25">
      <c r="A700" s="4">
        <v>616</v>
      </c>
      <c r="B700" s="6" t="s">
        <v>15</v>
      </c>
      <c r="C700" s="38" t="s">
        <v>8081</v>
      </c>
      <c r="D700" s="6">
        <v>2023</v>
      </c>
      <c r="E700" s="6" t="s">
        <v>12</v>
      </c>
      <c r="F700" s="6">
        <v>200</v>
      </c>
      <c r="G700" s="40">
        <v>30</v>
      </c>
      <c r="H700" s="40">
        <v>226.55</v>
      </c>
      <c r="I700" s="212"/>
      <c r="J700" s="212"/>
    </row>
    <row r="701" spans="1:10" s="5" customFormat="1" ht="30" hidden="1" customHeight="1" outlineLevel="1" x14ac:dyDescent="0.25">
      <c r="A701" s="4">
        <v>3034</v>
      </c>
      <c r="B701" s="6" t="s">
        <v>15</v>
      </c>
      <c r="C701" s="38" t="s">
        <v>8082</v>
      </c>
      <c r="D701" s="6">
        <v>2023</v>
      </c>
      <c r="E701" s="6" t="s">
        <v>12</v>
      </c>
      <c r="F701" s="6">
        <v>15</v>
      </c>
      <c r="G701" s="40">
        <v>150</v>
      </c>
      <c r="H701" s="40">
        <v>43.23</v>
      </c>
      <c r="I701" s="212"/>
      <c r="J701" s="212"/>
    </row>
    <row r="702" spans="1:10" s="5" customFormat="1" ht="30" hidden="1" customHeight="1" outlineLevel="1" x14ac:dyDescent="0.25">
      <c r="A702" s="4">
        <v>3052</v>
      </c>
      <c r="B702" s="6" t="s">
        <v>15</v>
      </c>
      <c r="C702" s="38" t="s">
        <v>8083</v>
      </c>
      <c r="D702" s="6">
        <v>2023</v>
      </c>
      <c r="E702" s="6" t="s">
        <v>12</v>
      </c>
      <c r="F702" s="6">
        <v>80</v>
      </c>
      <c r="G702" s="40">
        <v>50</v>
      </c>
      <c r="H702" s="40">
        <v>114.307</v>
      </c>
      <c r="I702" s="212"/>
      <c r="J702" s="212"/>
    </row>
    <row r="703" spans="1:10" s="5" customFormat="1" ht="30" hidden="1" customHeight="1" outlineLevel="1" x14ac:dyDescent="0.25">
      <c r="A703" s="4">
        <v>1003</v>
      </c>
      <c r="B703" s="6" t="s">
        <v>15</v>
      </c>
      <c r="C703" s="38" t="s">
        <v>8084</v>
      </c>
      <c r="D703" s="6">
        <v>2023</v>
      </c>
      <c r="E703" s="6" t="s">
        <v>12</v>
      </c>
      <c r="F703" s="6">
        <v>90</v>
      </c>
      <c r="G703" s="40">
        <v>15</v>
      </c>
      <c r="H703" s="40">
        <v>136.82</v>
      </c>
      <c r="I703" s="212"/>
      <c r="J703" s="212"/>
    </row>
    <row r="704" spans="1:10" s="5" customFormat="1" ht="30" hidden="1" customHeight="1" outlineLevel="1" x14ac:dyDescent="0.25">
      <c r="A704" s="4">
        <v>3253</v>
      </c>
      <c r="B704" s="6" t="s">
        <v>15</v>
      </c>
      <c r="C704" s="38" t="s">
        <v>8085</v>
      </c>
      <c r="D704" s="6">
        <v>2023</v>
      </c>
      <c r="E704" s="6" t="s">
        <v>12</v>
      </c>
      <c r="F704" s="6">
        <v>50</v>
      </c>
      <c r="G704" s="40">
        <v>5.5</v>
      </c>
      <c r="H704" s="40">
        <v>101.06800000000001</v>
      </c>
      <c r="I704" s="212"/>
      <c r="J704" s="212"/>
    </row>
    <row r="705" spans="1:10" s="5" customFormat="1" ht="30" hidden="1" customHeight="1" outlineLevel="1" x14ac:dyDescent="0.25">
      <c r="A705" s="4">
        <v>3349</v>
      </c>
      <c r="B705" s="6" t="s">
        <v>15</v>
      </c>
      <c r="C705" s="38" t="s">
        <v>8086</v>
      </c>
      <c r="D705" s="6">
        <v>2023</v>
      </c>
      <c r="E705" s="6" t="s">
        <v>12</v>
      </c>
      <c r="F705" s="6">
        <v>50</v>
      </c>
      <c r="G705" s="40">
        <v>35</v>
      </c>
      <c r="H705" s="40">
        <v>111.795</v>
      </c>
      <c r="I705" s="212"/>
      <c r="J705" s="212"/>
    </row>
    <row r="706" spans="1:10" s="5" customFormat="1" ht="30" hidden="1" customHeight="1" outlineLevel="1" x14ac:dyDescent="0.25">
      <c r="A706" s="4">
        <v>1230</v>
      </c>
      <c r="B706" s="6" t="s">
        <v>15</v>
      </c>
      <c r="C706" s="38" t="s">
        <v>8087</v>
      </c>
      <c r="D706" s="6">
        <v>2023</v>
      </c>
      <c r="E706" s="6" t="s">
        <v>12</v>
      </c>
      <c r="F706" s="6">
        <v>10</v>
      </c>
      <c r="G706" s="40">
        <v>15</v>
      </c>
      <c r="H706" s="40">
        <v>30.763999999999999</v>
      </c>
      <c r="I706" s="212"/>
      <c r="J706" s="212"/>
    </row>
    <row r="707" spans="1:10" s="5" customFormat="1" ht="30" hidden="1" customHeight="1" outlineLevel="1" x14ac:dyDescent="0.25">
      <c r="A707" s="4">
        <v>889</v>
      </c>
      <c r="B707" s="6" t="s">
        <v>15</v>
      </c>
      <c r="C707" s="38" t="s">
        <v>8088</v>
      </c>
      <c r="D707" s="6">
        <v>2023</v>
      </c>
      <c r="E707" s="6" t="s">
        <v>12</v>
      </c>
      <c r="F707" s="6">
        <v>140</v>
      </c>
      <c r="G707" s="40">
        <v>15</v>
      </c>
      <c r="H707" s="40">
        <v>267.73999999999995</v>
      </c>
      <c r="I707" s="212"/>
      <c r="J707" s="212"/>
    </row>
    <row r="708" spans="1:10" s="5" customFormat="1" ht="30" hidden="1" customHeight="1" outlineLevel="1" x14ac:dyDescent="0.25">
      <c r="A708" s="4">
        <v>890</v>
      </c>
      <c r="B708" s="6" t="s">
        <v>15</v>
      </c>
      <c r="C708" s="38" t="s">
        <v>8089</v>
      </c>
      <c r="D708" s="6">
        <v>2023</v>
      </c>
      <c r="E708" s="6" t="s">
        <v>12</v>
      </c>
      <c r="F708" s="6">
        <v>50</v>
      </c>
      <c r="G708" s="40">
        <v>15</v>
      </c>
      <c r="H708" s="40">
        <v>88</v>
      </c>
      <c r="I708" s="212"/>
      <c r="J708" s="212"/>
    </row>
    <row r="709" spans="1:10" s="5" customFormat="1" ht="30" hidden="1" customHeight="1" outlineLevel="1" x14ac:dyDescent="0.25">
      <c r="A709" s="4">
        <v>1291</v>
      </c>
      <c r="B709" s="6" t="s">
        <v>15</v>
      </c>
      <c r="C709" s="38" t="s">
        <v>8090</v>
      </c>
      <c r="D709" s="6">
        <v>2023</v>
      </c>
      <c r="E709" s="6" t="s">
        <v>12</v>
      </c>
      <c r="F709" s="6">
        <v>50</v>
      </c>
      <c r="G709" s="40">
        <v>4</v>
      </c>
      <c r="H709" s="40">
        <v>106.17500000000001</v>
      </c>
      <c r="I709" s="212"/>
      <c r="J709" s="212"/>
    </row>
    <row r="710" spans="1:10" s="5" customFormat="1" ht="30" hidden="1" customHeight="1" outlineLevel="1" x14ac:dyDescent="0.25">
      <c r="A710" s="4">
        <v>1671</v>
      </c>
      <c r="B710" s="6" t="s">
        <v>15</v>
      </c>
      <c r="C710" s="38" t="s">
        <v>8091</v>
      </c>
      <c r="D710" s="6">
        <v>2023</v>
      </c>
      <c r="E710" s="6" t="s">
        <v>12</v>
      </c>
      <c r="F710" s="6">
        <v>40</v>
      </c>
      <c r="G710" s="40">
        <v>15</v>
      </c>
      <c r="H710" s="40">
        <v>122.82899999999999</v>
      </c>
      <c r="I710" s="212"/>
      <c r="J710" s="212"/>
    </row>
    <row r="711" spans="1:10" s="5" customFormat="1" ht="30" hidden="1" customHeight="1" outlineLevel="1" x14ac:dyDescent="0.25">
      <c r="A711" s="4">
        <v>1323</v>
      </c>
      <c r="B711" s="6" t="s">
        <v>15</v>
      </c>
      <c r="C711" s="38" t="s">
        <v>8092</v>
      </c>
      <c r="D711" s="6">
        <v>2023</v>
      </c>
      <c r="E711" s="6" t="s">
        <v>12</v>
      </c>
      <c r="F711" s="6">
        <v>120</v>
      </c>
      <c r="G711" s="40">
        <v>15</v>
      </c>
      <c r="H711" s="40">
        <v>367.69400000000002</v>
      </c>
      <c r="I711" s="212"/>
      <c r="J711" s="212"/>
    </row>
    <row r="712" spans="1:10" s="5" customFormat="1" ht="30" hidden="1" customHeight="1" outlineLevel="1" x14ac:dyDescent="0.25">
      <c r="A712" s="4">
        <v>431</v>
      </c>
      <c r="B712" s="6" t="s">
        <v>15</v>
      </c>
      <c r="C712" s="38" t="s">
        <v>8093</v>
      </c>
      <c r="D712" s="6">
        <v>2023</v>
      </c>
      <c r="E712" s="6" t="s">
        <v>12</v>
      </c>
      <c r="F712" s="6">
        <v>150</v>
      </c>
      <c r="G712" s="40">
        <v>15</v>
      </c>
      <c r="H712" s="40">
        <v>195.001</v>
      </c>
      <c r="I712" s="212"/>
      <c r="J712" s="212"/>
    </row>
    <row r="713" spans="1:10" s="5" customFormat="1" ht="30" hidden="1" customHeight="1" outlineLevel="1" x14ac:dyDescent="0.25">
      <c r="A713" s="4">
        <v>638</v>
      </c>
      <c r="B713" s="6" t="s">
        <v>15</v>
      </c>
      <c r="C713" s="38" t="s">
        <v>8094</v>
      </c>
      <c r="D713" s="6">
        <v>2023</v>
      </c>
      <c r="E713" s="6" t="s">
        <v>12</v>
      </c>
      <c r="F713" s="6">
        <v>70</v>
      </c>
      <c r="G713" s="40">
        <v>15</v>
      </c>
      <c r="H713" s="40">
        <v>98.753999999999991</v>
      </c>
      <c r="I713" s="212"/>
      <c r="J713" s="212"/>
    </row>
    <row r="714" spans="1:10" s="5" customFormat="1" ht="30" hidden="1" customHeight="1" outlineLevel="1" x14ac:dyDescent="0.25">
      <c r="A714" s="4">
        <v>1108</v>
      </c>
      <c r="B714" s="6" t="s">
        <v>15</v>
      </c>
      <c r="C714" s="38" t="s">
        <v>8095</v>
      </c>
      <c r="D714" s="6">
        <v>2023</v>
      </c>
      <c r="E714" s="6" t="s">
        <v>12</v>
      </c>
      <c r="F714" s="6">
        <v>105</v>
      </c>
      <c r="G714" s="40">
        <v>15</v>
      </c>
      <c r="H714" s="40">
        <v>178.60999999999999</v>
      </c>
      <c r="I714" s="212"/>
      <c r="J714" s="212"/>
    </row>
    <row r="715" spans="1:10" s="5" customFormat="1" ht="30" hidden="1" customHeight="1" outlineLevel="1" x14ac:dyDescent="0.25">
      <c r="A715" s="4">
        <v>1199</v>
      </c>
      <c r="B715" s="6" t="s">
        <v>15</v>
      </c>
      <c r="C715" s="38" t="s">
        <v>8096</v>
      </c>
      <c r="D715" s="6">
        <v>2023</v>
      </c>
      <c r="E715" s="6" t="s">
        <v>12</v>
      </c>
      <c r="F715" s="6">
        <v>70</v>
      </c>
      <c r="G715" s="40">
        <v>1</v>
      </c>
      <c r="H715" s="40">
        <v>121.83</v>
      </c>
      <c r="I715" s="212"/>
      <c r="J715" s="212"/>
    </row>
    <row r="716" spans="1:10" s="5" customFormat="1" ht="30" hidden="1" customHeight="1" outlineLevel="1" x14ac:dyDescent="0.25">
      <c r="A716" s="4">
        <v>1254</v>
      </c>
      <c r="B716" s="6" t="s">
        <v>15</v>
      </c>
      <c r="C716" s="38" t="s">
        <v>8097</v>
      </c>
      <c r="D716" s="6">
        <v>2023</v>
      </c>
      <c r="E716" s="6" t="s">
        <v>12</v>
      </c>
      <c r="F716" s="6">
        <v>75</v>
      </c>
      <c r="G716" s="40">
        <v>2</v>
      </c>
      <c r="H716" s="40">
        <v>45.249900000000004</v>
      </c>
      <c r="I716" s="212"/>
      <c r="J716" s="212"/>
    </row>
    <row r="717" spans="1:10" s="5" customFormat="1" ht="30" hidden="1" customHeight="1" outlineLevel="1" x14ac:dyDescent="0.25">
      <c r="A717" s="4">
        <v>1231</v>
      </c>
      <c r="B717" s="6" t="s">
        <v>15</v>
      </c>
      <c r="C717" s="38" t="s">
        <v>8098</v>
      </c>
      <c r="D717" s="6">
        <v>2023</v>
      </c>
      <c r="E717" s="6" t="s">
        <v>12</v>
      </c>
      <c r="F717" s="6">
        <v>45</v>
      </c>
      <c r="G717" s="40">
        <v>10</v>
      </c>
      <c r="H717" s="40">
        <v>77.588000000000008</v>
      </c>
      <c r="I717" s="212"/>
      <c r="J717" s="212"/>
    </row>
    <row r="718" spans="1:10" s="5" customFormat="1" ht="30" hidden="1" customHeight="1" outlineLevel="1" x14ac:dyDescent="0.25">
      <c r="A718" s="4">
        <v>3238</v>
      </c>
      <c r="B718" s="6" t="s">
        <v>15</v>
      </c>
      <c r="C718" s="38" t="s">
        <v>8099</v>
      </c>
      <c r="D718" s="6">
        <v>2023</v>
      </c>
      <c r="E718" s="6" t="s">
        <v>12</v>
      </c>
      <c r="F718" s="6">
        <v>30</v>
      </c>
      <c r="G718" s="40">
        <v>15</v>
      </c>
      <c r="H718" s="40">
        <v>46.093000000000004</v>
      </c>
      <c r="I718" s="212"/>
      <c r="J718" s="212"/>
    </row>
    <row r="719" spans="1:10" s="5" customFormat="1" ht="30" hidden="1" customHeight="1" outlineLevel="1" x14ac:dyDescent="0.25">
      <c r="A719" s="4">
        <v>3026</v>
      </c>
      <c r="B719" s="6" t="s">
        <v>15</v>
      </c>
      <c r="C719" s="38" t="s">
        <v>8100</v>
      </c>
      <c r="D719" s="6">
        <v>2023</v>
      </c>
      <c r="E719" s="6" t="s">
        <v>12</v>
      </c>
      <c r="F719" s="6">
        <v>10</v>
      </c>
      <c r="G719" s="40">
        <v>80</v>
      </c>
      <c r="H719" s="40">
        <v>102.52600000000001</v>
      </c>
      <c r="I719" s="212"/>
      <c r="J719" s="212"/>
    </row>
    <row r="720" spans="1:10" s="5" customFormat="1" ht="30" hidden="1" customHeight="1" outlineLevel="1" x14ac:dyDescent="0.25">
      <c r="A720" s="4">
        <v>1310</v>
      </c>
      <c r="B720" s="6" t="s">
        <v>15</v>
      </c>
      <c r="C720" s="38" t="s">
        <v>8101</v>
      </c>
      <c r="D720" s="6">
        <v>2023</v>
      </c>
      <c r="E720" s="6" t="s">
        <v>12</v>
      </c>
      <c r="F720" s="6">
        <v>424</v>
      </c>
      <c r="G720" s="40">
        <v>12</v>
      </c>
      <c r="H720" s="40">
        <v>848.92399999999998</v>
      </c>
      <c r="I720" s="212"/>
      <c r="J720" s="212"/>
    </row>
    <row r="721" spans="1:10" s="5" customFormat="1" ht="30" hidden="1" customHeight="1" outlineLevel="1" x14ac:dyDescent="0.25">
      <c r="A721" s="4">
        <v>2849</v>
      </c>
      <c r="B721" s="6" t="s">
        <v>15</v>
      </c>
      <c r="C721" s="38" t="s">
        <v>8102</v>
      </c>
      <c r="D721" s="6">
        <v>2023</v>
      </c>
      <c r="E721" s="6" t="s">
        <v>12</v>
      </c>
      <c r="F721" s="6">
        <v>390</v>
      </c>
      <c r="G721" s="40">
        <v>15</v>
      </c>
      <c r="H721" s="40">
        <v>755.65800000000002</v>
      </c>
      <c r="I721" s="212"/>
      <c r="J721" s="212"/>
    </row>
    <row r="722" spans="1:10" s="5" customFormat="1" ht="30" hidden="1" customHeight="1" outlineLevel="1" x14ac:dyDescent="0.25">
      <c r="A722" s="4">
        <v>827</v>
      </c>
      <c r="B722" s="6" t="s">
        <v>15</v>
      </c>
      <c r="C722" s="38" t="s">
        <v>8103</v>
      </c>
      <c r="D722" s="6">
        <v>2023</v>
      </c>
      <c r="E722" s="6" t="s">
        <v>12</v>
      </c>
      <c r="F722" s="6">
        <v>481</v>
      </c>
      <c r="G722" s="40">
        <v>15</v>
      </c>
      <c r="H722" s="40">
        <v>755.5</v>
      </c>
      <c r="I722" s="212"/>
      <c r="J722" s="212"/>
    </row>
    <row r="723" spans="1:10" s="5" customFormat="1" ht="30" hidden="1" customHeight="1" outlineLevel="1" x14ac:dyDescent="0.25">
      <c r="A723" s="4">
        <v>3241</v>
      </c>
      <c r="B723" s="6" t="s">
        <v>15</v>
      </c>
      <c r="C723" s="38" t="s">
        <v>8104</v>
      </c>
      <c r="D723" s="6">
        <v>2023</v>
      </c>
      <c r="E723" s="6" t="s">
        <v>12</v>
      </c>
      <c r="F723" s="6">
        <v>20</v>
      </c>
      <c r="G723" s="40">
        <v>5</v>
      </c>
      <c r="H723" s="40">
        <v>71.358000000000004</v>
      </c>
      <c r="I723" s="212"/>
      <c r="J723" s="212"/>
    </row>
    <row r="724" spans="1:10" s="5" customFormat="1" ht="30" hidden="1" customHeight="1" outlineLevel="1" x14ac:dyDescent="0.25">
      <c r="A724" s="4">
        <v>1088</v>
      </c>
      <c r="B724" s="6" t="s">
        <v>15</v>
      </c>
      <c r="C724" s="38" t="s">
        <v>8105</v>
      </c>
      <c r="D724" s="6">
        <v>2023</v>
      </c>
      <c r="E724" s="6" t="s">
        <v>12</v>
      </c>
      <c r="F724" s="6">
        <v>396</v>
      </c>
      <c r="G724" s="40">
        <v>45</v>
      </c>
      <c r="H724" s="40">
        <v>683.89300000000003</v>
      </c>
      <c r="I724" s="212"/>
      <c r="J724" s="212"/>
    </row>
    <row r="725" spans="1:10" s="5" customFormat="1" ht="30" hidden="1" customHeight="1" outlineLevel="1" x14ac:dyDescent="0.25">
      <c r="A725" s="4">
        <v>6403</v>
      </c>
      <c r="B725" s="6" t="s">
        <v>15</v>
      </c>
      <c r="C725" s="38" t="s">
        <v>8106</v>
      </c>
      <c r="D725" s="6">
        <v>2023</v>
      </c>
      <c r="E725" s="6" t="s">
        <v>12</v>
      </c>
      <c r="F725" s="6">
        <v>60</v>
      </c>
      <c r="G725" s="40">
        <v>60</v>
      </c>
      <c r="H725" s="40">
        <v>112.85199999999999</v>
      </c>
      <c r="I725" s="212"/>
      <c r="J725" s="212"/>
    </row>
    <row r="726" spans="1:10" s="5" customFormat="1" ht="30" hidden="1" customHeight="1" outlineLevel="1" x14ac:dyDescent="0.25">
      <c r="A726" s="4">
        <v>704</v>
      </c>
      <c r="B726" s="6" t="s">
        <v>15</v>
      </c>
      <c r="C726" s="38" t="s">
        <v>8107</v>
      </c>
      <c r="D726" s="6">
        <v>2023</v>
      </c>
      <c r="E726" s="6" t="s">
        <v>12</v>
      </c>
      <c r="F726" s="6">
        <v>281</v>
      </c>
      <c r="G726" s="40">
        <v>15</v>
      </c>
      <c r="H726" s="40">
        <v>682.27599999999995</v>
      </c>
      <c r="I726" s="212"/>
      <c r="J726" s="212"/>
    </row>
    <row r="727" spans="1:10" s="5" customFormat="1" ht="30" hidden="1" customHeight="1" outlineLevel="1" x14ac:dyDescent="0.25">
      <c r="A727" s="4">
        <v>1349</v>
      </c>
      <c r="B727" s="6" t="s">
        <v>15</v>
      </c>
      <c r="C727" s="38" t="s">
        <v>8108</v>
      </c>
      <c r="D727" s="6">
        <v>2023</v>
      </c>
      <c r="E727" s="6" t="s">
        <v>12</v>
      </c>
      <c r="F727" s="6">
        <v>212</v>
      </c>
      <c r="G727" s="40">
        <v>15</v>
      </c>
      <c r="H727" s="40">
        <v>568.03399999999999</v>
      </c>
      <c r="I727" s="212"/>
      <c r="J727" s="212"/>
    </row>
    <row r="728" spans="1:10" s="5" customFormat="1" ht="30" hidden="1" customHeight="1" outlineLevel="1" x14ac:dyDescent="0.25">
      <c r="A728" s="4">
        <v>614</v>
      </c>
      <c r="B728" s="6" t="s">
        <v>15</v>
      </c>
      <c r="C728" s="38" t="s">
        <v>8109</v>
      </c>
      <c r="D728" s="6">
        <v>2023</v>
      </c>
      <c r="E728" s="6" t="s">
        <v>12</v>
      </c>
      <c r="F728" s="6">
        <v>120</v>
      </c>
      <c r="G728" s="40">
        <v>15</v>
      </c>
      <c r="H728" s="40">
        <v>223.50376</v>
      </c>
      <c r="I728" s="212"/>
      <c r="J728" s="212"/>
    </row>
    <row r="729" spans="1:10" s="5" customFormat="1" ht="30" hidden="1" customHeight="1" outlineLevel="1" x14ac:dyDescent="0.25">
      <c r="A729" s="4">
        <v>617</v>
      </c>
      <c r="B729" s="6" t="s">
        <v>15</v>
      </c>
      <c r="C729" s="38" t="s">
        <v>8110</v>
      </c>
      <c r="D729" s="6">
        <v>2023</v>
      </c>
      <c r="E729" s="6" t="s">
        <v>12</v>
      </c>
      <c r="F729" s="6">
        <v>200</v>
      </c>
      <c r="G729" s="40">
        <v>15</v>
      </c>
      <c r="H729" s="40">
        <v>307.98797000000002</v>
      </c>
      <c r="I729" s="212"/>
      <c r="J729" s="212"/>
    </row>
    <row r="730" spans="1:10" s="5" customFormat="1" ht="30" hidden="1" customHeight="1" outlineLevel="1" x14ac:dyDescent="0.25">
      <c r="A730" s="4">
        <v>825</v>
      </c>
      <c r="B730" s="6" t="s">
        <v>15</v>
      </c>
      <c r="C730" s="38" t="s">
        <v>8111</v>
      </c>
      <c r="D730" s="6">
        <v>2023</v>
      </c>
      <c r="E730" s="6" t="s">
        <v>12</v>
      </c>
      <c r="F730" s="6">
        <v>60</v>
      </c>
      <c r="G730" s="40">
        <v>15</v>
      </c>
      <c r="H730" s="40">
        <v>180.15600000000001</v>
      </c>
      <c r="I730" s="212"/>
      <c r="J730" s="212"/>
    </row>
    <row r="731" spans="1:10" s="5" customFormat="1" ht="30" hidden="1" customHeight="1" outlineLevel="1" x14ac:dyDescent="0.25">
      <c r="A731" s="4">
        <v>630</v>
      </c>
      <c r="B731" s="6" t="s">
        <v>15</v>
      </c>
      <c r="C731" s="38" t="s">
        <v>8112</v>
      </c>
      <c r="D731" s="6">
        <v>2023</v>
      </c>
      <c r="E731" s="6" t="s">
        <v>12</v>
      </c>
      <c r="F731" s="6">
        <v>32</v>
      </c>
      <c r="G731" s="40">
        <v>15</v>
      </c>
      <c r="H731" s="40">
        <v>80.635799999999989</v>
      </c>
      <c r="I731" s="212"/>
      <c r="J731" s="212"/>
    </row>
    <row r="732" spans="1:10" s="5" customFormat="1" ht="30" hidden="1" customHeight="1" outlineLevel="1" x14ac:dyDescent="0.25">
      <c r="A732" s="4">
        <v>681</v>
      </c>
      <c r="B732" s="6" t="s">
        <v>15</v>
      </c>
      <c r="C732" s="38" t="s">
        <v>8113</v>
      </c>
      <c r="D732" s="6">
        <v>2023</v>
      </c>
      <c r="E732" s="6" t="s">
        <v>12</v>
      </c>
      <c r="F732" s="6">
        <v>100</v>
      </c>
      <c r="G732" s="40">
        <v>15</v>
      </c>
      <c r="H732" s="40">
        <v>212.74486000000002</v>
      </c>
      <c r="I732" s="212"/>
      <c r="J732" s="212"/>
    </row>
    <row r="733" spans="1:10" s="5" customFormat="1" ht="30" hidden="1" customHeight="1" outlineLevel="1" x14ac:dyDescent="0.25">
      <c r="A733" s="4">
        <v>716</v>
      </c>
      <c r="B733" s="6" t="s">
        <v>15</v>
      </c>
      <c r="C733" s="38" t="s">
        <v>8114</v>
      </c>
      <c r="D733" s="6">
        <v>2023</v>
      </c>
      <c r="E733" s="6" t="s">
        <v>12</v>
      </c>
      <c r="F733" s="6">
        <v>170</v>
      </c>
      <c r="G733" s="40">
        <v>15</v>
      </c>
      <c r="H733" s="40">
        <v>301.13348000000002</v>
      </c>
      <c r="I733" s="212"/>
      <c r="J733" s="212"/>
    </row>
    <row r="734" spans="1:10" s="5" customFormat="1" ht="30" hidden="1" customHeight="1" outlineLevel="1" x14ac:dyDescent="0.25">
      <c r="A734" s="4">
        <v>3232</v>
      </c>
      <c r="B734" s="6" t="s">
        <v>15</v>
      </c>
      <c r="C734" s="38" t="s">
        <v>8115</v>
      </c>
      <c r="D734" s="6">
        <v>2023</v>
      </c>
      <c r="E734" s="6" t="s">
        <v>12</v>
      </c>
      <c r="F734" s="6">
        <v>70</v>
      </c>
      <c r="G734" s="40">
        <v>15</v>
      </c>
      <c r="H734" s="40">
        <v>128.88810000000001</v>
      </c>
      <c r="I734" s="212"/>
      <c r="J734" s="212"/>
    </row>
    <row r="735" spans="1:10" s="5" customFormat="1" ht="30" hidden="1" customHeight="1" outlineLevel="1" x14ac:dyDescent="0.25">
      <c r="A735" s="4">
        <v>748</v>
      </c>
      <c r="B735" s="6" t="s">
        <v>15</v>
      </c>
      <c r="C735" s="38" t="s">
        <v>8116</v>
      </c>
      <c r="D735" s="6">
        <v>2023</v>
      </c>
      <c r="E735" s="6" t="s">
        <v>12</v>
      </c>
      <c r="F735" s="6">
        <v>170</v>
      </c>
      <c r="G735" s="40">
        <v>15</v>
      </c>
      <c r="H735" s="40">
        <v>288.76733999999999</v>
      </c>
      <c r="I735" s="212"/>
      <c r="J735" s="212"/>
    </row>
    <row r="736" spans="1:10" s="5" customFormat="1" ht="30" hidden="1" customHeight="1" outlineLevel="1" x14ac:dyDescent="0.25">
      <c r="A736" s="4">
        <v>762</v>
      </c>
      <c r="B736" s="6" t="s">
        <v>15</v>
      </c>
      <c r="C736" s="38" t="s">
        <v>8117</v>
      </c>
      <c r="D736" s="6">
        <v>2023</v>
      </c>
      <c r="E736" s="6" t="s">
        <v>12</v>
      </c>
      <c r="F736" s="6">
        <v>170</v>
      </c>
      <c r="G736" s="40">
        <v>15</v>
      </c>
      <c r="H736" s="40">
        <v>263.99212</v>
      </c>
      <c r="I736" s="212"/>
      <c r="J736" s="212"/>
    </row>
    <row r="737" spans="1:10" s="5" customFormat="1" ht="30" hidden="1" customHeight="1" outlineLevel="1" x14ac:dyDescent="0.25">
      <c r="A737" s="4">
        <v>764</v>
      </c>
      <c r="B737" s="6" t="s">
        <v>15</v>
      </c>
      <c r="C737" s="38" t="s">
        <v>8118</v>
      </c>
      <c r="D737" s="6">
        <v>2023</v>
      </c>
      <c r="E737" s="6" t="s">
        <v>12</v>
      </c>
      <c r="F737" s="6">
        <v>70</v>
      </c>
      <c r="G737" s="40">
        <v>8</v>
      </c>
      <c r="H737" s="40">
        <v>95.987949999999998</v>
      </c>
      <c r="I737" s="212"/>
      <c r="J737" s="212"/>
    </row>
    <row r="738" spans="1:10" s="5" customFormat="1" ht="30" hidden="1" customHeight="1" outlineLevel="1" x14ac:dyDescent="0.25">
      <c r="A738" s="4">
        <v>797</v>
      </c>
      <c r="B738" s="6" t="s">
        <v>15</v>
      </c>
      <c r="C738" s="38" t="s">
        <v>8119</v>
      </c>
      <c r="D738" s="6">
        <v>2023</v>
      </c>
      <c r="E738" s="6" t="s">
        <v>12</v>
      </c>
      <c r="F738" s="6">
        <v>160</v>
      </c>
      <c r="G738" s="40">
        <v>15</v>
      </c>
      <c r="H738" s="40">
        <v>263.99165000000005</v>
      </c>
      <c r="I738" s="212"/>
      <c r="J738" s="212"/>
    </row>
    <row r="739" spans="1:10" s="5" customFormat="1" ht="30" hidden="1" customHeight="1" outlineLevel="1" x14ac:dyDescent="0.25">
      <c r="A739" s="4">
        <v>880</v>
      </c>
      <c r="B739" s="6" t="s">
        <v>15</v>
      </c>
      <c r="C739" s="38" t="s">
        <v>8120</v>
      </c>
      <c r="D739" s="6">
        <v>2023</v>
      </c>
      <c r="E739" s="6" t="s">
        <v>12</v>
      </c>
      <c r="F739" s="6">
        <v>50</v>
      </c>
      <c r="G739" s="40">
        <v>15</v>
      </c>
      <c r="H739" s="40">
        <v>141.60721000000001</v>
      </c>
      <c r="I739" s="212"/>
      <c r="J739" s="212"/>
    </row>
    <row r="740" spans="1:10" s="5" customFormat="1" ht="30" hidden="1" customHeight="1" outlineLevel="1" x14ac:dyDescent="0.25">
      <c r="A740" s="4">
        <v>910</v>
      </c>
      <c r="B740" s="6" t="s">
        <v>15</v>
      </c>
      <c r="C740" s="38" t="s">
        <v>8121</v>
      </c>
      <c r="D740" s="6">
        <v>2023</v>
      </c>
      <c r="E740" s="6" t="s">
        <v>12</v>
      </c>
      <c r="F740" s="6">
        <v>60</v>
      </c>
      <c r="G740" s="40">
        <v>15</v>
      </c>
      <c r="H740" s="40">
        <v>173.87143</v>
      </c>
      <c r="I740" s="212"/>
      <c r="J740" s="212"/>
    </row>
    <row r="741" spans="1:10" s="5" customFormat="1" ht="30" hidden="1" customHeight="1" outlineLevel="1" x14ac:dyDescent="0.25">
      <c r="A741" s="4">
        <v>3530</v>
      </c>
      <c r="B741" s="6" t="s">
        <v>15</v>
      </c>
      <c r="C741" s="38" t="s">
        <v>8122</v>
      </c>
      <c r="D741" s="6">
        <v>2023</v>
      </c>
      <c r="E741" s="6" t="s">
        <v>12</v>
      </c>
      <c r="F741" s="6">
        <v>90</v>
      </c>
      <c r="G741" s="40">
        <v>10</v>
      </c>
      <c r="H741" s="40">
        <v>205.41792000000001</v>
      </c>
      <c r="I741" s="212"/>
      <c r="J741" s="212"/>
    </row>
    <row r="742" spans="1:10" s="5" customFormat="1" ht="30" hidden="1" customHeight="1" outlineLevel="1" x14ac:dyDescent="0.25">
      <c r="A742" s="4">
        <v>1194</v>
      </c>
      <c r="B742" s="6" t="s">
        <v>15</v>
      </c>
      <c r="C742" s="38" t="s">
        <v>8123</v>
      </c>
      <c r="D742" s="6">
        <v>2023</v>
      </c>
      <c r="E742" s="6" t="s">
        <v>12</v>
      </c>
      <c r="F742" s="6">
        <v>250</v>
      </c>
      <c r="G742" s="40">
        <v>7.5</v>
      </c>
      <c r="H742" s="40">
        <v>336.36969999999997</v>
      </c>
      <c r="I742" s="212"/>
      <c r="J742" s="212"/>
    </row>
    <row r="743" spans="1:10" s="5" customFormat="1" ht="30" hidden="1" customHeight="1" outlineLevel="1" x14ac:dyDescent="0.25">
      <c r="A743" s="4">
        <v>1232</v>
      </c>
      <c r="B743" s="6" t="s">
        <v>15</v>
      </c>
      <c r="C743" s="38" t="s">
        <v>8124</v>
      </c>
      <c r="D743" s="6">
        <v>2023</v>
      </c>
      <c r="E743" s="6" t="s">
        <v>12</v>
      </c>
      <c r="F743" s="6">
        <v>150</v>
      </c>
      <c r="G743" s="40">
        <v>5</v>
      </c>
      <c r="H743" s="40">
        <v>231.11528999999999</v>
      </c>
      <c r="I743" s="212"/>
      <c r="J743" s="212"/>
    </row>
    <row r="744" spans="1:10" s="5" customFormat="1" ht="30" hidden="1" customHeight="1" outlineLevel="1" x14ac:dyDescent="0.25">
      <c r="A744" s="4">
        <v>3521</v>
      </c>
      <c r="B744" s="6" t="s">
        <v>15</v>
      </c>
      <c r="C744" s="38" t="s">
        <v>8125</v>
      </c>
      <c r="D744" s="6">
        <v>2023</v>
      </c>
      <c r="E744" s="6" t="s">
        <v>12</v>
      </c>
      <c r="F744" s="6">
        <v>30</v>
      </c>
      <c r="G744" s="40">
        <v>15</v>
      </c>
      <c r="H744" s="40">
        <v>89.162649999999999</v>
      </c>
      <c r="I744" s="212"/>
      <c r="J744" s="212"/>
    </row>
    <row r="745" spans="1:10" s="5" customFormat="1" ht="30" hidden="1" customHeight="1" outlineLevel="1" x14ac:dyDescent="0.25">
      <c r="A745" s="4">
        <v>6259</v>
      </c>
      <c r="B745" s="6" t="s">
        <v>15</v>
      </c>
      <c r="C745" s="38" t="s">
        <v>8126</v>
      </c>
      <c r="D745" s="6">
        <v>2023</v>
      </c>
      <c r="E745" s="6" t="s">
        <v>12</v>
      </c>
      <c r="F745" s="6">
        <v>40</v>
      </c>
      <c r="G745" s="40">
        <v>7.5</v>
      </c>
      <c r="H745" s="40">
        <v>114.1379</v>
      </c>
      <c r="I745" s="212"/>
      <c r="J745" s="212"/>
    </row>
    <row r="746" spans="1:10" s="5" customFormat="1" ht="30" hidden="1" customHeight="1" outlineLevel="1" x14ac:dyDescent="0.25">
      <c r="A746" s="4">
        <v>2848</v>
      </c>
      <c r="B746" s="6" t="s">
        <v>15</v>
      </c>
      <c r="C746" s="38" t="s">
        <v>8127</v>
      </c>
      <c r="D746" s="6">
        <v>2023</v>
      </c>
      <c r="E746" s="6" t="s">
        <v>12</v>
      </c>
      <c r="F746" s="6">
        <v>35</v>
      </c>
      <c r="G746" s="40">
        <v>15</v>
      </c>
      <c r="H746" s="40">
        <v>81.073450000000008</v>
      </c>
      <c r="I746" s="212"/>
      <c r="J746" s="212"/>
    </row>
    <row r="747" spans="1:10" s="5" customFormat="1" ht="30" hidden="1" customHeight="1" outlineLevel="1" x14ac:dyDescent="0.25">
      <c r="A747" s="4">
        <v>6260</v>
      </c>
      <c r="B747" s="6" t="s">
        <v>15</v>
      </c>
      <c r="C747" s="38" t="s">
        <v>8128</v>
      </c>
      <c r="D747" s="6">
        <v>2023</v>
      </c>
      <c r="E747" s="6" t="s">
        <v>12</v>
      </c>
      <c r="F747" s="6">
        <v>45</v>
      </c>
      <c r="G747" s="40">
        <v>15</v>
      </c>
      <c r="H747" s="40">
        <v>79.103999999999999</v>
      </c>
      <c r="I747" s="212"/>
      <c r="J747" s="212"/>
    </row>
    <row r="748" spans="1:10" s="5" customFormat="1" ht="30" hidden="1" customHeight="1" outlineLevel="1" x14ac:dyDescent="0.25">
      <c r="A748" s="4">
        <v>1017</v>
      </c>
      <c r="B748" s="6" t="s">
        <v>15</v>
      </c>
      <c r="C748" s="38" t="s">
        <v>8129</v>
      </c>
      <c r="D748" s="6">
        <v>2023</v>
      </c>
      <c r="E748" s="6" t="s">
        <v>12</v>
      </c>
      <c r="F748" s="6">
        <v>507</v>
      </c>
      <c r="G748" s="40">
        <v>15</v>
      </c>
      <c r="H748" s="40">
        <v>540.59436000000005</v>
      </c>
      <c r="I748" s="212"/>
      <c r="J748" s="212"/>
    </row>
    <row r="749" spans="1:10" s="5" customFormat="1" ht="30" hidden="1" customHeight="1" outlineLevel="1" x14ac:dyDescent="0.25">
      <c r="A749" s="4">
        <v>1371</v>
      </c>
      <c r="B749" s="6" t="s">
        <v>15</v>
      </c>
      <c r="C749" s="38" t="s">
        <v>8130</v>
      </c>
      <c r="D749" s="6">
        <v>2023</v>
      </c>
      <c r="E749" s="6" t="s">
        <v>12</v>
      </c>
      <c r="F749" s="6">
        <v>36</v>
      </c>
      <c r="G749" s="40">
        <v>10</v>
      </c>
      <c r="H749" s="40">
        <v>192.88991999999999</v>
      </c>
      <c r="I749" s="212"/>
      <c r="J749" s="212"/>
    </row>
    <row r="750" spans="1:10" s="5" customFormat="1" ht="30" hidden="1" customHeight="1" outlineLevel="1" x14ac:dyDescent="0.25">
      <c r="A750" s="4">
        <v>774</v>
      </c>
      <c r="B750" s="6" t="s">
        <v>15</v>
      </c>
      <c r="C750" s="38" t="s">
        <v>8131</v>
      </c>
      <c r="D750" s="6">
        <v>2023</v>
      </c>
      <c r="E750" s="6" t="s">
        <v>12</v>
      </c>
      <c r="F750" s="6">
        <v>182</v>
      </c>
      <c r="G750" s="40">
        <v>15</v>
      </c>
      <c r="H750" s="40">
        <v>538.85974999999996</v>
      </c>
      <c r="I750" s="212"/>
      <c r="J750" s="212"/>
    </row>
    <row r="751" spans="1:10" s="5" customFormat="1" ht="30" hidden="1" customHeight="1" outlineLevel="1" x14ac:dyDescent="0.25">
      <c r="A751" s="4">
        <v>936</v>
      </c>
      <c r="B751" s="6" t="s">
        <v>15</v>
      </c>
      <c r="C751" s="38" t="s">
        <v>8132</v>
      </c>
      <c r="D751" s="6">
        <v>2023</v>
      </c>
      <c r="E751" s="6" t="s">
        <v>12</v>
      </c>
      <c r="F751" s="6">
        <v>53</v>
      </c>
      <c r="G751" s="40">
        <v>15</v>
      </c>
      <c r="H751" s="40">
        <v>285.19229999999999</v>
      </c>
      <c r="I751" s="212"/>
      <c r="J751" s="212"/>
    </row>
    <row r="752" spans="1:10" s="5" customFormat="1" ht="30" hidden="1" customHeight="1" outlineLevel="1" x14ac:dyDescent="0.25">
      <c r="A752" s="4">
        <v>1408</v>
      </c>
      <c r="B752" s="6" t="s">
        <v>15</v>
      </c>
      <c r="C752" s="38" t="s">
        <v>8133</v>
      </c>
      <c r="D752" s="6">
        <v>2023</v>
      </c>
      <c r="E752" s="6" t="s">
        <v>12</v>
      </c>
      <c r="F752" s="6">
        <v>25</v>
      </c>
      <c r="G752" s="40">
        <v>5</v>
      </c>
      <c r="H752" s="40">
        <v>186.95949000000002</v>
      </c>
      <c r="I752" s="212"/>
      <c r="J752" s="212"/>
    </row>
    <row r="753" spans="1:10" s="5" customFormat="1" ht="30" hidden="1" customHeight="1" outlineLevel="1" x14ac:dyDescent="0.25">
      <c r="A753" s="4">
        <v>3261</v>
      </c>
      <c r="B753" s="6" t="s">
        <v>15</v>
      </c>
      <c r="C753" s="38" t="s">
        <v>8134</v>
      </c>
      <c r="D753" s="6">
        <v>2023</v>
      </c>
      <c r="E753" s="6" t="s">
        <v>12</v>
      </c>
      <c r="F753" s="6">
        <v>43</v>
      </c>
      <c r="G753" s="40">
        <v>7</v>
      </c>
      <c r="H753" s="40">
        <v>228.04912999999999</v>
      </c>
      <c r="I753" s="212"/>
      <c r="J753" s="212"/>
    </row>
    <row r="754" spans="1:10" s="5" customFormat="1" ht="30" hidden="1" customHeight="1" outlineLevel="1" x14ac:dyDescent="0.25">
      <c r="A754" s="4">
        <v>1725</v>
      </c>
      <c r="B754" s="6" t="s">
        <v>15</v>
      </c>
      <c r="C754" s="38" t="s">
        <v>8135</v>
      </c>
      <c r="D754" s="6">
        <v>2023</v>
      </c>
      <c r="E754" s="6" t="s">
        <v>12</v>
      </c>
      <c r="F754" s="6">
        <v>60</v>
      </c>
      <c r="G754" s="40">
        <v>15</v>
      </c>
      <c r="H754" s="40">
        <v>255.80756</v>
      </c>
      <c r="I754" s="212"/>
      <c r="J754" s="212"/>
    </row>
    <row r="755" spans="1:10" s="5" customFormat="1" ht="30" hidden="1" customHeight="1" outlineLevel="1" x14ac:dyDescent="0.25">
      <c r="A755" s="4">
        <v>933</v>
      </c>
      <c r="B755" s="6" t="s">
        <v>15</v>
      </c>
      <c r="C755" s="38" t="s">
        <v>8136</v>
      </c>
      <c r="D755" s="6">
        <v>2023</v>
      </c>
      <c r="E755" s="6" t="s">
        <v>12</v>
      </c>
      <c r="F755" s="6">
        <v>52</v>
      </c>
      <c r="G755" s="40">
        <v>15</v>
      </c>
      <c r="H755" s="40">
        <v>256.86088999999998</v>
      </c>
      <c r="I755" s="212"/>
      <c r="J755" s="212"/>
    </row>
    <row r="756" spans="1:10" s="5" customFormat="1" ht="30" hidden="1" customHeight="1" outlineLevel="1" x14ac:dyDescent="0.25">
      <c r="A756" s="4">
        <v>1768</v>
      </c>
      <c r="B756" s="6" t="s">
        <v>15</v>
      </c>
      <c r="C756" s="38" t="s">
        <v>8137</v>
      </c>
      <c r="D756" s="6">
        <v>2023</v>
      </c>
      <c r="E756" s="6" t="s">
        <v>12</v>
      </c>
      <c r="F756" s="6">
        <v>85</v>
      </c>
      <c r="G756" s="40">
        <v>8</v>
      </c>
      <c r="H756" s="40">
        <v>329.61838</v>
      </c>
      <c r="I756" s="212"/>
      <c r="J756" s="212"/>
    </row>
    <row r="757" spans="1:10" s="5" customFormat="1" ht="30" hidden="1" customHeight="1" outlineLevel="1" x14ac:dyDescent="0.25">
      <c r="A757" s="4">
        <v>6468</v>
      </c>
      <c r="B757" s="6" t="s">
        <v>15</v>
      </c>
      <c r="C757" s="38" t="s">
        <v>8138</v>
      </c>
      <c r="D757" s="6">
        <v>2023</v>
      </c>
      <c r="E757" s="6" t="s">
        <v>12</v>
      </c>
      <c r="F757" s="6">
        <v>226</v>
      </c>
      <c r="G757" s="40">
        <v>10</v>
      </c>
      <c r="H757" s="40">
        <v>541.96172999999999</v>
      </c>
      <c r="I757" s="212"/>
      <c r="J757" s="212"/>
    </row>
    <row r="758" spans="1:10" s="5" customFormat="1" ht="30" hidden="1" customHeight="1" outlineLevel="1" x14ac:dyDescent="0.25">
      <c r="A758" s="4">
        <v>671</v>
      </c>
      <c r="B758" s="6" t="s">
        <v>15</v>
      </c>
      <c r="C758" s="38" t="s">
        <v>8139</v>
      </c>
      <c r="D758" s="6">
        <v>2023</v>
      </c>
      <c r="E758" s="6" t="s">
        <v>12</v>
      </c>
      <c r="F758" s="6">
        <v>8</v>
      </c>
      <c r="G758" s="40">
        <v>15</v>
      </c>
      <c r="H758" s="40">
        <v>87.10117000000001</v>
      </c>
      <c r="I758" s="212"/>
      <c r="J758" s="212"/>
    </row>
    <row r="759" spans="1:10" s="5" customFormat="1" ht="30" hidden="1" customHeight="1" outlineLevel="1" x14ac:dyDescent="0.25">
      <c r="A759" s="4">
        <v>1567</v>
      </c>
      <c r="B759" s="6" t="s">
        <v>15</v>
      </c>
      <c r="C759" s="38" t="s">
        <v>8140</v>
      </c>
      <c r="D759" s="6">
        <v>2023</v>
      </c>
      <c r="E759" s="6" t="s">
        <v>12</v>
      </c>
      <c r="F759" s="6">
        <v>24</v>
      </c>
      <c r="G759" s="40">
        <v>15</v>
      </c>
      <c r="H759" s="40">
        <v>194.27</v>
      </c>
      <c r="I759" s="212"/>
      <c r="J759" s="212"/>
    </row>
    <row r="760" spans="1:10" s="5" customFormat="1" ht="30" hidden="1" customHeight="1" outlineLevel="1" x14ac:dyDescent="0.25">
      <c r="A760" s="4">
        <v>1059</v>
      </c>
      <c r="B760" s="6" t="s">
        <v>15</v>
      </c>
      <c r="C760" s="38" t="s">
        <v>8141</v>
      </c>
      <c r="D760" s="6">
        <v>2023</v>
      </c>
      <c r="E760" s="6" t="s">
        <v>12</v>
      </c>
      <c r="F760" s="6">
        <v>229</v>
      </c>
      <c r="G760" s="40">
        <v>15</v>
      </c>
      <c r="H760" s="40">
        <v>630.76350000000002</v>
      </c>
      <c r="I760" s="212"/>
      <c r="J760" s="212"/>
    </row>
    <row r="761" spans="1:10" s="5" customFormat="1" ht="30" hidden="1" customHeight="1" outlineLevel="1" x14ac:dyDescent="0.25">
      <c r="A761" s="4">
        <v>611</v>
      </c>
      <c r="B761" s="6" t="s">
        <v>15</v>
      </c>
      <c r="C761" s="38" t="s">
        <v>8142</v>
      </c>
      <c r="D761" s="6">
        <v>2023</v>
      </c>
      <c r="E761" s="6" t="s">
        <v>12</v>
      </c>
      <c r="F761" s="6">
        <v>328</v>
      </c>
      <c r="G761" s="40">
        <v>10</v>
      </c>
      <c r="H761" s="40">
        <v>793.95539999999994</v>
      </c>
      <c r="I761" s="212"/>
      <c r="J761" s="212"/>
    </row>
    <row r="762" spans="1:10" s="5" customFormat="1" ht="30" hidden="1" customHeight="1" outlineLevel="1" x14ac:dyDescent="0.25">
      <c r="A762" s="4">
        <v>2021</v>
      </c>
      <c r="B762" s="6" t="s">
        <v>15</v>
      </c>
      <c r="C762" s="38" t="s">
        <v>8143</v>
      </c>
      <c r="D762" s="6">
        <v>2023</v>
      </c>
      <c r="E762" s="6" t="s">
        <v>12</v>
      </c>
      <c r="F762" s="6">
        <v>144</v>
      </c>
      <c r="G762" s="40">
        <v>5</v>
      </c>
      <c r="H762" s="40">
        <v>463.012</v>
      </c>
      <c r="I762" s="212"/>
      <c r="J762" s="212"/>
    </row>
    <row r="763" spans="1:10" s="5" customFormat="1" ht="30" hidden="1" customHeight="1" outlineLevel="1" x14ac:dyDescent="0.25">
      <c r="A763" s="4">
        <v>1947</v>
      </c>
      <c r="B763" s="6" t="s">
        <v>15</v>
      </c>
      <c r="C763" s="38" t="s">
        <v>8144</v>
      </c>
      <c r="D763" s="6">
        <v>2023</v>
      </c>
      <c r="E763" s="6" t="s">
        <v>12</v>
      </c>
      <c r="F763" s="6">
        <v>18</v>
      </c>
      <c r="G763" s="40">
        <v>10</v>
      </c>
      <c r="H763" s="40">
        <v>154.67597000000001</v>
      </c>
      <c r="I763" s="212"/>
      <c r="J763" s="212"/>
    </row>
    <row r="764" spans="1:10" s="5" customFormat="1" ht="30" hidden="1" customHeight="1" outlineLevel="1" x14ac:dyDescent="0.25">
      <c r="A764" s="4">
        <v>1375</v>
      </c>
      <c r="B764" s="6" t="s">
        <v>15</v>
      </c>
      <c r="C764" s="38" t="s">
        <v>8145</v>
      </c>
      <c r="D764" s="6">
        <v>2023</v>
      </c>
      <c r="E764" s="6" t="s">
        <v>12</v>
      </c>
      <c r="F764" s="6">
        <v>90</v>
      </c>
      <c r="G764" s="40">
        <v>8</v>
      </c>
      <c r="H764" s="40">
        <v>299.87</v>
      </c>
      <c r="I764" s="212"/>
      <c r="J764" s="212"/>
    </row>
    <row r="765" spans="1:10" s="5" customFormat="1" ht="30" hidden="1" customHeight="1" outlineLevel="1" x14ac:dyDescent="0.25">
      <c r="A765" s="4">
        <v>2859</v>
      </c>
      <c r="B765" s="6" t="s">
        <v>15</v>
      </c>
      <c r="C765" s="38" t="s">
        <v>8146</v>
      </c>
      <c r="D765" s="6">
        <v>2023</v>
      </c>
      <c r="E765" s="6" t="s">
        <v>12</v>
      </c>
      <c r="F765" s="6">
        <v>193</v>
      </c>
      <c r="G765" s="40">
        <v>15</v>
      </c>
      <c r="H765" s="40">
        <v>515.83049999999992</v>
      </c>
      <c r="I765" s="212"/>
      <c r="J765" s="212"/>
    </row>
    <row r="766" spans="1:10" s="5" customFormat="1" ht="30" hidden="1" customHeight="1" outlineLevel="1" x14ac:dyDescent="0.25">
      <c r="A766" s="4">
        <v>3024</v>
      </c>
      <c r="B766" s="6" t="s">
        <v>15</v>
      </c>
      <c r="C766" s="38" t="s">
        <v>8147</v>
      </c>
      <c r="D766" s="6">
        <v>2023</v>
      </c>
      <c r="E766" s="6" t="s">
        <v>12</v>
      </c>
      <c r="F766" s="6">
        <v>10</v>
      </c>
      <c r="G766" s="40">
        <v>80</v>
      </c>
      <c r="H766" s="40">
        <v>102.73274000000001</v>
      </c>
      <c r="I766" s="212"/>
      <c r="J766" s="212"/>
    </row>
    <row r="767" spans="1:10" s="5" customFormat="1" ht="30" hidden="1" customHeight="1" outlineLevel="1" x14ac:dyDescent="0.25">
      <c r="A767" s="4">
        <v>1235</v>
      </c>
      <c r="B767" s="6" t="s">
        <v>15</v>
      </c>
      <c r="C767" s="38" t="s">
        <v>8148</v>
      </c>
      <c r="D767" s="6">
        <v>2023</v>
      </c>
      <c r="E767" s="6" t="s">
        <v>12</v>
      </c>
      <c r="F767" s="6">
        <v>107</v>
      </c>
      <c r="G767" s="40">
        <v>15</v>
      </c>
      <c r="H767" s="40">
        <v>360.91399999999999</v>
      </c>
      <c r="I767" s="212"/>
      <c r="J767" s="212"/>
    </row>
    <row r="768" spans="1:10" s="5" customFormat="1" ht="30" hidden="1" customHeight="1" outlineLevel="1" x14ac:dyDescent="0.25">
      <c r="A768" s="4">
        <v>3236</v>
      </c>
      <c r="B768" s="6" t="s">
        <v>15</v>
      </c>
      <c r="C768" s="38" t="s">
        <v>8149</v>
      </c>
      <c r="D768" s="6">
        <v>2023</v>
      </c>
      <c r="E768" s="6" t="s">
        <v>12</v>
      </c>
      <c r="F768" s="6">
        <v>45</v>
      </c>
      <c r="G768" s="40">
        <v>15</v>
      </c>
      <c r="H768" s="40">
        <v>123.06</v>
      </c>
      <c r="I768" s="212"/>
      <c r="J768" s="212"/>
    </row>
    <row r="769" spans="1:10" s="5" customFormat="1" ht="30" hidden="1" customHeight="1" outlineLevel="1" x14ac:dyDescent="0.25">
      <c r="A769" s="4">
        <v>475</v>
      </c>
      <c r="B769" s="6" t="s">
        <v>15</v>
      </c>
      <c r="C769" s="38" t="s">
        <v>8150</v>
      </c>
      <c r="D769" s="6">
        <v>2023</v>
      </c>
      <c r="E769" s="6" t="s">
        <v>12</v>
      </c>
      <c r="F769" s="6">
        <v>110</v>
      </c>
      <c r="G769" s="40">
        <v>15</v>
      </c>
      <c r="H769" s="40">
        <v>173.31292999999999</v>
      </c>
      <c r="I769" s="212"/>
      <c r="J769" s="212"/>
    </row>
    <row r="770" spans="1:10" s="5" customFormat="1" ht="30" hidden="1" customHeight="1" outlineLevel="1" x14ac:dyDescent="0.25">
      <c r="A770" s="4">
        <v>1099</v>
      </c>
      <c r="B770" s="6" t="s">
        <v>15</v>
      </c>
      <c r="C770" s="38" t="s">
        <v>8151</v>
      </c>
      <c r="D770" s="6">
        <v>2023</v>
      </c>
      <c r="E770" s="6" t="s">
        <v>12</v>
      </c>
      <c r="F770" s="6">
        <v>30</v>
      </c>
      <c r="G770" s="40">
        <v>15</v>
      </c>
      <c r="H770" s="40">
        <v>92.614760000000004</v>
      </c>
      <c r="I770" s="212"/>
      <c r="J770" s="212"/>
    </row>
    <row r="771" spans="1:10" s="5" customFormat="1" ht="30" hidden="1" customHeight="1" outlineLevel="1" x14ac:dyDescent="0.25">
      <c r="A771" s="4">
        <v>1227</v>
      </c>
      <c r="B771" s="6" t="s">
        <v>15</v>
      </c>
      <c r="C771" s="38" t="s">
        <v>8152</v>
      </c>
      <c r="D771" s="6">
        <v>2023</v>
      </c>
      <c r="E771" s="6" t="s">
        <v>12</v>
      </c>
      <c r="F771" s="6">
        <v>170</v>
      </c>
      <c r="G771" s="40">
        <v>7</v>
      </c>
      <c r="H771" s="40">
        <v>264.56729000000001</v>
      </c>
      <c r="I771" s="212"/>
      <c r="J771" s="212"/>
    </row>
    <row r="772" spans="1:10" s="5" customFormat="1" ht="30" hidden="1" customHeight="1" outlineLevel="1" x14ac:dyDescent="0.25">
      <c r="A772" s="4">
        <v>729</v>
      </c>
      <c r="B772" s="6" t="s">
        <v>15</v>
      </c>
      <c r="C772" s="38" t="s">
        <v>8153</v>
      </c>
      <c r="D772" s="6">
        <v>2023</v>
      </c>
      <c r="E772" s="6" t="s">
        <v>12</v>
      </c>
      <c r="F772" s="6">
        <v>40</v>
      </c>
      <c r="G772" s="40">
        <v>15</v>
      </c>
      <c r="H772" s="40">
        <v>60.533999999999999</v>
      </c>
      <c r="I772" s="212"/>
      <c r="J772" s="212"/>
    </row>
    <row r="773" spans="1:10" s="5" customFormat="1" ht="30" hidden="1" customHeight="1" outlineLevel="1" x14ac:dyDescent="0.25">
      <c r="A773" s="4">
        <v>1846</v>
      </c>
      <c r="B773" s="6" t="s">
        <v>15</v>
      </c>
      <c r="C773" s="38" t="s">
        <v>8154</v>
      </c>
      <c r="D773" s="6">
        <v>2023</v>
      </c>
      <c r="E773" s="6" t="s">
        <v>12</v>
      </c>
      <c r="F773" s="6">
        <v>35</v>
      </c>
      <c r="G773" s="40">
        <v>5</v>
      </c>
      <c r="H773" s="40">
        <v>62.809269999999998</v>
      </c>
      <c r="I773" s="212"/>
      <c r="J773" s="212"/>
    </row>
    <row r="774" spans="1:10" s="5" customFormat="1" ht="30" hidden="1" customHeight="1" outlineLevel="1" x14ac:dyDescent="0.25">
      <c r="A774" s="4">
        <v>3072</v>
      </c>
      <c r="B774" s="6" t="s">
        <v>15</v>
      </c>
      <c r="C774" s="38" t="s">
        <v>8155</v>
      </c>
      <c r="D774" s="6">
        <v>2023</v>
      </c>
      <c r="E774" s="6" t="s">
        <v>12</v>
      </c>
      <c r="F774" s="6">
        <v>20</v>
      </c>
      <c r="G774" s="40">
        <v>137</v>
      </c>
      <c r="H774" s="40">
        <v>30.411299999999997</v>
      </c>
      <c r="I774" s="212"/>
      <c r="J774" s="212"/>
    </row>
    <row r="775" spans="1:10" s="5" customFormat="1" ht="30" hidden="1" customHeight="1" outlineLevel="1" x14ac:dyDescent="0.25">
      <c r="A775" s="4">
        <v>2880</v>
      </c>
      <c r="B775" s="6" t="s">
        <v>15</v>
      </c>
      <c r="C775" s="38" t="s">
        <v>8156</v>
      </c>
      <c r="D775" s="6">
        <v>2023</v>
      </c>
      <c r="E775" s="6" t="s">
        <v>12</v>
      </c>
      <c r="F775" s="6">
        <v>310</v>
      </c>
      <c r="G775" s="40">
        <v>15</v>
      </c>
      <c r="H775" s="40">
        <v>777.98672999999997</v>
      </c>
      <c r="I775" s="212"/>
      <c r="J775" s="212"/>
    </row>
    <row r="776" spans="1:10" s="5" customFormat="1" ht="30" hidden="1" customHeight="1" outlineLevel="1" x14ac:dyDescent="0.25">
      <c r="A776" s="4">
        <v>1402</v>
      </c>
      <c r="B776" s="6" t="s">
        <v>15</v>
      </c>
      <c r="C776" s="38" t="s">
        <v>8157</v>
      </c>
      <c r="D776" s="6">
        <v>2023</v>
      </c>
      <c r="E776" s="6" t="s">
        <v>12</v>
      </c>
      <c r="F776" s="6">
        <v>116</v>
      </c>
      <c r="G776" s="40">
        <v>8</v>
      </c>
      <c r="H776" s="40">
        <v>430.92556999999999</v>
      </c>
      <c r="I776" s="212"/>
      <c r="J776" s="212"/>
    </row>
    <row r="777" spans="1:10" s="5" customFormat="1" ht="30" hidden="1" customHeight="1" outlineLevel="1" x14ac:dyDescent="0.25">
      <c r="A777" s="4">
        <v>1578</v>
      </c>
      <c r="B777" s="6" t="s">
        <v>15</v>
      </c>
      <c r="C777" s="38" t="s">
        <v>8158</v>
      </c>
      <c r="D777" s="6">
        <v>2023</v>
      </c>
      <c r="E777" s="6" t="s">
        <v>12</v>
      </c>
      <c r="F777" s="6">
        <v>119</v>
      </c>
      <c r="G777" s="40">
        <v>15</v>
      </c>
      <c r="H777" s="40">
        <v>386.30214000000001</v>
      </c>
      <c r="I777" s="212"/>
      <c r="J777" s="212"/>
    </row>
    <row r="778" spans="1:10" s="5" customFormat="1" ht="30" hidden="1" customHeight="1" outlineLevel="1" x14ac:dyDescent="0.25">
      <c r="A778" s="4">
        <v>595</v>
      </c>
      <c r="B778" s="6" t="s">
        <v>15</v>
      </c>
      <c r="C778" s="38" t="s">
        <v>8159</v>
      </c>
      <c r="D778" s="6">
        <v>2023</v>
      </c>
      <c r="E778" s="6" t="s">
        <v>12</v>
      </c>
      <c r="F778" s="6">
        <v>262</v>
      </c>
      <c r="G778" s="40">
        <v>10</v>
      </c>
      <c r="H778" s="40">
        <v>669.32760000000007</v>
      </c>
      <c r="I778" s="212"/>
      <c r="J778" s="212"/>
    </row>
    <row r="779" spans="1:10" s="5" customFormat="1" ht="30" hidden="1" customHeight="1" outlineLevel="1" x14ac:dyDescent="0.25">
      <c r="A779" s="4">
        <v>1322</v>
      </c>
      <c r="B779" s="6" t="s">
        <v>15</v>
      </c>
      <c r="C779" s="38" t="s">
        <v>8160</v>
      </c>
      <c r="D779" s="6">
        <v>2023</v>
      </c>
      <c r="E779" s="6" t="s">
        <v>12</v>
      </c>
      <c r="F779" s="6">
        <v>40</v>
      </c>
      <c r="G779" s="40">
        <v>15</v>
      </c>
      <c r="H779" s="40">
        <v>191.25122999999999</v>
      </c>
      <c r="I779" s="212"/>
      <c r="J779" s="212"/>
    </row>
    <row r="780" spans="1:10" s="5" customFormat="1" ht="30" hidden="1" customHeight="1" outlineLevel="1" x14ac:dyDescent="0.25">
      <c r="A780" s="4">
        <v>1094</v>
      </c>
      <c r="B780" s="6" t="s">
        <v>15</v>
      </c>
      <c r="C780" s="38" t="s">
        <v>8161</v>
      </c>
      <c r="D780" s="6">
        <v>2023</v>
      </c>
      <c r="E780" s="6" t="s">
        <v>12</v>
      </c>
      <c r="F780" s="6">
        <v>555</v>
      </c>
      <c r="G780" s="40">
        <v>15</v>
      </c>
      <c r="H780" s="40">
        <v>1202.23395</v>
      </c>
      <c r="I780" s="212"/>
      <c r="J780" s="212"/>
    </row>
    <row r="781" spans="1:10" s="5" customFormat="1" ht="30" hidden="1" customHeight="1" outlineLevel="1" x14ac:dyDescent="0.25">
      <c r="A781" s="4">
        <v>3270</v>
      </c>
      <c r="B781" s="6" t="s">
        <v>15</v>
      </c>
      <c r="C781" s="38" t="s">
        <v>8162</v>
      </c>
      <c r="D781" s="6">
        <v>2023</v>
      </c>
      <c r="E781" s="6" t="s">
        <v>12</v>
      </c>
      <c r="F781" s="6">
        <v>132</v>
      </c>
      <c r="G781" s="40">
        <v>15</v>
      </c>
      <c r="H781" s="40">
        <v>389.77763999999996</v>
      </c>
      <c r="I781" s="212"/>
      <c r="J781" s="212"/>
    </row>
    <row r="782" spans="1:10" s="5" customFormat="1" ht="30" hidden="1" customHeight="1" outlineLevel="1" x14ac:dyDescent="0.25">
      <c r="A782" s="4">
        <v>3280</v>
      </c>
      <c r="B782" s="6" t="s">
        <v>15</v>
      </c>
      <c r="C782" s="38" t="s">
        <v>8163</v>
      </c>
      <c r="D782" s="6">
        <v>2023</v>
      </c>
      <c r="E782" s="6" t="s">
        <v>12</v>
      </c>
      <c r="F782" s="6">
        <v>11</v>
      </c>
      <c r="G782" s="40">
        <v>15</v>
      </c>
      <c r="H782" s="40">
        <v>77.047210000000007</v>
      </c>
      <c r="I782" s="212"/>
      <c r="J782" s="212"/>
    </row>
    <row r="783" spans="1:10" s="5" customFormat="1" ht="30" hidden="1" customHeight="1" outlineLevel="1" x14ac:dyDescent="0.25">
      <c r="A783" s="4">
        <v>1445</v>
      </c>
      <c r="B783" s="6" t="s">
        <v>15</v>
      </c>
      <c r="C783" s="38" t="s">
        <v>8164</v>
      </c>
      <c r="D783" s="6">
        <v>2023</v>
      </c>
      <c r="E783" s="6" t="s">
        <v>12</v>
      </c>
      <c r="F783" s="6">
        <v>180</v>
      </c>
      <c r="G783" s="40">
        <v>10</v>
      </c>
      <c r="H783" s="40">
        <v>251.20285999999996</v>
      </c>
      <c r="I783" s="212"/>
      <c r="J783" s="212"/>
    </row>
    <row r="784" spans="1:10" s="5" customFormat="1" ht="30" hidden="1" customHeight="1" outlineLevel="1" x14ac:dyDescent="0.25">
      <c r="A784" s="4">
        <v>3139</v>
      </c>
      <c r="B784" s="6" t="s">
        <v>15</v>
      </c>
      <c r="C784" s="38" t="s">
        <v>8165</v>
      </c>
      <c r="D784" s="6">
        <v>2023</v>
      </c>
      <c r="E784" s="6" t="s">
        <v>12</v>
      </c>
      <c r="F784" s="6">
        <v>30</v>
      </c>
      <c r="G784" s="40">
        <v>44</v>
      </c>
      <c r="H784" s="40">
        <v>102.12400000000001</v>
      </c>
      <c r="I784" s="212"/>
      <c r="J784" s="212"/>
    </row>
    <row r="785" spans="1:10" s="5" customFormat="1" ht="30" hidden="1" customHeight="1" outlineLevel="1" x14ac:dyDescent="0.25">
      <c r="A785" s="4">
        <v>6535</v>
      </c>
      <c r="B785" s="6" t="s">
        <v>15</v>
      </c>
      <c r="C785" s="38" t="s">
        <v>8166</v>
      </c>
      <c r="D785" s="6">
        <v>2023</v>
      </c>
      <c r="E785" s="6" t="s">
        <v>12</v>
      </c>
      <c r="F785" s="6">
        <v>142</v>
      </c>
      <c r="G785" s="40">
        <v>15</v>
      </c>
      <c r="H785" s="40">
        <v>327.68789999999996</v>
      </c>
      <c r="I785" s="212"/>
      <c r="J785" s="212"/>
    </row>
    <row r="786" spans="1:10" s="5" customFormat="1" ht="30" hidden="1" customHeight="1" outlineLevel="1" x14ac:dyDescent="0.25">
      <c r="A786" s="4">
        <v>2857</v>
      </c>
      <c r="B786" s="6" t="s">
        <v>15</v>
      </c>
      <c r="C786" s="38" t="s">
        <v>8167</v>
      </c>
      <c r="D786" s="6">
        <v>2023</v>
      </c>
      <c r="E786" s="6" t="s">
        <v>12</v>
      </c>
      <c r="F786" s="6">
        <v>112</v>
      </c>
      <c r="G786" s="40">
        <v>15</v>
      </c>
      <c r="H786" s="40">
        <v>346.94350000000003</v>
      </c>
      <c r="I786" s="212"/>
      <c r="J786" s="212"/>
    </row>
    <row r="787" spans="1:10" s="5" customFormat="1" ht="30" hidden="1" customHeight="1" outlineLevel="1" x14ac:dyDescent="0.25">
      <c r="A787" s="4">
        <v>1067</v>
      </c>
      <c r="B787" s="6" t="s">
        <v>15</v>
      </c>
      <c r="C787" s="38" t="s">
        <v>8168</v>
      </c>
      <c r="D787" s="6">
        <v>2023</v>
      </c>
      <c r="E787" s="6" t="s">
        <v>12</v>
      </c>
      <c r="F787" s="6">
        <v>268</v>
      </c>
      <c r="G787" s="40">
        <v>10</v>
      </c>
      <c r="H787" s="40">
        <v>644.51955000000009</v>
      </c>
      <c r="I787" s="212"/>
      <c r="J787" s="212"/>
    </row>
    <row r="788" spans="1:10" s="5" customFormat="1" ht="30" hidden="1" customHeight="1" outlineLevel="1" x14ac:dyDescent="0.25">
      <c r="A788" s="4">
        <v>2252</v>
      </c>
      <c r="B788" s="6" t="s">
        <v>15</v>
      </c>
      <c r="C788" s="38" t="s">
        <v>8169</v>
      </c>
      <c r="D788" s="6">
        <v>2023</v>
      </c>
      <c r="E788" s="6" t="s">
        <v>12</v>
      </c>
      <c r="F788" s="6">
        <v>50</v>
      </c>
      <c r="G788" s="40">
        <v>5</v>
      </c>
      <c r="H788" s="40">
        <v>213.11099999999999</v>
      </c>
      <c r="I788" s="212"/>
      <c r="J788" s="212"/>
    </row>
    <row r="789" spans="1:10" s="5" customFormat="1" ht="30" hidden="1" customHeight="1" outlineLevel="1" x14ac:dyDescent="0.25">
      <c r="A789" s="4">
        <v>1946</v>
      </c>
      <c r="B789" s="6" t="s">
        <v>15</v>
      </c>
      <c r="C789" s="38" t="s">
        <v>8170</v>
      </c>
      <c r="D789" s="6">
        <v>2023</v>
      </c>
      <c r="E789" s="6" t="s">
        <v>12</v>
      </c>
      <c r="F789" s="6">
        <v>97</v>
      </c>
      <c r="G789" s="40">
        <v>5</v>
      </c>
      <c r="H789" s="40">
        <v>295.86200000000002</v>
      </c>
      <c r="I789" s="212"/>
      <c r="J789" s="212"/>
    </row>
    <row r="790" spans="1:10" s="5" customFormat="1" ht="30" hidden="1" customHeight="1" outlineLevel="1" x14ac:dyDescent="0.25">
      <c r="A790" s="4">
        <v>2290</v>
      </c>
      <c r="B790" s="6" t="s">
        <v>15</v>
      </c>
      <c r="C790" s="38" t="s">
        <v>8171</v>
      </c>
      <c r="D790" s="6">
        <v>2023</v>
      </c>
      <c r="E790" s="6" t="s">
        <v>12</v>
      </c>
      <c r="F790" s="6">
        <v>92</v>
      </c>
      <c r="G790" s="40">
        <v>7</v>
      </c>
      <c r="H790" s="40">
        <v>362.57960000000003</v>
      </c>
      <c r="I790" s="212"/>
      <c r="J790" s="212"/>
    </row>
    <row r="791" spans="1:10" s="5" customFormat="1" ht="30" hidden="1" customHeight="1" outlineLevel="1" x14ac:dyDescent="0.25">
      <c r="A791" s="4">
        <v>2063</v>
      </c>
      <c r="B791" s="6" t="s">
        <v>15</v>
      </c>
      <c r="C791" s="38" t="s">
        <v>8172</v>
      </c>
      <c r="D791" s="6">
        <v>2023</v>
      </c>
      <c r="E791" s="6" t="s">
        <v>12</v>
      </c>
      <c r="F791" s="6">
        <v>93</v>
      </c>
      <c r="G791" s="40">
        <v>15</v>
      </c>
      <c r="H791" s="40">
        <v>347.69440000000003</v>
      </c>
      <c r="I791" s="212"/>
      <c r="J791" s="212"/>
    </row>
    <row r="792" spans="1:10" s="5" customFormat="1" ht="30" hidden="1" customHeight="1" outlineLevel="1" x14ac:dyDescent="0.25">
      <c r="A792" s="4">
        <v>2154</v>
      </c>
      <c r="B792" s="6" t="s">
        <v>15</v>
      </c>
      <c r="C792" s="38" t="s">
        <v>8173</v>
      </c>
      <c r="D792" s="6">
        <v>2023</v>
      </c>
      <c r="E792" s="6" t="s">
        <v>12</v>
      </c>
      <c r="F792" s="6">
        <v>55</v>
      </c>
      <c r="G792" s="40">
        <v>15</v>
      </c>
      <c r="H792" s="40">
        <v>223.93339</v>
      </c>
      <c r="I792" s="212"/>
      <c r="J792" s="212"/>
    </row>
    <row r="793" spans="1:10" s="5" customFormat="1" ht="30" hidden="1" customHeight="1" outlineLevel="1" x14ac:dyDescent="0.25">
      <c r="A793" s="4">
        <v>1626</v>
      </c>
      <c r="B793" s="6" t="s">
        <v>15</v>
      </c>
      <c r="C793" s="38" t="s">
        <v>8174</v>
      </c>
      <c r="D793" s="6">
        <v>2023</v>
      </c>
      <c r="E793" s="6" t="s">
        <v>12</v>
      </c>
      <c r="F793" s="6">
        <v>567</v>
      </c>
      <c r="G793" s="40">
        <v>15</v>
      </c>
      <c r="H793" s="40">
        <v>1414.3666699999999</v>
      </c>
      <c r="I793" s="212"/>
      <c r="J793" s="212"/>
    </row>
    <row r="794" spans="1:10" s="5" customFormat="1" ht="30" hidden="1" customHeight="1" outlineLevel="1" x14ac:dyDescent="0.25">
      <c r="A794" s="4">
        <v>1857</v>
      </c>
      <c r="B794" s="6" t="s">
        <v>15</v>
      </c>
      <c r="C794" s="38" t="s">
        <v>8175</v>
      </c>
      <c r="D794" s="6">
        <v>2023</v>
      </c>
      <c r="E794" s="6" t="s">
        <v>12</v>
      </c>
      <c r="F794" s="6">
        <v>176</v>
      </c>
      <c r="G794" s="40">
        <v>5</v>
      </c>
      <c r="H794" s="40">
        <v>361.995</v>
      </c>
      <c r="I794" s="212"/>
      <c r="J794" s="212"/>
    </row>
    <row r="795" spans="1:10" s="5" customFormat="1" ht="30" hidden="1" customHeight="1" outlineLevel="1" x14ac:dyDescent="0.25">
      <c r="A795" s="4">
        <v>3136</v>
      </c>
      <c r="B795" s="6" t="s">
        <v>15</v>
      </c>
      <c r="C795" s="38" t="s">
        <v>8176</v>
      </c>
      <c r="D795" s="6">
        <v>2023</v>
      </c>
      <c r="E795" s="6" t="s">
        <v>12</v>
      </c>
      <c r="F795" s="6">
        <v>230</v>
      </c>
      <c r="G795" s="40">
        <v>20</v>
      </c>
      <c r="H795" s="40">
        <v>546.89895000000001</v>
      </c>
      <c r="I795" s="212"/>
      <c r="J795" s="212"/>
    </row>
    <row r="796" spans="1:10" s="5" customFormat="1" ht="30" hidden="1" customHeight="1" outlineLevel="1" x14ac:dyDescent="0.25">
      <c r="A796" s="4">
        <v>3301</v>
      </c>
      <c r="B796" s="6" t="s">
        <v>15</v>
      </c>
      <c r="C796" s="38" t="s">
        <v>8177</v>
      </c>
      <c r="D796" s="6">
        <v>2023</v>
      </c>
      <c r="E796" s="6" t="s">
        <v>12</v>
      </c>
      <c r="F796" s="6">
        <v>134</v>
      </c>
      <c r="G796" s="40">
        <v>15</v>
      </c>
      <c r="H796" s="40">
        <v>309.73599999999999</v>
      </c>
      <c r="I796" s="212"/>
      <c r="J796" s="212"/>
    </row>
    <row r="797" spans="1:10" s="5" customFormat="1" ht="30" hidden="1" customHeight="1" outlineLevel="1" x14ac:dyDescent="0.25">
      <c r="A797" s="4">
        <v>2065</v>
      </c>
      <c r="B797" s="6" t="s">
        <v>15</v>
      </c>
      <c r="C797" s="38" t="s">
        <v>8178</v>
      </c>
      <c r="D797" s="6">
        <v>2023</v>
      </c>
      <c r="E797" s="6" t="s">
        <v>12</v>
      </c>
      <c r="F797" s="6">
        <v>286</v>
      </c>
      <c r="G797" s="40">
        <v>10</v>
      </c>
      <c r="H797" s="40">
        <v>690.75744999999995</v>
      </c>
      <c r="I797" s="212"/>
      <c r="J797" s="212"/>
    </row>
    <row r="798" spans="1:10" s="5" customFormat="1" ht="30" hidden="1" customHeight="1" outlineLevel="1" x14ac:dyDescent="0.25">
      <c r="A798" s="4">
        <v>1957</v>
      </c>
      <c r="B798" s="6" t="s">
        <v>15</v>
      </c>
      <c r="C798" s="38" t="s">
        <v>8179</v>
      </c>
      <c r="D798" s="6">
        <v>2023</v>
      </c>
      <c r="E798" s="6" t="s">
        <v>12</v>
      </c>
      <c r="F798" s="6">
        <v>338</v>
      </c>
      <c r="G798" s="40">
        <v>1</v>
      </c>
      <c r="H798" s="40">
        <v>822.21500000000003</v>
      </c>
      <c r="I798" s="212"/>
      <c r="J798" s="212"/>
    </row>
    <row r="799" spans="1:10" s="5" customFormat="1" ht="30" hidden="1" customHeight="1" outlineLevel="1" x14ac:dyDescent="0.25">
      <c r="A799" s="4">
        <v>685</v>
      </c>
      <c r="B799" s="6" t="s">
        <v>15</v>
      </c>
      <c r="C799" s="38" t="s">
        <v>8180</v>
      </c>
      <c r="D799" s="6">
        <v>2023</v>
      </c>
      <c r="E799" s="6" t="s">
        <v>12</v>
      </c>
      <c r="F799" s="6">
        <v>140</v>
      </c>
      <c r="G799" s="40">
        <v>15</v>
      </c>
      <c r="H799" s="40">
        <v>264.69799999999998</v>
      </c>
      <c r="I799" s="212"/>
      <c r="J799" s="212"/>
    </row>
    <row r="800" spans="1:10" s="5" customFormat="1" ht="30" hidden="1" customHeight="1" outlineLevel="1" x14ac:dyDescent="0.25">
      <c r="A800" s="4">
        <v>3016</v>
      </c>
      <c r="B800" s="6" t="s">
        <v>15</v>
      </c>
      <c r="C800" s="38" t="s">
        <v>8181</v>
      </c>
      <c r="D800" s="6">
        <v>2023</v>
      </c>
      <c r="E800" s="6" t="s">
        <v>12</v>
      </c>
      <c r="F800" s="6">
        <v>20</v>
      </c>
      <c r="G800" s="40">
        <v>60</v>
      </c>
      <c r="H800" s="40">
        <v>22.1555</v>
      </c>
      <c r="I800" s="212"/>
      <c r="J800" s="212"/>
    </row>
    <row r="801" spans="1:10" s="5" customFormat="1" ht="30" hidden="1" customHeight="1" outlineLevel="1" x14ac:dyDescent="0.25">
      <c r="A801" s="4">
        <v>634</v>
      </c>
      <c r="B801" s="6" t="s">
        <v>15</v>
      </c>
      <c r="C801" s="38" t="s">
        <v>8182</v>
      </c>
      <c r="D801" s="6">
        <v>2023</v>
      </c>
      <c r="E801" s="6" t="s">
        <v>12</v>
      </c>
      <c r="F801" s="6">
        <v>30</v>
      </c>
      <c r="G801" s="40">
        <v>15</v>
      </c>
      <c r="H801" s="40">
        <v>24.54082</v>
      </c>
      <c r="I801" s="212"/>
      <c r="J801" s="212"/>
    </row>
    <row r="802" spans="1:10" s="5" customFormat="1" ht="30" hidden="1" customHeight="1" outlineLevel="1" x14ac:dyDescent="0.25">
      <c r="A802" s="4">
        <v>650</v>
      </c>
      <c r="B802" s="6" t="s">
        <v>15</v>
      </c>
      <c r="C802" s="38" t="s">
        <v>8183</v>
      </c>
      <c r="D802" s="6">
        <v>2023</v>
      </c>
      <c r="E802" s="6" t="s">
        <v>12</v>
      </c>
      <c r="F802" s="6">
        <v>250</v>
      </c>
      <c r="G802" s="40">
        <v>30</v>
      </c>
      <c r="H802" s="40">
        <v>455.99099999999999</v>
      </c>
      <c r="I802" s="212"/>
      <c r="J802" s="212"/>
    </row>
    <row r="803" spans="1:10" s="5" customFormat="1" ht="30" hidden="1" customHeight="1" outlineLevel="1" x14ac:dyDescent="0.25">
      <c r="A803" s="4">
        <v>652</v>
      </c>
      <c r="B803" s="6" t="s">
        <v>15</v>
      </c>
      <c r="C803" s="38" t="s">
        <v>8184</v>
      </c>
      <c r="D803" s="6">
        <v>2023</v>
      </c>
      <c r="E803" s="6" t="s">
        <v>12</v>
      </c>
      <c r="F803" s="6">
        <v>180</v>
      </c>
      <c r="G803" s="40">
        <v>10</v>
      </c>
      <c r="H803" s="40">
        <v>381.64</v>
      </c>
      <c r="I803" s="212"/>
      <c r="J803" s="212"/>
    </row>
    <row r="804" spans="1:10" s="5" customFormat="1" ht="30" hidden="1" customHeight="1" outlineLevel="1" x14ac:dyDescent="0.25">
      <c r="A804" s="4">
        <v>661</v>
      </c>
      <c r="B804" s="6" t="s">
        <v>15</v>
      </c>
      <c r="C804" s="38" t="s">
        <v>8185</v>
      </c>
      <c r="D804" s="6">
        <v>2023</v>
      </c>
      <c r="E804" s="6" t="s">
        <v>12</v>
      </c>
      <c r="F804" s="6">
        <v>120</v>
      </c>
      <c r="G804" s="40">
        <v>10</v>
      </c>
      <c r="H804" s="40">
        <v>284.96660000000003</v>
      </c>
      <c r="I804" s="212"/>
      <c r="J804" s="212"/>
    </row>
    <row r="805" spans="1:10" s="5" customFormat="1" ht="30" hidden="1" customHeight="1" outlineLevel="1" x14ac:dyDescent="0.25">
      <c r="A805" s="4">
        <v>915</v>
      </c>
      <c r="B805" s="6" t="s">
        <v>15</v>
      </c>
      <c r="C805" s="38" t="s">
        <v>8186</v>
      </c>
      <c r="D805" s="6">
        <v>2023</v>
      </c>
      <c r="E805" s="6" t="s">
        <v>12</v>
      </c>
      <c r="F805" s="6">
        <v>240</v>
      </c>
      <c r="G805" s="40">
        <v>15</v>
      </c>
      <c r="H805" s="40">
        <v>379.44780000000003</v>
      </c>
      <c r="I805" s="212"/>
      <c r="J805" s="212"/>
    </row>
    <row r="806" spans="1:10" s="5" customFormat="1" ht="30" hidden="1" customHeight="1" outlineLevel="1" x14ac:dyDescent="0.25">
      <c r="A806" s="4">
        <v>2061</v>
      </c>
      <c r="B806" s="6" t="s">
        <v>15</v>
      </c>
      <c r="C806" s="38" t="s">
        <v>8187</v>
      </c>
      <c r="D806" s="6">
        <v>2023</v>
      </c>
      <c r="E806" s="6" t="s">
        <v>12</v>
      </c>
      <c r="F806" s="6">
        <v>60</v>
      </c>
      <c r="G806" s="40">
        <v>7</v>
      </c>
      <c r="H806" s="40">
        <v>192.69290000000001</v>
      </c>
      <c r="I806" s="212"/>
      <c r="J806" s="212"/>
    </row>
    <row r="807" spans="1:10" s="5" customFormat="1" ht="30" hidden="1" customHeight="1" outlineLevel="1" x14ac:dyDescent="0.25">
      <c r="A807" s="4">
        <v>2079</v>
      </c>
      <c r="B807" s="6" t="s">
        <v>15</v>
      </c>
      <c r="C807" s="38" t="s">
        <v>8188</v>
      </c>
      <c r="D807" s="6">
        <v>2023</v>
      </c>
      <c r="E807" s="6" t="s">
        <v>12</v>
      </c>
      <c r="F807" s="6">
        <v>20</v>
      </c>
      <c r="G807" s="40">
        <v>2</v>
      </c>
      <c r="H807" s="40">
        <v>118.247</v>
      </c>
      <c r="I807" s="212"/>
      <c r="J807" s="212"/>
    </row>
    <row r="808" spans="1:10" s="5" customFormat="1" ht="30" hidden="1" customHeight="1" outlineLevel="1" x14ac:dyDescent="0.25">
      <c r="A808" s="4">
        <v>2861</v>
      </c>
      <c r="B808" s="6" t="s">
        <v>15</v>
      </c>
      <c r="C808" s="38" t="s">
        <v>8189</v>
      </c>
      <c r="D808" s="6">
        <v>2023</v>
      </c>
      <c r="E808" s="6" t="s">
        <v>12</v>
      </c>
      <c r="F808" s="6">
        <v>100</v>
      </c>
      <c r="G808" s="40">
        <v>15</v>
      </c>
      <c r="H808" s="40">
        <v>238.7251</v>
      </c>
      <c r="I808" s="212"/>
      <c r="J808" s="212"/>
    </row>
    <row r="809" spans="1:10" s="5" customFormat="1" ht="30" hidden="1" customHeight="1" outlineLevel="1" x14ac:dyDescent="0.25">
      <c r="A809" s="4">
        <v>2177</v>
      </c>
      <c r="B809" s="6" t="s">
        <v>15</v>
      </c>
      <c r="C809" s="38" t="s">
        <v>8190</v>
      </c>
      <c r="D809" s="6">
        <v>2023</v>
      </c>
      <c r="E809" s="6" t="s">
        <v>12</v>
      </c>
      <c r="F809" s="6">
        <v>70</v>
      </c>
      <c r="G809" s="40">
        <v>10</v>
      </c>
      <c r="H809" s="40">
        <v>203.0264</v>
      </c>
      <c r="I809" s="212"/>
      <c r="J809" s="212"/>
    </row>
    <row r="810" spans="1:10" s="5" customFormat="1" ht="30" hidden="1" customHeight="1" outlineLevel="1" x14ac:dyDescent="0.25">
      <c r="A810" s="4">
        <v>2868</v>
      </c>
      <c r="B810" s="6" t="s">
        <v>15</v>
      </c>
      <c r="C810" s="38" t="s">
        <v>8191</v>
      </c>
      <c r="D810" s="6">
        <v>2023</v>
      </c>
      <c r="E810" s="6" t="s">
        <v>12</v>
      </c>
      <c r="F810" s="6">
        <v>60</v>
      </c>
      <c r="G810" s="40">
        <v>15</v>
      </c>
      <c r="H810" s="40">
        <v>108.276</v>
      </c>
      <c r="I810" s="212"/>
      <c r="J810" s="212"/>
    </row>
    <row r="811" spans="1:10" s="5" customFormat="1" ht="30" hidden="1" customHeight="1" outlineLevel="1" x14ac:dyDescent="0.25">
      <c r="A811" s="4">
        <v>2295</v>
      </c>
      <c r="B811" s="6" t="s">
        <v>15</v>
      </c>
      <c r="C811" s="38" t="s">
        <v>8192</v>
      </c>
      <c r="D811" s="6">
        <v>2023</v>
      </c>
      <c r="E811" s="6" t="s">
        <v>12</v>
      </c>
      <c r="F811" s="6">
        <v>45</v>
      </c>
      <c r="G811" s="40">
        <v>15</v>
      </c>
      <c r="H811" s="40">
        <v>115.37899999999999</v>
      </c>
      <c r="I811" s="212"/>
      <c r="J811" s="212"/>
    </row>
    <row r="812" spans="1:10" s="5" customFormat="1" ht="30" hidden="1" customHeight="1" outlineLevel="1" x14ac:dyDescent="0.25">
      <c r="A812" s="4">
        <v>6533</v>
      </c>
      <c r="B812" s="6" t="s">
        <v>15</v>
      </c>
      <c r="C812" s="38" t="s">
        <v>8193</v>
      </c>
      <c r="D812" s="6">
        <v>2023</v>
      </c>
      <c r="E812" s="6" t="s">
        <v>12</v>
      </c>
      <c r="F812" s="6">
        <v>20</v>
      </c>
      <c r="G812" s="40">
        <v>7.5</v>
      </c>
      <c r="H812" s="40">
        <v>76.87557000000001</v>
      </c>
      <c r="I812" s="212"/>
      <c r="J812" s="212"/>
    </row>
    <row r="813" spans="1:10" s="5" customFormat="1" ht="30" hidden="1" customHeight="1" outlineLevel="1" x14ac:dyDescent="0.25">
      <c r="A813" s="4">
        <v>1654</v>
      </c>
      <c r="B813" s="6" t="s">
        <v>15</v>
      </c>
      <c r="C813" s="38" t="s">
        <v>8194</v>
      </c>
      <c r="D813" s="6">
        <v>2023</v>
      </c>
      <c r="E813" s="6" t="s">
        <v>12</v>
      </c>
      <c r="F813" s="6">
        <v>386</v>
      </c>
      <c r="G813" s="40">
        <v>15</v>
      </c>
      <c r="H813" s="40">
        <v>767.10199999999998</v>
      </c>
      <c r="I813" s="212"/>
      <c r="J813" s="212"/>
    </row>
    <row r="814" spans="1:10" s="5" customFormat="1" ht="30" hidden="1" customHeight="1" outlineLevel="1" x14ac:dyDescent="0.25">
      <c r="A814" s="4">
        <v>2243</v>
      </c>
      <c r="B814" s="6" t="s">
        <v>15</v>
      </c>
      <c r="C814" s="38" t="s">
        <v>8195</v>
      </c>
      <c r="D814" s="6">
        <v>2023</v>
      </c>
      <c r="E814" s="6" t="s">
        <v>12</v>
      </c>
      <c r="F814" s="6">
        <v>42</v>
      </c>
      <c r="G814" s="40">
        <v>15</v>
      </c>
      <c r="H814" s="40">
        <v>268.97480000000002</v>
      </c>
      <c r="I814" s="212"/>
      <c r="J814" s="212"/>
    </row>
    <row r="815" spans="1:10" s="5" customFormat="1" ht="30" hidden="1" customHeight="1" outlineLevel="1" x14ac:dyDescent="0.25">
      <c r="A815" s="4">
        <v>805</v>
      </c>
      <c r="B815" s="6" t="s">
        <v>15</v>
      </c>
      <c r="C815" s="38" t="s">
        <v>8196</v>
      </c>
      <c r="D815" s="6">
        <v>2023</v>
      </c>
      <c r="E815" s="6" t="s">
        <v>12</v>
      </c>
      <c r="F815" s="6">
        <v>192</v>
      </c>
      <c r="G815" s="40">
        <v>15</v>
      </c>
      <c r="H815" s="40">
        <v>627.66359999999997</v>
      </c>
      <c r="I815" s="212"/>
      <c r="J815" s="212"/>
    </row>
    <row r="816" spans="1:10" s="5" customFormat="1" ht="30" hidden="1" customHeight="1" outlineLevel="1" x14ac:dyDescent="0.25">
      <c r="A816" s="4">
        <v>3039</v>
      </c>
      <c r="B816" s="6" t="s">
        <v>15</v>
      </c>
      <c r="C816" s="38" t="s">
        <v>8197</v>
      </c>
      <c r="D816" s="6">
        <v>2023</v>
      </c>
      <c r="E816" s="6" t="s">
        <v>12</v>
      </c>
      <c r="F816" s="6">
        <v>210</v>
      </c>
      <c r="G816" s="40">
        <v>65</v>
      </c>
      <c r="H816" s="40">
        <v>78.907000000000011</v>
      </c>
      <c r="I816" s="212"/>
      <c r="J816" s="212"/>
    </row>
    <row r="817" spans="1:10" s="5" customFormat="1" ht="30" hidden="1" customHeight="1" outlineLevel="1" x14ac:dyDescent="0.25">
      <c r="A817" s="4">
        <v>2592</v>
      </c>
      <c r="B817" s="6" t="s">
        <v>15</v>
      </c>
      <c r="C817" s="38" t="s">
        <v>8198</v>
      </c>
      <c r="D817" s="6">
        <v>2023</v>
      </c>
      <c r="E817" s="6" t="s">
        <v>12</v>
      </c>
      <c r="F817" s="6">
        <v>187</v>
      </c>
      <c r="G817" s="40">
        <v>7.5</v>
      </c>
      <c r="H817" s="40">
        <v>610.26599999999996</v>
      </c>
      <c r="I817" s="212"/>
      <c r="J817" s="212"/>
    </row>
    <row r="818" spans="1:10" s="5" customFormat="1" ht="30" hidden="1" customHeight="1" outlineLevel="1" x14ac:dyDescent="0.25">
      <c r="A818" s="4">
        <v>3150</v>
      </c>
      <c r="B818" s="6" t="s">
        <v>15</v>
      </c>
      <c r="C818" s="38" t="s">
        <v>8199</v>
      </c>
      <c r="D818" s="6">
        <v>2023</v>
      </c>
      <c r="E818" s="6" t="s">
        <v>12</v>
      </c>
      <c r="F818" s="6">
        <v>130</v>
      </c>
      <c r="G818" s="40">
        <v>100</v>
      </c>
      <c r="H818" s="40">
        <v>385.548</v>
      </c>
      <c r="I818" s="212"/>
      <c r="J818" s="212"/>
    </row>
    <row r="819" spans="1:10" s="5" customFormat="1" ht="30" hidden="1" customHeight="1" outlineLevel="1" x14ac:dyDescent="0.25">
      <c r="A819" s="4">
        <v>644</v>
      </c>
      <c r="B819" s="6" t="s">
        <v>15</v>
      </c>
      <c r="C819" s="38" t="s">
        <v>8200</v>
      </c>
      <c r="D819" s="6">
        <v>2023</v>
      </c>
      <c r="E819" s="6" t="s">
        <v>12</v>
      </c>
      <c r="F819" s="6">
        <v>140</v>
      </c>
      <c r="G819" s="40">
        <v>15</v>
      </c>
      <c r="H819" s="40">
        <v>358.827</v>
      </c>
      <c r="I819" s="212"/>
      <c r="J819" s="212"/>
    </row>
    <row r="820" spans="1:10" s="5" customFormat="1" ht="30" hidden="1" customHeight="1" outlineLevel="1" x14ac:dyDescent="0.25">
      <c r="A820" s="4">
        <v>678</v>
      </c>
      <c r="B820" s="6" t="s">
        <v>15</v>
      </c>
      <c r="C820" s="38" t="s">
        <v>8201</v>
      </c>
      <c r="D820" s="6">
        <v>2023</v>
      </c>
      <c r="E820" s="6" t="s">
        <v>12</v>
      </c>
      <c r="F820" s="6">
        <v>20</v>
      </c>
      <c r="G820" s="40">
        <v>14</v>
      </c>
      <c r="H820" s="40">
        <v>73.432000000000002</v>
      </c>
      <c r="I820" s="212"/>
      <c r="J820" s="212"/>
    </row>
    <row r="821" spans="1:10" s="5" customFormat="1" ht="30" hidden="1" customHeight="1" outlineLevel="1" x14ac:dyDescent="0.25">
      <c r="A821" s="4">
        <v>633</v>
      </c>
      <c r="B821" s="6" t="s">
        <v>15</v>
      </c>
      <c r="C821" s="38" t="s">
        <v>8202</v>
      </c>
      <c r="D821" s="6">
        <v>2023</v>
      </c>
      <c r="E821" s="6" t="s">
        <v>12</v>
      </c>
      <c r="F821" s="6">
        <v>15</v>
      </c>
      <c r="G821" s="40">
        <v>10</v>
      </c>
      <c r="H821" s="40">
        <v>63.612000000000002</v>
      </c>
      <c r="I821" s="212"/>
      <c r="J821" s="212"/>
    </row>
    <row r="822" spans="1:10" s="5" customFormat="1" ht="30" hidden="1" customHeight="1" outlineLevel="1" x14ac:dyDescent="0.25">
      <c r="A822" s="4">
        <v>1070</v>
      </c>
      <c r="B822" s="6" t="s">
        <v>15</v>
      </c>
      <c r="C822" s="38" t="s">
        <v>8203</v>
      </c>
      <c r="D822" s="6">
        <v>2023</v>
      </c>
      <c r="E822" s="6" t="s">
        <v>12</v>
      </c>
      <c r="F822" s="6">
        <v>120</v>
      </c>
      <c r="G822" s="40">
        <v>15</v>
      </c>
      <c r="H822" s="40">
        <v>305.21999999999997</v>
      </c>
      <c r="I822" s="212"/>
      <c r="J822" s="212"/>
    </row>
    <row r="823" spans="1:10" s="5" customFormat="1" ht="30" hidden="1" customHeight="1" outlineLevel="1" x14ac:dyDescent="0.25">
      <c r="A823" s="4">
        <v>6534</v>
      </c>
      <c r="B823" s="6" t="s">
        <v>15</v>
      </c>
      <c r="C823" s="38" t="s">
        <v>8204</v>
      </c>
      <c r="D823" s="6">
        <v>2023</v>
      </c>
      <c r="E823" s="6" t="s">
        <v>12</v>
      </c>
      <c r="F823" s="6">
        <v>40</v>
      </c>
      <c r="G823" s="40">
        <v>45</v>
      </c>
      <c r="H823" s="40">
        <v>139.2398</v>
      </c>
      <c r="I823" s="212"/>
      <c r="J823" s="212"/>
    </row>
    <row r="824" spans="1:10" s="5" customFormat="1" ht="30" hidden="1" customHeight="1" outlineLevel="1" x14ac:dyDescent="0.25">
      <c r="A824" s="4">
        <v>2877</v>
      </c>
      <c r="B824" s="6" t="s">
        <v>15</v>
      </c>
      <c r="C824" s="38" t="s">
        <v>8205</v>
      </c>
      <c r="D824" s="6">
        <v>2023</v>
      </c>
      <c r="E824" s="6" t="s">
        <v>12</v>
      </c>
      <c r="F824" s="6">
        <v>65</v>
      </c>
      <c r="G824" s="40">
        <v>15</v>
      </c>
      <c r="H824" s="40">
        <v>172.87379999999999</v>
      </c>
      <c r="I824" s="212"/>
      <c r="J824" s="212"/>
    </row>
    <row r="825" spans="1:10" s="5" customFormat="1" ht="30" hidden="1" customHeight="1" outlineLevel="1" x14ac:dyDescent="0.25">
      <c r="A825" s="4">
        <v>2383</v>
      </c>
      <c r="B825" s="6" t="s">
        <v>15</v>
      </c>
      <c r="C825" s="38" t="s">
        <v>8206</v>
      </c>
      <c r="D825" s="6">
        <v>2023</v>
      </c>
      <c r="E825" s="6" t="s">
        <v>12</v>
      </c>
      <c r="F825" s="6">
        <v>55</v>
      </c>
      <c r="G825" s="40">
        <v>10</v>
      </c>
      <c r="H825" s="40">
        <v>160.21959999999999</v>
      </c>
      <c r="I825" s="212"/>
      <c r="J825" s="212"/>
    </row>
    <row r="826" spans="1:10" s="5" customFormat="1" ht="30" hidden="1" customHeight="1" outlineLevel="1" x14ac:dyDescent="0.25">
      <c r="A826" s="4">
        <v>2409</v>
      </c>
      <c r="B826" s="6" t="s">
        <v>15</v>
      </c>
      <c r="C826" s="38" t="s">
        <v>8207</v>
      </c>
      <c r="D826" s="6">
        <v>2023</v>
      </c>
      <c r="E826" s="6" t="s">
        <v>12</v>
      </c>
      <c r="F826" s="6">
        <v>40</v>
      </c>
      <c r="G826" s="40">
        <v>5</v>
      </c>
      <c r="H826" s="40">
        <v>175.239</v>
      </c>
      <c r="I826" s="212"/>
      <c r="J826" s="212"/>
    </row>
    <row r="827" spans="1:10" s="5" customFormat="1" ht="30" hidden="1" customHeight="1" outlineLevel="1" x14ac:dyDescent="0.25">
      <c r="A827" s="4">
        <v>2466</v>
      </c>
      <c r="B827" s="6" t="s">
        <v>15</v>
      </c>
      <c r="C827" s="38" t="s">
        <v>8208</v>
      </c>
      <c r="D827" s="6">
        <v>2023</v>
      </c>
      <c r="E827" s="6" t="s">
        <v>12</v>
      </c>
      <c r="F827" s="6">
        <v>85</v>
      </c>
      <c r="G827" s="40">
        <v>10</v>
      </c>
      <c r="H827" s="40">
        <v>205.2149</v>
      </c>
      <c r="I827" s="212"/>
      <c r="J827" s="212"/>
    </row>
    <row r="828" spans="1:10" s="5" customFormat="1" ht="30" hidden="1" customHeight="1" outlineLevel="1" x14ac:dyDescent="0.25">
      <c r="A828" s="4">
        <v>2497</v>
      </c>
      <c r="B828" s="6" t="s">
        <v>15</v>
      </c>
      <c r="C828" s="38" t="s">
        <v>8209</v>
      </c>
      <c r="D828" s="6">
        <v>2023</v>
      </c>
      <c r="E828" s="6" t="s">
        <v>12</v>
      </c>
      <c r="F828" s="6">
        <v>30</v>
      </c>
      <c r="G828" s="40">
        <v>5</v>
      </c>
      <c r="H828" s="40">
        <v>96.843699999999998</v>
      </c>
      <c r="I828" s="212"/>
      <c r="J828" s="212"/>
    </row>
    <row r="829" spans="1:10" s="5" customFormat="1" ht="30" hidden="1" customHeight="1" outlineLevel="1" x14ac:dyDescent="0.25">
      <c r="A829" s="4">
        <v>2889</v>
      </c>
      <c r="B829" s="6" t="s">
        <v>15</v>
      </c>
      <c r="C829" s="38" t="s">
        <v>8210</v>
      </c>
      <c r="D829" s="6">
        <v>2023</v>
      </c>
      <c r="E829" s="6" t="s">
        <v>12</v>
      </c>
      <c r="F829" s="6">
        <v>55</v>
      </c>
      <c r="G829" s="40">
        <v>15</v>
      </c>
      <c r="H829" s="40">
        <v>196.571</v>
      </c>
      <c r="I829" s="212"/>
      <c r="J829" s="212"/>
    </row>
    <row r="830" spans="1:10" s="5" customFormat="1" ht="30" hidden="1" customHeight="1" outlineLevel="1" x14ac:dyDescent="0.25">
      <c r="A830" s="4">
        <v>2500</v>
      </c>
      <c r="B830" s="6" t="s">
        <v>15</v>
      </c>
      <c r="C830" s="38" t="s">
        <v>8211</v>
      </c>
      <c r="D830" s="6">
        <v>2023</v>
      </c>
      <c r="E830" s="6" t="s">
        <v>12</v>
      </c>
      <c r="F830" s="6">
        <v>65</v>
      </c>
      <c r="G830" s="40">
        <v>5</v>
      </c>
      <c r="H830" s="40">
        <v>217.90100000000001</v>
      </c>
      <c r="I830" s="212"/>
      <c r="J830" s="212"/>
    </row>
    <row r="831" spans="1:10" s="5" customFormat="1" ht="30" hidden="1" customHeight="1" outlineLevel="1" x14ac:dyDescent="0.25">
      <c r="A831" s="4">
        <v>1680</v>
      </c>
      <c r="B831" s="6" t="s">
        <v>15</v>
      </c>
      <c r="C831" s="38" t="s">
        <v>8212</v>
      </c>
      <c r="D831" s="6">
        <v>2023</v>
      </c>
      <c r="E831" s="6" t="s">
        <v>12</v>
      </c>
      <c r="F831" s="6">
        <v>642</v>
      </c>
      <c r="G831" s="40">
        <v>3</v>
      </c>
      <c r="H831" s="40">
        <v>1275.221</v>
      </c>
      <c r="I831" s="212"/>
      <c r="J831" s="212"/>
    </row>
    <row r="832" spans="1:10" s="5" customFormat="1" ht="30" hidden="1" customHeight="1" outlineLevel="1" x14ac:dyDescent="0.25">
      <c r="A832" s="4">
        <v>1233</v>
      </c>
      <c r="B832" s="6" t="s">
        <v>15</v>
      </c>
      <c r="C832" s="38" t="s">
        <v>8213</v>
      </c>
      <c r="D832" s="6">
        <v>2023</v>
      </c>
      <c r="E832" s="6" t="s">
        <v>12</v>
      </c>
      <c r="F832" s="6">
        <v>300</v>
      </c>
      <c r="G832" s="40">
        <v>15</v>
      </c>
      <c r="H832" s="40">
        <v>727.17779999999993</v>
      </c>
      <c r="I832" s="212"/>
      <c r="J832" s="212"/>
    </row>
    <row r="833" spans="1:10" s="5" customFormat="1" ht="30" hidden="1" customHeight="1" outlineLevel="1" x14ac:dyDescent="0.25">
      <c r="A833" s="4">
        <v>6692</v>
      </c>
      <c r="B833" s="6" t="s">
        <v>15</v>
      </c>
      <c r="C833" s="38" t="s">
        <v>8214</v>
      </c>
      <c r="D833" s="6">
        <v>2023</v>
      </c>
      <c r="E833" s="6" t="s">
        <v>12</v>
      </c>
      <c r="F833" s="6">
        <v>190</v>
      </c>
      <c r="G833" s="40">
        <v>15</v>
      </c>
      <c r="H833" s="40">
        <v>647.24099999999999</v>
      </c>
      <c r="I833" s="212"/>
      <c r="J833" s="212"/>
    </row>
    <row r="834" spans="1:10" s="5" customFormat="1" ht="30" hidden="1" customHeight="1" outlineLevel="1" x14ac:dyDescent="0.25">
      <c r="A834" s="4">
        <v>3159</v>
      </c>
      <c r="B834" s="6" t="s">
        <v>15</v>
      </c>
      <c r="C834" s="38" t="s">
        <v>8215</v>
      </c>
      <c r="D834" s="6">
        <v>2023</v>
      </c>
      <c r="E834" s="6" t="s">
        <v>12</v>
      </c>
      <c r="F834" s="6">
        <v>193</v>
      </c>
      <c r="G834" s="40">
        <v>90</v>
      </c>
      <c r="H834" s="40">
        <v>362.30700000000002</v>
      </c>
      <c r="I834" s="212"/>
      <c r="J834" s="212"/>
    </row>
    <row r="835" spans="1:10" s="5" customFormat="1" ht="30" hidden="1" customHeight="1" outlineLevel="1" x14ac:dyDescent="0.25">
      <c r="A835" s="4">
        <v>3330</v>
      </c>
      <c r="B835" s="6" t="s">
        <v>15</v>
      </c>
      <c r="C835" s="38" t="s">
        <v>8216</v>
      </c>
      <c r="D835" s="6">
        <v>2023</v>
      </c>
      <c r="E835" s="6" t="s">
        <v>12</v>
      </c>
      <c r="F835" s="6">
        <v>64</v>
      </c>
      <c r="G835" s="40">
        <v>3</v>
      </c>
      <c r="H835" s="40">
        <v>305.63689999999997</v>
      </c>
      <c r="I835" s="212"/>
      <c r="J835" s="212"/>
    </row>
    <row r="836" spans="1:10" s="5" customFormat="1" ht="30" hidden="1" customHeight="1" outlineLevel="1" x14ac:dyDescent="0.25">
      <c r="A836" s="4">
        <v>2169</v>
      </c>
      <c r="B836" s="6" t="s">
        <v>15</v>
      </c>
      <c r="C836" s="38" t="s">
        <v>8217</v>
      </c>
      <c r="D836" s="6">
        <v>2023</v>
      </c>
      <c r="E836" s="6" t="s">
        <v>12</v>
      </c>
      <c r="F836" s="6">
        <v>26</v>
      </c>
      <c r="G836" s="40">
        <v>5</v>
      </c>
      <c r="H836" s="40">
        <v>238.113</v>
      </c>
      <c r="I836" s="212"/>
      <c r="J836" s="212"/>
    </row>
    <row r="837" spans="1:10" s="5" customFormat="1" ht="30" hidden="1" customHeight="1" outlineLevel="1" x14ac:dyDescent="0.25">
      <c r="A837" s="4">
        <v>4020</v>
      </c>
      <c r="B837" s="6" t="s">
        <v>15</v>
      </c>
      <c r="C837" s="38" t="s">
        <v>8218</v>
      </c>
      <c r="D837" s="6">
        <v>2023</v>
      </c>
      <c r="E837" s="6" t="s">
        <v>12</v>
      </c>
      <c r="F837" s="6">
        <v>30</v>
      </c>
      <c r="G837" s="40">
        <v>13.5</v>
      </c>
      <c r="H837" s="40">
        <v>82.746310000000008</v>
      </c>
      <c r="I837" s="212"/>
      <c r="J837" s="212"/>
    </row>
    <row r="838" spans="1:10" s="5" customFormat="1" ht="30" hidden="1" customHeight="1" outlineLevel="1" x14ac:dyDescent="0.25">
      <c r="A838" s="4">
        <v>3990</v>
      </c>
      <c r="B838" s="6" t="s">
        <v>15</v>
      </c>
      <c r="C838" s="38" t="s">
        <v>8219</v>
      </c>
      <c r="D838" s="6">
        <v>2023</v>
      </c>
      <c r="E838" s="6" t="s">
        <v>12</v>
      </c>
      <c r="F838" s="6">
        <v>92</v>
      </c>
      <c r="G838" s="40">
        <v>10</v>
      </c>
      <c r="H838" s="40">
        <v>174.36134999999999</v>
      </c>
      <c r="I838" s="212"/>
      <c r="J838" s="212"/>
    </row>
    <row r="839" spans="1:10" s="5" customFormat="1" ht="30" hidden="1" customHeight="1" outlineLevel="1" x14ac:dyDescent="0.25">
      <c r="A839" s="4">
        <v>3992</v>
      </c>
      <c r="B839" s="6" t="s">
        <v>15</v>
      </c>
      <c r="C839" s="38" t="s">
        <v>8220</v>
      </c>
      <c r="D839" s="6">
        <v>2023</v>
      </c>
      <c r="E839" s="6" t="s">
        <v>12</v>
      </c>
      <c r="F839" s="6">
        <v>170</v>
      </c>
      <c r="G839" s="40">
        <v>15</v>
      </c>
      <c r="H839" s="40">
        <v>264.14882999999998</v>
      </c>
      <c r="I839" s="212"/>
      <c r="J839" s="212"/>
    </row>
    <row r="840" spans="1:10" s="5" customFormat="1" ht="30" hidden="1" customHeight="1" outlineLevel="1" x14ac:dyDescent="0.25">
      <c r="A840" s="4">
        <v>3996</v>
      </c>
      <c r="B840" s="6" t="s">
        <v>15</v>
      </c>
      <c r="C840" s="38" t="s">
        <v>8221</v>
      </c>
      <c r="D840" s="6">
        <v>2023</v>
      </c>
      <c r="E840" s="6" t="s">
        <v>12</v>
      </c>
      <c r="F840" s="6">
        <v>10</v>
      </c>
      <c r="G840" s="40">
        <v>15</v>
      </c>
      <c r="H840" s="40">
        <v>129.91655999999998</v>
      </c>
      <c r="I840" s="212"/>
      <c r="J840" s="212"/>
    </row>
    <row r="841" spans="1:10" s="5" customFormat="1" ht="30" hidden="1" customHeight="1" outlineLevel="1" x14ac:dyDescent="0.25">
      <c r="A841" s="4">
        <v>4003</v>
      </c>
      <c r="B841" s="6" t="s">
        <v>15</v>
      </c>
      <c r="C841" s="38" t="s">
        <v>8222</v>
      </c>
      <c r="D841" s="6">
        <v>2023</v>
      </c>
      <c r="E841" s="6" t="s">
        <v>12</v>
      </c>
      <c r="F841" s="6">
        <v>95</v>
      </c>
      <c r="G841" s="40">
        <v>5</v>
      </c>
      <c r="H841" s="40">
        <v>158.32709</v>
      </c>
      <c r="I841" s="212"/>
      <c r="J841" s="212"/>
    </row>
    <row r="842" spans="1:10" s="5" customFormat="1" ht="30" hidden="1" customHeight="1" outlineLevel="1" x14ac:dyDescent="0.25">
      <c r="A842" s="4">
        <v>4014</v>
      </c>
      <c r="B842" s="6" t="s">
        <v>15</v>
      </c>
      <c r="C842" s="38" t="s">
        <v>8223</v>
      </c>
      <c r="D842" s="6">
        <v>2023</v>
      </c>
      <c r="E842" s="6" t="s">
        <v>12</v>
      </c>
      <c r="F842" s="6">
        <v>20</v>
      </c>
      <c r="G842" s="40">
        <v>15</v>
      </c>
      <c r="H842" s="40">
        <v>110.24974999999999</v>
      </c>
      <c r="I842" s="212"/>
      <c r="J842" s="212"/>
    </row>
    <row r="843" spans="1:10" s="5" customFormat="1" ht="30" hidden="1" customHeight="1" outlineLevel="1" x14ac:dyDescent="0.25">
      <c r="A843" s="4">
        <v>4021</v>
      </c>
      <c r="B843" s="6" t="s">
        <v>15</v>
      </c>
      <c r="C843" s="38" t="s">
        <v>8224</v>
      </c>
      <c r="D843" s="6">
        <v>2023</v>
      </c>
      <c r="E843" s="6" t="s">
        <v>12</v>
      </c>
      <c r="F843" s="6">
        <v>30</v>
      </c>
      <c r="G843" s="40">
        <v>5</v>
      </c>
      <c r="H843" s="40">
        <v>83.882649999999998</v>
      </c>
      <c r="I843" s="212"/>
      <c r="J843" s="212"/>
    </row>
    <row r="844" spans="1:10" s="5" customFormat="1" ht="30" hidden="1" customHeight="1" outlineLevel="1" x14ac:dyDescent="0.25">
      <c r="A844" s="4">
        <v>3902</v>
      </c>
      <c r="B844" s="6" t="s">
        <v>15</v>
      </c>
      <c r="C844" s="38" t="s">
        <v>8225</v>
      </c>
      <c r="D844" s="6">
        <v>2023</v>
      </c>
      <c r="E844" s="6" t="s">
        <v>12</v>
      </c>
      <c r="F844" s="6">
        <v>80</v>
      </c>
      <c r="G844" s="40">
        <v>10</v>
      </c>
      <c r="H844" s="40">
        <v>177.15929</v>
      </c>
      <c r="I844" s="212"/>
      <c r="J844" s="212"/>
    </row>
    <row r="845" spans="1:10" s="5" customFormat="1" ht="30" hidden="1" customHeight="1" outlineLevel="1" x14ac:dyDescent="0.25">
      <c r="A845" s="4">
        <v>561</v>
      </c>
      <c r="B845" s="6" t="s">
        <v>15</v>
      </c>
      <c r="C845" s="38" t="s">
        <v>8226</v>
      </c>
      <c r="D845" s="6">
        <v>2023</v>
      </c>
      <c r="E845" s="6" t="s">
        <v>12</v>
      </c>
      <c r="F845" s="6">
        <v>80</v>
      </c>
      <c r="G845" s="40">
        <v>5</v>
      </c>
      <c r="H845" s="40">
        <v>134.91915</v>
      </c>
      <c r="I845" s="212"/>
      <c r="J845" s="212"/>
    </row>
    <row r="846" spans="1:10" s="5" customFormat="1" ht="30" hidden="1" customHeight="1" outlineLevel="1" x14ac:dyDescent="0.25">
      <c r="A846" s="4">
        <v>3812</v>
      </c>
      <c r="B846" s="6" t="s">
        <v>15</v>
      </c>
      <c r="C846" s="38" t="s">
        <v>8227</v>
      </c>
      <c r="D846" s="6">
        <v>2023</v>
      </c>
      <c r="E846" s="6" t="s">
        <v>12</v>
      </c>
      <c r="F846" s="6">
        <v>20</v>
      </c>
      <c r="G846" s="40">
        <v>15</v>
      </c>
      <c r="H846" s="40">
        <v>59.059180000000005</v>
      </c>
      <c r="I846" s="212"/>
      <c r="J846" s="212"/>
    </row>
    <row r="847" spans="1:10" s="5" customFormat="1" ht="30" hidden="1" customHeight="1" outlineLevel="1" x14ac:dyDescent="0.25">
      <c r="A847" s="4">
        <v>3942</v>
      </c>
      <c r="B847" s="6" t="s">
        <v>15</v>
      </c>
      <c r="C847" s="38" t="s">
        <v>8228</v>
      </c>
      <c r="D847" s="6">
        <v>2023</v>
      </c>
      <c r="E847" s="6" t="s">
        <v>12</v>
      </c>
      <c r="F847" s="6">
        <v>30</v>
      </c>
      <c r="G847" s="40">
        <v>10</v>
      </c>
      <c r="H847" s="40">
        <v>94.896230000000003</v>
      </c>
      <c r="I847" s="212"/>
      <c r="J847" s="212"/>
    </row>
    <row r="848" spans="1:10" s="5" customFormat="1" ht="30" hidden="1" customHeight="1" outlineLevel="1" x14ac:dyDescent="0.25">
      <c r="A848" s="4">
        <v>3912</v>
      </c>
      <c r="B848" s="6" t="s">
        <v>15</v>
      </c>
      <c r="C848" s="38" t="s">
        <v>8229</v>
      </c>
      <c r="D848" s="6">
        <v>2023</v>
      </c>
      <c r="E848" s="6" t="s">
        <v>12</v>
      </c>
      <c r="F848" s="6">
        <v>16</v>
      </c>
      <c r="G848" s="40">
        <v>5</v>
      </c>
      <c r="H848" s="40">
        <v>81.13409</v>
      </c>
      <c r="I848" s="212"/>
      <c r="J848" s="212"/>
    </row>
    <row r="849" spans="1:10" s="5" customFormat="1" ht="30" hidden="1" customHeight="1" outlineLevel="1" x14ac:dyDescent="0.25">
      <c r="A849" s="4">
        <v>3950</v>
      </c>
      <c r="B849" s="6" t="s">
        <v>15</v>
      </c>
      <c r="C849" s="38" t="s">
        <v>8230</v>
      </c>
      <c r="D849" s="6">
        <v>2023</v>
      </c>
      <c r="E849" s="6" t="s">
        <v>12</v>
      </c>
      <c r="F849" s="6">
        <v>100</v>
      </c>
      <c r="G849" s="40">
        <v>15</v>
      </c>
      <c r="H849" s="40">
        <v>221.93439000000001</v>
      </c>
      <c r="I849" s="212"/>
      <c r="J849" s="212"/>
    </row>
    <row r="850" spans="1:10" s="5" customFormat="1" ht="30" hidden="1" customHeight="1" outlineLevel="1" x14ac:dyDescent="0.25">
      <c r="A850" s="4">
        <v>608</v>
      </c>
      <c r="B850" s="6" t="s">
        <v>15</v>
      </c>
      <c r="C850" s="38" t="s">
        <v>8231</v>
      </c>
      <c r="D850" s="6">
        <v>2023</v>
      </c>
      <c r="E850" s="6" t="s">
        <v>12</v>
      </c>
      <c r="F850" s="6">
        <v>28</v>
      </c>
      <c r="G850" s="40">
        <v>15</v>
      </c>
      <c r="H850" s="40">
        <v>112.61498999999999</v>
      </c>
      <c r="I850" s="212"/>
      <c r="J850" s="212"/>
    </row>
    <row r="851" spans="1:10" s="5" customFormat="1" ht="30" hidden="1" customHeight="1" outlineLevel="1" x14ac:dyDescent="0.25">
      <c r="A851" s="4">
        <v>3963</v>
      </c>
      <c r="B851" s="6" t="s">
        <v>15</v>
      </c>
      <c r="C851" s="38" t="s">
        <v>8232</v>
      </c>
      <c r="D851" s="6">
        <v>2023</v>
      </c>
      <c r="E851" s="6" t="s">
        <v>12</v>
      </c>
      <c r="F851" s="6">
        <v>20</v>
      </c>
      <c r="G851" s="40">
        <v>15</v>
      </c>
      <c r="H851" s="40">
        <v>82.08511</v>
      </c>
      <c r="I851" s="212"/>
      <c r="J851" s="212"/>
    </row>
    <row r="852" spans="1:10" s="5" customFormat="1" ht="30" hidden="1" customHeight="1" outlineLevel="1" x14ac:dyDescent="0.25">
      <c r="A852" s="4">
        <v>3924</v>
      </c>
      <c r="B852" s="6" t="s">
        <v>15</v>
      </c>
      <c r="C852" s="38" t="s">
        <v>8233</v>
      </c>
      <c r="D852" s="6">
        <v>2023</v>
      </c>
      <c r="E852" s="6" t="s">
        <v>12</v>
      </c>
      <c r="F852" s="6">
        <v>70</v>
      </c>
      <c r="G852" s="40">
        <v>15</v>
      </c>
      <c r="H852" s="40">
        <v>161.64956000000001</v>
      </c>
      <c r="I852" s="212"/>
      <c r="J852" s="212"/>
    </row>
    <row r="853" spans="1:10" s="5" customFormat="1" ht="30" hidden="1" customHeight="1" outlineLevel="1" x14ac:dyDescent="0.25">
      <c r="A853" s="4">
        <v>4013</v>
      </c>
      <c r="B853" s="6" t="s">
        <v>15</v>
      </c>
      <c r="C853" s="38" t="s">
        <v>8234</v>
      </c>
      <c r="D853" s="6">
        <v>2023</v>
      </c>
      <c r="E853" s="6" t="s">
        <v>12</v>
      </c>
      <c r="F853" s="6">
        <v>320</v>
      </c>
      <c r="G853" s="40">
        <v>13</v>
      </c>
      <c r="H853" s="40">
        <v>324.76817</v>
      </c>
      <c r="I853" s="212"/>
      <c r="J853" s="212"/>
    </row>
    <row r="854" spans="1:10" s="5" customFormat="1" ht="30" hidden="1" customHeight="1" outlineLevel="1" x14ac:dyDescent="0.25">
      <c r="A854" s="4">
        <v>3534</v>
      </c>
      <c r="B854" s="6" t="s">
        <v>15</v>
      </c>
      <c r="C854" s="38" t="s">
        <v>8235</v>
      </c>
      <c r="D854" s="6">
        <v>2023</v>
      </c>
      <c r="E854" s="6" t="s">
        <v>12</v>
      </c>
      <c r="F854" s="6">
        <v>25</v>
      </c>
      <c r="G854" s="40">
        <v>7</v>
      </c>
      <c r="H854" s="40">
        <v>69.035809999999998</v>
      </c>
      <c r="I854" s="212"/>
      <c r="J854" s="212"/>
    </row>
    <row r="855" spans="1:10" s="5" customFormat="1" ht="30" hidden="1" customHeight="1" outlineLevel="1" x14ac:dyDescent="0.25">
      <c r="A855" s="4">
        <v>3811</v>
      </c>
      <c r="B855" s="6" t="s">
        <v>15</v>
      </c>
      <c r="C855" s="38" t="s">
        <v>8236</v>
      </c>
      <c r="D855" s="6">
        <v>2023</v>
      </c>
      <c r="E855" s="6" t="s">
        <v>12</v>
      </c>
      <c r="F855" s="6">
        <v>25</v>
      </c>
      <c r="G855" s="40">
        <v>15</v>
      </c>
      <c r="H855" s="40">
        <v>79.843540000000004</v>
      </c>
      <c r="I855" s="212"/>
      <c r="J855" s="212"/>
    </row>
    <row r="856" spans="1:10" s="5" customFormat="1" ht="30" hidden="1" customHeight="1" outlineLevel="1" x14ac:dyDescent="0.25">
      <c r="A856" s="4">
        <v>3527</v>
      </c>
      <c r="B856" s="6" t="s">
        <v>15</v>
      </c>
      <c r="C856" s="38" t="s">
        <v>8237</v>
      </c>
      <c r="D856" s="6">
        <v>2023</v>
      </c>
      <c r="E856" s="6" t="s">
        <v>12</v>
      </c>
      <c r="F856" s="6">
        <v>12</v>
      </c>
      <c r="G856" s="40">
        <v>15</v>
      </c>
      <c r="H856" s="40">
        <v>66.958240000000004</v>
      </c>
      <c r="I856" s="212"/>
      <c r="J856" s="212"/>
    </row>
    <row r="857" spans="1:10" s="5" customFormat="1" ht="30" hidden="1" customHeight="1" outlineLevel="1" x14ac:dyDescent="0.25">
      <c r="A857" s="4">
        <v>3622</v>
      </c>
      <c r="B857" s="6" t="s">
        <v>15</v>
      </c>
      <c r="C857" s="38" t="s">
        <v>8238</v>
      </c>
      <c r="D857" s="6">
        <v>2023</v>
      </c>
      <c r="E857" s="6" t="s">
        <v>12</v>
      </c>
      <c r="F857" s="6">
        <v>95</v>
      </c>
      <c r="G857" s="40">
        <v>15</v>
      </c>
      <c r="H857" s="40">
        <v>231.52531000000002</v>
      </c>
      <c r="I857" s="212"/>
      <c r="J857" s="212"/>
    </row>
    <row r="858" spans="1:10" s="5" customFormat="1" ht="30" hidden="1" customHeight="1" outlineLevel="1" x14ac:dyDescent="0.25">
      <c r="A858" s="4">
        <v>3533</v>
      </c>
      <c r="B858" s="6" t="s">
        <v>15</v>
      </c>
      <c r="C858" s="38" t="s">
        <v>8239</v>
      </c>
      <c r="D858" s="6">
        <v>2023</v>
      </c>
      <c r="E858" s="6" t="s">
        <v>12</v>
      </c>
      <c r="F858" s="6">
        <v>50</v>
      </c>
      <c r="G858" s="40">
        <v>15</v>
      </c>
      <c r="H858" s="40">
        <v>96.101619999999997</v>
      </c>
      <c r="I858" s="212"/>
      <c r="J858" s="212"/>
    </row>
    <row r="859" spans="1:10" s="5" customFormat="1" ht="30" hidden="1" customHeight="1" outlineLevel="1" x14ac:dyDescent="0.25">
      <c r="A859" s="4">
        <v>3713</v>
      </c>
      <c r="B859" s="6" t="s">
        <v>15</v>
      </c>
      <c r="C859" s="38" t="s">
        <v>8240</v>
      </c>
      <c r="D859" s="6">
        <v>2023</v>
      </c>
      <c r="E859" s="6" t="s">
        <v>12</v>
      </c>
      <c r="F859" s="6">
        <v>30</v>
      </c>
      <c r="G859" s="40">
        <v>15</v>
      </c>
      <c r="H859" s="40">
        <v>84.514150000000001</v>
      </c>
      <c r="I859" s="212"/>
      <c r="J859" s="212"/>
    </row>
    <row r="860" spans="1:10" s="5" customFormat="1" ht="30" hidden="1" customHeight="1" outlineLevel="1" x14ac:dyDescent="0.25">
      <c r="A860" s="4">
        <v>3532</v>
      </c>
      <c r="B860" s="6" t="s">
        <v>15</v>
      </c>
      <c r="C860" s="38" t="s">
        <v>8241</v>
      </c>
      <c r="D860" s="6">
        <v>2023</v>
      </c>
      <c r="E860" s="6" t="s">
        <v>12</v>
      </c>
      <c r="F860" s="6">
        <v>30</v>
      </c>
      <c r="G860" s="40">
        <v>15</v>
      </c>
      <c r="H860" s="40">
        <v>114.59954999999999</v>
      </c>
      <c r="I860" s="212"/>
      <c r="J860" s="212"/>
    </row>
    <row r="861" spans="1:10" s="5" customFormat="1" ht="30" hidden="1" customHeight="1" outlineLevel="1" x14ac:dyDescent="0.25">
      <c r="A861" s="4">
        <v>3721</v>
      </c>
      <c r="B861" s="6" t="s">
        <v>15</v>
      </c>
      <c r="C861" s="38" t="s">
        <v>8242</v>
      </c>
      <c r="D861" s="6">
        <v>2023</v>
      </c>
      <c r="E861" s="6" t="s">
        <v>12</v>
      </c>
      <c r="F861" s="6">
        <v>30</v>
      </c>
      <c r="G861" s="40">
        <v>15</v>
      </c>
      <c r="H861" s="40">
        <v>82.118209999999991</v>
      </c>
      <c r="I861" s="212"/>
      <c r="J861" s="212"/>
    </row>
    <row r="862" spans="1:10" s="5" customFormat="1" ht="30" hidden="1" customHeight="1" outlineLevel="1" x14ac:dyDescent="0.25">
      <c r="A862" s="4">
        <v>3834</v>
      </c>
      <c r="B862" s="6" t="s">
        <v>15</v>
      </c>
      <c r="C862" s="38" t="s">
        <v>8243</v>
      </c>
      <c r="D862" s="6">
        <v>2023</v>
      </c>
      <c r="E862" s="6" t="s">
        <v>12</v>
      </c>
      <c r="F862" s="6">
        <v>25</v>
      </c>
      <c r="G862" s="40">
        <v>7</v>
      </c>
      <c r="H862" s="40">
        <v>83.335489999999993</v>
      </c>
      <c r="I862" s="212"/>
      <c r="J862" s="212"/>
    </row>
    <row r="863" spans="1:10" s="5" customFormat="1" ht="30" hidden="1" customHeight="1" outlineLevel="1" x14ac:dyDescent="0.25">
      <c r="A863" s="4">
        <v>1079</v>
      </c>
      <c r="B863" s="6" t="s">
        <v>15</v>
      </c>
      <c r="C863" s="38" t="s">
        <v>8244</v>
      </c>
      <c r="D863" s="6">
        <v>2023</v>
      </c>
      <c r="E863" s="6" t="s">
        <v>12</v>
      </c>
      <c r="F863" s="6">
        <v>25</v>
      </c>
      <c r="G863" s="40">
        <v>15</v>
      </c>
      <c r="H863" s="40">
        <v>92.954480000000004</v>
      </c>
      <c r="I863" s="212"/>
      <c r="J863" s="212"/>
    </row>
    <row r="864" spans="1:10" s="5" customFormat="1" ht="30" hidden="1" customHeight="1" outlineLevel="1" x14ac:dyDescent="0.25">
      <c r="A864" s="4">
        <v>3784</v>
      </c>
      <c r="B864" s="6" t="s">
        <v>15</v>
      </c>
      <c r="C864" s="38" t="s">
        <v>8245</v>
      </c>
      <c r="D864" s="6">
        <v>2023</v>
      </c>
      <c r="E864" s="6" t="s">
        <v>12</v>
      </c>
      <c r="F864" s="6">
        <v>20</v>
      </c>
      <c r="G864" s="40">
        <v>5</v>
      </c>
      <c r="H864" s="40">
        <v>61.712700000000005</v>
      </c>
      <c r="I864" s="212"/>
      <c r="J864" s="212"/>
    </row>
    <row r="865" spans="1:10" s="5" customFormat="1" ht="30" hidden="1" customHeight="1" outlineLevel="1" x14ac:dyDescent="0.25">
      <c r="A865" s="4">
        <v>1109</v>
      </c>
      <c r="B865" s="6" t="s">
        <v>15</v>
      </c>
      <c r="C865" s="38" t="s">
        <v>8246</v>
      </c>
      <c r="D865" s="6">
        <v>2023</v>
      </c>
      <c r="E865" s="6" t="s">
        <v>12</v>
      </c>
      <c r="F865" s="6">
        <v>99</v>
      </c>
      <c r="G865" s="40">
        <v>15</v>
      </c>
      <c r="H865" s="40">
        <v>170.92608000000001</v>
      </c>
      <c r="I865" s="212"/>
      <c r="J865" s="212"/>
    </row>
    <row r="866" spans="1:10" s="5" customFormat="1" ht="30" hidden="1" customHeight="1" outlineLevel="1" x14ac:dyDescent="0.25">
      <c r="A866" s="4">
        <v>3554</v>
      </c>
      <c r="B866" s="6" t="s">
        <v>15</v>
      </c>
      <c r="C866" s="38" t="s">
        <v>8247</v>
      </c>
      <c r="D866" s="6">
        <v>2023</v>
      </c>
      <c r="E866" s="6" t="s">
        <v>12</v>
      </c>
      <c r="F866" s="6">
        <v>30</v>
      </c>
      <c r="G866" s="40">
        <v>15</v>
      </c>
      <c r="H866" s="40">
        <v>104.7705</v>
      </c>
      <c r="I866" s="212"/>
      <c r="J866" s="212"/>
    </row>
    <row r="867" spans="1:10" s="5" customFormat="1" ht="30" hidden="1" customHeight="1" outlineLevel="1" x14ac:dyDescent="0.25">
      <c r="A867" s="4">
        <v>1157</v>
      </c>
      <c r="B867" s="6" t="s">
        <v>15</v>
      </c>
      <c r="C867" s="38" t="s">
        <v>8248</v>
      </c>
      <c r="D867" s="6">
        <v>2023</v>
      </c>
      <c r="E867" s="6" t="s">
        <v>12</v>
      </c>
      <c r="F867" s="6">
        <v>30</v>
      </c>
      <c r="G867" s="40">
        <v>15</v>
      </c>
      <c r="H867" s="40">
        <v>72.096940000000004</v>
      </c>
      <c r="I867" s="212"/>
      <c r="J867" s="212"/>
    </row>
    <row r="868" spans="1:10" s="5" customFormat="1" ht="30" hidden="1" customHeight="1" outlineLevel="1" x14ac:dyDescent="0.25">
      <c r="A868" s="4">
        <v>965</v>
      </c>
      <c r="B868" s="6" t="s">
        <v>15</v>
      </c>
      <c r="C868" s="38" t="s">
        <v>8249</v>
      </c>
      <c r="D868" s="6">
        <v>2023</v>
      </c>
      <c r="E868" s="6" t="s">
        <v>12</v>
      </c>
      <c r="F868" s="6">
        <v>88</v>
      </c>
      <c r="G868" s="40">
        <v>15</v>
      </c>
      <c r="H868" s="40">
        <v>168.94142000000002</v>
      </c>
      <c r="I868" s="212"/>
      <c r="J868" s="212"/>
    </row>
    <row r="869" spans="1:10" s="5" customFormat="1" ht="30" hidden="1" customHeight="1" outlineLevel="1" x14ac:dyDescent="0.25">
      <c r="A869" s="4">
        <v>1110</v>
      </c>
      <c r="B869" s="6" t="s">
        <v>15</v>
      </c>
      <c r="C869" s="38" t="s">
        <v>8250</v>
      </c>
      <c r="D869" s="6">
        <v>2023</v>
      </c>
      <c r="E869" s="6" t="s">
        <v>12</v>
      </c>
      <c r="F869" s="6">
        <v>38</v>
      </c>
      <c r="G869" s="40">
        <v>15</v>
      </c>
      <c r="H869" s="40">
        <v>71.361499999999992</v>
      </c>
      <c r="I869" s="212"/>
      <c r="J869" s="212"/>
    </row>
    <row r="870" spans="1:10" s="5" customFormat="1" ht="30" hidden="1" customHeight="1" outlineLevel="1" x14ac:dyDescent="0.25">
      <c r="A870" s="4">
        <v>3909</v>
      </c>
      <c r="B870" s="6" t="s">
        <v>15</v>
      </c>
      <c r="C870" s="38" t="s">
        <v>8251</v>
      </c>
      <c r="D870" s="6">
        <v>2023</v>
      </c>
      <c r="E870" s="6" t="s">
        <v>12</v>
      </c>
      <c r="F870" s="6">
        <v>30</v>
      </c>
      <c r="G870" s="40">
        <v>7</v>
      </c>
      <c r="H870" s="40">
        <v>61.759830000000001</v>
      </c>
      <c r="I870" s="212"/>
      <c r="J870" s="212"/>
    </row>
    <row r="871" spans="1:10" s="5" customFormat="1" ht="30" hidden="1" customHeight="1" outlineLevel="1" x14ac:dyDescent="0.25">
      <c r="A871" s="4">
        <v>3932</v>
      </c>
      <c r="B871" s="6" t="s">
        <v>15</v>
      </c>
      <c r="C871" s="38" t="s">
        <v>8252</v>
      </c>
      <c r="D871" s="6">
        <v>2023</v>
      </c>
      <c r="E871" s="6" t="s">
        <v>12</v>
      </c>
      <c r="F871" s="6">
        <v>95</v>
      </c>
      <c r="G871" s="40">
        <v>5</v>
      </c>
      <c r="H871" s="40">
        <v>162.79930999999999</v>
      </c>
      <c r="I871" s="212"/>
      <c r="J871" s="212"/>
    </row>
    <row r="872" spans="1:10" s="5" customFormat="1" ht="30" hidden="1" customHeight="1" outlineLevel="1" x14ac:dyDescent="0.25">
      <c r="A872" s="4">
        <v>4011</v>
      </c>
      <c r="B872" s="6" t="s">
        <v>15</v>
      </c>
      <c r="C872" s="38" t="s">
        <v>8253</v>
      </c>
      <c r="D872" s="6">
        <v>2023</v>
      </c>
      <c r="E872" s="6" t="s">
        <v>12</v>
      </c>
      <c r="F872" s="6">
        <v>296</v>
      </c>
      <c r="G872" s="40">
        <v>5</v>
      </c>
      <c r="H872" s="40">
        <v>559.04743999999994</v>
      </c>
      <c r="I872" s="212"/>
      <c r="J872" s="212"/>
    </row>
    <row r="873" spans="1:10" s="5" customFormat="1" ht="30" hidden="1" customHeight="1" outlineLevel="1" x14ac:dyDescent="0.25">
      <c r="A873" s="4">
        <v>1278</v>
      </c>
      <c r="B873" s="6" t="s">
        <v>15</v>
      </c>
      <c r="C873" s="38" t="s">
        <v>8254</v>
      </c>
      <c r="D873" s="6">
        <v>2023</v>
      </c>
      <c r="E873" s="6" t="s">
        <v>12</v>
      </c>
      <c r="F873" s="6">
        <v>70</v>
      </c>
      <c r="G873" s="40">
        <v>7</v>
      </c>
      <c r="H873" s="40">
        <v>125.55203</v>
      </c>
      <c r="I873" s="212"/>
      <c r="J873" s="212"/>
    </row>
    <row r="874" spans="1:10" s="5" customFormat="1" ht="30" hidden="1" customHeight="1" outlineLevel="1" x14ac:dyDescent="0.25">
      <c r="A874" s="4">
        <v>3260</v>
      </c>
      <c r="B874" s="6" t="s">
        <v>15</v>
      </c>
      <c r="C874" s="38" t="s">
        <v>8255</v>
      </c>
      <c r="D874" s="6">
        <v>2023</v>
      </c>
      <c r="E874" s="6" t="s">
        <v>12</v>
      </c>
      <c r="F874" s="6">
        <v>70</v>
      </c>
      <c r="G874" s="40">
        <v>15</v>
      </c>
      <c r="H874" s="40">
        <v>126.50362000000001</v>
      </c>
      <c r="I874" s="212"/>
      <c r="J874" s="212"/>
    </row>
    <row r="875" spans="1:10" s="5" customFormat="1" ht="30" hidden="1" customHeight="1" outlineLevel="1" x14ac:dyDescent="0.25">
      <c r="A875" s="4">
        <v>3255</v>
      </c>
      <c r="B875" s="6" t="s">
        <v>15</v>
      </c>
      <c r="C875" s="38" t="s">
        <v>8256</v>
      </c>
      <c r="D875" s="6">
        <v>2023</v>
      </c>
      <c r="E875" s="6" t="s">
        <v>12</v>
      </c>
      <c r="F875" s="6">
        <v>16</v>
      </c>
      <c r="G875" s="40">
        <v>6</v>
      </c>
      <c r="H875" s="40">
        <v>78.131810000000002</v>
      </c>
      <c r="I875" s="212"/>
      <c r="J875" s="212"/>
    </row>
    <row r="876" spans="1:10" s="5" customFormat="1" ht="30" hidden="1" customHeight="1" outlineLevel="1" x14ac:dyDescent="0.25">
      <c r="A876" s="4">
        <v>3257</v>
      </c>
      <c r="B876" s="6" t="s">
        <v>15</v>
      </c>
      <c r="C876" s="38" t="s">
        <v>8257</v>
      </c>
      <c r="D876" s="6">
        <v>2023</v>
      </c>
      <c r="E876" s="6" t="s">
        <v>12</v>
      </c>
      <c r="F876" s="6">
        <v>40</v>
      </c>
      <c r="G876" s="40">
        <v>15</v>
      </c>
      <c r="H876" s="40">
        <v>70.953810000000004</v>
      </c>
      <c r="I876" s="212"/>
      <c r="J876" s="212"/>
    </row>
    <row r="877" spans="1:10" s="5" customFormat="1" ht="30" hidden="1" customHeight="1" outlineLevel="1" x14ac:dyDescent="0.25">
      <c r="A877" s="4">
        <v>591</v>
      </c>
      <c r="B877" s="6" t="s">
        <v>15</v>
      </c>
      <c r="C877" s="38" t="s">
        <v>8258</v>
      </c>
      <c r="D877" s="6">
        <v>2023</v>
      </c>
      <c r="E877" s="6" t="s">
        <v>12</v>
      </c>
      <c r="F877" s="6">
        <v>62</v>
      </c>
      <c r="G877" s="40">
        <v>10</v>
      </c>
      <c r="H877" s="40">
        <v>128.79673</v>
      </c>
      <c r="I877" s="212"/>
      <c r="J877" s="212"/>
    </row>
    <row r="878" spans="1:10" s="5" customFormat="1" ht="30" hidden="1" customHeight="1" outlineLevel="1" x14ac:dyDescent="0.25">
      <c r="A878" s="4">
        <v>1188</v>
      </c>
      <c r="B878" s="6" t="s">
        <v>15</v>
      </c>
      <c r="C878" s="38" t="s">
        <v>8259</v>
      </c>
      <c r="D878" s="6">
        <v>2023</v>
      </c>
      <c r="E878" s="6" t="s">
        <v>12</v>
      </c>
      <c r="F878" s="6">
        <v>44</v>
      </c>
      <c r="G878" s="40">
        <v>10</v>
      </c>
      <c r="H878" s="40">
        <v>61.700900000000004</v>
      </c>
      <c r="I878" s="212"/>
      <c r="J878" s="212"/>
    </row>
    <row r="879" spans="1:10" s="5" customFormat="1" ht="30" hidden="1" customHeight="1" outlineLevel="1" x14ac:dyDescent="0.25">
      <c r="A879" s="4">
        <v>3271</v>
      </c>
      <c r="B879" s="6" t="s">
        <v>15</v>
      </c>
      <c r="C879" s="38" t="s">
        <v>8260</v>
      </c>
      <c r="D879" s="6">
        <v>2023</v>
      </c>
      <c r="E879" s="6" t="s">
        <v>12</v>
      </c>
      <c r="F879" s="6">
        <v>85</v>
      </c>
      <c r="G879" s="40">
        <v>15</v>
      </c>
      <c r="H879" s="40">
        <v>187.71208000000001</v>
      </c>
      <c r="I879" s="212"/>
      <c r="J879" s="212"/>
    </row>
    <row r="880" spans="1:10" s="5" customFormat="1" ht="30" hidden="1" customHeight="1" outlineLevel="1" x14ac:dyDescent="0.25">
      <c r="A880" s="4">
        <v>1172</v>
      </c>
      <c r="B880" s="6" t="s">
        <v>15</v>
      </c>
      <c r="C880" s="38" t="s">
        <v>8261</v>
      </c>
      <c r="D880" s="6">
        <v>2023</v>
      </c>
      <c r="E880" s="6" t="s">
        <v>12</v>
      </c>
      <c r="F880" s="6">
        <v>90</v>
      </c>
      <c r="G880" s="40">
        <v>15</v>
      </c>
      <c r="H880" s="40">
        <v>169.53663</v>
      </c>
      <c r="I880" s="212"/>
      <c r="J880" s="212"/>
    </row>
    <row r="881" spans="1:10" s="5" customFormat="1" ht="30" hidden="1" customHeight="1" outlineLevel="1" x14ac:dyDescent="0.25">
      <c r="A881" s="4">
        <v>922</v>
      </c>
      <c r="B881" s="6" t="s">
        <v>15</v>
      </c>
      <c r="C881" s="38" t="s">
        <v>8262</v>
      </c>
      <c r="D881" s="6">
        <v>2023</v>
      </c>
      <c r="E881" s="6" t="s">
        <v>12</v>
      </c>
      <c r="F881" s="6">
        <v>23</v>
      </c>
      <c r="G881" s="40">
        <v>10</v>
      </c>
      <c r="H881" s="40">
        <v>55.384389999999996</v>
      </c>
      <c r="I881" s="212"/>
      <c r="J881" s="212"/>
    </row>
    <row r="882" spans="1:10" s="5" customFormat="1" ht="30" hidden="1" customHeight="1" outlineLevel="1" x14ac:dyDescent="0.25">
      <c r="A882" s="4">
        <v>3537</v>
      </c>
      <c r="B882" s="6" t="s">
        <v>15</v>
      </c>
      <c r="C882" s="38" t="s">
        <v>8263</v>
      </c>
      <c r="D882" s="6">
        <v>2023</v>
      </c>
      <c r="E882" s="6" t="s">
        <v>12</v>
      </c>
      <c r="F882" s="6">
        <v>25</v>
      </c>
      <c r="G882" s="40">
        <v>15</v>
      </c>
      <c r="H882" s="40">
        <v>73.53528</v>
      </c>
      <c r="I882" s="212"/>
      <c r="J882" s="212"/>
    </row>
    <row r="883" spans="1:10" s="5" customFormat="1" ht="30" hidden="1" customHeight="1" outlineLevel="1" x14ac:dyDescent="0.25">
      <c r="A883" s="4">
        <v>948</v>
      </c>
      <c r="B883" s="6" t="s">
        <v>15</v>
      </c>
      <c r="C883" s="38" t="s">
        <v>8264</v>
      </c>
      <c r="D883" s="6">
        <v>2023</v>
      </c>
      <c r="E883" s="6" t="s">
        <v>12</v>
      </c>
      <c r="F883" s="6">
        <v>17</v>
      </c>
      <c r="G883" s="40">
        <v>5</v>
      </c>
      <c r="H883" s="40">
        <v>90.196489999999997</v>
      </c>
      <c r="I883" s="212"/>
      <c r="J883" s="212"/>
    </row>
    <row r="884" spans="1:10" s="5" customFormat="1" ht="30" hidden="1" customHeight="1" outlineLevel="1" x14ac:dyDescent="0.25">
      <c r="A884" s="4">
        <v>3918</v>
      </c>
      <c r="B884" s="6" t="s">
        <v>15</v>
      </c>
      <c r="C884" s="38" t="s">
        <v>8265</v>
      </c>
      <c r="D884" s="6">
        <v>2023</v>
      </c>
      <c r="E884" s="6" t="s">
        <v>12</v>
      </c>
      <c r="F884" s="6">
        <v>18</v>
      </c>
      <c r="G884" s="40">
        <v>10</v>
      </c>
      <c r="H884" s="40">
        <v>71.338210000000004</v>
      </c>
      <c r="I884" s="212"/>
      <c r="J884" s="212"/>
    </row>
    <row r="885" spans="1:10" s="5" customFormat="1" ht="30" hidden="1" customHeight="1" outlineLevel="1" x14ac:dyDescent="0.25">
      <c r="A885" s="4">
        <v>4022</v>
      </c>
      <c r="B885" s="6" t="s">
        <v>15</v>
      </c>
      <c r="C885" s="38" t="s">
        <v>8266</v>
      </c>
      <c r="D885" s="6">
        <v>2023</v>
      </c>
      <c r="E885" s="6" t="s">
        <v>12</v>
      </c>
      <c r="F885" s="6">
        <v>41</v>
      </c>
      <c r="G885" s="40">
        <v>14.8</v>
      </c>
      <c r="H885" s="40">
        <v>166.00761</v>
      </c>
      <c r="I885" s="212"/>
      <c r="J885" s="212"/>
    </row>
    <row r="886" spans="1:10" s="5" customFormat="1" ht="30" hidden="1" customHeight="1" outlineLevel="1" x14ac:dyDescent="0.25">
      <c r="A886" s="4">
        <v>4017</v>
      </c>
      <c r="B886" s="6" t="s">
        <v>15</v>
      </c>
      <c r="C886" s="38" t="s">
        <v>8267</v>
      </c>
      <c r="D886" s="6">
        <v>2023</v>
      </c>
      <c r="E886" s="6" t="s">
        <v>12</v>
      </c>
      <c r="F886" s="6">
        <v>40</v>
      </c>
      <c r="G886" s="40">
        <v>14.7</v>
      </c>
      <c r="H886" s="40">
        <v>141.37562</v>
      </c>
      <c r="I886" s="212"/>
      <c r="J886" s="212"/>
    </row>
    <row r="887" spans="1:10" s="5" customFormat="1" ht="30" hidden="1" customHeight="1" outlineLevel="1" x14ac:dyDescent="0.25">
      <c r="A887" s="4">
        <v>3205</v>
      </c>
      <c r="B887" s="6" t="s">
        <v>15</v>
      </c>
      <c r="C887" s="38" t="s">
        <v>8268</v>
      </c>
      <c r="D887" s="6">
        <v>2023</v>
      </c>
      <c r="E887" s="6" t="s">
        <v>12</v>
      </c>
      <c r="F887" s="6">
        <v>393</v>
      </c>
      <c r="G887" s="40">
        <v>15</v>
      </c>
      <c r="H887" s="40">
        <v>931.14076999999997</v>
      </c>
      <c r="I887" s="212"/>
      <c r="J887" s="212"/>
    </row>
    <row r="888" spans="1:10" s="5" customFormat="1" ht="30" hidden="1" customHeight="1" outlineLevel="1" x14ac:dyDescent="0.25">
      <c r="A888" s="4">
        <v>1226</v>
      </c>
      <c r="B888" s="6" t="s">
        <v>15</v>
      </c>
      <c r="C888" s="38" t="s">
        <v>8269</v>
      </c>
      <c r="D888" s="6">
        <v>2023</v>
      </c>
      <c r="E888" s="6" t="s">
        <v>12</v>
      </c>
      <c r="F888" s="6">
        <v>30</v>
      </c>
      <c r="G888" s="40">
        <v>5</v>
      </c>
      <c r="H888" s="40">
        <v>90.153140000000008</v>
      </c>
      <c r="I888" s="212"/>
      <c r="J888" s="212"/>
    </row>
    <row r="889" spans="1:10" s="5" customFormat="1" ht="30" hidden="1" customHeight="1" outlineLevel="1" x14ac:dyDescent="0.25">
      <c r="A889" s="4">
        <v>3749</v>
      </c>
      <c r="B889" s="6" t="s">
        <v>15</v>
      </c>
      <c r="C889" s="38" t="s">
        <v>8270</v>
      </c>
      <c r="D889" s="6">
        <v>2023</v>
      </c>
      <c r="E889" s="6" t="s">
        <v>12</v>
      </c>
      <c r="F889" s="6">
        <v>40</v>
      </c>
      <c r="G889" s="40">
        <v>15</v>
      </c>
      <c r="H889" s="40">
        <v>112.77816</v>
      </c>
      <c r="I889" s="212"/>
      <c r="J889" s="212"/>
    </row>
    <row r="890" spans="1:10" s="5" customFormat="1" ht="30" hidden="1" customHeight="1" outlineLevel="1" x14ac:dyDescent="0.25">
      <c r="A890" s="4">
        <v>3266</v>
      </c>
      <c r="B890" s="6" t="s">
        <v>15</v>
      </c>
      <c r="C890" s="38" t="s">
        <v>8271</v>
      </c>
      <c r="D890" s="6">
        <v>2023</v>
      </c>
      <c r="E890" s="6" t="s">
        <v>12</v>
      </c>
      <c r="F890" s="6">
        <v>40</v>
      </c>
      <c r="G890" s="40">
        <v>15</v>
      </c>
      <c r="H890" s="40">
        <v>130.53819999999999</v>
      </c>
      <c r="I890" s="212"/>
      <c r="J890" s="212"/>
    </row>
    <row r="891" spans="1:10" s="5" customFormat="1" ht="30" hidden="1" customHeight="1" outlineLevel="1" x14ac:dyDescent="0.25">
      <c r="A891" s="4">
        <v>3256</v>
      </c>
      <c r="B891" s="6" t="s">
        <v>15</v>
      </c>
      <c r="C891" s="38" t="s">
        <v>8272</v>
      </c>
      <c r="D891" s="6">
        <v>2023</v>
      </c>
      <c r="E891" s="6" t="s">
        <v>12</v>
      </c>
      <c r="F891" s="6">
        <v>30</v>
      </c>
      <c r="G891" s="40">
        <v>15</v>
      </c>
      <c r="H891" s="40">
        <v>97.691990000000004</v>
      </c>
      <c r="I891" s="212"/>
      <c r="J891" s="212"/>
    </row>
    <row r="892" spans="1:10" s="5" customFormat="1" ht="30" hidden="1" customHeight="1" outlineLevel="1" x14ac:dyDescent="0.25">
      <c r="A892" s="4">
        <v>455</v>
      </c>
      <c r="B892" s="6" t="s">
        <v>15</v>
      </c>
      <c r="C892" s="38" t="s">
        <v>8273</v>
      </c>
      <c r="D892" s="6">
        <v>2023</v>
      </c>
      <c r="E892" s="6" t="s">
        <v>12</v>
      </c>
      <c r="F892" s="6">
        <v>212</v>
      </c>
      <c r="G892" s="40">
        <v>11.5</v>
      </c>
      <c r="H892" s="40">
        <v>429.81155999999999</v>
      </c>
      <c r="I892" s="212"/>
      <c r="J892" s="212"/>
    </row>
    <row r="893" spans="1:10" s="5" customFormat="1" ht="30" hidden="1" customHeight="1" outlineLevel="1" x14ac:dyDescent="0.25">
      <c r="A893" s="4">
        <v>1422</v>
      </c>
      <c r="B893" s="6" t="s">
        <v>15</v>
      </c>
      <c r="C893" s="38" t="s">
        <v>8274</v>
      </c>
      <c r="D893" s="6">
        <v>2023</v>
      </c>
      <c r="E893" s="6" t="s">
        <v>12</v>
      </c>
      <c r="F893" s="6">
        <v>14</v>
      </c>
      <c r="G893" s="40">
        <v>6</v>
      </c>
      <c r="H893" s="40">
        <v>83.889980000000008</v>
      </c>
      <c r="I893" s="212"/>
      <c r="J893" s="212"/>
    </row>
    <row r="894" spans="1:10" s="5" customFormat="1" ht="30" hidden="1" customHeight="1" outlineLevel="1" x14ac:dyDescent="0.25">
      <c r="A894" s="4">
        <v>711</v>
      </c>
      <c r="B894" s="6" t="s">
        <v>15</v>
      </c>
      <c r="C894" s="38" t="s">
        <v>8275</v>
      </c>
      <c r="D894" s="6">
        <v>2023</v>
      </c>
      <c r="E894" s="6" t="s">
        <v>12</v>
      </c>
      <c r="F894" s="6">
        <v>341</v>
      </c>
      <c r="G894" s="40">
        <v>10</v>
      </c>
      <c r="H894" s="40">
        <v>633.49929999999995</v>
      </c>
      <c r="I894" s="212"/>
      <c r="J894" s="212"/>
    </row>
    <row r="895" spans="1:10" s="5" customFormat="1" ht="30" hidden="1" customHeight="1" outlineLevel="1" x14ac:dyDescent="0.25">
      <c r="A895" s="4">
        <v>3203</v>
      </c>
      <c r="B895" s="6" t="s">
        <v>15</v>
      </c>
      <c r="C895" s="38" t="s">
        <v>8276</v>
      </c>
      <c r="D895" s="6">
        <v>2023</v>
      </c>
      <c r="E895" s="6" t="s">
        <v>12</v>
      </c>
      <c r="F895" s="6">
        <v>30</v>
      </c>
      <c r="G895" s="40">
        <v>7.5</v>
      </c>
      <c r="H895" s="40">
        <v>65.348970000000008</v>
      </c>
      <c r="I895" s="212"/>
      <c r="J895" s="212"/>
    </row>
    <row r="896" spans="1:10" s="5" customFormat="1" ht="30" hidden="1" customHeight="1" outlineLevel="1" x14ac:dyDescent="0.25">
      <c r="A896" s="4">
        <v>4030</v>
      </c>
      <c r="B896" s="6" t="s">
        <v>15</v>
      </c>
      <c r="C896" s="38" t="s">
        <v>8277</v>
      </c>
      <c r="D896" s="6">
        <v>2023</v>
      </c>
      <c r="E896" s="6" t="s">
        <v>12</v>
      </c>
      <c r="F896" s="6">
        <v>20</v>
      </c>
      <c r="G896" s="40">
        <v>30</v>
      </c>
      <c r="H896" s="40">
        <v>49.203869999999995</v>
      </c>
      <c r="I896" s="212"/>
      <c r="J896" s="212"/>
    </row>
    <row r="897" spans="1:10" s="5" customFormat="1" ht="30" hidden="1" customHeight="1" outlineLevel="1" x14ac:dyDescent="0.25">
      <c r="A897" s="4">
        <v>1352</v>
      </c>
      <c r="B897" s="6" t="s">
        <v>15</v>
      </c>
      <c r="C897" s="38" t="s">
        <v>8278</v>
      </c>
      <c r="D897" s="6">
        <v>2023</v>
      </c>
      <c r="E897" s="6" t="s">
        <v>12</v>
      </c>
      <c r="F897" s="6">
        <v>12</v>
      </c>
      <c r="G897" s="40">
        <v>7</v>
      </c>
      <c r="H897" s="40">
        <v>66.399209999999997</v>
      </c>
      <c r="I897" s="212"/>
      <c r="J897" s="212"/>
    </row>
    <row r="898" spans="1:10" s="5" customFormat="1" ht="30" hidden="1" customHeight="1" outlineLevel="1" x14ac:dyDescent="0.25">
      <c r="A898" s="4">
        <v>3275</v>
      </c>
      <c r="B898" s="6" t="s">
        <v>15</v>
      </c>
      <c r="C898" s="38" t="s">
        <v>8279</v>
      </c>
      <c r="D898" s="6">
        <v>2023</v>
      </c>
      <c r="E898" s="6" t="s">
        <v>12</v>
      </c>
      <c r="F898" s="6">
        <v>35</v>
      </c>
      <c r="G898" s="40">
        <v>15</v>
      </c>
      <c r="H898" s="40">
        <v>109.11743</v>
      </c>
      <c r="I898" s="212"/>
      <c r="J898" s="212"/>
    </row>
    <row r="899" spans="1:10" s="5" customFormat="1" ht="30" hidden="1" customHeight="1" outlineLevel="1" x14ac:dyDescent="0.25">
      <c r="A899" s="4">
        <v>3279</v>
      </c>
      <c r="B899" s="6" t="s">
        <v>15</v>
      </c>
      <c r="C899" s="38" t="s">
        <v>8280</v>
      </c>
      <c r="D899" s="6">
        <v>2023</v>
      </c>
      <c r="E899" s="6" t="s">
        <v>12</v>
      </c>
      <c r="F899" s="6">
        <v>25</v>
      </c>
      <c r="G899" s="40">
        <v>15</v>
      </c>
      <c r="H899" s="40">
        <v>85.589009999999988</v>
      </c>
      <c r="I899" s="212"/>
      <c r="J899" s="212"/>
    </row>
    <row r="900" spans="1:10" s="5" customFormat="1" ht="30" hidden="1" customHeight="1" outlineLevel="1" x14ac:dyDescent="0.25">
      <c r="A900" s="4">
        <v>1043</v>
      </c>
      <c r="B900" s="6" t="s">
        <v>15</v>
      </c>
      <c r="C900" s="38" t="s">
        <v>8281</v>
      </c>
      <c r="D900" s="6">
        <v>2023</v>
      </c>
      <c r="E900" s="6" t="s">
        <v>12</v>
      </c>
      <c r="F900" s="6">
        <v>18</v>
      </c>
      <c r="G900" s="40">
        <v>5</v>
      </c>
      <c r="H900" s="40">
        <v>108.1096</v>
      </c>
      <c r="I900" s="212"/>
      <c r="J900" s="212"/>
    </row>
    <row r="901" spans="1:10" s="5" customFormat="1" ht="30" hidden="1" customHeight="1" outlineLevel="1" x14ac:dyDescent="0.25">
      <c r="A901" s="4">
        <v>336</v>
      </c>
      <c r="B901" s="6" t="s">
        <v>15</v>
      </c>
      <c r="C901" s="38" t="s">
        <v>8282</v>
      </c>
      <c r="D901" s="6">
        <v>2023</v>
      </c>
      <c r="E901" s="6" t="s">
        <v>12</v>
      </c>
      <c r="F901" s="6">
        <v>244</v>
      </c>
      <c r="G901" s="40">
        <v>10</v>
      </c>
      <c r="H901" s="40">
        <v>319.71242999999998</v>
      </c>
      <c r="I901" s="212"/>
      <c r="J901" s="212"/>
    </row>
    <row r="902" spans="1:10" s="5" customFormat="1" ht="30" hidden="1" customHeight="1" outlineLevel="1" x14ac:dyDescent="0.25">
      <c r="A902" s="4">
        <v>932</v>
      </c>
      <c r="B902" s="6" t="s">
        <v>15</v>
      </c>
      <c r="C902" s="38" t="s">
        <v>8283</v>
      </c>
      <c r="D902" s="6">
        <v>2023</v>
      </c>
      <c r="E902" s="6" t="s">
        <v>12</v>
      </c>
      <c r="F902" s="6">
        <v>55</v>
      </c>
      <c r="G902" s="40">
        <v>10</v>
      </c>
      <c r="H902" s="40">
        <v>136.2758</v>
      </c>
      <c r="I902" s="212"/>
      <c r="J902" s="212"/>
    </row>
    <row r="903" spans="1:10" s="5" customFormat="1" ht="30" hidden="1" customHeight="1" outlineLevel="1" x14ac:dyDescent="0.25">
      <c r="A903" s="4">
        <v>597</v>
      </c>
      <c r="B903" s="6" t="s">
        <v>15</v>
      </c>
      <c r="C903" s="38" t="s">
        <v>8284</v>
      </c>
      <c r="D903" s="6">
        <v>2023</v>
      </c>
      <c r="E903" s="6" t="s">
        <v>12</v>
      </c>
      <c r="F903" s="6">
        <v>254</v>
      </c>
      <c r="G903" s="40">
        <v>15</v>
      </c>
      <c r="H903" s="40">
        <v>436.94340999999997</v>
      </c>
      <c r="I903" s="212"/>
      <c r="J903" s="212"/>
    </row>
    <row r="904" spans="1:10" s="5" customFormat="1" ht="30" hidden="1" customHeight="1" outlineLevel="1" x14ac:dyDescent="0.25">
      <c r="A904" s="4">
        <v>1120</v>
      </c>
      <c r="B904" s="6" t="s">
        <v>15</v>
      </c>
      <c r="C904" s="38" t="s">
        <v>8285</v>
      </c>
      <c r="D904" s="6">
        <v>2023</v>
      </c>
      <c r="E904" s="6" t="s">
        <v>12</v>
      </c>
      <c r="F904" s="6">
        <v>33</v>
      </c>
      <c r="G904" s="40">
        <v>15</v>
      </c>
      <c r="H904" s="40">
        <v>56.618609999999997</v>
      </c>
      <c r="I904" s="212"/>
      <c r="J904" s="212"/>
    </row>
    <row r="905" spans="1:10" s="5" customFormat="1" ht="30" hidden="1" customHeight="1" outlineLevel="1" x14ac:dyDescent="0.25">
      <c r="A905" s="4">
        <v>4053</v>
      </c>
      <c r="B905" s="6" t="s">
        <v>15</v>
      </c>
      <c r="C905" s="38" t="s">
        <v>8286</v>
      </c>
      <c r="D905" s="6">
        <v>2023</v>
      </c>
      <c r="E905" s="6" t="s">
        <v>12</v>
      </c>
      <c r="F905" s="6">
        <v>22</v>
      </c>
      <c r="G905" s="40">
        <v>15</v>
      </c>
      <c r="H905" s="40">
        <v>90.611739999999998</v>
      </c>
      <c r="I905" s="212"/>
      <c r="J905" s="212"/>
    </row>
    <row r="906" spans="1:10" s="5" customFormat="1" ht="30" hidden="1" customHeight="1" outlineLevel="1" x14ac:dyDescent="0.25">
      <c r="A906" s="4">
        <v>592</v>
      </c>
      <c r="B906" s="6" t="s">
        <v>15</v>
      </c>
      <c r="C906" s="38" t="s">
        <v>8287</v>
      </c>
      <c r="D906" s="6">
        <v>2023</v>
      </c>
      <c r="E906" s="6" t="s">
        <v>12</v>
      </c>
      <c r="F906" s="6">
        <v>290</v>
      </c>
      <c r="G906" s="40">
        <v>10</v>
      </c>
      <c r="H906" s="40">
        <v>555.78174999999999</v>
      </c>
      <c r="I906" s="212"/>
      <c r="J906" s="212"/>
    </row>
    <row r="907" spans="1:10" s="5" customFormat="1" ht="30" hidden="1" customHeight="1" outlineLevel="1" x14ac:dyDescent="0.25">
      <c r="A907" s="4">
        <v>3227</v>
      </c>
      <c r="B907" s="6" t="s">
        <v>15</v>
      </c>
      <c r="C907" s="38" t="s">
        <v>8288</v>
      </c>
      <c r="D907" s="6">
        <v>2023</v>
      </c>
      <c r="E907" s="6" t="s">
        <v>12</v>
      </c>
      <c r="F907" s="6">
        <v>546</v>
      </c>
      <c r="G907" s="40">
        <v>15</v>
      </c>
      <c r="H907" s="40">
        <v>659.35766999999998</v>
      </c>
      <c r="I907" s="212"/>
      <c r="J907" s="212"/>
    </row>
    <row r="908" spans="1:10" s="5" customFormat="1" ht="30" hidden="1" customHeight="1" outlineLevel="1" x14ac:dyDescent="0.25">
      <c r="A908" s="4">
        <v>944</v>
      </c>
      <c r="B908" s="6" t="s">
        <v>15</v>
      </c>
      <c r="C908" s="38" t="s">
        <v>8289</v>
      </c>
      <c r="D908" s="6">
        <v>2023</v>
      </c>
      <c r="E908" s="6" t="s">
        <v>12</v>
      </c>
      <c r="F908" s="6">
        <v>323</v>
      </c>
      <c r="G908" s="40">
        <v>10</v>
      </c>
      <c r="H908" s="40">
        <v>686.64049</v>
      </c>
      <c r="I908" s="212"/>
      <c r="J908" s="212"/>
    </row>
    <row r="909" spans="1:10" s="5" customFormat="1" ht="30" hidden="1" customHeight="1" outlineLevel="1" x14ac:dyDescent="0.25">
      <c r="A909" s="4">
        <v>275</v>
      </c>
      <c r="B909" s="6" t="s">
        <v>15</v>
      </c>
      <c r="C909" s="38" t="s">
        <v>8290</v>
      </c>
      <c r="D909" s="6">
        <v>2023</v>
      </c>
      <c r="E909" s="6" t="s">
        <v>12</v>
      </c>
      <c r="F909" s="6">
        <v>348</v>
      </c>
      <c r="G909" s="40">
        <v>15</v>
      </c>
      <c r="H909" s="40">
        <v>708.43984999999998</v>
      </c>
      <c r="I909" s="212"/>
      <c r="J909" s="212"/>
    </row>
    <row r="910" spans="1:10" s="5" customFormat="1" ht="30" hidden="1" customHeight="1" outlineLevel="1" x14ac:dyDescent="0.25">
      <c r="A910" s="4">
        <v>570</v>
      </c>
      <c r="B910" s="6" t="s">
        <v>15</v>
      </c>
      <c r="C910" s="38" t="s">
        <v>8291</v>
      </c>
      <c r="D910" s="6">
        <v>2023</v>
      </c>
      <c r="E910" s="6" t="s">
        <v>12</v>
      </c>
      <c r="F910" s="6">
        <v>283</v>
      </c>
      <c r="G910" s="40">
        <v>11.5</v>
      </c>
      <c r="H910" s="40">
        <v>580.05573000000004</v>
      </c>
      <c r="I910" s="212"/>
      <c r="J910" s="212"/>
    </row>
    <row r="911" spans="1:10" s="5" customFormat="1" ht="30" hidden="1" customHeight="1" outlineLevel="1" x14ac:dyDescent="0.25">
      <c r="A911" s="4">
        <v>469</v>
      </c>
      <c r="B911" s="6" t="s">
        <v>15</v>
      </c>
      <c r="C911" s="38" t="s">
        <v>8292</v>
      </c>
      <c r="D911" s="6">
        <v>2023</v>
      </c>
      <c r="E911" s="6" t="s">
        <v>12</v>
      </c>
      <c r="F911" s="6">
        <v>120</v>
      </c>
      <c r="G911" s="40">
        <v>11.5</v>
      </c>
      <c r="H911" s="40">
        <v>244.81305</v>
      </c>
      <c r="I911" s="212"/>
      <c r="J911" s="212"/>
    </row>
    <row r="912" spans="1:10" s="5" customFormat="1" ht="30" hidden="1" customHeight="1" outlineLevel="1" x14ac:dyDescent="0.25">
      <c r="A912" s="4">
        <v>3289</v>
      </c>
      <c r="B912" s="6" t="s">
        <v>15</v>
      </c>
      <c r="C912" s="38" t="s">
        <v>8293</v>
      </c>
      <c r="D912" s="6">
        <v>2023</v>
      </c>
      <c r="E912" s="6" t="s">
        <v>12</v>
      </c>
      <c r="F912" s="6">
        <v>94</v>
      </c>
      <c r="G912" s="40">
        <v>15</v>
      </c>
      <c r="H912" s="40">
        <v>180.87824000000001</v>
      </c>
      <c r="I912" s="212"/>
      <c r="J912" s="212"/>
    </row>
    <row r="913" spans="1:10" s="5" customFormat="1" ht="30" hidden="1" customHeight="1" outlineLevel="1" x14ac:dyDescent="0.25">
      <c r="A913" s="4">
        <v>4037</v>
      </c>
      <c r="B913" s="6" t="s">
        <v>15</v>
      </c>
      <c r="C913" s="38" t="s">
        <v>8294</v>
      </c>
      <c r="D913" s="6">
        <v>2023</v>
      </c>
      <c r="E913" s="6" t="s">
        <v>12</v>
      </c>
      <c r="F913" s="6">
        <v>30</v>
      </c>
      <c r="G913" s="40">
        <v>15</v>
      </c>
      <c r="H913" s="40">
        <v>105.26397</v>
      </c>
      <c r="I913" s="212"/>
      <c r="J913" s="212"/>
    </row>
    <row r="914" spans="1:10" s="5" customFormat="1" ht="30" hidden="1" customHeight="1" outlineLevel="1" x14ac:dyDescent="0.25">
      <c r="A914" s="4">
        <v>2830</v>
      </c>
      <c r="B914" s="6" t="s">
        <v>15</v>
      </c>
      <c r="C914" s="38" t="s">
        <v>8295</v>
      </c>
      <c r="D914" s="6">
        <v>2023</v>
      </c>
      <c r="E914" s="6" t="s">
        <v>12</v>
      </c>
      <c r="F914" s="6">
        <v>378</v>
      </c>
      <c r="G914" s="40">
        <v>15</v>
      </c>
      <c r="H914" s="40">
        <v>751.50537999999995</v>
      </c>
      <c r="I914" s="212"/>
      <c r="J914" s="212"/>
    </row>
    <row r="915" spans="1:10" s="5" customFormat="1" ht="30" hidden="1" customHeight="1" outlineLevel="1" x14ac:dyDescent="0.25">
      <c r="A915" s="4">
        <v>775</v>
      </c>
      <c r="B915" s="6" t="s">
        <v>15</v>
      </c>
      <c r="C915" s="38" t="s">
        <v>8296</v>
      </c>
      <c r="D915" s="6">
        <v>2023</v>
      </c>
      <c r="E915" s="6" t="s">
        <v>12</v>
      </c>
      <c r="F915" s="6">
        <v>216</v>
      </c>
      <c r="G915" s="40">
        <v>4</v>
      </c>
      <c r="H915" s="40">
        <v>472.56421999999998</v>
      </c>
      <c r="I915" s="212"/>
      <c r="J915" s="212"/>
    </row>
    <row r="916" spans="1:10" s="5" customFormat="1" ht="30" hidden="1" customHeight="1" outlineLevel="1" x14ac:dyDescent="0.25">
      <c r="A916" s="4">
        <v>699</v>
      </c>
      <c r="B916" s="6" t="s">
        <v>15</v>
      </c>
      <c r="C916" s="38" t="s">
        <v>8297</v>
      </c>
      <c r="D916" s="6">
        <v>2023</v>
      </c>
      <c r="E916" s="6" t="s">
        <v>12</v>
      </c>
      <c r="F916" s="6">
        <v>80</v>
      </c>
      <c r="G916" s="40">
        <v>15</v>
      </c>
      <c r="H916" s="40">
        <v>264.02587999999997</v>
      </c>
      <c r="I916" s="212"/>
      <c r="J916" s="212"/>
    </row>
    <row r="917" spans="1:10" s="5" customFormat="1" ht="30" hidden="1" customHeight="1" outlineLevel="1" x14ac:dyDescent="0.25">
      <c r="A917" s="4">
        <v>1162</v>
      </c>
      <c r="B917" s="6" t="s">
        <v>15</v>
      </c>
      <c r="C917" s="38" t="s">
        <v>8298</v>
      </c>
      <c r="D917" s="6">
        <v>2023</v>
      </c>
      <c r="E917" s="6" t="s">
        <v>12</v>
      </c>
      <c r="F917" s="6">
        <v>50</v>
      </c>
      <c r="G917" s="40">
        <v>15</v>
      </c>
      <c r="H917" s="40">
        <v>159.58091999999999</v>
      </c>
      <c r="I917" s="212"/>
      <c r="J917" s="212"/>
    </row>
    <row r="918" spans="1:10" s="5" customFormat="1" ht="30" hidden="1" customHeight="1" outlineLevel="1" x14ac:dyDescent="0.25">
      <c r="A918" s="4">
        <v>1091</v>
      </c>
      <c r="B918" s="6" t="s">
        <v>15</v>
      </c>
      <c r="C918" s="38" t="s">
        <v>8299</v>
      </c>
      <c r="D918" s="6">
        <v>2023</v>
      </c>
      <c r="E918" s="6" t="s">
        <v>12</v>
      </c>
      <c r="F918" s="6">
        <v>15</v>
      </c>
      <c r="G918" s="40">
        <v>15</v>
      </c>
      <c r="H918" s="40">
        <v>61.291900000000005</v>
      </c>
      <c r="I918" s="212"/>
      <c r="J918" s="212"/>
    </row>
    <row r="919" spans="1:10" s="5" customFormat="1" ht="30" hidden="1" customHeight="1" outlineLevel="1" x14ac:dyDescent="0.25">
      <c r="A919" s="4">
        <v>794</v>
      </c>
      <c r="B919" s="6" t="s">
        <v>15</v>
      </c>
      <c r="C919" s="38" t="s">
        <v>8300</v>
      </c>
      <c r="D919" s="6">
        <v>2023</v>
      </c>
      <c r="E919" s="6" t="s">
        <v>12</v>
      </c>
      <c r="F919" s="6">
        <v>189</v>
      </c>
      <c r="G919" s="40">
        <v>15</v>
      </c>
      <c r="H919" s="40">
        <v>346.21498000000003</v>
      </c>
      <c r="I919" s="212"/>
      <c r="J919" s="212"/>
    </row>
    <row r="920" spans="1:10" s="5" customFormat="1" ht="30" hidden="1" customHeight="1" outlineLevel="1" x14ac:dyDescent="0.25">
      <c r="A920" s="4">
        <v>4018</v>
      </c>
      <c r="B920" s="6" t="s">
        <v>15</v>
      </c>
      <c r="C920" s="38" t="s">
        <v>8301</v>
      </c>
      <c r="D920" s="6">
        <v>2023</v>
      </c>
      <c r="E920" s="6" t="s">
        <v>12</v>
      </c>
      <c r="F920" s="6">
        <v>80</v>
      </c>
      <c r="G920" s="40">
        <v>10</v>
      </c>
      <c r="H920" s="40">
        <v>181.33719000000002</v>
      </c>
      <c r="I920" s="212"/>
      <c r="J920" s="212"/>
    </row>
    <row r="921" spans="1:10" s="5" customFormat="1" ht="30" hidden="1" customHeight="1" outlineLevel="1" x14ac:dyDescent="0.25">
      <c r="A921" s="4">
        <v>432</v>
      </c>
      <c r="B921" s="6" t="s">
        <v>15</v>
      </c>
      <c r="C921" s="38" t="s">
        <v>8302</v>
      </c>
      <c r="D921" s="6">
        <v>2023</v>
      </c>
      <c r="E921" s="6" t="s">
        <v>12</v>
      </c>
      <c r="F921" s="6">
        <v>162</v>
      </c>
      <c r="G921" s="40">
        <v>10</v>
      </c>
      <c r="H921" s="40">
        <v>341.64780999999999</v>
      </c>
      <c r="I921" s="212"/>
      <c r="J921" s="212"/>
    </row>
    <row r="922" spans="1:10" s="5" customFormat="1" ht="30" hidden="1" customHeight="1" outlineLevel="1" x14ac:dyDescent="0.25">
      <c r="A922" s="4">
        <v>3174</v>
      </c>
      <c r="B922" s="6" t="s">
        <v>15</v>
      </c>
      <c r="C922" s="38" t="s">
        <v>8303</v>
      </c>
      <c r="D922" s="6">
        <v>2023</v>
      </c>
      <c r="E922" s="6" t="s">
        <v>12</v>
      </c>
      <c r="F922" s="6">
        <v>738</v>
      </c>
      <c r="G922" s="40">
        <v>15</v>
      </c>
      <c r="H922" s="40">
        <v>1330.17489</v>
      </c>
      <c r="I922" s="212"/>
      <c r="J922" s="212"/>
    </row>
    <row r="923" spans="1:10" s="5" customFormat="1" ht="30" hidden="1" customHeight="1" outlineLevel="1" x14ac:dyDescent="0.25">
      <c r="A923" s="4">
        <v>1311</v>
      </c>
      <c r="B923" s="6" t="s">
        <v>15</v>
      </c>
      <c r="C923" s="38" t="s">
        <v>8304</v>
      </c>
      <c r="D923" s="6">
        <v>2023</v>
      </c>
      <c r="E923" s="6" t="s">
        <v>12</v>
      </c>
      <c r="F923" s="6">
        <v>126</v>
      </c>
      <c r="G923" s="40">
        <v>5</v>
      </c>
      <c r="H923" s="40">
        <v>247.39048</v>
      </c>
      <c r="I923" s="212"/>
      <c r="J923" s="212"/>
    </row>
    <row r="924" spans="1:10" s="5" customFormat="1" ht="30" hidden="1" customHeight="1" outlineLevel="1" x14ac:dyDescent="0.25">
      <c r="A924" s="4">
        <v>1372</v>
      </c>
      <c r="B924" s="6" t="s">
        <v>15</v>
      </c>
      <c r="C924" s="38" t="s">
        <v>8305</v>
      </c>
      <c r="D924" s="6">
        <v>2023</v>
      </c>
      <c r="E924" s="6" t="s">
        <v>12</v>
      </c>
      <c r="F924" s="6">
        <v>118</v>
      </c>
      <c r="G924" s="40">
        <v>5</v>
      </c>
      <c r="H924" s="40">
        <v>193.95898</v>
      </c>
      <c r="I924" s="212"/>
      <c r="J924" s="212"/>
    </row>
    <row r="925" spans="1:10" s="5" customFormat="1" ht="30" hidden="1" customHeight="1" outlineLevel="1" x14ac:dyDescent="0.25">
      <c r="A925" s="4">
        <v>4012</v>
      </c>
      <c r="B925" s="6" t="s">
        <v>15</v>
      </c>
      <c r="C925" s="38" t="s">
        <v>8306</v>
      </c>
      <c r="D925" s="6">
        <v>2023</v>
      </c>
      <c r="E925" s="6" t="s">
        <v>12</v>
      </c>
      <c r="F925" s="6">
        <v>181</v>
      </c>
      <c r="G925" s="40">
        <v>10</v>
      </c>
      <c r="H925" s="40">
        <v>378.52116000000001</v>
      </c>
      <c r="I925" s="212"/>
      <c r="J925" s="212"/>
    </row>
    <row r="926" spans="1:10" s="5" customFormat="1" ht="30" hidden="1" customHeight="1" outlineLevel="1" x14ac:dyDescent="0.25">
      <c r="A926" s="4">
        <v>3290</v>
      </c>
      <c r="B926" s="6" t="s">
        <v>15</v>
      </c>
      <c r="C926" s="38" t="s">
        <v>8307</v>
      </c>
      <c r="D926" s="6">
        <v>2023</v>
      </c>
      <c r="E926" s="6" t="s">
        <v>12</v>
      </c>
      <c r="F926" s="6">
        <v>62</v>
      </c>
      <c r="G926" s="40">
        <v>15</v>
      </c>
      <c r="H926" s="40">
        <v>95.250650000000007</v>
      </c>
      <c r="I926" s="212"/>
      <c r="J926" s="212"/>
    </row>
    <row r="927" spans="1:10" s="5" customFormat="1" ht="30" hidden="1" customHeight="1" outlineLevel="1" x14ac:dyDescent="0.25">
      <c r="A927" s="4">
        <v>4038</v>
      </c>
      <c r="B927" s="6" t="s">
        <v>15</v>
      </c>
      <c r="C927" s="38" t="s">
        <v>8308</v>
      </c>
      <c r="D927" s="6">
        <v>2023</v>
      </c>
      <c r="E927" s="6" t="s">
        <v>12</v>
      </c>
      <c r="F927" s="6">
        <v>25</v>
      </c>
      <c r="G927" s="40">
        <v>15</v>
      </c>
      <c r="H927" s="40">
        <v>83.30440999999999</v>
      </c>
      <c r="I927" s="212"/>
      <c r="J927" s="212"/>
    </row>
    <row r="928" spans="1:10" s="5" customFormat="1" ht="30" hidden="1" customHeight="1" outlineLevel="1" x14ac:dyDescent="0.25">
      <c r="A928" s="4">
        <v>3292</v>
      </c>
      <c r="B928" s="6" t="s">
        <v>15</v>
      </c>
      <c r="C928" s="38" t="s">
        <v>8309</v>
      </c>
      <c r="D928" s="6">
        <v>2023</v>
      </c>
      <c r="E928" s="6" t="s">
        <v>12</v>
      </c>
      <c r="F928" s="6">
        <v>62</v>
      </c>
      <c r="G928" s="40">
        <v>15</v>
      </c>
      <c r="H928" s="40">
        <v>149.48979</v>
      </c>
      <c r="I928" s="212"/>
      <c r="J928" s="212"/>
    </row>
    <row r="929" spans="1:10" s="5" customFormat="1" ht="30" hidden="1" customHeight="1" outlineLevel="1" x14ac:dyDescent="0.25">
      <c r="A929" s="4">
        <v>4031</v>
      </c>
      <c r="B929" s="6" t="s">
        <v>15</v>
      </c>
      <c r="C929" s="38" t="s">
        <v>8310</v>
      </c>
      <c r="D929" s="6">
        <v>2023</v>
      </c>
      <c r="E929" s="6" t="s">
        <v>12</v>
      </c>
      <c r="F929" s="6">
        <v>20</v>
      </c>
      <c r="G929" s="40">
        <v>20</v>
      </c>
      <c r="H929" s="40">
        <v>78.746670000000009</v>
      </c>
      <c r="I929" s="212"/>
      <c r="J929" s="212"/>
    </row>
    <row r="930" spans="1:10" s="5" customFormat="1" ht="30" hidden="1" customHeight="1" outlineLevel="1" x14ac:dyDescent="0.25">
      <c r="A930" s="4">
        <v>2844</v>
      </c>
      <c r="B930" s="6" t="s">
        <v>15</v>
      </c>
      <c r="C930" s="38" t="s">
        <v>8311</v>
      </c>
      <c r="D930" s="6">
        <v>2023</v>
      </c>
      <c r="E930" s="6" t="s">
        <v>12</v>
      </c>
      <c r="F930" s="6">
        <v>50</v>
      </c>
      <c r="G930" s="40">
        <v>15</v>
      </c>
      <c r="H930" s="40">
        <v>112.73683</v>
      </c>
      <c r="I930" s="212"/>
      <c r="J930" s="212"/>
    </row>
    <row r="931" spans="1:10" s="5" customFormat="1" ht="30" hidden="1" customHeight="1" outlineLevel="1" x14ac:dyDescent="0.25">
      <c r="A931" s="4">
        <v>1601</v>
      </c>
      <c r="B931" s="6" t="s">
        <v>15</v>
      </c>
      <c r="C931" s="38" t="s">
        <v>8312</v>
      </c>
      <c r="D931" s="6">
        <v>2023</v>
      </c>
      <c r="E931" s="6" t="s">
        <v>12</v>
      </c>
      <c r="F931" s="6">
        <v>15</v>
      </c>
      <c r="G931" s="40">
        <v>15</v>
      </c>
      <c r="H931" s="40">
        <v>70.724800000000002</v>
      </c>
      <c r="I931" s="212"/>
      <c r="J931" s="212"/>
    </row>
    <row r="932" spans="1:10" s="5" customFormat="1" ht="30" hidden="1" customHeight="1" outlineLevel="1" x14ac:dyDescent="0.25">
      <c r="A932" s="4">
        <v>3105</v>
      </c>
      <c r="B932" s="6" t="s">
        <v>15</v>
      </c>
      <c r="C932" s="38" t="s">
        <v>8313</v>
      </c>
      <c r="D932" s="6">
        <v>2023</v>
      </c>
      <c r="E932" s="6" t="s">
        <v>12</v>
      </c>
      <c r="F932" s="6">
        <v>200</v>
      </c>
      <c r="G932" s="40">
        <v>35</v>
      </c>
      <c r="H932" s="40">
        <v>369.55753000000004</v>
      </c>
      <c r="I932" s="212"/>
      <c r="J932" s="212"/>
    </row>
    <row r="933" spans="1:10" s="5" customFormat="1" ht="30" hidden="1" customHeight="1" outlineLevel="1" x14ac:dyDescent="0.25">
      <c r="A933" s="4">
        <v>578</v>
      </c>
      <c r="B933" s="6" t="s">
        <v>15</v>
      </c>
      <c r="C933" s="38" t="s">
        <v>8314</v>
      </c>
      <c r="D933" s="6">
        <v>2023</v>
      </c>
      <c r="E933" s="6" t="s">
        <v>12</v>
      </c>
      <c r="F933" s="6">
        <v>140</v>
      </c>
      <c r="G933" s="40">
        <v>7</v>
      </c>
      <c r="H933" s="40">
        <v>188.57769999999999</v>
      </c>
      <c r="I933" s="212"/>
      <c r="J933" s="212"/>
    </row>
    <row r="934" spans="1:10" s="5" customFormat="1" ht="30" hidden="1" customHeight="1" outlineLevel="1" x14ac:dyDescent="0.25">
      <c r="A934" s="4">
        <v>3193</v>
      </c>
      <c r="B934" s="6" t="s">
        <v>15</v>
      </c>
      <c r="C934" s="38" t="s">
        <v>8315</v>
      </c>
      <c r="D934" s="6">
        <v>2023</v>
      </c>
      <c r="E934" s="6" t="s">
        <v>12</v>
      </c>
      <c r="F934" s="6">
        <v>741</v>
      </c>
      <c r="G934" s="40">
        <v>15</v>
      </c>
      <c r="H934" s="40">
        <v>1409.5468799999999</v>
      </c>
      <c r="I934" s="212"/>
      <c r="J934" s="212"/>
    </row>
    <row r="935" spans="1:10" s="5" customFormat="1" ht="30" hidden="1" customHeight="1" outlineLevel="1" x14ac:dyDescent="0.25">
      <c r="A935" s="4">
        <v>3251</v>
      </c>
      <c r="B935" s="6" t="s">
        <v>15</v>
      </c>
      <c r="C935" s="38" t="s">
        <v>8316</v>
      </c>
      <c r="D935" s="6">
        <v>2023</v>
      </c>
      <c r="E935" s="6" t="s">
        <v>12</v>
      </c>
      <c r="F935" s="6">
        <v>182</v>
      </c>
      <c r="G935" s="40">
        <v>15</v>
      </c>
      <c r="H935" s="40">
        <v>313.17357000000004</v>
      </c>
      <c r="I935" s="212"/>
      <c r="J935" s="212"/>
    </row>
    <row r="936" spans="1:10" s="5" customFormat="1" ht="30" hidden="1" customHeight="1" outlineLevel="1" x14ac:dyDescent="0.25">
      <c r="A936" s="4">
        <v>990</v>
      </c>
      <c r="B936" s="6" t="s">
        <v>15</v>
      </c>
      <c r="C936" s="38" t="s">
        <v>8317</v>
      </c>
      <c r="D936" s="6">
        <v>2023</v>
      </c>
      <c r="E936" s="6" t="s">
        <v>12</v>
      </c>
      <c r="F936" s="6">
        <v>378</v>
      </c>
      <c r="G936" s="40">
        <v>10</v>
      </c>
      <c r="H936" s="40">
        <v>774.79186000000004</v>
      </c>
      <c r="I936" s="212"/>
      <c r="J936" s="212"/>
    </row>
    <row r="937" spans="1:10" s="5" customFormat="1" ht="30" hidden="1" customHeight="1" outlineLevel="1" x14ac:dyDescent="0.25">
      <c r="A937" s="4">
        <v>726</v>
      </c>
      <c r="B937" s="6" t="s">
        <v>15</v>
      </c>
      <c r="C937" s="38" t="s">
        <v>8318</v>
      </c>
      <c r="D937" s="6">
        <v>2023</v>
      </c>
      <c r="E937" s="6" t="s">
        <v>12</v>
      </c>
      <c r="F937" s="6">
        <v>385</v>
      </c>
      <c r="G937" s="40">
        <v>10</v>
      </c>
      <c r="H937" s="40">
        <v>783.75642000000005</v>
      </c>
      <c r="I937" s="212"/>
      <c r="J937" s="212"/>
    </row>
    <row r="938" spans="1:10" s="5" customFormat="1" ht="30" hidden="1" customHeight="1" outlineLevel="1" x14ac:dyDescent="0.25">
      <c r="A938" s="4">
        <v>3132</v>
      </c>
      <c r="B938" s="6" t="s">
        <v>15</v>
      </c>
      <c r="C938" s="38" t="s">
        <v>8319</v>
      </c>
      <c r="D938" s="6">
        <v>2023</v>
      </c>
      <c r="E938" s="6" t="s">
        <v>12</v>
      </c>
      <c r="F938" s="6">
        <v>77</v>
      </c>
      <c r="G938" s="40">
        <v>30</v>
      </c>
      <c r="H938" s="40">
        <v>168.10521</v>
      </c>
      <c r="I938" s="212"/>
      <c r="J938" s="212"/>
    </row>
    <row r="939" spans="1:10" s="5" customFormat="1" ht="30" hidden="1" customHeight="1" outlineLevel="1" x14ac:dyDescent="0.25">
      <c r="A939" s="4">
        <v>2246</v>
      </c>
      <c r="B939" s="6" t="s">
        <v>15</v>
      </c>
      <c r="C939" s="38" t="s">
        <v>8320</v>
      </c>
      <c r="D939" s="6">
        <v>2023</v>
      </c>
      <c r="E939" s="6" t="s">
        <v>12</v>
      </c>
      <c r="F939" s="6">
        <v>36</v>
      </c>
      <c r="G939" s="40">
        <v>5</v>
      </c>
      <c r="H939" s="40">
        <v>58.223780000000005</v>
      </c>
      <c r="I939" s="212"/>
      <c r="J939" s="212"/>
    </row>
    <row r="940" spans="1:10" s="5" customFormat="1" ht="30" hidden="1" customHeight="1" outlineLevel="1" x14ac:dyDescent="0.25">
      <c r="A940" s="4">
        <v>2863</v>
      </c>
      <c r="B940" s="6" t="s">
        <v>15</v>
      </c>
      <c r="C940" s="38" t="s">
        <v>8321</v>
      </c>
      <c r="D940" s="6">
        <v>2023</v>
      </c>
      <c r="E940" s="6" t="s">
        <v>12</v>
      </c>
      <c r="F940" s="6">
        <v>48</v>
      </c>
      <c r="G940" s="40">
        <v>15</v>
      </c>
      <c r="H940" s="40">
        <v>95.882679999999993</v>
      </c>
      <c r="I940" s="212"/>
      <c r="J940" s="212"/>
    </row>
    <row r="941" spans="1:10" s="5" customFormat="1" ht="30" hidden="1" customHeight="1" outlineLevel="1" x14ac:dyDescent="0.25">
      <c r="A941" s="4">
        <v>3303</v>
      </c>
      <c r="B941" s="6" t="s">
        <v>15</v>
      </c>
      <c r="C941" s="38" t="s">
        <v>8322</v>
      </c>
      <c r="D941" s="6">
        <v>2023</v>
      </c>
      <c r="E941" s="6" t="s">
        <v>12</v>
      </c>
      <c r="F941" s="6">
        <v>61</v>
      </c>
      <c r="G941" s="40">
        <v>15</v>
      </c>
      <c r="H941" s="40">
        <v>154.24197000000001</v>
      </c>
      <c r="I941" s="212"/>
      <c r="J941" s="212"/>
    </row>
    <row r="942" spans="1:10" s="5" customFormat="1" ht="30" hidden="1" customHeight="1" outlineLevel="1" x14ac:dyDescent="0.25">
      <c r="A942" s="4">
        <v>2846</v>
      </c>
      <c r="B942" s="6" t="s">
        <v>15</v>
      </c>
      <c r="C942" s="38" t="s">
        <v>8323</v>
      </c>
      <c r="D942" s="6">
        <v>2023</v>
      </c>
      <c r="E942" s="6" t="s">
        <v>12</v>
      </c>
      <c r="F942" s="6">
        <v>42</v>
      </c>
      <c r="G942" s="40">
        <v>15</v>
      </c>
      <c r="H942" s="40">
        <v>108.76582999999999</v>
      </c>
      <c r="I942" s="212"/>
      <c r="J942" s="212"/>
    </row>
    <row r="943" spans="1:10" s="5" customFormat="1" ht="30" hidden="1" customHeight="1" outlineLevel="1" x14ac:dyDescent="0.25">
      <c r="A943" s="4">
        <v>1840</v>
      </c>
      <c r="B943" s="6" t="s">
        <v>15</v>
      </c>
      <c r="C943" s="38" t="s">
        <v>8324</v>
      </c>
      <c r="D943" s="6">
        <v>2023</v>
      </c>
      <c r="E943" s="6" t="s">
        <v>12</v>
      </c>
      <c r="F943" s="6">
        <v>20</v>
      </c>
      <c r="G943" s="40">
        <v>5</v>
      </c>
      <c r="H943" s="40">
        <v>97.411330000000007</v>
      </c>
      <c r="I943" s="212"/>
      <c r="J943" s="212"/>
    </row>
    <row r="944" spans="1:10" s="5" customFormat="1" ht="30" hidden="1" customHeight="1" outlineLevel="1" x14ac:dyDescent="0.25">
      <c r="A944" s="4">
        <v>1722</v>
      </c>
      <c r="B944" s="6" t="s">
        <v>15</v>
      </c>
      <c r="C944" s="38" t="s">
        <v>8325</v>
      </c>
      <c r="D944" s="6">
        <v>2023</v>
      </c>
      <c r="E944" s="6" t="s">
        <v>12</v>
      </c>
      <c r="F944" s="6">
        <v>40</v>
      </c>
      <c r="G944" s="40">
        <v>3</v>
      </c>
      <c r="H944" s="40">
        <v>117.87701</v>
      </c>
      <c r="I944" s="212"/>
      <c r="J944" s="212"/>
    </row>
    <row r="945" spans="1:10" s="5" customFormat="1" ht="30" hidden="1" customHeight="1" outlineLevel="1" x14ac:dyDescent="0.25">
      <c r="A945" s="4">
        <v>3306</v>
      </c>
      <c r="B945" s="6" t="s">
        <v>15</v>
      </c>
      <c r="C945" s="38" t="s">
        <v>8326</v>
      </c>
      <c r="D945" s="6">
        <v>2023</v>
      </c>
      <c r="E945" s="6" t="s">
        <v>12</v>
      </c>
      <c r="F945" s="6">
        <v>41</v>
      </c>
      <c r="G945" s="40">
        <v>15</v>
      </c>
      <c r="H945" s="40">
        <v>102.52276999999999</v>
      </c>
      <c r="I945" s="212"/>
      <c r="J945" s="212"/>
    </row>
    <row r="946" spans="1:10" s="5" customFormat="1" ht="30" hidden="1" customHeight="1" outlineLevel="1" x14ac:dyDescent="0.25">
      <c r="A946" s="4">
        <v>1933</v>
      </c>
      <c r="B946" s="6" t="s">
        <v>15</v>
      </c>
      <c r="C946" s="38" t="s">
        <v>8327</v>
      </c>
      <c r="D946" s="6">
        <v>2023</v>
      </c>
      <c r="E946" s="6" t="s">
        <v>12</v>
      </c>
      <c r="F946" s="6">
        <v>90</v>
      </c>
      <c r="G946" s="40">
        <v>15</v>
      </c>
      <c r="H946" s="40">
        <v>162.44839999999999</v>
      </c>
      <c r="I946" s="212"/>
      <c r="J946" s="212"/>
    </row>
    <row r="947" spans="1:10" s="5" customFormat="1" ht="30" hidden="1" customHeight="1" outlineLevel="1" x14ac:dyDescent="0.25">
      <c r="A947" s="4">
        <v>2098</v>
      </c>
      <c r="B947" s="6" t="s">
        <v>15</v>
      </c>
      <c r="C947" s="38" t="s">
        <v>8328</v>
      </c>
      <c r="D947" s="6">
        <v>2023</v>
      </c>
      <c r="E947" s="6" t="s">
        <v>12</v>
      </c>
      <c r="F947" s="6">
        <v>20</v>
      </c>
      <c r="G947" s="40">
        <v>5</v>
      </c>
      <c r="H947" s="40">
        <v>84.750149999999991</v>
      </c>
      <c r="I947" s="212"/>
      <c r="J947" s="212"/>
    </row>
    <row r="948" spans="1:10" s="5" customFormat="1" ht="30" hidden="1" customHeight="1" outlineLevel="1" x14ac:dyDescent="0.25">
      <c r="A948" s="4">
        <v>2960</v>
      </c>
      <c r="B948" s="6" t="s">
        <v>15</v>
      </c>
      <c r="C948" s="38" t="s">
        <v>8329</v>
      </c>
      <c r="D948" s="6">
        <v>2023</v>
      </c>
      <c r="E948" s="6" t="s">
        <v>12</v>
      </c>
      <c r="F948" s="6">
        <v>320</v>
      </c>
      <c r="G948" s="40">
        <v>60</v>
      </c>
      <c r="H948" s="40">
        <v>363.08734999999996</v>
      </c>
      <c r="I948" s="212"/>
      <c r="J948" s="212"/>
    </row>
    <row r="949" spans="1:10" s="5" customFormat="1" ht="30" hidden="1" customHeight="1" outlineLevel="1" x14ac:dyDescent="0.25">
      <c r="A949" s="4">
        <v>1711</v>
      </c>
      <c r="B949" s="6" t="s">
        <v>15</v>
      </c>
      <c r="C949" s="38" t="s">
        <v>8330</v>
      </c>
      <c r="D949" s="6">
        <v>2023</v>
      </c>
      <c r="E949" s="6" t="s">
        <v>12</v>
      </c>
      <c r="F949" s="6">
        <v>130</v>
      </c>
      <c r="G949" s="40">
        <v>15</v>
      </c>
      <c r="H949" s="40">
        <v>200.18616</v>
      </c>
      <c r="I949" s="212"/>
      <c r="J949" s="212"/>
    </row>
    <row r="950" spans="1:10" s="5" customFormat="1" ht="30" hidden="1" customHeight="1" outlineLevel="1" x14ac:dyDescent="0.25">
      <c r="A950" s="4">
        <v>1123</v>
      </c>
      <c r="B950" s="6" t="s">
        <v>15</v>
      </c>
      <c r="C950" s="38" t="s">
        <v>8331</v>
      </c>
      <c r="D950" s="6">
        <v>2023</v>
      </c>
      <c r="E950" s="6" t="s">
        <v>12</v>
      </c>
      <c r="F950" s="6">
        <v>323</v>
      </c>
      <c r="G950" s="40">
        <v>15</v>
      </c>
      <c r="H950" s="40">
        <v>654.11797999999999</v>
      </c>
      <c r="I950" s="212"/>
      <c r="J950" s="212"/>
    </row>
    <row r="951" spans="1:10" s="5" customFormat="1" ht="30" hidden="1" customHeight="1" outlineLevel="1" x14ac:dyDescent="0.25">
      <c r="A951" s="4">
        <v>814</v>
      </c>
      <c r="B951" s="6" t="s">
        <v>15</v>
      </c>
      <c r="C951" s="38" t="s">
        <v>8332</v>
      </c>
      <c r="D951" s="6">
        <v>2023</v>
      </c>
      <c r="E951" s="6" t="s">
        <v>12</v>
      </c>
      <c r="F951" s="6">
        <v>33</v>
      </c>
      <c r="G951" s="40">
        <v>15</v>
      </c>
      <c r="H951" s="40">
        <v>97.698759999999993</v>
      </c>
      <c r="I951" s="212"/>
      <c r="J951" s="212"/>
    </row>
    <row r="952" spans="1:10" s="5" customFormat="1" ht="30" hidden="1" customHeight="1" outlineLevel="1" x14ac:dyDescent="0.25">
      <c r="A952" s="4">
        <v>392</v>
      </c>
      <c r="B952" s="6" t="s">
        <v>15</v>
      </c>
      <c r="C952" s="38" t="s">
        <v>8333</v>
      </c>
      <c r="D952" s="6">
        <v>2023</v>
      </c>
      <c r="E952" s="6" t="s">
        <v>12</v>
      </c>
      <c r="F952" s="6">
        <v>180</v>
      </c>
      <c r="G952" s="40">
        <v>15</v>
      </c>
      <c r="H952" s="40">
        <v>290.36323000000004</v>
      </c>
      <c r="I952" s="212"/>
      <c r="J952" s="212"/>
    </row>
    <row r="953" spans="1:10" s="5" customFormat="1" ht="30" hidden="1" customHeight="1" outlineLevel="1" x14ac:dyDescent="0.25">
      <c r="A953" s="4">
        <v>442</v>
      </c>
      <c r="B953" s="6" t="s">
        <v>15</v>
      </c>
      <c r="C953" s="38" t="s">
        <v>8334</v>
      </c>
      <c r="D953" s="6">
        <v>2023</v>
      </c>
      <c r="E953" s="6" t="s">
        <v>12</v>
      </c>
      <c r="F953" s="6">
        <v>32</v>
      </c>
      <c r="G953" s="40">
        <v>15</v>
      </c>
      <c r="H953" s="40">
        <v>65.982950000000002</v>
      </c>
      <c r="I953" s="212"/>
      <c r="J953" s="212"/>
    </row>
    <row r="954" spans="1:10" s="5" customFormat="1" ht="30" hidden="1" customHeight="1" outlineLevel="1" x14ac:dyDescent="0.25">
      <c r="A954" s="4">
        <v>2254</v>
      </c>
      <c r="B954" s="6" t="s">
        <v>15</v>
      </c>
      <c r="C954" s="38" t="s">
        <v>8335</v>
      </c>
      <c r="D954" s="6">
        <v>2023</v>
      </c>
      <c r="E954" s="6" t="s">
        <v>12</v>
      </c>
      <c r="F954" s="6">
        <v>25</v>
      </c>
      <c r="G954" s="40">
        <v>5</v>
      </c>
      <c r="H954" s="40">
        <v>70.017409999999998</v>
      </c>
      <c r="I954" s="212"/>
      <c r="J954" s="212"/>
    </row>
    <row r="955" spans="1:10" s="5" customFormat="1" ht="30" hidden="1" customHeight="1" outlineLevel="1" x14ac:dyDescent="0.25">
      <c r="A955" s="4">
        <v>698</v>
      </c>
      <c r="B955" s="6" t="s">
        <v>15</v>
      </c>
      <c r="C955" s="38" t="s">
        <v>8336</v>
      </c>
      <c r="D955" s="6">
        <v>2023</v>
      </c>
      <c r="E955" s="6" t="s">
        <v>12</v>
      </c>
      <c r="F955" s="6">
        <v>151</v>
      </c>
      <c r="G955" s="40">
        <v>12</v>
      </c>
      <c r="H955" s="40">
        <v>284.62313</v>
      </c>
      <c r="I955" s="212"/>
      <c r="J955" s="212"/>
    </row>
    <row r="956" spans="1:10" s="5" customFormat="1" ht="30" hidden="1" customHeight="1" outlineLevel="1" x14ac:dyDescent="0.25">
      <c r="A956" s="4">
        <v>2175</v>
      </c>
      <c r="B956" s="6" t="s">
        <v>15</v>
      </c>
      <c r="C956" s="38" t="s">
        <v>8337</v>
      </c>
      <c r="D956" s="6">
        <v>2023</v>
      </c>
      <c r="E956" s="6" t="s">
        <v>12</v>
      </c>
      <c r="F956" s="6">
        <v>25</v>
      </c>
      <c r="G956" s="40">
        <v>7</v>
      </c>
      <c r="H956" s="40">
        <v>95.441079999999999</v>
      </c>
      <c r="I956" s="212"/>
      <c r="J956" s="212"/>
    </row>
    <row r="957" spans="1:10" s="5" customFormat="1" ht="30" hidden="1" customHeight="1" outlineLevel="1" x14ac:dyDescent="0.25">
      <c r="A957" s="4">
        <v>2228</v>
      </c>
      <c r="B957" s="6" t="s">
        <v>15</v>
      </c>
      <c r="C957" s="38" t="s">
        <v>8338</v>
      </c>
      <c r="D957" s="6">
        <v>2023</v>
      </c>
      <c r="E957" s="6" t="s">
        <v>12</v>
      </c>
      <c r="F957" s="6">
        <v>25</v>
      </c>
      <c r="G957" s="40">
        <v>7</v>
      </c>
      <c r="H957" s="40">
        <v>96.356110000000001</v>
      </c>
      <c r="I957" s="212"/>
      <c r="J957" s="212"/>
    </row>
    <row r="958" spans="1:10" s="5" customFormat="1" ht="30" hidden="1" customHeight="1" outlineLevel="1" x14ac:dyDescent="0.25">
      <c r="A958" s="4">
        <v>2229</v>
      </c>
      <c r="B958" s="6" t="s">
        <v>15</v>
      </c>
      <c r="C958" s="38" t="s">
        <v>8339</v>
      </c>
      <c r="D958" s="6">
        <v>2023</v>
      </c>
      <c r="E958" s="6" t="s">
        <v>12</v>
      </c>
      <c r="F958" s="6">
        <v>22</v>
      </c>
      <c r="G958" s="40">
        <v>10</v>
      </c>
      <c r="H958" s="40">
        <v>90.886179999999996</v>
      </c>
      <c r="I958" s="212"/>
      <c r="J958" s="212"/>
    </row>
    <row r="959" spans="1:10" s="5" customFormat="1" ht="30" hidden="1" customHeight="1" outlineLevel="1" x14ac:dyDescent="0.25">
      <c r="A959" s="4">
        <v>2205</v>
      </c>
      <c r="B959" s="6" t="s">
        <v>15</v>
      </c>
      <c r="C959" s="38" t="s">
        <v>8340</v>
      </c>
      <c r="D959" s="6">
        <v>2023</v>
      </c>
      <c r="E959" s="6" t="s">
        <v>12</v>
      </c>
      <c r="F959" s="6">
        <v>82</v>
      </c>
      <c r="G959" s="40">
        <v>7</v>
      </c>
      <c r="H959" s="40">
        <v>182.86374000000001</v>
      </c>
      <c r="I959" s="212"/>
      <c r="J959" s="212"/>
    </row>
    <row r="960" spans="1:10" s="5" customFormat="1" ht="30" hidden="1" customHeight="1" outlineLevel="1" x14ac:dyDescent="0.25">
      <c r="A960" s="4">
        <v>2170</v>
      </c>
      <c r="B960" s="6" t="s">
        <v>15</v>
      </c>
      <c r="C960" s="38" t="s">
        <v>8341</v>
      </c>
      <c r="D960" s="6">
        <v>2023</v>
      </c>
      <c r="E960" s="6" t="s">
        <v>12</v>
      </c>
      <c r="F960" s="6">
        <v>25</v>
      </c>
      <c r="G960" s="40">
        <v>11</v>
      </c>
      <c r="H960" s="40">
        <v>82.609249999999989</v>
      </c>
      <c r="I960" s="212"/>
      <c r="J960" s="212"/>
    </row>
    <row r="961" spans="1:10" s="5" customFormat="1" ht="30" hidden="1" customHeight="1" outlineLevel="1" x14ac:dyDescent="0.25">
      <c r="A961" s="4">
        <v>164</v>
      </c>
      <c r="B961" s="6" t="s">
        <v>15</v>
      </c>
      <c r="C961" s="38" t="s">
        <v>8342</v>
      </c>
      <c r="D961" s="6">
        <v>2023</v>
      </c>
      <c r="E961" s="6" t="s">
        <v>12</v>
      </c>
      <c r="F961" s="6">
        <v>225</v>
      </c>
      <c r="G961" s="40">
        <v>10</v>
      </c>
      <c r="H961" s="40">
        <v>472.47897</v>
      </c>
      <c r="I961" s="212"/>
      <c r="J961" s="212"/>
    </row>
    <row r="962" spans="1:10" s="5" customFormat="1" ht="30" hidden="1" customHeight="1" outlineLevel="1" x14ac:dyDescent="0.25">
      <c r="A962" s="4">
        <v>772</v>
      </c>
      <c r="B962" s="6" t="s">
        <v>15</v>
      </c>
      <c r="C962" s="38" t="s">
        <v>8343</v>
      </c>
      <c r="D962" s="6">
        <v>2023</v>
      </c>
      <c r="E962" s="6" t="s">
        <v>12</v>
      </c>
      <c r="F962" s="6">
        <v>120</v>
      </c>
      <c r="G962" s="40">
        <v>5</v>
      </c>
      <c r="H962" s="40">
        <v>258.75991999999997</v>
      </c>
      <c r="I962" s="212"/>
      <c r="J962" s="212"/>
    </row>
    <row r="963" spans="1:10" s="5" customFormat="1" ht="30" hidden="1" customHeight="1" outlineLevel="1" x14ac:dyDescent="0.25">
      <c r="A963" s="4">
        <v>4093</v>
      </c>
      <c r="B963" s="6" t="s">
        <v>15</v>
      </c>
      <c r="C963" s="38" t="s">
        <v>8344</v>
      </c>
      <c r="D963" s="6">
        <v>2023</v>
      </c>
      <c r="E963" s="6" t="s">
        <v>12</v>
      </c>
      <c r="F963" s="6">
        <v>65</v>
      </c>
      <c r="G963" s="40">
        <v>45</v>
      </c>
      <c r="H963" s="40">
        <v>223.41989000000001</v>
      </c>
      <c r="I963" s="212"/>
      <c r="J963" s="212"/>
    </row>
    <row r="964" spans="1:10" s="5" customFormat="1" ht="30" hidden="1" customHeight="1" outlineLevel="1" x14ac:dyDescent="0.25">
      <c r="A964" s="4">
        <v>4112</v>
      </c>
      <c r="B964" s="6" t="s">
        <v>15</v>
      </c>
      <c r="C964" s="38" t="s">
        <v>8345</v>
      </c>
      <c r="D964" s="6">
        <v>2023</v>
      </c>
      <c r="E964" s="6" t="s">
        <v>12</v>
      </c>
      <c r="F964" s="6">
        <v>50</v>
      </c>
      <c r="G964" s="40">
        <v>7.5</v>
      </c>
      <c r="H964" s="40">
        <v>104.38516</v>
      </c>
      <c r="I964" s="212"/>
      <c r="J964" s="212"/>
    </row>
    <row r="965" spans="1:10" s="5" customFormat="1" ht="30" hidden="1" customHeight="1" outlineLevel="1" x14ac:dyDescent="0.25">
      <c r="A965" s="4">
        <v>1820</v>
      </c>
      <c r="B965" s="6" t="s">
        <v>15</v>
      </c>
      <c r="C965" s="38" t="s">
        <v>8346</v>
      </c>
      <c r="D965" s="6">
        <v>2023</v>
      </c>
      <c r="E965" s="6" t="s">
        <v>12</v>
      </c>
      <c r="F965" s="6">
        <v>136</v>
      </c>
      <c r="G965" s="40">
        <v>5</v>
      </c>
      <c r="H965" s="40">
        <v>249.69216</v>
      </c>
      <c r="I965" s="212"/>
      <c r="J965" s="212"/>
    </row>
    <row r="966" spans="1:10" s="5" customFormat="1" ht="30" hidden="1" customHeight="1" outlineLevel="1" x14ac:dyDescent="0.25">
      <c r="A966" s="4">
        <v>1004</v>
      </c>
      <c r="B966" s="6" t="s">
        <v>15</v>
      </c>
      <c r="C966" s="38" t="s">
        <v>8347</v>
      </c>
      <c r="D966" s="6">
        <v>2023</v>
      </c>
      <c r="E966" s="6" t="s">
        <v>12</v>
      </c>
      <c r="F966" s="6">
        <v>147</v>
      </c>
      <c r="G966" s="40">
        <v>15</v>
      </c>
      <c r="H966" s="40">
        <v>487.44043999999997</v>
      </c>
      <c r="I966" s="212"/>
      <c r="J966" s="212"/>
    </row>
    <row r="967" spans="1:10" s="5" customFormat="1" ht="30" hidden="1" customHeight="1" outlineLevel="1" x14ac:dyDescent="0.25">
      <c r="A967" s="4">
        <v>447</v>
      </c>
      <c r="B967" s="6" t="s">
        <v>15</v>
      </c>
      <c r="C967" s="38" t="s">
        <v>8348</v>
      </c>
      <c r="D967" s="6">
        <v>2023</v>
      </c>
      <c r="E967" s="6" t="s">
        <v>12</v>
      </c>
      <c r="F967" s="6">
        <v>546</v>
      </c>
      <c r="G967" s="40">
        <v>30</v>
      </c>
      <c r="H967" s="40">
        <v>1181.88779</v>
      </c>
      <c r="I967" s="212"/>
      <c r="J967" s="212"/>
    </row>
    <row r="968" spans="1:10" s="5" customFormat="1" ht="30" hidden="1" customHeight="1" outlineLevel="1" x14ac:dyDescent="0.25">
      <c r="A968" s="4">
        <v>2602</v>
      </c>
      <c r="B968" s="6" t="s">
        <v>15</v>
      </c>
      <c r="C968" s="38" t="s">
        <v>8349</v>
      </c>
      <c r="D968" s="6">
        <v>2023</v>
      </c>
      <c r="E968" s="6" t="s">
        <v>12</v>
      </c>
      <c r="F968" s="6">
        <v>45</v>
      </c>
      <c r="G968" s="40">
        <v>10</v>
      </c>
      <c r="H968" s="40">
        <v>149.02286000000001</v>
      </c>
      <c r="I968" s="212"/>
      <c r="J968" s="212"/>
    </row>
    <row r="969" spans="1:10" s="5" customFormat="1" ht="30" hidden="1" customHeight="1" outlineLevel="1" x14ac:dyDescent="0.25">
      <c r="A969" s="4">
        <v>4136</v>
      </c>
      <c r="B969" s="6" t="s">
        <v>15</v>
      </c>
      <c r="C969" s="38" t="s">
        <v>8350</v>
      </c>
      <c r="D969" s="6">
        <v>2023</v>
      </c>
      <c r="E969" s="6" t="s">
        <v>12</v>
      </c>
      <c r="F969" s="6">
        <v>33</v>
      </c>
      <c r="G969" s="40">
        <v>15</v>
      </c>
      <c r="H969" s="40">
        <v>92.440339999999992</v>
      </c>
      <c r="I969" s="212"/>
      <c r="J969" s="212"/>
    </row>
    <row r="970" spans="1:10" s="5" customFormat="1" ht="30" hidden="1" customHeight="1" outlineLevel="1" x14ac:dyDescent="0.25">
      <c r="A970" s="4">
        <v>2364</v>
      </c>
      <c r="B970" s="6" t="s">
        <v>15</v>
      </c>
      <c r="C970" s="38" t="s">
        <v>8351</v>
      </c>
      <c r="D970" s="6">
        <v>2023</v>
      </c>
      <c r="E970" s="6" t="s">
        <v>12</v>
      </c>
      <c r="F970" s="6">
        <v>65</v>
      </c>
      <c r="G970" s="40">
        <v>14</v>
      </c>
      <c r="H970" s="40">
        <v>154.43035</v>
      </c>
      <c r="I970" s="212"/>
      <c r="J970" s="212"/>
    </row>
    <row r="971" spans="1:10" s="5" customFormat="1" ht="30" hidden="1" customHeight="1" outlineLevel="1" x14ac:dyDescent="0.25">
      <c r="A971" s="4">
        <v>2388</v>
      </c>
      <c r="B971" s="6" t="s">
        <v>15</v>
      </c>
      <c r="C971" s="38" t="s">
        <v>8352</v>
      </c>
      <c r="D971" s="6">
        <v>2023</v>
      </c>
      <c r="E971" s="6" t="s">
        <v>12</v>
      </c>
      <c r="F971" s="6">
        <v>12</v>
      </c>
      <c r="G971" s="40">
        <v>5</v>
      </c>
      <c r="H971" s="40">
        <v>81.971409999999992</v>
      </c>
      <c r="I971" s="212"/>
      <c r="J971" s="212"/>
    </row>
    <row r="972" spans="1:10" s="5" customFormat="1" ht="30" hidden="1" customHeight="1" outlineLevel="1" x14ac:dyDescent="0.25">
      <c r="A972" s="4">
        <v>4163</v>
      </c>
      <c r="B972" s="6" t="s">
        <v>15</v>
      </c>
      <c r="C972" s="38" t="s">
        <v>8353</v>
      </c>
      <c r="D972" s="6">
        <v>2023</v>
      </c>
      <c r="E972" s="6" t="s">
        <v>12</v>
      </c>
      <c r="F972" s="6">
        <v>27</v>
      </c>
      <c r="G972" s="40">
        <v>5</v>
      </c>
      <c r="H972" s="40">
        <v>93.670729999999992</v>
      </c>
      <c r="I972" s="212"/>
      <c r="J972" s="212"/>
    </row>
    <row r="973" spans="1:10" s="5" customFormat="1" ht="30" hidden="1" customHeight="1" outlineLevel="1" x14ac:dyDescent="0.25">
      <c r="A973" s="4">
        <v>2888</v>
      </c>
      <c r="B973" s="6" t="s">
        <v>15</v>
      </c>
      <c r="C973" s="38" t="s">
        <v>8354</v>
      </c>
      <c r="D973" s="6">
        <v>2023</v>
      </c>
      <c r="E973" s="6" t="s">
        <v>12</v>
      </c>
      <c r="F973" s="6">
        <v>16</v>
      </c>
      <c r="G973" s="40">
        <v>15</v>
      </c>
      <c r="H973" s="40">
        <v>84.080420000000004</v>
      </c>
      <c r="I973" s="212"/>
      <c r="J973" s="212"/>
    </row>
    <row r="974" spans="1:10" s="5" customFormat="1" ht="30" hidden="1" customHeight="1" outlineLevel="1" x14ac:dyDescent="0.25">
      <c r="A974" s="4">
        <v>2539</v>
      </c>
      <c r="B974" s="6" t="s">
        <v>15</v>
      </c>
      <c r="C974" s="38" t="s">
        <v>8355</v>
      </c>
      <c r="D974" s="6">
        <v>2023</v>
      </c>
      <c r="E974" s="6" t="s">
        <v>12</v>
      </c>
      <c r="F974" s="6">
        <v>10</v>
      </c>
      <c r="G974" s="40">
        <v>7</v>
      </c>
      <c r="H974" s="40">
        <v>62.036119999999997</v>
      </c>
      <c r="I974" s="212"/>
      <c r="J974" s="212"/>
    </row>
    <row r="975" spans="1:10" s="5" customFormat="1" ht="30" hidden="1" customHeight="1" outlineLevel="1" x14ac:dyDescent="0.25">
      <c r="A975" s="4">
        <v>1177</v>
      </c>
      <c r="B975" s="6" t="s">
        <v>15</v>
      </c>
      <c r="C975" s="38" t="s">
        <v>8356</v>
      </c>
      <c r="D975" s="6">
        <v>2023</v>
      </c>
      <c r="E975" s="6" t="s">
        <v>12</v>
      </c>
      <c r="F975" s="6">
        <v>68</v>
      </c>
      <c r="G975" s="40">
        <v>7</v>
      </c>
      <c r="H975" s="40">
        <v>109.74118</v>
      </c>
      <c r="I975" s="212"/>
      <c r="J975" s="212"/>
    </row>
    <row r="976" spans="1:10" s="5" customFormat="1" ht="30" hidden="1" customHeight="1" outlineLevel="1" x14ac:dyDescent="0.25">
      <c r="A976" s="4">
        <v>1509</v>
      </c>
      <c r="B976" s="6" t="s">
        <v>15</v>
      </c>
      <c r="C976" s="38" t="s">
        <v>8357</v>
      </c>
      <c r="D976" s="6">
        <v>2023</v>
      </c>
      <c r="E976" s="6" t="s">
        <v>12</v>
      </c>
      <c r="F976" s="6">
        <v>316</v>
      </c>
      <c r="G976" s="40">
        <v>10</v>
      </c>
      <c r="H976" s="40">
        <v>837.98658999999998</v>
      </c>
      <c r="I976" s="212"/>
      <c r="J976" s="212"/>
    </row>
    <row r="977" spans="1:10" s="5" customFormat="1" ht="30" hidden="1" customHeight="1" outlineLevel="1" x14ac:dyDescent="0.25">
      <c r="A977" s="4">
        <v>4177</v>
      </c>
      <c r="B977" s="6" t="s">
        <v>15</v>
      </c>
      <c r="C977" s="38" t="s">
        <v>8358</v>
      </c>
      <c r="D977" s="6">
        <v>2023</v>
      </c>
      <c r="E977" s="6" t="s">
        <v>12</v>
      </c>
      <c r="F977" s="6">
        <v>58</v>
      </c>
      <c r="G977" s="40">
        <v>7.5</v>
      </c>
      <c r="H977" s="40">
        <v>171.51232999999999</v>
      </c>
      <c r="I977" s="212"/>
      <c r="J977" s="212"/>
    </row>
    <row r="978" spans="1:10" s="5" customFormat="1" ht="30" hidden="1" customHeight="1" outlineLevel="1" x14ac:dyDescent="0.25">
      <c r="A978" s="4">
        <v>418</v>
      </c>
      <c r="B978" s="6" t="s">
        <v>15</v>
      </c>
      <c r="C978" s="38" t="s">
        <v>8359</v>
      </c>
      <c r="D978" s="6">
        <v>2023</v>
      </c>
      <c r="E978" s="6" t="s">
        <v>12</v>
      </c>
      <c r="F978" s="6">
        <v>37</v>
      </c>
      <c r="G978" s="40">
        <v>15</v>
      </c>
      <c r="H978" s="40">
        <v>107.08320999999999</v>
      </c>
      <c r="I978" s="212"/>
      <c r="J978" s="212"/>
    </row>
    <row r="979" spans="1:10" s="5" customFormat="1" ht="30" hidden="1" customHeight="1" outlineLevel="1" x14ac:dyDescent="0.25">
      <c r="A979" s="4">
        <v>3182</v>
      </c>
      <c r="B979" s="6" t="s">
        <v>15</v>
      </c>
      <c r="C979" s="38" t="s">
        <v>8360</v>
      </c>
      <c r="D979" s="6">
        <v>2023</v>
      </c>
      <c r="E979" s="6" t="s">
        <v>12</v>
      </c>
      <c r="F979" s="6">
        <v>5</v>
      </c>
      <c r="G979" s="40">
        <v>9</v>
      </c>
      <c r="H979" s="40">
        <v>51.312749999999994</v>
      </c>
      <c r="I979" s="212"/>
      <c r="J979" s="212"/>
    </row>
    <row r="980" spans="1:10" s="5" customFormat="1" ht="30" hidden="1" customHeight="1" outlineLevel="1" x14ac:dyDescent="0.25">
      <c r="A980" s="4">
        <v>4028</v>
      </c>
      <c r="B980" s="6" t="s">
        <v>15</v>
      </c>
      <c r="C980" s="38" t="s">
        <v>8361</v>
      </c>
      <c r="D980" s="6">
        <v>2023</v>
      </c>
      <c r="E980" s="6" t="s">
        <v>12</v>
      </c>
      <c r="F980" s="6">
        <v>15</v>
      </c>
      <c r="G980" s="40">
        <v>75</v>
      </c>
      <c r="H980" s="40">
        <v>59.21978</v>
      </c>
      <c r="I980" s="212"/>
      <c r="J980" s="212"/>
    </row>
    <row r="981" spans="1:10" s="5" customFormat="1" ht="30" hidden="1" customHeight="1" outlineLevel="1" x14ac:dyDescent="0.25">
      <c r="A981" s="4">
        <v>3995</v>
      </c>
      <c r="B981" s="6" t="s">
        <v>15</v>
      </c>
      <c r="C981" s="38" t="s">
        <v>8362</v>
      </c>
      <c r="D981" s="6">
        <v>2023</v>
      </c>
      <c r="E981" s="6" t="s">
        <v>12</v>
      </c>
      <c r="F981" s="6">
        <v>136</v>
      </c>
      <c r="G981" s="40">
        <v>15</v>
      </c>
      <c r="H981" s="40">
        <v>318.17282</v>
      </c>
      <c r="I981" s="212"/>
      <c r="J981" s="212"/>
    </row>
    <row r="982" spans="1:10" s="5" customFormat="1" ht="30" hidden="1" customHeight="1" outlineLevel="1" x14ac:dyDescent="0.25">
      <c r="A982" s="4">
        <v>4032</v>
      </c>
      <c r="B982" s="6" t="s">
        <v>15</v>
      </c>
      <c r="C982" s="38" t="s">
        <v>8363</v>
      </c>
      <c r="D982" s="6">
        <v>2023</v>
      </c>
      <c r="E982" s="6" t="s">
        <v>12</v>
      </c>
      <c r="F982" s="6">
        <v>262</v>
      </c>
      <c r="G982" s="40">
        <v>15</v>
      </c>
      <c r="H982" s="40">
        <v>734.06170000000009</v>
      </c>
      <c r="I982" s="212"/>
      <c r="J982" s="212"/>
    </row>
    <row r="983" spans="1:10" s="5" customFormat="1" ht="30" hidden="1" customHeight="1" outlineLevel="1" x14ac:dyDescent="0.25">
      <c r="A983" s="4">
        <v>3042</v>
      </c>
      <c r="B983" s="6" t="s">
        <v>15</v>
      </c>
      <c r="C983" s="38" t="s">
        <v>8364</v>
      </c>
      <c r="D983" s="6">
        <v>2023</v>
      </c>
      <c r="E983" s="6" t="s">
        <v>12</v>
      </c>
      <c r="F983" s="6">
        <v>6</v>
      </c>
      <c r="G983" s="40">
        <v>27</v>
      </c>
      <c r="H983" s="40">
        <v>125.69637999999999</v>
      </c>
      <c r="I983" s="212"/>
      <c r="J983" s="212"/>
    </row>
    <row r="984" spans="1:10" s="5" customFormat="1" ht="30" hidden="1" customHeight="1" outlineLevel="1" x14ac:dyDescent="0.25">
      <c r="A984" s="4">
        <v>484</v>
      </c>
      <c r="B984" s="6" t="s">
        <v>15</v>
      </c>
      <c r="C984" s="38" t="s">
        <v>8365</v>
      </c>
      <c r="D984" s="6">
        <v>2023</v>
      </c>
      <c r="E984" s="6" t="s">
        <v>12</v>
      </c>
      <c r="F984" s="6">
        <v>16</v>
      </c>
      <c r="G984" s="40">
        <v>15</v>
      </c>
      <c r="H984" s="40">
        <v>114.81934000000001</v>
      </c>
      <c r="I984" s="212"/>
      <c r="J984" s="212"/>
    </row>
    <row r="985" spans="1:10" s="5" customFormat="1" ht="30" hidden="1" customHeight="1" outlineLevel="1" x14ac:dyDescent="0.25">
      <c r="A985" s="4">
        <v>4025</v>
      </c>
      <c r="B985" s="6" t="s">
        <v>15</v>
      </c>
      <c r="C985" s="38" t="s">
        <v>8366</v>
      </c>
      <c r="D985" s="6">
        <v>2023</v>
      </c>
      <c r="E985" s="6" t="s">
        <v>12</v>
      </c>
      <c r="F985" s="6">
        <v>454</v>
      </c>
      <c r="G985" s="40">
        <v>50</v>
      </c>
      <c r="H985" s="40">
        <v>814.33633999999995</v>
      </c>
      <c r="I985" s="212"/>
      <c r="J985" s="212"/>
    </row>
    <row r="986" spans="1:10" s="5" customFormat="1" ht="30" hidden="1" customHeight="1" outlineLevel="1" x14ac:dyDescent="0.25">
      <c r="A986" s="4">
        <v>253</v>
      </c>
      <c r="B986" s="6" t="s">
        <v>15</v>
      </c>
      <c r="C986" s="38" t="s">
        <v>8367</v>
      </c>
      <c r="D986" s="6">
        <v>2023</v>
      </c>
      <c r="E986" s="6" t="s">
        <v>12</v>
      </c>
      <c r="F986" s="6">
        <v>413</v>
      </c>
      <c r="G986" s="40">
        <v>15</v>
      </c>
      <c r="H986" s="40">
        <v>594.05962999999997</v>
      </c>
      <c r="I986" s="212"/>
      <c r="J986" s="212"/>
    </row>
    <row r="987" spans="1:10" s="5" customFormat="1" ht="30" hidden="1" customHeight="1" outlineLevel="1" x14ac:dyDescent="0.25">
      <c r="A987" s="4">
        <v>4033</v>
      </c>
      <c r="B987" s="6" t="s">
        <v>15</v>
      </c>
      <c r="C987" s="38" t="s">
        <v>8368</v>
      </c>
      <c r="D987" s="6">
        <v>2023</v>
      </c>
      <c r="E987" s="6" t="s">
        <v>12</v>
      </c>
      <c r="F987" s="6">
        <v>40</v>
      </c>
      <c r="G987" s="40">
        <v>15</v>
      </c>
      <c r="H987" s="40">
        <v>124.35638999999999</v>
      </c>
      <c r="I987" s="212"/>
      <c r="J987" s="212"/>
    </row>
    <row r="988" spans="1:10" s="5" customFormat="1" ht="30" hidden="1" customHeight="1" outlineLevel="1" x14ac:dyDescent="0.25">
      <c r="A988" s="4">
        <v>2825</v>
      </c>
      <c r="B988" s="6" t="s">
        <v>15</v>
      </c>
      <c r="C988" s="38" t="s">
        <v>8369</v>
      </c>
      <c r="D988" s="6">
        <v>2023</v>
      </c>
      <c r="E988" s="6" t="s">
        <v>12</v>
      </c>
      <c r="F988" s="6">
        <v>300</v>
      </c>
      <c r="G988" s="40">
        <v>15</v>
      </c>
      <c r="H988" s="40">
        <v>478.74297000000001</v>
      </c>
      <c r="I988" s="212"/>
      <c r="J988" s="212"/>
    </row>
    <row r="989" spans="1:10" s="5" customFormat="1" ht="30" hidden="1" customHeight="1" outlineLevel="1" x14ac:dyDescent="0.25">
      <c r="A989" s="4">
        <v>3210</v>
      </c>
      <c r="B989" s="6" t="s">
        <v>15</v>
      </c>
      <c r="C989" s="38" t="s">
        <v>8370</v>
      </c>
      <c r="D989" s="6">
        <v>2023</v>
      </c>
      <c r="E989" s="6" t="s">
        <v>12</v>
      </c>
      <c r="F989" s="6">
        <v>6</v>
      </c>
      <c r="G989" s="40">
        <v>15</v>
      </c>
      <c r="H989" s="40">
        <v>69.945869999999999</v>
      </c>
      <c r="I989" s="212"/>
      <c r="J989" s="212"/>
    </row>
    <row r="990" spans="1:10" s="5" customFormat="1" ht="30" hidden="1" customHeight="1" outlineLevel="1" x14ac:dyDescent="0.25">
      <c r="A990" s="4">
        <v>274</v>
      </c>
      <c r="B990" s="6" t="s">
        <v>15</v>
      </c>
      <c r="C990" s="38" t="s">
        <v>8371</v>
      </c>
      <c r="D990" s="6">
        <v>2023</v>
      </c>
      <c r="E990" s="6" t="s">
        <v>12</v>
      </c>
      <c r="F990" s="6">
        <v>41</v>
      </c>
      <c r="G990" s="40">
        <v>85</v>
      </c>
      <c r="H990" s="40">
        <v>188.23794999999998</v>
      </c>
      <c r="I990" s="212"/>
      <c r="J990" s="212"/>
    </row>
    <row r="991" spans="1:10" s="5" customFormat="1" ht="30" hidden="1" customHeight="1" outlineLevel="1" x14ac:dyDescent="0.25">
      <c r="A991" s="4">
        <v>901</v>
      </c>
      <c r="B991" s="6" t="s">
        <v>15</v>
      </c>
      <c r="C991" s="38" t="s">
        <v>8372</v>
      </c>
      <c r="D991" s="6">
        <v>2023</v>
      </c>
      <c r="E991" s="6" t="s">
        <v>12</v>
      </c>
      <c r="F991" s="6">
        <v>7</v>
      </c>
      <c r="G991" s="40">
        <v>15</v>
      </c>
      <c r="H991" s="40">
        <v>58.613150000000005</v>
      </c>
      <c r="I991" s="212"/>
      <c r="J991" s="212"/>
    </row>
    <row r="992" spans="1:10" s="5" customFormat="1" ht="30" hidden="1" customHeight="1" outlineLevel="1" x14ac:dyDescent="0.25">
      <c r="A992" s="4">
        <v>4034</v>
      </c>
      <c r="B992" s="6" t="s">
        <v>15</v>
      </c>
      <c r="C992" s="38" t="s">
        <v>8373</v>
      </c>
      <c r="D992" s="6">
        <v>2023</v>
      </c>
      <c r="E992" s="6" t="s">
        <v>12</v>
      </c>
      <c r="F992" s="6">
        <v>6</v>
      </c>
      <c r="G992" s="40">
        <v>90</v>
      </c>
      <c r="H992" s="40">
        <v>88.689210000000003</v>
      </c>
      <c r="I992" s="212"/>
      <c r="J992" s="212"/>
    </row>
    <row r="993" spans="1:10" s="5" customFormat="1" ht="30" hidden="1" customHeight="1" outlineLevel="1" x14ac:dyDescent="0.25">
      <c r="A993" s="4">
        <v>376</v>
      </c>
      <c r="B993" s="6" t="s">
        <v>15</v>
      </c>
      <c r="C993" s="38" t="s">
        <v>8374</v>
      </c>
      <c r="D993" s="6">
        <v>2023</v>
      </c>
      <c r="E993" s="6" t="s">
        <v>12</v>
      </c>
      <c r="F993" s="6">
        <v>6</v>
      </c>
      <c r="G993" s="40">
        <v>15</v>
      </c>
      <c r="H993" s="40">
        <v>63.530320000000003</v>
      </c>
      <c r="I993" s="212"/>
      <c r="J993" s="212"/>
    </row>
    <row r="994" spans="1:10" s="5" customFormat="1" ht="30" hidden="1" customHeight="1" outlineLevel="1" x14ac:dyDescent="0.25">
      <c r="A994" s="4">
        <v>444</v>
      </c>
      <c r="B994" s="6" t="s">
        <v>15</v>
      </c>
      <c r="C994" s="38" t="s">
        <v>8375</v>
      </c>
      <c r="D994" s="6">
        <v>2023</v>
      </c>
      <c r="E994" s="6" t="s">
        <v>12</v>
      </c>
      <c r="F994" s="6">
        <v>210</v>
      </c>
      <c r="G994" s="40">
        <v>15</v>
      </c>
      <c r="H994" s="40">
        <v>298.43169</v>
      </c>
      <c r="I994" s="212"/>
      <c r="J994" s="212"/>
    </row>
    <row r="995" spans="1:10" s="5" customFormat="1" ht="30" hidden="1" customHeight="1" outlineLevel="1" x14ac:dyDescent="0.25">
      <c r="A995" s="4">
        <v>3243</v>
      </c>
      <c r="B995" s="6" t="s">
        <v>15</v>
      </c>
      <c r="C995" s="38" t="s">
        <v>8376</v>
      </c>
      <c r="D995" s="6">
        <v>2023</v>
      </c>
      <c r="E995" s="6" t="s">
        <v>12</v>
      </c>
      <c r="F995" s="6">
        <v>6</v>
      </c>
      <c r="G995" s="40">
        <v>15</v>
      </c>
      <c r="H995" s="40">
        <v>63.436000000000007</v>
      </c>
      <c r="I995" s="212"/>
      <c r="J995" s="212"/>
    </row>
    <row r="996" spans="1:10" s="5" customFormat="1" ht="30" hidden="1" customHeight="1" outlineLevel="1" x14ac:dyDescent="0.25">
      <c r="A996" s="4">
        <v>4074</v>
      </c>
      <c r="B996" s="6" t="s">
        <v>15</v>
      </c>
      <c r="C996" s="38" t="s">
        <v>8377</v>
      </c>
      <c r="D996" s="6">
        <v>2023</v>
      </c>
      <c r="E996" s="6" t="s">
        <v>12</v>
      </c>
      <c r="F996" s="6">
        <v>6</v>
      </c>
      <c r="G996" s="40">
        <v>15</v>
      </c>
      <c r="H996" s="40">
        <v>79.823589999999996</v>
      </c>
      <c r="I996" s="212"/>
      <c r="J996" s="212"/>
    </row>
    <row r="997" spans="1:10" s="5" customFormat="1" ht="30" hidden="1" customHeight="1" outlineLevel="1" x14ac:dyDescent="0.25">
      <c r="A997" s="4">
        <v>3230</v>
      </c>
      <c r="B997" s="6" t="s">
        <v>15</v>
      </c>
      <c r="C997" s="38" t="s">
        <v>8378</v>
      </c>
      <c r="D997" s="6">
        <v>2023</v>
      </c>
      <c r="E997" s="6" t="s">
        <v>12</v>
      </c>
      <c r="F997" s="6">
        <v>6</v>
      </c>
      <c r="G997" s="40">
        <v>15</v>
      </c>
      <c r="H997" s="40">
        <v>57.24588</v>
      </c>
      <c r="I997" s="212"/>
      <c r="J997" s="212"/>
    </row>
    <row r="998" spans="1:10" s="5" customFormat="1" ht="30" hidden="1" customHeight="1" outlineLevel="1" x14ac:dyDescent="0.25">
      <c r="A998" s="4">
        <v>3334</v>
      </c>
      <c r="B998" s="6" t="s">
        <v>15</v>
      </c>
      <c r="C998" s="38" t="s">
        <v>8379</v>
      </c>
      <c r="D998" s="6">
        <v>2023</v>
      </c>
      <c r="E998" s="6" t="s">
        <v>12</v>
      </c>
      <c r="F998" s="6">
        <v>5</v>
      </c>
      <c r="G998" s="40">
        <v>15</v>
      </c>
      <c r="H998" s="40">
        <v>137.79599000000002</v>
      </c>
      <c r="I998" s="212"/>
      <c r="J998" s="212"/>
    </row>
    <row r="999" spans="1:10" s="5" customFormat="1" ht="30" hidden="1" customHeight="1" outlineLevel="1" x14ac:dyDescent="0.25">
      <c r="A999" s="4">
        <v>3229</v>
      </c>
      <c r="B999" s="6" t="s">
        <v>15</v>
      </c>
      <c r="C999" s="38" t="s">
        <v>8380</v>
      </c>
      <c r="D999" s="6">
        <v>2023</v>
      </c>
      <c r="E999" s="6" t="s">
        <v>12</v>
      </c>
      <c r="F999" s="6">
        <v>5</v>
      </c>
      <c r="G999" s="152">
        <v>11.5</v>
      </c>
      <c r="H999" s="40">
        <v>132.15980999999999</v>
      </c>
      <c r="I999" s="212"/>
      <c r="J999" s="212"/>
    </row>
    <row r="1000" spans="1:10" s="5" customFormat="1" ht="30" hidden="1" customHeight="1" outlineLevel="1" x14ac:dyDescent="0.25">
      <c r="A1000" s="4">
        <v>1679</v>
      </c>
      <c r="B1000" s="6" t="s">
        <v>15</v>
      </c>
      <c r="C1000" s="38" t="s">
        <v>8381</v>
      </c>
      <c r="D1000" s="6">
        <v>2023</v>
      </c>
      <c r="E1000" s="6" t="s">
        <v>12</v>
      </c>
      <c r="F1000" s="6">
        <v>90</v>
      </c>
      <c r="G1000" s="40">
        <v>7</v>
      </c>
      <c r="H1000" s="40">
        <v>284.56510000000003</v>
      </c>
      <c r="I1000" s="212"/>
      <c r="J1000" s="212"/>
    </row>
    <row r="1001" spans="1:10" s="5" customFormat="1" ht="30" hidden="1" customHeight="1" outlineLevel="1" x14ac:dyDescent="0.25">
      <c r="A1001" s="4">
        <v>4189</v>
      </c>
      <c r="B1001" s="6" t="s">
        <v>15</v>
      </c>
      <c r="C1001" s="38" t="s">
        <v>8382</v>
      </c>
      <c r="D1001" s="6">
        <v>2023</v>
      </c>
      <c r="E1001" s="6" t="s">
        <v>12</v>
      </c>
      <c r="F1001" s="6">
        <v>5</v>
      </c>
      <c r="G1001" s="40">
        <v>15</v>
      </c>
      <c r="H1001" s="40">
        <v>129.48731000000001</v>
      </c>
      <c r="I1001" s="212"/>
      <c r="J1001" s="212"/>
    </row>
    <row r="1002" spans="1:10" s="5" customFormat="1" ht="30" hidden="1" customHeight="1" outlineLevel="1" x14ac:dyDescent="0.25">
      <c r="A1002" s="4">
        <v>3242</v>
      </c>
      <c r="B1002" s="6" t="s">
        <v>15</v>
      </c>
      <c r="C1002" s="38" t="s">
        <v>8383</v>
      </c>
      <c r="D1002" s="6">
        <v>2023</v>
      </c>
      <c r="E1002" s="6" t="s">
        <v>12</v>
      </c>
      <c r="F1002" s="6">
        <v>5</v>
      </c>
      <c r="G1002" s="40">
        <v>15</v>
      </c>
      <c r="H1002" s="40">
        <v>130.75921</v>
      </c>
      <c r="I1002" s="212"/>
      <c r="J1002" s="212"/>
    </row>
    <row r="1003" spans="1:10" s="5" customFormat="1" ht="30" hidden="1" customHeight="1" outlineLevel="1" x14ac:dyDescent="0.25">
      <c r="A1003" s="4">
        <v>324</v>
      </c>
      <c r="B1003" s="6" t="s">
        <v>15</v>
      </c>
      <c r="C1003" s="38" t="s">
        <v>8384</v>
      </c>
      <c r="D1003" s="6">
        <v>2023</v>
      </c>
      <c r="E1003" s="6" t="s">
        <v>12</v>
      </c>
      <c r="F1003" s="6">
        <v>211</v>
      </c>
      <c r="G1003" s="40">
        <v>10</v>
      </c>
      <c r="H1003" s="40">
        <v>518.00089000000003</v>
      </c>
      <c r="I1003" s="212"/>
      <c r="J1003" s="212"/>
    </row>
    <row r="1004" spans="1:10" s="5" customFormat="1" ht="30" hidden="1" customHeight="1" outlineLevel="1" x14ac:dyDescent="0.25">
      <c r="A1004" s="4">
        <v>1149</v>
      </c>
      <c r="B1004" s="6" t="s">
        <v>15</v>
      </c>
      <c r="C1004" s="38" t="s">
        <v>8385</v>
      </c>
      <c r="D1004" s="6">
        <v>2023</v>
      </c>
      <c r="E1004" s="6" t="s">
        <v>12</v>
      </c>
      <c r="F1004" s="6">
        <v>300</v>
      </c>
      <c r="G1004" s="40">
        <v>15</v>
      </c>
      <c r="H1004" s="40">
        <v>426.25799999999998</v>
      </c>
      <c r="I1004" s="212"/>
      <c r="J1004" s="212"/>
    </row>
    <row r="1005" spans="1:10" s="5" customFormat="1" ht="30" hidden="1" customHeight="1" outlineLevel="1" x14ac:dyDescent="0.25">
      <c r="A1005" s="4">
        <v>639</v>
      </c>
      <c r="B1005" s="6" t="s">
        <v>15</v>
      </c>
      <c r="C1005" s="38" t="s">
        <v>8386</v>
      </c>
      <c r="D1005" s="6">
        <v>2023</v>
      </c>
      <c r="E1005" s="6" t="s">
        <v>12</v>
      </c>
      <c r="F1005" s="6">
        <v>425</v>
      </c>
      <c r="G1005" s="40">
        <v>5</v>
      </c>
      <c r="H1005" s="40">
        <v>425.14299999999997</v>
      </c>
      <c r="I1005" s="212"/>
      <c r="J1005" s="212"/>
    </row>
    <row r="1006" spans="1:10" s="5" customFormat="1" ht="30" hidden="1" customHeight="1" outlineLevel="1" x14ac:dyDescent="0.25">
      <c r="A1006" s="4">
        <v>673</v>
      </c>
      <c r="B1006" s="6" t="s">
        <v>15</v>
      </c>
      <c r="C1006" s="38" t="s">
        <v>8387</v>
      </c>
      <c r="D1006" s="6">
        <v>2023</v>
      </c>
      <c r="E1006" s="6" t="s">
        <v>12</v>
      </c>
      <c r="F1006" s="6">
        <v>140</v>
      </c>
      <c r="G1006" s="40">
        <v>10</v>
      </c>
      <c r="H1006" s="40">
        <v>174.636</v>
      </c>
      <c r="I1006" s="212"/>
      <c r="J1006" s="212"/>
    </row>
    <row r="1007" spans="1:10" s="5" customFormat="1" ht="30" hidden="1" customHeight="1" outlineLevel="1" x14ac:dyDescent="0.25">
      <c r="A1007" s="4">
        <v>744</v>
      </c>
      <c r="B1007" s="6" t="s">
        <v>15</v>
      </c>
      <c r="C1007" s="38" t="s">
        <v>8388</v>
      </c>
      <c r="D1007" s="6">
        <v>2023</v>
      </c>
      <c r="E1007" s="6" t="s">
        <v>12</v>
      </c>
      <c r="F1007" s="6">
        <v>210</v>
      </c>
      <c r="G1007" s="40">
        <v>12</v>
      </c>
      <c r="H1007" s="40">
        <v>402.01600000000002</v>
      </c>
      <c r="I1007" s="212"/>
      <c r="J1007" s="212"/>
    </row>
    <row r="1008" spans="1:10" s="5" customFormat="1" ht="30" hidden="1" customHeight="1" outlineLevel="1" x14ac:dyDescent="0.25">
      <c r="A1008" s="4">
        <v>1037</v>
      </c>
      <c r="B1008" s="6" t="s">
        <v>15</v>
      </c>
      <c r="C1008" s="38" t="s">
        <v>8389</v>
      </c>
      <c r="D1008" s="6">
        <v>2023</v>
      </c>
      <c r="E1008" s="6" t="s">
        <v>12</v>
      </c>
      <c r="F1008" s="6">
        <v>191</v>
      </c>
      <c r="G1008" s="40">
        <v>15</v>
      </c>
      <c r="H1008" s="40">
        <v>326.45400000000001</v>
      </c>
      <c r="I1008" s="212"/>
      <c r="J1008" s="212"/>
    </row>
    <row r="1009" spans="1:10" s="5" customFormat="1" ht="30" hidden="1" customHeight="1" outlineLevel="1" x14ac:dyDescent="0.25">
      <c r="A1009" s="4">
        <v>1253</v>
      </c>
      <c r="B1009" s="6" t="s">
        <v>15</v>
      </c>
      <c r="C1009" s="38" t="s">
        <v>8390</v>
      </c>
      <c r="D1009" s="6">
        <v>2023</v>
      </c>
      <c r="E1009" s="6" t="s">
        <v>12</v>
      </c>
      <c r="F1009" s="6">
        <v>45</v>
      </c>
      <c r="G1009" s="40">
        <v>15</v>
      </c>
      <c r="H1009" s="40">
        <v>168.042</v>
      </c>
      <c r="I1009" s="212"/>
      <c r="J1009" s="212"/>
    </row>
    <row r="1010" spans="1:10" s="5" customFormat="1" ht="30" hidden="1" customHeight="1" outlineLevel="1" x14ac:dyDescent="0.25">
      <c r="A1010" s="4">
        <v>1381</v>
      </c>
      <c r="B1010" s="6" t="s">
        <v>15</v>
      </c>
      <c r="C1010" s="38" t="s">
        <v>8391</v>
      </c>
      <c r="D1010" s="6">
        <v>2023</v>
      </c>
      <c r="E1010" s="6" t="s">
        <v>12</v>
      </c>
      <c r="F1010" s="6">
        <v>230</v>
      </c>
      <c r="G1010" s="40">
        <v>6</v>
      </c>
      <c r="H1010" s="40">
        <v>391.99400000000003</v>
      </c>
      <c r="I1010" s="212"/>
      <c r="J1010" s="212"/>
    </row>
    <row r="1011" spans="1:10" s="5" customFormat="1" ht="30" hidden="1" customHeight="1" outlineLevel="1" x14ac:dyDescent="0.25">
      <c r="A1011" s="4">
        <v>1386</v>
      </c>
      <c r="B1011" s="6" t="s">
        <v>15</v>
      </c>
      <c r="C1011" s="38" t="s">
        <v>8392</v>
      </c>
      <c r="D1011" s="6">
        <v>2023</v>
      </c>
      <c r="E1011" s="6" t="s">
        <v>12</v>
      </c>
      <c r="F1011" s="6">
        <v>540</v>
      </c>
      <c r="G1011" s="40">
        <v>15</v>
      </c>
      <c r="H1011" s="40">
        <v>654.52300000000002</v>
      </c>
      <c r="I1011" s="212"/>
      <c r="J1011" s="212"/>
    </row>
    <row r="1012" spans="1:10" s="5" customFormat="1" ht="30" hidden="1" customHeight="1" outlineLevel="1" x14ac:dyDescent="0.25">
      <c r="A1012" s="4">
        <v>3283</v>
      </c>
      <c r="B1012" s="6" t="s">
        <v>15</v>
      </c>
      <c r="C1012" s="38" t="s">
        <v>8393</v>
      </c>
      <c r="D1012" s="6">
        <v>2023</v>
      </c>
      <c r="E1012" s="6" t="s">
        <v>12</v>
      </c>
      <c r="F1012" s="6">
        <v>267</v>
      </c>
      <c r="G1012" s="40">
        <v>9</v>
      </c>
      <c r="H1012" s="40">
        <v>313.34899999999999</v>
      </c>
      <c r="I1012" s="212"/>
      <c r="J1012" s="212"/>
    </row>
    <row r="1013" spans="1:10" s="5" customFormat="1" ht="30" hidden="1" customHeight="1" outlineLevel="1" x14ac:dyDescent="0.25">
      <c r="A1013" s="4">
        <v>1630</v>
      </c>
      <c r="B1013" s="6" t="s">
        <v>15</v>
      </c>
      <c r="C1013" s="38" t="s">
        <v>8394</v>
      </c>
      <c r="D1013" s="6">
        <v>2023</v>
      </c>
      <c r="E1013" s="6" t="s">
        <v>12</v>
      </c>
      <c r="F1013" s="6">
        <v>520</v>
      </c>
      <c r="G1013" s="40">
        <v>15</v>
      </c>
      <c r="H1013" s="40">
        <v>614.24599999999998</v>
      </c>
      <c r="I1013" s="212"/>
      <c r="J1013" s="212"/>
    </row>
    <row r="1014" spans="1:10" s="5" customFormat="1" ht="30" hidden="1" customHeight="1" outlineLevel="1" x14ac:dyDescent="0.25">
      <c r="A1014" s="4">
        <v>3186</v>
      </c>
      <c r="B1014" s="6" t="s">
        <v>15</v>
      </c>
      <c r="C1014" s="38" t="s">
        <v>8395</v>
      </c>
      <c r="D1014" s="6">
        <v>2023</v>
      </c>
      <c r="E1014" s="6" t="s">
        <v>12</v>
      </c>
      <c r="F1014" s="6">
        <v>5</v>
      </c>
      <c r="G1014" s="40">
        <v>15</v>
      </c>
      <c r="H1014" s="40">
        <v>191.74600000000001</v>
      </c>
      <c r="I1014" s="212"/>
      <c r="J1014" s="212"/>
    </row>
    <row r="1015" spans="1:10" s="5" customFormat="1" ht="30" hidden="1" customHeight="1" outlineLevel="1" x14ac:dyDescent="0.25">
      <c r="A1015" s="4">
        <v>3178</v>
      </c>
      <c r="B1015" s="6" t="s">
        <v>15</v>
      </c>
      <c r="C1015" s="38" t="s">
        <v>8396</v>
      </c>
      <c r="D1015" s="6">
        <v>2023</v>
      </c>
      <c r="E1015" s="6" t="s">
        <v>12</v>
      </c>
      <c r="F1015" s="6">
        <v>20</v>
      </c>
      <c r="G1015" s="40">
        <v>10</v>
      </c>
      <c r="H1015" s="40">
        <v>123.914</v>
      </c>
      <c r="I1015" s="212"/>
      <c r="J1015" s="212"/>
    </row>
    <row r="1016" spans="1:10" s="5" customFormat="1" ht="30" hidden="1" customHeight="1" outlineLevel="1" x14ac:dyDescent="0.25">
      <c r="A1016" s="4">
        <v>4825</v>
      </c>
      <c r="B1016" s="6" t="s">
        <v>15</v>
      </c>
      <c r="C1016" s="38" t="s">
        <v>8397</v>
      </c>
      <c r="D1016" s="6">
        <v>2023</v>
      </c>
      <c r="E1016" s="6" t="s">
        <v>12</v>
      </c>
      <c r="F1016" s="6">
        <v>30</v>
      </c>
      <c r="G1016" s="40">
        <v>7.5</v>
      </c>
      <c r="H1016" s="40">
        <v>111.449</v>
      </c>
      <c r="I1016" s="212"/>
      <c r="J1016" s="212"/>
    </row>
    <row r="1017" spans="1:10" s="5" customFormat="1" ht="30" hidden="1" customHeight="1" outlineLevel="1" x14ac:dyDescent="0.25">
      <c r="A1017" s="4">
        <v>1981</v>
      </c>
      <c r="B1017" s="6" t="s">
        <v>15</v>
      </c>
      <c r="C1017" s="38" t="s">
        <v>8398</v>
      </c>
      <c r="D1017" s="6">
        <v>2023</v>
      </c>
      <c r="E1017" s="6" t="s">
        <v>12</v>
      </c>
      <c r="F1017" s="6">
        <v>57</v>
      </c>
      <c r="G1017" s="40">
        <v>5</v>
      </c>
      <c r="H1017" s="40">
        <v>105.616</v>
      </c>
      <c r="I1017" s="212"/>
      <c r="J1017" s="212"/>
    </row>
    <row r="1018" spans="1:10" s="5" customFormat="1" ht="30" hidden="1" customHeight="1" outlineLevel="1" x14ac:dyDescent="0.25">
      <c r="A1018" s="4">
        <v>3173</v>
      </c>
      <c r="B1018" s="6" t="s">
        <v>15</v>
      </c>
      <c r="C1018" s="38" t="s">
        <v>8399</v>
      </c>
      <c r="D1018" s="6">
        <v>2023</v>
      </c>
      <c r="E1018" s="6" t="s">
        <v>12</v>
      </c>
      <c r="F1018" s="6">
        <v>12</v>
      </c>
      <c r="G1018" s="40">
        <v>20</v>
      </c>
      <c r="H1018" s="40">
        <v>235.34700000000001</v>
      </c>
      <c r="I1018" s="212"/>
      <c r="J1018" s="212"/>
    </row>
    <row r="1019" spans="1:10" s="5" customFormat="1" ht="30" hidden="1" customHeight="1" outlineLevel="1" x14ac:dyDescent="0.25">
      <c r="A1019" s="4">
        <v>2862</v>
      </c>
      <c r="B1019" s="6" t="s">
        <v>15</v>
      </c>
      <c r="C1019" s="38" t="s">
        <v>8400</v>
      </c>
      <c r="D1019" s="6">
        <v>2023</v>
      </c>
      <c r="E1019" s="6" t="s">
        <v>12</v>
      </c>
      <c r="F1019" s="6">
        <v>110</v>
      </c>
      <c r="G1019" s="40">
        <v>15</v>
      </c>
      <c r="H1019" s="40">
        <v>414.09100000000001</v>
      </c>
      <c r="I1019" s="212"/>
      <c r="J1019" s="212"/>
    </row>
    <row r="1020" spans="1:10" s="5" customFormat="1" ht="30" hidden="1" customHeight="1" outlineLevel="1" x14ac:dyDescent="0.25">
      <c r="A1020" s="4">
        <v>3148</v>
      </c>
      <c r="B1020" s="6" t="s">
        <v>15</v>
      </c>
      <c r="C1020" s="38" t="s">
        <v>8401</v>
      </c>
      <c r="D1020" s="6">
        <v>2023</v>
      </c>
      <c r="E1020" s="6" t="s">
        <v>12</v>
      </c>
      <c r="F1020" s="6">
        <v>100</v>
      </c>
      <c r="G1020" s="40">
        <v>30</v>
      </c>
      <c r="H1020" s="40">
        <v>191.298</v>
      </c>
      <c r="I1020" s="212"/>
      <c r="J1020" s="212"/>
    </row>
    <row r="1021" spans="1:10" s="5" customFormat="1" ht="30" hidden="1" customHeight="1" outlineLevel="1" x14ac:dyDescent="0.25">
      <c r="A1021" s="4">
        <v>4846</v>
      </c>
      <c r="B1021" s="6" t="s">
        <v>15</v>
      </c>
      <c r="C1021" s="38" t="s">
        <v>8402</v>
      </c>
      <c r="D1021" s="6">
        <v>2023</v>
      </c>
      <c r="E1021" s="6" t="s">
        <v>12</v>
      </c>
      <c r="F1021" s="6">
        <v>57</v>
      </c>
      <c r="G1021" s="40">
        <v>15</v>
      </c>
      <c r="H1021" s="40">
        <v>164.47</v>
      </c>
      <c r="I1021" s="212"/>
      <c r="J1021" s="212"/>
    </row>
    <row r="1022" spans="1:10" s="5" customFormat="1" ht="30" hidden="1" customHeight="1" outlineLevel="1" x14ac:dyDescent="0.25">
      <c r="A1022" s="4">
        <v>2878</v>
      </c>
      <c r="B1022" s="6" t="s">
        <v>15</v>
      </c>
      <c r="C1022" s="38" t="s">
        <v>8403</v>
      </c>
      <c r="D1022" s="6">
        <v>2023</v>
      </c>
      <c r="E1022" s="6" t="s">
        <v>12</v>
      </c>
      <c r="F1022" s="6">
        <v>150</v>
      </c>
      <c r="G1022" s="40">
        <v>15</v>
      </c>
      <c r="H1022" s="40">
        <v>331.82600000000002</v>
      </c>
      <c r="I1022" s="212"/>
      <c r="J1022" s="212"/>
    </row>
    <row r="1023" spans="1:10" s="5" customFormat="1" ht="30" hidden="1" customHeight="1" outlineLevel="1" x14ac:dyDescent="0.25">
      <c r="A1023" s="4">
        <v>4859</v>
      </c>
      <c r="B1023" s="6" t="s">
        <v>15</v>
      </c>
      <c r="C1023" s="38" t="s">
        <v>8404</v>
      </c>
      <c r="D1023" s="6">
        <v>2023</v>
      </c>
      <c r="E1023" s="6" t="s">
        <v>12</v>
      </c>
      <c r="F1023" s="6">
        <v>40</v>
      </c>
      <c r="G1023" s="40">
        <v>7.5</v>
      </c>
      <c r="H1023" s="40">
        <v>148.00899999999999</v>
      </c>
      <c r="I1023" s="212"/>
      <c r="J1023" s="212"/>
    </row>
    <row r="1024" spans="1:10" s="5" customFormat="1" ht="30" hidden="1" customHeight="1" outlineLevel="1" x14ac:dyDescent="0.25">
      <c r="A1024" s="4">
        <v>4860</v>
      </c>
      <c r="B1024" s="6" t="s">
        <v>15</v>
      </c>
      <c r="C1024" s="38" t="s">
        <v>8405</v>
      </c>
      <c r="D1024" s="6">
        <v>2023</v>
      </c>
      <c r="E1024" s="6" t="s">
        <v>12</v>
      </c>
      <c r="F1024" s="6">
        <v>95</v>
      </c>
      <c r="G1024" s="40">
        <v>7.5</v>
      </c>
      <c r="H1024" s="40">
        <v>169.773</v>
      </c>
      <c r="I1024" s="212"/>
      <c r="J1024" s="212"/>
    </row>
    <row r="1025" spans="1:10" s="5" customFormat="1" ht="30" hidden="1" customHeight="1" outlineLevel="1" x14ac:dyDescent="0.25">
      <c r="A1025" s="4">
        <v>2399</v>
      </c>
      <c r="B1025" s="6" t="s">
        <v>15</v>
      </c>
      <c r="C1025" s="38" t="s">
        <v>8406</v>
      </c>
      <c r="D1025" s="6">
        <v>2023</v>
      </c>
      <c r="E1025" s="6" t="s">
        <v>12</v>
      </c>
      <c r="F1025" s="6">
        <v>22</v>
      </c>
      <c r="G1025" s="40">
        <v>15</v>
      </c>
      <c r="H1025" s="40">
        <v>114.35</v>
      </c>
      <c r="I1025" s="212"/>
      <c r="J1025" s="212"/>
    </row>
    <row r="1026" spans="1:10" s="5" customFormat="1" ht="30" hidden="1" customHeight="1" outlineLevel="1" x14ac:dyDescent="0.25">
      <c r="A1026" s="4">
        <v>4880</v>
      </c>
      <c r="B1026" s="6" t="s">
        <v>15</v>
      </c>
      <c r="C1026" s="38" t="s">
        <v>8407</v>
      </c>
      <c r="D1026" s="6">
        <v>2023</v>
      </c>
      <c r="E1026" s="6" t="s">
        <v>12</v>
      </c>
      <c r="F1026" s="6">
        <v>250</v>
      </c>
      <c r="G1026" s="40">
        <v>7.5</v>
      </c>
      <c r="H1026" s="40">
        <v>427.83800000000002</v>
      </c>
      <c r="I1026" s="212"/>
      <c r="J1026" s="212"/>
    </row>
    <row r="1027" spans="1:10" s="5" customFormat="1" ht="30" hidden="1" customHeight="1" outlineLevel="1" x14ac:dyDescent="0.25">
      <c r="A1027" s="4">
        <v>4888</v>
      </c>
      <c r="B1027" s="6" t="s">
        <v>15</v>
      </c>
      <c r="C1027" s="38" t="s">
        <v>8408</v>
      </c>
      <c r="D1027" s="6">
        <v>2023</v>
      </c>
      <c r="E1027" s="6" t="s">
        <v>12</v>
      </c>
      <c r="F1027" s="6">
        <v>30</v>
      </c>
      <c r="G1027" s="40">
        <v>10</v>
      </c>
      <c r="H1027" s="40">
        <v>131.732</v>
      </c>
      <c r="I1027" s="212"/>
      <c r="J1027" s="212"/>
    </row>
    <row r="1028" spans="1:10" s="5" customFormat="1" ht="30" hidden="1" customHeight="1" outlineLevel="1" x14ac:dyDescent="0.25">
      <c r="A1028" s="4">
        <v>3333</v>
      </c>
      <c r="B1028" s="6" t="s">
        <v>15</v>
      </c>
      <c r="C1028" s="38" t="s">
        <v>8409</v>
      </c>
      <c r="D1028" s="6">
        <v>2023</v>
      </c>
      <c r="E1028" s="6" t="s">
        <v>12</v>
      </c>
      <c r="F1028" s="6">
        <v>100</v>
      </c>
      <c r="G1028" s="40">
        <v>15</v>
      </c>
      <c r="H1028" s="40">
        <v>212.173</v>
      </c>
      <c r="I1028" s="212"/>
      <c r="J1028" s="212"/>
    </row>
    <row r="1029" spans="1:10" s="5" customFormat="1" ht="30" hidden="1" customHeight="1" outlineLevel="1" x14ac:dyDescent="0.25">
      <c r="A1029" s="4">
        <v>4904</v>
      </c>
      <c r="B1029" s="6" t="s">
        <v>15</v>
      </c>
      <c r="C1029" s="38" t="s">
        <v>8410</v>
      </c>
      <c r="D1029" s="6">
        <v>2023</v>
      </c>
      <c r="E1029" s="6" t="s">
        <v>12</v>
      </c>
      <c r="F1029" s="6">
        <v>40</v>
      </c>
      <c r="G1029" s="40">
        <v>15</v>
      </c>
      <c r="H1029" s="40">
        <v>161.12200000000001</v>
      </c>
      <c r="I1029" s="212"/>
      <c r="J1029" s="212"/>
    </row>
    <row r="1030" spans="1:10" s="5" customFormat="1" ht="30" hidden="1" customHeight="1" outlineLevel="1" x14ac:dyDescent="0.25">
      <c r="A1030" s="4">
        <v>280</v>
      </c>
      <c r="B1030" s="6" t="s">
        <v>15</v>
      </c>
      <c r="C1030" s="38" t="s">
        <v>8411</v>
      </c>
      <c r="D1030" s="6">
        <v>2023</v>
      </c>
      <c r="E1030" s="6" t="s">
        <v>12</v>
      </c>
      <c r="F1030" s="6">
        <v>85</v>
      </c>
      <c r="G1030" s="40">
        <v>15</v>
      </c>
      <c r="H1030" s="40">
        <v>160.39107999999999</v>
      </c>
      <c r="I1030" s="212"/>
      <c r="J1030" s="212"/>
    </row>
    <row r="1031" spans="1:10" s="5" customFormat="1" ht="30" hidden="1" customHeight="1" outlineLevel="1" x14ac:dyDescent="0.25">
      <c r="A1031" s="4">
        <v>408</v>
      </c>
      <c r="B1031" s="6" t="s">
        <v>15</v>
      </c>
      <c r="C1031" s="38" t="s">
        <v>8412</v>
      </c>
      <c r="D1031" s="6">
        <v>2023</v>
      </c>
      <c r="E1031" s="6" t="s">
        <v>12</v>
      </c>
      <c r="F1031" s="6">
        <v>50</v>
      </c>
      <c r="G1031" s="40">
        <v>10</v>
      </c>
      <c r="H1031" s="40">
        <v>93.02391999999999</v>
      </c>
      <c r="I1031" s="212"/>
      <c r="J1031" s="212"/>
    </row>
    <row r="1032" spans="1:10" s="5" customFormat="1" ht="30" hidden="1" customHeight="1" outlineLevel="1" x14ac:dyDescent="0.25">
      <c r="A1032" s="4">
        <v>412</v>
      </c>
      <c r="B1032" s="6" t="s">
        <v>15</v>
      </c>
      <c r="C1032" s="38" t="s">
        <v>8413</v>
      </c>
      <c r="D1032" s="6">
        <v>2023</v>
      </c>
      <c r="E1032" s="6" t="s">
        <v>12</v>
      </c>
      <c r="F1032" s="6">
        <v>80</v>
      </c>
      <c r="G1032" s="40">
        <v>15</v>
      </c>
      <c r="H1032" s="40">
        <v>129.12056999999999</v>
      </c>
      <c r="I1032" s="212"/>
      <c r="J1032" s="212"/>
    </row>
    <row r="1033" spans="1:10" s="5" customFormat="1" ht="30" hidden="1" customHeight="1" outlineLevel="1" x14ac:dyDescent="0.25">
      <c r="A1033" s="4">
        <v>930</v>
      </c>
      <c r="B1033" s="6" t="s">
        <v>15</v>
      </c>
      <c r="C1033" s="38" t="s">
        <v>8414</v>
      </c>
      <c r="D1033" s="6">
        <v>2023</v>
      </c>
      <c r="E1033" s="6" t="s">
        <v>12</v>
      </c>
      <c r="F1033" s="6">
        <v>138</v>
      </c>
      <c r="G1033" s="40">
        <v>15</v>
      </c>
      <c r="H1033" s="40">
        <v>278.88954999999999</v>
      </c>
      <c r="I1033" s="212"/>
      <c r="J1033" s="212"/>
    </row>
    <row r="1034" spans="1:10" s="5" customFormat="1" ht="30" hidden="1" customHeight="1" outlineLevel="1" x14ac:dyDescent="0.25">
      <c r="A1034" s="4">
        <v>402</v>
      </c>
      <c r="B1034" s="6" t="s">
        <v>15</v>
      </c>
      <c r="C1034" s="38" t="s">
        <v>8415</v>
      </c>
      <c r="D1034" s="6">
        <v>2023</v>
      </c>
      <c r="E1034" s="6" t="s">
        <v>12</v>
      </c>
      <c r="F1034" s="6">
        <v>132</v>
      </c>
      <c r="G1034" s="40">
        <v>15</v>
      </c>
      <c r="H1034" s="40">
        <v>319.92036999999999</v>
      </c>
      <c r="I1034" s="212"/>
      <c r="J1034" s="212"/>
    </row>
    <row r="1035" spans="1:10" s="5" customFormat="1" ht="30" hidden="1" customHeight="1" outlineLevel="1" x14ac:dyDescent="0.25">
      <c r="A1035" s="4">
        <v>3234</v>
      </c>
      <c r="B1035" s="6" t="s">
        <v>15</v>
      </c>
      <c r="C1035" s="38" t="s">
        <v>8416</v>
      </c>
      <c r="D1035" s="6">
        <v>2023</v>
      </c>
      <c r="E1035" s="6" t="s">
        <v>12</v>
      </c>
      <c r="F1035" s="6">
        <v>964</v>
      </c>
      <c r="G1035" s="40">
        <v>15</v>
      </c>
      <c r="H1035" s="40">
        <v>1507.8089</v>
      </c>
      <c r="I1035" s="212"/>
      <c r="J1035" s="212"/>
    </row>
    <row r="1036" spans="1:10" s="5" customFormat="1" ht="30" hidden="1" customHeight="1" outlineLevel="1" x14ac:dyDescent="0.25">
      <c r="A1036" s="4">
        <v>821</v>
      </c>
      <c r="B1036" s="6" t="s">
        <v>15</v>
      </c>
      <c r="C1036" s="38" t="s">
        <v>8417</v>
      </c>
      <c r="D1036" s="6">
        <v>2023</v>
      </c>
      <c r="E1036" s="6" t="s">
        <v>12</v>
      </c>
      <c r="F1036" s="6">
        <v>13</v>
      </c>
      <c r="G1036" s="40">
        <v>15</v>
      </c>
      <c r="H1036" s="40">
        <v>121.02077999999999</v>
      </c>
      <c r="I1036" s="212"/>
      <c r="J1036" s="212"/>
    </row>
    <row r="1037" spans="1:10" s="5" customFormat="1" ht="30" hidden="1" customHeight="1" outlineLevel="1" x14ac:dyDescent="0.25">
      <c r="A1037" s="4">
        <v>809</v>
      </c>
      <c r="B1037" s="6" t="s">
        <v>15</v>
      </c>
      <c r="C1037" s="38" t="s">
        <v>8418</v>
      </c>
      <c r="D1037" s="6">
        <v>2023</v>
      </c>
      <c r="E1037" s="6" t="s">
        <v>12</v>
      </c>
      <c r="F1037" s="6">
        <v>14</v>
      </c>
      <c r="G1037" s="40">
        <v>15</v>
      </c>
      <c r="H1037" s="40">
        <v>116.66158999999999</v>
      </c>
      <c r="I1037" s="212"/>
      <c r="J1037" s="212"/>
    </row>
    <row r="1038" spans="1:10" s="5" customFormat="1" ht="30" hidden="1" customHeight="1" outlineLevel="1" x14ac:dyDescent="0.25">
      <c r="A1038" s="4">
        <v>3267</v>
      </c>
      <c r="B1038" s="6" t="s">
        <v>15</v>
      </c>
      <c r="C1038" s="38" t="s">
        <v>8419</v>
      </c>
      <c r="D1038" s="6">
        <v>2023</v>
      </c>
      <c r="E1038" s="6" t="s">
        <v>12</v>
      </c>
      <c r="F1038" s="6">
        <v>91</v>
      </c>
      <c r="G1038" s="152">
        <v>10.5</v>
      </c>
      <c r="H1038" s="40">
        <v>193.17564000000002</v>
      </c>
      <c r="I1038" s="212"/>
      <c r="J1038" s="212"/>
    </row>
    <row r="1039" spans="1:10" s="5" customFormat="1" ht="30" hidden="1" customHeight="1" outlineLevel="1" x14ac:dyDescent="0.25">
      <c r="A1039" s="4">
        <v>1221</v>
      </c>
      <c r="B1039" s="6" t="s">
        <v>15</v>
      </c>
      <c r="C1039" s="38" t="s">
        <v>8420</v>
      </c>
      <c r="D1039" s="6">
        <v>2023</v>
      </c>
      <c r="E1039" s="6" t="s">
        <v>12</v>
      </c>
      <c r="F1039" s="6">
        <v>34</v>
      </c>
      <c r="G1039" s="40">
        <v>6</v>
      </c>
      <c r="H1039" s="40">
        <v>126.50782</v>
      </c>
      <c r="I1039" s="212"/>
      <c r="J1039" s="212"/>
    </row>
    <row r="1040" spans="1:10" s="5" customFormat="1" ht="30" hidden="1" customHeight="1" outlineLevel="1" x14ac:dyDescent="0.25">
      <c r="A1040" s="4">
        <v>539</v>
      </c>
      <c r="B1040" s="6" t="s">
        <v>15</v>
      </c>
      <c r="C1040" s="38" t="s">
        <v>8421</v>
      </c>
      <c r="D1040" s="6">
        <v>2023</v>
      </c>
      <c r="E1040" s="6" t="s">
        <v>12</v>
      </c>
      <c r="F1040" s="6">
        <v>5</v>
      </c>
      <c r="G1040" s="40">
        <v>15</v>
      </c>
      <c r="H1040" s="40">
        <v>64.722409999999996</v>
      </c>
      <c r="I1040" s="212"/>
      <c r="J1040" s="212"/>
    </row>
    <row r="1041" spans="1:10" s="5" customFormat="1" ht="30" hidden="1" customHeight="1" outlineLevel="1" x14ac:dyDescent="0.25">
      <c r="A1041" s="4">
        <v>3067</v>
      </c>
      <c r="B1041" s="6" t="s">
        <v>15</v>
      </c>
      <c r="C1041" s="38" t="s">
        <v>8422</v>
      </c>
      <c r="D1041" s="6">
        <v>2023</v>
      </c>
      <c r="E1041" s="6" t="s">
        <v>12</v>
      </c>
      <c r="F1041" s="6">
        <v>97</v>
      </c>
      <c r="G1041" s="40">
        <v>45</v>
      </c>
      <c r="H1041" s="40">
        <v>370.43968000000001</v>
      </c>
      <c r="I1041" s="212"/>
      <c r="J1041" s="212"/>
    </row>
    <row r="1042" spans="1:10" s="5" customFormat="1" ht="30" hidden="1" customHeight="1" outlineLevel="1" x14ac:dyDescent="0.25">
      <c r="A1042" s="4">
        <v>985</v>
      </c>
      <c r="B1042" s="6" t="s">
        <v>15</v>
      </c>
      <c r="C1042" s="38" t="s">
        <v>8423</v>
      </c>
      <c r="D1042" s="6">
        <v>2023</v>
      </c>
      <c r="E1042" s="6" t="s">
        <v>12</v>
      </c>
      <c r="F1042" s="6">
        <v>328</v>
      </c>
      <c r="G1042" s="40">
        <v>9</v>
      </c>
      <c r="H1042" s="40">
        <v>754.32653000000005</v>
      </c>
      <c r="I1042" s="212"/>
      <c r="J1042" s="212"/>
    </row>
    <row r="1043" spans="1:10" s="5" customFormat="1" ht="30" hidden="1" customHeight="1" outlineLevel="1" x14ac:dyDescent="0.25">
      <c r="A1043" s="4">
        <v>1225</v>
      </c>
      <c r="B1043" s="6" t="s">
        <v>15</v>
      </c>
      <c r="C1043" s="38" t="s">
        <v>8424</v>
      </c>
      <c r="D1043" s="6">
        <v>2023</v>
      </c>
      <c r="E1043" s="6" t="s">
        <v>12</v>
      </c>
      <c r="F1043" s="6">
        <v>137</v>
      </c>
      <c r="G1043" s="40">
        <v>9</v>
      </c>
      <c r="H1043" s="40">
        <v>372.41324999999995</v>
      </c>
      <c r="I1043" s="212"/>
      <c r="J1043" s="212"/>
    </row>
    <row r="1044" spans="1:10" s="5" customFormat="1" ht="30" hidden="1" customHeight="1" outlineLevel="1" x14ac:dyDescent="0.25">
      <c r="A1044" s="4">
        <v>1184</v>
      </c>
      <c r="B1044" s="6" t="s">
        <v>15</v>
      </c>
      <c r="C1044" s="38" t="s">
        <v>8425</v>
      </c>
      <c r="D1044" s="6">
        <v>2023</v>
      </c>
      <c r="E1044" s="6" t="s">
        <v>12</v>
      </c>
      <c r="F1044" s="6">
        <v>18</v>
      </c>
      <c r="G1044" s="40">
        <v>6</v>
      </c>
      <c r="H1044" s="40">
        <v>166.63911000000002</v>
      </c>
      <c r="I1044" s="212"/>
      <c r="J1044" s="212"/>
    </row>
    <row r="1045" spans="1:10" s="5" customFormat="1" ht="30" hidden="1" customHeight="1" outlineLevel="1" x14ac:dyDescent="0.25">
      <c r="A1045" s="4">
        <v>1014</v>
      </c>
      <c r="B1045" s="6" t="s">
        <v>15</v>
      </c>
      <c r="C1045" s="38" t="s">
        <v>8426</v>
      </c>
      <c r="D1045" s="6">
        <v>2023</v>
      </c>
      <c r="E1045" s="6" t="s">
        <v>12</v>
      </c>
      <c r="F1045" s="6">
        <v>174</v>
      </c>
      <c r="G1045" s="40">
        <v>15</v>
      </c>
      <c r="H1045" s="40">
        <v>368.55565000000001</v>
      </c>
      <c r="I1045" s="212"/>
      <c r="J1045" s="212"/>
    </row>
    <row r="1046" spans="1:10" s="5" customFormat="1" ht="30" hidden="1" customHeight="1" outlineLevel="1" x14ac:dyDescent="0.25">
      <c r="A1046" s="4">
        <v>4238</v>
      </c>
      <c r="B1046" s="6" t="s">
        <v>15</v>
      </c>
      <c r="C1046" s="38" t="s">
        <v>8427</v>
      </c>
      <c r="D1046" s="6">
        <v>2023</v>
      </c>
      <c r="E1046" s="6" t="s">
        <v>12</v>
      </c>
      <c r="F1046" s="6">
        <v>359</v>
      </c>
      <c r="G1046" s="40">
        <v>15</v>
      </c>
      <c r="H1046" s="40">
        <v>742.59012000000007</v>
      </c>
      <c r="I1046" s="212"/>
      <c r="J1046" s="212"/>
    </row>
    <row r="1047" spans="1:10" s="5" customFormat="1" ht="30" hidden="1" customHeight="1" outlineLevel="1" x14ac:dyDescent="0.25">
      <c r="A1047" s="4">
        <v>989</v>
      </c>
      <c r="B1047" s="6" t="s">
        <v>15</v>
      </c>
      <c r="C1047" s="38" t="s">
        <v>8428</v>
      </c>
      <c r="D1047" s="6">
        <v>2023</v>
      </c>
      <c r="E1047" s="6" t="s">
        <v>12</v>
      </c>
      <c r="F1047" s="6">
        <v>109</v>
      </c>
      <c r="G1047" s="40">
        <v>15</v>
      </c>
      <c r="H1047" s="40">
        <v>345.04177000000004</v>
      </c>
      <c r="I1047" s="212"/>
      <c r="J1047" s="212"/>
    </row>
    <row r="1048" spans="1:10" s="5" customFormat="1" ht="30" hidden="1" customHeight="1" outlineLevel="1" x14ac:dyDescent="0.25">
      <c r="A1048" s="4">
        <v>4255</v>
      </c>
      <c r="B1048" s="6" t="s">
        <v>15</v>
      </c>
      <c r="C1048" s="38" t="s">
        <v>8429</v>
      </c>
      <c r="D1048" s="6">
        <v>2023</v>
      </c>
      <c r="E1048" s="6" t="s">
        <v>12</v>
      </c>
      <c r="F1048" s="6">
        <v>111</v>
      </c>
      <c r="G1048" s="40">
        <v>7.5</v>
      </c>
      <c r="H1048" s="40">
        <v>319.93603999999999</v>
      </c>
      <c r="I1048" s="212"/>
      <c r="J1048" s="212"/>
    </row>
    <row r="1049" spans="1:10" s="5" customFormat="1" ht="30" hidden="1" customHeight="1" outlineLevel="1" x14ac:dyDescent="0.25">
      <c r="A1049" s="4">
        <v>4253</v>
      </c>
      <c r="B1049" s="6" t="s">
        <v>15</v>
      </c>
      <c r="C1049" s="38" t="s">
        <v>8430</v>
      </c>
      <c r="D1049" s="6">
        <v>2023</v>
      </c>
      <c r="E1049" s="6" t="s">
        <v>12</v>
      </c>
      <c r="F1049" s="6">
        <v>30</v>
      </c>
      <c r="G1049" s="40">
        <v>7.5</v>
      </c>
      <c r="H1049" s="40">
        <v>72.858930000000001</v>
      </c>
      <c r="I1049" s="212"/>
      <c r="J1049" s="212"/>
    </row>
    <row r="1050" spans="1:10" s="5" customFormat="1" ht="30" hidden="1" customHeight="1" outlineLevel="1" x14ac:dyDescent="0.25">
      <c r="A1050" s="4">
        <v>330</v>
      </c>
      <c r="B1050" s="6" t="s">
        <v>15</v>
      </c>
      <c r="C1050" s="38" t="s">
        <v>8431</v>
      </c>
      <c r="D1050" s="6">
        <v>2023</v>
      </c>
      <c r="E1050" s="6" t="s">
        <v>12</v>
      </c>
      <c r="F1050" s="6">
        <v>100</v>
      </c>
      <c r="G1050" s="40">
        <v>10</v>
      </c>
      <c r="H1050" s="40">
        <v>152.28754999999998</v>
      </c>
      <c r="I1050" s="212"/>
      <c r="J1050" s="212"/>
    </row>
    <row r="1051" spans="1:10" s="5" customFormat="1" ht="30" hidden="1" customHeight="1" outlineLevel="1" x14ac:dyDescent="0.25">
      <c r="A1051" s="4">
        <v>878</v>
      </c>
      <c r="B1051" s="6" t="s">
        <v>15</v>
      </c>
      <c r="C1051" s="38" t="s">
        <v>8432</v>
      </c>
      <c r="D1051" s="6">
        <v>2023</v>
      </c>
      <c r="E1051" s="6" t="s">
        <v>12</v>
      </c>
      <c r="F1051" s="6">
        <v>90</v>
      </c>
      <c r="G1051" s="40">
        <v>9</v>
      </c>
      <c r="H1051" s="40">
        <v>141.26855999999998</v>
      </c>
      <c r="I1051" s="212"/>
      <c r="J1051" s="212"/>
    </row>
    <row r="1052" spans="1:10" s="5" customFormat="1" ht="30" hidden="1" customHeight="1" outlineLevel="1" x14ac:dyDescent="0.25">
      <c r="A1052" s="4">
        <v>341</v>
      </c>
      <c r="B1052" s="6" t="s">
        <v>15</v>
      </c>
      <c r="C1052" s="38" t="s">
        <v>8433</v>
      </c>
      <c r="D1052" s="6">
        <v>2023</v>
      </c>
      <c r="E1052" s="6" t="s">
        <v>12</v>
      </c>
      <c r="F1052" s="6">
        <v>60</v>
      </c>
      <c r="G1052" s="40">
        <v>10</v>
      </c>
      <c r="H1052" s="40">
        <v>90.96741999999999</v>
      </c>
      <c r="I1052" s="212"/>
      <c r="J1052" s="212"/>
    </row>
    <row r="1053" spans="1:10" s="5" customFormat="1" ht="30" hidden="1" customHeight="1" outlineLevel="1" x14ac:dyDescent="0.25">
      <c r="A1053" s="4">
        <v>635</v>
      </c>
      <c r="B1053" s="6" t="s">
        <v>15</v>
      </c>
      <c r="C1053" s="38" t="s">
        <v>8434</v>
      </c>
      <c r="D1053" s="6">
        <v>2023</v>
      </c>
      <c r="E1053" s="6" t="s">
        <v>12</v>
      </c>
      <c r="F1053" s="6">
        <v>60</v>
      </c>
      <c r="G1053" s="40">
        <v>10</v>
      </c>
      <c r="H1053" s="40">
        <v>86.430409999999995</v>
      </c>
      <c r="I1053" s="212"/>
      <c r="J1053" s="212"/>
    </row>
    <row r="1054" spans="1:10" s="5" customFormat="1" ht="30" hidden="1" customHeight="1" outlineLevel="1" x14ac:dyDescent="0.25">
      <c r="A1054" s="4">
        <v>982</v>
      </c>
      <c r="B1054" s="6" t="s">
        <v>15</v>
      </c>
      <c r="C1054" s="38" t="s">
        <v>8435</v>
      </c>
      <c r="D1054" s="6">
        <v>2023</v>
      </c>
      <c r="E1054" s="6" t="s">
        <v>12</v>
      </c>
      <c r="F1054" s="6">
        <v>871</v>
      </c>
      <c r="G1054" s="40">
        <v>15</v>
      </c>
      <c r="H1054" s="40">
        <v>1482.0312799999999</v>
      </c>
      <c r="I1054" s="212"/>
      <c r="J1054" s="212"/>
    </row>
    <row r="1055" spans="1:10" s="5" customFormat="1" ht="30" hidden="1" customHeight="1" outlineLevel="1" x14ac:dyDescent="0.25">
      <c r="A1055" s="4">
        <v>411</v>
      </c>
      <c r="B1055" s="6" t="s">
        <v>15</v>
      </c>
      <c r="C1055" s="38" t="s">
        <v>8436</v>
      </c>
      <c r="D1055" s="6">
        <v>2023</v>
      </c>
      <c r="E1055" s="6" t="s">
        <v>12</v>
      </c>
      <c r="F1055" s="6">
        <v>60</v>
      </c>
      <c r="G1055" s="40">
        <v>15</v>
      </c>
      <c r="H1055" s="40">
        <v>105.09609999999999</v>
      </c>
      <c r="I1055" s="212"/>
      <c r="J1055" s="212"/>
    </row>
    <row r="1056" spans="1:10" s="5" customFormat="1" ht="30" hidden="1" customHeight="1" outlineLevel="1" x14ac:dyDescent="0.25">
      <c r="A1056" s="4">
        <v>4248</v>
      </c>
      <c r="B1056" s="6" t="s">
        <v>15</v>
      </c>
      <c r="C1056" s="38" t="s">
        <v>8437</v>
      </c>
      <c r="D1056" s="6">
        <v>2023</v>
      </c>
      <c r="E1056" s="6" t="s">
        <v>12</v>
      </c>
      <c r="F1056" s="6">
        <v>50</v>
      </c>
      <c r="G1056" s="40">
        <v>30</v>
      </c>
      <c r="H1056" s="40">
        <v>138.26288</v>
      </c>
      <c r="I1056" s="212"/>
      <c r="J1056" s="212"/>
    </row>
    <row r="1057" spans="1:10" s="5" customFormat="1" ht="30" hidden="1" customHeight="1" outlineLevel="1" x14ac:dyDescent="0.25">
      <c r="A1057" s="4">
        <v>351</v>
      </c>
      <c r="B1057" s="6" t="s">
        <v>15</v>
      </c>
      <c r="C1057" s="38" t="s">
        <v>8438</v>
      </c>
      <c r="D1057" s="6">
        <v>2023</v>
      </c>
      <c r="E1057" s="6" t="s">
        <v>12</v>
      </c>
      <c r="F1057" s="6">
        <v>80</v>
      </c>
      <c r="G1057" s="40">
        <v>15</v>
      </c>
      <c r="H1057" s="40">
        <v>128.32426000000001</v>
      </c>
      <c r="I1057" s="212"/>
      <c r="J1057" s="212"/>
    </row>
    <row r="1058" spans="1:10" s="5" customFormat="1" ht="30" hidden="1" customHeight="1" outlineLevel="1" x14ac:dyDescent="0.25">
      <c r="A1058" s="4">
        <v>415</v>
      </c>
      <c r="B1058" s="6" t="s">
        <v>15</v>
      </c>
      <c r="C1058" s="38" t="s">
        <v>8439</v>
      </c>
      <c r="D1058" s="6">
        <v>2023</v>
      </c>
      <c r="E1058" s="6" t="s">
        <v>12</v>
      </c>
      <c r="F1058" s="6">
        <v>70</v>
      </c>
      <c r="G1058" s="40">
        <v>15</v>
      </c>
      <c r="H1058" s="40">
        <v>127.86807999999999</v>
      </c>
      <c r="I1058" s="212"/>
      <c r="J1058" s="212"/>
    </row>
    <row r="1059" spans="1:10" s="5" customFormat="1" ht="30" hidden="1" customHeight="1" outlineLevel="1" x14ac:dyDescent="0.25">
      <c r="A1059" s="4">
        <v>4250</v>
      </c>
      <c r="B1059" s="6" t="s">
        <v>15</v>
      </c>
      <c r="C1059" s="38" t="s">
        <v>8440</v>
      </c>
      <c r="D1059" s="6">
        <v>2023</v>
      </c>
      <c r="E1059" s="6" t="s">
        <v>12</v>
      </c>
      <c r="F1059" s="6">
        <v>85</v>
      </c>
      <c r="G1059" s="40">
        <v>15</v>
      </c>
      <c r="H1059" s="40">
        <v>141.09050999999999</v>
      </c>
      <c r="I1059" s="212"/>
      <c r="J1059" s="212"/>
    </row>
    <row r="1060" spans="1:10" s="5" customFormat="1" ht="30" hidden="1" customHeight="1" outlineLevel="1" x14ac:dyDescent="0.25">
      <c r="A1060" s="4">
        <v>4249</v>
      </c>
      <c r="B1060" s="6" t="s">
        <v>15</v>
      </c>
      <c r="C1060" s="38" t="s">
        <v>8441</v>
      </c>
      <c r="D1060" s="6">
        <v>2023</v>
      </c>
      <c r="E1060" s="6" t="s">
        <v>12</v>
      </c>
      <c r="F1060" s="6">
        <v>30</v>
      </c>
      <c r="G1060" s="40">
        <v>15</v>
      </c>
      <c r="H1060" s="40">
        <v>72.979879999999994</v>
      </c>
      <c r="I1060" s="212"/>
      <c r="J1060" s="212"/>
    </row>
    <row r="1061" spans="1:10" s="5" customFormat="1" ht="30" hidden="1" customHeight="1" outlineLevel="1" x14ac:dyDescent="0.25">
      <c r="A1061" s="4">
        <v>1417</v>
      </c>
      <c r="B1061" s="6" t="s">
        <v>15</v>
      </c>
      <c r="C1061" s="38" t="s">
        <v>8442</v>
      </c>
      <c r="D1061" s="6">
        <v>2023</v>
      </c>
      <c r="E1061" s="6" t="s">
        <v>12</v>
      </c>
      <c r="F1061" s="6">
        <v>30</v>
      </c>
      <c r="G1061" s="40">
        <v>6</v>
      </c>
      <c r="H1061" s="40">
        <v>66.015879999999996</v>
      </c>
      <c r="I1061" s="212"/>
      <c r="J1061" s="212"/>
    </row>
    <row r="1062" spans="1:10" s="5" customFormat="1" ht="30" hidden="1" customHeight="1" outlineLevel="1" x14ac:dyDescent="0.25">
      <c r="A1062" s="4">
        <v>1566</v>
      </c>
      <c r="B1062" s="6" t="s">
        <v>15</v>
      </c>
      <c r="C1062" s="38" t="s">
        <v>8443</v>
      </c>
      <c r="D1062" s="6">
        <v>2023</v>
      </c>
      <c r="E1062" s="6" t="s">
        <v>12</v>
      </c>
      <c r="F1062" s="6">
        <v>45</v>
      </c>
      <c r="G1062" s="40">
        <v>10</v>
      </c>
      <c r="H1062" s="40">
        <v>91.059150000000002</v>
      </c>
      <c r="I1062" s="212"/>
      <c r="J1062" s="212"/>
    </row>
    <row r="1063" spans="1:10" s="5" customFormat="1" ht="30" hidden="1" customHeight="1" outlineLevel="1" x14ac:dyDescent="0.25">
      <c r="A1063" s="4">
        <v>4252</v>
      </c>
      <c r="B1063" s="6" t="s">
        <v>15</v>
      </c>
      <c r="C1063" s="38" t="s">
        <v>8444</v>
      </c>
      <c r="D1063" s="6">
        <v>2023</v>
      </c>
      <c r="E1063" s="6" t="s">
        <v>12</v>
      </c>
      <c r="F1063" s="6">
        <v>60</v>
      </c>
      <c r="G1063" s="40">
        <v>15</v>
      </c>
      <c r="H1063" s="40">
        <v>109.9302</v>
      </c>
      <c r="I1063" s="212"/>
      <c r="J1063" s="212"/>
    </row>
    <row r="1064" spans="1:10" s="5" customFormat="1" ht="30" hidden="1" customHeight="1" outlineLevel="1" x14ac:dyDescent="0.25">
      <c r="A1064" s="4">
        <v>585</v>
      </c>
      <c r="B1064" s="6" t="s">
        <v>15</v>
      </c>
      <c r="C1064" s="38" t="s">
        <v>8445</v>
      </c>
      <c r="D1064" s="6">
        <v>2023</v>
      </c>
      <c r="E1064" s="6" t="s">
        <v>12</v>
      </c>
      <c r="F1064" s="6">
        <v>100</v>
      </c>
      <c r="G1064" s="40">
        <v>15</v>
      </c>
      <c r="H1064" s="40">
        <v>158.61502999999999</v>
      </c>
      <c r="I1064" s="212"/>
      <c r="J1064" s="212"/>
    </row>
    <row r="1065" spans="1:10" s="5" customFormat="1" ht="30" hidden="1" customHeight="1" outlineLevel="1" x14ac:dyDescent="0.25">
      <c r="A1065" s="4">
        <v>3206</v>
      </c>
      <c r="B1065" s="6" t="s">
        <v>15</v>
      </c>
      <c r="C1065" s="38" t="s">
        <v>8446</v>
      </c>
      <c r="D1065" s="6">
        <v>2023</v>
      </c>
      <c r="E1065" s="6" t="s">
        <v>12</v>
      </c>
      <c r="F1065" s="6">
        <v>100</v>
      </c>
      <c r="G1065" s="40">
        <v>15</v>
      </c>
      <c r="H1065" s="40">
        <v>177.12960000000001</v>
      </c>
      <c r="I1065" s="212"/>
      <c r="J1065" s="212"/>
    </row>
    <row r="1066" spans="1:10" s="5" customFormat="1" ht="30" hidden="1" customHeight="1" outlineLevel="1" x14ac:dyDescent="0.25">
      <c r="A1066" s="4">
        <v>4257</v>
      </c>
      <c r="B1066" s="6" t="s">
        <v>15</v>
      </c>
      <c r="C1066" s="38" t="s">
        <v>8447</v>
      </c>
      <c r="D1066" s="6">
        <v>2023</v>
      </c>
      <c r="E1066" s="6" t="s">
        <v>12</v>
      </c>
      <c r="F1066" s="6">
        <v>51</v>
      </c>
      <c r="G1066" s="40">
        <v>10</v>
      </c>
      <c r="H1066" s="40">
        <v>263.55192</v>
      </c>
      <c r="I1066" s="212"/>
      <c r="J1066" s="212"/>
    </row>
    <row r="1067" spans="1:10" s="5" customFormat="1" ht="30" hidden="1" customHeight="1" outlineLevel="1" x14ac:dyDescent="0.25">
      <c r="A1067" s="4">
        <v>1452</v>
      </c>
      <c r="B1067" s="6" t="s">
        <v>15</v>
      </c>
      <c r="C1067" s="38" t="s">
        <v>8448</v>
      </c>
      <c r="D1067" s="6">
        <v>2023</v>
      </c>
      <c r="E1067" s="6" t="s">
        <v>12</v>
      </c>
      <c r="F1067" s="6">
        <v>248</v>
      </c>
      <c r="G1067" s="40">
        <v>15</v>
      </c>
      <c r="H1067" s="40">
        <v>613.13757999999996</v>
      </c>
      <c r="I1067" s="212"/>
      <c r="J1067" s="212"/>
    </row>
    <row r="1068" spans="1:10" s="5" customFormat="1" ht="30" hidden="1" customHeight="1" outlineLevel="1" x14ac:dyDescent="0.25">
      <c r="A1068" s="4">
        <v>1785</v>
      </c>
      <c r="B1068" s="6" t="s">
        <v>15</v>
      </c>
      <c r="C1068" s="38" t="s">
        <v>8449</v>
      </c>
      <c r="D1068" s="6">
        <v>2023</v>
      </c>
      <c r="E1068" s="6" t="s">
        <v>12</v>
      </c>
      <c r="F1068" s="6">
        <v>152</v>
      </c>
      <c r="G1068" s="40">
        <v>15</v>
      </c>
      <c r="H1068" s="40">
        <v>510.45262000000002</v>
      </c>
      <c r="I1068" s="212"/>
      <c r="J1068" s="212"/>
    </row>
    <row r="1069" spans="1:10" s="5" customFormat="1" ht="30" hidden="1" customHeight="1" outlineLevel="1" x14ac:dyDescent="0.25">
      <c r="A1069" s="4">
        <v>438</v>
      </c>
      <c r="B1069" s="6" t="s">
        <v>15</v>
      </c>
      <c r="C1069" s="38" t="s">
        <v>8450</v>
      </c>
      <c r="D1069" s="6">
        <v>2023</v>
      </c>
      <c r="E1069" s="6" t="s">
        <v>12</v>
      </c>
      <c r="F1069" s="6">
        <v>121</v>
      </c>
      <c r="G1069" s="40">
        <v>15</v>
      </c>
      <c r="H1069" s="40">
        <v>214.15356</v>
      </c>
      <c r="I1069" s="212"/>
      <c r="J1069" s="212"/>
    </row>
    <row r="1070" spans="1:10" s="5" customFormat="1" ht="30" hidden="1" customHeight="1" outlineLevel="1" x14ac:dyDescent="0.25">
      <c r="A1070" s="4">
        <v>1706</v>
      </c>
      <c r="B1070" s="6" t="s">
        <v>15</v>
      </c>
      <c r="C1070" s="38" t="s">
        <v>8451</v>
      </c>
      <c r="D1070" s="6">
        <v>2023</v>
      </c>
      <c r="E1070" s="6" t="s">
        <v>12</v>
      </c>
      <c r="F1070" s="6">
        <v>50</v>
      </c>
      <c r="G1070" s="40">
        <v>10</v>
      </c>
      <c r="H1070" s="40">
        <v>93.335329999999999</v>
      </c>
      <c r="I1070" s="212"/>
      <c r="J1070" s="212"/>
    </row>
    <row r="1071" spans="1:10" s="5" customFormat="1" ht="30" hidden="1" customHeight="1" outlineLevel="1" x14ac:dyDescent="0.25">
      <c r="A1071" s="4">
        <v>4244</v>
      </c>
      <c r="B1071" s="6" t="s">
        <v>15</v>
      </c>
      <c r="C1071" s="38" t="s">
        <v>8452</v>
      </c>
      <c r="D1071" s="6">
        <v>2023</v>
      </c>
      <c r="E1071" s="6" t="s">
        <v>12</v>
      </c>
      <c r="F1071" s="6">
        <v>120</v>
      </c>
      <c r="G1071" s="40">
        <v>15</v>
      </c>
      <c r="H1071" s="40">
        <v>197.31721999999999</v>
      </c>
      <c r="I1071" s="212"/>
      <c r="J1071" s="212"/>
    </row>
    <row r="1072" spans="1:10" s="5" customFormat="1" ht="30" hidden="1" customHeight="1" outlineLevel="1" x14ac:dyDescent="0.25">
      <c r="A1072" s="4">
        <v>1264</v>
      </c>
      <c r="B1072" s="6" t="s">
        <v>15</v>
      </c>
      <c r="C1072" s="38" t="s">
        <v>8453</v>
      </c>
      <c r="D1072" s="6">
        <v>2023</v>
      </c>
      <c r="E1072" s="6" t="s">
        <v>12</v>
      </c>
      <c r="F1072" s="6">
        <v>216</v>
      </c>
      <c r="G1072" s="40">
        <v>6</v>
      </c>
      <c r="H1072" s="40">
        <v>539.84599000000003</v>
      </c>
      <c r="I1072" s="212"/>
      <c r="J1072" s="212"/>
    </row>
    <row r="1073" spans="1:10" s="5" customFormat="1" ht="30" hidden="1" customHeight="1" outlineLevel="1" x14ac:dyDescent="0.25">
      <c r="A1073" s="4">
        <v>980</v>
      </c>
      <c r="B1073" s="6" t="s">
        <v>15</v>
      </c>
      <c r="C1073" s="38" t="s">
        <v>8454</v>
      </c>
      <c r="D1073" s="6">
        <v>2023</v>
      </c>
      <c r="E1073" s="6" t="s">
        <v>12</v>
      </c>
      <c r="F1073" s="6">
        <v>218</v>
      </c>
      <c r="G1073" s="40">
        <v>15</v>
      </c>
      <c r="H1073" s="40">
        <v>579.89933999999994</v>
      </c>
      <c r="I1073" s="212"/>
      <c r="J1073" s="212"/>
    </row>
    <row r="1074" spans="1:10" s="5" customFormat="1" ht="30" hidden="1" customHeight="1" outlineLevel="1" x14ac:dyDescent="0.25">
      <c r="A1074" s="4">
        <v>986</v>
      </c>
      <c r="B1074" s="6" t="s">
        <v>15</v>
      </c>
      <c r="C1074" s="38" t="s">
        <v>8455</v>
      </c>
      <c r="D1074" s="6">
        <v>2023</v>
      </c>
      <c r="E1074" s="6" t="s">
        <v>12</v>
      </c>
      <c r="F1074" s="6">
        <v>20</v>
      </c>
      <c r="G1074" s="40">
        <v>6</v>
      </c>
      <c r="H1074" s="40">
        <v>214.14785000000001</v>
      </c>
      <c r="I1074" s="212"/>
      <c r="J1074" s="212"/>
    </row>
    <row r="1075" spans="1:10" s="5" customFormat="1" ht="30" hidden="1" customHeight="1" outlineLevel="1" x14ac:dyDescent="0.25">
      <c r="A1075" s="4">
        <v>1487</v>
      </c>
      <c r="B1075" s="6" t="s">
        <v>15</v>
      </c>
      <c r="C1075" s="38" t="s">
        <v>8456</v>
      </c>
      <c r="D1075" s="6">
        <v>2023</v>
      </c>
      <c r="E1075" s="6" t="s">
        <v>12</v>
      </c>
      <c r="F1075" s="6">
        <v>120</v>
      </c>
      <c r="G1075" s="40">
        <v>15</v>
      </c>
      <c r="H1075" s="40">
        <v>380.05338</v>
      </c>
      <c r="I1075" s="212"/>
      <c r="J1075" s="212"/>
    </row>
    <row r="1076" spans="1:10" s="5" customFormat="1" ht="30" hidden="1" customHeight="1" outlineLevel="1" x14ac:dyDescent="0.25">
      <c r="A1076" s="4">
        <v>1786</v>
      </c>
      <c r="B1076" s="6" t="s">
        <v>15</v>
      </c>
      <c r="C1076" s="38" t="s">
        <v>8457</v>
      </c>
      <c r="D1076" s="6">
        <v>2023</v>
      </c>
      <c r="E1076" s="6" t="s">
        <v>12</v>
      </c>
      <c r="F1076" s="6">
        <v>25</v>
      </c>
      <c r="G1076" s="40">
        <v>15</v>
      </c>
      <c r="H1076" s="40">
        <v>68.637829999999994</v>
      </c>
      <c r="I1076" s="212"/>
      <c r="J1076" s="212"/>
    </row>
    <row r="1077" spans="1:10" s="5" customFormat="1" ht="30" hidden="1" customHeight="1" outlineLevel="1" x14ac:dyDescent="0.25">
      <c r="A1077" s="4">
        <v>2852</v>
      </c>
      <c r="B1077" s="6" t="s">
        <v>15</v>
      </c>
      <c r="C1077" s="38" t="s">
        <v>8458</v>
      </c>
      <c r="D1077" s="6">
        <v>2023</v>
      </c>
      <c r="E1077" s="6" t="s">
        <v>12</v>
      </c>
      <c r="F1077" s="6">
        <v>90</v>
      </c>
      <c r="G1077" s="40">
        <v>15</v>
      </c>
      <c r="H1077" s="40">
        <v>124.94949</v>
      </c>
      <c r="I1077" s="212"/>
      <c r="J1077" s="212"/>
    </row>
    <row r="1078" spans="1:10" s="5" customFormat="1" ht="30" hidden="1" customHeight="1" outlineLevel="1" x14ac:dyDescent="0.25">
      <c r="A1078" s="4">
        <v>590</v>
      </c>
      <c r="B1078" s="6" t="s">
        <v>15</v>
      </c>
      <c r="C1078" s="38" t="s">
        <v>8459</v>
      </c>
      <c r="D1078" s="6">
        <v>2023</v>
      </c>
      <c r="E1078" s="6" t="s">
        <v>12</v>
      </c>
      <c r="F1078" s="6">
        <v>10</v>
      </c>
      <c r="G1078" s="40">
        <v>15</v>
      </c>
      <c r="H1078" s="40">
        <v>60.845580000000005</v>
      </c>
      <c r="I1078" s="212"/>
      <c r="J1078" s="212"/>
    </row>
    <row r="1079" spans="1:10" s="5" customFormat="1" ht="30" hidden="1" customHeight="1" outlineLevel="1" x14ac:dyDescent="0.25">
      <c r="A1079" s="4">
        <v>4259</v>
      </c>
      <c r="B1079" s="6" t="s">
        <v>15</v>
      </c>
      <c r="C1079" s="38" t="s">
        <v>8460</v>
      </c>
      <c r="D1079" s="6">
        <v>2023</v>
      </c>
      <c r="E1079" s="6" t="s">
        <v>12</v>
      </c>
      <c r="F1079" s="6">
        <v>481</v>
      </c>
      <c r="G1079" s="40">
        <v>80</v>
      </c>
      <c r="H1079" s="40">
        <v>975.77760000000001</v>
      </c>
      <c r="I1079" s="212"/>
      <c r="J1079" s="212"/>
    </row>
    <row r="1080" spans="1:10" s="5" customFormat="1" ht="30" hidden="1" customHeight="1" outlineLevel="1" x14ac:dyDescent="0.25">
      <c r="A1080" s="4">
        <v>4256</v>
      </c>
      <c r="B1080" s="6" t="s">
        <v>15</v>
      </c>
      <c r="C1080" s="38" t="s">
        <v>8461</v>
      </c>
      <c r="D1080" s="6">
        <v>2023</v>
      </c>
      <c r="E1080" s="6" t="s">
        <v>12</v>
      </c>
      <c r="F1080" s="6">
        <v>55</v>
      </c>
      <c r="G1080" s="40">
        <v>15</v>
      </c>
      <c r="H1080" s="40">
        <v>113.35074</v>
      </c>
      <c r="I1080" s="212"/>
      <c r="J1080" s="212"/>
    </row>
    <row r="1081" spans="1:10" s="5" customFormat="1" ht="30" hidden="1" customHeight="1" outlineLevel="1" x14ac:dyDescent="0.25">
      <c r="A1081" s="4">
        <v>1900</v>
      </c>
      <c r="B1081" s="6" t="s">
        <v>15</v>
      </c>
      <c r="C1081" s="38" t="s">
        <v>8462</v>
      </c>
      <c r="D1081" s="6">
        <v>2023</v>
      </c>
      <c r="E1081" s="6" t="s">
        <v>12</v>
      </c>
      <c r="F1081" s="6">
        <v>90</v>
      </c>
      <c r="G1081" s="40">
        <v>8</v>
      </c>
      <c r="H1081" s="40">
        <v>200.13025999999999</v>
      </c>
      <c r="I1081" s="212"/>
      <c r="J1081" s="212"/>
    </row>
    <row r="1082" spans="1:10" s="5" customFormat="1" ht="30" hidden="1" customHeight="1" outlineLevel="1" x14ac:dyDescent="0.25">
      <c r="A1082" s="4">
        <v>4258</v>
      </c>
      <c r="B1082" s="6" t="s">
        <v>15</v>
      </c>
      <c r="C1082" s="38" t="s">
        <v>8463</v>
      </c>
      <c r="D1082" s="6">
        <v>2023</v>
      </c>
      <c r="E1082" s="6" t="s">
        <v>12</v>
      </c>
      <c r="F1082" s="6">
        <v>65</v>
      </c>
      <c r="G1082" s="40">
        <v>7.5</v>
      </c>
      <c r="H1082" s="40">
        <v>153.88747999999998</v>
      </c>
      <c r="I1082" s="212"/>
      <c r="J1082" s="212"/>
    </row>
    <row r="1083" spans="1:10" s="5" customFormat="1" ht="30" hidden="1" customHeight="1" outlineLevel="1" x14ac:dyDescent="0.25">
      <c r="A1083" s="4">
        <v>1865</v>
      </c>
      <c r="B1083" s="6" t="s">
        <v>15</v>
      </c>
      <c r="C1083" s="38" t="s">
        <v>8464</v>
      </c>
      <c r="D1083" s="6">
        <v>2023</v>
      </c>
      <c r="E1083" s="6" t="s">
        <v>12</v>
      </c>
      <c r="F1083" s="6">
        <v>410</v>
      </c>
      <c r="G1083" s="40">
        <v>10</v>
      </c>
      <c r="H1083" s="40">
        <v>1040.1244099999999</v>
      </c>
      <c r="I1083" s="212"/>
      <c r="J1083" s="212"/>
    </row>
    <row r="1084" spans="1:10" s="5" customFormat="1" ht="30" hidden="1" customHeight="1" outlineLevel="1" x14ac:dyDescent="0.25">
      <c r="A1084" s="4">
        <v>1718</v>
      </c>
      <c r="B1084" s="6" t="s">
        <v>15</v>
      </c>
      <c r="C1084" s="38" t="s">
        <v>8465</v>
      </c>
      <c r="D1084" s="6">
        <v>2023</v>
      </c>
      <c r="E1084" s="6" t="s">
        <v>12</v>
      </c>
      <c r="F1084" s="6">
        <v>194</v>
      </c>
      <c r="G1084" s="40">
        <v>15</v>
      </c>
      <c r="H1084" s="40">
        <v>575.02629000000002</v>
      </c>
      <c r="I1084" s="212"/>
      <c r="J1084" s="212"/>
    </row>
    <row r="1085" spans="1:10" s="5" customFormat="1" ht="30" hidden="1" customHeight="1" outlineLevel="1" x14ac:dyDescent="0.25">
      <c r="A1085" s="4">
        <v>3141</v>
      </c>
      <c r="B1085" s="6" t="s">
        <v>15</v>
      </c>
      <c r="C1085" s="38" t="s">
        <v>8466</v>
      </c>
      <c r="D1085" s="6">
        <v>2023</v>
      </c>
      <c r="E1085" s="6" t="s">
        <v>12</v>
      </c>
      <c r="F1085" s="6">
        <v>14</v>
      </c>
      <c r="G1085" s="40">
        <v>100</v>
      </c>
      <c r="H1085" s="40">
        <v>63.769160000000007</v>
      </c>
      <c r="I1085" s="212"/>
      <c r="J1085" s="212"/>
    </row>
    <row r="1086" spans="1:10" s="5" customFormat="1" ht="30" hidden="1" customHeight="1" outlineLevel="1" x14ac:dyDescent="0.25">
      <c r="A1086" s="4">
        <v>4260</v>
      </c>
      <c r="B1086" s="6" t="s">
        <v>15</v>
      </c>
      <c r="C1086" s="38" t="s">
        <v>8467</v>
      </c>
      <c r="D1086" s="6">
        <v>2023</v>
      </c>
      <c r="E1086" s="6" t="s">
        <v>12</v>
      </c>
      <c r="F1086" s="6">
        <v>278</v>
      </c>
      <c r="G1086" s="40">
        <v>15</v>
      </c>
      <c r="H1086" s="40">
        <v>541.18294000000003</v>
      </c>
      <c r="I1086" s="212"/>
      <c r="J1086" s="212"/>
    </row>
    <row r="1087" spans="1:10" s="5" customFormat="1" ht="30" hidden="1" customHeight="1" outlineLevel="1" x14ac:dyDescent="0.25">
      <c r="A1087" s="4">
        <v>2023</v>
      </c>
      <c r="B1087" s="6" t="s">
        <v>15</v>
      </c>
      <c r="C1087" s="38" t="s">
        <v>8468</v>
      </c>
      <c r="D1087" s="6">
        <v>2023</v>
      </c>
      <c r="E1087" s="6" t="s">
        <v>12</v>
      </c>
      <c r="F1087" s="6">
        <v>30</v>
      </c>
      <c r="G1087" s="40">
        <v>5</v>
      </c>
      <c r="H1087" s="40">
        <v>69.048519999999996</v>
      </c>
      <c r="I1087" s="212"/>
      <c r="J1087" s="212"/>
    </row>
    <row r="1088" spans="1:10" s="5" customFormat="1" ht="30" hidden="1" customHeight="1" outlineLevel="1" x14ac:dyDescent="0.25">
      <c r="A1088" s="4">
        <v>2827</v>
      </c>
      <c r="B1088" s="6" t="s">
        <v>15</v>
      </c>
      <c r="C1088" s="38" t="s">
        <v>8469</v>
      </c>
      <c r="D1088" s="6">
        <v>2023</v>
      </c>
      <c r="E1088" s="6" t="s">
        <v>12</v>
      </c>
      <c r="F1088" s="6">
        <v>210</v>
      </c>
      <c r="G1088" s="40">
        <v>15</v>
      </c>
      <c r="H1088" s="40">
        <v>331.74577999999997</v>
      </c>
      <c r="I1088" s="212"/>
      <c r="J1088" s="212"/>
    </row>
    <row r="1089" spans="1:10" s="5" customFormat="1" ht="30" hidden="1" customHeight="1" outlineLevel="1" x14ac:dyDescent="0.25">
      <c r="A1089" s="4">
        <v>4243</v>
      </c>
      <c r="B1089" s="6" t="s">
        <v>15</v>
      </c>
      <c r="C1089" s="38" t="s">
        <v>8470</v>
      </c>
      <c r="D1089" s="6">
        <v>2023</v>
      </c>
      <c r="E1089" s="6" t="s">
        <v>12</v>
      </c>
      <c r="F1089" s="6">
        <v>160</v>
      </c>
      <c r="G1089" s="40">
        <v>15</v>
      </c>
      <c r="H1089" s="40">
        <v>228.29371</v>
      </c>
      <c r="I1089" s="212"/>
      <c r="J1089" s="212"/>
    </row>
    <row r="1090" spans="1:10" s="5" customFormat="1" ht="30" hidden="1" customHeight="1" outlineLevel="1" x14ac:dyDescent="0.25">
      <c r="A1090" s="4">
        <v>2045</v>
      </c>
      <c r="B1090" s="6" t="s">
        <v>15</v>
      </c>
      <c r="C1090" s="38" t="s">
        <v>8471</v>
      </c>
      <c r="D1090" s="6">
        <v>2023</v>
      </c>
      <c r="E1090" s="6" t="s">
        <v>12</v>
      </c>
      <c r="F1090" s="6">
        <v>90</v>
      </c>
      <c r="G1090" s="40">
        <v>10</v>
      </c>
      <c r="H1090" s="40">
        <v>130.63229000000001</v>
      </c>
      <c r="I1090" s="212"/>
      <c r="J1090" s="212"/>
    </row>
    <row r="1091" spans="1:10" s="5" customFormat="1" ht="30" hidden="1" customHeight="1" outlineLevel="1" x14ac:dyDescent="0.25">
      <c r="A1091" s="4">
        <v>2136</v>
      </c>
      <c r="B1091" s="6" t="s">
        <v>15</v>
      </c>
      <c r="C1091" s="38" t="s">
        <v>8472</v>
      </c>
      <c r="D1091" s="6">
        <v>2023</v>
      </c>
      <c r="E1091" s="6" t="s">
        <v>12</v>
      </c>
      <c r="F1091" s="6">
        <v>30</v>
      </c>
      <c r="G1091" s="40">
        <v>6</v>
      </c>
      <c r="H1091" s="40">
        <v>69.786850000000001</v>
      </c>
      <c r="I1091" s="212"/>
      <c r="J1091" s="212"/>
    </row>
    <row r="1092" spans="1:10" s="5" customFormat="1" ht="30" hidden="1" customHeight="1" outlineLevel="1" x14ac:dyDescent="0.25">
      <c r="A1092" s="4">
        <v>4261</v>
      </c>
      <c r="B1092" s="6" t="s">
        <v>15</v>
      </c>
      <c r="C1092" s="38" t="s">
        <v>8473</v>
      </c>
      <c r="D1092" s="6">
        <v>2023</v>
      </c>
      <c r="E1092" s="6" t="s">
        <v>12</v>
      </c>
      <c r="F1092" s="6">
        <v>90</v>
      </c>
      <c r="G1092" s="40">
        <v>14</v>
      </c>
      <c r="H1092" s="40">
        <v>322.96383000000003</v>
      </c>
      <c r="I1092" s="212"/>
      <c r="J1092" s="212"/>
    </row>
    <row r="1093" spans="1:10" s="5" customFormat="1" ht="30" hidden="1" customHeight="1" outlineLevel="1" x14ac:dyDescent="0.25">
      <c r="A1093" s="4">
        <v>3319</v>
      </c>
      <c r="B1093" s="6" t="s">
        <v>15</v>
      </c>
      <c r="C1093" s="38" t="s">
        <v>8474</v>
      </c>
      <c r="D1093" s="6">
        <v>2023</v>
      </c>
      <c r="E1093" s="6" t="s">
        <v>12</v>
      </c>
      <c r="F1093" s="6">
        <v>262</v>
      </c>
      <c r="G1093" s="40">
        <v>15</v>
      </c>
      <c r="H1093" s="40">
        <v>664.60808999999995</v>
      </c>
      <c r="I1093" s="212"/>
      <c r="J1093" s="212"/>
    </row>
    <row r="1094" spans="1:10" s="5" customFormat="1" ht="30" hidden="1" customHeight="1" outlineLevel="1" x14ac:dyDescent="0.25">
      <c r="A1094" s="4">
        <v>3135</v>
      </c>
      <c r="B1094" s="6" t="s">
        <v>15</v>
      </c>
      <c r="C1094" s="38" t="s">
        <v>8475</v>
      </c>
      <c r="D1094" s="6">
        <v>2023</v>
      </c>
      <c r="E1094" s="6" t="s">
        <v>12</v>
      </c>
      <c r="F1094" s="6">
        <v>5</v>
      </c>
      <c r="G1094" s="40">
        <v>50</v>
      </c>
      <c r="H1094" s="40">
        <v>107.25917</v>
      </c>
      <c r="I1094" s="212"/>
      <c r="J1094" s="212"/>
    </row>
    <row r="1095" spans="1:10" s="5" customFormat="1" ht="30" hidden="1" customHeight="1" outlineLevel="1" x14ac:dyDescent="0.25">
      <c r="A1095" s="4">
        <v>2133</v>
      </c>
      <c r="B1095" s="6" t="s">
        <v>15</v>
      </c>
      <c r="C1095" s="38" t="s">
        <v>8476</v>
      </c>
      <c r="D1095" s="6">
        <v>2023</v>
      </c>
      <c r="E1095" s="6" t="s">
        <v>12</v>
      </c>
      <c r="F1095" s="6">
        <v>263</v>
      </c>
      <c r="G1095" s="40">
        <v>18</v>
      </c>
      <c r="H1095" s="40">
        <v>755.84020999999996</v>
      </c>
      <c r="I1095" s="212"/>
      <c r="J1095" s="212"/>
    </row>
    <row r="1096" spans="1:10" s="5" customFormat="1" ht="30" hidden="1" customHeight="1" outlineLevel="1" x14ac:dyDescent="0.25">
      <c r="A1096" s="4">
        <v>2232</v>
      </c>
      <c r="B1096" s="6" t="s">
        <v>15</v>
      </c>
      <c r="C1096" s="38" t="s">
        <v>8477</v>
      </c>
      <c r="D1096" s="6">
        <v>2023</v>
      </c>
      <c r="E1096" s="6" t="s">
        <v>12</v>
      </c>
      <c r="F1096" s="6">
        <v>34</v>
      </c>
      <c r="G1096" s="40">
        <v>8</v>
      </c>
      <c r="H1096" s="40">
        <v>155.14677</v>
      </c>
      <c r="I1096" s="212"/>
      <c r="J1096" s="212"/>
    </row>
    <row r="1097" spans="1:10" s="5" customFormat="1" ht="30" hidden="1" customHeight="1" outlineLevel="1" x14ac:dyDescent="0.25">
      <c r="A1097" s="4">
        <v>3231</v>
      </c>
      <c r="B1097" s="6" t="s">
        <v>15</v>
      </c>
      <c r="C1097" s="38" t="s">
        <v>8478</v>
      </c>
      <c r="D1097" s="6">
        <v>2023</v>
      </c>
      <c r="E1097" s="6" t="s">
        <v>12</v>
      </c>
      <c r="F1097" s="6">
        <v>12</v>
      </c>
      <c r="G1097" s="40">
        <v>13</v>
      </c>
      <c r="H1097" s="40">
        <v>77.703940000000003</v>
      </c>
      <c r="I1097" s="212"/>
      <c r="J1097" s="212"/>
    </row>
    <row r="1098" spans="1:10" s="5" customFormat="1" ht="30" hidden="1" customHeight="1" outlineLevel="1" x14ac:dyDescent="0.25">
      <c r="A1098" s="4">
        <v>409</v>
      </c>
      <c r="B1098" s="6" t="s">
        <v>15</v>
      </c>
      <c r="C1098" s="38" t="s">
        <v>8479</v>
      </c>
      <c r="D1098" s="6">
        <v>2023</v>
      </c>
      <c r="E1098" s="6" t="s">
        <v>12</v>
      </c>
      <c r="F1098" s="6">
        <v>120</v>
      </c>
      <c r="G1098" s="40">
        <v>15</v>
      </c>
      <c r="H1098" s="40">
        <v>184.11171000000002</v>
      </c>
      <c r="I1098" s="212"/>
      <c r="J1098" s="212"/>
    </row>
    <row r="1099" spans="1:10" s="5" customFormat="1" ht="30" hidden="1" customHeight="1" outlineLevel="1" x14ac:dyDescent="0.25">
      <c r="A1099" s="4">
        <v>2145</v>
      </c>
      <c r="B1099" s="6" t="s">
        <v>15</v>
      </c>
      <c r="C1099" s="38" t="s">
        <v>8480</v>
      </c>
      <c r="D1099" s="6">
        <v>2023</v>
      </c>
      <c r="E1099" s="6" t="s">
        <v>12</v>
      </c>
      <c r="F1099" s="6">
        <v>32</v>
      </c>
      <c r="G1099" s="40">
        <v>10</v>
      </c>
      <c r="H1099" s="40">
        <v>53.409709999999997</v>
      </c>
      <c r="I1099" s="212"/>
      <c r="J1099" s="212"/>
    </row>
    <row r="1100" spans="1:10" s="5" customFormat="1" ht="30" hidden="1" customHeight="1" outlineLevel="1" x14ac:dyDescent="0.25">
      <c r="A1100" s="4">
        <v>2291</v>
      </c>
      <c r="B1100" s="6" t="s">
        <v>15</v>
      </c>
      <c r="C1100" s="38" t="s">
        <v>8481</v>
      </c>
      <c r="D1100" s="6">
        <v>2023</v>
      </c>
      <c r="E1100" s="6" t="s">
        <v>12</v>
      </c>
      <c r="F1100" s="6">
        <v>35</v>
      </c>
      <c r="G1100" s="40">
        <v>10</v>
      </c>
      <c r="H1100" s="40">
        <v>79.949569999999994</v>
      </c>
      <c r="I1100" s="212"/>
      <c r="J1100" s="212"/>
    </row>
    <row r="1101" spans="1:10" s="5" customFormat="1" ht="30" hidden="1" customHeight="1" outlineLevel="1" x14ac:dyDescent="0.25">
      <c r="A1101" s="4">
        <v>4251</v>
      </c>
      <c r="B1101" s="6" t="s">
        <v>15</v>
      </c>
      <c r="C1101" s="38" t="s">
        <v>8482</v>
      </c>
      <c r="D1101" s="6">
        <v>2023</v>
      </c>
      <c r="E1101" s="6" t="s">
        <v>12</v>
      </c>
      <c r="F1101" s="6">
        <v>50</v>
      </c>
      <c r="G1101" s="40">
        <v>15</v>
      </c>
      <c r="H1101" s="40">
        <v>94.01182</v>
      </c>
      <c r="I1101" s="212"/>
      <c r="J1101" s="212"/>
    </row>
    <row r="1102" spans="1:10" s="5" customFormat="1" ht="30" hidden="1" customHeight="1" outlineLevel="1" x14ac:dyDescent="0.25">
      <c r="A1102" s="4">
        <v>2441</v>
      </c>
      <c r="B1102" s="6" t="s">
        <v>15</v>
      </c>
      <c r="C1102" s="38" t="s">
        <v>8483</v>
      </c>
      <c r="D1102" s="6">
        <v>2023</v>
      </c>
      <c r="E1102" s="6" t="s">
        <v>12</v>
      </c>
      <c r="F1102" s="6">
        <v>88</v>
      </c>
      <c r="G1102" s="40">
        <v>10</v>
      </c>
      <c r="H1102" s="40">
        <v>154.68948</v>
      </c>
      <c r="I1102" s="212"/>
      <c r="J1102" s="212"/>
    </row>
    <row r="1103" spans="1:10" s="5" customFormat="1" ht="30" hidden="1" customHeight="1" outlineLevel="1" x14ac:dyDescent="0.25">
      <c r="A1103" s="4">
        <v>2894</v>
      </c>
      <c r="B1103" s="6" t="s">
        <v>15</v>
      </c>
      <c r="C1103" s="38" t="s">
        <v>8484</v>
      </c>
      <c r="D1103" s="6">
        <v>2023</v>
      </c>
      <c r="E1103" s="6" t="s">
        <v>12</v>
      </c>
      <c r="F1103" s="6">
        <v>269</v>
      </c>
      <c r="G1103" s="40">
        <v>15</v>
      </c>
      <c r="H1103" s="40">
        <v>631.25993999999992</v>
      </c>
      <c r="I1103" s="212"/>
      <c r="J1103" s="212"/>
    </row>
    <row r="1104" spans="1:10" s="5" customFormat="1" ht="30" hidden="1" customHeight="1" outlineLevel="1" x14ac:dyDescent="0.25">
      <c r="A1104" s="4">
        <v>2298</v>
      </c>
      <c r="B1104" s="6" t="s">
        <v>15</v>
      </c>
      <c r="C1104" s="38" t="s">
        <v>8485</v>
      </c>
      <c r="D1104" s="6">
        <v>2023</v>
      </c>
      <c r="E1104" s="6" t="s">
        <v>12</v>
      </c>
      <c r="F1104" s="6">
        <v>94</v>
      </c>
      <c r="G1104" s="40">
        <v>3</v>
      </c>
      <c r="H1104" s="40">
        <v>303.97021000000001</v>
      </c>
      <c r="I1104" s="212"/>
      <c r="J1104" s="212"/>
    </row>
    <row r="1105" spans="1:10" s="5" customFormat="1" ht="30" hidden="1" customHeight="1" outlineLevel="1" x14ac:dyDescent="0.25">
      <c r="A1105" s="4">
        <v>2283</v>
      </c>
      <c r="B1105" s="6" t="s">
        <v>15</v>
      </c>
      <c r="C1105" s="38" t="s">
        <v>8486</v>
      </c>
      <c r="D1105" s="6">
        <v>2023</v>
      </c>
      <c r="E1105" s="6" t="s">
        <v>12</v>
      </c>
      <c r="F1105" s="6">
        <v>138</v>
      </c>
      <c r="G1105" s="40">
        <v>6</v>
      </c>
      <c r="H1105" s="40">
        <v>421.66505999999998</v>
      </c>
      <c r="I1105" s="212"/>
      <c r="J1105" s="212"/>
    </row>
    <row r="1106" spans="1:10" s="5" customFormat="1" ht="30" hidden="1" customHeight="1" outlineLevel="1" x14ac:dyDescent="0.25">
      <c r="A1106" s="4">
        <v>3320</v>
      </c>
      <c r="B1106" s="6" t="s">
        <v>15</v>
      </c>
      <c r="C1106" s="38" t="s">
        <v>8487</v>
      </c>
      <c r="D1106" s="6">
        <v>2023</v>
      </c>
      <c r="E1106" s="6" t="s">
        <v>12</v>
      </c>
      <c r="F1106" s="6">
        <v>282</v>
      </c>
      <c r="G1106" s="40">
        <v>8</v>
      </c>
      <c r="H1106" s="40">
        <v>672.73819000000003</v>
      </c>
      <c r="I1106" s="212"/>
      <c r="J1106" s="212"/>
    </row>
    <row r="1107" spans="1:10" s="5" customFormat="1" ht="30" hidden="1" customHeight="1" outlineLevel="1" x14ac:dyDescent="0.25">
      <c r="A1107" s="4">
        <v>2900</v>
      </c>
      <c r="B1107" s="6" t="s">
        <v>15</v>
      </c>
      <c r="C1107" s="38" t="s">
        <v>8488</v>
      </c>
      <c r="D1107" s="6">
        <v>2023</v>
      </c>
      <c r="E1107" s="6" t="s">
        <v>12</v>
      </c>
      <c r="F1107" s="6">
        <v>226</v>
      </c>
      <c r="G1107" s="40">
        <v>15</v>
      </c>
      <c r="H1107" s="40">
        <v>693.29395999999997</v>
      </c>
      <c r="I1107" s="212"/>
      <c r="J1107" s="212"/>
    </row>
    <row r="1108" spans="1:10" s="5" customFormat="1" ht="30" hidden="1" customHeight="1" outlineLevel="1" x14ac:dyDescent="0.25">
      <c r="A1108" s="4">
        <v>4262</v>
      </c>
      <c r="B1108" s="6" t="s">
        <v>15</v>
      </c>
      <c r="C1108" s="38" t="s">
        <v>8489</v>
      </c>
      <c r="D1108" s="6">
        <v>2023</v>
      </c>
      <c r="E1108" s="6" t="s">
        <v>12</v>
      </c>
      <c r="F1108" s="6">
        <v>223</v>
      </c>
      <c r="G1108" s="40">
        <v>15</v>
      </c>
      <c r="H1108" s="40">
        <v>642.80307000000005</v>
      </c>
      <c r="I1108" s="212"/>
      <c r="J1108" s="212"/>
    </row>
    <row r="1109" spans="1:10" s="5" customFormat="1" ht="30" hidden="1" customHeight="1" outlineLevel="1" x14ac:dyDescent="0.25">
      <c r="A1109" s="4">
        <v>4263</v>
      </c>
      <c r="B1109" s="6" t="s">
        <v>15</v>
      </c>
      <c r="C1109" s="38" t="s">
        <v>8490</v>
      </c>
      <c r="D1109" s="6">
        <v>2023</v>
      </c>
      <c r="E1109" s="6" t="s">
        <v>12</v>
      </c>
      <c r="F1109" s="6">
        <v>231</v>
      </c>
      <c r="G1109" s="40">
        <v>7.5</v>
      </c>
      <c r="H1109" s="40">
        <v>552.08406000000002</v>
      </c>
      <c r="I1109" s="212"/>
      <c r="J1109" s="212"/>
    </row>
    <row r="1110" spans="1:10" s="5" customFormat="1" ht="30" hidden="1" customHeight="1" outlineLevel="1" x14ac:dyDescent="0.25">
      <c r="A1110" s="4">
        <v>3331</v>
      </c>
      <c r="B1110" s="6" t="s">
        <v>15</v>
      </c>
      <c r="C1110" s="38" t="s">
        <v>8491</v>
      </c>
      <c r="D1110" s="6">
        <v>2023</v>
      </c>
      <c r="E1110" s="6" t="s">
        <v>12</v>
      </c>
      <c r="F1110" s="6">
        <v>90</v>
      </c>
      <c r="G1110" s="40">
        <v>3</v>
      </c>
      <c r="H1110" s="40">
        <v>135.21843999999999</v>
      </c>
      <c r="I1110" s="212"/>
      <c r="J1110" s="212"/>
    </row>
    <row r="1111" spans="1:10" s="5" customFormat="1" ht="30" hidden="1" customHeight="1" outlineLevel="1" x14ac:dyDescent="0.25">
      <c r="A1111" s="4">
        <v>2906</v>
      </c>
      <c r="B1111" s="6" t="s">
        <v>15</v>
      </c>
      <c r="C1111" s="38" t="s">
        <v>8492</v>
      </c>
      <c r="D1111" s="6">
        <v>2023</v>
      </c>
      <c r="E1111" s="6" t="s">
        <v>12</v>
      </c>
      <c r="F1111" s="6">
        <v>70</v>
      </c>
      <c r="G1111" s="40">
        <v>15</v>
      </c>
      <c r="H1111" s="40">
        <v>111.08471</v>
      </c>
      <c r="I1111" s="212"/>
      <c r="J1111" s="212"/>
    </row>
    <row r="1112" spans="1:10" s="5" customFormat="1" ht="30" hidden="1" customHeight="1" outlineLevel="1" x14ac:dyDescent="0.25">
      <c r="A1112" s="4">
        <v>2443</v>
      </c>
      <c r="B1112" s="6" t="s">
        <v>15</v>
      </c>
      <c r="C1112" s="38" t="s">
        <v>8493</v>
      </c>
      <c r="D1112" s="6">
        <v>2023</v>
      </c>
      <c r="E1112" s="6" t="s">
        <v>12</v>
      </c>
      <c r="F1112" s="6">
        <v>85</v>
      </c>
      <c r="G1112" s="40">
        <v>9</v>
      </c>
      <c r="H1112" s="40">
        <v>155.32262999999998</v>
      </c>
      <c r="I1112" s="212"/>
      <c r="J1112" s="212"/>
    </row>
    <row r="1113" spans="1:10" s="5" customFormat="1" ht="30" hidden="1" customHeight="1" outlineLevel="1" x14ac:dyDescent="0.25">
      <c r="A1113" s="4">
        <v>4247</v>
      </c>
      <c r="B1113" s="6" t="s">
        <v>15</v>
      </c>
      <c r="C1113" s="38" t="s">
        <v>8494</v>
      </c>
      <c r="D1113" s="6">
        <v>2023</v>
      </c>
      <c r="E1113" s="6" t="s">
        <v>12</v>
      </c>
      <c r="F1113" s="6">
        <v>140</v>
      </c>
      <c r="G1113" s="40">
        <v>15</v>
      </c>
      <c r="H1113" s="40">
        <v>203.29899</v>
      </c>
      <c r="I1113" s="212"/>
      <c r="J1113" s="212"/>
    </row>
    <row r="1114" spans="1:10" s="5" customFormat="1" ht="30" hidden="1" customHeight="1" outlineLevel="1" x14ac:dyDescent="0.25">
      <c r="A1114" s="4">
        <v>4246</v>
      </c>
      <c r="B1114" s="6" t="s">
        <v>15</v>
      </c>
      <c r="C1114" s="38" t="s">
        <v>8495</v>
      </c>
      <c r="D1114" s="6">
        <v>2023</v>
      </c>
      <c r="E1114" s="6" t="s">
        <v>12</v>
      </c>
      <c r="F1114" s="6">
        <v>140</v>
      </c>
      <c r="G1114" s="40">
        <v>15</v>
      </c>
      <c r="H1114" s="40">
        <v>190.68545</v>
      </c>
      <c r="I1114" s="212"/>
      <c r="J1114" s="212"/>
    </row>
    <row r="1115" spans="1:10" s="5" customFormat="1" ht="30" hidden="1" customHeight="1" outlineLevel="1" x14ac:dyDescent="0.25">
      <c r="A1115" s="4">
        <v>4245</v>
      </c>
      <c r="B1115" s="6" t="s">
        <v>15</v>
      </c>
      <c r="C1115" s="38" t="s">
        <v>8496</v>
      </c>
      <c r="D1115" s="6">
        <v>2023</v>
      </c>
      <c r="E1115" s="6" t="s">
        <v>12</v>
      </c>
      <c r="F1115" s="6">
        <v>200</v>
      </c>
      <c r="G1115" s="40">
        <v>15</v>
      </c>
      <c r="H1115" s="40">
        <v>295.59899999999999</v>
      </c>
      <c r="I1115" s="212"/>
      <c r="J1115" s="212"/>
    </row>
    <row r="1116" spans="1:10" s="5" customFormat="1" ht="30" hidden="1" customHeight="1" outlineLevel="1" x14ac:dyDescent="0.25">
      <c r="A1116" s="4">
        <v>3329</v>
      </c>
      <c r="B1116" s="6" t="s">
        <v>15</v>
      </c>
      <c r="C1116" s="38" t="s">
        <v>8497</v>
      </c>
      <c r="D1116" s="6">
        <v>2023</v>
      </c>
      <c r="E1116" s="6" t="s">
        <v>12</v>
      </c>
      <c r="F1116" s="6">
        <v>185</v>
      </c>
      <c r="G1116" s="40">
        <v>5</v>
      </c>
      <c r="H1116" s="40">
        <v>481.89630999999997</v>
      </c>
      <c r="I1116" s="212"/>
      <c r="J1116" s="212"/>
    </row>
    <row r="1117" spans="1:10" s="5" customFormat="1" ht="30" hidden="1" customHeight="1" outlineLevel="1" x14ac:dyDescent="0.25">
      <c r="A1117" s="4">
        <v>4264</v>
      </c>
      <c r="B1117" s="6" t="s">
        <v>15</v>
      </c>
      <c r="C1117" s="38" t="s">
        <v>8498</v>
      </c>
      <c r="D1117" s="6">
        <v>2023</v>
      </c>
      <c r="E1117" s="6" t="s">
        <v>12</v>
      </c>
      <c r="F1117" s="6">
        <v>307</v>
      </c>
      <c r="G1117" s="40">
        <v>50</v>
      </c>
      <c r="H1117" s="40">
        <v>688.88373000000001</v>
      </c>
      <c r="I1117" s="212"/>
      <c r="J1117" s="212"/>
    </row>
    <row r="1118" spans="1:10" s="5" customFormat="1" ht="30" hidden="1" customHeight="1" outlineLevel="1" x14ac:dyDescent="0.25">
      <c r="A1118" s="4">
        <v>4265</v>
      </c>
      <c r="B1118" s="6" t="s">
        <v>15</v>
      </c>
      <c r="C1118" s="38" t="s">
        <v>8499</v>
      </c>
      <c r="D1118" s="6">
        <v>2023</v>
      </c>
      <c r="E1118" s="6" t="s">
        <v>12</v>
      </c>
      <c r="F1118" s="6">
        <v>260</v>
      </c>
      <c r="G1118" s="40">
        <v>10</v>
      </c>
      <c r="H1118" s="40">
        <v>692.55915999999991</v>
      </c>
      <c r="I1118" s="212"/>
      <c r="J1118" s="212"/>
    </row>
    <row r="1119" spans="1:10" s="5" customFormat="1" ht="30" hidden="1" customHeight="1" outlineLevel="1" x14ac:dyDescent="0.25">
      <c r="A1119" s="4">
        <v>4266</v>
      </c>
      <c r="B1119" s="6" t="s">
        <v>15</v>
      </c>
      <c r="C1119" s="38" t="s">
        <v>8500</v>
      </c>
      <c r="D1119" s="6">
        <v>2023</v>
      </c>
      <c r="E1119" s="6" t="s">
        <v>12</v>
      </c>
      <c r="F1119" s="6">
        <v>258</v>
      </c>
      <c r="G1119" s="40">
        <v>5</v>
      </c>
      <c r="H1119" s="40">
        <v>680.65776000000005</v>
      </c>
      <c r="I1119" s="212"/>
      <c r="J1119" s="212"/>
    </row>
    <row r="1120" spans="1:10" s="5" customFormat="1" ht="30" hidden="1" customHeight="1" outlineLevel="1" x14ac:dyDescent="0.25">
      <c r="A1120" s="4">
        <v>5015</v>
      </c>
      <c r="B1120" s="6" t="s">
        <v>15</v>
      </c>
      <c r="C1120" s="38" t="s">
        <v>8501</v>
      </c>
      <c r="D1120" s="6">
        <v>2023</v>
      </c>
      <c r="E1120" s="6" t="s">
        <v>12</v>
      </c>
      <c r="F1120" s="6">
        <v>213</v>
      </c>
      <c r="G1120" s="40">
        <v>30</v>
      </c>
      <c r="H1120" s="40">
        <v>296.99782000000005</v>
      </c>
      <c r="I1120" s="212"/>
      <c r="J1120" s="212"/>
    </row>
    <row r="1121" spans="1:10" s="5" customFormat="1" ht="30" hidden="1" customHeight="1" outlineLevel="1" x14ac:dyDescent="0.25">
      <c r="A1121" s="4">
        <v>5016</v>
      </c>
      <c r="B1121" s="6" t="s">
        <v>15</v>
      </c>
      <c r="C1121" s="38" t="s">
        <v>8502</v>
      </c>
      <c r="D1121" s="6">
        <v>2023</v>
      </c>
      <c r="E1121" s="6" t="s">
        <v>12</v>
      </c>
      <c r="F1121" s="6">
        <v>13</v>
      </c>
      <c r="G1121" s="40">
        <v>5</v>
      </c>
      <c r="H1121" s="40">
        <v>143.56915000000001</v>
      </c>
      <c r="I1121" s="212"/>
      <c r="J1121" s="212"/>
    </row>
    <row r="1122" spans="1:10" s="5" customFormat="1" ht="30" hidden="1" customHeight="1" outlineLevel="1" x14ac:dyDescent="0.25">
      <c r="A1122" s="4">
        <v>5017</v>
      </c>
      <c r="B1122" s="6" t="s">
        <v>15</v>
      </c>
      <c r="C1122" s="38" t="s">
        <v>8503</v>
      </c>
      <c r="D1122" s="6">
        <v>2023</v>
      </c>
      <c r="E1122" s="6" t="s">
        <v>12</v>
      </c>
      <c r="F1122" s="6">
        <v>96</v>
      </c>
      <c r="G1122" s="40">
        <v>30</v>
      </c>
      <c r="H1122" s="40">
        <v>195.91721000000001</v>
      </c>
      <c r="I1122" s="212"/>
      <c r="J1122" s="212"/>
    </row>
    <row r="1123" spans="1:10" s="5" customFormat="1" ht="30" hidden="1" customHeight="1" outlineLevel="1" x14ac:dyDescent="0.25">
      <c r="A1123" s="4">
        <v>5019</v>
      </c>
      <c r="B1123" s="6" t="s">
        <v>15</v>
      </c>
      <c r="C1123" s="38" t="s">
        <v>8504</v>
      </c>
      <c r="D1123" s="6">
        <v>2023</v>
      </c>
      <c r="E1123" s="6" t="s">
        <v>12</v>
      </c>
      <c r="F1123" s="6">
        <v>31</v>
      </c>
      <c r="G1123" s="40">
        <v>20</v>
      </c>
      <c r="H1123" s="40">
        <v>81.753679999999989</v>
      </c>
      <c r="I1123" s="212"/>
      <c r="J1123" s="212"/>
    </row>
    <row r="1124" spans="1:10" s="5" customFormat="1" ht="30" hidden="1" customHeight="1" outlineLevel="1" x14ac:dyDescent="0.25">
      <c r="A1124" s="4">
        <v>5020</v>
      </c>
      <c r="B1124" s="6" t="s">
        <v>15</v>
      </c>
      <c r="C1124" s="38" t="s">
        <v>8505</v>
      </c>
      <c r="D1124" s="6">
        <v>2023</v>
      </c>
      <c r="E1124" s="6" t="s">
        <v>12</v>
      </c>
      <c r="F1124" s="6">
        <v>284</v>
      </c>
      <c r="G1124" s="40">
        <v>12</v>
      </c>
      <c r="H1124" s="40">
        <v>276.81993</v>
      </c>
      <c r="I1124" s="212"/>
      <c r="J1124" s="212"/>
    </row>
    <row r="1125" spans="1:10" s="5" customFormat="1" ht="30" hidden="1" customHeight="1" outlineLevel="1" x14ac:dyDescent="0.25">
      <c r="A1125" s="4">
        <v>4007</v>
      </c>
      <c r="B1125" s="6" t="s">
        <v>15</v>
      </c>
      <c r="C1125" s="38" t="s">
        <v>8506</v>
      </c>
      <c r="D1125" s="6">
        <v>2023</v>
      </c>
      <c r="E1125" s="6" t="s">
        <v>12</v>
      </c>
      <c r="F1125" s="6">
        <v>5</v>
      </c>
      <c r="G1125" s="40">
        <v>15</v>
      </c>
      <c r="H1125" s="40">
        <v>142.79348999999999</v>
      </c>
      <c r="I1125" s="212"/>
      <c r="J1125" s="212"/>
    </row>
    <row r="1126" spans="1:10" s="5" customFormat="1" ht="30" hidden="1" customHeight="1" outlineLevel="1" x14ac:dyDescent="0.25">
      <c r="A1126" s="4">
        <v>128</v>
      </c>
      <c r="B1126" s="6" t="s">
        <v>15</v>
      </c>
      <c r="C1126" s="38" t="s">
        <v>8507</v>
      </c>
      <c r="D1126" s="6">
        <v>2023</v>
      </c>
      <c r="E1126" s="6" t="s">
        <v>12</v>
      </c>
      <c r="F1126" s="6">
        <v>62</v>
      </c>
      <c r="G1126" s="40">
        <v>15</v>
      </c>
      <c r="H1126" s="40">
        <v>211.74661</v>
      </c>
      <c r="I1126" s="212"/>
      <c r="J1126" s="212"/>
    </row>
    <row r="1127" spans="1:10" s="5" customFormat="1" ht="30" hidden="1" customHeight="1" outlineLevel="1" x14ac:dyDescent="0.25">
      <c r="A1127" s="4">
        <v>3998</v>
      </c>
      <c r="B1127" s="6" t="s">
        <v>15</v>
      </c>
      <c r="C1127" s="38" t="s">
        <v>8508</v>
      </c>
      <c r="D1127" s="6">
        <v>2023</v>
      </c>
      <c r="E1127" s="6" t="s">
        <v>12</v>
      </c>
      <c r="F1127" s="6">
        <v>108</v>
      </c>
      <c r="G1127" s="40">
        <v>15</v>
      </c>
      <c r="H1127" s="40">
        <v>152.20992000000001</v>
      </c>
      <c r="I1127" s="212"/>
      <c r="J1127" s="212"/>
    </row>
    <row r="1128" spans="1:10" s="5" customFormat="1" ht="30" hidden="1" customHeight="1" outlineLevel="1" x14ac:dyDescent="0.25">
      <c r="A1128" s="4">
        <v>311</v>
      </c>
      <c r="B1128" s="6" t="s">
        <v>15</v>
      </c>
      <c r="C1128" s="38" t="s">
        <v>8509</v>
      </c>
      <c r="D1128" s="6">
        <v>2023</v>
      </c>
      <c r="E1128" s="6" t="s">
        <v>12</v>
      </c>
      <c r="F1128" s="6">
        <v>112</v>
      </c>
      <c r="G1128" s="40">
        <v>10</v>
      </c>
      <c r="H1128" s="40">
        <v>110.73649</v>
      </c>
      <c r="I1128" s="212"/>
      <c r="J1128" s="212"/>
    </row>
    <row r="1129" spans="1:10" s="5" customFormat="1" ht="30" hidden="1" customHeight="1" outlineLevel="1" x14ac:dyDescent="0.25">
      <c r="A1129" s="4">
        <v>3988</v>
      </c>
      <c r="B1129" s="6" t="s">
        <v>15</v>
      </c>
      <c r="C1129" s="38" t="s">
        <v>8510</v>
      </c>
      <c r="D1129" s="6">
        <v>2023</v>
      </c>
      <c r="E1129" s="6" t="s">
        <v>12</v>
      </c>
      <c r="F1129" s="6">
        <v>110</v>
      </c>
      <c r="G1129" s="40">
        <v>15</v>
      </c>
      <c r="H1129" s="40">
        <v>192.24799000000002</v>
      </c>
      <c r="I1129" s="212"/>
      <c r="J1129" s="212"/>
    </row>
    <row r="1130" spans="1:10" s="5" customFormat="1" ht="30" hidden="1" customHeight="1" outlineLevel="1" x14ac:dyDescent="0.25">
      <c r="A1130" s="4">
        <v>3396</v>
      </c>
      <c r="B1130" s="6" t="s">
        <v>15</v>
      </c>
      <c r="C1130" s="38" t="s">
        <v>8511</v>
      </c>
      <c r="D1130" s="6">
        <v>2023</v>
      </c>
      <c r="E1130" s="6" t="s">
        <v>12</v>
      </c>
      <c r="F1130" s="6">
        <v>110</v>
      </c>
      <c r="G1130" s="40">
        <v>100</v>
      </c>
      <c r="H1130" s="40">
        <v>128.23364000000001</v>
      </c>
      <c r="I1130" s="212"/>
      <c r="J1130" s="212"/>
    </row>
    <row r="1131" spans="1:10" s="5" customFormat="1" ht="30" hidden="1" customHeight="1" outlineLevel="1" x14ac:dyDescent="0.25">
      <c r="A1131" s="4">
        <v>3987</v>
      </c>
      <c r="B1131" s="6" t="s">
        <v>15</v>
      </c>
      <c r="C1131" s="38" t="s">
        <v>8512</v>
      </c>
      <c r="D1131" s="6">
        <v>2023</v>
      </c>
      <c r="E1131" s="6" t="s">
        <v>12</v>
      </c>
      <c r="F1131" s="6">
        <v>23</v>
      </c>
      <c r="G1131" s="40">
        <v>11</v>
      </c>
      <c r="H1131" s="40">
        <v>61.978949999999998</v>
      </c>
      <c r="I1131" s="212"/>
      <c r="J1131" s="212"/>
    </row>
    <row r="1132" spans="1:10" s="5" customFormat="1" ht="30" hidden="1" customHeight="1" outlineLevel="1" x14ac:dyDescent="0.25">
      <c r="A1132" s="4">
        <v>3986</v>
      </c>
      <c r="B1132" s="6" t="s">
        <v>15</v>
      </c>
      <c r="C1132" s="38" t="s">
        <v>8513</v>
      </c>
      <c r="D1132" s="6">
        <v>2023</v>
      </c>
      <c r="E1132" s="6" t="s">
        <v>12</v>
      </c>
      <c r="F1132" s="6">
        <v>42</v>
      </c>
      <c r="G1132" s="40">
        <v>15</v>
      </c>
      <c r="H1132" s="40">
        <v>70.402829999999994</v>
      </c>
      <c r="I1132" s="212"/>
      <c r="J1132" s="212"/>
    </row>
    <row r="1133" spans="1:10" s="5" customFormat="1" ht="30" hidden="1" customHeight="1" outlineLevel="1" x14ac:dyDescent="0.25">
      <c r="A1133" s="4">
        <v>3982</v>
      </c>
      <c r="B1133" s="6" t="s">
        <v>15</v>
      </c>
      <c r="C1133" s="38" t="s">
        <v>8514</v>
      </c>
      <c r="D1133" s="6">
        <v>2023</v>
      </c>
      <c r="E1133" s="6" t="s">
        <v>12</v>
      </c>
      <c r="F1133" s="6">
        <v>22</v>
      </c>
      <c r="G1133" s="40">
        <v>10</v>
      </c>
      <c r="H1133" s="40">
        <v>100.86992000000001</v>
      </c>
      <c r="I1133" s="212"/>
      <c r="J1133" s="212"/>
    </row>
    <row r="1134" spans="1:10" s="5" customFormat="1" ht="30" hidden="1" customHeight="1" outlineLevel="1" x14ac:dyDescent="0.25">
      <c r="A1134" s="4">
        <v>5035</v>
      </c>
      <c r="B1134" s="6" t="s">
        <v>15</v>
      </c>
      <c r="C1134" s="38" t="s">
        <v>8515</v>
      </c>
      <c r="D1134" s="6">
        <v>2023</v>
      </c>
      <c r="E1134" s="6" t="s">
        <v>12</v>
      </c>
      <c r="F1134" s="6">
        <v>51</v>
      </c>
      <c r="G1134" s="40">
        <v>15</v>
      </c>
      <c r="H1134" s="40">
        <v>56.940449999999998</v>
      </c>
      <c r="I1134" s="212"/>
      <c r="J1134" s="212"/>
    </row>
    <row r="1135" spans="1:10" s="5" customFormat="1" ht="30" hidden="1" customHeight="1" outlineLevel="1" x14ac:dyDescent="0.25">
      <c r="A1135" s="4">
        <v>1122</v>
      </c>
      <c r="B1135" s="6" t="s">
        <v>15</v>
      </c>
      <c r="C1135" s="38" t="s">
        <v>8516</v>
      </c>
      <c r="D1135" s="6">
        <v>2023</v>
      </c>
      <c r="E1135" s="6" t="s">
        <v>12</v>
      </c>
      <c r="F1135" s="6">
        <v>42</v>
      </c>
      <c r="G1135" s="40">
        <v>20</v>
      </c>
      <c r="H1135" s="40">
        <v>71.831779999999995</v>
      </c>
      <c r="I1135" s="212"/>
      <c r="J1135" s="212"/>
    </row>
    <row r="1136" spans="1:10" s="5" customFormat="1" ht="30" hidden="1" customHeight="1" outlineLevel="1" x14ac:dyDescent="0.25">
      <c r="A1136" s="4">
        <v>488</v>
      </c>
      <c r="B1136" s="6" t="s">
        <v>15</v>
      </c>
      <c r="C1136" s="38" t="s">
        <v>8517</v>
      </c>
      <c r="D1136" s="6">
        <v>2023</v>
      </c>
      <c r="E1136" s="6" t="s">
        <v>12</v>
      </c>
      <c r="F1136" s="6">
        <v>21</v>
      </c>
      <c r="G1136" s="40">
        <v>45</v>
      </c>
      <c r="H1136" s="40">
        <v>47.31129</v>
      </c>
      <c r="I1136" s="212"/>
      <c r="J1136" s="212"/>
    </row>
    <row r="1137" spans="1:10" s="5" customFormat="1" ht="30" hidden="1" customHeight="1" outlineLevel="1" x14ac:dyDescent="0.25">
      <c r="A1137" s="4">
        <v>5036</v>
      </c>
      <c r="B1137" s="6" t="s">
        <v>15</v>
      </c>
      <c r="C1137" s="38" t="s">
        <v>8518</v>
      </c>
      <c r="D1137" s="6">
        <v>2023</v>
      </c>
      <c r="E1137" s="6" t="s">
        <v>12</v>
      </c>
      <c r="F1137" s="6">
        <v>83</v>
      </c>
      <c r="G1137" s="40">
        <v>15</v>
      </c>
      <c r="H1137" s="40">
        <v>147.19682</v>
      </c>
      <c r="I1137" s="212"/>
      <c r="J1137" s="212"/>
    </row>
    <row r="1138" spans="1:10" s="5" customFormat="1" ht="30" hidden="1" customHeight="1" outlineLevel="1" x14ac:dyDescent="0.25">
      <c r="A1138" s="4">
        <v>3956</v>
      </c>
      <c r="B1138" s="6" t="s">
        <v>15</v>
      </c>
      <c r="C1138" s="38" t="s">
        <v>8519</v>
      </c>
      <c r="D1138" s="6">
        <v>2023</v>
      </c>
      <c r="E1138" s="6" t="s">
        <v>12</v>
      </c>
      <c r="F1138" s="6">
        <v>108</v>
      </c>
      <c r="G1138" s="40">
        <v>23</v>
      </c>
      <c r="H1138" s="40">
        <v>123.43687</v>
      </c>
      <c r="I1138" s="212"/>
      <c r="J1138" s="212"/>
    </row>
    <row r="1139" spans="1:10" s="5" customFormat="1" ht="30" hidden="1" customHeight="1" outlineLevel="1" x14ac:dyDescent="0.25">
      <c r="A1139" s="4">
        <v>3955</v>
      </c>
      <c r="B1139" s="6" t="s">
        <v>15</v>
      </c>
      <c r="C1139" s="38" t="s">
        <v>8520</v>
      </c>
      <c r="D1139" s="6">
        <v>2023</v>
      </c>
      <c r="E1139" s="6" t="s">
        <v>12</v>
      </c>
      <c r="F1139" s="6">
        <v>84</v>
      </c>
      <c r="G1139" s="40">
        <v>15</v>
      </c>
      <c r="H1139" s="40">
        <v>81.709630000000004</v>
      </c>
      <c r="I1139" s="212"/>
      <c r="J1139" s="212"/>
    </row>
    <row r="1140" spans="1:10" s="5" customFormat="1" ht="30" hidden="1" customHeight="1" outlineLevel="1" x14ac:dyDescent="0.25">
      <c r="A1140" s="4">
        <v>404</v>
      </c>
      <c r="B1140" s="6" t="s">
        <v>15</v>
      </c>
      <c r="C1140" s="38" t="s">
        <v>8521</v>
      </c>
      <c r="D1140" s="6">
        <v>2023</v>
      </c>
      <c r="E1140" s="6" t="s">
        <v>12</v>
      </c>
      <c r="F1140" s="6">
        <v>73</v>
      </c>
      <c r="G1140" s="40">
        <v>30</v>
      </c>
      <c r="H1140" s="40">
        <v>80.888000000000005</v>
      </c>
      <c r="I1140" s="212"/>
      <c r="J1140" s="212"/>
    </row>
    <row r="1141" spans="1:10" s="5" customFormat="1" ht="30" hidden="1" customHeight="1" outlineLevel="1" x14ac:dyDescent="0.25">
      <c r="A1141" s="4">
        <v>3939</v>
      </c>
      <c r="B1141" s="6" t="s">
        <v>15</v>
      </c>
      <c r="C1141" s="38" t="s">
        <v>8522</v>
      </c>
      <c r="D1141" s="6">
        <v>2023</v>
      </c>
      <c r="E1141" s="6" t="s">
        <v>12</v>
      </c>
      <c r="F1141" s="6">
        <v>55</v>
      </c>
      <c r="G1141" s="40">
        <v>15</v>
      </c>
      <c r="H1141" s="40">
        <v>77.168000000000006</v>
      </c>
      <c r="I1141" s="212"/>
      <c r="J1141" s="212"/>
    </row>
    <row r="1142" spans="1:10" s="5" customFormat="1" ht="30" hidden="1" customHeight="1" outlineLevel="1" x14ac:dyDescent="0.25">
      <c r="A1142" s="4">
        <v>5043</v>
      </c>
      <c r="B1142" s="6" t="s">
        <v>15</v>
      </c>
      <c r="C1142" s="38" t="s">
        <v>8523</v>
      </c>
      <c r="D1142" s="6">
        <v>2023</v>
      </c>
      <c r="E1142" s="6" t="s">
        <v>12</v>
      </c>
      <c r="F1142" s="6">
        <v>343</v>
      </c>
      <c r="G1142" s="40">
        <v>0.1</v>
      </c>
      <c r="H1142" s="40">
        <v>257.63081</v>
      </c>
      <c r="I1142" s="212"/>
      <c r="J1142" s="212"/>
    </row>
    <row r="1143" spans="1:10" s="5" customFormat="1" ht="30" hidden="1" customHeight="1" outlineLevel="1" x14ac:dyDescent="0.25">
      <c r="A1143" s="4">
        <v>3379</v>
      </c>
      <c r="B1143" s="6" t="s">
        <v>15</v>
      </c>
      <c r="C1143" s="38" t="s">
        <v>8524</v>
      </c>
      <c r="D1143" s="6">
        <v>2023</v>
      </c>
      <c r="E1143" s="6" t="s">
        <v>12</v>
      </c>
      <c r="F1143" s="6">
        <v>152</v>
      </c>
      <c r="G1143" s="40">
        <v>50</v>
      </c>
      <c r="H1143" s="40">
        <v>166.60526999999999</v>
      </c>
      <c r="I1143" s="212"/>
      <c r="J1143" s="212"/>
    </row>
    <row r="1144" spans="1:10" s="5" customFormat="1" ht="30" hidden="1" customHeight="1" outlineLevel="1" x14ac:dyDescent="0.25">
      <c r="A1144" s="4">
        <v>3927</v>
      </c>
      <c r="B1144" s="6" t="s">
        <v>15</v>
      </c>
      <c r="C1144" s="38" t="s">
        <v>8525</v>
      </c>
      <c r="D1144" s="6">
        <v>2023</v>
      </c>
      <c r="E1144" s="6" t="s">
        <v>12</v>
      </c>
      <c r="F1144" s="6">
        <v>26</v>
      </c>
      <c r="G1144" s="40">
        <v>15</v>
      </c>
      <c r="H1144" s="40">
        <v>53.46208</v>
      </c>
      <c r="I1144" s="212"/>
      <c r="J1144" s="212"/>
    </row>
    <row r="1145" spans="1:10" s="5" customFormat="1" ht="30" hidden="1" customHeight="1" outlineLevel="1" x14ac:dyDescent="0.25">
      <c r="A1145" s="4">
        <v>3959</v>
      </c>
      <c r="B1145" s="6" t="s">
        <v>15</v>
      </c>
      <c r="C1145" s="38" t="s">
        <v>8526</v>
      </c>
      <c r="D1145" s="6">
        <v>2023</v>
      </c>
      <c r="E1145" s="6" t="s">
        <v>12</v>
      </c>
      <c r="F1145" s="6">
        <v>113</v>
      </c>
      <c r="G1145" s="40">
        <v>25</v>
      </c>
      <c r="H1145" s="40">
        <v>118.91159</v>
      </c>
      <c r="I1145" s="212"/>
      <c r="J1145" s="212"/>
    </row>
    <row r="1146" spans="1:10" s="5" customFormat="1" ht="30" hidden="1" customHeight="1" outlineLevel="1" x14ac:dyDescent="0.25">
      <c r="A1146" s="4">
        <v>3958</v>
      </c>
      <c r="B1146" s="6" t="s">
        <v>15</v>
      </c>
      <c r="C1146" s="38" t="s">
        <v>8527</v>
      </c>
      <c r="D1146" s="6">
        <v>2023</v>
      </c>
      <c r="E1146" s="6" t="s">
        <v>12</v>
      </c>
      <c r="F1146" s="6">
        <v>204</v>
      </c>
      <c r="G1146" s="40">
        <v>105</v>
      </c>
      <c r="H1146" s="40">
        <v>177.29752999999999</v>
      </c>
      <c r="I1146" s="212"/>
      <c r="J1146" s="212"/>
    </row>
    <row r="1147" spans="1:10" s="5" customFormat="1" ht="30" hidden="1" customHeight="1" outlineLevel="1" x14ac:dyDescent="0.25">
      <c r="A1147" s="4">
        <v>3389</v>
      </c>
      <c r="B1147" s="6" t="s">
        <v>15</v>
      </c>
      <c r="C1147" s="38" t="s">
        <v>8528</v>
      </c>
      <c r="D1147" s="6">
        <v>2023</v>
      </c>
      <c r="E1147" s="6" t="s">
        <v>12</v>
      </c>
      <c r="F1147" s="6">
        <v>87</v>
      </c>
      <c r="G1147" s="40">
        <v>55</v>
      </c>
      <c r="H1147" s="40">
        <v>135.45170000000002</v>
      </c>
      <c r="I1147" s="212"/>
      <c r="J1147" s="212"/>
    </row>
    <row r="1148" spans="1:10" s="5" customFormat="1" ht="30" hidden="1" customHeight="1" outlineLevel="1" x14ac:dyDescent="0.25">
      <c r="A1148" s="4">
        <v>428</v>
      </c>
      <c r="B1148" s="6" t="s">
        <v>15</v>
      </c>
      <c r="C1148" s="38" t="s">
        <v>8529</v>
      </c>
      <c r="D1148" s="6">
        <v>2023</v>
      </c>
      <c r="E1148" s="6" t="s">
        <v>12</v>
      </c>
      <c r="F1148" s="6">
        <v>60</v>
      </c>
      <c r="G1148" s="40">
        <v>10</v>
      </c>
      <c r="H1148" s="40">
        <v>75.646320000000003</v>
      </c>
      <c r="I1148" s="212"/>
      <c r="J1148" s="212"/>
    </row>
    <row r="1149" spans="1:10" s="5" customFormat="1" ht="30" hidden="1" customHeight="1" outlineLevel="1" x14ac:dyDescent="0.25">
      <c r="A1149" s="4">
        <v>3946</v>
      </c>
      <c r="B1149" s="6" t="s">
        <v>15</v>
      </c>
      <c r="C1149" s="38" t="s">
        <v>8530</v>
      </c>
      <c r="D1149" s="6">
        <v>2023</v>
      </c>
      <c r="E1149" s="6" t="s">
        <v>12</v>
      </c>
      <c r="F1149" s="6">
        <v>54</v>
      </c>
      <c r="G1149" s="40">
        <v>15</v>
      </c>
      <c r="H1149" s="40">
        <v>67.313940000000002</v>
      </c>
      <c r="I1149" s="212"/>
      <c r="J1149" s="212"/>
    </row>
    <row r="1150" spans="1:10" s="5" customFormat="1" ht="30" hidden="1" customHeight="1" outlineLevel="1" x14ac:dyDescent="0.25">
      <c r="A1150" s="4">
        <v>466</v>
      </c>
      <c r="B1150" s="6" t="s">
        <v>15</v>
      </c>
      <c r="C1150" s="38" t="s">
        <v>8531</v>
      </c>
      <c r="D1150" s="6">
        <v>2023</v>
      </c>
      <c r="E1150" s="6" t="s">
        <v>12</v>
      </c>
      <c r="F1150" s="6">
        <v>39</v>
      </c>
      <c r="G1150" s="40">
        <v>15</v>
      </c>
      <c r="H1150" s="40">
        <v>72.075659999999999</v>
      </c>
      <c r="I1150" s="212"/>
      <c r="J1150" s="212"/>
    </row>
    <row r="1151" spans="1:10" s="5" customFormat="1" ht="30" hidden="1" customHeight="1" outlineLevel="1" x14ac:dyDescent="0.25">
      <c r="A1151" s="4">
        <v>4008</v>
      </c>
      <c r="B1151" s="6" t="s">
        <v>15</v>
      </c>
      <c r="C1151" s="38" t="s">
        <v>8532</v>
      </c>
      <c r="D1151" s="6">
        <v>2023</v>
      </c>
      <c r="E1151" s="6" t="s">
        <v>12</v>
      </c>
      <c r="F1151" s="6">
        <v>71</v>
      </c>
      <c r="G1151" s="40">
        <v>30</v>
      </c>
      <c r="H1151" s="40">
        <v>81.557379999999995</v>
      </c>
      <c r="I1151" s="212"/>
      <c r="J1151" s="212"/>
    </row>
    <row r="1152" spans="1:10" s="5" customFormat="1" ht="30" hidden="1" customHeight="1" outlineLevel="1" x14ac:dyDescent="0.25">
      <c r="A1152" s="4">
        <v>3919</v>
      </c>
      <c r="B1152" s="6" t="s">
        <v>15</v>
      </c>
      <c r="C1152" s="38" t="s">
        <v>8533</v>
      </c>
      <c r="D1152" s="6">
        <v>2023</v>
      </c>
      <c r="E1152" s="6" t="s">
        <v>12</v>
      </c>
      <c r="F1152" s="6">
        <v>46</v>
      </c>
      <c r="G1152" s="40">
        <v>15</v>
      </c>
      <c r="H1152" s="40">
        <v>72.7928</v>
      </c>
      <c r="I1152" s="212"/>
      <c r="J1152" s="212"/>
    </row>
    <row r="1153" spans="1:10" s="5" customFormat="1" ht="30" hidden="1" customHeight="1" outlineLevel="1" x14ac:dyDescent="0.25">
      <c r="A1153" s="4">
        <v>3877</v>
      </c>
      <c r="B1153" s="6" t="s">
        <v>15</v>
      </c>
      <c r="C1153" s="38" t="s">
        <v>8534</v>
      </c>
      <c r="D1153" s="6">
        <v>2023</v>
      </c>
      <c r="E1153" s="6" t="s">
        <v>12</v>
      </c>
      <c r="F1153" s="6">
        <v>160</v>
      </c>
      <c r="G1153" s="40">
        <v>15</v>
      </c>
      <c r="H1153" s="40">
        <v>80.757540000000006</v>
      </c>
      <c r="I1153" s="212"/>
      <c r="J1153" s="212"/>
    </row>
    <row r="1154" spans="1:10" s="5" customFormat="1" ht="30" hidden="1" customHeight="1" outlineLevel="1" x14ac:dyDescent="0.25">
      <c r="A1154" s="4">
        <v>3952</v>
      </c>
      <c r="B1154" s="6" t="s">
        <v>15</v>
      </c>
      <c r="C1154" s="38" t="s">
        <v>8535</v>
      </c>
      <c r="D1154" s="6">
        <v>2023</v>
      </c>
      <c r="E1154" s="6" t="s">
        <v>12</v>
      </c>
      <c r="F1154" s="6">
        <v>42</v>
      </c>
      <c r="G1154" s="40">
        <v>45</v>
      </c>
      <c r="H1154" s="40">
        <v>85.43101999999999</v>
      </c>
      <c r="I1154" s="212"/>
      <c r="J1154" s="212"/>
    </row>
    <row r="1155" spans="1:10" s="5" customFormat="1" ht="30" hidden="1" customHeight="1" outlineLevel="1" x14ac:dyDescent="0.25">
      <c r="A1155" s="4">
        <v>3388</v>
      </c>
      <c r="B1155" s="6" t="s">
        <v>15</v>
      </c>
      <c r="C1155" s="38" t="s">
        <v>8536</v>
      </c>
      <c r="D1155" s="6">
        <v>2023</v>
      </c>
      <c r="E1155" s="6" t="s">
        <v>12</v>
      </c>
      <c r="F1155" s="6">
        <v>46</v>
      </c>
      <c r="G1155" s="40">
        <v>30</v>
      </c>
      <c r="H1155" s="40">
        <v>74.986289999999997</v>
      </c>
      <c r="I1155" s="212"/>
      <c r="J1155" s="212"/>
    </row>
    <row r="1156" spans="1:10" s="5" customFormat="1" ht="30" hidden="1" customHeight="1" outlineLevel="1" x14ac:dyDescent="0.25">
      <c r="A1156" s="4">
        <v>3948</v>
      </c>
      <c r="B1156" s="6" t="s">
        <v>15</v>
      </c>
      <c r="C1156" s="38" t="s">
        <v>8537</v>
      </c>
      <c r="D1156" s="6">
        <v>2023</v>
      </c>
      <c r="E1156" s="6" t="s">
        <v>12</v>
      </c>
      <c r="F1156" s="6">
        <v>76</v>
      </c>
      <c r="G1156" s="40">
        <v>30</v>
      </c>
      <c r="H1156" s="40">
        <v>93.735309999999998</v>
      </c>
      <c r="I1156" s="212"/>
      <c r="J1156" s="212"/>
    </row>
    <row r="1157" spans="1:10" s="5" customFormat="1" ht="30" hidden="1" customHeight="1" outlineLevel="1" x14ac:dyDescent="0.25">
      <c r="A1157" s="4">
        <v>3949</v>
      </c>
      <c r="B1157" s="6" t="s">
        <v>15</v>
      </c>
      <c r="C1157" s="38" t="s">
        <v>8538</v>
      </c>
      <c r="D1157" s="6">
        <v>2023</v>
      </c>
      <c r="E1157" s="6" t="s">
        <v>12</v>
      </c>
      <c r="F1157" s="6">
        <v>17</v>
      </c>
      <c r="G1157" s="40">
        <v>45</v>
      </c>
      <c r="H1157" s="40">
        <v>54.406680000000001</v>
      </c>
      <c r="I1157" s="212"/>
      <c r="J1157" s="212"/>
    </row>
    <row r="1158" spans="1:10" s="5" customFormat="1" ht="30" hidden="1" customHeight="1" outlineLevel="1" x14ac:dyDescent="0.25">
      <c r="A1158" s="4">
        <v>3928</v>
      </c>
      <c r="B1158" s="6" t="s">
        <v>15</v>
      </c>
      <c r="C1158" s="38" t="s">
        <v>8539</v>
      </c>
      <c r="D1158" s="6">
        <v>2023</v>
      </c>
      <c r="E1158" s="6" t="s">
        <v>12</v>
      </c>
      <c r="F1158" s="6">
        <v>53</v>
      </c>
      <c r="G1158" s="40">
        <v>45</v>
      </c>
      <c r="H1158" s="40">
        <v>82.69211</v>
      </c>
      <c r="I1158" s="212"/>
      <c r="J1158" s="212"/>
    </row>
    <row r="1159" spans="1:10" s="5" customFormat="1" ht="30" hidden="1" customHeight="1" outlineLevel="1" x14ac:dyDescent="0.25">
      <c r="A1159" s="4">
        <v>882</v>
      </c>
      <c r="B1159" s="6" t="s">
        <v>15</v>
      </c>
      <c r="C1159" s="38" t="s">
        <v>8540</v>
      </c>
      <c r="D1159" s="6">
        <v>2023</v>
      </c>
      <c r="E1159" s="6" t="s">
        <v>12</v>
      </c>
      <c r="F1159" s="6">
        <v>59</v>
      </c>
      <c r="G1159" s="40">
        <v>60</v>
      </c>
      <c r="H1159" s="40">
        <v>121.65558</v>
      </c>
      <c r="I1159" s="212"/>
      <c r="J1159" s="212"/>
    </row>
    <row r="1160" spans="1:10" s="5" customFormat="1" ht="30" hidden="1" customHeight="1" outlineLevel="1" x14ac:dyDescent="0.25">
      <c r="A1160" s="4">
        <v>3381</v>
      </c>
      <c r="B1160" s="6" t="s">
        <v>15</v>
      </c>
      <c r="C1160" s="38" t="s">
        <v>8541</v>
      </c>
      <c r="D1160" s="6">
        <v>2023</v>
      </c>
      <c r="E1160" s="6" t="s">
        <v>12</v>
      </c>
      <c r="F1160" s="6">
        <v>133</v>
      </c>
      <c r="G1160" s="40">
        <v>20</v>
      </c>
      <c r="H1160" s="40">
        <v>152.75341</v>
      </c>
      <c r="I1160" s="212"/>
      <c r="J1160" s="212"/>
    </row>
    <row r="1161" spans="1:10" s="5" customFormat="1" ht="30" hidden="1" customHeight="1" outlineLevel="1" x14ac:dyDescent="0.25">
      <c r="A1161" s="4">
        <v>3819</v>
      </c>
      <c r="B1161" s="6" t="s">
        <v>15</v>
      </c>
      <c r="C1161" s="38" t="s">
        <v>8542</v>
      </c>
      <c r="D1161" s="6">
        <v>2023</v>
      </c>
      <c r="E1161" s="6" t="s">
        <v>12</v>
      </c>
      <c r="F1161" s="6">
        <v>34</v>
      </c>
      <c r="G1161" s="40">
        <v>15</v>
      </c>
      <c r="H1161" s="40">
        <v>32.174669999999999</v>
      </c>
      <c r="I1161" s="212"/>
      <c r="J1161" s="212"/>
    </row>
    <row r="1162" spans="1:10" s="5" customFormat="1" ht="30" hidden="1" customHeight="1" outlineLevel="1" x14ac:dyDescent="0.25">
      <c r="A1162" s="4">
        <v>5047</v>
      </c>
      <c r="B1162" s="6" t="s">
        <v>15</v>
      </c>
      <c r="C1162" s="38" t="s">
        <v>8543</v>
      </c>
      <c r="D1162" s="6">
        <v>2023</v>
      </c>
      <c r="E1162" s="6" t="s">
        <v>12</v>
      </c>
      <c r="F1162" s="6">
        <v>23</v>
      </c>
      <c r="G1162" s="40">
        <v>0.1</v>
      </c>
      <c r="H1162" s="40">
        <v>40.377560000000003</v>
      </c>
      <c r="I1162" s="212"/>
      <c r="J1162" s="212"/>
    </row>
    <row r="1163" spans="1:10" s="5" customFormat="1" ht="30" hidden="1" customHeight="1" outlineLevel="1" x14ac:dyDescent="0.25">
      <c r="A1163" s="4">
        <v>3886</v>
      </c>
      <c r="B1163" s="6" t="s">
        <v>15</v>
      </c>
      <c r="C1163" s="38" t="s">
        <v>8544</v>
      </c>
      <c r="D1163" s="6">
        <v>2023</v>
      </c>
      <c r="E1163" s="6" t="s">
        <v>12</v>
      </c>
      <c r="F1163" s="6">
        <v>54</v>
      </c>
      <c r="G1163" s="40">
        <v>15</v>
      </c>
      <c r="H1163" s="40">
        <v>77.014690000000002</v>
      </c>
      <c r="I1163" s="212"/>
      <c r="J1163" s="212"/>
    </row>
    <row r="1164" spans="1:10" s="5" customFormat="1" ht="30" hidden="1" customHeight="1" outlineLevel="1" x14ac:dyDescent="0.25">
      <c r="A1164" s="4">
        <v>3874</v>
      </c>
      <c r="B1164" s="6" t="s">
        <v>15</v>
      </c>
      <c r="C1164" s="38" t="s">
        <v>8545</v>
      </c>
      <c r="D1164" s="6">
        <v>2023</v>
      </c>
      <c r="E1164" s="6" t="s">
        <v>12</v>
      </c>
      <c r="F1164" s="6">
        <v>40</v>
      </c>
      <c r="G1164" s="40">
        <v>15</v>
      </c>
      <c r="H1164" s="40">
        <v>61.74812</v>
      </c>
      <c r="I1164" s="212"/>
      <c r="J1164" s="212"/>
    </row>
    <row r="1165" spans="1:10" s="5" customFormat="1" ht="30" hidden="1" customHeight="1" outlineLevel="1" x14ac:dyDescent="0.25">
      <c r="A1165" s="4">
        <v>5050</v>
      </c>
      <c r="B1165" s="6" t="s">
        <v>15</v>
      </c>
      <c r="C1165" s="38" t="s">
        <v>8546</v>
      </c>
      <c r="D1165" s="6">
        <v>2023</v>
      </c>
      <c r="E1165" s="6" t="s">
        <v>12</v>
      </c>
      <c r="F1165" s="6">
        <v>217</v>
      </c>
      <c r="G1165" s="40">
        <v>15</v>
      </c>
      <c r="H1165" s="40">
        <v>472.65442000000002</v>
      </c>
      <c r="I1165" s="212"/>
      <c r="J1165" s="212"/>
    </row>
    <row r="1166" spans="1:10" s="5" customFormat="1" ht="30" hidden="1" customHeight="1" outlineLevel="1" x14ac:dyDescent="0.25">
      <c r="A1166" s="4">
        <v>5051</v>
      </c>
      <c r="B1166" s="6" t="s">
        <v>15</v>
      </c>
      <c r="C1166" s="38" t="s">
        <v>8547</v>
      </c>
      <c r="D1166" s="6">
        <v>2023</v>
      </c>
      <c r="E1166" s="6" t="s">
        <v>12</v>
      </c>
      <c r="F1166" s="6">
        <v>7</v>
      </c>
      <c r="G1166" s="40">
        <v>30</v>
      </c>
      <c r="H1166" s="40">
        <v>102.56091000000001</v>
      </c>
      <c r="I1166" s="212"/>
      <c r="J1166" s="212"/>
    </row>
    <row r="1167" spans="1:10" s="5" customFormat="1" ht="30" hidden="1" customHeight="1" outlineLevel="1" x14ac:dyDescent="0.25">
      <c r="A1167" s="4">
        <v>5052</v>
      </c>
      <c r="B1167" s="6" t="s">
        <v>15</v>
      </c>
      <c r="C1167" s="38" t="s">
        <v>8548</v>
      </c>
      <c r="D1167" s="6">
        <v>2023</v>
      </c>
      <c r="E1167" s="6" t="s">
        <v>12</v>
      </c>
      <c r="F1167" s="6">
        <v>3</v>
      </c>
      <c r="G1167" s="40">
        <v>10</v>
      </c>
      <c r="H1167" s="40">
        <v>243.90052</v>
      </c>
      <c r="I1167" s="212"/>
      <c r="J1167" s="212"/>
    </row>
    <row r="1168" spans="1:10" s="5" customFormat="1" ht="30" hidden="1" customHeight="1" outlineLevel="1" x14ac:dyDescent="0.25">
      <c r="A1168" s="4">
        <v>5061</v>
      </c>
      <c r="B1168" s="6" t="s">
        <v>15</v>
      </c>
      <c r="C1168" s="38" t="s">
        <v>8549</v>
      </c>
      <c r="D1168" s="6">
        <v>2023</v>
      </c>
      <c r="E1168" s="6" t="s">
        <v>12</v>
      </c>
      <c r="F1168" s="6">
        <v>215</v>
      </c>
      <c r="G1168" s="40">
        <v>80</v>
      </c>
      <c r="H1168" s="40">
        <v>375.31708000000003</v>
      </c>
      <c r="I1168" s="212"/>
      <c r="J1168" s="212"/>
    </row>
    <row r="1169" spans="1:10" s="5" customFormat="1" ht="30" hidden="1" customHeight="1" outlineLevel="1" x14ac:dyDescent="0.25">
      <c r="A1169" s="4">
        <v>5018</v>
      </c>
      <c r="B1169" s="6" t="s">
        <v>15</v>
      </c>
      <c r="C1169" s="38" t="s">
        <v>8550</v>
      </c>
      <c r="D1169" s="6">
        <v>2023</v>
      </c>
      <c r="E1169" s="6" t="s">
        <v>12</v>
      </c>
      <c r="F1169" s="6">
        <v>135</v>
      </c>
      <c r="G1169" s="40">
        <v>12</v>
      </c>
      <c r="H1169" s="40">
        <v>225.87099000000001</v>
      </c>
      <c r="I1169" s="212"/>
      <c r="J1169" s="212"/>
    </row>
    <row r="1170" spans="1:10" s="5" customFormat="1" ht="30" hidden="1" customHeight="1" outlineLevel="1" x14ac:dyDescent="0.25">
      <c r="A1170" s="4">
        <v>5021</v>
      </c>
      <c r="B1170" s="6" t="s">
        <v>15</v>
      </c>
      <c r="C1170" s="38" t="s">
        <v>8551</v>
      </c>
      <c r="D1170" s="6">
        <v>2023</v>
      </c>
      <c r="E1170" s="6" t="s">
        <v>12</v>
      </c>
      <c r="F1170" s="6">
        <v>68</v>
      </c>
      <c r="G1170" s="40">
        <v>15</v>
      </c>
      <c r="H1170" s="40">
        <v>133.18615</v>
      </c>
      <c r="I1170" s="212"/>
      <c r="J1170" s="212"/>
    </row>
    <row r="1171" spans="1:10" s="5" customFormat="1" ht="30" hidden="1" customHeight="1" outlineLevel="1" x14ac:dyDescent="0.25">
      <c r="A1171" s="4">
        <v>507</v>
      </c>
      <c r="B1171" s="6" t="s">
        <v>15</v>
      </c>
      <c r="C1171" s="38" t="s">
        <v>8552</v>
      </c>
      <c r="D1171" s="6">
        <v>2023</v>
      </c>
      <c r="E1171" s="6" t="s">
        <v>12</v>
      </c>
      <c r="F1171" s="6">
        <v>108</v>
      </c>
      <c r="G1171" s="40">
        <v>45</v>
      </c>
      <c r="H1171" s="40">
        <v>175.68258</v>
      </c>
      <c r="I1171" s="212"/>
      <c r="J1171" s="212"/>
    </row>
    <row r="1172" spans="1:10" s="5" customFormat="1" ht="30" hidden="1" customHeight="1" outlineLevel="1" x14ac:dyDescent="0.25">
      <c r="A1172" s="4">
        <v>5030</v>
      </c>
      <c r="B1172" s="6" t="s">
        <v>15</v>
      </c>
      <c r="C1172" s="38" t="s">
        <v>8553</v>
      </c>
      <c r="D1172" s="6">
        <v>2023</v>
      </c>
      <c r="E1172" s="6" t="s">
        <v>12</v>
      </c>
      <c r="F1172" s="6">
        <v>97</v>
      </c>
      <c r="G1172" s="40">
        <v>15</v>
      </c>
      <c r="H1172" s="40">
        <v>137.3784</v>
      </c>
      <c r="I1172" s="212"/>
      <c r="J1172" s="212"/>
    </row>
    <row r="1173" spans="1:10" s="5" customFormat="1" ht="30" hidden="1" customHeight="1" outlineLevel="1" x14ac:dyDescent="0.25">
      <c r="A1173" s="4">
        <v>3993</v>
      </c>
      <c r="B1173" s="6" t="s">
        <v>15</v>
      </c>
      <c r="C1173" s="38" t="s">
        <v>8554</v>
      </c>
      <c r="D1173" s="6">
        <v>2023</v>
      </c>
      <c r="E1173" s="6" t="s">
        <v>12</v>
      </c>
      <c r="F1173" s="6">
        <v>69</v>
      </c>
      <c r="G1173" s="40">
        <v>10</v>
      </c>
      <c r="H1173" s="40">
        <v>122.47810000000001</v>
      </c>
      <c r="I1173" s="212"/>
      <c r="J1173" s="212"/>
    </row>
    <row r="1174" spans="1:10" s="5" customFormat="1" ht="30" hidden="1" customHeight="1" outlineLevel="1" x14ac:dyDescent="0.25">
      <c r="A1174" s="4">
        <v>3989</v>
      </c>
      <c r="B1174" s="6" t="s">
        <v>15</v>
      </c>
      <c r="C1174" s="38" t="s">
        <v>8555</v>
      </c>
      <c r="D1174" s="6">
        <v>2023</v>
      </c>
      <c r="E1174" s="6" t="s">
        <v>12</v>
      </c>
      <c r="F1174" s="6">
        <v>110</v>
      </c>
      <c r="G1174" s="40">
        <v>15</v>
      </c>
      <c r="H1174" s="40">
        <v>134.06359</v>
      </c>
      <c r="I1174" s="212"/>
      <c r="J1174" s="212"/>
    </row>
    <row r="1175" spans="1:10" s="5" customFormat="1" ht="30" hidden="1" customHeight="1" outlineLevel="1" x14ac:dyDescent="0.25">
      <c r="A1175" s="4">
        <v>3984</v>
      </c>
      <c r="B1175" s="6" t="s">
        <v>15</v>
      </c>
      <c r="C1175" s="38" t="s">
        <v>8556</v>
      </c>
      <c r="D1175" s="6">
        <v>2023</v>
      </c>
      <c r="E1175" s="6" t="s">
        <v>12</v>
      </c>
      <c r="F1175" s="6">
        <v>98</v>
      </c>
      <c r="G1175" s="40">
        <v>15</v>
      </c>
      <c r="H1175" s="40">
        <v>137.50979999999998</v>
      </c>
      <c r="I1175" s="212"/>
      <c r="J1175" s="212"/>
    </row>
    <row r="1176" spans="1:10" s="5" customFormat="1" ht="30" hidden="1" customHeight="1" outlineLevel="1" x14ac:dyDescent="0.25">
      <c r="A1176" s="4">
        <v>784</v>
      </c>
      <c r="B1176" s="6" t="s">
        <v>15</v>
      </c>
      <c r="C1176" s="38" t="s">
        <v>8557</v>
      </c>
      <c r="D1176" s="6">
        <v>2023</v>
      </c>
      <c r="E1176" s="6" t="s">
        <v>12</v>
      </c>
      <c r="F1176" s="6">
        <v>91</v>
      </c>
      <c r="G1176" s="40">
        <v>15</v>
      </c>
      <c r="H1176" s="40">
        <v>61.989879999999999</v>
      </c>
      <c r="I1176" s="212"/>
      <c r="J1176" s="212"/>
    </row>
    <row r="1177" spans="1:10" s="5" customFormat="1" ht="30" hidden="1" customHeight="1" outlineLevel="1" x14ac:dyDescent="0.25">
      <c r="A1177" s="4">
        <v>897</v>
      </c>
      <c r="B1177" s="6" t="s">
        <v>15</v>
      </c>
      <c r="C1177" s="38" t="s">
        <v>8558</v>
      </c>
      <c r="D1177" s="6">
        <v>2023</v>
      </c>
      <c r="E1177" s="6" t="s">
        <v>12</v>
      </c>
      <c r="F1177" s="6">
        <v>248</v>
      </c>
      <c r="G1177" s="40">
        <v>15</v>
      </c>
      <c r="H1177" s="40">
        <v>473.11599000000001</v>
      </c>
      <c r="I1177" s="212"/>
      <c r="J1177" s="212"/>
    </row>
    <row r="1178" spans="1:10" s="5" customFormat="1" ht="30" hidden="1" customHeight="1" outlineLevel="1" x14ac:dyDescent="0.25">
      <c r="A1178" s="4">
        <v>1111</v>
      </c>
      <c r="B1178" s="6" t="s">
        <v>15</v>
      </c>
      <c r="C1178" s="38" t="s">
        <v>8559</v>
      </c>
      <c r="D1178" s="6">
        <v>2023</v>
      </c>
      <c r="E1178" s="6" t="s">
        <v>12</v>
      </c>
      <c r="F1178" s="6">
        <v>305</v>
      </c>
      <c r="G1178" s="40">
        <v>12</v>
      </c>
      <c r="H1178" s="40">
        <v>559.72425999999996</v>
      </c>
      <c r="I1178" s="212"/>
      <c r="J1178" s="212"/>
    </row>
    <row r="1179" spans="1:10" s="5" customFormat="1" ht="30" hidden="1" customHeight="1" outlineLevel="1" x14ac:dyDescent="0.25">
      <c r="A1179" s="4">
        <v>1203</v>
      </c>
      <c r="B1179" s="6" t="s">
        <v>15</v>
      </c>
      <c r="C1179" s="38" t="s">
        <v>8560</v>
      </c>
      <c r="D1179" s="6">
        <v>2023</v>
      </c>
      <c r="E1179" s="6" t="s">
        <v>12</v>
      </c>
      <c r="F1179" s="6">
        <v>270</v>
      </c>
      <c r="G1179" s="40">
        <v>15</v>
      </c>
      <c r="H1179" s="40">
        <v>530.48395000000005</v>
      </c>
      <c r="I1179" s="212"/>
      <c r="J1179" s="212"/>
    </row>
    <row r="1180" spans="1:10" s="5" customFormat="1" ht="30" hidden="1" customHeight="1" outlineLevel="1" x14ac:dyDescent="0.25">
      <c r="A1180" s="4">
        <v>856</v>
      </c>
      <c r="B1180" s="6" t="s">
        <v>15</v>
      </c>
      <c r="C1180" s="38" t="s">
        <v>8561</v>
      </c>
      <c r="D1180" s="6">
        <v>2023</v>
      </c>
      <c r="E1180" s="6" t="s">
        <v>12</v>
      </c>
      <c r="F1180" s="6">
        <v>210</v>
      </c>
      <c r="G1180" s="40">
        <v>10</v>
      </c>
      <c r="H1180" s="40">
        <v>411.17889000000002</v>
      </c>
      <c r="I1180" s="212"/>
      <c r="J1180" s="212"/>
    </row>
    <row r="1181" spans="1:10" s="5" customFormat="1" ht="30" hidden="1" customHeight="1" outlineLevel="1" x14ac:dyDescent="0.25">
      <c r="A1181" s="4">
        <v>1248</v>
      </c>
      <c r="B1181" s="6" t="s">
        <v>15</v>
      </c>
      <c r="C1181" s="38" t="s">
        <v>8562</v>
      </c>
      <c r="D1181" s="6">
        <v>2023</v>
      </c>
      <c r="E1181" s="6" t="s">
        <v>12</v>
      </c>
      <c r="F1181" s="6">
        <v>264</v>
      </c>
      <c r="G1181" s="40">
        <v>31</v>
      </c>
      <c r="H1181" s="40">
        <v>445.80038999999999</v>
      </c>
      <c r="I1181" s="212"/>
      <c r="J1181" s="212"/>
    </row>
    <row r="1182" spans="1:10" s="5" customFormat="1" ht="30" hidden="1" customHeight="1" outlineLevel="1" x14ac:dyDescent="0.25">
      <c r="A1182" s="4">
        <v>870</v>
      </c>
      <c r="B1182" s="6" t="s">
        <v>15</v>
      </c>
      <c r="C1182" s="38" t="s">
        <v>8563</v>
      </c>
      <c r="D1182" s="6">
        <v>2023</v>
      </c>
      <c r="E1182" s="6" t="s">
        <v>12</v>
      </c>
      <c r="F1182" s="6">
        <v>302</v>
      </c>
      <c r="G1182" s="40">
        <v>57</v>
      </c>
      <c r="H1182" s="40">
        <v>670.05026999999995</v>
      </c>
      <c r="I1182" s="212"/>
      <c r="J1182" s="212"/>
    </row>
    <row r="1183" spans="1:10" s="5" customFormat="1" ht="30" hidden="1" customHeight="1" outlineLevel="1" x14ac:dyDescent="0.25">
      <c r="A1183" s="4">
        <v>911</v>
      </c>
      <c r="B1183" s="6" t="s">
        <v>15</v>
      </c>
      <c r="C1183" s="38" t="s">
        <v>8564</v>
      </c>
      <c r="D1183" s="6">
        <v>2023</v>
      </c>
      <c r="E1183" s="6" t="s">
        <v>12</v>
      </c>
      <c r="F1183" s="6">
        <v>25</v>
      </c>
      <c r="G1183" s="40">
        <v>15</v>
      </c>
      <c r="H1183" s="40">
        <v>130.95276999999999</v>
      </c>
      <c r="I1183" s="212"/>
      <c r="J1183" s="212"/>
    </row>
    <row r="1184" spans="1:10" s="5" customFormat="1" ht="30" hidden="1" customHeight="1" outlineLevel="1" x14ac:dyDescent="0.25">
      <c r="A1184" s="4">
        <v>5022</v>
      </c>
      <c r="B1184" s="6" t="s">
        <v>15</v>
      </c>
      <c r="C1184" s="38" t="s">
        <v>8565</v>
      </c>
      <c r="D1184" s="6">
        <v>2023</v>
      </c>
      <c r="E1184" s="6" t="s">
        <v>12</v>
      </c>
      <c r="F1184" s="6">
        <v>27</v>
      </c>
      <c r="G1184" s="40">
        <v>14</v>
      </c>
      <c r="H1184" s="40">
        <v>47.624029999999998</v>
      </c>
      <c r="I1184" s="212"/>
      <c r="J1184" s="212"/>
    </row>
    <row r="1185" spans="1:10" s="5" customFormat="1" ht="30" hidden="1" customHeight="1" outlineLevel="1" x14ac:dyDescent="0.25">
      <c r="A1185" s="4">
        <v>5025</v>
      </c>
      <c r="B1185" s="6" t="s">
        <v>15</v>
      </c>
      <c r="C1185" s="38" t="s">
        <v>8566</v>
      </c>
      <c r="D1185" s="6">
        <v>2023</v>
      </c>
      <c r="E1185" s="6" t="s">
        <v>12</v>
      </c>
      <c r="F1185" s="6">
        <v>52</v>
      </c>
      <c r="G1185" s="40">
        <v>15</v>
      </c>
      <c r="H1185" s="40">
        <v>84.466189999999997</v>
      </c>
      <c r="I1185" s="212"/>
      <c r="J1185" s="212"/>
    </row>
    <row r="1186" spans="1:10" s="5" customFormat="1" ht="30" hidden="1" customHeight="1" outlineLevel="1" x14ac:dyDescent="0.25">
      <c r="A1186" s="4">
        <v>5026</v>
      </c>
      <c r="B1186" s="6" t="s">
        <v>15</v>
      </c>
      <c r="C1186" s="38" t="s">
        <v>8567</v>
      </c>
      <c r="D1186" s="6">
        <v>2023</v>
      </c>
      <c r="E1186" s="6" t="s">
        <v>12</v>
      </c>
      <c r="F1186" s="6">
        <v>36</v>
      </c>
      <c r="G1186" s="40">
        <v>15</v>
      </c>
      <c r="H1186" s="40">
        <v>32.568420000000003</v>
      </c>
      <c r="I1186" s="212"/>
      <c r="J1186" s="212"/>
    </row>
    <row r="1187" spans="1:10" s="5" customFormat="1" ht="30" hidden="1" customHeight="1" outlineLevel="1" x14ac:dyDescent="0.25">
      <c r="A1187" s="4">
        <v>5031</v>
      </c>
      <c r="B1187" s="6" t="s">
        <v>15</v>
      </c>
      <c r="C1187" s="38" t="s">
        <v>8568</v>
      </c>
      <c r="D1187" s="6">
        <v>2023</v>
      </c>
      <c r="E1187" s="6" t="s">
        <v>12</v>
      </c>
      <c r="F1187" s="6">
        <v>19</v>
      </c>
      <c r="G1187" s="40">
        <v>10</v>
      </c>
      <c r="H1187" s="40">
        <v>38.791449999999998</v>
      </c>
      <c r="I1187" s="212"/>
      <c r="J1187" s="212"/>
    </row>
    <row r="1188" spans="1:10" s="5" customFormat="1" ht="30" hidden="1" customHeight="1" outlineLevel="1" x14ac:dyDescent="0.25">
      <c r="A1188" s="4">
        <v>5032</v>
      </c>
      <c r="B1188" s="6" t="s">
        <v>15</v>
      </c>
      <c r="C1188" s="38" t="s">
        <v>8569</v>
      </c>
      <c r="D1188" s="6">
        <v>2023</v>
      </c>
      <c r="E1188" s="6" t="s">
        <v>12</v>
      </c>
      <c r="F1188" s="6">
        <v>30</v>
      </c>
      <c r="G1188" s="40">
        <v>10</v>
      </c>
      <c r="H1188" s="40">
        <v>56.633749999999999</v>
      </c>
      <c r="I1188" s="212"/>
      <c r="J1188" s="212"/>
    </row>
    <row r="1189" spans="1:10" s="5" customFormat="1" ht="30" hidden="1" customHeight="1" outlineLevel="1" x14ac:dyDescent="0.25">
      <c r="A1189" s="4">
        <v>368</v>
      </c>
      <c r="B1189" s="6" t="s">
        <v>15</v>
      </c>
      <c r="C1189" s="38" t="s">
        <v>8570</v>
      </c>
      <c r="D1189" s="6">
        <v>2023</v>
      </c>
      <c r="E1189" s="6" t="s">
        <v>12</v>
      </c>
      <c r="F1189" s="6">
        <v>51</v>
      </c>
      <c r="G1189" s="40">
        <v>50</v>
      </c>
      <c r="H1189" s="40">
        <v>77.241340000000008</v>
      </c>
      <c r="I1189" s="212"/>
      <c r="J1189" s="212"/>
    </row>
    <row r="1190" spans="1:10" s="5" customFormat="1" ht="30" hidden="1" customHeight="1" outlineLevel="1" x14ac:dyDescent="0.25">
      <c r="A1190" s="4">
        <v>347</v>
      </c>
      <c r="B1190" s="6" t="s">
        <v>15</v>
      </c>
      <c r="C1190" s="38" t="s">
        <v>8571</v>
      </c>
      <c r="D1190" s="6">
        <v>2023</v>
      </c>
      <c r="E1190" s="6" t="s">
        <v>12</v>
      </c>
      <c r="F1190" s="6">
        <v>28</v>
      </c>
      <c r="G1190" s="40">
        <v>10</v>
      </c>
      <c r="H1190" s="40">
        <v>59.996590000000005</v>
      </c>
      <c r="I1190" s="212"/>
      <c r="J1190" s="212"/>
    </row>
    <row r="1191" spans="1:10" s="5" customFormat="1" ht="30" hidden="1" customHeight="1" outlineLevel="1" x14ac:dyDescent="0.25">
      <c r="A1191" s="4">
        <v>4010</v>
      </c>
      <c r="B1191" s="6" t="s">
        <v>15</v>
      </c>
      <c r="C1191" s="38" t="s">
        <v>8572</v>
      </c>
      <c r="D1191" s="6">
        <v>2023</v>
      </c>
      <c r="E1191" s="6" t="s">
        <v>12</v>
      </c>
      <c r="F1191" s="6">
        <v>75</v>
      </c>
      <c r="G1191" s="40">
        <v>10</v>
      </c>
      <c r="H1191" s="40">
        <v>95.500959999999992</v>
      </c>
      <c r="I1191" s="212"/>
      <c r="J1191" s="212"/>
    </row>
    <row r="1192" spans="1:10" s="5" customFormat="1" ht="30" hidden="1" customHeight="1" outlineLevel="1" x14ac:dyDescent="0.25">
      <c r="A1192" s="4">
        <v>3970</v>
      </c>
      <c r="B1192" s="6" t="s">
        <v>15</v>
      </c>
      <c r="C1192" s="38" t="s">
        <v>8573</v>
      </c>
      <c r="D1192" s="6">
        <v>2023</v>
      </c>
      <c r="E1192" s="6" t="s">
        <v>12</v>
      </c>
      <c r="F1192" s="6">
        <v>195</v>
      </c>
      <c r="G1192" s="40">
        <v>15</v>
      </c>
      <c r="H1192" s="40">
        <v>204.68484000000001</v>
      </c>
      <c r="I1192" s="212"/>
      <c r="J1192" s="212"/>
    </row>
    <row r="1193" spans="1:10" s="5" customFormat="1" ht="30" hidden="1" customHeight="1" outlineLevel="1" x14ac:dyDescent="0.25">
      <c r="A1193" s="4">
        <v>5041</v>
      </c>
      <c r="B1193" s="6" t="s">
        <v>15</v>
      </c>
      <c r="C1193" s="38" t="s">
        <v>8574</v>
      </c>
      <c r="D1193" s="6">
        <v>2023</v>
      </c>
      <c r="E1193" s="6" t="s">
        <v>12</v>
      </c>
      <c r="F1193" s="6">
        <v>20</v>
      </c>
      <c r="G1193" s="40">
        <v>7</v>
      </c>
      <c r="H1193" s="40">
        <v>41.721540000000005</v>
      </c>
      <c r="I1193" s="212"/>
      <c r="J1193" s="212"/>
    </row>
    <row r="1194" spans="1:10" s="5" customFormat="1" ht="30" hidden="1" customHeight="1" outlineLevel="1" x14ac:dyDescent="0.25">
      <c r="A1194" s="4">
        <v>357</v>
      </c>
      <c r="B1194" s="6" t="s">
        <v>15</v>
      </c>
      <c r="C1194" s="38" t="s">
        <v>8575</v>
      </c>
      <c r="D1194" s="6">
        <v>2023</v>
      </c>
      <c r="E1194" s="6" t="s">
        <v>12</v>
      </c>
      <c r="F1194" s="6">
        <v>53</v>
      </c>
      <c r="G1194" s="40">
        <v>10</v>
      </c>
      <c r="H1194" s="40">
        <v>64.285610000000005</v>
      </c>
      <c r="I1194" s="212"/>
      <c r="J1194" s="212"/>
    </row>
    <row r="1195" spans="1:10" s="5" customFormat="1" ht="30" hidden="1" customHeight="1" outlineLevel="1" x14ac:dyDescent="0.25">
      <c r="A1195" s="4">
        <v>3935</v>
      </c>
      <c r="B1195" s="6" t="s">
        <v>15</v>
      </c>
      <c r="C1195" s="38" t="s">
        <v>8576</v>
      </c>
      <c r="D1195" s="6">
        <v>2023</v>
      </c>
      <c r="E1195" s="6" t="s">
        <v>12</v>
      </c>
      <c r="F1195" s="6">
        <v>60</v>
      </c>
      <c r="G1195" s="40">
        <v>15</v>
      </c>
      <c r="H1195" s="40">
        <v>30.972840000000001</v>
      </c>
      <c r="I1195" s="212"/>
      <c r="J1195" s="212"/>
    </row>
    <row r="1196" spans="1:10" s="5" customFormat="1" ht="30" hidden="1" customHeight="1" outlineLevel="1" x14ac:dyDescent="0.25">
      <c r="A1196" s="4">
        <v>3378</v>
      </c>
      <c r="B1196" s="6" t="s">
        <v>15</v>
      </c>
      <c r="C1196" s="38" t="s">
        <v>8577</v>
      </c>
      <c r="D1196" s="6">
        <v>2023</v>
      </c>
      <c r="E1196" s="6" t="s">
        <v>12</v>
      </c>
      <c r="F1196" s="6">
        <v>129</v>
      </c>
      <c r="G1196" s="40">
        <v>2</v>
      </c>
      <c r="H1196" s="40">
        <v>76.227580000000003</v>
      </c>
      <c r="I1196" s="212"/>
      <c r="J1196" s="212"/>
    </row>
    <row r="1197" spans="1:10" s="5" customFormat="1" ht="30" hidden="1" customHeight="1" outlineLevel="1" x14ac:dyDescent="0.25">
      <c r="A1197" s="4">
        <v>3377</v>
      </c>
      <c r="B1197" s="6" t="s">
        <v>15</v>
      </c>
      <c r="C1197" s="38" t="s">
        <v>8578</v>
      </c>
      <c r="D1197" s="6">
        <v>2023</v>
      </c>
      <c r="E1197" s="6" t="s">
        <v>12</v>
      </c>
      <c r="F1197" s="6">
        <v>179</v>
      </c>
      <c r="G1197" s="40">
        <v>15</v>
      </c>
      <c r="H1197" s="40">
        <v>46.529269999999997</v>
      </c>
      <c r="I1197" s="212"/>
      <c r="J1197" s="212"/>
    </row>
    <row r="1198" spans="1:10" s="5" customFormat="1" ht="30" hidden="1" customHeight="1" outlineLevel="1" x14ac:dyDescent="0.25">
      <c r="A1198" s="4">
        <v>3219</v>
      </c>
      <c r="B1198" s="6" t="s">
        <v>15</v>
      </c>
      <c r="C1198" s="38" t="s">
        <v>8579</v>
      </c>
      <c r="D1198" s="6">
        <v>2023</v>
      </c>
      <c r="E1198" s="6" t="s">
        <v>12</v>
      </c>
      <c r="F1198" s="6">
        <v>185</v>
      </c>
      <c r="G1198" s="40">
        <v>2</v>
      </c>
      <c r="H1198" s="40">
        <v>100.34379</v>
      </c>
      <c r="I1198" s="212"/>
      <c r="J1198" s="212"/>
    </row>
    <row r="1199" spans="1:10" s="5" customFormat="1" ht="30" hidden="1" customHeight="1" outlineLevel="1" x14ac:dyDescent="0.25">
      <c r="A1199" s="4">
        <v>3908</v>
      </c>
      <c r="B1199" s="6" t="s">
        <v>15</v>
      </c>
      <c r="C1199" s="38" t="s">
        <v>8580</v>
      </c>
      <c r="D1199" s="6">
        <v>2023</v>
      </c>
      <c r="E1199" s="6" t="s">
        <v>12</v>
      </c>
      <c r="F1199" s="6">
        <v>80</v>
      </c>
      <c r="G1199" s="40">
        <v>10</v>
      </c>
      <c r="H1199" s="40">
        <v>94.201419999999999</v>
      </c>
      <c r="I1199" s="212"/>
      <c r="J1199" s="212"/>
    </row>
    <row r="1200" spans="1:10" s="5" customFormat="1" ht="30" hidden="1" customHeight="1" outlineLevel="1" x14ac:dyDescent="0.25">
      <c r="A1200" s="4">
        <v>3829</v>
      </c>
      <c r="B1200" s="6" t="s">
        <v>15</v>
      </c>
      <c r="C1200" s="38" t="s">
        <v>8581</v>
      </c>
      <c r="D1200" s="6">
        <v>2023</v>
      </c>
      <c r="E1200" s="6" t="s">
        <v>12</v>
      </c>
      <c r="F1200" s="6">
        <v>154</v>
      </c>
      <c r="G1200" s="40">
        <v>6</v>
      </c>
      <c r="H1200" s="40">
        <v>45.75826</v>
      </c>
      <c r="I1200" s="212"/>
      <c r="J1200" s="212"/>
    </row>
    <row r="1201" spans="1:10" s="5" customFormat="1" ht="30" hidden="1" customHeight="1" outlineLevel="1" x14ac:dyDescent="0.25">
      <c r="A1201" s="4">
        <v>3679</v>
      </c>
      <c r="B1201" s="6" t="s">
        <v>15</v>
      </c>
      <c r="C1201" s="38" t="s">
        <v>8582</v>
      </c>
      <c r="D1201" s="6">
        <v>2023</v>
      </c>
      <c r="E1201" s="6" t="s">
        <v>12</v>
      </c>
      <c r="F1201" s="6">
        <v>88</v>
      </c>
      <c r="G1201" s="40">
        <v>10</v>
      </c>
      <c r="H1201" s="40">
        <v>48.17689</v>
      </c>
      <c r="I1201" s="212"/>
      <c r="J1201" s="212"/>
    </row>
    <row r="1202" spans="1:10" s="5" customFormat="1" ht="30" hidden="1" customHeight="1" outlineLevel="1" x14ac:dyDescent="0.25">
      <c r="A1202" s="4">
        <v>3847</v>
      </c>
      <c r="B1202" s="6" t="s">
        <v>15</v>
      </c>
      <c r="C1202" s="38" t="s">
        <v>8583</v>
      </c>
      <c r="D1202" s="6">
        <v>2023</v>
      </c>
      <c r="E1202" s="6" t="s">
        <v>12</v>
      </c>
      <c r="F1202" s="6">
        <v>51</v>
      </c>
      <c r="G1202" s="40">
        <v>15</v>
      </c>
      <c r="H1202" s="40">
        <v>95.066980000000001</v>
      </c>
      <c r="I1202" s="212"/>
      <c r="J1202" s="212"/>
    </row>
    <row r="1203" spans="1:10" s="5" customFormat="1" ht="30" hidden="1" customHeight="1" outlineLevel="1" x14ac:dyDescent="0.25">
      <c r="A1203" s="4">
        <v>690</v>
      </c>
      <c r="B1203" s="6" t="s">
        <v>15</v>
      </c>
      <c r="C1203" s="38" t="s">
        <v>8584</v>
      </c>
      <c r="D1203" s="6">
        <v>2023</v>
      </c>
      <c r="E1203" s="6" t="s">
        <v>12</v>
      </c>
      <c r="F1203" s="6">
        <v>68</v>
      </c>
      <c r="G1203" s="40">
        <v>15</v>
      </c>
      <c r="H1203" s="40">
        <v>30.900390000000002</v>
      </c>
      <c r="I1203" s="212"/>
      <c r="J1203" s="212"/>
    </row>
    <row r="1204" spans="1:10" s="5" customFormat="1" ht="30" hidden="1" customHeight="1" outlineLevel="1" x14ac:dyDescent="0.25">
      <c r="A1204" s="4">
        <v>1205</v>
      </c>
      <c r="B1204" s="6" t="s">
        <v>15</v>
      </c>
      <c r="C1204" s="38" t="s">
        <v>8585</v>
      </c>
      <c r="D1204" s="6">
        <v>2023</v>
      </c>
      <c r="E1204" s="6" t="s">
        <v>12</v>
      </c>
      <c r="F1204" s="6">
        <v>228</v>
      </c>
      <c r="G1204" s="40">
        <v>15</v>
      </c>
      <c r="H1204" s="40">
        <v>409.60955000000001</v>
      </c>
      <c r="I1204" s="212"/>
      <c r="J1204" s="212"/>
    </row>
    <row r="1205" spans="1:10" s="5" customFormat="1" ht="30" hidden="1" customHeight="1" outlineLevel="1" x14ac:dyDescent="0.25">
      <c r="A1205" s="4">
        <v>3249</v>
      </c>
      <c r="B1205" s="6" t="s">
        <v>15</v>
      </c>
      <c r="C1205" s="38" t="s">
        <v>8586</v>
      </c>
      <c r="D1205" s="6">
        <v>2023</v>
      </c>
      <c r="E1205" s="6" t="s">
        <v>12</v>
      </c>
      <c r="F1205" s="6">
        <v>143</v>
      </c>
      <c r="G1205" s="40">
        <v>15</v>
      </c>
      <c r="H1205" s="40">
        <v>380.43916000000002</v>
      </c>
      <c r="I1205" s="212"/>
      <c r="J1205" s="212"/>
    </row>
    <row r="1206" spans="1:10" s="5" customFormat="1" ht="30" hidden="1" customHeight="1" outlineLevel="1" x14ac:dyDescent="0.25">
      <c r="A1206" s="4">
        <v>5155</v>
      </c>
      <c r="B1206" s="6" t="s">
        <v>15</v>
      </c>
      <c r="C1206" s="38" t="s">
        <v>8587</v>
      </c>
      <c r="D1206" s="6">
        <v>2023</v>
      </c>
      <c r="E1206" s="6" t="s">
        <v>12</v>
      </c>
      <c r="F1206" s="6">
        <v>253</v>
      </c>
      <c r="G1206" s="40">
        <v>15</v>
      </c>
      <c r="H1206" s="40">
        <v>613.04197999999997</v>
      </c>
      <c r="I1206" s="212"/>
      <c r="J1206" s="212"/>
    </row>
    <row r="1207" spans="1:10" s="5" customFormat="1" ht="30" hidden="1" customHeight="1" outlineLevel="1" x14ac:dyDescent="0.25">
      <c r="A1207" s="4">
        <v>5157</v>
      </c>
      <c r="B1207" s="6" t="s">
        <v>15</v>
      </c>
      <c r="C1207" s="38" t="s">
        <v>8588</v>
      </c>
      <c r="D1207" s="6">
        <v>2023</v>
      </c>
      <c r="E1207" s="6" t="s">
        <v>12</v>
      </c>
      <c r="F1207" s="6">
        <v>240</v>
      </c>
      <c r="G1207" s="40">
        <v>6</v>
      </c>
      <c r="H1207" s="40">
        <v>520.44111000000009</v>
      </c>
      <c r="I1207" s="212"/>
      <c r="J1207" s="212"/>
    </row>
    <row r="1208" spans="1:10" s="5" customFormat="1" ht="30" hidden="1" customHeight="1" outlineLevel="1" x14ac:dyDescent="0.25">
      <c r="A1208" s="4">
        <v>5158</v>
      </c>
      <c r="B1208" s="6" t="s">
        <v>15</v>
      </c>
      <c r="C1208" s="38" t="s">
        <v>8589</v>
      </c>
      <c r="D1208" s="6">
        <v>2023</v>
      </c>
      <c r="E1208" s="6" t="s">
        <v>12</v>
      </c>
      <c r="F1208" s="6">
        <v>262</v>
      </c>
      <c r="G1208" s="40">
        <v>30</v>
      </c>
      <c r="H1208" s="40">
        <v>455.38377000000003</v>
      </c>
      <c r="I1208" s="212"/>
      <c r="J1208" s="212"/>
    </row>
    <row r="1209" spans="1:10" s="5" customFormat="1" ht="30" hidden="1" customHeight="1" outlineLevel="1" x14ac:dyDescent="0.25">
      <c r="A1209" s="4">
        <v>596</v>
      </c>
      <c r="B1209" s="6" t="s">
        <v>15</v>
      </c>
      <c r="C1209" s="38" t="s">
        <v>8590</v>
      </c>
      <c r="D1209" s="6">
        <v>2023</v>
      </c>
      <c r="E1209" s="6" t="s">
        <v>12</v>
      </c>
      <c r="F1209" s="6">
        <v>217</v>
      </c>
      <c r="G1209" s="40">
        <v>10</v>
      </c>
      <c r="H1209" s="40">
        <v>421.00592999999998</v>
      </c>
      <c r="I1209" s="212"/>
      <c r="J1209" s="212"/>
    </row>
    <row r="1210" spans="1:10" s="5" customFormat="1" ht="30" hidden="1" customHeight="1" outlineLevel="1" x14ac:dyDescent="0.25">
      <c r="A1210" s="4">
        <v>5159</v>
      </c>
      <c r="B1210" s="6" t="s">
        <v>15</v>
      </c>
      <c r="C1210" s="38" t="s">
        <v>8591</v>
      </c>
      <c r="D1210" s="6">
        <v>2023</v>
      </c>
      <c r="E1210" s="6" t="s">
        <v>12</v>
      </c>
      <c r="F1210" s="6">
        <v>104</v>
      </c>
      <c r="G1210" s="40">
        <v>15</v>
      </c>
      <c r="H1210" s="40">
        <v>260.77307000000002</v>
      </c>
      <c r="I1210" s="212"/>
      <c r="J1210" s="212"/>
    </row>
    <row r="1211" spans="1:10" s="5" customFormat="1" ht="30" hidden="1" customHeight="1" outlineLevel="1" x14ac:dyDescent="0.25">
      <c r="A1211" s="4">
        <v>5027</v>
      </c>
      <c r="B1211" s="6" t="s">
        <v>15</v>
      </c>
      <c r="C1211" s="38" t="s">
        <v>8592</v>
      </c>
      <c r="D1211" s="6">
        <v>2023</v>
      </c>
      <c r="E1211" s="6" t="s">
        <v>12</v>
      </c>
      <c r="F1211" s="6">
        <v>88</v>
      </c>
      <c r="G1211" s="40">
        <v>12</v>
      </c>
      <c r="H1211" s="40">
        <v>71.915789999999987</v>
      </c>
      <c r="I1211" s="212"/>
      <c r="J1211" s="212"/>
    </row>
    <row r="1212" spans="1:10" s="5" customFormat="1" ht="30" hidden="1" customHeight="1" outlineLevel="1" x14ac:dyDescent="0.25">
      <c r="A1212" s="4">
        <v>5029</v>
      </c>
      <c r="B1212" s="6" t="s">
        <v>15</v>
      </c>
      <c r="C1212" s="38" t="s">
        <v>8593</v>
      </c>
      <c r="D1212" s="6">
        <v>2023</v>
      </c>
      <c r="E1212" s="6" t="s">
        <v>12</v>
      </c>
      <c r="F1212" s="6">
        <v>56</v>
      </c>
      <c r="G1212" s="40">
        <v>10</v>
      </c>
      <c r="H1212" s="40">
        <v>83.429130000000001</v>
      </c>
      <c r="I1212" s="212"/>
      <c r="J1212" s="212"/>
    </row>
    <row r="1213" spans="1:10" s="5" customFormat="1" ht="30" hidden="1" customHeight="1" outlineLevel="1" x14ac:dyDescent="0.25">
      <c r="A1213" s="4">
        <v>3397</v>
      </c>
      <c r="B1213" s="6" t="s">
        <v>15</v>
      </c>
      <c r="C1213" s="38" t="s">
        <v>8594</v>
      </c>
      <c r="D1213" s="6">
        <v>2023</v>
      </c>
      <c r="E1213" s="6" t="s">
        <v>12</v>
      </c>
      <c r="F1213" s="6">
        <v>11</v>
      </c>
      <c r="G1213" s="40">
        <v>100</v>
      </c>
      <c r="H1213" s="40">
        <v>29.848469999999999</v>
      </c>
      <c r="I1213" s="212"/>
      <c r="J1213" s="212"/>
    </row>
    <row r="1214" spans="1:10" s="5" customFormat="1" ht="30" hidden="1" customHeight="1" outlineLevel="1" x14ac:dyDescent="0.25">
      <c r="A1214" s="4">
        <v>3974</v>
      </c>
      <c r="B1214" s="6" t="s">
        <v>15</v>
      </c>
      <c r="C1214" s="38" t="s">
        <v>8595</v>
      </c>
      <c r="D1214" s="6">
        <v>2023</v>
      </c>
      <c r="E1214" s="6" t="s">
        <v>12</v>
      </c>
      <c r="F1214" s="6">
        <v>191</v>
      </c>
      <c r="G1214" s="40">
        <v>15</v>
      </c>
      <c r="H1214" s="40">
        <v>57.027460000000005</v>
      </c>
      <c r="I1214" s="212"/>
      <c r="J1214" s="212"/>
    </row>
    <row r="1215" spans="1:10" s="5" customFormat="1" ht="30" hidden="1" customHeight="1" outlineLevel="1" x14ac:dyDescent="0.25">
      <c r="A1215" s="4">
        <v>3973</v>
      </c>
      <c r="B1215" s="6" t="s">
        <v>15</v>
      </c>
      <c r="C1215" s="38" t="s">
        <v>8596</v>
      </c>
      <c r="D1215" s="6">
        <v>2023</v>
      </c>
      <c r="E1215" s="6" t="s">
        <v>12</v>
      </c>
      <c r="F1215" s="6">
        <v>144</v>
      </c>
      <c r="G1215" s="40">
        <v>15</v>
      </c>
      <c r="H1215" s="40">
        <v>179.73389</v>
      </c>
      <c r="I1215" s="212"/>
      <c r="J1215" s="212"/>
    </row>
    <row r="1216" spans="1:10" s="5" customFormat="1" ht="30" hidden="1" customHeight="1" outlineLevel="1" x14ac:dyDescent="0.25">
      <c r="A1216" s="4">
        <v>3965</v>
      </c>
      <c r="B1216" s="6" t="s">
        <v>15</v>
      </c>
      <c r="C1216" s="38" t="s">
        <v>8597</v>
      </c>
      <c r="D1216" s="6">
        <v>2023</v>
      </c>
      <c r="E1216" s="6" t="s">
        <v>12</v>
      </c>
      <c r="F1216" s="6">
        <v>38</v>
      </c>
      <c r="G1216" s="40">
        <v>10</v>
      </c>
      <c r="H1216" s="40">
        <v>77.157749999999993</v>
      </c>
      <c r="I1216" s="212"/>
      <c r="J1216" s="212"/>
    </row>
    <row r="1217" spans="1:10" s="5" customFormat="1" ht="30" hidden="1" customHeight="1" outlineLevel="1" x14ac:dyDescent="0.25">
      <c r="A1217" s="4">
        <v>5039</v>
      </c>
      <c r="B1217" s="6" t="s">
        <v>15</v>
      </c>
      <c r="C1217" s="38" t="s">
        <v>8598</v>
      </c>
      <c r="D1217" s="6">
        <v>2023</v>
      </c>
      <c r="E1217" s="6" t="s">
        <v>12</v>
      </c>
      <c r="F1217" s="6">
        <v>90</v>
      </c>
      <c r="G1217" s="40">
        <v>15</v>
      </c>
      <c r="H1217" s="40">
        <v>56.320500000000003</v>
      </c>
      <c r="I1217" s="212"/>
      <c r="J1217" s="212"/>
    </row>
    <row r="1218" spans="1:10" s="5" customFormat="1" ht="30" hidden="1" customHeight="1" outlineLevel="1" x14ac:dyDescent="0.25">
      <c r="A1218" s="4">
        <v>5040</v>
      </c>
      <c r="B1218" s="6" t="s">
        <v>15</v>
      </c>
      <c r="C1218" s="38" t="s">
        <v>8599</v>
      </c>
      <c r="D1218" s="6">
        <v>2023</v>
      </c>
      <c r="E1218" s="6" t="s">
        <v>12</v>
      </c>
      <c r="F1218" s="6">
        <v>93</v>
      </c>
      <c r="G1218" s="40">
        <v>15</v>
      </c>
      <c r="H1218" s="40">
        <v>88.153410000000008</v>
      </c>
      <c r="I1218" s="212"/>
      <c r="J1218" s="212"/>
    </row>
    <row r="1219" spans="1:10" s="5" customFormat="1" ht="30" hidden="1" customHeight="1" outlineLevel="1" x14ac:dyDescent="0.25">
      <c r="A1219" s="4">
        <v>479</v>
      </c>
      <c r="B1219" s="6" t="s">
        <v>15</v>
      </c>
      <c r="C1219" s="38" t="s">
        <v>8600</v>
      </c>
      <c r="D1219" s="6">
        <v>2023</v>
      </c>
      <c r="E1219" s="6" t="s">
        <v>12</v>
      </c>
      <c r="F1219" s="6">
        <v>24</v>
      </c>
      <c r="G1219" s="40">
        <v>30</v>
      </c>
      <c r="H1219" s="40">
        <v>29.907980000000002</v>
      </c>
      <c r="I1219" s="212"/>
      <c r="J1219" s="212"/>
    </row>
    <row r="1220" spans="1:10" s="5" customFormat="1" ht="30" hidden="1" customHeight="1" outlineLevel="1" x14ac:dyDescent="0.25">
      <c r="A1220" s="4">
        <v>3953</v>
      </c>
      <c r="B1220" s="6" t="s">
        <v>15</v>
      </c>
      <c r="C1220" s="38" t="s">
        <v>8601</v>
      </c>
      <c r="D1220" s="6">
        <v>2023</v>
      </c>
      <c r="E1220" s="6" t="s">
        <v>12</v>
      </c>
      <c r="F1220" s="6">
        <v>48</v>
      </c>
      <c r="G1220" s="40">
        <v>20</v>
      </c>
      <c r="H1220" s="40">
        <v>65.47945</v>
      </c>
      <c r="I1220" s="212"/>
      <c r="J1220" s="212"/>
    </row>
    <row r="1221" spans="1:10" s="5" customFormat="1" ht="30" hidden="1" customHeight="1" outlineLevel="1" x14ac:dyDescent="0.25">
      <c r="A1221" s="4">
        <v>414</v>
      </c>
      <c r="B1221" s="6" t="s">
        <v>15</v>
      </c>
      <c r="C1221" s="38" t="s">
        <v>8602</v>
      </c>
      <c r="D1221" s="6">
        <v>2023</v>
      </c>
      <c r="E1221" s="6" t="s">
        <v>12</v>
      </c>
      <c r="F1221" s="6">
        <v>63</v>
      </c>
      <c r="G1221" s="40">
        <v>20</v>
      </c>
      <c r="H1221" s="40">
        <v>64.330340000000007</v>
      </c>
      <c r="I1221" s="212"/>
      <c r="J1221" s="212"/>
    </row>
    <row r="1222" spans="1:10" s="5" customFormat="1" ht="30" hidden="1" customHeight="1" outlineLevel="1" x14ac:dyDescent="0.25">
      <c r="A1222" s="4">
        <v>3387</v>
      </c>
      <c r="B1222" s="6" t="s">
        <v>15</v>
      </c>
      <c r="C1222" s="38" t="s">
        <v>8603</v>
      </c>
      <c r="D1222" s="6">
        <v>2023</v>
      </c>
      <c r="E1222" s="6" t="s">
        <v>12</v>
      </c>
      <c r="F1222" s="6">
        <v>36</v>
      </c>
      <c r="G1222" s="40">
        <v>2.6</v>
      </c>
      <c r="H1222" s="40">
        <v>55.934919999999998</v>
      </c>
      <c r="I1222" s="212"/>
      <c r="J1222" s="212"/>
    </row>
    <row r="1223" spans="1:10" s="5" customFormat="1" ht="30" hidden="1" customHeight="1" outlineLevel="1" x14ac:dyDescent="0.25">
      <c r="A1223" s="4">
        <v>3947</v>
      </c>
      <c r="B1223" s="6" t="s">
        <v>15</v>
      </c>
      <c r="C1223" s="38" t="s">
        <v>8604</v>
      </c>
      <c r="D1223" s="6">
        <v>2023</v>
      </c>
      <c r="E1223" s="6" t="s">
        <v>12</v>
      </c>
      <c r="F1223" s="6">
        <v>168</v>
      </c>
      <c r="G1223" s="40">
        <v>15</v>
      </c>
      <c r="H1223" s="40">
        <v>95.604219999999998</v>
      </c>
      <c r="I1223" s="212"/>
      <c r="J1223" s="212"/>
    </row>
    <row r="1224" spans="1:10" s="5" customFormat="1" ht="30" hidden="1" customHeight="1" outlineLevel="1" x14ac:dyDescent="0.25">
      <c r="A1224" s="4">
        <v>3360</v>
      </c>
      <c r="B1224" s="6" t="s">
        <v>15</v>
      </c>
      <c r="C1224" s="38" t="s">
        <v>8605</v>
      </c>
      <c r="D1224" s="6">
        <v>2023</v>
      </c>
      <c r="E1224" s="6" t="s">
        <v>12</v>
      </c>
      <c r="F1224" s="6">
        <v>152</v>
      </c>
      <c r="G1224" s="40">
        <v>35</v>
      </c>
      <c r="H1224" s="40">
        <v>185.35851</v>
      </c>
      <c r="I1224" s="212"/>
      <c r="J1224" s="212"/>
    </row>
    <row r="1225" spans="1:10" s="5" customFormat="1" ht="30" hidden="1" customHeight="1" outlineLevel="1" x14ac:dyDescent="0.25">
      <c r="A1225" s="4">
        <v>3910</v>
      </c>
      <c r="B1225" s="6" t="s">
        <v>15</v>
      </c>
      <c r="C1225" s="38" t="s">
        <v>8606</v>
      </c>
      <c r="D1225" s="6">
        <v>2023</v>
      </c>
      <c r="E1225" s="6" t="s">
        <v>12</v>
      </c>
      <c r="F1225" s="6">
        <v>41</v>
      </c>
      <c r="G1225" s="40">
        <v>30</v>
      </c>
      <c r="H1225" s="40">
        <v>30.173670000000001</v>
      </c>
      <c r="I1225" s="212"/>
      <c r="J1225" s="212"/>
    </row>
    <row r="1226" spans="1:10" s="5" customFormat="1" ht="30" hidden="1" customHeight="1" outlineLevel="1" x14ac:dyDescent="0.25">
      <c r="A1226" s="4">
        <v>541</v>
      </c>
      <c r="B1226" s="6" t="s">
        <v>15</v>
      </c>
      <c r="C1226" s="38" t="s">
        <v>8607</v>
      </c>
      <c r="D1226" s="6">
        <v>2023</v>
      </c>
      <c r="E1226" s="6" t="s">
        <v>12</v>
      </c>
      <c r="F1226" s="6">
        <v>104</v>
      </c>
      <c r="G1226" s="40">
        <v>15</v>
      </c>
      <c r="H1226" s="40">
        <v>76.992980000000003</v>
      </c>
      <c r="I1226" s="212"/>
      <c r="J1226" s="212"/>
    </row>
    <row r="1227" spans="1:10" s="5" customFormat="1" ht="30" hidden="1" customHeight="1" outlineLevel="1" x14ac:dyDescent="0.25">
      <c r="A1227" s="4">
        <v>3944</v>
      </c>
      <c r="B1227" s="6" t="s">
        <v>15</v>
      </c>
      <c r="C1227" s="38" t="s">
        <v>8608</v>
      </c>
      <c r="D1227" s="6">
        <v>2023</v>
      </c>
      <c r="E1227" s="6" t="s">
        <v>12</v>
      </c>
      <c r="F1227" s="6">
        <v>64</v>
      </c>
      <c r="G1227" s="40">
        <v>15</v>
      </c>
      <c r="H1227" s="40">
        <v>95.05740999999999</v>
      </c>
      <c r="I1227" s="212"/>
      <c r="J1227" s="212"/>
    </row>
    <row r="1228" spans="1:10" s="5" customFormat="1" ht="30" hidden="1" customHeight="1" outlineLevel="1" x14ac:dyDescent="0.25">
      <c r="A1228" s="4">
        <v>3263</v>
      </c>
      <c r="B1228" s="6" t="s">
        <v>15</v>
      </c>
      <c r="C1228" s="38" t="s">
        <v>8609</v>
      </c>
      <c r="D1228" s="6">
        <v>2023</v>
      </c>
      <c r="E1228" s="6" t="s">
        <v>12</v>
      </c>
      <c r="F1228" s="6">
        <v>162</v>
      </c>
      <c r="G1228" s="40">
        <v>5</v>
      </c>
      <c r="H1228" s="40">
        <v>100.40979</v>
      </c>
      <c r="I1228" s="212"/>
      <c r="J1228" s="212"/>
    </row>
    <row r="1229" spans="1:10" s="5" customFormat="1" ht="30" hidden="1" customHeight="1" outlineLevel="1" x14ac:dyDescent="0.25">
      <c r="A1229" s="4">
        <v>3870</v>
      </c>
      <c r="B1229" s="6" t="s">
        <v>15</v>
      </c>
      <c r="C1229" s="38" t="s">
        <v>8610</v>
      </c>
      <c r="D1229" s="6">
        <v>2023</v>
      </c>
      <c r="E1229" s="6" t="s">
        <v>12</v>
      </c>
      <c r="F1229" s="6">
        <v>130</v>
      </c>
      <c r="G1229" s="40">
        <v>15</v>
      </c>
      <c r="H1229" s="40">
        <v>111.93177999999999</v>
      </c>
      <c r="I1229" s="212"/>
      <c r="J1229" s="212"/>
    </row>
    <row r="1230" spans="1:10" s="5" customFormat="1" ht="30" hidden="1" customHeight="1" outlineLevel="1" x14ac:dyDescent="0.25">
      <c r="A1230" s="4">
        <v>664</v>
      </c>
      <c r="B1230" s="6" t="s">
        <v>15</v>
      </c>
      <c r="C1230" s="38" t="s">
        <v>8611</v>
      </c>
      <c r="D1230" s="6">
        <v>2023</v>
      </c>
      <c r="E1230" s="6" t="s">
        <v>12</v>
      </c>
      <c r="F1230" s="6">
        <v>32</v>
      </c>
      <c r="G1230" s="40">
        <v>15</v>
      </c>
      <c r="H1230" s="40">
        <v>27.963559999999998</v>
      </c>
      <c r="I1230" s="212"/>
      <c r="J1230" s="212"/>
    </row>
    <row r="1231" spans="1:10" s="5" customFormat="1" ht="30" hidden="1" customHeight="1" outlineLevel="1" x14ac:dyDescent="0.25">
      <c r="A1231" s="4">
        <v>802</v>
      </c>
      <c r="B1231" s="6" t="s">
        <v>15</v>
      </c>
      <c r="C1231" s="38" t="s">
        <v>8612</v>
      </c>
      <c r="D1231" s="6">
        <v>2023</v>
      </c>
      <c r="E1231" s="6" t="s">
        <v>12</v>
      </c>
      <c r="F1231" s="6">
        <v>129</v>
      </c>
      <c r="G1231" s="40">
        <v>15</v>
      </c>
      <c r="H1231" s="40">
        <v>111.76382</v>
      </c>
      <c r="I1231" s="212"/>
      <c r="J1231" s="212"/>
    </row>
    <row r="1232" spans="1:10" s="5" customFormat="1" ht="30" hidden="1" customHeight="1" outlineLevel="1" x14ac:dyDescent="0.25">
      <c r="A1232" s="4">
        <v>3239</v>
      </c>
      <c r="B1232" s="6" t="s">
        <v>15</v>
      </c>
      <c r="C1232" s="38" t="s">
        <v>8613</v>
      </c>
      <c r="D1232" s="6">
        <v>2023</v>
      </c>
      <c r="E1232" s="6" t="s">
        <v>12</v>
      </c>
      <c r="F1232" s="6">
        <v>93</v>
      </c>
      <c r="G1232" s="40">
        <v>5</v>
      </c>
      <c r="H1232" s="40">
        <v>78.054780000000008</v>
      </c>
      <c r="I1232" s="212"/>
      <c r="J1232" s="212"/>
    </row>
    <row r="1233" spans="1:10" s="5" customFormat="1" ht="30" hidden="1" customHeight="1" outlineLevel="1" x14ac:dyDescent="0.25">
      <c r="A1233" s="4">
        <v>3246</v>
      </c>
      <c r="B1233" s="6" t="s">
        <v>15</v>
      </c>
      <c r="C1233" s="38" t="s">
        <v>8614</v>
      </c>
      <c r="D1233" s="6">
        <v>2023</v>
      </c>
      <c r="E1233" s="6" t="s">
        <v>12</v>
      </c>
      <c r="F1233" s="6">
        <v>220</v>
      </c>
      <c r="G1233" s="40">
        <v>3</v>
      </c>
      <c r="H1233" s="40">
        <v>58.327480000000001</v>
      </c>
      <c r="I1233" s="212"/>
      <c r="J1233" s="212"/>
    </row>
    <row r="1234" spans="1:10" s="5" customFormat="1" ht="30" hidden="1" customHeight="1" outlineLevel="1" x14ac:dyDescent="0.25">
      <c r="A1234" s="4">
        <v>1173</v>
      </c>
      <c r="B1234" s="6" t="s">
        <v>15</v>
      </c>
      <c r="C1234" s="38" t="s">
        <v>8615</v>
      </c>
      <c r="D1234" s="6">
        <v>2023</v>
      </c>
      <c r="E1234" s="6" t="s">
        <v>12</v>
      </c>
      <c r="F1234" s="6">
        <v>99</v>
      </c>
      <c r="G1234" s="40">
        <v>15</v>
      </c>
      <c r="H1234" s="40">
        <v>103.54692</v>
      </c>
      <c r="I1234" s="212"/>
      <c r="J1234" s="212"/>
    </row>
    <row r="1235" spans="1:10" s="5" customFormat="1" ht="30" hidden="1" customHeight="1" outlineLevel="1" x14ac:dyDescent="0.25">
      <c r="A1235" s="4">
        <v>952</v>
      </c>
      <c r="B1235" s="6" t="s">
        <v>15</v>
      </c>
      <c r="C1235" s="38" t="s">
        <v>8616</v>
      </c>
      <c r="D1235" s="6">
        <v>2023</v>
      </c>
      <c r="E1235" s="6" t="s">
        <v>12</v>
      </c>
      <c r="F1235" s="6">
        <v>109</v>
      </c>
      <c r="G1235" s="40">
        <v>22</v>
      </c>
      <c r="H1235" s="40">
        <v>273.16341</v>
      </c>
      <c r="I1235" s="212"/>
      <c r="J1235" s="212"/>
    </row>
    <row r="1236" spans="1:10" s="5" customFormat="1" ht="30" hidden="1" customHeight="1" outlineLevel="1" x14ac:dyDescent="0.25">
      <c r="A1236" s="4">
        <v>684</v>
      </c>
      <c r="B1236" s="6" t="s">
        <v>15</v>
      </c>
      <c r="C1236" s="38" t="s">
        <v>8617</v>
      </c>
      <c r="D1236" s="6">
        <v>2023</v>
      </c>
      <c r="E1236" s="6" t="s">
        <v>12</v>
      </c>
      <c r="F1236" s="6">
        <v>153</v>
      </c>
      <c r="G1236" s="40">
        <v>15</v>
      </c>
      <c r="H1236" s="40">
        <v>432.17651000000001</v>
      </c>
      <c r="I1236" s="212"/>
      <c r="J1236" s="212"/>
    </row>
    <row r="1237" spans="1:10" s="5" customFormat="1" ht="30" hidden="1" customHeight="1" outlineLevel="1" x14ac:dyDescent="0.25">
      <c r="A1237" s="4">
        <v>693</v>
      </c>
      <c r="B1237" s="6" t="s">
        <v>15</v>
      </c>
      <c r="C1237" s="38" t="s">
        <v>8618</v>
      </c>
      <c r="D1237" s="6">
        <v>2023</v>
      </c>
      <c r="E1237" s="6" t="s">
        <v>12</v>
      </c>
      <c r="F1237" s="6">
        <v>202</v>
      </c>
      <c r="G1237" s="40">
        <v>10</v>
      </c>
      <c r="H1237" s="40">
        <v>456.57143000000002</v>
      </c>
      <c r="I1237" s="212"/>
      <c r="J1237" s="212"/>
    </row>
    <row r="1238" spans="1:10" s="5" customFormat="1" ht="30" hidden="1" customHeight="1" outlineLevel="1" x14ac:dyDescent="0.25">
      <c r="A1238" s="4">
        <v>5175</v>
      </c>
      <c r="B1238" s="6" t="s">
        <v>15</v>
      </c>
      <c r="C1238" s="38" t="s">
        <v>8619</v>
      </c>
      <c r="D1238" s="6">
        <v>2023</v>
      </c>
      <c r="E1238" s="6" t="s">
        <v>12</v>
      </c>
      <c r="F1238" s="6">
        <v>248</v>
      </c>
      <c r="G1238" s="40">
        <v>7.5</v>
      </c>
      <c r="H1238" s="40">
        <v>359.29021</v>
      </c>
      <c r="I1238" s="212"/>
      <c r="J1238" s="212"/>
    </row>
    <row r="1239" spans="1:10" s="5" customFormat="1" ht="30" hidden="1" customHeight="1" outlineLevel="1" x14ac:dyDescent="0.25">
      <c r="A1239" s="4">
        <v>971</v>
      </c>
      <c r="B1239" s="6" t="s">
        <v>15</v>
      </c>
      <c r="C1239" s="38" t="s">
        <v>8620</v>
      </c>
      <c r="D1239" s="6">
        <v>2023</v>
      </c>
      <c r="E1239" s="6" t="s">
        <v>12</v>
      </c>
      <c r="F1239" s="6">
        <v>120</v>
      </c>
      <c r="G1239" s="40">
        <v>15</v>
      </c>
      <c r="H1239" s="40">
        <v>326.96621999999996</v>
      </c>
      <c r="I1239" s="212"/>
      <c r="J1239" s="212"/>
    </row>
    <row r="1240" spans="1:10" s="5" customFormat="1" ht="30" hidden="1" customHeight="1" outlineLevel="1" x14ac:dyDescent="0.25">
      <c r="A1240" s="4">
        <v>2824</v>
      </c>
      <c r="B1240" s="6" t="s">
        <v>15</v>
      </c>
      <c r="C1240" s="38" t="s">
        <v>8621</v>
      </c>
      <c r="D1240" s="6">
        <v>2023</v>
      </c>
      <c r="E1240" s="6" t="s">
        <v>12</v>
      </c>
      <c r="F1240" s="6">
        <v>11</v>
      </c>
      <c r="G1240" s="40">
        <v>15</v>
      </c>
      <c r="H1240" s="40">
        <v>34.545200000000001</v>
      </c>
      <c r="I1240" s="212"/>
      <c r="J1240" s="212"/>
    </row>
    <row r="1241" spans="1:10" s="5" customFormat="1" ht="30" hidden="1" customHeight="1" outlineLevel="1" x14ac:dyDescent="0.25">
      <c r="A1241" s="4">
        <v>350</v>
      </c>
      <c r="B1241" s="6" t="s">
        <v>15</v>
      </c>
      <c r="C1241" s="38" t="s">
        <v>8622</v>
      </c>
      <c r="D1241" s="6">
        <v>2023</v>
      </c>
      <c r="E1241" s="6" t="s">
        <v>12</v>
      </c>
      <c r="F1241" s="6">
        <v>26</v>
      </c>
      <c r="G1241" s="40">
        <v>15</v>
      </c>
      <c r="H1241" s="40">
        <v>48.449569999999994</v>
      </c>
      <c r="I1241" s="212"/>
      <c r="J1241" s="212"/>
    </row>
    <row r="1242" spans="1:10" s="5" customFormat="1" ht="30" hidden="1" customHeight="1" outlineLevel="1" x14ac:dyDescent="0.25">
      <c r="A1242" s="4">
        <v>360</v>
      </c>
      <c r="B1242" s="6" t="s">
        <v>15</v>
      </c>
      <c r="C1242" s="38" t="s">
        <v>8623</v>
      </c>
      <c r="D1242" s="6">
        <v>2023</v>
      </c>
      <c r="E1242" s="6" t="s">
        <v>12</v>
      </c>
      <c r="F1242" s="6">
        <v>46</v>
      </c>
      <c r="G1242" s="40">
        <v>20</v>
      </c>
      <c r="H1242" s="40">
        <v>78.000489999999999</v>
      </c>
      <c r="I1242" s="212"/>
      <c r="J1242" s="212"/>
    </row>
    <row r="1243" spans="1:10" s="5" customFormat="1" ht="30" hidden="1" customHeight="1" outlineLevel="1" x14ac:dyDescent="0.25">
      <c r="A1243" s="4">
        <v>377</v>
      </c>
      <c r="B1243" s="6" t="s">
        <v>15</v>
      </c>
      <c r="C1243" s="38" t="s">
        <v>8624</v>
      </c>
      <c r="D1243" s="6">
        <v>2023</v>
      </c>
      <c r="E1243" s="6" t="s">
        <v>12</v>
      </c>
      <c r="F1243" s="6">
        <v>36</v>
      </c>
      <c r="G1243" s="40">
        <v>15</v>
      </c>
      <c r="H1243" s="40">
        <v>59.410119999999999</v>
      </c>
      <c r="I1243" s="212"/>
      <c r="J1243" s="212"/>
    </row>
    <row r="1244" spans="1:10" s="5" customFormat="1" ht="30" hidden="1" customHeight="1" outlineLevel="1" x14ac:dyDescent="0.25">
      <c r="A1244" s="4">
        <v>379</v>
      </c>
      <c r="B1244" s="6" t="s">
        <v>15</v>
      </c>
      <c r="C1244" s="38" t="s">
        <v>8625</v>
      </c>
      <c r="D1244" s="6">
        <v>2023</v>
      </c>
      <c r="E1244" s="6" t="s">
        <v>12</v>
      </c>
      <c r="F1244" s="6">
        <v>49</v>
      </c>
      <c r="G1244" s="40">
        <v>40</v>
      </c>
      <c r="H1244" s="40">
        <v>71.395349999999993</v>
      </c>
      <c r="I1244" s="212"/>
      <c r="J1244" s="212"/>
    </row>
    <row r="1245" spans="1:10" s="5" customFormat="1" ht="30" hidden="1" customHeight="1" outlineLevel="1" x14ac:dyDescent="0.25">
      <c r="A1245" s="4">
        <v>3961</v>
      </c>
      <c r="B1245" s="6" t="s">
        <v>15</v>
      </c>
      <c r="C1245" s="38" t="s">
        <v>8626</v>
      </c>
      <c r="D1245" s="6">
        <v>2023</v>
      </c>
      <c r="E1245" s="6" t="s">
        <v>12</v>
      </c>
      <c r="F1245" s="6">
        <v>48</v>
      </c>
      <c r="G1245" s="40">
        <v>10</v>
      </c>
      <c r="H1245" s="40">
        <v>43.567950000000003</v>
      </c>
      <c r="I1245" s="212"/>
      <c r="J1245" s="212"/>
    </row>
    <row r="1246" spans="1:10" s="5" customFormat="1" ht="30" hidden="1" customHeight="1" outlineLevel="1" x14ac:dyDescent="0.25">
      <c r="A1246" s="4">
        <v>390</v>
      </c>
      <c r="B1246" s="6" t="s">
        <v>15</v>
      </c>
      <c r="C1246" s="38" t="s">
        <v>8627</v>
      </c>
      <c r="D1246" s="6">
        <v>2023</v>
      </c>
      <c r="E1246" s="6" t="s">
        <v>12</v>
      </c>
      <c r="F1246" s="6">
        <v>39</v>
      </c>
      <c r="G1246" s="40">
        <v>15</v>
      </c>
      <c r="H1246" s="40">
        <v>31.692430000000002</v>
      </c>
      <c r="I1246" s="212"/>
      <c r="J1246" s="212"/>
    </row>
    <row r="1247" spans="1:10" s="5" customFormat="1" ht="30" hidden="1" customHeight="1" outlineLevel="1" x14ac:dyDescent="0.25">
      <c r="A1247" s="4">
        <v>358</v>
      </c>
      <c r="B1247" s="6" t="s">
        <v>15</v>
      </c>
      <c r="C1247" s="38" t="s">
        <v>8628</v>
      </c>
      <c r="D1247" s="6">
        <v>2023</v>
      </c>
      <c r="E1247" s="6" t="s">
        <v>12</v>
      </c>
      <c r="F1247" s="6">
        <v>11</v>
      </c>
      <c r="G1247" s="40">
        <v>15</v>
      </c>
      <c r="H1247" s="40">
        <v>55.520479999999999</v>
      </c>
      <c r="I1247" s="212"/>
      <c r="J1247" s="212"/>
    </row>
    <row r="1248" spans="1:10" s="5" customFormat="1" ht="30" hidden="1" customHeight="1" outlineLevel="1" x14ac:dyDescent="0.25">
      <c r="A1248" s="4">
        <v>416</v>
      </c>
      <c r="B1248" s="6" t="s">
        <v>15</v>
      </c>
      <c r="C1248" s="38" t="s">
        <v>8629</v>
      </c>
      <c r="D1248" s="6">
        <v>2023</v>
      </c>
      <c r="E1248" s="6" t="s">
        <v>12</v>
      </c>
      <c r="F1248" s="6">
        <v>35</v>
      </c>
      <c r="G1248" s="40">
        <v>14</v>
      </c>
      <c r="H1248" s="40">
        <v>45.74183</v>
      </c>
      <c r="I1248" s="212"/>
      <c r="J1248" s="212"/>
    </row>
    <row r="1249" spans="1:10" s="5" customFormat="1" ht="30" hidden="1" customHeight="1" outlineLevel="1" x14ac:dyDescent="0.25">
      <c r="A1249" s="4">
        <v>530</v>
      </c>
      <c r="B1249" s="6" t="s">
        <v>15</v>
      </c>
      <c r="C1249" s="38" t="s">
        <v>8630</v>
      </c>
      <c r="D1249" s="6">
        <v>2023</v>
      </c>
      <c r="E1249" s="6" t="s">
        <v>12</v>
      </c>
      <c r="F1249" s="6">
        <v>50</v>
      </c>
      <c r="G1249" s="40">
        <v>10</v>
      </c>
      <c r="H1249" s="40">
        <v>94.838880000000003</v>
      </c>
      <c r="I1249" s="212"/>
      <c r="J1249" s="212"/>
    </row>
    <row r="1250" spans="1:10" s="5" customFormat="1" ht="30" hidden="1" customHeight="1" outlineLevel="1" x14ac:dyDescent="0.25">
      <c r="A1250" s="4">
        <v>3898</v>
      </c>
      <c r="B1250" s="6" t="s">
        <v>15</v>
      </c>
      <c r="C1250" s="38" t="s">
        <v>8631</v>
      </c>
      <c r="D1250" s="6">
        <v>2023</v>
      </c>
      <c r="E1250" s="6" t="s">
        <v>12</v>
      </c>
      <c r="F1250" s="6">
        <v>38</v>
      </c>
      <c r="G1250" s="40">
        <v>15</v>
      </c>
      <c r="H1250" s="40">
        <v>58.962609999999998</v>
      </c>
      <c r="I1250" s="212"/>
      <c r="J1250" s="212"/>
    </row>
    <row r="1251" spans="1:10" s="5" customFormat="1" ht="30" hidden="1" customHeight="1" outlineLevel="1" x14ac:dyDescent="0.25">
      <c r="A1251" s="4">
        <v>3218</v>
      </c>
      <c r="B1251" s="6" t="s">
        <v>15</v>
      </c>
      <c r="C1251" s="38" t="s">
        <v>8632</v>
      </c>
      <c r="D1251" s="6">
        <v>2023</v>
      </c>
      <c r="E1251" s="6" t="s">
        <v>12</v>
      </c>
      <c r="F1251" s="6">
        <v>80</v>
      </c>
      <c r="G1251" s="40">
        <v>15</v>
      </c>
      <c r="H1251" s="40">
        <v>104.4418</v>
      </c>
      <c r="I1251" s="212"/>
      <c r="J1251" s="212"/>
    </row>
    <row r="1252" spans="1:10" s="5" customFormat="1" ht="30" hidden="1" customHeight="1" outlineLevel="1" x14ac:dyDescent="0.25">
      <c r="A1252" s="4">
        <v>3842</v>
      </c>
      <c r="B1252" s="6" t="s">
        <v>15</v>
      </c>
      <c r="C1252" s="38" t="s">
        <v>8633</v>
      </c>
      <c r="D1252" s="6">
        <v>2023</v>
      </c>
      <c r="E1252" s="6" t="s">
        <v>12</v>
      </c>
      <c r="F1252" s="6">
        <v>74</v>
      </c>
      <c r="G1252" s="40">
        <v>10</v>
      </c>
      <c r="H1252" s="40">
        <v>86.127899999999997</v>
      </c>
      <c r="I1252" s="212"/>
      <c r="J1252" s="212"/>
    </row>
    <row r="1253" spans="1:10" s="5" customFormat="1" ht="30" hidden="1" customHeight="1" outlineLevel="1" x14ac:dyDescent="0.25">
      <c r="A1253" s="4">
        <v>761</v>
      </c>
      <c r="B1253" s="6" t="s">
        <v>15</v>
      </c>
      <c r="C1253" s="38" t="s">
        <v>8634</v>
      </c>
      <c r="D1253" s="6">
        <v>2023</v>
      </c>
      <c r="E1253" s="6" t="s">
        <v>12</v>
      </c>
      <c r="F1253" s="6">
        <v>60</v>
      </c>
      <c r="G1253" s="40">
        <v>10</v>
      </c>
      <c r="H1253" s="40">
        <v>75.811000000000007</v>
      </c>
      <c r="I1253" s="212"/>
      <c r="J1253" s="212"/>
    </row>
    <row r="1254" spans="1:10" s="5" customFormat="1" ht="30" hidden="1" customHeight="1" outlineLevel="1" x14ac:dyDescent="0.25">
      <c r="A1254" s="4">
        <v>5509</v>
      </c>
      <c r="B1254" s="6" t="s">
        <v>15</v>
      </c>
      <c r="C1254" s="38" t="s">
        <v>8635</v>
      </c>
      <c r="D1254" s="6">
        <v>2023</v>
      </c>
      <c r="E1254" s="6" t="s">
        <v>12</v>
      </c>
      <c r="F1254" s="6">
        <v>4</v>
      </c>
      <c r="G1254" s="40">
        <v>30</v>
      </c>
      <c r="H1254" s="40">
        <v>83.671279999999996</v>
      </c>
      <c r="I1254" s="212"/>
      <c r="J1254" s="212"/>
    </row>
    <row r="1255" spans="1:10" s="5" customFormat="1" ht="30" hidden="1" customHeight="1" outlineLevel="1" x14ac:dyDescent="0.25">
      <c r="A1255" s="4">
        <v>5510</v>
      </c>
      <c r="B1255" s="6" t="s">
        <v>15</v>
      </c>
      <c r="C1255" s="38" t="s">
        <v>8636</v>
      </c>
      <c r="D1255" s="6">
        <v>2023</v>
      </c>
      <c r="E1255" s="6" t="s">
        <v>12</v>
      </c>
      <c r="F1255" s="6">
        <v>186</v>
      </c>
      <c r="G1255" s="40">
        <v>15</v>
      </c>
      <c r="H1255" s="40">
        <v>222.66448</v>
      </c>
      <c r="I1255" s="212"/>
      <c r="J1255" s="212"/>
    </row>
    <row r="1256" spans="1:10" s="5" customFormat="1" ht="30" hidden="1" customHeight="1" outlineLevel="1" x14ac:dyDescent="0.25">
      <c r="A1256" s="4">
        <v>3046</v>
      </c>
      <c r="B1256" s="6" t="s">
        <v>15</v>
      </c>
      <c r="C1256" s="38" t="s">
        <v>8637</v>
      </c>
      <c r="D1256" s="6">
        <v>2023</v>
      </c>
      <c r="E1256" s="6" t="s">
        <v>12</v>
      </c>
      <c r="F1256" s="6">
        <v>292</v>
      </c>
      <c r="G1256" s="40">
        <v>65</v>
      </c>
      <c r="H1256" s="40">
        <v>501.60006000000004</v>
      </c>
      <c r="I1256" s="212"/>
      <c r="J1256" s="212"/>
    </row>
    <row r="1257" spans="1:10" s="5" customFormat="1" ht="30" hidden="1" customHeight="1" outlineLevel="1" x14ac:dyDescent="0.25">
      <c r="A1257" s="4">
        <v>2992</v>
      </c>
      <c r="B1257" s="6" t="s">
        <v>15</v>
      </c>
      <c r="C1257" s="38" t="s">
        <v>8638</v>
      </c>
      <c r="D1257" s="6">
        <v>2023</v>
      </c>
      <c r="E1257" s="6" t="s">
        <v>12</v>
      </c>
      <c r="F1257" s="6">
        <v>11</v>
      </c>
      <c r="G1257" s="40">
        <v>150</v>
      </c>
      <c r="H1257" s="40">
        <v>31.070230000000002</v>
      </c>
      <c r="I1257" s="212"/>
      <c r="J1257" s="212"/>
    </row>
    <row r="1258" spans="1:10" s="5" customFormat="1" ht="30" hidden="1" customHeight="1" outlineLevel="1" x14ac:dyDescent="0.25">
      <c r="A1258" s="4">
        <v>382</v>
      </c>
      <c r="B1258" s="6" t="s">
        <v>15</v>
      </c>
      <c r="C1258" s="38" t="s">
        <v>8639</v>
      </c>
      <c r="D1258" s="6">
        <v>2023</v>
      </c>
      <c r="E1258" s="6" t="s">
        <v>12</v>
      </c>
      <c r="F1258" s="6">
        <v>28</v>
      </c>
      <c r="G1258" s="40">
        <v>15</v>
      </c>
      <c r="H1258" s="40">
        <v>43.755219999999994</v>
      </c>
      <c r="I1258" s="212"/>
      <c r="J1258" s="212"/>
    </row>
    <row r="1259" spans="1:10" s="5" customFormat="1" ht="30" hidden="1" customHeight="1" outlineLevel="1" x14ac:dyDescent="0.25">
      <c r="A1259" s="4">
        <v>396</v>
      </c>
      <c r="B1259" s="6" t="s">
        <v>15</v>
      </c>
      <c r="C1259" s="38" t="s">
        <v>8640</v>
      </c>
      <c r="D1259" s="6">
        <v>2023</v>
      </c>
      <c r="E1259" s="6" t="s">
        <v>12</v>
      </c>
      <c r="F1259" s="6">
        <v>72</v>
      </c>
      <c r="G1259" s="40">
        <v>15</v>
      </c>
      <c r="H1259" s="40">
        <v>108.34915000000001</v>
      </c>
      <c r="I1259" s="212"/>
      <c r="J1259" s="212"/>
    </row>
    <row r="1260" spans="1:10" s="5" customFormat="1" ht="30" hidden="1" customHeight="1" outlineLevel="1" x14ac:dyDescent="0.25">
      <c r="A1260" s="4">
        <v>399</v>
      </c>
      <c r="B1260" s="6" t="s">
        <v>15</v>
      </c>
      <c r="C1260" s="38" t="s">
        <v>8641</v>
      </c>
      <c r="D1260" s="6">
        <v>2023</v>
      </c>
      <c r="E1260" s="6" t="s">
        <v>12</v>
      </c>
      <c r="F1260" s="6">
        <v>98</v>
      </c>
      <c r="G1260" s="40">
        <v>12</v>
      </c>
      <c r="H1260" s="40">
        <v>59.476759999999999</v>
      </c>
      <c r="I1260" s="212"/>
      <c r="J1260" s="212"/>
    </row>
    <row r="1261" spans="1:10" s="5" customFormat="1" ht="30" hidden="1" customHeight="1" outlineLevel="1" x14ac:dyDescent="0.25">
      <c r="A1261" s="4">
        <v>449</v>
      </c>
      <c r="B1261" s="6" t="s">
        <v>15</v>
      </c>
      <c r="C1261" s="38" t="s">
        <v>8642</v>
      </c>
      <c r="D1261" s="6">
        <v>2023</v>
      </c>
      <c r="E1261" s="6" t="s">
        <v>12</v>
      </c>
      <c r="F1261" s="6">
        <v>28</v>
      </c>
      <c r="G1261" s="40">
        <v>20</v>
      </c>
      <c r="H1261" s="40">
        <v>61.565929999999994</v>
      </c>
      <c r="I1261" s="212"/>
      <c r="J1261" s="212"/>
    </row>
    <row r="1262" spans="1:10" s="5" customFormat="1" ht="30" hidden="1" customHeight="1" outlineLevel="1" x14ac:dyDescent="0.25">
      <c r="A1262" s="4">
        <v>5048</v>
      </c>
      <c r="B1262" s="6" t="s">
        <v>15</v>
      </c>
      <c r="C1262" s="38" t="s">
        <v>8643</v>
      </c>
      <c r="D1262" s="6">
        <v>2023</v>
      </c>
      <c r="E1262" s="6" t="s">
        <v>12</v>
      </c>
      <c r="F1262" s="6">
        <v>119</v>
      </c>
      <c r="G1262" s="40">
        <v>15</v>
      </c>
      <c r="H1262" s="40">
        <v>63.806760000000004</v>
      </c>
      <c r="I1262" s="212"/>
      <c r="J1262" s="212"/>
    </row>
    <row r="1263" spans="1:10" s="5" customFormat="1" ht="30" hidden="1" customHeight="1" outlineLevel="1" x14ac:dyDescent="0.25">
      <c r="A1263" s="4">
        <v>498</v>
      </c>
      <c r="B1263" s="6" t="s">
        <v>15</v>
      </c>
      <c r="C1263" s="38" t="s">
        <v>8644</v>
      </c>
      <c r="D1263" s="6">
        <v>2023</v>
      </c>
      <c r="E1263" s="6" t="s">
        <v>12</v>
      </c>
      <c r="F1263" s="6">
        <v>53</v>
      </c>
      <c r="G1263" s="40">
        <v>20</v>
      </c>
      <c r="H1263" s="40">
        <v>37.096260000000001</v>
      </c>
      <c r="I1263" s="212"/>
      <c r="J1263" s="212"/>
    </row>
    <row r="1264" spans="1:10" s="5" customFormat="1" ht="30" hidden="1" customHeight="1" outlineLevel="1" x14ac:dyDescent="0.25">
      <c r="A1264" s="4">
        <v>829</v>
      </c>
      <c r="B1264" s="6" t="s">
        <v>15</v>
      </c>
      <c r="C1264" s="38" t="s">
        <v>8645</v>
      </c>
      <c r="D1264" s="6">
        <v>2023</v>
      </c>
      <c r="E1264" s="6" t="s">
        <v>12</v>
      </c>
      <c r="F1264" s="6">
        <v>76</v>
      </c>
      <c r="G1264" s="40">
        <v>35</v>
      </c>
      <c r="H1264" s="40">
        <v>103.18191</v>
      </c>
      <c r="I1264" s="212"/>
      <c r="J1264" s="212"/>
    </row>
    <row r="1265" spans="1:10" s="5" customFormat="1" ht="30" hidden="1" customHeight="1" outlineLevel="1" x14ac:dyDescent="0.25">
      <c r="A1265" s="4">
        <v>555</v>
      </c>
      <c r="B1265" s="6" t="s">
        <v>15</v>
      </c>
      <c r="C1265" s="38" t="s">
        <v>8646</v>
      </c>
      <c r="D1265" s="6">
        <v>2023</v>
      </c>
      <c r="E1265" s="6" t="s">
        <v>12</v>
      </c>
      <c r="F1265" s="6">
        <v>70</v>
      </c>
      <c r="G1265" s="40">
        <v>15</v>
      </c>
      <c r="H1265" s="40">
        <v>39.472110000000001</v>
      </c>
      <c r="I1265" s="212"/>
      <c r="J1265" s="212"/>
    </row>
    <row r="1266" spans="1:10" s="5" customFormat="1" ht="30" hidden="1" customHeight="1" outlineLevel="1" x14ac:dyDescent="0.25">
      <c r="A1266" s="4">
        <v>3856</v>
      </c>
      <c r="B1266" s="6" t="s">
        <v>15</v>
      </c>
      <c r="C1266" s="38" t="s">
        <v>8647</v>
      </c>
      <c r="D1266" s="6">
        <v>2023</v>
      </c>
      <c r="E1266" s="6" t="s">
        <v>12</v>
      </c>
      <c r="F1266" s="6">
        <v>67</v>
      </c>
      <c r="G1266" s="40">
        <v>15</v>
      </c>
      <c r="H1266" s="40">
        <v>88.895399999999995</v>
      </c>
      <c r="I1266" s="212"/>
      <c r="J1266" s="212"/>
    </row>
    <row r="1267" spans="1:10" s="5" customFormat="1" ht="30" hidden="1" customHeight="1" outlineLevel="1" x14ac:dyDescent="0.25">
      <c r="A1267" s="4">
        <v>615</v>
      </c>
      <c r="B1267" s="6" t="s">
        <v>15</v>
      </c>
      <c r="C1267" s="38" t="s">
        <v>8648</v>
      </c>
      <c r="D1267" s="6">
        <v>2023</v>
      </c>
      <c r="E1267" s="6" t="s">
        <v>12</v>
      </c>
      <c r="F1267" s="6">
        <v>52</v>
      </c>
      <c r="G1267" s="40">
        <v>7.5</v>
      </c>
      <c r="H1267" s="40">
        <v>65.53470999999999</v>
      </c>
      <c r="I1267" s="212"/>
      <c r="J1267" s="212"/>
    </row>
    <row r="1268" spans="1:10" s="5" customFormat="1" ht="30" hidden="1" customHeight="1" outlineLevel="1" x14ac:dyDescent="0.25">
      <c r="A1268" s="4">
        <v>791</v>
      </c>
      <c r="B1268" s="6" t="s">
        <v>15</v>
      </c>
      <c r="C1268" s="38" t="s">
        <v>8649</v>
      </c>
      <c r="D1268" s="6">
        <v>2023</v>
      </c>
      <c r="E1268" s="6" t="s">
        <v>12</v>
      </c>
      <c r="F1268" s="6">
        <v>30</v>
      </c>
      <c r="G1268" s="40">
        <v>15</v>
      </c>
      <c r="H1268" s="40">
        <v>35.75441</v>
      </c>
      <c r="I1268" s="212"/>
      <c r="J1268" s="212"/>
    </row>
    <row r="1269" spans="1:10" s="5" customFormat="1" ht="30" hidden="1" customHeight="1" outlineLevel="1" x14ac:dyDescent="0.25">
      <c r="A1269" s="4">
        <v>3355</v>
      </c>
      <c r="B1269" s="6" t="s">
        <v>15</v>
      </c>
      <c r="C1269" s="38" t="s">
        <v>8650</v>
      </c>
      <c r="D1269" s="6">
        <v>2023</v>
      </c>
      <c r="E1269" s="6" t="s">
        <v>12</v>
      </c>
      <c r="F1269" s="6">
        <v>63</v>
      </c>
      <c r="G1269" s="40">
        <v>45</v>
      </c>
      <c r="H1269" s="40">
        <v>63.832639999999998</v>
      </c>
      <c r="I1269" s="212"/>
      <c r="J1269" s="212"/>
    </row>
    <row r="1270" spans="1:10" s="5" customFormat="1" ht="30" hidden="1" customHeight="1" outlineLevel="1" x14ac:dyDescent="0.25">
      <c r="A1270" s="4">
        <v>1200</v>
      </c>
      <c r="B1270" s="6" t="s">
        <v>15</v>
      </c>
      <c r="C1270" s="38" t="s">
        <v>8651</v>
      </c>
      <c r="D1270" s="6">
        <v>2023</v>
      </c>
      <c r="E1270" s="6" t="s">
        <v>12</v>
      </c>
      <c r="F1270" s="6">
        <v>380</v>
      </c>
      <c r="G1270" s="40">
        <v>15</v>
      </c>
      <c r="H1270" s="40">
        <v>878.12018999999998</v>
      </c>
      <c r="I1270" s="212"/>
      <c r="J1270" s="212"/>
    </row>
    <row r="1271" spans="1:10" s="5" customFormat="1" ht="30" hidden="1" customHeight="1" outlineLevel="1" x14ac:dyDescent="0.25">
      <c r="A1271" s="4">
        <v>1653</v>
      </c>
      <c r="B1271" s="6" t="s">
        <v>15</v>
      </c>
      <c r="C1271" s="38" t="s">
        <v>8652</v>
      </c>
      <c r="D1271" s="6">
        <v>2023</v>
      </c>
      <c r="E1271" s="6" t="s">
        <v>12</v>
      </c>
      <c r="F1271" s="6">
        <v>323</v>
      </c>
      <c r="G1271" s="40">
        <v>31</v>
      </c>
      <c r="H1271" s="40">
        <v>758.42494999999997</v>
      </c>
      <c r="I1271" s="212"/>
      <c r="J1271" s="212"/>
    </row>
    <row r="1272" spans="1:10" s="5" customFormat="1" ht="30" hidden="1" customHeight="1" outlineLevel="1" x14ac:dyDescent="0.25">
      <c r="A1272" s="4">
        <v>524</v>
      </c>
      <c r="B1272" s="6" t="s">
        <v>15</v>
      </c>
      <c r="C1272" s="38" t="s">
        <v>8653</v>
      </c>
      <c r="D1272" s="6">
        <v>2023</v>
      </c>
      <c r="E1272" s="6" t="s">
        <v>12</v>
      </c>
      <c r="F1272" s="6">
        <v>102</v>
      </c>
      <c r="G1272" s="40">
        <v>10</v>
      </c>
      <c r="H1272" s="40">
        <v>91.852559999999997</v>
      </c>
      <c r="I1272" s="212"/>
      <c r="J1272" s="212"/>
    </row>
    <row r="1273" spans="1:10" s="5" customFormat="1" ht="30" hidden="1" customHeight="1" outlineLevel="1" x14ac:dyDescent="0.25">
      <c r="A1273" s="4">
        <v>5024</v>
      </c>
      <c r="B1273" s="6" t="s">
        <v>15</v>
      </c>
      <c r="C1273" s="38" t="s">
        <v>8654</v>
      </c>
      <c r="D1273" s="6">
        <v>2023</v>
      </c>
      <c r="E1273" s="6" t="s">
        <v>12</v>
      </c>
      <c r="F1273" s="6">
        <v>70</v>
      </c>
      <c r="G1273" s="40">
        <v>15</v>
      </c>
      <c r="H1273" s="40">
        <v>87.00381999999999</v>
      </c>
      <c r="I1273" s="212"/>
      <c r="J1273" s="212"/>
    </row>
    <row r="1274" spans="1:10" s="5" customFormat="1" ht="30" hidden="1" customHeight="1" outlineLevel="1" x14ac:dyDescent="0.25">
      <c r="A1274" s="4">
        <v>2819</v>
      </c>
      <c r="B1274" s="6" t="s">
        <v>15</v>
      </c>
      <c r="C1274" s="38" t="s">
        <v>8655</v>
      </c>
      <c r="D1274" s="6">
        <v>2023</v>
      </c>
      <c r="E1274" s="6" t="s">
        <v>12</v>
      </c>
      <c r="F1274" s="6">
        <v>51</v>
      </c>
      <c r="G1274" s="40">
        <v>10</v>
      </c>
      <c r="H1274" s="40">
        <v>40.798400000000001</v>
      </c>
      <c r="I1274" s="212"/>
      <c r="J1274" s="212"/>
    </row>
    <row r="1275" spans="1:10" s="5" customFormat="1" ht="30" hidden="1" customHeight="1" outlineLevel="1" x14ac:dyDescent="0.25">
      <c r="A1275" s="4">
        <v>2984</v>
      </c>
      <c r="B1275" s="6" t="s">
        <v>15</v>
      </c>
      <c r="C1275" s="38" t="s">
        <v>8656</v>
      </c>
      <c r="D1275" s="6">
        <v>2023</v>
      </c>
      <c r="E1275" s="6" t="s">
        <v>12</v>
      </c>
      <c r="F1275" s="6">
        <v>9</v>
      </c>
      <c r="G1275" s="40">
        <v>30</v>
      </c>
      <c r="H1275" s="40">
        <v>38.800199999999997</v>
      </c>
      <c r="I1275" s="212"/>
      <c r="J1275" s="212"/>
    </row>
    <row r="1276" spans="1:10" s="5" customFormat="1" ht="30" hidden="1" customHeight="1" outlineLevel="1" x14ac:dyDescent="0.25">
      <c r="A1276" s="4">
        <v>2987</v>
      </c>
      <c r="B1276" s="6" t="s">
        <v>15</v>
      </c>
      <c r="C1276" s="38" t="s">
        <v>8657</v>
      </c>
      <c r="D1276" s="6">
        <v>2023</v>
      </c>
      <c r="E1276" s="6" t="s">
        <v>12</v>
      </c>
      <c r="F1276" s="6">
        <v>2</v>
      </c>
      <c r="G1276" s="40">
        <v>150</v>
      </c>
      <c r="H1276" s="40">
        <v>47.536250000000003</v>
      </c>
      <c r="I1276" s="212"/>
      <c r="J1276" s="212"/>
    </row>
    <row r="1277" spans="1:10" s="5" customFormat="1" ht="30" hidden="1" customHeight="1" outlineLevel="1" x14ac:dyDescent="0.25">
      <c r="A1277" s="4">
        <v>373</v>
      </c>
      <c r="B1277" s="6" t="s">
        <v>15</v>
      </c>
      <c r="C1277" s="38" t="s">
        <v>8658</v>
      </c>
      <c r="D1277" s="6">
        <v>2023</v>
      </c>
      <c r="E1277" s="6" t="s">
        <v>12</v>
      </c>
      <c r="F1277" s="6">
        <v>193</v>
      </c>
      <c r="G1277" s="40">
        <v>30</v>
      </c>
      <c r="H1277" s="40">
        <v>102.09166</v>
      </c>
      <c r="I1277" s="212"/>
      <c r="J1277" s="212"/>
    </row>
    <row r="1278" spans="1:10" s="5" customFormat="1" ht="30" hidden="1" customHeight="1" outlineLevel="1" x14ac:dyDescent="0.25">
      <c r="A1278" s="4">
        <v>5045</v>
      </c>
      <c r="B1278" s="6" t="s">
        <v>15</v>
      </c>
      <c r="C1278" s="38" t="s">
        <v>8659</v>
      </c>
      <c r="D1278" s="6">
        <v>2023</v>
      </c>
      <c r="E1278" s="6" t="s">
        <v>12</v>
      </c>
      <c r="F1278" s="6">
        <v>76</v>
      </c>
      <c r="G1278" s="40">
        <v>15</v>
      </c>
      <c r="H1278" s="40">
        <v>123.88888</v>
      </c>
      <c r="I1278" s="212"/>
      <c r="J1278" s="212"/>
    </row>
    <row r="1279" spans="1:10" s="5" customFormat="1" ht="30" hidden="1" customHeight="1" outlineLevel="1" x14ac:dyDescent="0.25">
      <c r="A1279" s="4">
        <v>3951</v>
      </c>
      <c r="B1279" s="6" t="s">
        <v>15</v>
      </c>
      <c r="C1279" s="38" t="s">
        <v>8660</v>
      </c>
      <c r="D1279" s="6">
        <v>2023</v>
      </c>
      <c r="E1279" s="6" t="s">
        <v>12</v>
      </c>
      <c r="F1279" s="6">
        <v>114</v>
      </c>
      <c r="G1279" s="40">
        <v>15</v>
      </c>
      <c r="H1279" s="40">
        <v>167.42396000000002</v>
      </c>
      <c r="I1279" s="212"/>
      <c r="J1279" s="212"/>
    </row>
    <row r="1280" spans="1:10" s="5" customFormat="1" ht="30" hidden="1" customHeight="1" outlineLevel="1" x14ac:dyDescent="0.25">
      <c r="A1280" s="4">
        <v>3376</v>
      </c>
      <c r="B1280" s="6" t="s">
        <v>15</v>
      </c>
      <c r="C1280" s="38" t="s">
        <v>8661</v>
      </c>
      <c r="D1280" s="6">
        <v>2023</v>
      </c>
      <c r="E1280" s="6" t="s">
        <v>12</v>
      </c>
      <c r="F1280" s="6">
        <v>179</v>
      </c>
      <c r="G1280" s="40">
        <v>30</v>
      </c>
      <c r="H1280" s="40">
        <v>223.99321999999998</v>
      </c>
      <c r="I1280" s="212"/>
      <c r="J1280" s="212"/>
    </row>
    <row r="1281" spans="1:10" s="5" customFormat="1" ht="30" hidden="1" customHeight="1" outlineLevel="1" x14ac:dyDescent="0.25">
      <c r="A1281" s="4">
        <v>649</v>
      </c>
      <c r="B1281" s="6" t="s">
        <v>15</v>
      </c>
      <c r="C1281" s="38" t="s">
        <v>8662</v>
      </c>
      <c r="D1281" s="6">
        <v>2023</v>
      </c>
      <c r="E1281" s="6" t="s">
        <v>12</v>
      </c>
      <c r="F1281" s="6">
        <v>142</v>
      </c>
      <c r="G1281" s="40">
        <v>25</v>
      </c>
      <c r="H1281" s="40">
        <v>176.24068</v>
      </c>
      <c r="I1281" s="212"/>
      <c r="J1281" s="212"/>
    </row>
    <row r="1282" spans="1:10" s="5" customFormat="1" ht="30" hidden="1" customHeight="1" outlineLevel="1" x14ac:dyDescent="0.25">
      <c r="A1282" s="4">
        <v>740</v>
      </c>
      <c r="B1282" s="6" t="s">
        <v>15</v>
      </c>
      <c r="C1282" s="38" t="s">
        <v>8663</v>
      </c>
      <c r="D1282" s="6">
        <v>2023</v>
      </c>
      <c r="E1282" s="6" t="s">
        <v>12</v>
      </c>
      <c r="F1282" s="6">
        <v>52</v>
      </c>
      <c r="G1282" s="40">
        <v>15</v>
      </c>
      <c r="H1282" s="40">
        <v>81.522049999999993</v>
      </c>
      <c r="I1282" s="212"/>
      <c r="J1282" s="212"/>
    </row>
    <row r="1283" spans="1:10" s="5" customFormat="1" ht="30" hidden="1" customHeight="1" outlineLevel="1" x14ac:dyDescent="0.25">
      <c r="A1283" s="4">
        <v>3262</v>
      </c>
      <c r="B1283" s="6" t="s">
        <v>15</v>
      </c>
      <c r="C1283" s="38" t="s">
        <v>8664</v>
      </c>
      <c r="D1283" s="6">
        <v>2023</v>
      </c>
      <c r="E1283" s="6" t="s">
        <v>12</v>
      </c>
      <c r="F1283" s="6">
        <v>51</v>
      </c>
      <c r="G1283" s="40">
        <v>10</v>
      </c>
      <c r="H1283" s="40">
        <v>83.024879999999996</v>
      </c>
      <c r="I1283" s="212"/>
      <c r="J1283" s="212"/>
    </row>
    <row r="1284" spans="1:10" s="5" customFormat="1" ht="30" hidden="1" customHeight="1" outlineLevel="1" x14ac:dyDescent="0.25">
      <c r="A1284" s="4">
        <v>558</v>
      </c>
      <c r="B1284" s="6" t="s">
        <v>15</v>
      </c>
      <c r="C1284" s="38" t="s">
        <v>8665</v>
      </c>
      <c r="D1284" s="6">
        <v>2023</v>
      </c>
      <c r="E1284" s="6" t="s">
        <v>12</v>
      </c>
      <c r="F1284" s="6">
        <v>340</v>
      </c>
      <c r="G1284" s="40">
        <v>15</v>
      </c>
      <c r="H1284" s="40">
        <v>788.39183000000003</v>
      </c>
      <c r="I1284" s="212"/>
      <c r="J1284" s="212"/>
    </row>
    <row r="1285" spans="1:10" s="5" customFormat="1" ht="30" hidden="1" customHeight="1" outlineLevel="1" x14ac:dyDescent="0.25">
      <c r="A1285" s="4">
        <v>2829</v>
      </c>
      <c r="B1285" s="6" t="s">
        <v>15</v>
      </c>
      <c r="C1285" s="38" t="s">
        <v>8666</v>
      </c>
      <c r="D1285" s="6">
        <v>2023</v>
      </c>
      <c r="E1285" s="6" t="s">
        <v>12</v>
      </c>
      <c r="F1285" s="6">
        <v>44</v>
      </c>
      <c r="G1285" s="40">
        <v>20</v>
      </c>
      <c r="H1285" s="40">
        <v>115.80366000000001</v>
      </c>
      <c r="I1285" s="212"/>
      <c r="J1285" s="212"/>
    </row>
    <row r="1286" spans="1:10" s="5" customFormat="1" ht="30" hidden="1" customHeight="1" outlineLevel="1" x14ac:dyDescent="0.25">
      <c r="A1286" s="4">
        <v>295</v>
      </c>
      <c r="B1286" s="6" t="s">
        <v>15</v>
      </c>
      <c r="C1286" s="38" t="s">
        <v>8667</v>
      </c>
      <c r="D1286" s="6">
        <v>2023</v>
      </c>
      <c r="E1286" s="6" t="s">
        <v>12</v>
      </c>
      <c r="F1286" s="6">
        <v>136</v>
      </c>
      <c r="G1286" s="40">
        <v>10</v>
      </c>
      <c r="H1286" s="40">
        <v>197.08150000000001</v>
      </c>
      <c r="I1286" s="212"/>
      <c r="J1286" s="212"/>
    </row>
    <row r="1287" spans="1:10" s="5" customFormat="1" ht="30" hidden="1" customHeight="1" outlineLevel="1" x14ac:dyDescent="0.25">
      <c r="A1287" s="4">
        <v>333</v>
      </c>
      <c r="B1287" s="6" t="s">
        <v>15</v>
      </c>
      <c r="C1287" s="38" t="s">
        <v>8668</v>
      </c>
      <c r="D1287" s="6">
        <v>2023</v>
      </c>
      <c r="E1287" s="6" t="s">
        <v>12</v>
      </c>
      <c r="F1287" s="6">
        <v>11</v>
      </c>
      <c r="G1287" s="40">
        <v>15</v>
      </c>
      <c r="H1287" s="40">
        <v>25.647870000000001</v>
      </c>
      <c r="I1287" s="212"/>
      <c r="J1287" s="212"/>
    </row>
    <row r="1288" spans="1:10" s="5" customFormat="1" ht="30" hidden="1" customHeight="1" outlineLevel="1" x14ac:dyDescent="0.25">
      <c r="A1288" s="4">
        <v>323</v>
      </c>
      <c r="B1288" s="6" t="s">
        <v>15</v>
      </c>
      <c r="C1288" s="38" t="s">
        <v>8669</v>
      </c>
      <c r="D1288" s="6">
        <v>2023</v>
      </c>
      <c r="E1288" s="6" t="s">
        <v>12</v>
      </c>
      <c r="F1288" s="6">
        <v>130</v>
      </c>
      <c r="G1288" s="40">
        <v>15</v>
      </c>
      <c r="H1288" s="40">
        <v>186.78189</v>
      </c>
      <c r="I1288" s="212"/>
      <c r="J1288" s="212"/>
    </row>
    <row r="1289" spans="1:10" s="5" customFormat="1" ht="30" hidden="1" customHeight="1" outlineLevel="1" x14ac:dyDescent="0.25">
      <c r="A1289" s="4">
        <v>2996</v>
      </c>
      <c r="B1289" s="6" t="s">
        <v>15</v>
      </c>
      <c r="C1289" s="38" t="s">
        <v>8670</v>
      </c>
      <c r="D1289" s="6">
        <v>2023</v>
      </c>
      <c r="E1289" s="6" t="s">
        <v>12</v>
      </c>
      <c r="F1289" s="6">
        <v>11</v>
      </c>
      <c r="G1289" s="40">
        <v>150</v>
      </c>
      <c r="H1289" s="40">
        <v>32.161569999999998</v>
      </c>
      <c r="I1289" s="212"/>
      <c r="J1289" s="212"/>
    </row>
    <row r="1290" spans="1:10" s="5" customFormat="1" ht="30" hidden="1" customHeight="1" outlineLevel="1" x14ac:dyDescent="0.25">
      <c r="A1290" s="4">
        <v>425</v>
      </c>
      <c r="B1290" s="6" t="s">
        <v>15</v>
      </c>
      <c r="C1290" s="38" t="s">
        <v>8671</v>
      </c>
      <c r="D1290" s="6">
        <v>2023</v>
      </c>
      <c r="E1290" s="6" t="s">
        <v>12</v>
      </c>
      <c r="F1290" s="6">
        <v>157</v>
      </c>
      <c r="G1290" s="40">
        <v>45</v>
      </c>
      <c r="H1290" s="40">
        <v>123.91167</v>
      </c>
      <c r="I1290" s="212"/>
      <c r="J1290" s="212"/>
    </row>
    <row r="1291" spans="1:10" s="5" customFormat="1" ht="30" hidden="1" customHeight="1" outlineLevel="1" x14ac:dyDescent="0.25">
      <c r="A1291" s="4">
        <v>5042</v>
      </c>
      <c r="B1291" s="6" t="s">
        <v>15</v>
      </c>
      <c r="C1291" s="38" t="s">
        <v>8672</v>
      </c>
      <c r="D1291" s="6">
        <v>2023</v>
      </c>
      <c r="E1291" s="6" t="s">
        <v>12</v>
      </c>
      <c r="F1291" s="6">
        <v>11</v>
      </c>
      <c r="G1291" s="40">
        <v>150</v>
      </c>
      <c r="H1291" s="40">
        <v>56.14855</v>
      </c>
      <c r="I1291" s="212"/>
      <c r="J1291" s="212"/>
    </row>
    <row r="1292" spans="1:10" s="5" customFormat="1" ht="30" hidden="1" customHeight="1" outlineLevel="1" x14ac:dyDescent="0.25">
      <c r="A1292" s="4">
        <v>482</v>
      </c>
      <c r="B1292" s="6" t="s">
        <v>15</v>
      </c>
      <c r="C1292" s="38" t="s">
        <v>8673</v>
      </c>
      <c r="D1292" s="6">
        <v>2023</v>
      </c>
      <c r="E1292" s="6" t="s">
        <v>12</v>
      </c>
      <c r="F1292" s="6">
        <v>166</v>
      </c>
      <c r="G1292" s="40">
        <v>12</v>
      </c>
      <c r="H1292" s="40">
        <v>196.85194000000001</v>
      </c>
      <c r="I1292" s="212"/>
      <c r="J1292" s="212"/>
    </row>
    <row r="1293" spans="1:10" s="5" customFormat="1" ht="30" hidden="1" customHeight="1" outlineLevel="1" x14ac:dyDescent="0.25">
      <c r="A1293" s="4">
        <v>467</v>
      </c>
      <c r="B1293" s="6" t="s">
        <v>15</v>
      </c>
      <c r="C1293" s="38" t="s">
        <v>8674</v>
      </c>
      <c r="D1293" s="6">
        <v>2023</v>
      </c>
      <c r="E1293" s="6" t="s">
        <v>12</v>
      </c>
      <c r="F1293" s="6">
        <v>44</v>
      </c>
      <c r="G1293" s="40">
        <v>18</v>
      </c>
      <c r="H1293" s="40">
        <v>69.086330000000004</v>
      </c>
      <c r="I1293" s="212"/>
      <c r="J1293" s="212"/>
    </row>
    <row r="1294" spans="1:10" s="5" customFormat="1" ht="30" hidden="1" customHeight="1" outlineLevel="1" x14ac:dyDescent="0.25">
      <c r="A1294" s="4">
        <v>5054</v>
      </c>
      <c r="B1294" s="6" t="s">
        <v>15</v>
      </c>
      <c r="C1294" s="38" t="s">
        <v>8675</v>
      </c>
      <c r="D1294" s="6">
        <v>2023</v>
      </c>
      <c r="E1294" s="6" t="s">
        <v>12</v>
      </c>
      <c r="F1294" s="6">
        <v>5</v>
      </c>
      <c r="G1294" s="40">
        <v>15</v>
      </c>
      <c r="H1294" s="40">
        <v>196.88119</v>
      </c>
      <c r="I1294" s="212"/>
      <c r="J1294" s="212"/>
    </row>
    <row r="1295" spans="1:10" s="5" customFormat="1" ht="30" hidden="1" customHeight="1" outlineLevel="1" x14ac:dyDescent="0.25">
      <c r="A1295" s="4">
        <v>5056</v>
      </c>
      <c r="B1295" s="6" t="s">
        <v>15</v>
      </c>
      <c r="C1295" s="38" t="s">
        <v>8676</v>
      </c>
      <c r="D1295" s="6">
        <v>2023</v>
      </c>
      <c r="E1295" s="6" t="s">
        <v>12</v>
      </c>
      <c r="F1295" s="6">
        <v>47</v>
      </c>
      <c r="G1295" s="40">
        <v>15</v>
      </c>
      <c r="H1295" s="40">
        <v>68.885539999999992</v>
      </c>
      <c r="I1295" s="212"/>
      <c r="J1295" s="212"/>
    </row>
    <row r="1296" spans="1:10" s="5" customFormat="1" ht="30" hidden="1" customHeight="1" outlineLevel="1" x14ac:dyDescent="0.25">
      <c r="A1296" s="4">
        <v>3028</v>
      </c>
      <c r="B1296" s="6" t="s">
        <v>15</v>
      </c>
      <c r="C1296" s="38" t="s">
        <v>8677</v>
      </c>
      <c r="D1296" s="6">
        <v>2023</v>
      </c>
      <c r="E1296" s="6" t="s">
        <v>12</v>
      </c>
      <c r="F1296" s="6">
        <v>26</v>
      </c>
      <c r="G1296" s="40">
        <v>50</v>
      </c>
      <c r="H1296" s="40">
        <v>48.881129999999999</v>
      </c>
      <c r="I1296" s="212"/>
      <c r="J1296" s="212"/>
    </row>
    <row r="1297" spans="1:10" s="5" customFormat="1" ht="30" hidden="1" customHeight="1" outlineLevel="1" x14ac:dyDescent="0.25">
      <c r="A1297" s="4">
        <v>1028</v>
      </c>
      <c r="B1297" s="6" t="s">
        <v>15</v>
      </c>
      <c r="C1297" s="38" t="s">
        <v>8678</v>
      </c>
      <c r="D1297" s="6">
        <v>2023</v>
      </c>
      <c r="E1297" s="6" t="s">
        <v>12</v>
      </c>
      <c r="F1297" s="6">
        <v>40</v>
      </c>
      <c r="G1297" s="40">
        <v>15</v>
      </c>
      <c r="H1297" s="40">
        <v>95.086610000000007</v>
      </c>
      <c r="I1297" s="212"/>
      <c r="J1297" s="212"/>
    </row>
    <row r="1298" spans="1:10" s="5" customFormat="1" ht="30" hidden="1" customHeight="1" outlineLevel="1" x14ac:dyDescent="0.25">
      <c r="A1298" s="4">
        <v>2257</v>
      </c>
      <c r="B1298" s="6" t="s">
        <v>15</v>
      </c>
      <c r="C1298" s="38" t="s">
        <v>8679</v>
      </c>
      <c r="D1298" s="6">
        <v>2023</v>
      </c>
      <c r="E1298" s="6" t="s">
        <v>12</v>
      </c>
      <c r="F1298" s="6">
        <v>256</v>
      </c>
      <c r="G1298" s="40">
        <v>12</v>
      </c>
      <c r="H1298" s="40">
        <v>572.72560999999996</v>
      </c>
      <c r="I1298" s="212"/>
      <c r="J1298" s="212"/>
    </row>
    <row r="1299" spans="1:10" s="5" customFormat="1" ht="30" hidden="1" customHeight="1" outlineLevel="1" x14ac:dyDescent="0.25">
      <c r="A1299" s="4">
        <v>3997</v>
      </c>
      <c r="B1299" s="6" t="s">
        <v>15</v>
      </c>
      <c r="C1299" s="38" t="s">
        <v>8680</v>
      </c>
      <c r="D1299" s="6">
        <v>2023</v>
      </c>
      <c r="E1299" s="6" t="s">
        <v>12</v>
      </c>
      <c r="F1299" s="6">
        <v>144</v>
      </c>
      <c r="G1299" s="40">
        <v>25</v>
      </c>
      <c r="H1299" s="40">
        <v>238.52524</v>
      </c>
      <c r="I1299" s="212"/>
      <c r="J1299" s="212"/>
    </row>
    <row r="1300" spans="1:10" s="5" customFormat="1" ht="30" hidden="1" customHeight="1" outlineLevel="1" x14ac:dyDescent="0.25">
      <c r="A1300" s="4">
        <v>3916</v>
      </c>
      <c r="B1300" s="6" t="s">
        <v>15</v>
      </c>
      <c r="C1300" s="38" t="s">
        <v>8681</v>
      </c>
      <c r="D1300" s="6">
        <v>2023</v>
      </c>
      <c r="E1300" s="6" t="s">
        <v>12</v>
      </c>
      <c r="F1300" s="6">
        <v>58</v>
      </c>
      <c r="G1300" s="40">
        <v>28</v>
      </c>
      <c r="H1300" s="40">
        <v>121.45638</v>
      </c>
      <c r="I1300" s="212"/>
      <c r="J1300" s="212"/>
    </row>
    <row r="1301" spans="1:10" s="5" customFormat="1" ht="30" hidden="1" customHeight="1" outlineLevel="1" x14ac:dyDescent="0.25">
      <c r="A1301" s="4">
        <v>925</v>
      </c>
      <c r="B1301" s="6" t="s">
        <v>15</v>
      </c>
      <c r="C1301" s="38" t="s">
        <v>8682</v>
      </c>
      <c r="D1301" s="6">
        <v>2023</v>
      </c>
      <c r="E1301" s="6" t="s">
        <v>12</v>
      </c>
      <c r="F1301" s="6">
        <v>140</v>
      </c>
      <c r="G1301" s="40">
        <v>7</v>
      </c>
      <c r="H1301" s="40">
        <v>83.807999999999993</v>
      </c>
      <c r="I1301" s="212"/>
      <c r="J1301" s="212"/>
    </row>
    <row r="1302" spans="1:10" s="5" customFormat="1" ht="30" hidden="1" customHeight="1" outlineLevel="1" x14ac:dyDescent="0.25">
      <c r="A1302" s="4">
        <v>1150</v>
      </c>
      <c r="B1302" s="6" t="s">
        <v>15</v>
      </c>
      <c r="C1302" s="38" t="s">
        <v>8683</v>
      </c>
      <c r="D1302" s="6">
        <v>2023</v>
      </c>
      <c r="E1302" s="6" t="s">
        <v>12</v>
      </c>
      <c r="F1302" s="6">
        <v>21</v>
      </c>
      <c r="G1302" s="40">
        <v>12</v>
      </c>
      <c r="H1302" s="40">
        <v>27.14564</v>
      </c>
      <c r="I1302" s="212"/>
      <c r="J1302" s="212"/>
    </row>
    <row r="1303" spans="1:10" s="5" customFormat="1" ht="30" hidden="1" customHeight="1" outlineLevel="1" x14ac:dyDescent="0.25">
      <c r="A1303" s="4">
        <v>1848</v>
      </c>
      <c r="B1303" s="6" t="s">
        <v>15</v>
      </c>
      <c r="C1303" s="38" t="s">
        <v>8684</v>
      </c>
      <c r="D1303" s="6">
        <v>2023</v>
      </c>
      <c r="E1303" s="6" t="s">
        <v>12</v>
      </c>
      <c r="F1303" s="6">
        <v>207</v>
      </c>
      <c r="G1303" s="40">
        <v>10</v>
      </c>
      <c r="H1303" s="40">
        <v>403.69470999999999</v>
      </c>
      <c r="I1303" s="212"/>
      <c r="J1303" s="212"/>
    </row>
    <row r="1304" spans="1:10" s="5" customFormat="1" ht="30" hidden="1" customHeight="1" outlineLevel="1" x14ac:dyDescent="0.25">
      <c r="A1304" s="4">
        <v>801</v>
      </c>
      <c r="B1304" s="6" t="s">
        <v>15</v>
      </c>
      <c r="C1304" s="38" t="s">
        <v>8685</v>
      </c>
      <c r="D1304" s="6">
        <v>2023</v>
      </c>
      <c r="E1304" s="6" t="s">
        <v>12</v>
      </c>
      <c r="F1304" s="6">
        <v>450</v>
      </c>
      <c r="G1304" s="40">
        <v>75</v>
      </c>
      <c r="H1304" s="40">
        <v>1067.62266</v>
      </c>
      <c r="I1304" s="212"/>
      <c r="J1304" s="212"/>
    </row>
    <row r="1305" spans="1:10" s="5" customFormat="1" ht="30" hidden="1" customHeight="1" outlineLevel="1" x14ac:dyDescent="0.25">
      <c r="A1305" s="4">
        <v>5028</v>
      </c>
      <c r="B1305" s="6" t="s">
        <v>15</v>
      </c>
      <c r="C1305" s="38" t="s">
        <v>8686</v>
      </c>
      <c r="D1305" s="6">
        <v>2023</v>
      </c>
      <c r="E1305" s="6" t="s">
        <v>12</v>
      </c>
      <c r="F1305" s="6">
        <v>143</v>
      </c>
      <c r="G1305" s="40">
        <v>30</v>
      </c>
      <c r="H1305" s="40">
        <v>130.30670000000001</v>
      </c>
      <c r="I1305" s="212"/>
      <c r="J1305" s="212"/>
    </row>
    <row r="1306" spans="1:10" s="5" customFormat="1" ht="30" hidden="1" customHeight="1" outlineLevel="1" x14ac:dyDescent="0.25">
      <c r="A1306" s="4">
        <v>3199</v>
      </c>
      <c r="B1306" s="6" t="s">
        <v>15</v>
      </c>
      <c r="C1306" s="38" t="s">
        <v>8687</v>
      </c>
      <c r="D1306" s="6">
        <v>2023</v>
      </c>
      <c r="E1306" s="6" t="s">
        <v>12</v>
      </c>
      <c r="F1306" s="6">
        <v>163</v>
      </c>
      <c r="G1306" s="40">
        <v>15</v>
      </c>
      <c r="H1306" s="40">
        <v>217.59300000000002</v>
      </c>
      <c r="I1306" s="212"/>
      <c r="J1306" s="212"/>
    </row>
    <row r="1307" spans="1:10" s="5" customFormat="1" ht="30" hidden="1" customHeight="1" outlineLevel="1" x14ac:dyDescent="0.25">
      <c r="A1307" s="4">
        <v>316</v>
      </c>
      <c r="B1307" s="6" t="s">
        <v>15</v>
      </c>
      <c r="C1307" s="38" t="s">
        <v>8688</v>
      </c>
      <c r="D1307" s="6">
        <v>2023</v>
      </c>
      <c r="E1307" s="6" t="s">
        <v>12</v>
      </c>
      <c r="F1307" s="6">
        <v>73</v>
      </c>
      <c r="G1307" s="40">
        <v>15</v>
      </c>
      <c r="H1307" s="40">
        <v>146.01600000000002</v>
      </c>
      <c r="I1307" s="212"/>
      <c r="J1307" s="212"/>
    </row>
    <row r="1308" spans="1:10" s="5" customFormat="1" ht="30" hidden="1" customHeight="1" outlineLevel="1" x14ac:dyDescent="0.25">
      <c r="A1308" s="4">
        <v>5037</v>
      </c>
      <c r="B1308" s="6" t="s">
        <v>15</v>
      </c>
      <c r="C1308" s="38" t="s">
        <v>8689</v>
      </c>
      <c r="D1308" s="6">
        <v>2023</v>
      </c>
      <c r="E1308" s="6" t="s">
        <v>12</v>
      </c>
      <c r="F1308" s="6">
        <v>111</v>
      </c>
      <c r="G1308" s="40">
        <v>15</v>
      </c>
      <c r="H1308" s="40">
        <v>177.595</v>
      </c>
      <c r="I1308" s="212"/>
      <c r="J1308" s="212"/>
    </row>
    <row r="1309" spans="1:10" s="5" customFormat="1" ht="30" hidden="1" customHeight="1" outlineLevel="1" x14ac:dyDescent="0.25">
      <c r="A1309" s="4">
        <v>5038</v>
      </c>
      <c r="B1309" s="6" t="s">
        <v>15</v>
      </c>
      <c r="C1309" s="38" t="s">
        <v>8690</v>
      </c>
      <c r="D1309" s="6">
        <v>2023</v>
      </c>
      <c r="E1309" s="6" t="s">
        <v>12</v>
      </c>
      <c r="F1309" s="6">
        <v>36</v>
      </c>
      <c r="G1309" s="40">
        <v>150</v>
      </c>
      <c r="H1309" s="40">
        <v>85.249569999999991</v>
      </c>
      <c r="I1309" s="212"/>
      <c r="J1309" s="212"/>
    </row>
    <row r="1310" spans="1:10" s="5" customFormat="1" ht="30" hidden="1" customHeight="1" outlineLevel="1" x14ac:dyDescent="0.25">
      <c r="A1310" s="4">
        <v>463</v>
      </c>
      <c r="B1310" s="6" t="s">
        <v>15</v>
      </c>
      <c r="C1310" s="38" t="s">
        <v>8691</v>
      </c>
      <c r="D1310" s="6">
        <v>2023</v>
      </c>
      <c r="E1310" s="6" t="s">
        <v>12</v>
      </c>
      <c r="F1310" s="6">
        <v>32</v>
      </c>
      <c r="G1310" s="40">
        <v>15</v>
      </c>
      <c r="H1310" s="40">
        <v>73.912000000000006</v>
      </c>
      <c r="I1310" s="212"/>
      <c r="J1310" s="212"/>
    </row>
    <row r="1311" spans="1:10" s="5" customFormat="1" ht="30" hidden="1" customHeight="1" outlineLevel="1" x14ac:dyDescent="0.25">
      <c r="A1311" s="4">
        <v>458</v>
      </c>
      <c r="B1311" s="6" t="s">
        <v>15</v>
      </c>
      <c r="C1311" s="38" t="s">
        <v>8692</v>
      </c>
      <c r="D1311" s="6">
        <v>2023</v>
      </c>
      <c r="E1311" s="6" t="s">
        <v>12</v>
      </c>
      <c r="F1311" s="6">
        <v>77</v>
      </c>
      <c r="G1311" s="40">
        <v>10</v>
      </c>
      <c r="H1311" s="40">
        <v>35.986999999999995</v>
      </c>
      <c r="I1311" s="212"/>
      <c r="J1311" s="212"/>
    </row>
    <row r="1312" spans="1:10" s="5" customFormat="1" ht="30" hidden="1" customHeight="1" outlineLevel="1" x14ac:dyDescent="0.25">
      <c r="A1312" s="4">
        <v>480</v>
      </c>
      <c r="B1312" s="6" t="s">
        <v>15</v>
      </c>
      <c r="C1312" s="38" t="s">
        <v>8693</v>
      </c>
      <c r="D1312" s="6">
        <v>2023</v>
      </c>
      <c r="E1312" s="6" t="s">
        <v>12</v>
      </c>
      <c r="F1312" s="6">
        <v>165</v>
      </c>
      <c r="G1312" s="40">
        <v>12</v>
      </c>
      <c r="H1312" s="40">
        <v>90.323999999999998</v>
      </c>
      <c r="I1312" s="212"/>
      <c r="J1312" s="212"/>
    </row>
    <row r="1313" spans="1:10" s="5" customFormat="1" ht="30" hidden="1" customHeight="1" outlineLevel="1" x14ac:dyDescent="0.25">
      <c r="A1313" s="4">
        <v>483</v>
      </c>
      <c r="B1313" s="6" t="s">
        <v>15</v>
      </c>
      <c r="C1313" s="38" t="s">
        <v>8694</v>
      </c>
      <c r="D1313" s="6">
        <v>2023</v>
      </c>
      <c r="E1313" s="6" t="s">
        <v>12</v>
      </c>
      <c r="F1313" s="6">
        <v>89</v>
      </c>
      <c r="G1313" s="40">
        <v>10</v>
      </c>
      <c r="H1313" s="40">
        <v>109.733</v>
      </c>
      <c r="I1313" s="212"/>
      <c r="J1313" s="212"/>
    </row>
    <row r="1314" spans="1:10" s="5" customFormat="1" ht="30" hidden="1" customHeight="1" outlineLevel="1" x14ac:dyDescent="0.25">
      <c r="A1314" s="4">
        <v>481</v>
      </c>
      <c r="B1314" s="6" t="s">
        <v>15</v>
      </c>
      <c r="C1314" s="38" t="s">
        <v>8695</v>
      </c>
      <c r="D1314" s="6">
        <v>2023</v>
      </c>
      <c r="E1314" s="6" t="s">
        <v>12</v>
      </c>
      <c r="F1314" s="6">
        <v>71</v>
      </c>
      <c r="G1314" s="40">
        <v>15</v>
      </c>
      <c r="H1314" s="40">
        <v>69.087999999999994</v>
      </c>
      <c r="I1314" s="212"/>
      <c r="J1314" s="212"/>
    </row>
    <row r="1315" spans="1:10" s="5" customFormat="1" ht="30" hidden="1" customHeight="1" outlineLevel="1" x14ac:dyDescent="0.25">
      <c r="A1315" s="4">
        <v>863</v>
      </c>
      <c r="B1315" s="6" t="s">
        <v>15</v>
      </c>
      <c r="C1315" s="38" t="s">
        <v>8696</v>
      </c>
      <c r="D1315" s="6">
        <v>2023</v>
      </c>
      <c r="E1315" s="6" t="s">
        <v>12</v>
      </c>
      <c r="F1315" s="6">
        <v>153</v>
      </c>
      <c r="G1315" s="40">
        <v>15</v>
      </c>
      <c r="H1315" s="40">
        <v>76.343999999999994</v>
      </c>
      <c r="I1315" s="212"/>
      <c r="J1315" s="212"/>
    </row>
    <row r="1316" spans="1:10" s="5" customFormat="1" ht="30" hidden="1" customHeight="1" outlineLevel="1" x14ac:dyDescent="0.25">
      <c r="A1316" s="4">
        <v>3228</v>
      </c>
      <c r="B1316" s="6" t="s">
        <v>15</v>
      </c>
      <c r="C1316" s="38" t="s">
        <v>8697</v>
      </c>
      <c r="D1316" s="6">
        <v>2023</v>
      </c>
      <c r="E1316" s="6" t="s">
        <v>12</v>
      </c>
      <c r="F1316" s="6">
        <v>119</v>
      </c>
      <c r="G1316" s="40">
        <v>14</v>
      </c>
      <c r="H1316" s="40">
        <v>31.067</v>
      </c>
      <c r="I1316" s="212"/>
      <c r="J1316" s="212"/>
    </row>
    <row r="1317" spans="1:10" s="5" customFormat="1" ht="30" hidden="1" customHeight="1" outlineLevel="1" x14ac:dyDescent="0.25">
      <c r="A1317" s="4">
        <v>1218</v>
      </c>
      <c r="B1317" s="6" t="s">
        <v>15</v>
      </c>
      <c r="C1317" s="38" t="s">
        <v>8698</v>
      </c>
      <c r="D1317" s="6">
        <v>2023</v>
      </c>
      <c r="E1317" s="6" t="s">
        <v>12</v>
      </c>
      <c r="F1317" s="6">
        <v>90</v>
      </c>
      <c r="G1317" s="40">
        <v>55</v>
      </c>
      <c r="H1317" s="40">
        <v>105.467</v>
      </c>
      <c r="I1317" s="212"/>
      <c r="J1317" s="212"/>
    </row>
    <row r="1318" spans="1:10" s="5" customFormat="1" ht="30" hidden="1" customHeight="1" outlineLevel="1" x14ac:dyDescent="0.25">
      <c r="A1318" s="4">
        <v>816</v>
      </c>
      <c r="B1318" s="6" t="s">
        <v>15</v>
      </c>
      <c r="C1318" s="38" t="s">
        <v>8699</v>
      </c>
      <c r="D1318" s="6">
        <v>2023</v>
      </c>
      <c r="E1318" s="6" t="s">
        <v>12</v>
      </c>
      <c r="F1318" s="6">
        <v>88</v>
      </c>
      <c r="G1318" s="40">
        <v>50</v>
      </c>
      <c r="H1318" s="40">
        <v>128.339</v>
      </c>
      <c r="I1318" s="212"/>
      <c r="J1318" s="212"/>
    </row>
    <row r="1319" spans="1:10" s="5" customFormat="1" ht="30" hidden="1" customHeight="1" outlineLevel="1" x14ac:dyDescent="0.25">
      <c r="A1319" s="4">
        <v>5055</v>
      </c>
      <c r="B1319" s="6" t="s">
        <v>15</v>
      </c>
      <c r="C1319" s="38" t="s">
        <v>8700</v>
      </c>
      <c r="D1319" s="6">
        <v>2023</v>
      </c>
      <c r="E1319" s="6" t="s">
        <v>12</v>
      </c>
      <c r="F1319" s="6">
        <v>77</v>
      </c>
      <c r="G1319" s="40">
        <v>15</v>
      </c>
      <c r="H1319" s="40">
        <v>101.003</v>
      </c>
      <c r="I1319" s="212"/>
      <c r="J1319" s="212"/>
    </row>
    <row r="1320" spans="1:10" s="5" customFormat="1" ht="30" hidden="1" customHeight="1" outlineLevel="1" x14ac:dyDescent="0.25">
      <c r="A1320" s="4">
        <v>715</v>
      </c>
      <c r="B1320" s="6" t="s">
        <v>15</v>
      </c>
      <c r="C1320" s="38" t="s">
        <v>8701</v>
      </c>
      <c r="D1320" s="6">
        <v>2023</v>
      </c>
      <c r="E1320" s="6" t="s">
        <v>12</v>
      </c>
      <c r="F1320" s="6">
        <v>61</v>
      </c>
      <c r="G1320" s="40">
        <v>10</v>
      </c>
      <c r="H1320" s="40">
        <v>98.306000000000012</v>
      </c>
      <c r="I1320" s="212"/>
      <c r="J1320" s="212"/>
    </row>
    <row r="1321" spans="1:10" s="5" customFormat="1" ht="30" hidden="1" customHeight="1" outlineLevel="1" x14ac:dyDescent="0.25">
      <c r="A1321" s="4">
        <v>5057</v>
      </c>
      <c r="B1321" s="6" t="s">
        <v>15</v>
      </c>
      <c r="C1321" s="38" t="s">
        <v>8702</v>
      </c>
      <c r="D1321" s="6">
        <v>2023</v>
      </c>
      <c r="E1321" s="6" t="s">
        <v>12</v>
      </c>
      <c r="F1321" s="6">
        <v>49</v>
      </c>
      <c r="G1321" s="40">
        <v>15</v>
      </c>
      <c r="H1321" s="40">
        <v>42.646999999999998</v>
      </c>
      <c r="I1321" s="212"/>
      <c r="J1321" s="212"/>
    </row>
    <row r="1322" spans="1:10" s="5" customFormat="1" ht="30" hidden="1" customHeight="1" outlineLevel="1" x14ac:dyDescent="0.25">
      <c r="A1322" s="4">
        <v>5058</v>
      </c>
      <c r="B1322" s="6" t="s">
        <v>15</v>
      </c>
      <c r="C1322" s="38" t="s">
        <v>8703</v>
      </c>
      <c r="D1322" s="6">
        <v>2023</v>
      </c>
      <c r="E1322" s="6" t="s">
        <v>12</v>
      </c>
      <c r="F1322" s="6">
        <v>40</v>
      </c>
      <c r="G1322" s="40">
        <v>15</v>
      </c>
      <c r="H1322" s="40">
        <v>39.927</v>
      </c>
      <c r="I1322" s="212"/>
      <c r="J1322" s="212"/>
    </row>
    <row r="1323" spans="1:10" s="5" customFormat="1" ht="30" hidden="1" customHeight="1" outlineLevel="1" x14ac:dyDescent="0.25">
      <c r="A1323" s="4">
        <v>5059</v>
      </c>
      <c r="B1323" s="6" t="s">
        <v>15</v>
      </c>
      <c r="C1323" s="38" t="s">
        <v>8704</v>
      </c>
      <c r="D1323" s="6">
        <v>2023</v>
      </c>
      <c r="E1323" s="6" t="s">
        <v>12</v>
      </c>
      <c r="F1323" s="6">
        <v>67</v>
      </c>
      <c r="G1323" s="40">
        <v>15</v>
      </c>
      <c r="H1323" s="40">
        <v>32.223199999999999</v>
      </c>
      <c r="I1323" s="212"/>
      <c r="J1323" s="212"/>
    </row>
    <row r="1324" spans="1:10" s="5" customFormat="1" ht="30" hidden="1" customHeight="1" outlineLevel="1" x14ac:dyDescent="0.25">
      <c r="A1324" s="4">
        <v>5060</v>
      </c>
      <c r="B1324" s="6" t="s">
        <v>15</v>
      </c>
      <c r="C1324" s="38" t="s">
        <v>8705</v>
      </c>
      <c r="D1324" s="6">
        <v>2023</v>
      </c>
      <c r="E1324" s="6" t="s">
        <v>12</v>
      </c>
      <c r="F1324" s="6">
        <v>185</v>
      </c>
      <c r="G1324" s="40">
        <v>15</v>
      </c>
      <c r="H1324" s="40">
        <v>142.05300000000003</v>
      </c>
      <c r="I1324" s="212"/>
      <c r="J1324" s="212"/>
    </row>
    <row r="1325" spans="1:10" s="5" customFormat="1" ht="30" hidden="1" customHeight="1" outlineLevel="1" x14ac:dyDescent="0.25">
      <c r="A1325" s="4">
        <v>5148</v>
      </c>
      <c r="B1325" s="6" t="s">
        <v>15</v>
      </c>
      <c r="C1325" s="38" t="s">
        <v>8706</v>
      </c>
      <c r="D1325" s="6">
        <v>2023</v>
      </c>
      <c r="E1325" s="6" t="s">
        <v>12</v>
      </c>
      <c r="F1325" s="6">
        <v>62</v>
      </c>
      <c r="G1325" s="40">
        <v>10</v>
      </c>
      <c r="H1325" s="40">
        <v>124.60599999999999</v>
      </c>
      <c r="I1325" s="212"/>
      <c r="J1325" s="212"/>
    </row>
    <row r="1326" spans="1:10" s="5" customFormat="1" ht="30" hidden="1" customHeight="1" outlineLevel="1" x14ac:dyDescent="0.25">
      <c r="A1326" s="4">
        <v>5149</v>
      </c>
      <c r="B1326" s="6" t="s">
        <v>15</v>
      </c>
      <c r="C1326" s="38" t="s">
        <v>8707</v>
      </c>
      <c r="D1326" s="6">
        <v>2023</v>
      </c>
      <c r="E1326" s="6" t="s">
        <v>12</v>
      </c>
      <c r="F1326" s="6">
        <v>134</v>
      </c>
      <c r="G1326" s="40">
        <v>45</v>
      </c>
      <c r="H1326" s="40">
        <v>138.99700000000001</v>
      </c>
      <c r="I1326" s="212"/>
      <c r="J1326" s="212"/>
    </row>
    <row r="1327" spans="1:10" s="5" customFormat="1" ht="30" hidden="1" customHeight="1" outlineLevel="1" x14ac:dyDescent="0.25">
      <c r="A1327" s="4">
        <v>3240</v>
      </c>
      <c r="B1327" s="6" t="s">
        <v>15</v>
      </c>
      <c r="C1327" s="38" t="s">
        <v>8708</v>
      </c>
      <c r="D1327" s="6">
        <v>2023</v>
      </c>
      <c r="E1327" s="6" t="s">
        <v>12</v>
      </c>
      <c r="F1327" s="6">
        <v>90</v>
      </c>
      <c r="G1327" s="40">
        <v>10</v>
      </c>
      <c r="H1327" s="40">
        <v>34.174999999999997</v>
      </c>
      <c r="I1327" s="212"/>
      <c r="J1327" s="212"/>
    </row>
    <row r="1328" spans="1:10" s="5" customFormat="1" ht="30" hidden="1" customHeight="1" outlineLevel="1" x14ac:dyDescent="0.25">
      <c r="A1328" s="4">
        <v>960</v>
      </c>
      <c r="B1328" s="6" t="s">
        <v>15</v>
      </c>
      <c r="C1328" s="38" t="s">
        <v>8709</v>
      </c>
      <c r="D1328" s="6">
        <v>2023</v>
      </c>
      <c r="E1328" s="6" t="s">
        <v>12</v>
      </c>
      <c r="F1328" s="6">
        <v>38</v>
      </c>
      <c r="G1328" s="40">
        <v>15</v>
      </c>
      <c r="H1328" s="40">
        <v>34.321999999999996</v>
      </c>
      <c r="I1328" s="212"/>
      <c r="J1328" s="212"/>
    </row>
    <row r="1329" spans="1:10" s="5" customFormat="1" ht="30" hidden="1" customHeight="1" outlineLevel="1" x14ac:dyDescent="0.25">
      <c r="A1329" s="4">
        <v>1222</v>
      </c>
      <c r="B1329" s="6" t="s">
        <v>15</v>
      </c>
      <c r="C1329" s="38" t="s">
        <v>8710</v>
      </c>
      <c r="D1329" s="6">
        <v>2023</v>
      </c>
      <c r="E1329" s="6" t="s">
        <v>12</v>
      </c>
      <c r="F1329" s="6">
        <v>55</v>
      </c>
      <c r="G1329" s="40">
        <v>1</v>
      </c>
      <c r="H1329" s="40">
        <v>59.528999999999996</v>
      </c>
      <c r="I1329" s="212"/>
      <c r="J1329" s="212"/>
    </row>
    <row r="1330" spans="1:10" s="5" customFormat="1" ht="30" hidden="1" customHeight="1" outlineLevel="1" x14ac:dyDescent="0.25">
      <c r="A1330" s="4">
        <v>3252</v>
      </c>
      <c r="B1330" s="6" t="s">
        <v>15</v>
      </c>
      <c r="C1330" s="38" t="s">
        <v>8711</v>
      </c>
      <c r="D1330" s="6">
        <v>2023</v>
      </c>
      <c r="E1330" s="6" t="s">
        <v>12</v>
      </c>
      <c r="F1330" s="6">
        <v>76</v>
      </c>
      <c r="G1330" s="40">
        <v>15</v>
      </c>
      <c r="H1330" s="40">
        <v>101.15276</v>
      </c>
      <c r="I1330" s="212"/>
      <c r="J1330" s="212"/>
    </row>
    <row r="1331" spans="1:10" s="5" customFormat="1" ht="30" hidden="1" customHeight="1" outlineLevel="1" x14ac:dyDescent="0.25">
      <c r="A1331" s="4">
        <v>5150</v>
      </c>
      <c r="B1331" s="6" t="s">
        <v>15</v>
      </c>
      <c r="C1331" s="38" t="s">
        <v>8712</v>
      </c>
      <c r="D1331" s="6">
        <v>2023</v>
      </c>
      <c r="E1331" s="6" t="s">
        <v>12</v>
      </c>
      <c r="F1331" s="6">
        <v>52</v>
      </c>
      <c r="G1331" s="40">
        <v>15</v>
      </c>
      <c r="H1331" s="40">
        <v>95.536999999999992</v>
      </c>
      <c r="I1331" s="212"/>
      <c r="J1331" s="212"/>
    </row>
    <row r="1332" spans="1:10" s="5" customFormat="1" ht="30" hidden="1" customHeight="1" outlineLevel="1" x14ac:dyDescent="0.25">
      <c r="A1332" s="4">
        <v>5151</v>
      </c>
      <c r="B1332" s="6" t="s">
        <v>15</v>
      </c>
      <c r="C1332" s="38" t="s">
        <v>8713</v>
      </c>
      <c r="D1332" s="6">
        <v>2023</v>
      </c>
      <c r="E1332" s="6" t="s">
        <v>12</v>
      </c>
      <c r="F1332" s="6">
        <v>294</v>
      </c>
      <c r="G1332" s="40">
        <v>7.5</v>
      </c>
      <c r="H1332" s="40">
        <v>196.88400000000001</v>
      </c>
      <c r="I1332" s="212"/>
      <c r="J1332" s="212"/>
    </row>
    <row r="1333" spans="1:10" s="5" customFormat="1" ht="30" hidden="1" customHeight="1" outlineLevel="1" x14ac:dyDescent="0.25">
      <c r="A1333" s="4">
        <v>3293</v>
      </c>
      <c r="B1333" s="6" t="s">
        <v>15</v>
      </c>
      <c r="C1333" s="38" t="s">
        <v>8714</v>
      </c>
      <c r="D1333" s="6">
        <v>2023</v>
      </c>
      <c r="E1333" s="6" t="s">
        <v>12</v>
      </c>
      <c r="F1333" s="6">
        <v>148</v>
      </c>
      <c r="G1333" s="40">
        <v>15</v>
      </c>
      <c r="H1333" s="40">
        <v>150.529</v>
      </c>
      <c r="I1333" s="212"/>
      <c r="J1333" s="212"/>
    </row>
    <row r="1334" spans="1:10" s="5" customFormat="1" ht="30" hidden="1" customHeight="1" outlineLevel="1" x14ac:dyDescent="0.25">
      <c r="A1334" s="4">
        <v>3298</v>
      </c>
      <c r="B1334" s="6" t="s">
        <v>15</v>
      </c>
      <c r="C1334" s="38" t="s">
        <v>8715</v>
      </c>
      <c r="D1334" s="6">
        <v>2023</v>
      </c>
      <c r="E1334" s="6" t="s">
        <v>12</v>
      </c>
      <c r="F1334" s="6">
        <v>240</v>
      </c>
      <c r="G1334" s="40">
        <v>15</v>
      </c>
      <c r="H1334" s="40">
        <v>224.03100000000001</v>
      </c>
      <c r="I1334" s="212"/>
      <c r="J1334" s="212"/>
    </row>
    <row r="1335" spans="1:10" s="5" customFormat="1" ht="30" hidden="1" customHeight="1" outlineLevel="1" x14ac:dyDescent="0.25">
      <c r="A1335" s="4">
        <v>758</v>
      </c>
      <c r="B1335" s="6" t="s">
        <v>15</v>
      </c>
      <c r="C1335" s="38" t="s">
        <v>8716</v>
      </c>
      <c r="D1335" s="6">
        <v>2023</v>
      </c>
      <c r="E1335" s="6" t="s">
        <v>12</v>
      </c>
      <c r="F1335" s="6">
        <v>85</v>
      </c>
      <c r="G1335" s="40">
        <v>15</v>
      </c>
      <c r="H1335" s="40">
        <v>137.512</v>
      </c>
      <c r="I1335" s="212"/>
      <c r="J1335" s="212"/>
    </row>
    <row r="1336" spans="1:10" s="5" customFormat="1" ht="30" hidden="1" customHeight="1" outlineLevel="1" x14ac:dyDescent="0.25">
      <c r="A1336" s="4">
        <v>1087</v>
      </c>
      <c r="B1336" s="6" t="s">
        <v>15</v>
      </c>
      <c r="C1336" s="38" t="s">
        <v>8717</v>
      </c>
      <c r="D1336" s="6">
        <v>2023</v>
      </c>
      <c r="E1336" s="6" t="s">
        <v>12</v>
      </c>
      <c r="F1336" s="6">
        <v>75</v>
      </c>
      <c r="G1336" s="40">
        <v>14</v>
      </c>
      <c r="H1336" s="40">
        <v>118.47499999999999</v>
      </c>
      <c r="I1336" s="212"/>
      <c r="J1336" s="212"/>
    </row>
    <row r="1337" spans="1:10" s="5" customFormat="1" ht="30" hidden="1" customHeight="1" outlineLevel="1" x14ac:dyDescent="0.25">
      <c r="A1337" s="4">
        <v>3107</v>
      </c>
      <c r="B1337" s="6" t="s">
        <v>15</v>
      </c>
      <c r="C1337" s="38" t="s">
        <v>8718</v>
      </c>
      <c r="D1337" s="6">
        <v>2023</v>
      </c>
      <c r="E1337" s="6" t="s">
        <v>12</v>
      </c>
      <c r="F1337" s="6">
        <v>16</v>
      </c>
      <c r="G1337" s="40">
        <v>70</v>
      </c>
      <c r="H1337" s="40">
        <v>54.898000000000003</v>
      </c>
      <c r="I1337" s="212"/>
      <c r="J1337" s="212"/>
    </row>
    <row r="1338" spans="1:10" s="5" customFormat="1" ht="30" hidden="1" customHeight="1" outlineLevel="1" x14ac:dyDescent="0.25">
      <c r="A1338" s="4">
        <v>5173</v>
      </c>
      <c r="B1338" s="6" t="s">
        <v>15</v>
      </c>
      <c r="C1338" s="38" t="s">
        <v>8719</v>
      </c>
      <c r="D1338" s="6">
        <v>2023</v>
      </c>
      <c r="E1338" s="6" t="s">
        <v>12</v>
      </c>
      <c r="F1338" s="6">
        <v>13</v>
      </c>
      <c r="G1338" s="40">
        <v>150</v>
      </c>
      <c r="H1338" s="40">
        <v>51.47</v>
      </c>
      <c r="I1338" s="212"/>
      <c r="J1338" s="212"/>
    </row>
    <row r="1339" spans="1:10" s="5" customFormat="1" ht="30" hidden="1" customHeight="1" outlineLevel="1" x14ac:dyDescent="0.25">
      <c r="A1339" s="4">
        <v>1299</v>
      </c>
      <c r="B1339" s="6" t="s">
        <v>15</v>
      </c>
      <c r="C1339" s="38" t="s">
        <v>8720</v>
      </c>
      <c r="D1339" s="6">
        <v>2023</v>
      </c>
      <c r="E1339" s="6" t="s">
        <v>12</v>
      </c>
      <c r="F1339" s="6">
        <v>109</v>
      </c>
      <c r="G1339" s="40">
        <v>10</v>
      </c>
      <c r="H1339" s="40">
        <v>155.15899999999999</v>
      </c>
      <c r="I1339" s="212"/>
      <c r="J1339" s="212"/>
    </row>
    <row r="1340" spans="1:10" s="5" customFormat="1" ht="30" hidden="1" customHeight="1" outlineLevel="1" x14ac:dyDescent="0.25">
      <c r="A1340" s="4">
        <v>1312</v>
      </c>
      <c r="B1340" s="6" t="s">
        <v>15</v>
      </c>
      <c r="C1340" s="38" t="s">
        <v>8721</v>
      </c>
      <c r="D1340" s="6">
        <v>2023</v>
      </c>
      <c r="E1340" s="6" t="s">
        <v>12</v>
      </c>
      <c r="F1340" s="6">
        <v>20</v>
      </c>
      <c r="G1340" s="40">
        <v>5</v>
      </c>
      <c r="H1340" s="40">
        <v>47.439</v>
      </c>
      <c r="I1340" s="212"/>
      <c r="J1340" s="212"/>
    </row>
    <row r="1341" spans="1:10" s="5" customFormat="1" ht="30" hidden="1" customHeight="1" outlineLevel="1" x14ac:dyDescent="0.25">
      <c r="A1341" s="4">
        <v>1894</v>
      </c>
      <c r="B1341" s="6" t="s">
        <v>15</v>
      </c>
      <c r="C1341" s="38" t="s">
        <v>8722</v>
      </c>
      <c r="D1341" s="6">
        <v>2023</v>
      </c>
      <c r="E1341" s="6" t="s">
        <v>12</v>
      </c>
      <c r="F1341" s="6">
        <v>30</v>
      </c>
      <c r="G1341" s="40">
        <v>7</v>
      </c>
      <c r="H1341" s="40">
        <v>75.521000000000001</v>
      </c>
      <c r="I1341" s="212"/>
      <c r="J1341" s="212"/>
    </row>
    <row r="1342" spans="1:10" s="5" customFormat="1" ht="30" hidden="1" customHeight="1" outlineLevel="1" x14ac:dyDescent="0.25">
      <c r="A1342" s="4">
        <v>1313</v>
      </c>
      <c r="B1342" s="6" t="s">
        <v>15</v>
      </c>
      <c r="C1342" s="38" t="s">
        <v>8723</v>
      </c>
      <c r="D1342" s="6">
        <v>2023</v>
      </c>
      <c r="E1342" s="6" t="s">
        <v>12</v>
      </c>
      <c r="F1342" s="6">
        <v>50</v>
      </c>
      <c r="G1342" s="40">
        <v>10</v>
      </c>
      <c r="H1342" s="40">
        <v>77.256990000000002</v>
      </c>
      <c r="I1342" s="212"/>
      <c r="J1342" s="212"/>
    </row>
    <row r="1343" spans="1:10" s="5" customFormat="1" ht="30" hidden="1" customHeight="1" outlineLevel="1" x14ac:dyDescent="0.25">
      <c r="A1343" s="4">
        <v>1429</v>
      </c>
      <c r="B1343" s="6" t="s">
        <v>15</v>
      </c>
      <c r="C1343" s="38" t="s">
        <v>8724</v>
      </c>
      <c r="D1343" s="6">
        <v>2023</v>
      </c>
      <c r="E1343" s="6" t="s">
        <v>12</v>
      </c>
      <c r="F1343" s="6">
        <v>44</v>
      </c>
      <c r="G1343" s="40">
        <v>15</v>
      </c>
      <c r="H1343" s="40">
        <v>73.816999999999993</v>
      </c>
      <c r="I1343" s="212"/>
      <c r="J1343" s="212"/>
    </row>
    <row r="1344" spans="1:10" s="5" customFormat="1" ht="30" hidden="1" customHeight="1" outlineLevel="1" x14ac:dyDescent="0.25">
      <c r="A1344" s="4">
        <v>1410</v>
      </c>
      <c r="B1344" s="6" t="s">
        <v>15</v>
      </c>
      <c r="C1344" s="38" t="s">
        <v>8725</v>
      </c>
      <c r="D1344" s="6">
        <v>2023</v>
      </c>
      <c r="E1344" s="6" t="s">
        <v>12</v>
      </c>
      <c r="F1344" s="6">
        <v>80</v>
      </c>
      <c r="G1344" s="40">
        <v>14</v>
      </c>
      <c r="H1344" s="40">
        <v>75.114000000000004</v>
      </c>
      <c r="I1344" s="212"/>
      <c r="J1344" s="212"/>
    </row>
    <row r="1345" spans="1:10" s="5" customFormat="1" ht="30" hidden="1" customHeight="1" outlineLevel="1" x14ac:dyDescent="0.25">
      <c r="A1345" s="4">
        <v>1415</v>
      </c>
      <c r="B1345" s="6" t="s">
        <v>15</v>
      </c>
      <c r="C1345" s="38" t="s">
        <v>8726</v>
      </c>
      <c r="D1345" s="6">
        <v>2023</v>
      </c>
      <c r="E1345" s="6" t="s">
        <v>12</v>
      </c>
      <c r="F1345" s="6">
        <v>37</v>
      </c>
      <c r="G1345" s="40">
        <v>15</v>
      </c>
      <c r="H1345" s="40">
        <v>92.787999999999997</v>
      </c>
      <c r="I1345" s="212"/>
      <c r="J1345" s="212"/>
    </row>
    <row r="1346" spans="1:10" s="5" customFormat="1" ht="30" hidden="1" customHeight="1" outlineLevel="1" x14ac:dyDescent="0.25">
      <c r="A1346" s="4">
        <v>1632</v>
      </c>
      <c r="B1346" s="6" t="s">
        <v>15</v>
      </c>
      <c r="C1346" s="38" t="s">
        <v>8727</v>
      </c>
      <c r="D1346" s="6">
        <v>2023</v>
      </c>
      <c r="E1346" s="6" t="s">
        <v>12</v>
      </c>
      <c r="F1346" s="6">
        <v>25</v>
      </c>
      <c r="G1346" s="40">
        <v>15</v>
      </c>
      <c r="H1346" s="40">
        <v>40.68459</v>
      </c>
      <c r="I1346" s="212"/>
      <c r="J1346" s="212"/>
    </row>
    <row r="1347" spans="1:10" s="5" customFormat="1" ht="30" hidden="1" customHeight="1" outlineLevel="1" x14ac:dyDescent="0.25">
      <c r="A1347" s="4">
        <v>5798</v>
      </c>
      <c r="B1347" s="6" t="s">
        <v>15</v>
      </c>
      <c r="C1347" s="38" t="s">
        <v>8728</v>
      </c>
      <c r="D1347" s="6">
        <v>2023</v>
      </c>
      <c r="E1347" s="6" t="s">
        <v>12</v>
      </c>
      <c r="F1347" s="6">
        <v>10</v>
      </c>
      <c r="G1347" s="40">
        <v>35</v>
      </c>
      <c r="H1347" s="40">
        <v>34.622</v>
      </c>
      <c r="I1347" s="212"/>
      <c r="J1347" s="212"/>
    </row>
    <row r="1348" spans="1:10" s="5" customFormat="1" ht="30" hidden="1" customHeight="1" outlineLevel="1" x14ac:dyDescent="0.25">
      <c r="A1348" s="4">
        <v>993</v>
      </c>
      <c r="B1348" s="6" t="s">
        <v>15</v>
      </c>
      <c r="C1348" s="38" t="s">
        <v>8729</v>
      </c>
      <c r="D1348" s="6">
        <v>2023</v>
      </c>
      <c r="E1348" s="6" t="s">
        <v>12</v>
      </c>
      <c r="F1348" s="6">
        <v>88</v>
      </c>
      <c r="G1348" s="40">
        <v>15</v>
      </c>
      <c r="H1348" s="40">
        <v>131.08199999999999</v>
      </c>
      <c r="I1348" s="212"/>
      <c r="J1348" s="212"/>
    </row>
    <row r="1349" spans="1:10" s="5" customFormat="1" ht="30" hidden="1" customHeight="1" outlineLevel="1" x14ac:dyDescent="0.25">
      <c r="A1349" s="4">
        <v>1832</v>
      </c>
      <c r="B1349" s="6" t="s">
        <v>15</v>
      </c>
      <c r="C1349" s="38" t="s">
        <v>8730</v>
      </c>
      <c r="D1349" s="6">
        <v>2023</v>
      </c>
      <c r="E1349" s="6" t="s">
        <v>12</v>
      </c>
      <c r="F1349" s="6">
        <v>117</v>
      </c>
      <c r="G1349" s="40">
        <v>15</v>
      </c>
      <c r="H1349" s="40">
        <v>35.589999999999996</v>
      </c>
      <c r="I1349" s="212"/>
      <c r="J1349" s="212"/>
    </row>
    <row r="1350" spans="1:10" s="5" customFormat="1" ht="30" hidden="1" customHeight="1" outlineLevel="1" x14ac:dyDescent="0.25">
      <c r="A1350" s="4">
        <v>2981</v>
      </c>
      <c r="B1350" s="6" t="s">
        <v>15</v>
      </c>
      <c r="C1350" s="38" t="s">
        <v>8731</v>
      </c>
      <c r="D1350" s="6">
        <v>2023</v>
      </c>
      <c r="E1350" s="6" t="s">
        <v>12</v>
      </c>
      <c r="F1350" s="6">
        <v>129</v>
      </c>
      <c r="G1350" s="40">
        <v>55</v>
      </c>
      <c r="H1350" s="40">
        <v>123.65550999999999</v>
      </c>
      <c r="I1350" s="212"/>
      <c r="J1350" s="212"/>
    </row>
    <row r="1351" spans="1:10" s="5" customFormat="1" ht="30" hidden="1" customHeight="1" outlineLevel="1" x14ac:dyDescent="0.25">
      <c r="A1351" s="4">
        <v>319</v>
      </c>
      <c r="B1351" s="6" t="s">
        <v>15</v>
      </c>
      <c r="C1351" s="38" t="s">
        <v>8732</v>
      </c>
      <c r="D1351" s="6">
        <v>2023</v>
      </c>
      <c r="E1351" s="6" t="s">
        <v>12</v>
      </c>
      <c r="F1351" s="6">
        <v>163</v>
      </c>
      <c r="G1351" s="40">
        <v>35</v>
      </c>
      <c r="H1351" s="40">
        <v>207.19188</v>
      </c>
      <c r="I1351" s="212"/>
      <c r="J1351" s="212"/>
    </row>
    <row r="1352" spans="1:10" s="5" customFormat="1" ht="30" hidden="1" customHeight="1" outlineLevel="1" x14ac:dyDescent="0.25">
      <c r="A1352" s="4">
        <v>5046</v>
      </c>
      <c r="B1352" s="6" t="s">
        <v>15</v>
      </c>
      <c r="C1352" s="38" t="s">
        <v>8733</v>
      </c>
      <c r="D1352" s="6">
        <v>2023</v>
      </c>
      <c r="E1352" s="6" t="s">
        <v>12</v>
      </c>
      <c r="F1352" s="6">
        <v>118</v>
      </c>
      <c r="G1352" s="40">
        <v>25</v>
      </c>
      <c r="H1352" s="40">
        <v>231.80234999999999</v>
      </c>
      <c r="I1352" s="212"/>
      <c r="J1352" s="212"/>
    </row>
    <row r="1353" spans="1:10" s="5" customFormat="1" ht="30" hidden="1" customHeight="1" outlineLevel="1" x14ac:dyDescent="0.25">
      <c r="A1353" s="4">
        <v>445</v>
      </c>
      <c r="B1353" s="6" t="s">
        <v>15</v>
      </c>
      <c r="C1353" s="38" t="s">
        <v>8734</v>
      </c>
      <c r="D1353" s="6">
        <v>2023</v>
      </c>
      <c r="E1353" s="6" t="s">
        <v>12</v>
      </c>
      <c r="F1353" s="6">
        <v>58</v>
      </c>
      <c r="G1353" s="40">
        <v>30</v>
      </c>
      <c r="H1353" s="40">
        <v>98.660290000000003</v>
      </c>
      <c r="I1353" s="212"/>
      <c r="J1353" s="212"/>
    </row>
    <row r="1354" spans="1:10" s="5" customFormat="1" ht="30" hidden="1" customHeight="1" outlineLevel="1" x14ac:dyDescent="0.25">
      <c r="A1354" s="4">
        <v>3010</v>
      </c>
      <c r="B1354" s="6" t="s">
        <v>15</v>
      </c>
      <c r="C1354" s="38" t="s">
        <v>8735</v>
      </c>
      <c r="D1354" s="6">
        <v>2023</v>
      </c>
      <c r="E1354" s="6" t="s">
        <v>12</v>
      </c>
      <c r="F1354" s="6">
        <v>10</v>
      </c>
      <c r="G1354" s="40">
        <v>100</v>
      </c>
      <c r="H1354" s="40">
        <v>23.56034</v>
      </c>
      <c r="I1354" s="212"/>
      <c r="J1354" s="212"/>
    </row>
    <row r="1355" spans="1:10" s="5" customFormat="1" ht="30" hidden="1" customHeight="1" outlineLevel="1" x14ac:dyDescent="0.25">
      <c r="A1355" s="4">
        <v>3922</v>
      </c>
      <c r="B1355" s="6" t="s">
        <v>15</v>
      </c>
      <c r="C1355" s="38" t="s">
        <v>8736</v>
      </c>
      <c r="D1355" s="6">
        <v>2023</v>
      </c>
      <c r="E1355" s="6" t="s">
        <v>12</v>
      </c>
      <c r="F1355" s="6">
        <v>155</v>
      </c>
      <c r="G1355" s="40">
        <v>15</v>
      </c>
      <c r="H1355" s="40">
        <v>199.07308</v>
      </c>
      <c r="I1355" s="212"/>
      <c r="J1355" s="212"/>
    </row>
    <row r="1356" spans="1:10" s="5" customFormat="1" ht="30" hidden="1" customHeight="1" outlineLevel="1" x14ac:dyDescent="0.25">
      <c r="A1356" s="4">
        <v>3214</v>
      </c>
      <c r="B1356" s="6" t="s">
        <v>15</v>
      </c>
      <c r="C1356" s="38" t="s">
        <v>8737</v>
      </c>
      <c r="D1356" s="6">
        <v>2023</v>
      </c>
      <c r="E1356" s="6" t="s">
        <v>12</v>
      </c>
      <c r="F1356" s="6">
        <v>15</v>
      </c>
      <c r="G1356" s="40">
        <v>15</v>
      </c>
      <c r="H1356" s="40">
        <v>39.840430000000005</v>
      </c>
      <c r="I1356" s="212"/>
      <c r="J1356" s="212"/>
    </row>
    <row r="1357" spans="1:10" s="5" customFormat="1" ht="30" hidden="1" customHeight="1" outlineLevel="1" x14ac:dyDescent="0.25">
      <c r="A1357" s="4">
        <v>5049</v>
      </c>
      <c r="B1357" s="6" t="s">
        <v>15</v>
      </c>
      <c r="C1357" s="38" t="s">
        <v>8738</v>
      </c>
      <c r="D1357" s="6">
        <v>2023</v>
      </c>
      <c r="E1357" s="6" t="s">
        <v>12</v>
      </c>
      <c r="F1357" s="6">
        <v>257</v>
      </c>
      <c r="G1357" s="40">
        <v>70</v>
      </c>
      <c r="H1357" s="40">
        <v>69.572549999999993</v>
      </c>
      <c r="I1357" s="212"/>
      <c r="J1357" s="212"/>
    </row>
    <row r="1358" spans="1:10" s="5" customFormat="1" ht="30" hidden="1" customHeight="1" outlineLevel="1" x14ac:dyDescent="0.25">
      <c r="A1358" s="4">
        <v>3369</v>
      </c>
      <c r="B1358" s="6" t="s">
        <v>15</v>
      </c>
      <c r="C1358" s="38" t="s">
        <v>8739</v>
      </c>
      <c r="D1358" s="6">
        <v>2023</v>
      </c>
      <c r="E1358" s="6" t="s">
        <v>12</v>
      </c>
      <c r="F1358" s="6">
        <v>110</v>
      </c>
      <c r="G1358" s="40">
        <v>15</v>
      </c>
      <c r="H1358" s="40">
        <v>65.177199999999999</v>
      </c>
      <c r="I1358" s="212"/>
      <c r="J1358" s="212"/>
    </row>
    <row r="1359" spans="1:10" s="5" customFormat="1" ht="30" hidden="1" customHeight="1" outlineLevel="1" x14ac:dyDescent="0.25">
      <c r="A1359" s="4">
        <v>540</v>
      </c>
      <c r="B1359" s="6" t="s">
        <v>15</v>
      </c>
      <c r="C1359" s="38" t="s">
        <v>8740</v>
      </c>
      <c r="D1359" s="6">
        <v>2023</v>
      </c>
      <c r="E1359" s="6" t="s">
        <v>12</v>
      </c>
      <c r="F1359" s="6">
        <v>95</v>
      </c>
      <c r="G1359" s="40">
        <v>40</v>
      </c>
      <c r="H1359" s="40">
        <v>137.02275</v>
      </c>
      <c r="I1359" s="212"/>
      <c r="J1359" s="212"/>
    </row>
    <row r="1360" spans="1:10" s="5" customFormat="1" ht="30" hidden="1" customHeight="1" outlineLevel="1" x14ac:dyDescent="0.25">
      <c r="A1360" s="4">
        <v>582</v>
      </c>
      <c r="B1360" s="6" t="s">
        <v>15</v>
      </c>
      <c r="C1360" s="38" t="s">
        <v>8741</v>
      </c>
      <c r="D1360" s="6">
        <v>2023</v>
      </c>
      <c r="E1360" s="6" t="s">
        <v>12</v>
      </c>
      <c r="F1360" s="6">
        <v>145</v>
      </c>
      <c r="G1360" s="40">
        <v>10</v>
      </c>
      <c r="H1360" s="40">
        <v>84.84187</v>
      </c>
      <c r="I1360" s="212"/>
      <c r="J1360" s="212"/>
    </row>
    <row r="1361" spans="1:10" s="5" customFormat="1" ht="30" hidden="1" customHeight="1" outlineLevel="1" x14ac:dyDescent="0.25">
      <c r="A1361" s="4">
        <v>598</v>
      </c>
      <c r="B1361" s="6" t="s">
        <v>15</v>
      </c>
      <c r="C1361" s="38" t="s">
        <v>8742</v>
      </c>
      <c r="D1361" s="6">
        <v>2023</v>
      </c>
      <c r="E1361" s="6" t="s">
        <v>12</v>
      </c>
      <c r="F1361" s="6">
        <v>70</v>
      </c>
      <c r="G1361" s="40">
        <v>15</v>
      </c>
      <c r="H1361" s="40">
        <v>103.99047</v>
      </c>
      <c r="I1361" s="212"/>
      <c r="J1361" s="212"/>
    </row>
    <row r="1362" spans="1:10" s="5" customFormat="1" ht="30" hidden="1" customHeight="1" outlineLevel="1" x14ac:dyDescent="0.25">
      <c r="A1362" s="4">
        <v>727</v>
      </c>
      <c r="B1362" s="6" t="s">
        <v>15</v>
      </c>
      <c r="C1362" s="38" t="s">
        <v>8743</v>
      </c>
      <c r="D1362" s="6">
        <v>2023</v>
      </c>
      <c r="E1362" s="6" t="s">
        <v>12</v>
      </c>
      <c r="F1362" s="6">
        <v>67</v>
      </c>
      <c r="G1362" s="40">
        <v>14</v>
      </c>
      <c r="H1362" s="40">
        <v>101.64343000000001</v>
      </c>
      <c r="I1362" s="212"/>
      <c r="J1362" s="212"/>
    </row>
    <row r="1363" spans="1:10" s="5" customFormat="1" ht="30" hidden="1" customHeight="1" outlineLevel="1" x14ac:dyDescent="0.25">
      <c r="A1363" s="4">
        <v>710</v>
      </c>
      <c r="B1363" s="6" t="s">
        <v>15</v>
      </c>
      <c r="C1363" s="38" t="s">
        <v>8744</v>
      </c>
      <c r="D1363" s="6">
        <v>2023</v>
      </c>
      <c r="E1363" s="6" t="s">
        <v>12</v>
      </c>
      <c r="F1363" s="6">
        <v>56</v>
      </c>
      <c r="G1363" s="40">
        <v>10</v>
      </c>
      <c r="H1363" s="40">
        <v>83.059240000000003</v>
      </c>
      <c r="I1363" s="212"/>
      <c r="J1363" s="212"/>
    </row>
    <row r="1364" spans="1:10" s="5" customFormat="1" ht="30" hidden="1" customHeight="1" outlineLevel="1" x14ac:dyDescent="0.25">
      <c r="A1364" s="4">
        <v>3873</v>
      </c>
      <c r="B1364" s="6" t="s">
        <v>15</v>
      </c>
      <c r="C1364" s="38" t="s">
        <v>8745</v>
      </c>
      <c r="D1364" s="6">
        <v>2023</v>
      </c>
      <c r="E1364" s="6" t="s">
        <v>12</v>
      </c>
      <c r="F1364" s="6">
        <v>70</v>
      </c>
      <c r="G1364" s="40">
        <v>5</v>
      </c>
      <c r="H1364" s="40">
        <v>31.897679999999998</v>
      </c>
      <c r="I1364" s="212"/>
      <c r="J1364" s="212"/>
    </row>
    <row r="1365" spans="1:10" s="5" customFormat="1" ht="30" hidden="1" customHeight="1" outlineLevel="1" x14ac:dyDescent="0.25">
      <c r="A1365" s="4">
        <v>790</v>
      </c>
      <c r="B1365" s="6" t="s">
        <v>15</v>
      </c>
      <c r="C1365" s="38" t="s">
        <v>8746</v>
      </c>
      <c r="D1365" s="6">
        <v>2023</v>
      </c>
      <c r="E1365" s="6" t="s">
        <v>12</v>
      </c>
      <c r="F1365" s="6">
        <v>85</v>
      </c>
      <c r="G1365" s="40">
        <v>15</v>
      </c>
      <c r="H1365" s="40">
        <v>41.387880000000003</v>
      </c>
      <c r="I1365" s="212"/>
      <c r="J1365" s="212"/>
    </row>
    <row r="1366" spans="1:10" s="5" customFormat="1" ht="30" hidden="1" customHeight="1" outlineLevel="1" x14ac:dyDescent="0.25">
      <c r="A1366" s="4">
        <v>3056</v>
      </c>
      <c r="B1366" s="6" t="s">
        <v>15</v>
      </c>
      <c r="C1366" s="38" t="s">
        <v>8747</v>
      </c>
      <c r="D1366" s="6">
        <v>2023</v>
      </c>
      <c r="E1366" s="6" t="s">
        <v>12</v>
      </c>
      <c r="F1366" s="6">
        <v>2</v>
      </c>
      <c r="G1366" s="40">
        <v>100</v>
      </c>
      <c r="H1366" s="40">
        <v>54.726509999999998</v>
      </c>
      <c r="I1366" s="212"/>
      <c r="J1366" s="212"/>
    </row>
    <row r="1367" spans="1:10" s="5" customFormat="1" ht="30" hidden="1" customHeight="1" outlineLevel="1" x14ac:dyDescent="0.25">
      <c r="A1367" s="4">
        <v>1290</v>
      </c>
      <c r="B1367" s="6" t="s">
        <v>15</v>
      </c>
      <c r="C1367" s="38" t="s">
        <v>8748</v>
      </c>
      <c r="D1367" s="6">
        <v>2023</v>
      </c>
      <c r="E1367" s="6" t="s">
        <v>12</v>
      </c>
      <c r="F1367" s="6">
        <v>45</v>
      </c>
      <c r="G1367" s="40">
        <v>5</v>
      </c>
      <c r="H1367" s="40">
        <v>48.909220000000005</v>
      </c>
      <c r="I1367" s="212"/>
      <c r="J1367" s="212"/>
    </row>
    <row r="1368" spans="1:10" s="5" customFormat="1" ht="30" hidden="1" customHeight="1" outlineLevel="1" x14ac:dyDescent="0.25">
      <c r="A1368" s="4">
        <v>1009</v>
      </c>
      <c r="B1368" s="6" t="s">
        <v>15</v>
      </c>
      <c r="C1368" s="38" t="s">
        <v>8749</v>
      </c>
      <c r="D1368" s="6">
        <v>2023</v>
      </c>
      <c r="E1368" s="6" t="s">
        <v>12</v>
      </c>
      <c r="F1368" s="6">
        <v>68</v>
      </c>
      <c r="G1368" s="40">
        <v>15</v>
      </c>
      <c r="H1368" s="40">
        <v>72.617699999999999</v>
      </c>
      <c r="I1368" s="212"/>
      <c r="J1368" s="212"/>
    </row>
    <row r="1369" spans="1:10" s="5" customFormat="1" ht="30" hidden="1" customHeight="1" outlineLevel="1" x14ac:dyDescent="0.25">
      <c r="A1369" s="4">
        <v>1209</v>
      </c>
      <c r="B1369" s="6" t="s">
        <v>15</v>
      </c>
      <c r="C1369" s="38" t="s">
        <v>8750</v>
      </c>
      <c r="D1369" s="6">
        <v>2023</v>
      </c>
      <c r="E1369" s="6" t="s">
        <v>12</v>
      </c>
      <c r="F1369" s="6">
        <v>11</v>
      </c>
      <c r="G1369" s="40">
        <v>15</v>
      </c>
      <c r="H1369" s="40">
        <v>39.408920000000002</v>
      </c>
      <c r="I1369" s="212"/>
      <c r="J1369" s="212"/>
    </row>
    <row r="1370" spans="1:10" s="5" customFormat="1" ht="30" hidden="1" customHeight="1" outlineLevel="1" x14ac:dyDescent="0.25">
      <c r="A1370" s="4">
        <v>5152</v>
      </c>
      <c r="B1370" s="6" t="s">
        <v>15</v>
      </c>
      <c r="C1370" s="38" t="s">
        <v>8751</v>
      </c>
      <c r="D1370" s="6">
        <v>2023</v>
      </c>
      <c r="E1370" s="6" t="s">
        <v>12</v>
      </c>
      <c r="F1370" s="6">
        <v>18</v>
      </c>
      <c r="G1370" s="40">
        <v>60</v>
      </c>
      <c r="H1370" s="40">
        <v>76.369069999999994</v>
      </c>
      <c r="I1370" s="212"/>
      <c r="J1370" s="212"/>
    </row>
    <row r="1371" spans="1:10" s="5" customFormat="1" ht="30" hidden="1" customHeight="1" outlineLevel="1" x14ac:dyDescent="0.25">
      <c r="A1371" s="4">
        <v>752</v>
      </c>
      <c r="B1371" s="6" t="s">
        <v>15</v>
      </c>
      <c r="C1371" s="38" t="s">
        <v>8752</v>
      </c>
      <c r="D1371" s="6">
        <v>2023</v>
      </c>
      <c r="E1371" s="6" t="s">
        <v>12</v>
      </c>
      <c r="F1371" s="6">
        <v>70</v>
      </c>
      <c r="G1371" s="40">
        <v>20</v>
      </c>
      <c r="H1371" s="40">
        <v>125.15921999999999</v>
      </c>
      <c r="I1371" s="212"/>
      <c r="J1371" s="212"/>
    </row>
    <row r="1372" spans="1:10" s="5" customFormat="1" ht="30" hidden="1" customHeight="1" outlineLevel="1" x14ac:dyDescent="0.25">
      <c r="A1372" s="4">
        <v>1275</v>
      </c>
      <c r="B1372" s="6" t="s">
        <v>15</v>
      </c>
      <c r="C1372" s="38" t="s">
        <v>8753</v>
      </c>
      <c r="D1372" s="6">
        <v>2023</v>
      </c>
      <c r="E1372" s="6" t="s">
        <v>12</v>
      </c>
      <c r="F1372" s="6">
        <v>79</v>
      </c>
      <c r="G1372" s="40">
        <v>10</v>
      </c>
      <c r="H1372" s="40">
        <v>95.440359999999998</v>
      </c>
      <c r="I1372" s="212"/>
      <c r="J1372" s="212"/>
    </row>
    <row r="1373" spans="1:10" s="5" customFormat="1" ht="30" hidden="1" customHeight="1" outlineLevel="1" x14ac:dyDescent="0.25">
      <c r="A1373" s="4">
        <v>1315</v>
      </c>
      <c r="B1373" s="6" t="s">
        <v>15</v>
      </c>
      <c r="C1373" s="38" t="s">
        <v>8754</v>
      </c>
      <c r="D1373" s="6">
        <v>2023</v>
      </c>
      <c r="E1373" s="6" t="s">
        <v>12</v>
      </c>
      <c r="F1373" s="6">
        <v>58</v>
      </c>
      <c r="G1373" s="40">
        <v>30</v>
      </c>
      <c r="H1373" s="40">
        <v>98.732309999999998</v>
      </c>
      <c r="I1373" s="212"/>
      <c r="J1373" s="212"/>
    </row>
    <row r="1374" spans="1:10" s="5" customFormat="1" ht="30" hidden="1" customHeight="1" outlineLevel="1" x14ac:dyDescent="0.25">
      <c r="A1374" s="4">
        <v>1457</v>
      </c>
      <c r="B1374" s="6" t="s">
        <v>15</v>
      </c>
      <c r="C1374" s="38" t="s">
        <v>8755</v>
      </c>
      <c r="D1374" s="6">
        <v>2023</v>
      </c>
      <c r="E1374" s="6" t="s">
        <v>12</v>
      </c>
      <c r="F1374" s="6">
        <v>54</v>
      </c>
      <c r="G1374" s="40">
        <v>10</v>
      </c>
      <c r="H1374" s="40">
        <v>70.617719999999991</v>
      </c>
      <c r="I1374" s="212"/>
      <c r="J1374" s="212"/>
    </row>
    <row r="1375" spans="1:10" s="5" customFormat="1" ht="30" hidden="1" customHeight="1" outlineLevel="1" x14ac:dyDescent="0.25">
      <c r="A1375" s="4">
        <v>3300</v>
      </c>
      <c r="B1375" s="6" t="s">
        <v>15</v>
      </c>
      <c r="C1375" s="38" t="s">
        <v>8756</v>
      </c>
      <c r="D1375" s="6">
        <v>2023</v>
      </c>
      <c r="E1375" s="6" t="s">
        <v>12</v>
      </c>
      <c r="F1375" s="6">
        <v>94</v>
      </c>
      <c r="G1375" s="40">
        <v>15</v>
      </c>
      <c r="H1375" s="40">
        <v>136.68098000000001</v>
      </c>
      <c r="I1375" s="212"/>
      <c r="J1375" s="212"/>
    </row>
    <row r="1376" spans="1:10" s="5" customFormat="1" ht="30" hidden="1" customHeight="1" outlineLevel="1" x14ac:dyDescent="0.25">
      <c r="A1376" s="4">
        <v>3282</v>
      </c>
      <c r="B1376" s="6" t="s">
        <v>15</v>
      </c>
      <c r="C1376" s="38" t="s">
        <v>8757</v>
      </c>
      <c r="D1376" s="6">
        <v>2023</v>
      </c>
      <c r="E1376" s="6" t="s">
        <v>12</v>
      </c>
      <c r="F1376" s="6">
        <v>8</v>
      </c>
      <c r="G1376" s="40">
        <v>15</v>
      </c>
      <c r="H1376" s="40">
        <v>46.851950000000002</v>
      </c>
      <c r="I1376" s="212"/>
      <c r="J1376" s="212"/>
    </row>
    <row r="1377" spans="1:10" s="5" customFormat="1" ht="30" hidden="1" customHeight="1" outlineLevel="1" x14ac:dyDescent="0.25">
      <c r="A1377" s="4">
        <v>1993</v>
      </c>
      <c r="B1377" s="6" t="s">
        <v>15</v>
      </c>
      <c r="C1377" s="38" t="s">
        <v>8758</v>
      </c>
      <c r="D1377" s="6">
        <v>2023</v>
      </c>
      <c r="E1377" s="6" t="s">
        <v>12</v>
      </c>
      <c r="F1377" s="6">
        <v>55</v>
      </c>
      <c r="G1377" s="40">
        <v>7</v>
      </c>
      <c r="H1377" s="40">
        <v>109.94713</v>
      </c>
      <c r="I1377" s="212"/>
      <c r="J1377" s="212"/>
    </row>
    <row r="1378" spans="1:10" s="5" customFormat="1" ht="30" hidden="1" customHeight="1" outlineLevel="1" x14ac:dyDescent="0.25">
      <c r="A1378" s="4">
        <v>3144</v>
      </c>
      <c r="B1378" s="6" t="s">
        <v>15</v>
      </c>
      <c r="C1378" s="38" t="s">
        <v>8759</v>
      </c>
      <c r="D1378" s="6">
        <v>2023</v>
      </c>
      <c r="E1378" s="6" t="s">
        <v>12</v>
      </c>
      <c r="F1378" s="6">
        <v>7</v>
      </c>
      <c r="G1378" s="40">
        <v>100</v>
      </c>
      <c r="H1378" s="40">
        <v>76.964269999999999</v>
      </c>
      <c r="I1378" s="212"/>
      <c r="J1378" s="212"/>
    </row>
    <row r="1379" spans="1:10" s="5" customFormat="1" ht="30" hidden="1" customHeight="1" outlineLevel="1" x14ac:dyDescent="0.25">
      <c r="A1379" s="4">
        <v>2204</v>
      </c>
      <c r="B1379" s="6" t="s">
        <v>15</v>
      </c>
      <c r="C1379" s="38" t="s">
        <v>8760</v>
      </c>
      <c r="D1379" s="6">
        <v>2023</v>
      </c>
      <c r="E1379" s="6" t="s">
        <v>12</v>
      </c>
      <c r="F1379" s="6">
        <v>65</v>
      </c>
      <c r="G1379" s="40">
        <v>20</v>
      </c>
      <c r="H1379" s="40">
        <v>101.81652</v>
      </c>
      <c r="I1379" s="212"/>
      <c r="J1379" s="212"/>
    </row>
    <row r="1380" spans="1:10" s="5" customFormat="1" ht="30" hidden="1" customHeight="1" outlineLevel="1" x14ac:dyDescent="0.25">
      <c r="A1380" s="4">
        <v>973</v>
      </c>
      <c r="B1380" s="6" t="s">
        <v>15</v>
      </c>
      <c r="C1380" s="38" t="s">
        <v>8761</v>
      </c>
      <c r="D1380" s="6">
        <v>2023</v>
      </c>
      <c r="E1380" s="6" t="s">
        <v>12</v>
      </c>
      <c r="F1380" s="6">
        <v>179</v>
      </c>
      <c r="G1380" s="40">
        <v>73</v>
      </c>
      <c r="H1380" s="40">
        <v>389.40953999999999</v>
      </c>
      <c r="I1380" s="212"/>
      <c r="J1380" s="212"/>
    </row>
    <row r="1381" spans="1:10" s="5" customFormat="1" ht="30" hidden="1" customHeight="1" outlineLevel="1" x14ac:dyDescent="0.25">
      <c r="A1381" s="4">
        <v>3248</v>
      </c>
      <c r="B1381" s="6" t="s">
        <v>15</v>
      </c>
      <c r="C1381" s="38" t="s">
        <v>8762</v>
      </c>
      <c r="D1381" s="6">
        <v>2023</v>
      </c>
      <c r="E1381" s="6" t="s">
        <v>12</v>
      </c>
      <c r="F1381" s="6">
        <v>350</v>
      </c>
      <c r="G1381" s="40">
        <v>30</v>
      </c>
      <c r="H1381" s="40">
        <v>712.70602999999994</v>
      </c>
      <c r="I1381" s="212"/>
      <c r="J1381" s="212"/>
    </row>
    <row r="1382" spans="1:10" s="5" customFormat="1" ht="30" hidden="1" customHeight="1" outlineLevel="1" x14ac:dyDescent="0.25">
      <c r="A1382" s="4">
        <v>1427</v>
      </c>
      <c r="B1382" s="6" t="s">
        <v>15</v>
      </c>
      <c r="C1382" s="38" t="s">
        <v>8763</v>
      </c>
      <c r="D1382" s="6">
        <v>2023</v>
      </c>
      <c r="E1382" s="6" t="s">
        <v>12</v>
      </c>
      <c r="F1382" s="6">
        <v>45</v>
      </c>
      <c r="G1382" s="40">
        <v>15</v>
      </c>
      <c r="H1382" s="40">
        <v>73.351529999999997</v>
      </c>
      <c r="I1382" s="212"/>
      <c r="J1382" s="212"/>
    </row>
    <row r="1383" spans="1:10" s="5" customFormat="1" ht="30" hidden="1" customHeight="1" outlineLevel="1" x14ac:dyDescent="0.25">
      <c r="A1383" s="4">
        <v>1563</v>
      </c>
      <c r="B1383" s="6" t="s">
        <v>15</v>
      </c>
      <c r="C1383" s="38" t="s">
        <v>8764</v>
      </c>
      <c r="D1383" s="6">
        <v>2023</v>
      </c>
      <c r="E1383" s="6" t="s">
        <v>12</v>
      </c>
      <c r="F1383" s="6">
        <v>50</v>
      </c>
      <c r="G1383" s="40">
        <v>2</v>
      </c>
      <c r="H1383" s="40">
        <v>73.564359999999994</v>
      </c>
      <c r="I1383" s="212"/>
      <c r="J1383" s="212"/>
    </row>
    <row r="1384" spans="1:10" s="5" customFormat="1" ht="30" hidden="1" customHeight="1" outlineLevel="1" x14ac:dyDescent="0.25">
      <c r="A1384" s="4">
        <v>1878</v>
      </c>
      <c r="B1384" s="6" t="s">
        <v>15</v>
      </c>
      <c r="C1384" s="38" t="s">
        <v>8765</v>
      </c>
      <c r="D1384" s="6">
        <v>2023</v>
      </c>
      <c r="E1384" s="6" t="s">
        <v>12</v>
      </c>
      <c r="F1384" s="6">
        <v>68</v>
      </c>
      <c r="G1384" s="40">
        <v>15</v>
      </c>
      <c r="H1384" s="40">
        <v>70.14285000000001</v>
      </c>
      <c r="I1384" s="212"/>
      <c r="J1384" s="212"/>
    </row>
    <row r="1385" spans="1:10" s="5" customFormat="1" ht="30" hidden="1" customHeight="1" outlineLevel="1" x14ac:dyDescent="0.25">
      <c r="A1385" s="4">
        <v>5854</v>
      </c>
      <c r="B1385" s="6" t="s">
        <v>15</v>
      </c>
      <c r="C1385" s="38" t="s">
        <v>8766</v>
      </c>
      <c r="D1385" s="6">
        <v>2023</v>
      </c>
      <c r="E1385" s="6" t="s">
        <v>12</v>
      </c>
      <c r="F1385" s="6">
        <v>140</v>
      </c>
      <c r="G1385" s="40">
        <v>13</v>
      </c>
      <c r="H1385" s="40">
        <v>46.185700000000004</v>
      </c>
      <c r="I1385" s="212"/>
      <c r="J1385" s="212"/>
    </row>
    <row r="1386" spans="1:10" s="5" customFormat="1" ht="30" hidden="1" customHeight="1" outlineLevel="1" x14ac:dyDescent="0.25">
      <c r="A1386" s="4">
        <v>3314</v>
      </c>
      <c r="B1386" s="6" t="s">
        <v>15</v>
      </c>
      <c r="C1386" s="38" t="s">
        <v>8767</v>
      </c>
      <c r="D1386" s="6">
        <v>2023</v>
      </c>
      <c r="E1386" s="6" t="s">
        <v>12</v>
      </c>
      <c r="F1386" s="6">
        <v>65</v>
      </c>
      <c r="G1386" s="40">
        <v>15</v>
      </c>
      <c r="H1386" s="40">
        <v>107.80564</v>
      </c>
      <c r="I1386" s="212"/>
      <c r="J1386" s="212"/>
    </row>
    <row r="1387" spans="1:10" s="5" customFormat="1" ht="30" hidden="1" customHeight="1" outlineLevel="1" x14ac:dyDescent="0.25">
      <c r="A1387" s="4">
        <v>2578</v>
      </c>
      <c r="B1387" s="6" t="s">
        <v>15</v>
      </c>
      <c r="C1387" s="38" t="s">
        <v>8768</v>
      </c>
      <c r="D1387" s="6">
        <v>2023</v>
      </c>
      <c r="E1387" s="6" t="s">
        <v>12</v>
      </c>
      <c r="F1387" s="6">
        <v>219</v>
      </c>
      <c r="G1387" s="40">
        <v>7</v>
      </c>
      <c r="H1387" s="40">
        <v>206.57167000000001</v>
      </c>
      <c r="I1387" s="212"/>
      <c r="J1387" s="212"/>
    </row>
    <row r="1388" spans="1:10" s="5" customFormat="1" ht="30" hidden="1" customHeight="1" outlineLevel="1" x14ac:dyDescent="0.25">
      <c r="A1388" s="4">
        <v>1137</v>
      </c>
      <c r="B1388" s="6" t="s">
        <v>15</v>
      </c>
      <c r="C1388" s="38" t="s">
        <v>8769</v>
      </c>
      <c r="D1388" s="6">
        <v>2023</v>
      </c>
      <c r="E1388" s="6" t="s">
        <v>12</v>
      </c>
      <c r="F1388" s="6">
        <v>80</v>
      </c>
      <c r="G1388" s="40">
        <v>15</v>
      </c>
      <c r="H1388" s="40">
        <v>150</v>
      </c>
      <c r="I1388" s="212"/>
      <c r="J1388" s="212"/>
    </row>
    <row r="1389" spans="1:10" s="5" customFormat="1" ht="30" hidden="1" customHeight="1" outlineLevel="1" x14ac:dyDescent="0.25">
      <c r="A1389" s="4">
        <v>1164</v>
      </c>
      <c r="B1389" s="6" t="s">
        <v>15</v>
      </c>
      <c r="C1389" s="38" t="s">
        <v>8770</v>
      </c>
      <c r="D1389" s="6">
        <v>2023</v>
      </c>
      <c r="E1389" s="6" t="s">
        <v>12</v>
      </c>
      <c r="F1389" s="6">
        <v>110</v>
      </c>
      <c r="G1389" s="40">
        <v>15</v>
      </c>
      <c r="H1389" s="40">
        <v>204</v>
      </c>
      <c r="I1389" s="212"/>
      <c r="J1389" s="212"/>
    </row>
    <row r="1390" spans="1:10" s="5" customFormat="1" ht="30" hidden="1" customHeight="1" outlineLevel="1" x14ac:dyDescent="0.25">
      <c r="A1390" s="4">
        <v>978</v>
      </c>
      <c r="B1390" s="6" t="s">
        <v>15</v>
      </c>
      <c r="C1390" s="38" t="s">
        <v>8771</v>
      </c>
      <c r="D1390" s="6">
        <v>2023</v>
      </c>
      <c r="E1390" s="6" t="s">
        <v>12</v>
      </c>
      <c r="F1390" s="6">
        <v>120</v>
      </c>
      <c r="G1390" s="40">
        <v>15</v>
      </c>
      <c r="H1390" s="40">
        <v>260</v>
      </c>
      <c r="I1390" s="212"/>
      <c r="J1390" s="212"/>
    </row>
    <row r="1391" spans="1:10" s="5" customFormat="1" ht="30" hidden="1" customHeight="1" outlineLevel="1" x14ac:dyDescent="0.25">
      <c r="A1391" s="4">
        <v>3274</v>
      </c>
      <c r="B1391" s="6" t="s">
        <v>15</v>
      </c>
      <c r="C1391" s="38" t="s">
        <v>8772</v>
      </c>
      <c r="D1391" s="6">
        <v>2023</v>
      </c>
      <c r="E1391" s="6" t="s">
        <v>12</v>
      </c>
      <c r="F1391" s="6">
        <v>40</v>
      </c>
      <c r="G1391" s="40">
        <v>14.5</v>
      </c>
      <c r="H1391" s="40">
        <v>101.83609</v>
      </c>
      <c r="I1391" s="212"/>
      <c r="J1391" s="212"/>
    </row>
    <row r="1392" spans="1:10" s="5" customFormat="1" ht="30" hidden="1" customHeight="1" outlineLevel="1" x14ac:dyDescent="0.25">
      <c r="A1392" s="4">
        <v>3112</v>
      </c>
      <c r="B1392" s="6" t="s">
        <v>15</v>
      </c>
      <c r="C1392" s="38" t="s">
        <v>8773</v>
      </c>
      <c r="D1392" s="6">
        <v>2023</v>
      </c>
      <c r="E1392" s="6" t="s">
        <v>12</v>
      </c>
      <c r="F1392" s="6">
        <v>25</v>
      </c>
      <c r="G1392" s="40">
        <v>50</v>
      </c>
      <c r="H1392" s="40">
        <v>72.344999999999999</v>
      </c>
      <c r="I1392" s="212"/>
      <c r="J1392" s="212"/>
    </row>
    <row r="1393" spans="1:10" s="5" customFormat="1" ht="30" hidden="1" customHeight="1" outlineLevel="1" x14ac:dyDescent="0.25">
      <c r="A1393" s="4">
        <v>3221</v>
      </c>
      <c r="B1393" s="6" t="s">
        <v>15</v>
      </c>
      <c r="C1393" s="38" t="s">
        <v>8774</v>
      </c>
      <c r="D1393" s="6">
        <v>2023</v>
      </c>
      <c r="E1393" s="6" t="s">
        <v>12</v>
      </c>
      <c r="F1393" s="6">
        <v>5</v>
      </c>
      <c r="G1393" s="40">
        <v>15</v>
      </c>
      <c r="H1393" s="40">
        <v>138.39803000000001</v>
      </c>
      <c r="I1393" s="212"/>
      <c r="J1393" s="212"/>
    </row>
    <row r="1394" spans="1:10" s="5" customFormat="1" ht="30" hidden="1" customHeight="1" outlineLevel="1" x14ac:dyDescent="0.25">
      <c r="A1394" s="4">
        <v>1038</v>
      </c>
      <c r="B1394" s="6" t="s">
        <v>15</v>
      </c>
      <c r="C1394" s="38" t="s">
        <v>8775</v>
      </c>
      <c r="D1394" s="6">
        <v>2023</v>
      </c>
      <c r="E1394" s="6" t="s">
        <v>12</v>
      </c>
      <c r="F1394" s="6">
        <v>10</v>
      </c>
      <c r="G1394" s="40">
        <v>15</v>
      </c>
      <c r="H1394" s="40">
        <v>104.97292</v>
      </c>
      <c r="I1394" s="212"/>
      <c r="J1394" s="212"/>
    </row>
    <row r="1395" spans="1:10" s="5" customFormat="1" ht="30" hidden="1" customHeight="1" outlineLevel="1" x14ac:dyDescent="0.25">
      <c r="A1395" s="4">
        <v>613</v>
      </c>
      <c r="B1395" s="6" t="s">
        <v>15</v>
      </c>
      <c r="C1395" s="38" t="s">
        <v>8776</v>
      </c>
      <c r="D1395" s="6">
        <v>2023</v>
      </c>
      <c r="E1395" s="6" t="s">
        <v>12</v>
      </c>
      <c r="F1395" s="6">
        <v>10</v>
      </c>
      <c r="G1395" s="40">
        <v>15</v>
      </c>
      <c r="H1395" s="40">
        <v>109.17361</v>
      </c>
      <c r="I1395" s="212"/>
      <c r="J1395" s="212"/>
    </row>
    <row r="1396" spans="1:10" s="5" customFormat="1" ht="30" hidden="1" customHeight="1" outlineLevel="1" x14ac:dyDescent="0.25">
      <c r="A1396" s="4">
        <v>3278</v>
      </c>
      <c r="B1396" s="6" t="s">
        <v>15</v>
      </c>
      <c r="C1396" s="38" t="s">
        <v>8777</v>
      </c>
      <c r="D1396" s="6">
        <v>2023</v>
      </c>
      <c r="E1396" s="6" t="s">
        <v>12</v>
      </c>
      <c r="F1396" s="6">
        <v>40</v>
      </c>
      <c r="G1396" s="40">
        <v>8</v>
      </c>
      <c r="H1396" s="40">
        <v>81.083690000000004</v>
      </c>
      <c r="I1396" s="212"/>
      <c r="J1396" s="212"/>
    </row>
    <row r="1397" spans="1:10" s="5" customFormat="1" ht="30" hidden="1" customHeight="1" outlineLevel="1" x14ac:dyDescent="0.25">
      <c r="A1397" s="4">
        <v>3124</v>
      </c>
      <c r="B1397" s="6" t="s">
        <v>15</v>
      </c>
      <c r="C1397" s="38" t="s">
        <v>8778</v>
      </c>
      <c r="D1397" s="6">
        <v>2023</v>
      </c>
      <c r="E1397" s="6" t="s">
        <v>12</v>
      </c>
      <c r="F1397" s="6">
        <v>25</v>
      </c>
      <c r="G1397" s="40">
        <v>50</v>
      </c>
      <c r="H1397" s="40">
        <v>112.40170999999999</v>
      </c>
      <c r="I1397" s="212"/>
      <c r="J1397" s="212"/>
    </row>
    <row r="1398" spans="1:10" s="5" customFormat="1" ht="30" hidden="1" customHeight="1" outlineLevel="1" x14ac:dyDescent="0.25">
      <c r="A1398" s="4">
        <v>692</v>
      </c>
      <c r="B1398" s="6" t="s">
        <v>15</v>
      </c>
      <c r="C1398" s="38" t="s">
        <v>8779</v>
      </c>
      <c r="D1398" s="6">
        <v>2023</v>
      </c>
      <c r="E1398" s="6" t="s">
        <v>12</v>
      </c>
      <c r="F1398" s="6">
        <v>5</v>
      </c>
      <c r="G1398" s="40">
        <v>10</v>
      </c>
      <c r="H1398" s="40">
        <v>183.71698000000001</v>
      </c>
      <c r="I1398" s="212"/>
      <c r="J1398" s="212"/>
    </row>
    <row r="1399" spans="1:10" s="5" customFormat="1" ht="30" hidden="1" customHeight="1" outlineLevel="1" x14ac:dyDescent="0.25">
      <c r="A1399" s="4">
        <v>3276</v>
      </c>
      <c r="B1399" s="6" t="s">
        <v>15</v>
      </c>
      <c r="C1399" s="38" t="s">
        <v>8780</v>
      </c>
      <c r="D1399" s="6">
        <v>2023</v>
      </c>
      <c r="E1399" s="6" t="s">
        <v>12</v>
      </c>
      <c r="F1399" s="6">
        <v>55</v>
      </c>
      <c r="G1399" s="40">
        <v>14.85</v>
      </c>
      <c r="H1399" s="40">
        <v>118.75281</v>
      </c>
      <c r="I1399" s="212"/>
      <c r="J1399" s="212"/>
    </row>
    <row r="1400" spans="1:10" s="5" customFormat="1" ht="30" hidden="1" customHeight="1" outlineLevel="1" x14ac:dyDescent="0.25">
      <c r="A1400" s="4">
        <v>908</v>
      </c>
      <c r="B1400" s="6" t="s">
        <v>15</v>
      </c>
      <c r="C1400" s="38" t="s">
        <v>8781</v>
      </c>
      <c r="D1400" s="6">
        <v>2023</v>
      </c>
      <c r="E1400" s="6" t="s">
        <v>12</v>
      </c>
      <c r="F1400" s="6">
        <v>90</v>
      </c>
      <c r="G1400" s="40">
        <v>13.5</v>
      </c>
      <c r="H1400" s="40">
        <v>141.94182000000001</v>
      </c>
      <c r="I1400" s="212"/>
      <c r="J1400" s="212"/>
    </row>
    <row r="1401" spans="1:10" s="5" customFormat="1" ht="30" hidden="1" customHeight="1" outlineLevel="1" x14ac:dyDescent="0.25">
      <c r="A1401" s="4">
        <v>683</v>
      </c>
      <c r="B1401" s="6" t="s">
        <v>15</v>
      </c>
      <c r="C1401" s="38" t="s">
        <v>8782</v>
      </c>
      <c r="D1401" s="6">
        <v>2023</v>
      </c>
      <c r="E1401" s="6" t="s">
        <v>12</v>
      </c>
      <c r="F1401" s="6">
        <v>10</v>
      </c>
      <c r="G1401" s="40">
        <v>7</v>
      </c>
      <c r="H1401" s="40">
        <v>188.31746999999999</v>
      </c>
      <c r="I1401" s="212"/>
      <c r="J1401" s="212"/>
    </row>
    <row r="1402" spans="1:10" s="5" customFormat="1" ht="30" hidden="1" customHeight="1" outlineLevel="1" x14ac:dyDescent="0.25">
      <c r="A1402" s="4">
        <v>3286</v>
      </c>
      <c r="B1402" s="6" t="s">
        <v>15</v>
      </c>
      <c r="C1402" s="38" t="s">
        <v>8783</v>
      </c>
      <c r="D1402" s="6">
        <v>2023</v>
      </c>
      <c r="E1402" s="6" t="s">
        <v>12</v>
      </c>
      <c r="F1402" s="6">
        <v>400</v>
      </c>
      <c r="G1402" s="40">
        <v>15</v>
      </c>
      <c r="H1402" s="40">
        <v>158.64874</v>
      </c>
      <c r="I1402" s="212"/>
      <c r="J1402" s="212"/>
    </row>
    <row r="1403" spans="1:10" s="5" customFormat="1" ht="30" hidden="1" customHeight="1" outlineLevel="1" x14ac:dyDescent="0.25">
      <c r="A1403" s="4">
        <v>3281</v>
      </c>
      <c r="B1403" s="6" t="s">
        <v>15</v>
      </c>
      <c r="C1403" s="38" t="s">
        <v>8784</v>
      </c>
      <c r="D1403" s="6">
        <v>2023</v>
      </c>
      <c r="E1403" s="6" t="s">
        <v>12</v>
      </c>
      <c r="F1403" s="6">
        <v>10</v>
      </c>
      <c r="G1403" s="40">
        <v>7</v>
      </c>
      <c r="H1403" s="40">
        <v>125.24361</v>
      </c>
      <c r="I1403" s="212"/>
      <c r="J1403" s="212"/>
    </row>
    <row r="1404" spans="1:10" s="5" customFormat="1" ht="30" hidden="1" customHeight="1" outlineLevel="1" x14ac:dyDescent="0.25">
      <c r="A1404" s="4">
        <v>3294</v>
      </c>
      <c r="B1404" s="6" t="s">
        <v>15</v>
      </c>
      <c r="C1404" s="38" t="s">
        <v>8785</v>
      </c>
      <c r="D1404" s="6">
        <v>2023</v>
      </c>
      <c r="E1404" s="6" t="s">
        <v>12</v>
      </c>
      <c r="F1404" s="6">
        <v>25</v>
      </c>
      <c r="G1404" s="40">
        <v>10</v>
      </c>
      <c r="H1404" s="40">
        <v>62.16919</v>
      </c>
      <c r="I1404" s="212"/>
      <c r="J1404" s="212"/>
    </row>
    <row r="1405" spans="1:10" s="5" customFormat="1" ht="30" hidden="1" customHeight="1" outlineLevel="1" x14ac:dyDescent="0.25">
      <c r="A1405" s="4">
        <v>975</v>
      </c>
      <c r="B1405" s="6" t="s">
        <v>15</v>
      </c>
      <c r="C1405" s="38" t="s">
        <v>8786</v>
      </c>
      <c r="D1405" s="6">
        <v>2023</v>
      </c>
      <c r="E1405" s="6" t="s">
        <v>12</v>
      </c>
      <c r="F1405" s="6">
        <v>15</v>
      </c>
      <c r="G1405" s="40">
        <v>15</v>
      </c>
      <c r="H1405" s="40">
        <v>126.06844</v>
      </c>
      <c r="I1405" s="212"/>
      <c r="J1405" s="212"/>
    </row>
    <row r="1406" spans="1:10" s="5" customFormat="1" ht="30" hidden="1" customHeight="1" outlineLevel="1" x14ac:dyDescent="0.25">
      <c r="A1406" s="4">
        <v>3015</v>
      </c>
      <c r="B1406" s="6" t="s">
        <v>15</v>
      </c>
      <c r="C1406" s="38" t="s">
        <v>8787</v>
      </c>
      <c r="D1406" s="6">
        <v>2023</v>
      </c>
      <c r="E1406" s="6" t="s">
        <v>12</v>
      </c>
      <c r="F1406" s="6">
        <v>40</v>
      </c>
      <c r="G1406" s="40">
        <v>30</v>
      </c>
      <c r="H1406" s="40">
        <v>340.613383</v>
      </c>
      <c r="I1406" s="212"/>
      <c r="J1406" s="212"/>
    </row>
    <row r="1407" spans="1:10" s="5" customFormat="1" ht="30" hidden="1" customHeight="1" outlineLevel="1" x14ac:dyDescent="0.25">
      <c r="A1407" s="4">
        <v>4992</v>
      </c>
      <c r="B1407" s="6" t="s">
        <v>15</v>
      </c>
      <c r="C1407" s="38" t="s">
        <v>8788</v>
      </c>
      <c r="D1407" s="6">
        <v>2023</v>
      </c>
      <c r="E1407" s="6" t="s">
        <v>12</v>
      </c>
      <c r="F1407" s="6">
        <v>51</v>
      </c>
      <c r="G1407" s="40">
        <v>20</v>
      </c>
      <c r="H1407" s="40">
        <v>292.03248000000002</v>
      </c>
      <c r="I1407" s="212"/>
      <c r="J1407" s="212"/>
    </row>
    <row r="1408" spans="1:10" s="5" customFormat="1" ht="30" hidden="1" customHeight="1" outlineLevel="1" x14ac:dyDescent="0.25">
      <c r="A1408" s="4">
        <v>3316</v>
      </c>
      <c r="B1408" s="6" t="s">
        <v>15</v>
      </c>
      <c r="C1408" s="38" t="s">
        <v>8789</v>
      </c>
      <c r="D1408" s="6">
        <v>2023</v>
      </c>
      <c r="E1408" s="6" t="s">
        <v>12</v>
      </c>
      <c r="F1408" s="6">
        <v>70</v>
      </c>
      <c r="G1408" s="40">
        <v>7.5</v>
      </c>
      <c r="H1408" s="40">
        <v>104.00275999999999</v>
      </c>
      <c r="I1408" s="212"/>
      <c r="J1408" s="212"/>
    </row>
    <row r="1409" spans="1:10" s="5" customFormat="1" ht="30" hidden="1" customHeight="1" outlineLevel="1" x14ac:dyDescent="0.25">
      <c r="A1409" s="4">
        <v>4994</v>
      </c>
      <c r="B1409" s="6" t="s">
        <v>15</v>
      </c>
      <c r="C1409" s="38" t="s">
        <v>8790</v>
      </c>
      <c r="D1409" s="6">
        <v>2023</v>
      </c>
      <c r="E1409" s="6" t="s">
        <v>12</v>
      </c>
      <c r="F1409" s="6">
        <v>5</v>
      </c>
      <c r="G1409" s="40">
        <v>150</v>
      </c>
      <c r="H1409" s="40">
        <v>113.90069</v>
      </c>
      <c r="I1409" s="212"/>
      <c r="J1409" s="212"/>
    </row>
    <row r="1410" spans="1:10" s="5" customFormat="1" ht="30" hidden="1" customHeight="1" outlineLevel="1" x14ac:dyDescent="0.25">
      <c r="A1410" s="4">
        <v>1769</v>
      </c>
      <c r="B1410" s="6" t="s">
        <v>15</v>
      </c>
      <c r="C1410" s="38" t="s">
        <v>8791</v>
      </c>
      <c r="D1410" s="6">
        <v>2023</v>
      </c>
      <c r="E1410" s="6" t="s">
        <v>12</v>
      </c>
      <c r="F1410" s="6">
        <v>5</v>
      </c>
      <c r="G1410" s="40">
        <v>5</v>
      </c>
      <c r="H1410" s="40">
        <v>181.56040999999999</v>
      </c>
      <c r="I1410" s="212"/>
      <c r="J1410" s="212"/>
    </row>
    <row r="1411" spans="1:10" s="5" customFormat="1" ht="30" hidden="1" customHeight="1" outlineLevel="1" x14ac:dyDescent="0.25">
      <c r="A1411" s="4">
        <v>3332</v>
      </c>
      <c r="B1411" s="6" t="s">
        <v>15</v>
      </c>
      <c r="C1411" s="38" t="s">
        <v>8792</v>
      </c>
      <c r="D1411" s="6">
        <v>2023</v>
      </c>
      <c r="E1411" s="6" t="s">
        <v>12</v>
      </c>
      <c r="F1411" s="6">
        <v>50</v>
      </c>
      <c r="G1411" s="40">
        <v>15</v>
      </c>
      <c r="H1411" s="40">
        <v>186.78793999999999</v>
      </c>
      <c r="I1411" s="212"/>
      <c r="J1411" s="212"/>
    </row>
    <row r="1412" spans="1:10" s="5" customFormat="1" ht="30" hidden="1" customHeight="1" outlineLevel="1" x14ac:dyDescent="0.25">
      <c r="A1412" s="4">
        <v>1739</v>
      </c>
      <c r="B1412" s="6" t="s">
        <v>15</v>
      </c>
      <c r="C1412" s="38" t="s">
        <v>8793</v>
      </c>
      <c r="D1412" s="6">
        <v>2023</v>
      </c>
      <c r="E1412" s="6" t="s">
        <v>12</v>
      </c>
      <c r="F1412" s="6">
        <v>80</v>
      </c>
      <c r="G1412" s="40">
        <v>10</v>
      </c>
      <c r="H1412" s="40">
        <v>173.61241999999999</v>
      </c>
      <c r="I1412" s="212"/>
      <c r="J1412" s="212"/>
    </row>
    <row r="1413" spans="1:10" s="5" customFormat="1" ht="30" hidden="1" customHeight="1" outlineLevel="1" x14ac:dyDescent="0.25">
      <c r="A1413" s="4">
        <v>3297</v>
      </c>
      <c r="B1413" s="6" t="s">
        <v>15</v>
      </c>
      <c r="C1413" s="38" t="s">
        <v>8794</v>
      </c>
      <c r="D1413" s="6">
        <v>2023</v>
      </c>
      <c r="E1413" s="6" t="s">
        <v>12</v>
      </c>
      <c r="F1413" s="6">
        <v>50</v>
      </c>
      <c r="G1413" s="40">
        <v>15</v>
      </c>
      <c r="H1413" s="40">
        <v>148.14544000000001</v>
      </c>
      <c r="I1413" s="212"/>
      <c r="J1413" s="212"/>
    </row>
    <row r="1414" spans="1:10" s="5" customFormat="1" ht="30" hidden="1" customHeight="1" outlineLevel="1" x14ac:dyDescent="0.25">
      <c r="A1414" s="4">
        <v>505</v>
      </c>
      <c r="B1414" s="6" t="s">
        <v>15</v>
      </c>
      <c r="C1414" s="38" t="s">
        <v>8795</v>
      </c>
      <c r="D1414" s="6">
        <v>2023</v>
      </c>
      <c r="E1414" s="6" t="s">
        <v>12</v>
      </c>
      <c r="F1414" s="6">
        <v>72</v>
      </c>
      <c r="G1414" s="40">
        <v>15</v>
      </c>
      <c r="H1414" s="40">
        <v>231</v>
      </c>
      <c r="I1414" s="212"/>
      <c r="J1414" s="212"/>
    </row>
    <row r="1415" spans="1:10" s="5" customFormat="1" ht="30" hidden="1" customHeight="1" outlineLevel="1" x14ac:dyDescent="0.25">
      <c r="A1415" s="4">
        <v>348</v>
      </c>
      <c r="B1415" s="6" t="s">
        <v>15</v>
      </c>
      <c r="C1415" s="38" t="s">
        <v>8796</v>
      </c>
      <c r="D1415" s="6">
        <v>2023</v>
      </c>
      <c r="E1415" s="6" t="s">
        <v>12</v>
      </c>
      <c r="F1415" s="6">
        <v>72</v>
      </c>
      <c r="G1415" s="40">
        <v>15</v>
      </c>
      <c r="H1415" s="40">
        <v>244</v>
      </c>
      <c r="I1415" s="212"/>
      <c r="J1415" s="212"/>
    </row>
    <row r="1416" spans="1:10" s="5" customFormat="1" ht="30" hidden="1" customHeight="1" outlineLevel="1" x14ac:dyDescent="0.25">
      <c r="A1416" s="4">
        <v>2977</v>
      </c>
      <c r="B1416" s="6" t="s">
        <v>15</v>
      </c>
      <c r="C1416" s="38" t="s">
        <v>8797</v>
      </c>
      <c r="D1416" s="6">
        <v>2023</v>
      </c>
      <c r="E1416" s="6" t="s">
        <v>12</v>
      </c>
      <c r="F1416" s="6">
        <v>5</v>
      </c>
      <c r="G1416" s="40">
        <v>100</v>
      </c>
      <c r="H1416" s="40">
        <v>45</v>
      </c>
      <c r="I1416" s="212"/>
      <c r="J1416" s="212"/>
    </row>
    <row r="1417" spans="1:10" s="5" customFormat="1" ht="30" hidden="1" customHeight="1" outlineLevel="1" x14ac:dyDescent="0.25">
      <c r="A1417" s="4">
        <v>609</v>
      </c>
      <c r="B1417" s="6" t="s">
        <v>15</v>
      </c>
      <c r="C1417" s="38" t="s">
        <v>8798</v>
      </c>
      <c r="D1417" s="6">
        <v>2023</v>
      </c>
      <c r="E1417" s="6" t="s">
        <v>12</v>
      </c>
      <c r="F1417" s="6">
        <v>40</v>
      </c>
      <c r="G1417" s="40">
        <v>45</v>
      </c>
      <c r="H1417" s="40">
        <v>63</v>
      </c>
      <c r="I1417" s="212"/>
      <c r="J1417" s="212"/>
    </row>
    <row r="1418" spans="1:10" s="5" customFormat="1" ht="30" hidden="1" customHeight="1" outlineLevel="1" x14ac:dyDescent="0.25">
      <c r="A1418" s="4">
        <v>3913</v>
      </c>
      <c r="B1418" s="6" t="s">
        <v>15</v>
      </c>
      <c r="C1418" s="38" t="s">
        <v>8799</v>
      </c>
      <c r="D1418" s="6">
        <v>2023</v>
      </c>
      <c r="E1418" s="6" t="s">
        <v>12</v>
      </c>
      <c r="F1418" s="6">
        <v>90</v>
      </c>
      <c r="G1418" s="40">
        <v>15</v>
      </c>
      <c r="H1418" s="40">
        <v>74</v>
      </c>
      <c r="I1418" s="212"/>
      <c r="J1418" s="212"/>
    </row>
    <row r="1419" spans="1:10" s="5" customFormat="1" ht="30" hidden="1" customHeight="1" outlineLevel="1" x14ac:dyDescent="0.25">
      <c r="A1419" s="4">
        <v>3887</v>
      </c>
      <c r="B1419" s="6" t="s">
        <v>15</v>
      </c>
      <c r="C1419" s="38" t="s">
        <v>8800</v>
      </c>
      <c r="D1419" s="6">
        <v>2023</v>
      </c>
      <c r="E1419" s="6" t="s">
        <v>12</v>
      </c>
      <c r="F1419" s="6">
        <v>70</v>
      </c>
      <c r="G1419" s="40">
        <v>15</v>
      </c>
      <c r="H1419" s="40">
        <v>86</v>
      </c>
      <c r="I1419" s="212"/>
      <c r="J1419" s="212"/>
    </row>
    <row r="1420" spans="1:10" s="5" customFormat="1" ht="30" hidden="1" customHeight="1" outlineLevel="1" x14ac:dyDescent="0.25">
      <c r="A1420" s="4">
        <v>3782</v>
      </c>
      <c r="B1420" s="6" t="s">
        <v>15</v>
      </c>
      <c r="C1420" s="38" t="s">
        <v>8801</v>
      </c>
      <c r="D1420" s="6">
        <v>2023</v>
      </c>
      <c r="E1420" s="6" t="s">
        <v>12</v>
      </c>
      <c r="F1420" s="6">
        <v>150</v>
      </c>
      <c r="G1420" s="40">
        <v>15</v>
      </c>
      <c r="H1420" s="40">
        <v>203</v>
      </c>
      <c r="I1420" s="212"/>
      <c r="J1420" s="212"/>
    </row>
    <row r="1421" spans="1:10" s="5" customFormat="1" ht="30" hidden="1" customHeight="1" outlineLevel="1" x14ac:dyDescent="0.25">
      <c r="A1421" s="4">
        <v>3781</v>
      </c>
      <c r="B1421" s="6" t="s">
        <v>15</v>
      </c>
      <c r="C1421" s="38" t="s">
        <v>8802</v>
      </c>
      <c r="D1421" s="6">
        <v>2023</v>
      </c>
      <c r="E1421" s="6" t="s">
        <v>12</v>
      </c>
      <c r="F1421" s="6">
        <v>175</v>
      </c>
      <c r="G1421" s="40">
        <v>15</v>
      </c>
      <c r="H1421" s="40">
        <v>219</v>
      </c>
      <c r="I1421" s="212"/>
      <c r="J1421" s="212"/>
    </row>
    <row r="1422" spans="1:10" s="5" customFormat="1" ht="30" hidden="1" customHeight="1" outlineLevel="1" x14ac:dyDescent="0.25">
      <c r="A1422" s="4">
        <v>3631</v>
      </c>
      <c r="B1422" s="6" t="s">
        <v>15</v>
      </c>
      <c r="C1422" s="38" t="s">
        <v>8803</v>
      </c>
      <c r="D1422" s="6">
        <v>2023</v>
      </c>
      <c r="E1422" s="6" t="s">
        <v>12</v>
      </c>
      <c r="F1422" s="6">
        <v>240</v>
      </c>
      <c r="G1422" s="40">
        <v>15</v>
      </c>
      <c r="H1422" s="40">
        <v>287</v>
      </c>
      <c r="I1422" s="212"/>
      <c r="J1422" s="212"/>
    </row>
    <row r="1423" spans="1:10" s="5" customFormat="1" ht="30" hidden="1" customHeight="1" outlineLevel="1" x14ac:dyDescent="0.25">
      <c r="A1423" s="4">
        <v>3525</v>
      </c>
      <c r="B1423" s="6" t="s">
        <v>15</v>
      </c>
      <c r="C1423" s="38" t="s">
        <v>8804</v>
      </c>
      <c r="D1423" s="6">
        <v>2023</v>
      </c>
      <c r="E1423" s="6" t="s">
        <v>12</v>
      </c>
      <c r="F1423" s="6">
        <v>270</v>
      </c>
      <c r="G1423" s="40">
        <v>15</v>
      </c>
      <c r="H1423" s="40">
        <v>195</v>
      </c>
      <c r="I1423" s="212"/>
      <c r="J1423" s="212"/>
    </row>
    <row r="1424" spans="1:10" s="5" customFormat="1" ht="30" hidden="1" customHeight="1" outlineLevel="1" x14ac:dyDescent="0.25">
      <c r="A1424" s="4">
        <v>3440</v>
      </c>
      <c r="B1424" s="6" t="s">
        <v>15</v>
      </c>
      <c r="C1424" s="38" t="s">
        <v>8805</v>
      </c>
      <c r="D1424" s="6">
        <v>2023</v>
      </c>
      <c r="E1424" s="6" t="s">
        <v>12</v>
      </c>
      <c r="F1424" s="6">
        <v>105</v>
      </c>
      <c r="G1424" s="40">
        <v>15</v>
      </c>
      <c r="H1424" s="40">
        <v>78</v>
      </c>
      <c r="I1424" s="212"/>
      <c r="J1424" s="212"/>
    </row>
    <row r="1425" spans="1:10" s="5" customFormat="1" ht="30" hidden="1" customHeight="1" outlineLevel="1" x14ac:dyDescent="0.25">
      <c r="A1425" s="4">
        <v>3563</v>
      </c>
      <c r="B1425" s="6" t="s">
        <v>15</v>
      </c>
      <c r="C1425" s="38" t="s">
        <v>8806</v>
      </c>
      <c r="D1425" s="6">
        <v>2023</v>
      </c>
      <c r="E1425" s="6" t="s">
        <v>12</v>
      </c>
      <c r="F1425" s="6">
        <v>350</v>
      </c>
      <c r="G1425" s="40">
        <v>15</v>
      </c>
      <c r="H1425" s="40">
        <v>240</v>
      </c>
      <c r="I1425" s="212"/>
      <c r="J1425" s="212"/>
    </row>
    <row r="1426" spans="1:10" s="5" customFormat="1" ht="30" hidden="1" customHeight="1" outlineLevel="1" x14ac:dyDescent="0.25">
      <c r="A1426" s="4">
        <v>3414</v>
      </c>
      <c r="B1426" s="6" t="s">
        <v>15</v>
      </c>
      <c r="C1426" s="38" t="s">
        <v>8807</v>
      </c>
      <c r="D1426" s="6">
        <v>2023</v>
      </c>
      <c r="E1426" s="6" t="s">
        <v>12</v>
      </c>
      <c r="F1426" s="6">
        <v>160</v>
      </c>
      <c r="G1426" s="40">
        <v>45</v>
      </c>
      <c r="H1426" s="40">
        <v>164</v>
      </c>
      <c r="I1426" s="212"/>
      <c r="J1426" s="212"/>
    </row>
    <row r="1427" spans="1:10" s="5" customFormat="1" ht="30" hidden="1" customHeight="1" outlineLevel="1" x14ac:dyDescent="0.25">
      <c r="A1427" s="4">
        <v>3938</v>
      </c>
      <c r="B1427" s="6" t="s">
        <v>15</v>
      </c>
      <c r="C1427" s="38" t="s">
        <v>8808</v>
      </c>
      <c r="D1427" s="6">
        <v>2023</v>
      </c>
      <c r="E1427" s="6" t="s">
        <v>12</v>
      </c>
      <c r="F1427" s="6">
        <v>140</v>
      </c>
      <c r="G1427" s="40">
        <v>10</v>
      </c>
      <c r="H1427" s="40">
        <v>164</v>
      </c>
      <c r="I1427" s="212"/>
      <c r="J1427" s="212"/>
    </row>
    <row r="1428" spans="1:10" s="5" customFormat="1" ht="30" hidden="1" customHeight="1" outlineLevel="1" x14ac:dyDescent="0.25">
      <c r="A1428" s="4">
        <v>3556</v>
      </c>
      <c r="B1428" s="6" t="s">
        <v>15</v>
      </c>
      <c r="C1428" s="38" t="s">
        <v>8809</v>
      </c>
      <c r="D1428" s="6">
        <v>2023</v>
      </c>
      <c r="E1428" s="6" t="s">
        <v>12</v>
      </c>
      <c r="F1428" s="6">
        <v>25</v>
      </c>
      <c r="G1428" s="40">
        <v>15</v>
      </c>
      <c r="H1428" s="40">
        <v>49</v>
      </c>
      <c r="I1428" s="212"/>
      <c r="J1428" s="212"/>
    </row>
    <row r="1429" spans="1:10" s="5" customFormat="1" ht="30" hidden="1" customHeight="1" outlineLevel="1" x14ac:dyDescent="0.25">
      <c r="A1429" s="4">
        <v>3555</v>
      </c>
      <c r="B1429" s="6" t="s">
        <v>15</v>
      </c>
      <c r="C1429" s="38" t="s">
        <v>8810</v>
      </c>
      <c r="D1429" s="6">
        <v>2023</v>
      </c>
      <c r="E1429" s="6" t="s">
        <v>12</v>
      </c>
      <c r="F1429" s="6">
        <v>130</v>
      </c>
      <c r="G1429" s="40">
        <v>15</v>
      </c>
      <c r="H1429" s="40">
        <v>85</v>
      </c>
      <c r="I1429" s="212"/>
      <c r="J1429" s="212"/>
    </row>
    <row r="1430" spans="1:10" s="5" customFormat="1" ht="30" hidden="1" customHeight="1" outlineLevel="1" x14ac:dyDescent="0.25">
      <c r="A1430" s="4">
        <v>4421</v>
      </c>
      <c r="B1430" s="6" t="s">
        <v>15</v>
      </c>
      <c r="C1430" s="38" t="s">
        <v>8811</v>
      </c>
      <c r="D1430" s="6">
        <v>2023</v>
      </c>
      <c r="E1430" s="6" t="s">
        <v>12</v>
      </c>
      <c r="F1430" s="6">
        <v>140</v>
      </c>
      <c r="G1430" s="40">
        <v>15</v>
      </c>
      <c r="H1430" s="40">
        <v>235</v>
      </c>
      <c r="I1430" s="212"/>
      <c r="J1430" s="212"/>
    </row>
    <row r="1431" spans="1:10" s="5" customFormat="1" ht="30" hidden="1" customHeight="1" outlineLevel="1" x14ac:dyDescent="0.25">
      <c r="A1431" s="4">
        <v>3862</v>
      </c>
      <c r="B1431" s="6" t="s">
        <v>15</v>
      </c>
      <c r="C1431" s="38" t="s">
        <v>8812</v>
      </c>
      <c r="D1431" s="6">
        <v>2023</v>
      </c>
      <c r="E1431" s="6" t="s">
        <v>12</v>
      </c>
      <c r="F1431" s="6">
        <v>130</v>
      </c>
      <c r="G1431" s="40">
        <v>15</v>
      </c>
      <c r="H1431" s="40">
        <v>177</v>
      </c>
      <c r="I1431" s="212"/>
      <c r="J1431" s="212"/>
    </row>
    <row r="1432" spans="1:10" s="5" customFormat="1" ht="30" hidden="1" customHeight="1" outlineLevel="1" x14ac:dyDescent="0.25">
      <c r="A1432" s="4">
        <v>3562</v>
      </c>
      <c r="B1432" s="6" t="s">
        <v>15</v>
      </c>
      <c r="C1432" s="38" t="s">
        <v>8813</v>
      </c>
      <c r="D1432" s="6">
        <v>2023</v>
      </c>
      <c r="E1432" s="6" t="s">
        <v>12</v>
      </c>
      <c r="F1432" s="6">
        <v>25</v>
      </c>
      <c r="G1432" s="40">
        <v>15</v>
      </c>
      <c r="H1432" s="40">
        <v>44</v>
      </c>
      <c r="I1432" s="212"/>
      <c r="J1432" s="212"/>
    </row>
    <row r="1433" spans="1:10" s="5" customFormat="1" ht="30" hidden="1" customHeight="1" outlineLevel="1" x14ac:dyDescent="0.25">
      <c r="A1433" s="4">
        <v>3526</v>
      </c>
      <c r="B1433" s="6" t="s">
        <v>15</v>
      </c>
      <c r="C1433" s="38" t="s">
        <v>8814</v>
      </c>
      <c r="D1433" s="6">
        <v>2023</v>
      </c>
      <c r="E1433" s="6" t="s">
        <v>12</v>
      </c>
      <c r="F1433" s="6">
        <v>30</v>
      </c>
      <c r="G1433" s="40">
        <v>15</v>
      </c>
      <c r="H1433" s="40">
        <v>56</v>
      </c>
      <c r="I1433" s="212"/>
      <c r="J1433" s="212"/>
    </row>
    <row r="1434" spans="1:10" s="5" customFormat="1" ht="30" hidden="1" customHeight="1" outlineLevel="1" x14ac:dyDescent="0.25">
      <c r="A1434" s="4">
        <v>3536</v>
      </c>
      <c r="B1434" s="6" t="s">
        <v>15</v>
      </c>
      <c r="C1434" s="38" t="s">
        <v>8815</v>
      </c>
      <c r="D1434" s="6">
        <v>2023</v>
      </c>
      <c r="E1434" s="6" t="s">
        <v>12</v>
      </c>
      <c r="F1434" s="6">
        <v>95</v>
      </c>
      <c r="G1434" s="40">
        <v>15</v>
      </c>
      <c r="H1434" s="40">
        <v>114</v>
      </c>
      <c r="I1434" s="212"/>
      <c r="J1434" s="212"/>
    </row>
    <row r="1435" spans="1:10" s="5" customFormat="1" ht="30" hidden="1" customHeight="1" outlineLevel="1" x14ac:dyDescent="0.25">
      <c r="A1435" s="4">
        <v>3569</v>
      </c>
      <c r="B1435" s="6" t="s">
        <v>15</v>
      </c>
      <c r="C1435" s="38" t="s">
        <v>8816</v>
      </c>
      <c r="D1435" s="6">
        <v>2023</v>
      </c>
      <c r="E1435" s="6" t="s">
        <v>12</v>
      </c>
      <c r="F1435" s="6">
        <v>20</v>
      </c>
      <c r="G1435" s="40">
        <v>15</v>
      </c>
      <c r="H1435" s="40">
        <v>49</v>
      </c>
      <c r="I1435" s="212"/>
      <c r="J1435" s="212"/>
    </row>
    <row r="1436" spans="1:10" s="5" customFormat="1" ht="30" hidden="1" customHeight="1" outlineLevel="1" x14ac:dyDescent="0.25">
      <c r="A1436" s="4">
        <v>3828</v>
      </c>
      <c r="B1436" s="6" t="s">
        <v>15</v>
      </c>
      <c r="C1436" s="38" t="s">
        <v>8817</v>
      </c>
      <c r="D1436" s="6">
        <v>2023</v>
      </c>
      <c r="E1436" s="6" t="s">
        <v>12</v>
      </c>
      <c r="F1436" s="6">
        <v>200</v>
      </c>
      <c r="G1436" s="40">
        <v>15</v>
      </c>
      <c r="H1436" s="40">
        <v>123</v>
      </c>
      <c r="I1436" s="212"/>
      <c r="J1436" s="212"/>
    </row>
    <row r="1437" spans="1:10" s="5" customFormat="1" ht="30" hidden="1" customHeight="1" outlineLevel="1" x14ac:dyDescent="0.25">
      <c r="A1437" s="4">
        <v>3835</v>
      </c>
      <c r="B1437" s="6" t="s">
        <v>15</v>
      </c>
      <c r="C1437" s="38" t="s">
        <v>8818</v>
      </c>
      <c r="D1437" s="6">
        <v>2023</v>
      </c>
      <c r="E1437" s="6" t="s">
        <v>12</v>
      </c>
      <c r="F1437" s="6">
        <v>200</v>
      </c>
      <c r="G1437" s="40">
        <v>15</v>
      </c>
      <c r="H1437" s="40">
        <v>345</v>
      </c>
      <c r="I1437" s="212"/>
      <c r="J1437" s="212"/>
    </row>
    <row r="1438" spans="1:10" s="5" customFormat="1" ht="30" hidden="1" customHeight="1" outlineLevel="1" x14ac:dyDescent="0.25">
      <c r="A1438" s="4">
        <v>3368</v>
      </c>
      <c r="B1438" s="6" t="s">
        <v>15</v>
      </c>
      <c r="C1438" s="38" t="s">
        <v>8819</v>
      </c>
      <c r="D1438" s="6">
        <v>2023</v>
      </c>
      <c r="E1438" s="6" t="s">
        <v>12</v>
      </c>
      <c r="F1438" s="6">
        <v>70</v>
      </c>
      <c r="G1438" s="40">
        <v>100</v>
      </c>
      <c r="H1438" s="40">
        <v>111</v>
      </c>
      <c r="I1438" s="212"/>
      <c r="J1438" s="212"/>
    </row>
    <row r="1439" spans="1:10" s="5" customFormat="1" ht="30" hidden="1" customHeight="1" outlineLevel="1" x14ac:dyDescent="0.25">
      <c r="A1439" s="4">
        <v>3818</v>
      </c>
      <c r="B1439" s="6" t="s">
        <v>15</v>
      </c>
      <c r="C1439" s="38" t="s">
        <v>8820</v>
      </c>
      <c r="D1439" s="6">
        <v>2023</v>
      </c>
      <c r="E1439" s="6" t="s">
        <v>12</v>
      </c>
      <c r="F1439" s="6">
        <v>580</v>
      </c>
      <c r="G1439" s="40">
        <v>15</v>
      </c>
      <c r="H1439" s="40">
        <v>498</v>
      </c>
      <c r="I1439" s="212"/>
      <c r="J1439" s="212"/>
    </row>
    <row r="1440" spans="1:10" s="5" customFormat="1" ht="30" hidden="1" customHeight="1" outlineLevel="1" x14ac:dyDescent="0.25">
      <c r="A1440" s="4">
        <v>3348</v>
      </c>
      <c r="B1440" s="6" t="s">
        <v>15</v>
      </c>
      <c r="C1440" s="38" t="s">
        <v>8821</v>
      </c>
      <c r="D1440" s="6">
        <v>2023</v>
      </c>
      <c r="E1440" s="6" t="s">
        <v>12</v>
      </c>
      <c r="F1440" s="6">
        <v>10</v>
      </c>
      <c r="G1440" s="40">
        <v>5</v>
      </c>
      <c r="H1440" s="40">
        <v>52</v>
      </c>
      <c r="I1440" s="212"/>
      <c r="J1440" s="212"/>
    </row>
    <row r="1441" spans="1:10" s="5" customFormat="1" ht="30" hidden="1" customHeight="1" outlineLevel="1" x14ac:dyDescent="0.25">
      <c r="A1441" s="4">
        <v>4422</v>
      </c>
      <c r="B1441" s="6" t="s">
        <v>15</v>
      </c>
      <c r="C1441" s="38" t="s">
        <v>8822</v>
      </c>
      <c r="D1441" s="6">
        <v>2023</v>
      </c>
      <c r="E1441" s="6" t="s">
        <v>12</v>
      </c>
      <c r="F1441" s="6">
        <v>10</v>
      </c>
      <c r="G1441" s="40">
        <v>15</v>
      </c>
      <c r="H1441" s="40">
        <v>32</v>
      </c>
      <c r="I1441" s="212"/>
      <c r="J1441" s="212"/>
    </row>
    <row r="1442" spans="1:10" s="5" customFormat="1" ht="30" hidden="1" customHeight="1" outlineLevel="1" x14ac:dyDescent="0.25">
      <c r="A1442" s="4">
        <v>3621</v>
      </c>
      <c r="B1442" s="6" t="s">
        <v>15</v>
      </c>
      <c r="C1442" s="38" t="s">
        <v>8823</v>
      </c>
      <c r="D1442" s="6">
        <v>2023</v>
      </c>
      <c r="E1442" s="6" t="s">
        <v>12</v>
      </c>
      <c r="F1442" s="6">
        <v>40</v>
      </c>
      <c r="G1442" s="40">
        <v>30</v>
      </c>
      <c r="H1442" s="40">
        <v>87</v>
      </c>
      <c r="I1442" s="212"/>
      <c r="J1442" s="212"/>
    </row>
    <row r="1443" spans="1:10" s="5" customFormat="1" ht="30" hidden="1" customHeight="1" outlineLevel="1" x14ac:dyDescent="0.25">
      <c r="A1443" s="4">
        <v>3524</v>
      </c>
      <c r="B1443" s="6" t="s">
        <v>15</v>
      </c>
      <c r="C1443" s="38" t="s">
        <v>8824</v>
      </c>
      <c r="D1443" s="6">
        <v>2023</v>
      </c>
      <c r="E1443" s="6" t="s">
        <v>12</v>
      </c>
      <c r="F1443" s="6">
        <v>85</v>
      </c>
      <c r="G1443" s="40">
        <v>45</v>
      </c>
      <c r="H1443" s="40">
        <v>163</v>
      </c>
      <c r="I1443" s="212"/>
      <c r="J1443" s="212"/>
    </row>
    <row r="1444" spans="1:10" s="5" customFormat="1" ht="30" hidden="1" customHeight="1" outlineLevel="1" x14ac:dyDescent="0.25">
      <c r="A1444" s="4">
        <v>3361</v>
      </c>
      <c r="B1444" s="6" t="s">
        <v>15</v>
      </c>
      <c r="C1444" s="38" t="s">
        <v>8825</v>
      </c>
      <c r="D1444" s="6">
        <v>2023</v>
      </c>
      <c r="E1444" s="6" t="s">
        <v>12</v>
      </c>
      <c r="F1444" s="6">
        <v>15</v>
      </c>
      <c r="G1444" s="40">
        <v>100</v>
      </c>
      <c r="H1444" s="40">
        <v>59</v>
      </c>
      <c r="I1444" s="212"/>
      <c r="J1444" s="212"/>
    </row>
    <row r="1445" spans="1:10" s="5" customFormat="1" ht="30" hidden="1" customHeight="1" outlineLevel="1" x14ac:dyDescent="0.25">
      <c r="A1445" s="4">
        <v>3342</v>
      </c>
      <c r="B1445" s="6" t="s">
        <v>15</v>
      </c>
      <c r="C1445" s="38" t="s">
        <v>8826</v>
      </c>
      <c r="D1445" s="6">
        <v>2023</v>
      </c>
      <c r="E1445" s="6" t="s">
        <v>12</v>
      </c>
      <c r="F1445" s="6">
        <v>25</v>
      </c>
      <c r="G1445" s="40">
        <v>15</v>
      </c>
      <c r="H1445" s="40">
        <v>73</v>
      </c>
      <c r="I1445" s="212"/>
      <c r="J1445" s="212"/>
    </row>
    <row r="1446" spans="1:10" s="5" customFormat="1" ht="30" hidden="1" customHeight="1" outlineLevel="1" x14ac:dyDescent="0.25">
      <c r="A1446" s="4">
        <v>3004</v>
      </c>
      <c r="B1446" s="6" t="s">
        <v>15</v>
      </c>
      <c r="C1446" s="38" t="s">
        <v>8827</v>
      </c>
      <c r="D1446" s="6">
        <v>2023</v>
      </c>
      <c r="E1446" s="6" t="s">
        <v>12</v>
      </c>
      <c r="F1446" s="6">
        <v>40</v>
      </c>
      <c r="G1446" s="40">
        <v>100</v>
      </c>
      <c r="H1446" s="40">
        <v>27</v>
      </c>
      <c r="I1446" s="212"/>
      <c r="J1446" s="212"/>
    </row>
    <row r="1447" spans="1:10" s="5" customFormat="1" ht="30" hidden="1" customHeight="1" outlineLevel="1" x14ac:dyDescent="0.25">
      <c r="A1447" s="4">
        <v>451</v>
      </c>
      <c r="B1447" s="6" t="s">
        <v>15</v>
      </c>
      <c r="C1447" s="38" t="s">
        <v>8828</v>
      </c>
      <c r="D1447" s="6">
        <v>2023</v>
      </c>
      <c r="E1447" s="6" t="s">
        <v>12</v>
      </c>
      <c r="F1447" s="6">
        <v>65</v>
      </c>
      <c r="G1447" s="40">
        <v>5</v>
      </c>
      <c r="H1447" s="40">
        <v>273</v>
      </c>
      <c r="I1447" s="212"/>
      <c r="J1447" s="212"/>
    </row>
    <row r="1448" spans="1:10" s="5" customFormat="1" ht="30" hidden="1" customHeight="1" outlineLevel="1" x14ac:dyDescent="0.25">
      <c r="A1448" s="4">
        <v>436</v>
      </c>
      <c r="B1448" s="6" t="s">
        <v>15</v>
      </c>
      <c r="C1448" s="38" t="s">
        <v>8829</v>
      </c>
      <c r="D1448" s="6">
        <v>2023</v>
      </c>
      <c r="E1448" s="6" t="s">
        <v>12</v>
      </c>
      <c r="F1448" s="6">
        <v>40</v>
      </c>
      <c r="G1448" s="40">
        <v>15</v>
      </c>
      <c r="H1448" s="40">
        <v>199</v>
      </c>
      <c r="I1448" s="212"/>
      <c r="J1448" s="212"/>
    </row>
    <row r="1449" spans="1:10" s="5" customFormat="1" ht="30" hidden="1" customHeight="1" outlineLevel="1" x14ac:dyDescent="0.25">
      <c r="A1449" s="4">
        <v>297</v>
      </c>
      <c r="B1449" s="6" t="s">
        <v>15</v>
      </c>
      <c r="C1449" s="38" t="s">
        <v>8830</v>
      </c>
      <c r="D1449" s="6">
        <v>2023</v>
      </c>
      <c r="E1449" s="6" t="s">
        <v>12</v>
      </c>
      <c r="F1449" s="6">
        <v>18</v>
      </c>
      <c r="G1449" s="40">
        <v>15</v>
      </c>
      <c r="H1449" s="40">
        <v>158</v>
      </c>
      <c r="I1449" s="212"/>
      <c r="J1449" s="212"/>
    </row>
    <row r="1450" spans="1:10" s="5" customFormat="1" ht="30" hidden="1" customHeight="1" outlineLevel="1" x14ac:dyDescent="0.25">
      <c r="A1450" s="4">
        <v>436</v>
      </c>
      <c r="B1450" s="6" t="s">
        <v>15</v>
      </c>
      <c r="C1450" s="38" t="s">
        <v>8831</v>
      </c>
      <c r="D1450" s="6">
        <v>2023</v>
      </c>
      <c r="E1450" s="6" t="s">
        <v>12</v>
      </c>
      <c r="F1450" s="6">
        <v>129</v>
      </c>
      <c r="G1450" s="40">
        <v>15</v>
      </c>
      <c r="H1450" s="40">
        <v>206</v>
      </c>
      <c r="I1450" s="212"/>
      <c r="J1450" s="212"/>
    </row>
    <row r="1451" spans="1:10" s="5" customFormat="1" ht="30" hidden="1" customHeight="1" outlineLevel="1" x14ac:dyDescent="0.25">
      <c r="A1451" s="4">
        <v>2853</v>
      </c>
      <c r="B1451" s="6" t="s">
        <v>15</v>
      </c>
      <c r="C1451" s="38" t="s">
        <v>8832</v>
      </c>
      <c r="D1451" s="6">
        <v>2023</v>
      </c>
      <c r="E1451" s="6" t="s">
        <v>12</v>
      </c>
      <c r="F1451" s="6">
        <v>64</v>
      </c>
      <c r="G1451" s="40">
        <v>15</v>
      </c>
      <c r="H1451" s="40">
        <v>109</v>
      </c>
      <c r="I1451" s="212"/>
      <c r="J1451" s="212"/>
    </row>
    <row r="1452" spans="1:10" s="5" customFormat="1" ht="30" hidden="1" customHeight="1" outlineLevel="1" x14ac:dyDescent="0.25">
      <c r="A1452" s="4">
        <v>3696</v>
      </c>
      <c r="B1452" s="6" t="s">
        <v>15</v>
      </c>
      <c r="C1452" s="38" t="s">
        <v>8833</v>
      </c>
      <c r="D1452" s="6">
        <v>2023</v>
      </c>
      <c r="E1452" s="6" t="s">
        <v>12</v>
      </c>
      <c r="F1452" s="6">
        <v>160</v>
      </c>
      <c r="G1452" s="40">
        <v>21</v>
      </c>
      <c r="H1452" s="40">
        <v>189</v>
      </c>
      <c r="I1452" s="212"/>
      <c r="J1452" s="212"/>
    </row>
    <row r="1453" spans="1:10" s="5" customFormat="1" ht="30" hidden="1" customHeight="1" outlineLevel="1" x14ac:dyDescent="0.25">
      <c r="A1453" s="4">
        <v>1105</v>
      </c>
      <c r="B1453" s="6" t="s">
        <v>15</v>
      </c>
      <c r="C1453" s="38" t="s">
        <v>8834</v>
      </c>
      <c r="D1453" s="6">
        <v>2023</v>
      </c>
      <c r="E1453" s="6" t="s">
        <v>12</v>
      </c>
      <c r="F1453" s="6">
        <v>100</v>
      </c>
      <c r="G1453" s="40">
        <v>15</v>
      </c>
      <c r="H1453" s="40">
        <v>142</v>
      </c>
      <c r="I1453" s="212"/>
      <c r="J1453" s="212"/>
    </row>
    <row r="1454" spans="1:10" s="5" customFormat="1" ht="30" hidden="1" customHeight="1" outlineLevel="1" x14ac:dyDescent="0.25">
      <c r="A1454" s="4">
        <v>1073</v>
      </c>
      <c r="B1454" s="6" t="s">
        <v>15</v>
      </c>
      <c r="C1454" s="38" t="s">
        <v>8835</v>
      </c>
      <c r="D1454" s="6">
        <v>2023</v>
      </c>
      <c r="E1454" s="6" t="s">
        <v>12</v>
      </c>
      <c r="F1454" s="6">
        <v>60</v>
      </c>
      <c r="G1454" s="40">
        <v>15</v>
      </c>
      <c r="H1454" s="40">
        <v>91</v>
      </c>
      <c r="I1454" s="212"/>
      <c r="J1454" s="212"/>
    </row>
    <row r="1455" spans="1:10" s="5" customFormat="1" ht="30" hidden="1" customHeight="1" outlineLevel="1" x14ac:dyDescent="0.25">
      <c r="A1455" s="4">
        <v>1096</v>
      </c>
      <c r="B1455" s="6" t="s">
        <v>15</v>
      </c>
      <c r="C1455" s="38" t="s">
        <v>8836</v>
      </c>
      <c r="D1455" s="6">
        <v>2023</v>
      </c>
      <c r="E1455" s="6" t="s">
        <v>12</v>
      </c>
      <c r="F1455" s="6">
        <v>40</v>
      </c>
      <c r="G1455" s="40">
        <v>15</v>
      </c>
      <c r="H1455" s="40">
        <v>71</v>
      </c>
      <c r="I1455" s="212"/>
      <c r="J1455" s="212"/>
    </row>
    <row r="1456" spans="1:10" s="5" customFormat="1" ht="30" hidden="1" customHeight="1" outlineLevel="1" x14ac:dyDescent="0.25">
      <c r="A1456" s="4">
        <v>3335</v>
      </c>
      <c r="B1456" s="6" t="s">
        <v>15</v>
      </c>
      <c r="C1456" s="38" t="s">
        <v>8837</v>
      </c>
      <c r="D1456" s="6">
        <v>2023</v>
      </c>
      <c r="E1456" s="6" t="s">
        <v>12</v>
      </c>
      <c r="F1456" s="6">
        <v>40</v>
      </c>
      <c r="G1456" s="40">
        <v>5</v>
      </c>
      <c r="H1456" s="40">
        <v>60</v>
      </c>
      <c r="I1456" s="212"/>
      <c r="J1456" s="212"/>
    </row>
    <row r="1457" spans="1:10" s="5" customFormat="1" ht="30" hidden="1" customHeight="1" outlineLevel="1" x14ac:dyDescent="0.25">
      <c r="A1457" s="4">
        <v>3109</v>
      </c>
      <c r="B1457" s="6" t="s">
        <v>15</v>
      </c>
      <c r="C1457" s="38" t="s">
        <v>8838</v>
      </c>
      <c r="D1457" s="6">
        <v>2023</v>
      </c>
      <c r="E1457" s="6" t="s">
        <v>12</v>
      </c>
      <c r="F1457" s="6">
        <v>53</v>
      </c>
      <c r="G1457" s="40">
        <v>30</v>
      </c>
      <c r="H1457" s="40">
        <v>160</v>
      </c>
      <c r="I1457" s="212"/>
      <c r="J1457" s="212"/>
    </row>
    <row r="1458" spans="1:10" s="5" customFormat="1" ht="30" hidden="1" customHeight="1" outlineLevel="1" x14ac:dyDescent="0.25">
      <c r="A1458" s="4">
        <v>1305</v>
      </c>
      <c r="B1458" s="6" t="s">
        <v>15</v>
      </c>
      <c r="C1458" s="38" t="s">
        <v>8839</v>
      </c>
      <c r="D1458" s="6">
        <v>2023</v>
      </c>
      <c r="E1458" s="6" t="s">
        <v>12</v>
      </c>
      <c r="F1458" s="6">
        <v>5</v>
      </c>
      <c r="G1458" s="40">
        <v>15</v>
      </c>
      <c r="H1458" s="40">
        <v>30</v>
      </c>
      <c r="I1458" s="212"/>
      <c r="J1458" s="212"/>
    </row>
    <row r="1459" spans="1:10" s="5" customFormat="1" ht="30" hidden="1" customHeight="1" outlineLevel="1" x14ac:dyDescent="0.25">
      <c r="A1459" s="4">
        <v>686</v>
      </c>
      <c r="B1459" s="6" t="s">
        <v>15</v>
      </c>
      <c r="C1459" s="38" t="s">
        <v>8840</v>
      </c>
      <c r="D1459" s="6">
        <v>2023</v>
      </c>
      <c r="E1459" s="6" t="s">
        <v>12</v>
      </c>
      <c r="F1459" s="6">
        <v>215</v>
      </c>
      <c r="G1459" s="40">
        <v>50</v>
      </c>
      <c r="H1459" s="40">
        <v>341</v>
      </c>
      <c r="I1459" s="212"/>
      <c r="J1459" s="212"/>
    </row>
    <row r="1460" spans="1:10" s="5" customFormat="1" ht="30" hidden="1" customHeight="1" outlineLevel="1" x14ac:dyDescent="0.25">
      <c r="A1460" s="4">
        <v>571</v>
      </c>
      <c r="B1460" s="6" t="s">
        <v>15</v>
      </c>
      <c r="C1460" s="38" t="s">
        <v>8841</v>
      </c>
      <c r="D1460" s="6">
        <v>2023</v>
      </c>
      <c r="E1460" s="6" t="s">
        <v>12</v>
      </c>
      <c r="F1460" s="6">
        <v>4</v>
      </c>
      <c r="G1460" s="40">
        <v>15</v>
      </c>
      <c r="H1460" s="40">
        <v>53</v>
      </c>
      <c r="I1460" s="212"/>
      <c r="J1460" s="212"/>
    </row>
    <row r="1461" spans="1:10" s="5" customFormat="1" ht="30" hidden="1" customHeight="1" outlineLevel="1" x14ac:dyDescent="0.25">
      <c r="A1461" s="4">
        <v>406</v>
      </c>
      <c r="B1461" s="6" t="s">
        <v>15</v>
      </c>
      <c r="C1461" s="38" t="s">
        <v>8842</v>
      </c>
      <c r="D1461" s="6">
        <v>2023</v>
      </c>
      <c r="E1461" s="6" t="s">
        <v>12</v>
      </c>
      <c r="F1461" s="6">
        <v>420</v>
      </c>
      <c r="G1461" s="40">
        <v>5</v>
      </c>
      <c r="H1461" s="40">
        <v>910</v>
      </c>
      <c r="I1461" s="212"/>
      <c r="J1461" s="212"/>
    </row>
    <row r="1462" spans="1:10" s="5" customFormat="1" ht="30" hidden="1" customHeight="1" outlineLevel="1" x14ac:dyDescent="0.25">
      <c r="A1462" s="4">
        <v>552</v>
      </c>
      <c r="B1462" s="6" t="s">
        <v>15</v>
      </c>
      <c r="C1462" s="38" t="s">
        <v>8843</v>
      </c>
      <c r="D1462" s="6">
        <v>2023</v>
      </c>
      <c r="E1462" s="6" t="s">
        <v>12</v>
      </c>
      <c r="F1462" s="6">
        <v>605</v>
      </c>
      <c r="G1462" s="40">
        <v>10</v>
      </c>
      <c r="H1462" s="40">
        <v>920</v>
      </c>
      <c r="I1462" s="212"/>
      <c r="J1462" s="212"/>
    </row>
    <row r="1463" spans="1:10" s="5" customFormat="1" ht="30" hidden="1" customHeight="1" outlineLevel="1" x14ac:dyDescent="0.25">
      <c r="A1463" s="4">
        <v>599</v>
      </c>
      <c r="B1463" s="6" t="s">
        <v>15</v>
      </c>
      <c r="C1463" s="38" t="s">
        <v>8844</v>
      </c>
      <c r="D1463" s="6">
        <v>2023</v>
      </c>
      <c r="E1463" s="6" t="s">
        <v>12</v>
      </c>
      <c r="F1463" s="6">
        <v>125</v>
      </c>
      <c r="G1463" s="40">
        <v>15</v>
      </c>
      <c r="H1463" s="40">
        <v>157</v>
      </c>
      <c r="I1463" s="212"/>
      <c r="J1463" s="212"/>
    </row>
    <row r="1464" spans="1:10" s="5" customFormat="1" ht="30" hidden="1" customHeight="1" outlineLevel="1" x14ac:dyDescent="0.25">
      <c r="A1464" s="4">
        <v>627</v>
      </c>
      <c r="B1464" s="6" t="s">
        <v>15</v>
      </c>
      <c r="C1464" s="38" t="s">
        <v>8845</v>
      </c>
      <c r="D1464" s="6">
        <v>2023</v>
      </c>
      <c r="E1464" s="6" t="s">
        <v>12</v>
      </c>
      <c r="F1464" s="6">
        <v>175</v>
      </c>
      <c r="G1464" s="40">
        <v>15</v>
      </c>
      <c r="H1464" s="40">
        <v>243</v>
      </c>
      <c r="I1464" s="212"/>
      <c r="J1464" s="212"/>
    </row>
    <row r="1465" spans="1:10" s="5" customFormat="1" ht="30" hidden="1" customHeight="1" outlineLevel="1" x14ac:dyDescent="0.25">
      <c r="A1465" s="4">
        <v>1142</v>
      </c>
      <c r="B1465" s="6" t="s">
        <v>15</v>
      </c>
      <c r="C1465" s="38" t="s">
        <v>8846</v>
      </c>
      <c r="D1465" s="6">
        <v>2023</v>
      </c>
      <c r="E1465" s="6" t="s">
        <v>12</v>
      </c>
      <c r="F1465" s="6">
        <v>40</v>
      </c>
      <c r="G1465" s="40">
        <v>15</v>
      </c>
      <c r="H1465" s="40">
        <v>96</v>
      </c>
      <c r="I1465" s="212"/>
      <c r="J1465" s="212"/>
    </row>
    <row r="1466" spans="1:10" s="5" customFormat="1" ht="30" hidden="1" customHeight="1" outlineLevel="1" x14ac:dyDescent="0.25">
      <c r="A1466" s="4">
        <v>987</v>
      </c>
      <c r="B1466" s="6" t="s">
        <v>15</v>
      </c>
      <c r="C1466" s="38" t="s">
        <v>8847</v>
      </c>
      <c r="D1466" s="6">
        <v>2023</v>
      </c>
      <c r="E1466" s="6" t="s">
        <v>12</v>
      </c>
      <c r="F1466" s="6">
        <v>80</v>
      </c>
      <c r="G1466" s="40">
        <v>30</v>
      </c>
      <c r="H1466" s="40">
        <v>45</v>
      </c>
      <c r="I1466" s="212"/>
      <c r="J1466" s="212"/>
    </row>
    <row r="1467" spans="1:10" s="5" customFormat="1" ht="30" hidden="1" customHeight="1" outlineLevel="1" x14ac:dyDescent="0.25">
      <c r="A1467" s="4">
        <v>1223</v>
      </c>
      <c r="B1467" s="6" t="s">
        <v>15</v>
      </c>
      <c r="C1467" s="38" t="s">
        <v>8848</v>
      </c>
      <c r="D1467" s="6">
        <v>2023</v>
      </c>
      <c r="E1467" s="6" t="s">
        <v>12</v>
      </c>
      <c r="F1467" s="6">
        <v>40</v>
      </c>
      <c r="G1467" s="40">
        <v>15</v>
      </c>
      <c r="H1467" s="40">
        <v>61</v>
      </c>
      <c r="I1467" s="212"/>
      <c r="J1467" s="212"/>
    </row>
    <row r="1468" spans="1:10" s="5" customFormat="1" ht="30" hidden="1" customHeight="1" outlineLevel="1" x14ac:dyDescent="0.25">
      <c r="A1468" s="4">
        <v>1240</v>
      </c>
      <c r="B1468" s="6" t="s">
        <v>15</v>
      </c>
      <c r="C1468" s="38" t="s">
        <v>8849</v>
      </c>
      <c r="D1468" s="6">
        <v>2023</v>
      </c>
      <c r="E1468" s="6" t="s">
        <v>12</v>
      </c>
      <c r="F1468" s="6">
        <v>50</v>
      </c>
      <c r="G1468" s="40">
        <v>15</v>
      </c>
      <c r="H1468" s="40">
        <v>85</v>
      </c>
      <c r="I1468" s="212"/>
      <c r="J1468" s="212"/>
    </row>
    <row r="1469" spans="1:10" s="5" customFormat="1" ht="30" hidden="1" customHeight="1" outlineLevel="1" x14ac:dyDescent="0.25">
      <c r="A1469" s="4">
        <v>1241</v>
      </c>
      <c r="B1469" s="6" t="s">
        <v>15</v>
      </c>
      <c r="C1469" s="38" t="s">
        <v>8850</v>
      </c>
      <c r="D1469" s="6">
        <v>2023</v>
      </c>
      <c r="E1469" s="6" t="s">
        <v>12</v>
      </c>
      <c r="F1469" s="6">
        <v>73</v>
      </c>
      <c r="G1469" s="40">
        <v>15</v>
      </c>
      <c r="H1469" s="40">
        <v>58</v>
      </c>
      <c r="I1469" s="212"/>
      <c r="J1469" s="212"/>
    </row>
    <row r="1470" spans="1:10" s="5" customFormat="1" ht="30" hidden="1" customHeight="1" outlineLevel="1" x14ac:dyDescent="0.25">
      <c r="A1470" s="4">
        <v>1268</v>
      </c>
      <c r="B1470" s="6" t="s">
        <v>15</v>
      </c>
      <c r="C1470" s="38" t="s">
        <v>8851</v>
      </c>
      <c r="D1470" s="6">
        <v>2023</v>
      </c>
      <c r="E1470" s="6" t="s">
        <v>12</v>
      </c>
      <c r="F1470" s="6">
        <v>60</v>
      </c>
      <c r="G1470" s="40">
        <v>15</v>
      </c>
      <c r="H1470" s="40">
        <v>164</v>
      </c>
      <c r="I1470" s="212"/>
      <c r="J1470" s="212"/>
    </row>
    <row r="1471" spans="1:10" s="5" customFormat="1" ht="30" hidden="1" customHeight="1" outlineLevel="1" x14ac:dyDescent="0.25">
      <c r="A1471" s="4">
        <v>1025</v>
      </c>
      <c r="B1471" s="6" t="s">
        <v>15</v>
      </c>
      <c r="C1471" s="38" t="s">
        <v>8852</v>
      </c>
      <c r="D1471" s="6">
        <v>2023</v>
      </c>
      <c r="E1471" s="6" t="s">
        <v>12</v>
      </c>
      <c r="F1471" s="6">
        <v>165</v>
      </c>
      <c r="G1471" s="40">
        <v>15</v>
      </c>
      <c r="H1471" s="40">
        <v>207</v>
      </c>
      <c r="I1471" s="212"/>
      <c r="J1471" s="212"/>
    </row>
    <row r="1472" spans="1:10" s="5" customFormat="1" ht="30" hidden="1" customHeight="1" outlineLevel="1" x14ac:dyDescent="0.25">
      <c r="A1472" s="4">
        <v>3269</v>
      </c>
      <c r="B1472" s="6" t="s">
        <v>15</v>
      </c>
      <c r="C1472" s="38" t="s">
        <v>8853</v>
      </c>
      <c r="D1472" s="6">
        <v>2023</v>
      </c>
      <c r="E1472" s="6" t="s">
        <v>12</v>
      </c>
      <c r="F1472" s="6">
        <v>87</v>
      </c>
      <c r="G1472" s="40">
        <v>5</v>
      </c>
      <c r="H1472" s="40">
        <v>141</v>
      </c>
      <c r="I1472" s="212"/>
      <c r="J1472" s="212"/>
    </row>
    <row r="1473" spans="1:10" s="5" customFormat="1" ht="30" hidden="1" customHeight="1" outlineLevel="1" x14ac:dyDescent="0.25">
      <c r="A1473" s="4">
        <v>1314</v>
      </c>
      <c r="B1473" s="6" t="s">
        <v>15</v>
      </c>
      <c r="C1473" s="38" t="s">
        <v>8854</v>
      </c>
      <c r="D1473" s="6">
        <v>2023</v>
      </c>
      <c r="E1473" s="6" t="s">
        <v>12</v>
      </c>
      <c r="F1473" s="6">
        <v>120</v>
      </c>
      <c r="G1473" s="40">
        <v>5</v>
      </c>
      <c r="H1473" s="40">
        <v>268</v>
      </c>
      <c r="I1473" s="212"/>
      <c r="J1473" s="212"/>
    </row>
    <row r="1474" spans="1:10" s="5" customFormat="1" ht="30" hidden="1" customHeight="1" outlineLevel="1" x14ac:dyDescent="0.25">
      <c r="A1474" s="4">
        <v>654</v>
      </c>
      <c r="B1474" s="6" t="s">
        <v>15</v>
      </c>
      <c r="C1474" s="38" t="s">
        <v>8855</v>
      </c>
      <c r="D1474" s="6">
        <v>2023</v>
      </c>
      <c r="E1474" s="6" t="s">
        <v>12</v>
      </c>
      <c r="F1474" s="6">
        <v>15</v>
      </c>
      <c r="G1474" s="40">
        <v>30</v>
      </c>
      <c r="H1474" s="40">
        <v>75</v>
      </c>
      <c r="I1474" s="212"/>
      <c r="J1474" s="212"/>
    </row>
    <row r="1475" spans="1:10" s="5" customFormat="1" ht="30" hidden="1" customHeight="1" outlineLevel="1" x14ac:dyDescent="0.25">
      <c r="A1475" s="4">
        <v>724</v>
      </c>
      <c r="B1475" s="6" t="s">
        <v>15</v>
      </c>
      <c r="C1475" s="38" t="s">
        <v>8856</v>
      </c>
      <c r="D1475" s="6">
        <v>2023</v>
      </c>
      <c r="E1475" s="6" t="s">
        <v>12</v>
      </c>
      <c r="F1475" s="6">
        <v>160</v>
      </c>
      <c r="G1475" s="40">
        <v>20</v>
      </c>
      <c r="H1475" s="40">
        <v>245</v>
      </c>
      <c r="I1475" s="212"/>
      <c r="J1475" s="212"/>
    </row>
    <row r="1476" spans="1:10" s="5" customFormat="1" ht="30" hidden="1" customHeight="1" outlineLevel="1" x14ac:dyDescent="0.25">
      <c r="A1476" s="4">
        <v>512</v>
      </c>
      <c r="B1476" s="6" t="s">
        <v>15</v>
      </c>
      <c r="C1476" s="38" t="s">
        <v>8857</v>
      </c>
      <c r="D1476" s="6">
        <v>2023</v>
      </c>
      <c r="E1476" s="6" t="s">
        <v>12</v>
      </c>
      <c r="F1476" s="6">
        <v>29</v>
      </c>
      <c r="G1476" s="40">
        <v>14.5</v>
      </c>
      <c r="H1476" s="40">
        <v>136</v>
      </c>
      <c r="I1476" s="212"/>
      <c r="J1476" s="212"/>
    </row>
    <row r="1477" spans="1:10" s="5" customFormat="1" ht="30" hidden="1" customHeight="1" outlineLevel="1" x14ac:dyDescent="0.25">
      <c r="A1477" s="4">
        <v>398</v>
      </c>
      <c r="B1477" s="6" t="s">
        <v>15</v>
      </c>
      <c r="C1477" s="38" t="s">
        <v>8858</v>
      </c>
      <c r="D1477" s="6">
        <v>2023</v>
      </c>
      <c r="E1477" s="6" t="s">
        <v>12</v>
      </c>
      <c r="F1477" s="6">
        <v>41</v>
      </c>
      <c r="G1477" s="40">
        <v>15</v>
      </c>
      <c r="H1477" s="40">
        <v>177</v>
      </c>
      <c r="I1477" s="212"/>
      <c r="J1477" s="212"/>
    </row>
    <row r="1478" spans="1:10" s="5" customFormat="1" ht="30" hidden="1" customHeight="1" outlineLevel="1" x14ac:dyDescent="0.25">
      <c r="A1478" s="4">
        <v>366</v>
      </c>
      <c r="B1478" s="6" t="s">
        <v>15</v>
      </c>
      <c r="C1478" s="38" t="s">
        <v>8859</v>
      </c>
      <c r="D1478" s="6">
        <v>2023</v>
      </c>
      <c r="E1478" s="6" t="s">
        <v>12</v>
      </c>
      <c r="F1478" s="6">
        <v>25</v>
      </c>
      <c r="G1478" s="40">
        <v>15</v>
      </c>
      <c r="H1478" s="40">
        <v>124</v>
      </c>
      <c r="I1478" s="212"/>
      <c r="J1478" s="212"/>
    </row>
    <row r="1479" spans="1:10" s="5" customFormat="1" ht="30" hidden="1" customHeight="1" outlineLevel="1" x14ac:dyDescent="0.25">
      <c r="A1479" s="4">
        <v>405</v>
      </c>
      <c r="B1479" s="6" t="s">
        <v>15</v>
      </c>
      <c r="C1479" s="38" t="s">
        <v>8860</v>
      </c>
      <c r="D1479" s="6">
        <v>2023</v>
      </c>
      <c r="E1479" s="6" t="s">
        <v>12</v>
      </c>
      <c r="F1479" s="6">
        <v>40</v>
      </c>
      <c r="G1479" s="40">
        <v>15</v>
      </c>
      <c r="H1479" s="40">
        <v>165</v>
      </c>
      <c r="I1479" s="212"/>
      <c r="J1479" s="212"/>
    </row>
    <row r="1480" spans="1:10" s="5" customFormat="1" ht="30" hidden="1" customHeight="1" outlineLevel="1" x14ac:dyDescent="0.25">
      <c r="A1480" s="4">
        <v>202</v>
      </c>
      <c r="B1480" s="6" t="s">
        <v>15</v>
      </c>
      <c r="C1480" s="38" t="s">
        <v>8861</v>
      </c>
      <c r="D1480" s="6">
        <v>2023</v>
      </c>
      <c r="E1480" s="6" t="s">
        <v>12</v>
      </c>
      <c r="F1480" s="6">
        <v>18</v>
      </c>
      <c r="G1480" s="40">
        <v>15</v>
      </c>
      <c r="H1480" s="40">
        <v>208</v>
      </c>
      <c r="I1480" s="212"/>
      <c r="J1480" s="212"/>
    </row>
    <row r="1481" spans="1:10" s="5" customFormat="1" ht="30" hidden="1" customHeight="1" outlineLevel="1" x14ac:dyDescent="0.25">
      <c r="A1481" s="4">
        <v>446</v>
      </c>
      <c r="B1481" s="6" t="s">
        <v>15</v>
      </c>
      <c r="C1481" s="38" t="s">
        <v>8862</v>
      </c>
      <c r="D1481" s="6">
        <v>2023</v>
      </c>
      <c r="E1481" s="6" t="s">
        <v>12</v>
      </c>
      <c r="F1481" s="6">
        <v>55</v>
      </c>
      <c r="G1481" s="40">
        <v>15</v>
      </c>
      <c r="H1481" s="40">
        <v>161</v>
      </c>
      <c r="I1481" s="212"/>
      <c r="J1481" s="212"/>
    </row>
    <row r="1482" spans="1:10" s="5" customFormat="1" ht="30" hidden="1" customHeight="1" outlineLevel="1" x14ac:dyDescent="0.25">
      <c r="A1482" s="4">
        <v>2817</v>
      </c>
      <c r="B1482" s="6" t="s">
        <v>15</v>
      </c>
      <c r="C1482" s="38" t="s">
        <v>8863</v>
      </c>
      <c r="D1482" s="6">
        <v>2023</v>
      </c>
      <c r="E1482" s="6" t="s">
        <v>12</v>
      </c>
      <c r="F1482" s="6">
        <v>40</v>
      </c>
      <c r="G1482" s="40">
        <v>15</v>
      </c>
      <c r="H1482" s="40">
        <v>158</v>
      </c>
      <c r="I1482" s="212"/>
      <c r="J1482" s="212"/>
    </row>
    <row r="1483" spans="1:10" s="5" customFormat="1" ht="30" hidden="1" customHeight="1" outlineLevel="1" x14ac:dyDescent="0.25">
      <c r="A1483" s="4">
        <v>1041</v>
      </c>
      <c r="B1483" s="6" t="s">
        <v>15</v>
      </c>
      <c r="C1483" s="38" t="s">
        <v>8864</v>
      </c>
      <c r="D1483" s="6">
        <v>2023</v>
      </c>
      <c r="E1483" s="6" t="s">
        <v>12</v>
      </c>
      <c r="F1483" s="6">
        <v>428</v>
      </c>
      <c r="G1483" s="40">
        <v>50</v>
      </c>
      <c r="H1483" s="40">
        <v>811</v>
      </c>
      <c r="I1483" s="212"/>
      <c r="J1483" s="212"/>
    </row>
    <row r="1484" spans="1:10" s="5" customFormat="1" ht="30" hidden="1" customHeight="1" outlineLevel="1" x14ac:dyDescent="0.25">
      <c r="A1484" s="4">
        <v>510</v>
      </c>
      <c r="B1484" s="6" t="s">
        <v>15</v>
      </c>
      <c r="C1484" s="38" t="s">
        <v>8865</v>
      </c>
      <c r="D1484" s="6">
        <v>2023</v>
      </c>
      <c r="E1484" s="6" t="s">
        <v>12</v>
      </c>
      <c r="F1484" s="6">
        <v>1059</v>
      </c>
      <c r="G1484" s="40">
        <v>94</v>
      </c>
      <c r="H1484" s="40">
        <v>1937</v>
      </c>
      <c r="I1484" s="212"/>
      <c r="J1484" s="212"/>
    </row>
    <row r="1485" spans="1:10" s="5" customFormat="1" ht="30" hidden="1" customHeight="1" outlineLevel="1" x14ac:dyDescent="0.25">
      <c r="A1485" s="4">
        <v>977</v>
      </c>
      <c r="B1485" s="6" t="s">
        <v>15</v>
      </c>
      <c r="C1485" s="38" t="s">
        <v>8866</v>
      </c>
      <c r="D1485" s="6">
        <v>2023</v>
      </c>
      <c r="E1485" s="6" t="s">
        <v>12</v>
      </c>
      <c r="F1485" s="6">
        <v>397</v>
      </c>
      <c r="G1485" s="40">
        <v>50</v>
      </c>
      <c r="H1485" s="40">
        <v>751</v>
      </c>
      <c r="I1485" s="212"/>
      <c r="J1485" s="212"/>
    </row>
    <row r="1486" spans="1:10" s="5" customFormat="1" ht="30" hidden="1" customHeight="1" outlineLevel="1" x14ac:dyDescent="0.25">
      <c r="A1486" s="4">
        <v>1005</v>
      </c>
      <c r="B1486" s="6" t="s">
        <v>15</v>
      </c>
      <c r="C1486" s="38" t="s">
        <v>8867</v>
      </c>
      <c r="D1486" s="6">
        <v>2023</v>
      </c>
      <c r="E1486" s="6" t="s">
        <v>12</v>
      </c>
      <c r="F1486" s="6">
        <v>130</v>
      </c>
      <c r="G1486" s="40">
        <v>15</v>
      </c>
      <c r="H1486" s="40">
        <v>203</v>
      </c>
      <c r="I1486" s="212"/>
      <c r="J1486" s="212"/>
    </row>
    <row r="1487" spans="1:10" s="5" customFormat="1" ht="30" hidden="1" customHeight="1" outlineLevel="1" x14ac:dyDescent="0.25">
      <c r="A1487" s="4">
        <v>770</v>
      </c>
      <c r="B1487" s="6" t="s">
        <v>15</v>
      </c>
      <c r="C1487" s="38" t="s">
        <v>8868</v>
      </c>
      <c r="D1487" s="6">
        <v>2023</v>
      </c>
      <c r="E1487" s="6" t="s">
        <v>12</v>
      </c>
      <c r="F1487" s="6">
        <v>25</v>
      </c>
      <c r="G1487" s="40">
        <v>15</v>
      </c>
      <c r="H1487" s="40">
        <v>54</v>
      </c>
      <c r="I1487" s="212"/>
      <c r="J1487" s="212"/>
    </row>
    <row r="1488" spans="1:10" s="5" customFormat="1" ht="30" hidden="1" customHeight="1" outlineLevel="1" x14ac:dyDescent="0.25">
      <c r="A1488" s="4">
        <v>1085</v>
      </c>
      <c r="B1488" s="6" t="s">
        <v>15</v>
      </c>
      <c r="C1488" s="38" t="s">
        <v>8869</v>
      </c>
      <c r="D1488" s="6">
        <v>2023</v>
      </c>
      <c r="E1488" s="6" t="s">
        <v>12</v>
      </c>
      <c r="F1488" s="6">
        <v>100</v>
      </c>
      <c r="G1488" s="40">
        <v>30</v>
      </c>
      <c r="H1488" s="40">
        <v>167</v>
      </c>
      <c r="I1488" s="212"/>
      <c r="J1488" s="212"/>
    </row>
    <row r="1489" spans="1:10" s="5" customFormat="1" ht="30" hidden="1" customHeight="1" outlineLevel="1" x14ac:dyDescent="0.25">
      <c r="A1489" s="4">
        <v>4452</v>
      </c>
      <c r="B1489" s="6" t="s">
        <v>15</v>
      </c>
      <c r="C1489" s="38" t="s">
        <v>8870</v>
      </c>
      <c r="D1489" s="6">
        <v>2023</v>
      </c>
      <c r="E1489" s="6" t="s">
        <v>12</v>
      </c>
      <c r="F1489" s="6">
        <v>7</v>
      </c>
      <c r="G1489" s="40">
        <v>100</v>
      </c>
      <c r="H1489" s="40">
        <v>48</v>
      </c>
      <c r="I1489" s="212"/>
      <c r="J1489" s="212"/>
    </row>
    <row r="1490" spans="1:10" s="5" customFormat="1" ht="30" hidden="1" customHeight="1" outlineLevel="1" x14ac:dyDescent="0.25">
      <c r="A1490" s="4">
        <v>550</v>
      </c>
      <c r="B1490" s="6" t="s">
        <v>15</v>
      </c>
      <c r="C1490" s="38" t="s">
        <v>8871</v>
      </c>
      <c r="D1490" s="6">
        <v>2023</v>
      </c>
      <c r="E1490" s="6" t="s">
        <v>12</v>
      </c>
      <c r="F1490" s="6">
        <v>15</v>
      </c>
      <c r="G1490" s="40">
        <v>30</v>
      </c>
      <c r="H1490" s="40">
        <v>47</v>
      </c>
      <c r="I1490" s="212"/>
      <c r="J1490" s="212"/>
    </row>
    <row r="1491" spans="1:10" s="5" customFormat="1" ht="30" hidden="1" customHeight="1" outlineLevel="1" x14ac:dyDescent="0.25">
      <c r="A1491" s="4">
        <v>976</v>
      </c>
      <c r="B1491" s="6" t="s">
        <v>15</v>
      </c>
      <c r="C1491" s="38" t="s">
        <v>8872</v>
      </c>
      <c r="D1491" s="6">
        <v>2023</v>
      </c>
      <c r="E1491" s="6" t="s">
        <v>12</v>
      </c>
      <c r="F1491" s="6">
        <v>150</v>
      </c>
      <c r="G1491" s="40">
        <v>15</v>
      </c>
      <c r="H1491" s="40">
        <v>281</v>
      </c>
      <c r="I1491" s="212"/>
      <c r="J1491" s="212"/>
    </row>
    <row r="1492" spans="1:10" s="5" customFormat="1" ht="30" hidden="1" customHeight="1" outlineLevel="1" x14ac:dyDescent="0.25">
      <c r="A1492" s="4">
        <v>1282</v>
      </c>
      <c r="B1492" s="6" t="s">
        <v>15</v>
      </c>
      <c r="C1492" s="38" t="s">
        <v>8873</v>
      </c>
      <c r="D1492" s="6">
        <v>2023</v>
      </c>
      <c r="E1492" s="6" t="s">
        <v>12</v>
      </c>
      <c r="F1492" s="6">
        <v>220</v>
      </c>
      <c r="G1492" s="40">
        <v>15</v>
      </c>
      <c r="H1492" s="40">
        <v>323</v>
      </c>
      <c r="I1492" s="212"/>
      <c r="J1492" s="212"/>
    </row>
    <row r="1493" spans="1:10" s="5" customFormat="1" ht="30" hidden="1" customHeight="1" outlineLevel="1" x14ac:dyDescent="0.25">
      <c r="A1493" s="4">
        <v>1570</v>
      </c>
      <c r="B1493" s="6" t="s">
        <v>15</v>
      </c>
      <c r="C1493" s="38" t="s">
        <v>8874</v>
      </c>
      <c r="D1493" s="6">
        <v>2023</v>
      </c>
      <c r="E1493" s="6" t="s">
        <v>12</v>
      </c>
      <c r="F1493" s="6">
        <v>25</v>
      </c>
      <c r="G1493" s="40">
        <v>5</v>
      </c>
      <c r="H1493" s="40">
        <v>59</v>
      </c>
      <c r="I1493" s="212"/>
      <c r="J1493" s="212"/>
    </row>
    <row r="1494" spans="1:10" s="5" customFormat="1" ht="30" hidden="1" customHeight="1" outlineLevel="1" x14ac:dyDescent="0.25">
      <c r="A1494" s="4">
        <v>1676</v>
      </c>
      <c r="B1494" s="6" t="s">
        <v>15</v>
      </c>
      <c r="C1494" s="38" t="s">
        <v>8875</v>
      </c>
      <c r="D1494" s="6">
        <v>2023</v>
      </c>
      <c r="E1494" s="6" t="s">
        <v>12</v>
      </c>
      <c r="F1494" s="6">
        <v>70</v>
      </c>
      <c r="G1494" s="40">
        <v>15</v>
      </c>
      <c r="H1494" s="40">
        <v>133</v>
      </c>
      <c r="I1494" s="212"/>
      <c r="J1494" s="212"/>
    </row>
    <row r="1495" spans="1:10" s="5" customFormat="1" ht="30" hidden="1" customHeight="1" outlineLevel="1" x14ac:dyDescent="0.25">
      <c r="A1495" s="4">
        <v>1743</v>
      </c>
      <c r="B1495" s="6" t="s">
        <v>15</v>
      </c>
      <c r="C1495" s="38" t="s">
        <v>8876</v>
      </c>
      <c r="D1495" s="6">
        <v>2023</v>
      </c>
      <c r="E1495" s="6" t="s">
        <v>12</v>
      </c>
      <c r="F1495" s="6">
        <v>15</v>
      </c>
      <c r="G1495" s="40">
        <v>10</v>
      </c>
      <c r="H1495" s="40">
        <v>60</v>
      </c>
      <c r="I1495" s="212"/>
      <c r="J1495" s="212"/>
    </row>
    <row r="1496" spans="1:10" s="5" customFormat="1" ht="30" hidden="1" customHeight="1" outlineLevel="1" x14ac:dyDescent="0.25">
      <c r="A1496" s="4">
        <v>625</v>
      </c>
      <c r="B1496" s="6" t="s">
        <v>15</v>
      </c>
      <c r="C1496" s="38" t="s">
        <v>8877</v>
      </c>
      <c r="D1496" s="6">
        <v>2023</v>
      </c>
      <c r="E1496" s="6" t="s">
        <v>12</v>
      </c>
      <c r="F1496" s="6">
        <v>110</v>
      </c>
      <c r="G1496" s="40">
        <v>15</v>
      </c>
      <c r="H1496" s="40">
        <v>143</v>
      </c>
      <c r="I1496" s="212"/>
      <c r="J1496" s="212"/>
    </row>
    <row r="1497" spans="1:10" s="5" customFormat="1" ht="30" hidden="1" customHeight="1" outlineLevel="1" x14ac:dyDescent="0.25">
      <c r="A1497" s="4">
        <v>1019</v>
      </c>
      <c r="B1497" s="6" t="s">
        <v>15</v>
      </c>
      <c r="C1497" s="38" t="s">
        <v>8878</v>
      </c>
      <c r="D1497" s="6">
        <v>2023</v>
      </c>
      <c r="E1497" s="6" t="s">
        <v>12</v>
      </c>
      <c r="F1497" s="6">
        <v>250</v>
      </c>
      <c r="G1497" s="40">
        <v>15</v>
      </c>
      <c r="H1497" s="40">
        <v>230</v>
      </c>
      <c r="I1497" s="212"/>
      <c r="J1497" s="212"/>
    </row>
    <row r="1498" spans="1:10" s="5" customFormat="1" ht="30" hidden="1" customHeight="1" outlineLevel="1" x14ac:dyDescent="0.25">
      <c r="A1498" s="4">
        <v>3123</v>
      </c>
      <c r="B1498" s="6" t="s">
        <v>15</v>
      </c>
      <c r="C1498" s="38" t="s">
        <v>8879</v>
      </c>
      <c r="D1498" s="6">
        <v>2023</v>
      </c>
      <c r="E1498" s="6" t="s">
        <v>12</v>
      </c>
      <c r="F1498" s="6">
        <v>150</v>
      </c>
      <c r="G1498" s="40">
        <v>150</v>
      </c>
      <c r="H1498" s="40">
        <v>232</v>
      </c>
      <c r="I1498" s="212"/>
      <c r="J1498" s="212"/>
    </row>
    <row r="1499" spans="1:10" s="5" customFormat="1" ht="30" hidden="1" customHeight="1" outlineLevel="1" x14ac:dyDescent="0.25">
      <c r="A1499" s="4">
        <v>1714</v>
      </c>
      <c r="B1499" s="6" t="s">
        <v>15</v>
      </c>
      <c r="C1499" s="38" t="s">
        <v>8880</v>
      </c>
      <c r="D1499" s="6">
        <v>2023</v>
      </c>
      <c r="E1499" s="6" t="s">
        <v>12</v>
      </c>
      <c r="F1499" s="6">
        <v>220</v>
      </c>
      <c r="G1499" s="40">
        <v>450</v>
      </c>
      <c r="H1499" s="40">
        <v>158</v>
      </c>
      <c r="I1499" s="212"/>
      <c r="J1499" s="212"/>
    </row>
    <row r="1500" spans="1:10" s="5" customFormat="1" ht="30" hidden="1" customHeight="1" outlineLevel="1" x14ac:dyDescent="0.25">
      <c r="A1500" s="4">
        <v>1453</v>
      </c>
      <c r="B1500" s="6" t="s">
        <v>15</v>
      </c>
      <c r="C1500" s="38" t="s">
        <v>8881</v>
      </c>
      <c r="D1500" s="6">
        <v>2023</v>
      </c>
      <c r="E1500" s="6" t="s">
        <v>12</v>
      </c>
      <c r="F1500" s="6">
        <v>25</v>
      </c>
      <c r="G1500" s="40">
        <v>15</v>
      </c>
      <c r="H1500" s="40">
        <v>49</v>
      </c>
      <c r="I1500" s="212"/>
      <c r="J1500" s="212"/>
    </row>
    <row r="1501" spans="1:10" s="5" customFormat="1" ht="30" hidden="1" customHeight="1" outlineLevel="1" x14ac:dyDescent="0.25">
      <c r="A1501" s="4">
        <v>3284</v>
      </c>
      <c r="B1501" s="6" t="s">
        <v>15</v>
      </c>
      <c r="C1501" s="38" t="s">
        <v>8882</v>
      </c>
      <c r="D1501" s="6">
        <v>2023</v>
      </c>
      <c r="E1501" s="6" t="s">
        <v>12</v>
      </c>
      <c r="F1501" s="6">
        <v>150</v>
      </c>
      <c r="G1501" s="40">
        <v>15</v>
      </c>
      <c r="H1501" s="40">
        <v>101</v>
      </c>
      <c r="I1501" s="212"/>
      <c r="J1501" s="212"/>
    </row>
    <row r="1502" spans="1:10" s="5" customFormat="1" ht="30" hidden="1" customHeight="1" outlineLevel="1" x14ac:dyDescent="0.25">
      <c r="A1502" s="4">
        <v>1191</v>
      </c>
      <c r="B1502" s="6" t="s">
        <v>15</v>
      </c>
      <c r="C1502" s="38" t="s">
        <v>8883</v>
      </c>
      <c r="D1502" s="6">
        <v>2023</v>
      </c>
      <c r="E1502" s="6" t="s">
        <v>12</v>
      </c>
      <c r="F1502" s="6">
        <v>200</v>
      </c>
      <c r="G1502" s="40">
        <v>15</v>
      </c>
      <c r="H1502" s="40">
        <v>282</v>
      </c>
      <c r="I1502" s="212"/>
      <c r="J1502" s="212"/>
    </row>
    <row r="1503" spans="1:10" s="5" customFormat="1" ht="30" hidden="1" customHeight="1" outlineLevel="1" x14ac:dyDescent="0.25">
      <c r="A1503" s="4">
        <v>1054</v>
      </c>
      <c r="B1503" s="6" t="s">
        <v>15</v>
      </c>
      <c r="C1503" s="38" t="s">
        <v>8884</v>
      </c>
      <c r="D1503" s="6">
        <v>2023</v>
      </c>
      <c r="E1503" s="6" t="s">
        <v>12</v>
      </c>
      <c r="F1503" s="6">
        <v>5</v>
      </c>
      <c r="G1503" s="40">
        <v>15</v>
      </c>
      <c r="H1503" s="40">
        <v>28</v>
      </c>
      <c r="I1503" s="212"/>
      <c r="J1503" s="212"/>
    </row>
    <row r="1504" spans="1:10" s="5" customFormat="1" ht="30" hidden="1" customHeight="1" outlineLevel="1" x14ac:dyDescent="0.25">
      <c r="A1504" s="4">
        <v>1849</v>
      </c>
      <c r="B1504" s="6" t="s">
        <v>15</v>
      </c>
      <c r="C1504" s="38" t="s">
        <v>8885</v>
      </c>
      <c r="D1504" s="6">
        <v>2023</v>
      </c>
      <c r="E1504" s="6" t="s">
        <v>12</v>
      </c>
      <c r="F1504" s="6">
        <v>45</v>
      </c>
      <c r="G1504" s="40">
        <v>3</v>
      </c>
      <c r="H1504" s="40">
        <v>123</v>
      </c>
      <c r="I1504" s="212"/>
      <c r="J1504" s="212"/>
    </row>
    <row r="1505" spans="1:10" s="5" customFormat="1" ht="30" hidden="1" customHeight="1" outlineLevel="1" x14ac:dyDescent="0.25">
      <c r="A1505" s="4">
        <v>1910</v>
      </c>
      <c r="B1505" s="6" t="s">
        <v>15</v>
      </c>
      <c r="C1505" s="38" t="s">
        <v>8886</v>
      </c>
      <c r="D1505" s="6">
        <v>2023</v>
      </c>
      <c r="E1505" s="6" t="s">
        <v>12</v>
      </c>
      <c r="F1505" s="6">
        <v>20</v>
      </c>
      <c r="G1505" s="40">
        <v>5</v>
      </c>
      <c r="H1505" s="40">
        <v>56</v>
      </c>
      <c r="I1505" s="212"/>
      <c r="J1505" s="212"/>
    </row>
    <row r="1506" spans="1:10" s="5" customFormat="1" ht="30" hidden="1" customHeight="1" outlineLevel="1" x14ac:dyDescent="0.25">
      <c r="A1506" s="4">
        <v>680</v>
      </c>
      <c r="B1506" s="6" t="s">
        <v>15</v>
      </c>
      <c r="C1506" s="38" t="s">
        <v>8887</v>
      </c>
      <c r="D1506" s="6">
        <v>2023</v>
      </c>
      <c r="E1506" s="6" t="s">
        <v>12</v>
      </c>
      <c r="F1506" s="6">
        <v>5</v>
      </c>
      <c r="G1506" s="40">
        <v>15</v>
      </c>
      <c r="H1506" s="40">
        <v>33</v>
      </c>
      <c r="I1506" s="212"/>
      <c r="J1506" s="212"/>
    </row>
    <row r="1507" spans="1:10" s="5" customFormat="1" ht="30" hidden="1" customHeight="1" outlineLevel="1" x14ac:dyDescent="0.25">
      <c r="A1507" s="4">
        <v>3344</v>
      </c>
      <c r="B1507" s="6" t="s">
        <v>15</v>
      </c>
      <c r="C1507" s="38" t="s">
        <v>8888</v>
      </c>
      <c r="D1507" s="6">
        <v>2023</v>
      </c>
      <c r="E1507" s="6" t="s">
        <v>12</v>
      </c>
      <c r="F1507" s="6">
        <v>309</v>
      </c>
      <c r="G1507" s="40">
        <v>15</v>
      </c>
      <c r="H1507" s="40">
        <v>763</v>
      </c>
      <c r="I1507" s="212"/>
      <c r="J1507" s="212"/>
    </row>
    <row r="1508" spans="1:10" s="5" customFormat="1" ht="30" hidden="1" customHeight="1" outlineLevel="1" x14ac:dyDescent="0.25">
      <c r="A1508" s="4">
        <v>3007</v>
      </c>
      <c r="B1508" s="6" t="s">
        <v>15</v>
      </c>
      <c r="C1508" s="38" t="s">
        <v>8889</v>
      </c>
      <c r="D1508" s="6">
        <v>2023</v>
      </c>
      <c r="E1508" s="6" t="s">
        <v>12</v>
      </c>
      <c r="F1508" s="6">
        <v>5</v>
      </c>
      <c r="G1508" s="40">
        <v>90</v>
      </c>
      <c r="H1508" s="40">
        <v>59</v>
      </c>
      <c r="I1508" s="212"/>
      <c r="J1508" s="212"/>
    </row>
    <row r="1509" spans="1:10" s="5" customFormat="1" ht="30" hidden="1" customHeight="1" outlineLevel="1" x14ac:dyDescent="0.25">
      <c r="A1509" s="4">
        <v>668</v>
      </c>
      <c r="B1509" s="6" t="s">
        <v>15</v>
      </c>
      <c r="C1509" s="38" t="s">
        <v>8890</v>
      </c>
      <c r="D1509" s="6">
        <v>2023</v>
      </c>
      <c r="E1509" s="6" t="s">
        <v>12</v>
      </c>
      <c r="F1509" s="6">
        <v>240</v>
      </c>
      <c r="G1509" s="40">
        <v>45</v>
      </c>
      <c r="H1509" s="40">
        <v>416</v>
      </c>
      <c r="I1509" s="212"/>
      <c r="J1509" s="212"/>
    </row>
    <row r="1510" spans="1:10" s="5" customFormat="1" ht="30" hidden="1" customHeight="1" outlineLevel="1" x14ac:dyDescent="0.25">
      <c r="A1510" s="4">
        <v>979</v>
      </c>
      <c r="B1510" s="6" t="s">
        <v>15</v>
      </c>
      <c r="C1510" s="38" t="s">
        <v>8891</v>
      </c>
      <c r="D1510" s="6">
        <v>2023</v>
      </c>
      <c r="E1510" s="6" t="s">
        <v>12</v>
      </c>
      <c r="F1510" s="6">
        <v>30</v>
      </c>
      <c r="G1510" s="40">
        <v>15</v>
      </c>
      <c r="H1510" s="40">
        <v>93</v>
      </c>
      <c r="I1510" s="212"/>
      <c r="J1510" s="212"/>
    </row>
    <row r="1511" spans="1:10" s="5" customFormat="1" ht="30" hidden="1" customHeight="1" outlineLevel="1" x14ac:dyDescent="0.25">
      <c r="A1511" s="4">
        <v>3089</v>
      </c>
      <c r="B1511" s="6" t="s">
        <v>15</v>
      </c>
      <c r="C1511" s="38" t="s">
        <v>8892</v>
      </c>
      <c r="D1511" s="6">
        <v>2023</v>
      </c>
      <c r="E1511" s="6" t="s">
        <v>12</v>
      </c>
      <c r="F1511" s="6">
        <v>30</v>
      </c>
      <c r="G1511" s="40">
        <v>100</v>
      </c>
      <c r="H1511" s="40">
        <v>101</v>
      </c>
      <c r="I1511" s="212"/>
      <c r="J1511" s="212"/>
    </row>
    <row r="1512" spans="1:10" s="5" customFormat="1" ht="30" hidden="1" customHeight="1" outlineLevel="1" x14ac:dyDescent="0.25">
      <c r="A1512" s="4">
        <v>1325</v>
      </c>
      <c r="B1512" s="6" t="s">
        <v>15</v>
      </c>
      <c r="C1512" s="38" t="s">
        <v>8893</v>
      </c>
      <c r="D1512" s="6">
        <v>2023</v>
      </c>
      <c r="E1512" s="6" t="s">
        <v>12</v>
      </c>
      <c r="F1512" s="6">
        <v>15</v>
      </c>
      <c r="G1512" s="40">
        <v>15</v>
      </c>
      <c r="H1512" s="40">
        <v>47</v>
      </c>
      <c r="I1512" s="212"/>
      <c r="J1512" s="212"/>
    </row>
    <row r="1513" spans="1:10" s="5" customFormat="1" ht="30" hidden="1" customHeight="1" outlineLevel="1" x14ac:dyDescent="0.25">
      <c r="A1513" s="4">
        <v>4453</v>
      </c>
      <c r="B1513" s="6" t="s">
        <v>15</v>
      </c>
      <c r="C1513" s="38" t="s">
        <v>8894</v>
      </c>
      <c r="D1513" s="6">
        <v>2023</v>
      </c>
      <c r="E1513" s="6" t="s">
        <v>12</v>
      </c>
      <c r="F1513" s="6">
        <v>40</v>
      </c>
      <c r="G1513" s="40">
        <v>15</v>
      </c>
      <c r="H1513" s="40">
        <v>54</v>
      </c>
      <c r="I1513" s="212"/>
      <c r="J1513" s="212"/>
    </row>
    <row r="1514" spans="1:10" s="5" customFormat="1" ht="30" hidden="1" customHeight="1" outlineLevel="1" x14ac:dyDescent="0.25">
      <c r="A1514" s="4">
        <v>3285</v>
      </c>
      <c r="B1514" s="6" t="s">
        <v>15</v>
      </c>
      <c r="C1514" s="38" t="s">
        <v>8895</v>
      </c>
      <c r="D1514" s="6">
        <v>2023</v>
      </c>
      <c r="E1514" s="6" t="s">
        <v>12</v>
      </c>
      <c r="F1514" s="6">
        <v>30</v>
      </c>
      <c r="G1514" s="40">
        <v>15</v>
      </c>
      <c r="H1514" s="40">
        <v>51</v>
      </c>
      <c r="I1514" s="212"/>
      <c r="J1514" s="212"/>
    </row>
    <row r="1515" spans="1:10" s="5" customFormat="1" ht="30" hidden="1" customHeight="1" outlineLevel="1" x14ac:dyDescent="0.25">
      <c r="A1515" s="4">
        <v>1555</v>
      </c>
      <c r="B1515" s="6" t="s">
        <v>15</v>
      </c>
      <c r="C1515" s="38" t="s">
        <v>8896</v>
      </c>
      <c r="D1515" s="6">
        <v>2023</v>
      </c>
      <c r="E1515" s="6" t="s">
        <v>12</v>
      </c>
      <c r="F1515" s="6">
        <v>25</v>
      </c>
      <c r="G1515" s="40">
        <v>15</v>
      </c>
      <c r="H1515" s="40">
        <v>52</v>
      </c>
      <c r="I1515" s="212"/>
      <c r="J1515" s="212"/>
    </row>
    <row r="1516" spans="1:10" s="5" customFormat="1" ht="30" hidden="1" customHeight="1" outlineLevel="1" x14ac:dyDescent="0.25">
      <c r="A1516" s="4">
        <v>4456</v>
      </c>
      <c r="B1516" s="6" t="s">
        <v>15</v>
      </c>
      <c r="C1516" s="38" t="s">
        <v>8897</v>
      </c>
      <c r="D1516" s="6">
        <v>2023</v>
      </c>
      <c r="E1516" s="6" t="s">
        <v>12</v>
      </c>
      <c r="F1516" s="6">
        <v>38</v>
      </c>
      <c r="G1516" s="40">
        <v>15</v>
      </c>
      <c r="H1516" s="40">
        <v>75</v>
      </c>
      <c r="I1516" s="212"/>
      <c r="J1516" s="212"/>
    </row>
    <row r="1517" spans="1:10" s="5" customFormat="1" ht="30" hidden="1" customHeight="1" outlineLevel="1" x14ac:dyDescent="0.25">
      <c r="A1517" s="4">
        <v>4454</v>
      </c>
      <c r="B1517" s="6" t="s">
        <v>15</v>
      </c>
      <c r="C1517" s="38" t="s">
        <v>8898</v>
      </c>
      <c r="D1517" s="6">
        <v>2023</v>
      </c>
      <c r="E1517" s="6" t="s">
        <v>12</v>
      </c>
      <c r="F1517" s="6">
        <v>110</v>
      </c>
      <c r="G1517" s="40">
        <v>15</v>
      </c>
      <c r="H1517" s="40">
        <v>163</v>
      </c>
      <c r="I1517" s="212"/>
      <c r="J1517" s="212"/>
    </row>
    <row r="1518" spans="1:10" s="5" customFormat="1" ht="30" hidden="1" customHeight="1" outlineLevel="1" x14ac:dyDescent="0.25">
      <c r="A1518" s="4">
        <v>3304</v>
      </c>
      <c r="B1518" s="6" t="s">
        <v>15</v>
      </c>
      <c r="C1518" s="38" t="s">
        <v>8899</v>
      </c>
      <c r="D1518" s="6">
        <v>2023</v>
      </c>
      <c r="E1518" s="6" t="s">
        <v>12</v>
      </c>
      <c r="F1518" s="6">
        <v>60</v>
      </c>
      <c r="G1518" s="40">
        <v>15</v>
      </c>
      <c r="H1518" s="40">
        <v>154</v>
      </c>
      <c r="I1518" s="212"/>
      <c r="J1518" s="212"/>
    </row>
    <row r="1519" spans="1:10" s="5" customFormat="1" ht="30" hidden="1" customHeight="1" outlineLevel="1" x14ac:dyDescent="0.25">
      <c r="A1519" s="4">
        <v>3247</v>
      </c>
      <c r="B1519" s="6" t="s">
        <v>15</v>
      </c>
      <c r="C1519" s="38" t="s">
        <v>8900</v>
      </c>
      <c r="D1519" s="6">
        <v>2023</v>
      </c>
      <c r="E1519" s="6" t="s">
        <v>12</v>
      </c>
      <c r="F1519" s="6">
        <v>5</v>
      </c>
      <c r="G1519" s="40">
        <v>15</v>
      </c>
      <c r="H1519" s="40">
        <v>117</v>
      </c>
      <c r="I1519" s="212"/>
      <c r="J1519" s="212"/>
    </row>
    <row r="1520" spans="1:10" s="5" customFormat="1" ht="30" hidden="1" customHeight="1" outlineLevel="1" x14ac:dyDescent="0.25">
      <c r="A1520" s="4">
        <v>3312</v>
      </c>
      <c r="B1520" s="6" t="s">
        <v>15</v>
      </c>
      <c r="C1520" s="38" t="s">
        <v>8901</v>
      </c>
      <c r="D1520" s="6">
        <v>2023</v>
      </c>
      <c r="E1520" s="6" t="s">
        <v>12</v>
      </c>
      <c r="F1520" s="6">
        <v>70</v>
      </c>
      <c r="G1520" s="40">
        <v>15</v>
      </c>
      <c r="H1520" s="40">
        <v>120</v>
      </c>
      <c r="I1520" s="212"/>
      <c r="J1520" s="212"/>
    </row>
    <row r="1521" spans="1:10" s="5" customFormat="1" ht="30" hidden="1" customHeight="1" outlineLevel="1" x14ac:dyDescent="0.25">
      <c r="A1521" s="4">
        <v>3053</v>
      </c>
      <c r="B1521" s="6" t="s">
        <v>15</v>
      </c>
      <c r="C1521" s="38" t="s">
        <v>8902</v>
      </c>
      <c r="D1521" s="6">
        <v>2023</v>
      </c>
      <c r="E1521" s="6" t="s">
        <v>12</v>
      </c>
      <c r="F1521" s="6">
        <v>330</v>
      </c>
      <c r="G1521" s="40">
        <v>100</v>
      </c>
      <c r="H1521" s="40">
        <v>350</v>
      </c>
      <c r="I1521" s="212"/>
      <c r="J1521" s="212"/>
    </row>
    <row r="1522" spans="1:10" s="5" customFormat="1" ht="30" hidden="1" customHeight="1" outlineLevel="1" x14ac:dyDescent="0.25">
      <c r="A1522" s="4">
        <v>2052</v>
      </c>
      <c r="B1522" s="6" t="s">
        <v>15</v>
      </c>
      <c r="C1522" s="38" t="s">
        <v>8903</v>
      </c>
      <c r="D1522" s="6">
        <v>2023</v>
      </c>
      <c r="E1522" s="6" t="s">
        <v>12</v>
      </c>
      <c r="F1522" s="6">
        <v>95</v>
      </c>
      <c r="G1522" s="40">
        <v>5</v>
      </c>
      <c r="H1522" s="40">
        <v>93</v>
      </c>
      <c r="I1522" s="212"/>
      <c r="J1522" s="212"/>
    </row>
    <row r="1523" spans="1:10" s="5" customFormat="1" ht="30" hidden="1" customHeight="1" outlineLevel="1" x14ac:dyDescent="0.25">
      <c r="A1523" s="4">
        <v>1181</v>
      </c>
      <c r="B1523" s="6" t="s">
        <v>15</v>
      </c>
      <c r="C1523" s="38" t="s">
        <v>8904</v>
      </c>
      <c r="D1523" s="6">
        <v>2023</v>
      </c>
      <c r="E1523" s="6" t="s">
        <v>12</v>
      </c>
      <c r="F1523" s="6">
        <v>30</v>
      </c>
      <c r="G1523" s="40">
        <v>15</v>
      </c>
      <c r="H1523" s="40">
        <v>57</v>
      </c>
      <c r="I1523" s="212"/>
      <c r="J1523" s="212"/>
    </row>
    <row r="1524" spans="1:10" s="5" customFormat="1" ht="30" hidden="1" customHeight="1" outlineLevel="1" x14ac:dyDescent="0.25">
      <c r="A1524" s="4">
        <v>1317</v>
      </c>
      <c r="B1524" s="6" t="s">
        <v>15</v>
      </c>
      <c r="C1524" s="38" t="s">
        <v>8905</v>
      </c>
      <c r="D1524" s="6">
        <v>2023</v>
      </c>
      <c r="E1524" s="6" t="s">
        <v>12</v>
      </c>
      <c r="F1524" s="6">
        <v>30</v>
      </c>
      <c r="G1524" s="40">
        <v>15</v>
      </c>
      <c r="H1524" s="40">
        <v>56</v>
      </c>
      <c r="I1524" s="212"/>
      <c r="J1524" s="212"/>
    </row>
    <row r="1525" spans="1:10" s="5" customFormat="1" ht="30" hidden="1" customHeight="1" outlineLevel="1" x14ac:dyDescent="0.25">
      <c r="A1525" s="4">
        <v>1681</v>
      </c>
      <c r="B1525" s="6" t="s">
        <v>15</v>
      </c>
      <c r="C1525" s="38" t="s">
        <v>8906</v>
      </c>
      <c r="D1525" s="6">
        <v>2023</v>
      </c>
      <c r="E1525" s="6" t="s">
        <v>12</v>
      </c>
      <c r="F1525" s="6">
        <v>30</v>
      </c>
      <c r="G1525" s="40">
        <v>5</v>
      </c>
      <c r="H1525" s="40">
        <v>52</v>
      </c>
      <c r="I1525" s="212"/>
      <c r="J1525" s="212"/>
    </row>
    <row r="1526" spans="1:10" s="5" customFormat="1" ht="30" hidden="1" customHeight="1" outlineLevel="1" x14ac:dyDescent="0.25">
      <c r="A1526" s="4">
        <v>3302</v>
      </c>
      <c r="B1526" s="6" t="s">
        <v>15</v>
      </c>
      <c r="C1526" s="38" t="s">
        <v>8907</v>
      </c>
      <c r="D1526" s="6">
        <v>2023</v>
      </c>
      <c r="E1526" s="6" t="s">
        <v>12</v>
      </c>
      <c r="F1526" s="6">
        <v>155</v>
      </c>
      <c r="G1526" s="40">
        <v>10</v>
      </c>
      <c r="H1526" s="40">
        <v>173</v>
      </c>
      <c r="I1526" s="212"/>
      <c r="J1526" s="212"/>
    </row>
    <row r="1527" spans="1:10" s="5" customFormat="1" ht="30" hidden="1" customHeight="1" outlineLevel="1" x14ac:dyDescent="0.25">
      <c r="A1527" s="4">
        <v>1987</v>
      </c>
      <c r="B1527" s="6" t="s">
        <v>15</v>
      </c>
      <c r="C1527" s="38" t="s">
        <v>8908</v>
      </c>
      <c r="D1527" s="6">
        <v>2023</v>
      </c>
      <c r="E1527" s="6" t="s">
        <v>12</v>
      </c>
      <c r="F1527" s="6">
        <v>30</v>
      </c>
      <c r="G1527" s="40">
        <v>5</v>
      </c>
      <c r="H1527" s="40">
        <v>50</v>
      </c>
      <c r="I1527" s="212"/>
      <c r="J1527" s="212"/>
    </row>
    <row r="1528" spans="1:10" s="5" customFormat="1" ht="30" hidden="1" customHeight="1" outlineLevel="1" x14ac:dyDescent="0.25">
      <c r="A1528" s="4">
        <v>3308</v>
      </c>
      <c r="B1528" s="6" t="s">
        <v>15</v>
      </c>
      <c r="C1528" s="38" t="s">
        <v>8909</v>
      </c>
      <c r="D1528" s="6">
        <v>2023</v>
      </c>
      <c r="E1528" s="6" t="s">
        <v>12</v>
      </c>
      <c r="F1528" s="6">
        <v>90</v>
      </c>
      <c r="G1528" s="40">
        <v>5</v>
      </c>
      <c r="H1528" s="40">
        <v>176</v>
      </c>
      <c r="I1528" s="212"/>
      <c r="J1528" s="212"/>
    </row>
    <row r="1529" spans="1:10" s="5" customFormat="1" ht="30" hidden="1" customHeight="1" outlineLevel="1" x14ac:dyDescent="0.25">
      <c r="A1529" s="4">
        <v>477</v>
      </c>
      <c r="B1529" s="6" t="s">
        <v>15</v>
      </c>
      <c r="C1529" s="38" t="s">
        <v>8910</v>
      </c>
      <c r="D1529" s="6">
        <v>2023</v>
      </c>
      <c r="E1529" s="6" t="s">
        <v>12</v>
      </c>
      <c r="F1529" s="6">
        <v>120</v>
      </c>
      <c r="G1529" s="40">
        <v>15</v>
      </c>
      <c r="H1529" s="40">
        <v>155</v>
      </c>
      <c r="I1529" s="212"/>
      <c r="J1529" s="212"/>
    </row>
    <row r="1530" spans="1:10" s="5" customFormat="1" ht="30" hidden="1" customHeight="1" outlineLevel="1" x14ac:dyDescent="0.25">
      <c r="A1530" s="4">
        <v>2100</v>
      </c>
      <c r="B1530" s="6" t="s">
        <v>15</v>
      </c>
      <c r="C1530" s="38" t="s">
        <v>8911</v>
      </c>
      <c r="D1530" s="6">
        <v>2023</v>
      </c>
      <c r="E1530" s="6" t="s">
        <v>12</v>
      </c>
      <c r="F1530" s="6">
        <v>16</v>
      </c>
      <c r="G1530" s="40">
        <v>15</v>
      </c>
      <c r="H1530" s="40">
        <v>47</v>
      </c>
      <c r="I1530" s="212"/>
      <c r="J1530" s="212"/>
    </row>
    <row r="1531" spans="1:10" s="5" customFormat="1" ht="30" hidden="1" customHeight="1" outlineLevel="1" x14ac:dyDescent="0.25">
      <c r="A1531" s="4">
        <v>563</v>
      </c>
      <c r="B1531" s="6" t="s">
        <v>15</v>
      </c>
      <c r="C1531" s="38" t="s">
        <v>8912</v>
      </c>
      <c r="D1531" s="6">
        <v>2023</v>
      </c>
      <c r="E1531" s="6" t="s">
        <v>12</v>
      </c>
      <c r="F1531" s="6">
        <v>105</v>
      </c>
      <c r="G1531" s="40">
        <v>15</v>
      </c>
      <c r="H1531" s="40">
        <v>205</v>
      </c>
      <c r="I1531" s="212"/>
      <c r="J1531" s="212"/>
    </row>
    <row r="1532" spans="1:10" s="5" customFormat="1" ht="30" hidden="1" customHeight="1" outlineLevel="1" x14ac:dyDescent="0.25">
      <c r="A1532" s="4">
        <v>610</v>
      </c>
      <c r="B1532" s="6" t="s">
        <v>15</v>
      </c>
      <c r="C1532" s="38" t="s">
        <v>8913</v>
      </c>
      <c r="D1532" s="6">
        <v>2023</v>
      </c>
      <c r="E1532" s="6" t="s">
        <v>12</v>
      </c>
      <c r="F1532" s="6">
        <v>140</v>
      </c>
      <c r="G1532" s="40">
        <v>15</v>
      </c>
      <c r="H1532" s="40">
        <v>257</v>
      </c>
      <c r="I1532" s="212"/>
      <c r="J1532" s="212"/>
    </row>
    <row r="1533" spans="1:10" s="5" customFormat="1" ht="30" hidden="1" customHeight="1" outlineLevel="1" x14ac:dyDescent="0.25">
      <c r="A1533" s="4">
        <v>3037</v>
      </c>
      <c r="B1533" s="6" t="s">
        <v>15</v>
      </c>
      <c r="C1533" s="38" t="s">
        <v>8914</v>
      </c>
      <c r="D1533" s="6">
        <v>2023</v>
      </c>
      <c r="E1533" s="6" t="s">
        <v>12</v>
      </c>
      <c r="F1533" s="6">
        <v>141</v>
      </c>
      <c r="G1533" s="40">
        <v>100</v>
      </c>
      <c r="H1533" s="40">
        <v>73</v>
      </c>
      <c r="I1533" s="212"/>
      <c r="J1533" s="212"/>
    </row>
    <row r="1534" spans="1:10" s="5" customFormat="1" ht="30" hidden="1" customHeight="1" outlineLevel="1" x14ac:dyDescent="0.25">
      <c r="A1534" s="4">
        <v>3074</v>
      </c>
      <c r="B1534" s="6" t="s">
        <v>15</v>
      </c>
      <c r="C1534" s="38" t="s">
        <v>8915</v>
      </c>
      <c r="D1534" s="6">
        <v>2023</v>
      </c>
      <c r="E1534" s="6" t="s">
        <v>12</v>
      </c>
      <c r="F1534" s="6">
        <v>14</v>
      </c>
      <c r="G1534" s="40">
        <v>150</v>
      </c>
      <c r="H1534" s="40">
        <v>44</v>
      </c>
      <c r="I1534" s="212"/>
      <c r="J1534" s="212"/>
    </row>
    <row r="1535" spans="1:10" s="5" customFormat="1" ht="30" hidden="1" customHeight="1" outlineLevel="1" x14ac:dyDescent="0.25">
      <c r="A1535" s="4">
        <v>697</v>
      </c>
      <c r="B1535" s="6" t="s">
        <v>15</v>
      </c>
      <c r="C1535" s="38" t="s">
        <v>8916</v>
      </c>
      <c r="D1535" s="6">
        <v>2023</v>
      </c>
      <c r="E1535" s="6" t="s">
        <v>12</v>
      </c>
      <c r="F1535" s="6">
        <v>20</v>
      </c>
      <c r="G1535" s="40">
        <v>15</v>
      </c>
      <c r="H1535" s="40">
        <v>53</v>
      </c>
      <c r="I1535" s="212"/>
      <c r="J1535" s="212"/>
    </row>
    <row r="1536" spans="1:10" s="5" customFormat="1" ht="30" hidden="1" customHeight="1" outlineLevel="1" x14ac:dyDescent="0.25">
      <c r="A1536" s="4">
        <v>1617</v>
      </c>
      <c r="B1536" s="6" t="s">
        <v>15</v>
      </c>
      <c r="C1536" s="38" t="s">
        <v>8917</v>
      </c>
      <c r="D1536" s="6">
        <v>2023</v>
      </c>
      <c r="E1536" s="6" t="s">
        <v>12</v>
      </c>
      <c r="F1536" s="6">
        <v>240</v>
      </c>
      <c r="G1536" s="40">
        <v>30</v>
      </c>
      <c r="H1536" s="40">
        <v>186</v>
      </c>
      <c r="I1536" s="212"/>
      <c r="J1536" s="212"/>
    </row>
    <row r="1537" spans="1:10" s="5" customFormat="1" ht="30" hidden="1" customHeight="1" outlineLevel="1" x14ac:dyDescent="0.25">
      <c r="A1537" s="4">
        <v>2847</v>
      </c>
      <c r="B1537" s="6" t="s">
        <v>15</v>
      </c>
      <c r="C1537" s="38" t="s">
        <v>8918</v>
      </c>
      <c r="D1537" s="6">
        <v>2023</v>
      </c>
      <c r="E1537" s="6" t="s">
        <v>12</v>
      </c>
      <c r="F1537" s="6">
        <v>30</v>
      </c>
      <c r="G1537" s="40">
        <v>15</v>
      </c>
      <c r="H1537" s="40">
        <v>57</v>
      </c>
      <c r="I1537" s="212"/>
      <c r="J1537" s="212"/>
    </row>
    <row r="1538" spans="1:10" s="5" customFormat="1" ht="30" hidden="1" customHeight="1" outlineLevel="1" x14ac:dyDescent="0.25">
      <c r="A1538" s="4">
        <v>2067</v>
      </c>
      <c r="B1538" s="6" t="s">
        <v>15</v>
      </c>
      <c r="C1538" s="38" t="s">
        <v>8919</v>
      </c>
      <c r="D1538" s="6">
        <v>2023</v>
      </c>
      <c r="E1538" s="6" t="s">
        <v>12</v>
      </c>
      <c r="F1538" s="6">
        <v>40</v>
      </c>
      <c r="G1538" s="40">
        <v>5</v>
      </c>
      <c r="H1538" s="40">
        <v>91</v>
      </c>
      <c r="I1538" s="212"/>
      <c r="J1538" s="212"/>
    </row>
    <row r="1539" spans="1:10" s="5" customFormat="1" ht="30" hidden="1" customHeight="1" outlineLevel="1" x14ac:dyDescent="0.25">
      <c r="A1539" s="4">
        <v>2377</v>
      </c>
      <c r="B1539" s="6" t="s">
        <v>15</v>
      </c>
      <c r="C1539" s="38" t="s">
        <v>8920</v>
      </c>
      <c r="D1539" s="6">
        <v>2023</v>
      </c>
      <c r="E1539" s="6" t="s">
        <v>12</v>
      </c>
      <c r="F1539" s="6">
        <v>50</v>
      </c>
      <c r="G1539" s="40">
        <v>21</v>
      </c>
      <c r="H1539" s="40">
        <v>108</v>
      </c>
      <c r="I1539" s="212"/>
      <c r="J1539" s="212"/>
    </row>
    <row r="1540" spans="1:10" s="5" customFormat="1" ht="30" hidden="1" customHeight="1" outlineLevel="1" x14ac:dyDescent="0.25">
      <c r="A1540" s="4">
        <v>2872</v>
      </c>
      <c r="B1540" s="6" t="s">
        <v>15</v>
      </c>
      <c r="C1540" s="38" t="s">
        <v>8921</v>
      </c>
      <c r="D1540" s="6">
        <v>2023</v>
      </c>
      <c r="E1540" s="6" t="s">
        <v>12</v>
      </c>
      <c r="F1540" s="6">
        <v>140</v>
      </c>
      <c r="G1540" s="40">
        <v>15</v>
      </c>
      <c r="H1540" s="40">
        <v>243</v>
      </c>
      <c r="I1540" s="212"/>
      <c r="J1540" s="212"/>
    </row>
    <row r="1541" spans="1:10" s="5" customFormat="1" ht="30" hidden="1" customHeight="1" outlineLevel="1" x14ac:dyDescent="0.25">
      <c r="A1541" s="4">
        <v>3245</v>
      </c>
      <c r="B1541" s="6" t="s">
        <v>15</v>
      </c>
      <c r="C1541" s="38" t="s">
        <v>8922</v>
      </c>
      <c r="D1541" s="6">
        <v>2023</v>
      </c>
      <c r="E1541" s="6" t="s">
        <v>12</v>
      </c>
      <c r="F1541" s="6">
        <v>30</v>
      </c>
      <c r="G1541" s="40">
        <v>15</v>
      </c>
      <c r="H1541" s="40">
        <v>26</v>
      </c>
      <c r="I1541" s="212"/>
      <c r="J1541" s="212"/>
    </row>
    <row r="1542" spans="1:10" s="5" customFormat="1" ht="30" hidden="1" customHeight="1" outlineLevel="1" x14ac:dyDescent="0.25">
      <c r="A1542" s="4">
        <v>2420</v>
      </c>
      <c r="B1542" s="6" t="s">
        <v>15</v>
      </c>
      <c r="C1542" s="38" t="s">
        <v>8923</v>
      </c>
      <c r="D1542" s="6">
        <v>2023</v>
      </c>
      <c r="E1542" s="6" t="s">
        <v>12</v>
      </c>
      <c r="F1542" s="6">
        <v>210</v>
      </c>
      <c r="G1542" s="40">
        <v>8</v>
      </c>
      <c r="H1542" s="40">
        <v>159</v>
      </c>
      <c r="I1542" s="212"/>
      <c r="J1542" s="212"/>
    </row>
    <row r="1543" spans="1:10" s="5" customFormat="1" ht="30" hidden="1" customHeight="1" outlineLevel="1" x14ac:dyDescent="0.25">
      <c r="A1543" s="4">
        <v>1631</v>
      </c>
      <c r="B1543" s="6" t="s">
        <v>15</v>
      </c>
      <c r="C1543" s="38" t="s">
        <v>8924</v>
      </c>
      <c r="D1543" s="6">
        <v>2023</v>
      </c>
      <c r="E1543" s="6" t="s">
        <v>12</v>
      </c>
      <c r="F1543" s="6">
        <v>175</v>
      </c>
      <c r="G1543" s="40">
        <v>30</v>
      </c>
      <c r="H1543" s="40">
        <v>335</v>
      </c>
      <c r="I1543" s="212"/>
      <c r="J1543" s="212"/>
    </row>
    <row r="1544" spans="1:10" s="5" customFormat="1" ht="30" hidden="1" customHeight="1" outlineLevel="1" x14ac:dyDescent="0.25">
      <c r="A1544" s="4">
        <v>2879</v>
      </c>
      <c r="B1544" s="6" t="s">
        <v>15</v>
      </c>
      <c r="C1544" s="38" t="s">
        <v>8925</v>
      </c>
      <c r="D1544" s="6">
        <v>2023</v>
      </c>
      <c r="E1544" s="6" t="s">
        <v>12</v>
      </c>
      <c r="F1544" s="6">
        <v>70</v>
      </c>
      <c r="G1544" s="40">
        <v>15</v>
      </c>
      <c r="H1544" s="40">
        <v>123</v>
      </c>
      <c r="I1544" s="212"/>
      <c r="J1544" s="212"/>
    </row>
    <row r="1545" spans="1:10" s="5" customFormat="1" ht="30" hidden="1" customHeight="1" outlineLevel="1" x14ac:dyDescent="0.25">
      <c r="A1545" s="4">
        <v>2873</v>
      </c>
      <c r="B1545" s="6" t="s">
        <v>15</v>
      </c>
      <c r="C1545" s="38" t="s">
        <v>8926</v>
      </c>
      <c r="D1545" s="6">
        <v>2023</v>
      </c>
      <c r="E1545" s="6" t="s">
        <v>12</v>
      </c>
      <c r="F1545" s="6">
        <v>100</v>
      </c>
      <c r="G1545" s="40">
        <v>15</v>
      </c>
      <c r="H1545" s="40">
        <v>228</v>
      </c>
      <c r="I1545" s="212"/>
      <c r="J1545" s="212"/>
    </row>
    <row r="1546" spans="1:10" s="5" customFormat="1" ht="30" hidden="1" customHeight="1" outlineLevel="1" x14ac:dyDescent="0.25">
      <c r="A1546" s="4">
        <v>2350</v>
      </c>
      <c r="B1546" s="6" t="s">
        <v>15</v>
      </c>
      <c r="C1546" s="38" t="s">
        <v>8927</v>
      </c>
      <c r="D1546" s="6">
        <v>2023</v>
      </c>
      <c r="E1546" s="6" t="s">
        <v>12</v>
      </c>
      <c r="F1546" s="6">
        <v>20</v>
      </c>
      <c r="G1546" s="40">
        <v>5</v>
      </c>
      <c r="H1546" s="40">
        <v>54</v>
      </c>
      <c r="I1546" s="212"/>
      <c r="J1546" s="212"/>
    </row>
    <row r="1547" spans="1:10" s="5" customFormat="1" ht="30" hidden="1" customHeight="1" outlineLevel="1" x14ac:dyDescent="0.25">
      <c r="A1547" s="4">
        <v>3295</v>
      </c>
      <c r="B1547" s="6" t="s">
        <v>15</v>
      </c>
      <c r="C1547" s="38" t="s">
        <v>8928</v>
      </c>
      <c r="D1547" s="6">
        <v>2023</v>
      </c>
      <c r="E1547" s="6" t="s">
        <v>12</v>
      </c>
      <c r="F1547" s="6">
        <v>180</v>
      </c>
      <c r="G1547" s="40">
        <v>5</v>
      </c>
      <c r="H1547" s="40">
        <v>271</v>
      </c>
      <c r="I1547" s="212"/>
      <c r="J1547" s="212"/>
    </row>
    <row r="1548" spans="1:10" s="5" customFormat="1" ht="30" hidden="1" customHeight="1" outlineLevel="1" x14ac:dyDescent="0.25">
      <c r="A1548" s="4">
        <v>1958</v>
      </c>
      <c r="B1548" s="6" t="s">
        <v>15</v>
      </c>
      <c r="C1548" s="38" t="s">
        <v>8929</v>
      </c>
      <c r="D1548" s="6">
        <v>2023</v>
      </c>
      <c r="E1548" s="6" t="s">
        <v>12</v>
      </c>
      <c r="F1548" s="6">
        <v>5</v>
      </c>
      <c r="G1548" s="40">
        <v>10</v>
      </c>
      <c r="H1548" s="40">
        <v>33</v>
      </c>
      <c r="I1548" s="212"/>
      <c r="J1548" s="212"/>
    </row>
    <row r="1549" spans="1:10" s="5" customFormat="1" ht="30" hidden="1" customHeight="1" outlineLevel="1" x14ac:dyDescent="0.25">
      <c r="A1549" s="4">
        <v>3307</v>
      </c>
      <c r="B1549" s="6" t="s">
        <v>15</v>
      </c>
      <c r="C1549" s="38" t="s">
        <v>8930</v>
      </c>
      <c r="D1549" s="6">
        <v>2023</v>
      </c>
      <c r="E1549" s="6" t="s">
        <v>12</v>
      </c>
      <c r="F1549" s="6">
        <v>35</v>
      </c>
      <c r="G1549" s="40">
        <v>5</v>
      </c>
      <c r="H1549" s="40">
        <v>60</v>
      </c>
      <c r="I1549" s="212"/>
      <c r="J1549" s="212"/>
    </row>
    <row r="1550" spans="1:10" s="5" customFormat="1" ht="30" hidden="1" customHeight="1" outlineLevel="1" x14ac:dyDescent="0.25">
      <c r="A1550" s="4">
        <v>2054</v>
      </c>
      <c r="B1550" s="6" t="s">
        <v>15</v>
      </c>
      <c r="C1550" s="38" t="s">
        <v>8931</v>
      </c>
      <c r="D1550" s="6">
        <v>2023</v>
      </c>
      <c r="E1550" s="6" t="s">
        <v>12</v>
      </c>
      <c r="F1550" s="6">
        <v>190</v>
      </c>
      <c r="G1550" s="40">
        <v>15</v>
      </c>
      <c r="H1550" s="40">
        <v>144</v>
      </c>
      <c r="I1550" s="212"/>
      <c r="J1550" s="212"/>
    </row>
    <row r="1551" spans="1:10" s="5" customFormat="1" ht="30" hidden="1" customHeight="1" outlineLevel="1" x14ac:dyDescent="0.25">
      <c r="A1551" s="4">
        <v>2069</v>
      </c>
      <c r="B1551" s="6" t="s">
        <v>15</v>
      </c>
      <c r="C1551" s="38" t="s">
        <v>8932</v>
      </c>
      <c r="D1551" s="6">
        <v>2023</v>
      </c>
      <c r="E1551" s="6" t="s">
        <v>12</v>
      </c>
      <c r="F1551" s="6">
        <v>30</v>
      </c>
      <c r="G1551" s="40">
        <v>5</v>
      </c>
      <c r="H1551" s="40">
        <v>95</v>
      </c>
      <c r="I1551" s="212"/>
      <c r="J1551" s="212"/>
    </row>
    <row r="1552" spans="1:10" s="5" customFormat="1" ht="30" hidden="1" customHeight="1" outlineLevel="1" x14ac:dyDescent="0.25">
      <c r="A1552" s="4">
        <v>1062</v>
      </c>
      <c r="B1552" s="6" t="s">
        <v>15</v>
      </c>
      <c r="C1552" s="38" t="s">
        <v>8933</v>
      </c>
      <c r="D1552" s="6">
        <v>2023</v>
      </c>
      <c r="E1552" s="6" t="s">
        <v>12</v>
      </c>
      <c r="F1552" s="6">
        <v>195</v>
      </c>
      <c r="G1552" s="40">
        <v>15</v>
      </c>
      <c r="H1552" s="40">
        <v>332</v>
      </c>
      <c r="I1552" s="212"/>
      <c r="J1552" s="212"/>
    </row>
    <row r="1553" spans="1:10" s="5" customFormat="1" ht="30" hidden="1" customHeight="1" outlineLevel="1" x14ac:dyDescent="0.25">
      <c r="A1553" s="4">
        <v>1321</v>
      </c>
      <c r="B1553" s="6" t="s">
        <v>15</v>
      </c>
      <c r="C1553" s="38" t="s">
        <v>8934</v>
      </c>
      <c r="D1553" s="6">
        <v>2023</v>
      </c>
      <c r="E1553" s="6" t="s">
        <v>12</v>
      </c>
      <c r="F1553" s="6">
        <v>90</v>
      </c>
      <c r="G1553" s="40">
        <v>20</v>
      </c>
      <c r="H1553" s="40">
        <v>183</v>
      </c>
      <c r="I1553" s="212"/>
      <c r="J1553" s="212"/>
    </row>
    <row r="1554" spans="1:10" s="5" customFormat="1" ht="30" hidden="1" customHeight="1" outlineLevel="1" x14ac:dyDescent="0.25">
      <c r="A1554" s="4">
        <v>1664</v>
      </c>
      <c r="B1554" s="6" t="s">
        <v>15</v>
      </c>
      <c r="C1554" s="38" t="s">
        <v>8935</v>
      </c>
      <c r="D1554" s="6">
        <v>2023</v>
      </c>
      <c r="E1554" s="6" t="s">
        <v>12</v>
      </c>
      <c r="F1554" s="6">
        <v>160</v>
      </c>
      <c r="G1554" s="40">
        <v>5</v>
      </c>
      <c r="H1554" s="40">
        <v>244</v>
      </c>
      <c r="I1554" s="212"/>
      <c r="J1554" s="212"/>
    </row>
    <row r="1555" spans="1:10" s="5" customFormat="1" ht="30" hidden="1" customHeight="1" outlineLevel="1" x14ac:dyDescent="0.25">
      <c r="A1555" s="4">
        <v>1930</v>
      </c>
      <c r="B1555" s="6" t="s">
        <v>15</v>
      </c>
      <c r="C1555" s="38" t="s">
        <v>8936</v>
      </c>
      <c r="D1555" s="6">
        <v>2023</v>
      </c>
      <c r="E1555" s="6" t="s">
        <v>12</v>
      </c>
      <c r="F1555" s="6">
        <v>30</v>
      </c>
      <c r="G1555" s="40">
        <v>15</v>
      </c>
      <c r="H1555" s="40">
        <v>54</v>
      </c>
      <c r="I1555" s="212"/>
      <c r="J1555" s="212"/>
    </row>
    <row r="1556" spans="1:10" s="5" customFormat="1" ht="30" hidden="1" customHeight="1" outlineLevel="1" x14ac:dyDescent="0.25">
      <c r="A1556" s="4">
        <v>2841</v>
      </c>
      <c r="B1556" s="6" t="s">
        <v>15</v>
      </c>
      <c r="C1556" s="38" t="s">
        <v>8937</v>
      </c>
      <c r="D1556" s="6">
        <v>2023</v>
      </c>
      <c r="E1556" s="6" t="s">
        <v>12</v>
      </c>
      <c r="F1556" s="6">
        <v>150</v>
      </c>
      <c r="G1556" s="40">
        <v>30</v>
      </c>
      <c r="H1556" s="40">
        <v>206</v>
      </c>
      <c r="I1556" s="212"/>
      <c r="J1556" s="212"/>
    </row>
    <row r="1557" spans="1:10" s="5" customFormat="1" ht="30" hidden="1" customHeight="1" outlineLevel="1" x14ac:dyDescent="0.25">
      <c r="A1557" s="4">
        <v>2027</v>
      </c>
      <c r="B1557" s="6" t="s">
        <v>15</v>
      </c>
      <c r="C1557" s="38" t="s">
        <v>8938</v>
      </c>
      <c r="D1557" s="6">
        <v>2023</v>
      </c>
      <c r="E1557" s="6" t="s">
        <v>12</v>
      </c>
      <c r="F1557" s="6">
        <v>90</v>
      </c>
      <c r="G1557" s="40">
        <v>5</v>
      </c>
      <c r="H1557" s="40">
        <v>165</v>
      </c>
      <c r="I1557" s="212"/>
      <c r="J1557" s="212"/>
    </row>
    <row r="1558" spans="1:10" s="5" customFormat="1" ht="30" hidden="1" customHeight="1" outlineLevel="1" x14ac:dyDescent="0.25">
      <c r="A1558" s="4">
        <v>2031</v>
      </c>
      <c r="B1558" s="6" t="s">
        <v>15</v>
      </c>
      <c r="C1558" s="38" t="s">
        <v>8939</v>
      </c>
      <c r="D1558" s="6">
        <v>2023</v>
      </c>
      <c r="E1558" s="6" t="s">
        <v>12</v>
      </c>
      <c r="F1558" s="6">
        <v>105</v>
      </c>
      <c r="G1558" s="40">
        <v>30</v>
      </c>
      <c r="H1558" s="40">
        <v>182</v>
      </c>
      <c r="I1558" s="212"/>
      <c r="J1558" s="212"/>
    </row>
    <row r="1559" spans="1:10" s="5" customFormat="1" ht="30" hidden="1" customHeight="1" outlineLevel="1" x14ac:dyDescent="0.25">
      <c r="A1559" s="4">
        <v>2858</v>
      </c>
      <c r="B1559" s="6" t="s">
        <v>15</v>
      </c>
      <c r="C1559" s="38" t="s">
        <v>8940</v>
      </c>
      <c r="D1559" s="6">
        <v>2023</v>
      </c>
      <c r="E1559" s="6" t="s">
        <v>12</v>
      </c>
      <c r="F1559" s="6">
        <v>50</v>
      </c>
      <c r="G1559" s="40">
        <v>15</v>
      </c>
      <c r="H1559" s="40">
        <v>98</v>
      </c>
      <c r="I1559" s="212"/>
      <c r="J1559" s="212"/>
    </row>
    <row r="1560" spans="1:10" s="5" customFormat="1" ht="30" hidden="1" customHeight="1" outlineLevel="1" x14ac:dyDescent="0.25">
      <c r="A1560" s="4">
        <v>4489</v>
      </c>
      <c r="B1560" s="6" t="s">
        <v>15</v>
      </c>
      <c r="C1560" s="38" t="s">
        <v>8941</v>
      </c>
      <c r="D1560" s="6">
        <v>2023</v>
      </c>
      <c r="E1560" s="6" t="s">
        <v>12</v>
      </c>
      <c r="F1560" s="6">
        <v>50</v>
      </c>
      <c r="G1560" s="40">
        <v>15</v>
      </c>
      <c r="H1560" s="40">
        <v>96</v>
      </c>
      <c r="I1560" s="212"/>
      <c r="J1560" s="212"/>
    </row>
    <row r="1561" spans="1:10" s="5" customFormat="1" ht="30" hidden="1" customHeight="1" outlineLevel="1" x14ac:dyDescent="0.25">
      <c r="A1561" s="4">
        <v>2082</v>
      </c>
      <c r="B1561" s="6" t="s">
        <v>15</v>
      </c>
      <c r="C1561" s="38" t="s">
        <v>8942</v>
      </c>
      <c r="D1561" s="6">
        <v>2023</v>
      </c>
      <c r="E1561" s="6" t="s">
        <v>12</v>
      </c>
      <c r="F1561" s="6">
        <v>80</v>
      </c>
      <c r="G1561" s="40">
        <v>7</v>
      </c>
      <c r="H1561" s="40">
        <v>138</v>
      </c>
      <c r="I1561" s="212"/>
      <c r="J1561" s="212"/>
    </row>
    <row r="1562" spans="1:10" s="5" customFormat="1" ht="30" hidden="1" customHeight="1" outlineLevel="1" x14ac:dyDescent="0.25">
      <c r="A1562" s="4">
        <v>2867</v>
      </c>
      <c r="B1562" s="6" t="s">
        <v>15</v>
      </c>
      <c r="C1562" s="38" t="s">
        <v>8943</v>
      </c>
      <c r="D1562" s="6">
        <v>2023</v>
      </c>
      <c r="E1562" s="6" t="s">
        <v>12</v>
      </c>
      <c r="F1562" s="6">
        <v>25</v>
      </c>
      <c r="G1562" s="40">
        <v>15</v>
      </c>
      <c r="H1562" s="40">
        <v>61</v>
      </c>
      <c r="I1562" s="212"/>
      <c r="J1562" s="212"/>
    </row>
    <row r="1563" spans="1:10" s="5" customFormat="1" ht="30" hidden="1" customHeight="1" outlineLevel="1" x14ac:dyDescent="0.25">
      <c r="A1563" s="4">
        <v>2882</v>
      </c>
      <c r="B1563" s="6" t="s">
        <v>15</v>
      </c>
      <c r="C1563" s="38" t="s">
        <v>8944</v>
      </c>
      <c r="D1563" s="6">
        <v>2023</v>
      </c>
      <c r="E1563" s="6" t="s">
        <v>12</v>
      </c>
      <c r="F1563" s="6">
        <v>30</v>
      </c>
      <c r="G1563" s="40">
        <v>15</v>
      </c>
      <c r="H1563" s="40">
        <v>64</v>
      </c>
      <c r="I1563" s="212"/>
      <c r="J1563" s="212"/>
    </row>
    <row r="1564" spans="1:10" s="5" customFormat="1" ht="30" hidden="1" customHeight="1" outlineLevel="1" x14ac:dyDescent="0.25">
      <c r="A1564" s="4">
        <v>2386</v>
      </c>
      <c r="B1564" s="6" t="s">
        <v>15</v>
      </c>
      <c r="C1564" s="38" t="s">
        <v>8945</v>
      </c>
      <c r="D1564" s="6">
        <v>2023</v>
      </c>
      <c r="E1564" s="6" t="s">
        <v>12</v>
      </c>
      <c r="F1564" s="6">
        <v>50</v>
      </c>
      <c r="G1564" s="40">
        <v>5</v>
      </c>
      <c r="H1564" s="40">
        <v>93</v>
      </c>
      <c r="I1564" s="212"/>
      <c r="J1564" s="212"/>
    </row>
    <row r="1565" spans="1:10" s="5" customFormat="1" ht="30" hidden="1" customHeight="1" outlineLevel="1" x14ac:dyDescent="0.25">
      <c r="A1565" s="4">
        <v>2526</v>
      </c>
      <c r="B1565" s="6" t="s">
        <v>15</v>
      </c>
      <c r="C1565" s="38" t="s">
        <v>8946</v>
      </c>
      <c r="D1565" s="6">
        <v>2023</v>
      </c>
      <c r="E1565" s="6" t="s">
        <v>12</v>
      </c>
      <c r="F1565" s="6">
        <v>115</v>
      </c>
      <c r="G1565" s="40">
        <v>5</v>
      </c>
      <c r="H1565" s="40">
        <v>88</v>
      </c>
      <c r="I1565" s="212"/>
      <c r="J1565" s="212"/>
    </row>
    <row r="1566" spans="1:10" s="5" customFormat="1" ht="30" hidden="1" customHeight="1" outlineLevel="1" x14ac:dyDescent="0.25">
      <c r="A1566" s="4">
        <v>2554</v>
      </c>
      <c r="B1566" s="6" t="s">
        <v>15</v>
      </c>
      <c r="C1566" s="38" t="s">
        <v>8947</v>
      </c>
      <c r="D1566" s="6">
        <v>2023</v>
      </c>
      <c r="E1566" s="6" t="s">
        <v>12</v>
      </c>
      <c r="F1566" s="6">
        <v>75</v>
      </c>
      <c r="G1566" s="40">
        <v>5</v>
      </c>
      <c r="H1566" s="40">
        <v>124</v>
      </c>
      <c r="I1566" s="212"/>
      <c r="J1566" s="212"/>
    </row>
    <row r="1567" spans="1:10" s="5" customFormat="1" ht="30" hidden="1" customHeight="1" outlineLevel="1" x14ac:dyDescent="0.25">
      <c r="A1567" s="4">
        <v>2571</v>
      </c>
      <c r="B1567" s="6" t="s">
        <v>15</v>
      </c>
      <c r="C1567" s="38" t="s">
        <v>8948</v>
      </c>
      <c r="D1567" s="6">
        <v>2023</v>
      </c>
      <c r="E1567" s="6" t="s">
        <v>12</v>
      </c>
      <c r="F1567" s="6">
        <v>25</v>
      </c>
      <c r="G1567" s="40">
        <v>10</v>
      </c>
      <c r="H1567" s="40">
        <v>62</v>
      </c>
      <c r="I1567" s="212"/>
      <c r="J1567" s="212"/>
    </row>
    <row r="1568" spans="1:10" s="5" customFormat="1" ht="30" hidden="1" customHeight="1" outlineLevel="1" x14ac:dyDescent="0.25">
      <c r="A1568" s="4">
        <v>3340</v>
      </c>
      <c r="B1568" s="6" t="s">
        <v>15</v>
      </c>
      <c r="C1568" s="38" t="s">
        <v>8949</v>
      </c>
      <c r="D1568" s="6">
        <v>2023</v>
      </c>
      <c r="E1568" s="6" t="s">
        <v>12</v>
      </c>
      <c r="F1568" s="6">
        <v>45</v>
      </c>
      <c r="G1568" s="40">
        <v>90</v>
      </c>
      <c r="H1568" s="40">
        <v>81</v>
      </c>
      <c r="I1568" s="212"/>
      <c r="J1568" s="212"/>
    </row>
    <row r="1569" spans="1:10" s="5" customFormat="1" ht="30" hidden="1" customHeight="1" outlineLevel="1" x14ac:dyDescent="0.25">
      <c r="A1569" s="4">
        <v>2408</v>
      </c>
      <c r="B1569" s="6" t="s">
        <v>15</v>
      </c>
      <c r="C1569" s="38" t="s">
        <v>8950</v>
      </c>
      <c r="D1569" s="6">
        <v>2023</v>
      </c>
      <c r="E1569" s="6" t="s">
        <v>12</v>
      </c>
      <c r="F1569" s="6">
        <v>20</v>
      </c>
      <c r="G1569" s="40">
        <v>5</v>
      </c>
      <c r="H1569" s="40">
        <v>53</v>
      </c>
      <c r="I1569" s="212"/>
      <c r="J1569" s="212"/>
    </row>
    <row r="1570" spans="1:10" s="5" customFormat="1" ht="30" hidden="1" customHeight="1" outlineLevel="1" x14ac:dyDescent="0.25">
      <c r="A1570" s="4">
        <v>3305</v>
      </c>
      <c r="B1570" s="6" t="s">
        <v>15</v>
      </c>
      <c r="C1570" s="38" t="s">
        <v>8951</v>
      </c>
      <c r="D1570" s="6">
        <v>2023</v>
      </c>
      <c r="E1570" s="6" t="s">
        <v>12</v>
      </c>
      <c r="F1570" s="6">
        <v>65</v>
      </c>
      <c r="G1570" s="40">
        <v>15</v>
      </c>
      <c r="H1570" s="40">
        <v>144</v>
      </c>
      <c r="I1570" s="212"/>
      <c r="J1570" s="212"/>
    </row>
    <row r="1571" spans="1:10" s="5" customFormat="1" ht="30" hidden="1" customHeight="1" outlineLevel="1" x14ac:dyDescent="0.25">
      <c r="A1571" s="4">
        <v>983</v>
      </c>
      <c r="B1571" s="6" t="s">
        <v>15</v>
      </c>
      <c r="C1571" s="38" t="s">
        <v>8952</v>
      </c>
      <c r="D1571" s="6">
        <v>2023</v>
      </c>
      <c r="E1571" s="6" t="s">
        <v>12</v>
      </c>
      <c r="F1571" s="6">
        <v>30</v>
      </c>
      <c r="G1571" s="40">
        <v>15</v>
      </c>
      <c r="H1571" s="40">
        <v>65</v>
      </c>
      <c r="I1571" s="212"/>
      <c r="J1571" s="212"/>
    </row>
    <row r="1572" spans="1:10" s="5" customFormat="1" ht="30" hidden="1" customHeight="1" outlineLevel="1" x14ac:dyDescent="0.25">
      <c r="A1572" s="4">
        <v>2092</v>
      </c>
      <c r="B1572" s="6" t="s">
        <v>15</v>
      </c>
      <c r="C1572" s="38" t="s">
        <v>8953</v>
      </c>
      <c r="D1572" s="6">
        <v>2023</v>
      </c>
      <c r="E1572" s="6" t="s">
        <v>12</v>
      </c>
      <c r="F1572" s="6">
        <v>100</v>
      </c>
      <c r="G1572" s="40">
        <v>16</v>
      </c>
      <c r="H1572" s="40">
        <v>89.872</v>
      </c>
      <c r="I1572" s="212"/>
      <c r="J1572" s="212"/>
    </row>
    <row r="1573" spans="1:10" s="5" customFormat="1" ht="30" hidden="1" customHeight="1" outlineLevel="1" x14ac:dyDescent="0.25">
      <c r="A1573" s="4">
        <v>877</v>
      </c>
      <c r="B1573" s="6" t="s">
        <v>15</v>
      </c>
      <c r="C1573" s="38" t="s">
        <v>8954</v>
      </c>
      <c r="D1573" s="6">
        <v>2023</v>
      </c>
      <c r="E1573" s="6" t="s">
        <v>12</v>
      </c>
      <c r="F1573" s="6">
        <v>200</v>
      </c>
      <c r="G1573" s="40">
        <v>15</v>
      </c>
      <c r="H1573" s="40">
        <v>360.21699999999998</v>
      </c>
      <c r="I1573" s="212"/>
      <c r="J1573" s="212"/>
    </row>
    <row r="1574" spans="1:10" s="5" customFormat="1" ht="30" hidden="1" customHeight="1" outlineLevel="1" x14ac:dyDescent="0.25">
      <c r="A1574" s="4">
        <v>2026</v>
      </c>
      <c r="B1574" s="6" t="s">
        <v>15</v>
      </c>
      <c r="C1574" s="38" t="s">
        <v>8955</v>
      </c>
      <c r="D1574" s="6">
        <v>2023</v>
      </c>
      <c r="E1574" s="6" t="s">
        <v>12</v>
      </c>
      <c r="F1574" s="6">
        <v>140</v>
      </c>
      <c r="G1574" s="40">
        <v>5</v>
      </c>
      <c r="H1574" s="40">
        <v>281.85500000000002</v>
      </c>
      <c r="I1574" s="212"/>
      <c r="J1574" s="212"/>
    </row>
    <row r="1575" spans="1:10" s="5" customFormat="1" ht="30" hidden="1" customHeight="1" outlineLevel="1" x14ac:dyDescent="0.25">
      <c r="A1575" s="4">
        <v>2421</v>
      </c>
      <c r="B1575" s="6" t="s">
        <v>15</v>
      </c>
      <c r="C1575" s="38" t="s">
        <v>8956</v>
      </c>
      <c r="D1575" s="6">
        <v>2023</v>
      </c>
      <c r="E1575" s="6" t="s">
        <v>12</v>
      </c>
      <c r="F1575" s="6">
        <v>70</v>
      </c>
      <c r="G1575" s="40">
        <v>25</v>
      </c>
      <c r="H1575" s="40">
        <v>106.512</v>
      </c>
      <c r="I1575" s="212"/>
      <c r="J1575" s="212"/>
    </row>
    <row r="1576" spans="1:10" s="5" customFormat="1" ht="30" hidden="1" customHeight="1" outlineLevel="1" x14ac:dyDescent="0.25">
      <c r="A1576" s="4">
        <v>2871</v>
      </c>
      <c r="B1576" s="6" t="s">
        <v>15</v>
      </c>
      <c r="C1576" s="38" t="s">
        <v>8957</v>
      </c>
      <c r="D1576" s="6">
        <v>2023</v>
      </c>
      <c r="E1576" s="6" t="s">
        <v>12</v>
      </c>
      <c r="F1576" s="6">
        <v>170</v>
      </c>
      <c r="G1576" s="40">
        <v>15</v>
      </c>
      <c r="H1576" s="40">
        <v>314.68153000000001</v>
      </c>
      <c r="I1576" s="212"/>
      <c r="J1576" s="212"/>
    </row>
    <row r="1577" spans="1:10" s="5" customFormat="1" ht="30" hidden="1" customHeight="1" outlineLevel="1" x14ac:dyDescent="0.25">
      <c r="A1577" s="4">
        <v>2511</v>
      </c>
      <c r="B1577" s="6" t="s">
        <v>15</v>
      </c>
      <c r="C1577" s="38" t="s">
        <v>8958</v>
      </c>
      <c r="D1577" s="6">
        <v>2023</v>
      </c>
      <c r="E1577" s="6" t="s">
        <v>12</v>
      </c>
      <c r="F1577" s="6">
        <v>50</v>
      </c>
      <c r="G1577" s="40">
        <v>20</v>
      </c>
      <c r="H1577" s="40">
        <v>95.959000000000003</v>
      </c>
      <c r="I1577" s="212"/>
      <c r="J1577" s="212"/>
    </row>
    <row r="1578" spans="1:10" s="5" customFormat="1" ht="30" hidden="1" customHeight="1" outlineLevel="1" x14ac:dyDescent="0.25">
      <c r="A1578" s="4">
        <v>2313</v>
      </c>
      <c r="B1578" s="6" t="s">
        <v>15</v>
      </c>
      <c r="C1578" s="38" t="s">
        <v>8959</v>
      </c>
      <c r="D1578" s="6">
        <v>2023</v>
      </c>
      <c r="E1578" s="6" t="s">
        <v>12</v>
      </c>
      <c r="F1578" s="6">
        <v>170</v>
      </c>
      <c r="G1578" s="40">
        <v>3</v>
      </c>
      <c r="H1578" s="40">
        <v>305.36400000000003</v>
      </c>
      <c r="I1578" s="212"/>
      <c r="J1578" s="212"/>
    </row>
    <row r="1579" spans="1:10" s="5" customFormat="1" ht="30" hidden="1" customHeight="1" outlineLevel="1" x14ac:dyDescent="0.25">
      <c r="A1579" s="4">
        <v>2836</v>
      </c>
      <c r="B1579" s="6" t="s">
        <v>15</v>
      </c>
      <c r="C1579" s="38" t="s">
        <v>8960</v>
      </c>
      <c r="D1579" s="6">
        <v>2023</v>
      </c>
      <c r="E1579" s="6" t="s">
        <v>12</v>
      </c>
      <c r="F1579" s="6">
        <v>50</v>
      </c>
      <c r="G1579" s="40">
        <v>30</v>
      </c>
      <c r="H1579" s="40">
        <v>100.80699999999999</v>
      </c>
      <c r="I1579" s="212"/>
      <c r="J1579" s="212"/>
    </row>
    <row r="1580" spans="1:10" s="5" customFormat="1" ht="30" hidden="1" customHeight="1" outlineLevel="1" x14ac:dyDescent="0.25">
      <c r="A1580" s="4">
        <v>2559</v>
      </c>
      <c r="B1580" s="6" t="s">
        <v>15</v>
      </c>
      <c r="C1580" s="38" t="s">
        <v>8961</v>
      </c>
      <c r="D1580" s="6">
        <v>2023</v>
      </c>
      <c r="E1580" s="6" t="s">
        <v>12</v>
      </c>
      <c r="F1580" s="6">
        <v>120</v>
      </c>
      <c r="G1580" s="40">
        <v>35</v>
      </c>
      <c r="H1580" s="40">
        <v>195.16</v>
      </c>
      <c r="I1580" s="212"/>
      <c r="J1580" s="212"/>
    </row>
    <row r="1581" spans="1:10" s="5" customFormat="1" ht="30" hidden="1" customHeight="1" outlineLevel="1" x14ac:dyDescent="0.25">
      <c r="A1581" s="4">
        <v>2886</v>
      </c>
      <c r="B1581" s="6" t="s">
        <v>15</v>
      </c>
      <c r="C1581" s="38" t="s">
        <v>8962</v>
      </c>
      <c r="D1581" s="6">
        <v>2023</v>
      </c>
      <c r="E1581" s="6" t="s">
        <v>12</v>
      </c>
      <c r="F1581" s="6">
        <v>150</v>
      </c>
      <c r="G1581" s="40">
        <v>15</v>
      </c>
      <c r="H1581" s="40">
        <v>155.56754000000001</v>
      </c>
      <c r="I1581" s="212"/>
      <c r="J1581" s="212"/>
    </row>
    <row r="1582" spans="1:10" s="5" customFormat="1" ht="30" hidden="1" customHeight="1" outlineLevel="1" x14ac:dyDescent="0.25">
      <c r="A1582" s="4">
        <v>2606</v>
      </c>
      <c r="B1582" s="6" t="s">
        <v>15</v>
      </c>
      <c r="C1582" s="38" t="s">
        <v>8963</v>
      </c>
      <c r="D1582" s="6">
        <v>2023</v>
      </c>
      <c r="E1582" s="6" t="s">
        <v>12</v>
      </c>
      <c r="F1582" s="6">
        <v>30</v>
      </c>
      <c r="G1582" s="40">
        <v>15</v>
      </c>
      <c r="H1582" s="40">
        <v>66.529000000000011</v>
      </c>
      <c r="I1582" s="212"/>
      <c r="J1582" s="212"/>
    </row>
    <row r="1583" spans="1:10" s="5" customFormat="1" ht="30" hidden="1" customHeight="1" outlineLevel="1" x14ac:dyDescent="0.25">
      <c r="A1583" s="4">
        <v>2544</v>
      </c>
      <c r="B1583" s="6" t="s">
        <v>15</v>
      </c>
      <c r="C1583" s="38" t="s">
        <v>8964</v>
      </c>
      <c r="D1583" s="6">
        <v>2023</v>
      </c>
      <c r="E1583" s="6" t="s">
        <v>12</v>
      </c>
      <c r="F1583" s="6">
        <v>175</v>
      </c>
      <c r="G1583" s="40">
        <v>10</v>
      </c>
      <c r="H1583" s="40">
        <v>303.14499999999998</v>
      </c>
      <c r="I1583" s="212"/>
      <c r="J1583" s="212"/>
    </row>
    <row r="1584" spans="1:10" s="5" customFormat="1" ht="30" hidden="1" customHeight="1" outlineLevel="1" x14ac:dyDescent="0.25">
      <c r="A1584" s="4">
        <v>4523</v>
      </c>
      <c r="B1584" s="6" t="s">
        <v>15</v>
      </c>
      <c r="C1584" s="38" t="s">
        <v>8965</v>
      </c>
      <c r="D1584" s="6">
        <v>2023</v>
      </c>
      <c r="E1584" s="6" t="s">
        <v>12</v>
      </c>
      <c r="F1584" s="6">
        <v>30</v>
      </c>
      <c r="G1584" s="40">
        <v>50</v>
      </c>
      <c r="H1584" s="40">
        <v>50.399000000000001</v>
      </c>
      <c r="I1584" s="212"/>
      <c r="J1584" s="212"/>
    </row>
    <row r="1585" spans="1:10" s="5" customFormat="1" ht="30" hidden="1" customHeight="1" outlineLevel="1" x14ac:dyDescent="0.25">
      <c r="A1585" s="4">
        <v>4522</v>
      </c>
      <c r="B1585" s="6" t="s">
        <v>15</v>
      </c>
      <c r="C1585" s="38" t="s">
        <v>8966</v>
      </c>
      <c r="D1585" s="6">
        <v>2023</v>
      </c>
      <c r="E1585" s="6" t="s">
        <v>12</v>
      </c>
      <c r="F1585" s="6">
        <v>15</v>
      </c>
      <c r="G1585" s="40">
        <v>15</v>
      </c>
      <c r="H1585" s="40">
        <v>46.845500000000001</v>
      </c>
      <c r="I1585" s="212"/>
      <c r="J1585" s="212"/>
    </row>
    <row r="1586" spans="1:10" s="5" customFormat="1" ht="30" hidden="1" customHeight="1" outlineLevel="1" x14ac:dyDescent="0.25">
      <c r="A1586" s="4">
        <v>3313</v>
      </c>
      <c r="B1586" s="6" t="s">
        <v>15</v>
      </c>
      <c r="C1586" s="38" t="s">
        <v>8967</v>
      </c>
      <c r="D1586" s="6">
        <v>2023</v>
      </c>
      <c r="E1586" s="6" t="s">
        <v>12</v>
      </c>
      <c r="F1586" s="6">
        <v>200</v>
      </c>
      <c r="G1586" s="40">
        <v>15</v>
      </c>
      <c r="H1586" s="40">
        <v>189.30500000000001</v>
      </c>
      <c r="I1586" s="212"/>
      <c r="J1586" s="212"/>
    </row>
    <row r="1587" spans="1:10" s="5" customFormat="1" ht="30" hidden="1" customHeight="1" outlineLevel="1" x14ac:dyDescent="0.25">
      <c r="A1587" s="4">
        <v>2870</v>
      </c>
      <c r="B1587" s="6" t="s">
        <v>15</v>
      </c>
      <c r="C1587" s="38" t="s">
        <v>8968</v>
      </c>
      <c r="D1587" s="6">
        <v>2023</v>
      </c>
      <c r="E1587" s="6" t="s">
        <v>12</v>
      </c>
      <c r="F1587" s="6">
        <v>80</v>
      </c>
      <c r="G1587" s="40">
        <v>15</v>
      </c>
      <c r="H1587" s="40">
        <v>106.723</v>
      </c>
      <c r="I1587" s="212"/>
      <c r="J1587" s="212"/>
    </row>
    <row r="1588" spans="1:10" s="5" customFormat="1" ht="30" hidden="1" customHeight="1" outlineLevel="1" x14ac:dyDescent="0.25">
      <c r="A1588" s="4">
        <v>3324</v>
      </c>
      <c r="B1588" s="6" t="s">
        <v>15</v>
      </c>
      <c r="C1588" s="38" t="s">
        <v>8969</v>
      </c>
      <c r="D1588" s="6">
        <v>2023</v>
      </c>
      <c r="E1588" s="6" t="s">
        <v>12</v>
      </c>
      <c r="F1588" s="6">
        <v>250</v>
      </c>
      <c r="G1588" s="40">
        <v>30</v>
      </c>
      <c r="H1588" s="40">
        <v>473.41499999999996</v>
      </c>
      <c r="I1588" s="212"/>
      <c r="J1588" s="212"/>
    </row>
    <row r="1589" spans="1:10" s="5" customFormat="1" ht="30" hidden="1" customHeight="1" outlineLevel="1" x14ac:dyDescent="0.25">
      <c r="A1589" s="4">
        <v>1942</v>
      </c>
      <c r="B1589" s="6" t="s">
        <v>15</v>
      </c>
      <c r="C1589" s="38" t="s">
        <v>8970</v>
      </c>
      <c r="D1589" s="6">
        <v>2023</v>
      </c>
      <c r="E1589" s="6" t="s">
        <v>12</v>
      </c>
      <c r="F1589" s="6">
        <v>317</v>
      </c>
      <c r="G1589" s="40">
        <v>25</v>
      </c>
      <c r="H1589" s="40">
        <v>335.99</v>
      </c>
      <c r="I1589" s="212"/>
      <c r="J1589" s="212"/>
    </row>
    <row r="1590" spans="1:10" s="5" customFormat="1" ht="30" hidden="1" customHeight="1" outlineLevel="1" x14ac:dyDescent="0.25">
      <c r="A1590" s="4">
        <v>3091</v>
      </c>
      <c r="B1590" s="6" t="s">
        <v>15</v>
      </c>
      <c r="C1590" s="38" t="s">
        <v>8971</v>
      </c>
      <c r="D1590" s="6">
        <v>2023</v>
      </c>
      <c r="E1590" s="6" t="s">
        <v>12</v>
      </c>
      <c r="F1590" s="6">
        <v>210</v>
      </c>
      <c r="G1590" s="40">
        <v>50.74</v>
      </c>
      <c r="H1590" s="40">
        <v>169.15800000000002</v>
      </c>
      <c r="I1590" s="212"/>
      <c r="J1590" s="212"/>
    </row>
    <row r="1591" spans="1:10" s="5" customFormat="1" ht="30" hidden="1" customHeight="1" outlineLevel="1" x14ac:dyDescent="0.25">
      <c r="A1591" s="4">
        <v>4504</v>
      </c>
      <c r="B1591" s="6" t="s">
        <v>15</v>
      </c>
      <c r="C1591" s="38" t="s">
        <v>8972</v>
      </c>
      <c r="D1591" s="6">
        <v>2023</v>
      </c>
      <c r="E1591" s="6" t="s">
        <v>12</v>
      </c>
      <c r="F1591" s="6">
        <v>32</v>
      </c>
      <c r="G1591" s="40">
        <v>15</v>
      </c>
      <c r="H1591" s="40">
        <v>85.960999999999999</v>
      </c>
      <c r="I1591" s="212"/>
      <c r="J1591" s="212"/>
    </row>
    <row r="1592" spans="1:10" s="5" customFormat="1" ht="30" hidden="1" customHeight="1" outlineLevel="1" x14ac:dyDescent="0.25">
      <c r="A1592" s="4">
        <v>4524</v>
      </c>
      <c r="B1592" s="6" t="s">
        <v>15</v>
      </c>
      <c r="C1592" s="38" t="s">
        <v>8973</v>
      </c>
      <c r="D1592" s="6">
        <v>2023</v>
      </c>
      <c r="E1592" s="6" t="s">
        <v>12</v>
      </c>
      <c r="F1592" s="6">
        <v>60</v>
      </c>
      <c r="G1592" s="40">
        <v>13</v>
      </c>
      <c r="H1592" s="40">
        <v>138.46</v>
      </c>
      <c r="I1592" s="212"/>
      <c r="J1592" s="212"/>
    </row>
    <row r="1593" spans="1:10" s="5" customFormat="1" ht="30" hidden="1" customHeight="1" outlineLevel="1" x14ac:dyDescent="0.25">
      <c r="A1593" s="4">
        <v>3125</v>
      </c>
      <c r="B1593" s="6" t="s">
        <v>15</v>
      </c>
      <c r="C1593" s="38" t="s">
        <v>8974</v>
      </c>
      <c r="D1593" s="6">
        <v>2023</v>
      </c>
      <c r="E1593" s="6" t="s">
        <v>12</v>
      </c>
      <c r="F1593" s="6">
        <v>30</v>
      </c>
      <c r="G1593" s="40">
        <v>140</v>
      </c>
      <c r="H1593" s="40">
        <v>123.05800000000001</v>
      </c>
      <c r="I1593" s="212"/>
      <c r="J1593" s="212"/>
    </row>
    <row r="1594" spans="1:10" s="5" customFormat="1" ht="30" hidden="1" customHeight="1" outlineLevel="1" x14ac:dyDescent="0.25">
      <c r="A1594" s="4">
        <v>2101</v>
      </c>
      <c r="B1594" s="6" t="s">
        <v>15</v>
      </c>
      <c r="C1594" s="38" t="s">
        <v>8975</v>
      </c>
      <c r="D1594" s="6">
        <v>2023</v>
      </c>
      <c r="E1594" s="6" t="s">
        <v>12</v>
      </c>
      <c r="F1594" s="6">
        <v>22</v>
      </c>
      <c r="G1594" s="40">
        <v>15</v>
      </c>
      <c r="H1594" s="40">
        <v>36.835999999999999</v>
      </c>
      <c r="I1594" s="212"/>
      <c r="J1594" s="212"/>
    </row>
    <row r="1595" spans="1:10" s="5" customFormat="1" ht="30" hidden="1" customHeight="1" outlineLevel="1" x14ac:dyDescent="0.25">
      <c r="A1595" s="4">
        <v>407</v>
      </c>
      <c r="B1595" s="6" t="s">
        <v>15</v>
      </c>
      <c r="C1595" s="38" t="s">
        <v>8976</v>
      </c>
      <c r="D1595" s="6">
        <v>2023</v>
      </c>
      <c r="E1595" s="6" t="s">
        <v>12</v>
      </c>
      <c r="F1595" s="6">
        <v>55</v>
      </c>
      <c r="G1595" s="40">
        <v>15</v>
      </c>
      <c r="H1595" s="40">
        <v>240.66547999999997</v>
      </c>
      <c r="I1595" s="212"/>
      <c r="J1595" s="212"/>
    </row>
    <row r="1596" spans="1:10" s="5" customFormat="1" ht="30" hidden="1" customHeight="1" outlineLevel="1" x14ac:dyDescent="0.25">
      <c r="A1596" s="4">
        <v>322</v>
      </c>
      <c r="B1596" s="6" t="s">
        <v>15</v>
      </c>
      <c r="C1596" s="38" t="s">
        <v>8977</v>
      </c>
      <c r="D1596" s="6">
        <v>2023</v>
      </c>
      <c r="E1596" s="6" t="s">
        <v>12</v>
      </c>
      <c r="F1596" s="6">
        <v>46</v>
      </c>
      <c r="G1596" s="40">
        <v>30</v>
      </c>
      <c r="H1596" s="40">
        <v>238.97468000000001</v>
      </c>
      <c r="I1596" s="212"/>
      <c r="J1596" s="212"/>
    </row>
    <row r="1597" spans="1:10" s="5" customFormat="1" ht="30" hidden="1" customHeight="1" outlineLevel="1" x14ac:dyDescent="0.25">
      <c r="A1597" s="4">
        <v>145</v>
      </c>
      <c r="B1597" s="6" t="s">
        <v>15</v>
      </c>
      <c r="C1597" s="38" t="s">
        <v>8978</v>
      </c>
      <c r="D1597" s="6">
        <v>2023</v>
      </c>
      <c r="E1597" s="6" t="s">
        <v>12</v>
      </c>
      <c r="F1597" s="6">
        <v>335</v>
      </c>
      <c r="G1597" s="40">
        <v>44</v>
      </c>
      <c r="H1597" s="40">
        <v>450.1807</v>
      </c>
      <c r="I1597" s="212"/>
      <c r="J1597" s="212"/>
    </row>
    <row r="1598" spans="1:10" s="5" customFormat="1" ht="30" hidden="1" customHeight="1" outlineLevel="1" x14ac:dyDescent="0.25">
      <c r="A1598" s="4">
        <v>523</v>
      </c>
      <c r="B1598" s="6" t="s">
        <v>15</v>
      </c>
      <c r="C1598" s="38" t="s">
        <v>8979</v>
      </c>
      <c r="D1598" s="6">
        <v>2023</v>
      </c>
      <c r="E1598" s="6" t="s">
        <v>12</v>
      </c>
      <c r="F1598" s="6">
        <v>40</v>
      </c>
      <c r="G1598" s="40">
        <v>15</v>
      </c>
      <c r="H1598" s="40">
        <v>187.43115</v>
      </c>
      <c r="I1598" s="212"/>
      <c r="J1598" s="212"/>
    </row>
    <row r="1599" spans="1:10" s="5" customFormat="1" ht="30" hidden="1" customHeight="1" outlineLevel="1" x14ac:dyDescent="0.25">
      <c r="A1599" s="4">
        <v>529</v>
      </c>
      <c r="B1599" s="6" t="s">
        <v>15</v>
      </c>
      <c r="C1599" s="38" t="s">
        <v>8980</v>
      </c>
      <c r="D1599" s="6">
        <v>2023</v>
      </c>
      <c r="E1599" s="6" t="s">
        <v>12</v>
      </c>
      <c r="F1599" s="6">
        <v>112</v>
      </c>
      <c r="G1599" s="40">
        <v>15</v>
      </c>
      <c r="H1599" s="40">
        <v>183.94949</v>
      </c>
      <c r="I1599" s="212"/>
      <c r="J1599" s="212"/>
    </row>
    <row r="1600" spans="1:10" s="5" customFormat="1" ht="30" hidden="1" customHeight="1" outlineLevel="1" x14ac:dyDescent="0.25">
      <c r="A1600" s="4">
        <v>435</v>
      </c>
      <c r="B1600" s="6" t="s">
        <v>15</v>
      </c>
      <c r="C1600" s="38" t="s">
        <v>8981</v>
      </c>
      <c r="D1600" s="6">
        <v>2023</v>
      </c>
      <c r="E1600" s="6" t="s">
        <v>12</v>
      </c>
      <c r="F1600" s="6">
        <v>34</v>
      </c>
      <c r="G1600" s="40">
        <v>15</v>
      </c>
      <c r="H1600" s="40">
        <v>158.26224999999999</v>
      </c>
      <c r="I1600" s="212"/>
      <c r="J1600" s="212"/>
    </row>
    <row r="1601" spans="1:10" s="5" customFormat="1" ht="30" hidden="1" customHeight="1" outlineLevel="1" x14ac:dyDescent="0.25">
      <c r="A1601" s="4">
        <v>3185</v>
      </c>
      <c r="B1601" s="6" t="s">
        <v>15</v>
      </c>
      <c r="C1601" s="38" t="s">
        <v>8982</v>
      </c>
      <c r="D1601" s="6">
        <v>2023</v>
      </c>
      <c r="E1601" s="6" t="s">
        <v>12</v>
      </c>
      <c r="F1601" s="6">
        <v>74</v>
      </c>
      <c r="G1601" s="40">
        <v>15</v>
      </c>
      <c r="H1601" s="40">
        <v>306.52971000000002</v>
      </c>
      <c r="I1601" s="212"/>
      <c r="J1601" s="212"/>
    </row>
    <row r="1602" spans="1:10" s="5" customFormat="1" ht="30" hidden="1" customHeight="1" outlineLevel="1" x14ac:dyDescent="0.25">
      <c r="A1602" s="4">
        <v>410</v>
      </c>
      <c r="B1602" s="6" t="s">
        <v>15</v>
      </c>
      <c r="C1602" s="38" t="s">
        <v>8983</v>
      </c>
      <c r="D1602" s="6">
        <v>2023</v>
      </c>
      <c r="E1602" s="6" t="s">
        <v>12</v>
      </c>
      <c r="F1602" s="6">
        <v>34</v>
      </c>
      <c r="G1602" s="40">
        <v>10</v>
      </c>
      <c r="H1602" s="40">
        <v>103.1961</v>
      </c>
      <c r="I1602" s="212"/>
      <c r="J1602" s="212"/>
    </row>
    <row r="1603" spans="1:10" s="5" customFormat="1" ht="30" hidden="1" customHeight="1" outlineLevel="1" x14ac:dyDescent="0.25">
      <c r="A1603" s="4">
        <v>2536</v>
      </c>
      <c r="B1603" s="6" t="s">
        <v>15</v>
      </c>
      <c r="C1603" s="38" t="s">
        <v>8984</v>
      </c>
      <c r="D1603" s="6">
        <v>2023</v>
      </c>
      <c r="E1603" s="6" t="s">
        <v>12</v>
      </c>
      <c r="F1603" s="6">
        <v>80</v>
      </c>
      <c r="G1603" s="40">
        <v>5</v>
      </c>
      <c r="H1603" s="40">
        <v>75.664999999999992</v>
      </c>
      <c r="I1603" s="212"/>
      <c r="J1603" s="212"/>
    </row>
    <row r="1604" spans="1:10" s="5" customFormat="1" ht="30" hidden="1" customHeight="1" outlineLevel="1" x14ac:dyDescent="0.25">
      <c r="A1604" s="4">
        <v>2604</v>
      </c>
      <c r="B1604" s="6" t="s">
        <v>15</v>
      </c>
      <c r="C1604" s="38" t="s">
        <v>8985</v>
      </c>
      <c r="D1604" s="6">
        <v>2023</v>
      </c>
      <c r="E1604" s="6" t="s">
        <v>12</v>
      </c>
      <c r="F1604" s="6">
        <v>70</v>
      </c>
      <c r="G1604" s="40">
        <v>5</v>
      </c>
      <c r="H1604" s="40">
        <v>121.682</v>
      </c>
      <c r="I1604" s="212"/>
      <c r="J1604" s="212"/>
    </row>
    <row r="1605" spans="1:10" s="5" customFormat="1" ht="30" hidden="1" customHeight="1" outlineLevel="1" x14ac:dyDescent="0.25">
      <c r="A1605" s="4">
        <v>2890</v>
      </c>
      <c r="B1605" s="6" t="s">
        <v>15</v>
      </c>
      <c r="C1605" s="38" t="s">
        <v>8986</v>
      </c>
      <c r="D1605" s="6">
        <v>2023</v>
      </c>
      <c r="E1605" s="6" t="s">
        <v>12</v>
      </c>
      <c r="F1605" s="6">
        <v>105</v>
      </c>
      <c r="G1605" s="40">
        <v>15</v>
      </c>
      <c r="H1605" s="40">
        <v>186.82900000000001</v>
      </c>
      <c r="I1605" s="212"/>
      <c r="J1605" s="212"/>
    </row>
    <row r="1606" spans="1:10" s="5" customFormat="1" ht="30" hidden="1" customHeight="1" outlineLevel="1" x14ac:dyDescent="0.25">
      <c r="A1606" s="4">
        <v>2325</v>
      </c>
      <c r="B1606" s="6" t="s">
        <v>15</v>
      </c>
      <c r="C1606" s="38" t="s">
        <v>8987</v>
      </c>
      <c r="D1606" s="6">
        <v>2023</v>
      </c>
      <c r="E1606" s="6" t="s">
        <v>12</v>
      </c>
      <c r="F1606" s="6">
        <v>105</v>
      </c>
      <c r="G1606" s="40">
        <v>9</v>
      </c>
      <c r="H1606" s="40">
        <v>183.63499999999999</v>
      </c>
      <c r="I1606" s="212"/>
      <c r="J1606" s="212"/>
    </row>
    <row r="1607" spans="1:10" s="5" customFormat="1" ht="30" hidden="1" customHeight="1" outlineLevel="1" x14ac:dyDescent="0.25">
      <c r="A1607" s="4">
        <v>2236</v>
      </c>
      <c r="B1607" s="6" t="s">
        <v>15</v>
      </c>
      <c r="C1607" s="38" t="s">
        <v>8988</v>
      </c>
      <c r="D1607" s="6">
        <v>2023</v>
      </c>
      <c r="E1607" s="6" t="s">
        <v>12</v>
      </c>
      <c r="F1607" s="6">
        <v>140</v>
      </c>
      <c r="G1607" s="40">
        <v>5</v>
      </c>
      <c r="H1607" s="40">
        <v>284.66200000000003</v>
      </c>
      <c r="I1607" s="212"/>
      <c r="J1607" s="212"/>
    </row>
    <row r="1608" spans="1:10" s="5" customFormat="1" ht="30" hidden="1" customHeight="1" outlineLevel="1" x14ac:dyDescent="0.25">
      <c r="A1608" s="4">
        <v>2875</v>
      </c>
      <c r="B1608" s="6" t="s">
        <v>15</v>
      </c>
      <c r="C1608" s="38" t="s">
        <v>8989</v>
      </c>
      <c r="D1608" s="6">
        <v>2023</v>
      </c>
      <c r="E1608" s="6" t="s">
        <v>12</v>
      </c>
      <c r="F1608" s="6">
        <v>90</v>
      </c>
      <c r="G1608" s="40">
        <v>15</v>
      </c>
      <c r="H1608" s="40">
        <v>146.626</v>
      </c>
      <c r="I1608" s="212"/>
      <c r="J1608" s="212"/>
    </row>
    <row r="1609" spans="1:10" s="5" customFormat="1" ht="30" hidden="1" customHeight="1" outlineLevel="1" x14ac:dyDescent="0.25">
      <c r="A1609" s="4">
        <v>2869</v>
      </c>
      <c r="B1609" s="6" t="s">
        <v>15</v>
      </c>
      <c r="C1609" s="38" t="s">
        <v>8990</v>
      </c>
      <c r="D1609" s="6">
        <v>2023</v>
      </c>
      <c r="E1609" s="6" t="s">
        <v>12</v>
      </c>
      <c r="F1609" s="6">
        <v>110</v>
      </c>
      <c r="G1609" s="40">
        <v>15</v>
      </c>
      <c r="H1609" s="40">
        <v>225.393</v>
      </c>
      <c r="I1609" s="212"/>
      <c r="J1609" s="212"/>
    </row>
    <row r="1610" spans="1:10" s="5" customFormat="1" ht="30" hidden="1" customHeight="1" outlineLevel="1" x14ac:dyDescent="0.25">
      <c r="A1610" s="4">
        <v>3076</v>
      </c>
      <c r="B1610" s="6" t="s">
        <v>15</v>
      </c>
      <c r="C1610" s="38" t="s">
        <v>8991</v>
      </c>
      <c r="D1610" s="6">
        <v>2023</v>
      </c>
      <c r="E1610" s="6" t="s">
        <v>12</v>
      </c>
      <c r="F1610" s="6">
        <v>20</v>
      </c>
      <c r="G1610" s="40">
        <v>150</v>
      </c>
      <c r="H1610" s="40">
        <v>66.405000000000001</v>
      </c>
      <c r="I1610" s="212"/>
      <c r="J1610" s="212"/>
    </row>
    <row r="1611" spans="1:10" s="5" customFormat="1" ht="30" hidden="1" customHeight="1" outlineLevel="1" x14ac:dyDescent="0.25">
      <c r="A1611" s="4">
        <v>4538</v>
      </c>
      <c r="B1611" s="6" t="s">
        <v>15</v>
      </c>
      <c r="C1611" s="38" t="s">
        <v>8992</v>
      </c>
      <c r="D1611" s="6">
        <v>2023</v>
      </c>
      <c r="E1611" s="6" t="s">
        <v>12</v>
      </c>
      <c r="F1611" s="6">
        <v>50</v>
      </c>
      <c r="G1611" s="40">
        <v>1.5</v>
      </c>
      <c r="H1611" s="40">
        <v>35.92145</v>
      </c>
      <c r="I1611" s="212"/>
      <c r="J1611" s="212"/>
    </row>
    <row r="1612" spans="1:10" s="5" customFormat="1" ht="30" hidden="1" customHeight="1" outlineLevel="1" x14ac:dyDescent="0.25">
      <c r="A1612" s="4">
        <v>2860</v>
      </c>
      <c r="B1612" s="6" t="s">
        <v>15</v>
      </c>
      <c r="C1612" s="38" t="s">
        <v>8993</v>
      </c>
      <c r="D1612" s="6">
        <v>2023</v>
      </c>
      <c r="E1612" s="6" t="s">
        <v>12</v>
      </c>
      <c r="F1612" s="6">
        <v>50</v>
      </c>
      <c r="G1612" s="40">
        <v>15</v>
      </c>
      <c r="H1612" s="40">
        <v>56.196000000000005</v>
      </c>
      <c r="I1612" s="212"/>
      <c r="J1612" s="212"/>
    </row>
    <row r="1613" spans="1:10" s="5" customFormat="1" ht="30" hidden="1" customHeight="1" outlineLevel="1" x14ac:dyDescent="0.25">
      <c r="A1613" s="4">
        <v>2866</v>
      </c>
      <c r="B1613" s="6" t="s">
        <v>15</v>
      </c>
      <c r="C1613" s="38" t="s">
        <v>8994</v>
      </c>
      <c r="D1613" s="6">
        <v>2023</v>
      </c>
      <c r="E1613" s="6" t="s">
        <v>12</v>
      </c>
      <c r="F1613" s="6">
        <v>40</v>
      </c>
      <c r="G1613" s="40">
        <v>15</v>
      </c>
      <c r="H1613" s="40">
        <v>90.537000000000006</v>
      </c>
      <c r="I1613" s="212"/>
      <c r="J1613" s="212"/>
    </row>
    <row r="1614" spans="1:10" s="5" customFormat="1" ht="30" hidden="1" customHeight="1" outlineLevel="1" x14ac:dyDescent="0.25">
      <c r="A1614" s="4">
        <v>3311</v>
      </c>
      <c r="B1614" s="6" t="s">
        <v>15</v>
      </c>
      <c r="C1614" s="38" t="s">
        <v>8995</v>
      </c>
      <c r="D1614" s="6">
        <v>2023</v>
      </c>
      <c r="E1614" s="6" t="s">
        <v>12</v>
      </c>
      <c r="F1614" s="6">
        <v>50</v>
      </c>
      <c r="G1614" s="40">
        <v>15</v>
      </c>
      <c r="H1614" s="40">
        <v>89.724000000000004</v>
      </c>
      <c r="I1614" s="212"/>
      <c r="J1614" s="212"/>
    </row>
    <row r="1615" spans="1:10" s="5" customFormat="1" ht="30" hidden="1" customHeight="1" outlineLevel="1" x14ac:dyDescent="0.25">
      <c r="A1615" s="4">
        <v>2864</v>
      </c>
      <c r="B1615" s="6" t="s">
        <v>15</v>
      </c>
      <c r="C1615" s="38" t="s">
        <v>8996</v>
      </c>
      <c r="D1615" s="6">
        <v>2023</v>
      </c>
      <c r="E1615" s="6" t="s">
        <v>12</v>
      </c>
      <c r="F1615" s="6">
        <v>140</v>
      </c>
      <c r="G1615" s="40">
        <v>15</v>
      </c>
      <c r="H1615" s="40">
        <v>237.84100000000001</v>
      </c>
      <c r="I1615" s="212"/>
      <c r="J1615" s="212"/>
    </row>
    <row r="1616" spans="1:10" s="5" customFormat="1" ht="30" hidden="1" customHeight="1" outlineLevel="1" x14ac:dyDescent="0.25">
      <c r="A1616" s="4">
        <v>2284</v>
      </c>
      <c r="B1616" s="6" t="s">
        <v>15</v>
      </c>
      <c r="C1616" s="38" t="s">
        <v>8997</v>
      </c>
      <c r="D1616" s="6">
        <v>2023</v>
      </c>
      <c r="E1616" s="6" t="s">
        <v>12</v>
      </c>
      <c r="F1616" s="6">
        <v>70</v>
      </c>
      <c r="G1616" s="40">
        <v>15</v>
      </c>
      <c r="H1616" s="40">
        <v>63.808000000000007</v>
      </c>
      <c r="I1616" s="212"/>
      <c r="J1616" s="212"/>
    </row>
    <row r="1617" spans="1:10" s="5" customFormat="1" ht="30" hidden="1" customHeight="1" outlineLevel="1" x14ac:dyDescent="0.25">
      <c r="A1617" s="4">
        <v>2206</v>
      </c>
      <c r="B1617" s="6" t="s">
        <v>15</v>
      </c>
      <c r="C1617" s="38" t="s">
        <v>8998</v>
      </c>
      <c r="D1617" s="6">
        <v>2023</v>
      </c>
      <c r="E1617" s="6" t="s">
        <v>12</v>
      </c>
      <c r="F1617" s="6">
        <v>80</v>
      </c>
      <c r="G1617" s="40">
        <v>5</v>
      </c>
      <c r="H1617" s="40">
        <v>106.59100000000001</v>
      </c>
      <c r="I1617" s="212"/>
      <c r="J1617" s="212"/>
    </row>
    <row r="1618" spans="1:10" s="5" customFormat="1" ht="30" hidden="1" customHeight="1" outlineLevel="1" x14ac:dyDescent="0.25">
      <c r="A1618" s="4">
        <v>2876</v>
      </c>
      <c r="B1618" s="6" t="s">
        <v>15</v>
      </c>
      <c r="C1618" s="38" t="s">
        <v>8999</v>
      </c>
      <c r="D1618" s="6">
        <v>2023</v>
      </c>
      <c r="E1618" s="6" t="s">
        <v>12</v>
      </c>
      <c r="F1618" s="6">
        <v>40</v>
      </c>
      <c r="G1618" s="40">
        <v>15</v>
      </c>
      <c r="H1618" s="40">
        <v>62.565999999999995</v>
      </c>
      <c r="I1618" s="212"/>
      <c r="J1618" s="212"/>
    </row>
    <row r="1619" spans="1:10" s="5" customFormat="1" ht="30" hidden="1" customHeight="1" outlineLevel="1" x14ac:dyDescent="0.25">
      <c r="A1619" s="4">
        <v>2840</v>
      </c>
      <c r="B1619" s="6" t="s">
        <v>15</v>
      </c>
      <c r="C1619" s="38" t="s">
        <v>9000</v>
      </c>
      <c r="D1619" s="6">
        <v>2023</v>
      </c>
      <c r="E1619" s="6" t="s">
        <v>12</v>
      </c>
      <c r="F1619" s="6">
        <v>30</v>
      </c>
      <c r="G1619" s="40">
        <v>15</v>
      </c>
      <c r="H1619" s="40">
        <v>59.686999999999998</v>
      </c>
      <c r="I1619" s="212"/>
      <c r="J1619" s="212"/>
    </row>
    <row r="1620" spans="1:10" s="5" customFormat="1" ht="30" hidden="1" customHeight="1" outlineLevel="1" x14ac:dyDescent="0.25">
      <c r="A1620" s="4">
        <v>3151</v>
      </c>
      <c r="B1620" s="6" t="s">
        <v>15</v>
      </c>
      <c r="C1620" s="38" t="s">
        <v>9001</v>
      </c>
      <c r="D1620" s="6">
        <v>2023</v>
      </c>
      <c r="E1620" s="6" t="s">
        <v>12</v>
      </c>
      <c r="F1620" s="6">
        <v>90</v>
      </c>
      <c r="G1620" s="40">
        <v>50</v>
      </c>
      <c r="H1620" s="40">
        <v>139.11100000000002</v>
      </c>
      <c r="I1620" s="212"/>
      <c r="J1620" s="212"/>
    </row>
    <row r="1621" spans="1:10" s="5" customFormat="1" ht="30" hidden="1" customHeight="1" outlineLevel="1" x14ac:dyDescent="0.25">
      <c r="A1621" s="4">
        <v>3322</v>
      </c>
      <c r="B1621" s="6" t="s">
        <v>15</v>
      </c>
      <c r="C1621" s="38" t="s">
        <v>9002</v>
      </c>
      <c r="D1621" s="6">
        <v>2023</v>
      </c>
      <c r="E1621" s="6" t="s">
        <v>12</v>
      </c>
      <c r="F1621" s="6">
        <v>40</v>
      </c>
      <c r="G1621" s="40">
        <v>7</v>
      </c>
      <c r="H1621" s="40">
        <v>71.072999999999993</v>
      </c>
      <c r="I1621" s="212"/>
      <c r="J1621" s="212"/>
    </row>
    <row r="1622" spans="1:10" s="5" customFormat="1" ht="30" hidden="1" customHeight="1" outlineLevel="1" x14ac:dyDescent="0.25">
      <c r="A1622" s="4">
        <v>2650</v>
      </c>
      <c r="B1622" s="6" t="s">
        <v>15</v>
      </c>
      <c r="C1622" s="38" t="s">
        <v>9003</v>
      </c>
      <c r="D1622" s="6">
        <v>2023</v>
      </c>
      <c r="E1622" s="6" t="s">
        <v>12</v>
      </c>
      <c r="F1622" s="6">
        <v>40</v>
      </c>
      <c r="G1622" s="40">
        <v>12</v>
      </c>
      <c r="H1622" s="40">
        <v>42.591999999999999</v>
      </c>
      <c r="I1622" s="212"/>
      <c r="J1622" s="212"/>
    </row>
    <row r="1623" spans="1:10" s="5" customFormat="1" ht="30" hidden="1" customHeight="1" outlineLevel="1" x14ac:dyDescent="0.25">
      <c r="A1623" s="4">
        <v>4557</v>
      </c>
      <c r="B1623" s="6" t="s">
        <v>15</v>
      </c>
      <c r="C1623" s="38" t="s">
        <v>9004</v>
      </c>
      <c r="D1623" s="6">
        <v>2023</v>
      </c>
      <c r="E1623" s="6" t="s">
        <v>12</v>
      </c>
      <c r="F1623" s="6">
        <v>120</v>
      </c>
      <c r="G1623" s="40">
        <v>15</v>
      </c>
      <c r="H1623" s="40">
        <v>210.61099999999999</v>
      </c>
      <c r="I1623" s="212"/>
      <c r="J1623" s="212"/>
    </row>
    <row r="1624" spans="1:10" s="5" customFormat="1" ht="30" hidden="1" customHeight="1" outlineLevel="1" x14ac:dyDescent="0.25">
      <c r="A1624" s="4">
        <v>4580</v>
      </c>
      <c r="B1624" s="6" t="s">
        <v>15</v>
      </c>
      <c r="C1624" s="38" t="s">
        <v>9005</v>
      </c>
      <c r="D1624" s="6">
        <v>2023</v>
      </c>
      <c r="E1624" s="6" t="s">
        <v>12</v>
      </c>
      <c r="F1624" s="6">
        <v>205</v>
      </c>
      <c r="G1624" s="40">
        <v>10</v>
      </c>
      <c r="H1624" s="40">
        <v>570.05899999999997</v>
      </c>
      <c r="I1624" s="212"/>
      <c r="J1624" s="212"/>
    </row>
    <row r="1625" spans="1:10" s="5" customFormat="1" ht="30" hidden="1" customHeight="1" outlineLevel="1" x14ac:dyDescent="0.25">
      <c r="A1625" s="4">
        <v>256</v>
      </c>
      <c r="B1625" s="6" t="s">
        <v>15</v>
      </c>
      <c r="C1625" s="38" t="s">
        <v>9006</v>
      </c>
      <c r="D1625" s="6">
        <v>2023</v>
      </c>
      <c r="E1625" s="6" t="s">
        <v>12</v>
      </c>
      <c r="F1625" s="6">
        <v>30</v>
      </c>
      <c r="G1625" s="40">
        <v>15</v>
      </c>
      <c r="H1625" s="40">
        <v>238.69424000000001</v>
      </c>
      <c r="I1625" s="212"/>
      <c r="J1625" s="212"/>
    </row>
    <row r="1626" spans="1:10" s="5" customFormat="1" ht="30" hidden="1" customHeight="1" outlineLevel="1" x14ac:dyDescent="0.25">
      <c r="A1626" s="4">
        <v>286</v>
      </c>
      <c r="B1626" s="6" t="s">
        <v>15</v>
      </c>
      <c r="C1626" s="38" t="s">
        <v>9007</v>
      </c>
      <c r="D1626" s="6">
        <v>2023</v>
      </c>
      <c r="E1626" s="6" t="s">
        <v>12</v>
      </c>
      <c r="F1626" s="6">
        <v>29</v>
      </c>
      <c r="G1626" s="40">
        <v>15</v>
      </c>
      <c r="H1626" s="40">
        <v>169.86686</v>
      </c>
      <c r="I1626" s="212"/>
      <c r="J1626" s="212"/>
    </row>
    <row r="1627" spans="1:10" s="5" customFormat="1" ht="30" hidden="1" customHeight="1" outlineLevel="1" x14ac:dyDescent="0.25">
      <c r="A1627" s="4">
        <v>485</v>
      </c>
      <c r="B1627" s="6" t="s">
        <v>15</v>
      </c>
      <c r="C1627" s="38" t="s">
        <v>9008</v>
      </c>
      <c r="D1627" s="6">
        <v>2023</v>
      </c>
      <c r="E1627" s="6" t="s">
        <v>12</v>
      </c>
      <c r="F1627" s="6">
        <v>7</v>
      </c>
      <c r="G1627" s="40">
        <v>15</v>
      </c>
      <c r="H1627" s="40">
        <v>78.372609999999995</v>
      </c>
      <c r="I1627" s="212"/>
      <c r="J1627" s="212"/>
    </row>
    <row r="1628" spans="1:10" s="5" customFormat="1" ht="30" hidden="1" customHeight="1" outlineLevel="1" x14ac:dyDescent="0.25">
      <c r="A1628" s="4">
        <v>1047</v>
      </c>
      <c r="B1628" s="6" t="s">
        <v>15</v>
      </c>
      <c r="C1628" s="38" t="s">
        <v>9009</v>
      </c>
      <c r="D1628" s="6">
        <v>2023</v>
      </c>
      <c r="E1628" s="6" t="s">
        <v>12</v>
      </c>
      <c r="F1628" s="6">
        <v>174</v>
      </c>
      <c r="G1628" s="40">
        <v>15</v>
      </c>
      <c r="H1628" s="40">
        <v>478.17986999999999</v>
      </c>
      <c r="I1628" s="212"/>
      <c r="J1628" s="212"/>
    </row>
    <row r="1629" spans="1:10" s="5" customFormat="1" ht="30" hidden="1" customHeight="1" outlineLevel="1" x14ac:dyDescent="0.25">
      <c r="A1629" s="4">
        <v>891</v>
      </c>
      <c r="B1629" s="6" t="s">
        <v>15</v>
      </c>
      <c r="C1629" s="38" t="s">
        <v>9010</v>
      </c>
      <c r="D1629" s="6">
        <v>2023</v>
      </c>
      <c r="E1629" s="6" t="s">
        <v>12</v>
      </c>
      <c r="F1629" s="6">
        <v>262</v>
      </c>
      <c r="G1629" s="40">
        <v>15</v>
      </c>
      <c r="H1629" s="40">
        <v>593.30081999999993</v>
      </c>
      <c r="I1629" s="212"/>
      <c r="J1629" s="212"/>
    </row>
    <row r="1630" spans="1:10" s="5" customFormat="1" ht="30" hidden="1" customHeight="1" outlineLevel="1" x14ac:dyDescent="0.25">
      <c r="A1630" s="4">
        <v>2845</v>
      </c>
      <c r="B1630" s="6" t="s">
        <v>15</v>
      </c>
      <c r="C1630" s="38" t="s">
        <v>9011</v>
      </c>
      <c r="D1630" s="6">
        <v>2023</v>
      </c>
      <c r="E1630" s="6" t="s">
        <v>12</v>
      </c>
      <c r="F1630" s="6">
        <v>210</v>
      </c>
      <c r="G1630" s="40">
        <v>15</v>
      </c>
      <c r="H1630" s="40">
        <v>583.48845000000006</v>
      </c>
      <c r="I1630" s="212"/>
      <c r="J1630" s="212"/>
    </row>
    <row r="1631" spans="1:10" s="5" customFormat="1" ht="30" hidden="1" customHeight="1" outlineLevel="1" x14ac:dyDescent="0.25">
      <c r="A1631" s="4">
        <v>239</v>
      </c>
      <c r="B1631" s="6" t="s">
        <v>15</v>
      </c>
      <c r="C1631" s="38" t="s">
        <v>9012</v>
      </c>
      <c r="D1631" s="6">
        <v>2023</v>
      </c>
      <c r="E1631" s="6" t="s">
        <v>12</v>
      </c>
      <c r="F1631" s="6">
        <v>73</v>
      </c>
      <c r="G1631" s="40">
        <v>15</v>
      </c>
      <c r="H1631" s="40">
        <v>269.22931</v>
      </c>
      <c r="I1631" s="212"/>
      <c r="J1631" s="212"/>
    </row>
    <row r="1632" spans="1:10" s="5" customFormat="1" ht="30" hidden="1" customHeight="1" outlineLevel="1" x14ac:dyDescent="0.25">
      <c r="A1632" s="4">
        <v>296</v>
      </c>
      <c r="B1632" s="6" t="s">
        <v>15</v>
      </c>
      <c r="C1632" s="38" t="s">
        <v>9013</v>
      </c>
      <c r="D1632" s="6">
        <v>2023</v>
      </c>
      <c r="E1632" s="6" t="s">
        <v>12</v>
      </c>
      <c r="F1632" s="6">
        <v>226</v>
      </c>
      <c r="G1632" s="40">
        <v>15</v>
      </c>
      <c r="H1632" s="40">
        <v>372.60729999999995</v>
      </c>
      <c r="I1632" s="212"/>
      <c r="J1632" s="212"/>
    </row>
    <row r="1633" spans="1:10" s="5" customFormat="1" ht="30" hidden="1" customHeight="1" outlineLevel="1" x14ac:dyDescent="0.25">
      <c r="A1633" s="4">
        <v>557</v>
      </c>
      <c r="B1633" s="6" t="s">
        <v>15</v>
      </c>
      <c r="C1633" s="38" t="s">
        <v>9014</v>
      </c>
      <c r="D1633" s="6">
        <v>2023</v>
      </c>
      <c r="E1633" s="6" t="s">
        <v>12</v>
      </c>
      <c r="F1633" s="6">
        <v>254</v>
      </c>
      <c r="G1633" s="40">
        <v>15</v>
      </c>
      <c r="H1633" s="40">
        <v>453.41027000000003</v>
      </c>
      <c r="I1633" s="212"/>
      <c r="J1633" s="212"/>
    </row>
    <row r="1634" spans="1:10" s="5" customFormat="1" ht="30" hidden="1" customHeight="1" outlineLevel="1" x14ac:dyDescent="0.25">
      <c r="A1634" s="4">
        <v>819</v>
      </c>
      <c r="B1634" s="6" t="s">
        <v>15</v>
      </c>
      <c r="C1634" s="38" t="s">
        <v>9015</v>
      </c>
      <c r="D1634" s="6">
        <v>2023</v>
      </c>
      <c r="E1634" s="6" t="s">
        <v>12</v>
      </c>
      <c r="F1634" s="6">
        <v>603</v>
      </c>
      <c r="G1634" s="40">
        <v>90</v>
      </c>
      <c r="H1634" s="40">
        <v>1204.33584</v>
      </c>
      <c r="I1634" s="212"/>
      <c r="J1634" s="212"/>
    </row>
    <row r="1635" spans="1:10" s="5" customFormat="1" ht="30" hidden="1" customHeight="1" outlineLevel="1" x14ac:dyDescent="0.25">
      <c r="A1635" s="4">
        <v>2998</v>
      </c>
      <c r="B1635" s="6" t="s">
        <v>15</v>
      </c>
      <c r="C1635" s="38" t="s">
        <v>9016</v>
      </c>
      <c r="D1635" s="6">
        <v>2023</v>
      </c>
      <c r="E1635" s="6" t="s">
        <v>12</v>
      </c>
      <c r="F1635" s="6">
        <v>5</v>
      </c>
      <c r="G1635" s="40">
        <v>100</v>
      </c>
      <c r="H1635" s="40">
        <v>90.523910000000001</v>
      </c>
      <c r="I1635" s="212"/>
      <c r="J1635" s="212"/>
    </row>
    <row r="1636" spans="1:10" s="5" customFormat="1" ht="29.25" hidden="1" customHeight="1" outlineLevel="1" x14ac:dyDescent="0.25">
      <c r="A1636" s="41">
        <v>9522</v>
      </c>
      <c r="B1636" s="6" t="s">
        <v>15</v>
      </c>
      <c r="C1636" s="35" t="s">
        <v>61</v>
      </c>
      <c r="D1636" s="6">
        <v>2021</v>
      </c>
      <c r="E1636" s="6"/>
      <c r="F1636" s="52">
        <v>3</v>
      </c>
      <c r="G1636" s="6">
        <v>15</v>
      </c>
      <c r="H1636" s="6">
        <v>81.186000000000007</v>
      </c>
      <c r="I1636" s="206"/>
      <c r="J1636" s="206"/>
    </row>
    <row r="1637" spans="1:10" s="5" customFormat="1" ht="29.25" hidden="1" customHeight="1" outlineLevel="1" x14ac:dyDescent="0.25">
      <c r="A1637" s="42">
        <v>1290</v>
      </c>
      <c r="B1637" s="6" t="s">
        <v>15</v>
      </c>
      <c r="C1637" s="55" t="s">
        <v>62</v>
      </c>
      <c r="D1637" s="6">
        <v>2021</v>
      </c>
      <c r="E1637" s="6"/>
      <c r="F1637" s="52">
        <v>4</v>
      </c>
      <c r="G1637" s="6">
        <v>15</v>
      </c>
      <c r="H1637" s="6">
        <v>95.25</v>
      </c>
      <c r="I1637" s="206"/>
      <c r="J1637" s="206"/>
    </row>
    <row r="1638" spans="1:10" s="5" customFormat="1" ht="29.25" hidden="1" customHeight="1" outlineLevel="1" x14ac:dyDescent="0.25">
      <c r="A1638" s="42">
        <v>1289</v>
      </c>
      <c r="B1638" s="6" t="s">
        <v>15</v>
      </c>
      <c r="C1638" s="55" t="s">
        <v>63</v>
      </c>
      <c r="D1638" s="6">
        <v>2021</v>
      </c>
      <c r="E1638" s="6"/>
      <c r="F1638" s="52">
        <v>17</v>
      </c>
      <c r="G1638" s="6">
        <v>10</v>
      </c>
      <c r="H1638" s="6">
        <v>65.600999999999999</v>
      </c>
      <c r="I1638" s="206"/>
      <c r="J1638" s="206"/>
    </row>
    <row r="1639" spans="1:10" s="5" customFormat="1" ht="29.25" hidden="1" customHeight="1" outlineLevel="1" x14ac:dyDescent="0.25">
      <c r="A1639" s="42">
        <v>1284</v>
      </c>
      <c r="B1639" s="6" t="s">
        <v>15</v>
      </c>
      <c r="C1639" s="55" t="s">
        <v>64</v>
      </c>
      <c r="D1639" s="6">
        <v>2021</v>
      </c>
      <c r="E1639" s="6"/>
      <c r="F1639" s="52">
        <v>22</v>
      </c>
      <c r="G1639" s="6">
        <v>15</v>
      </c>
      <c r="H1639" s="6">
        <v>79.372</v>
      </c>
      <c r="I1639" s="206"/>
      <c r="J1639" s="206"/>
    </row>
    <row r="1640" spans="1:10" s="5" customFormat="1" ht="29.25" hidden="1" customHeight="1" outlineLevel="1" x14ac:dyDescent="0.25">
      <c r="A1640" s="42">
        <v>1283</v>
      </c>
      <c r="B1640" s="6" t="s">
        <v>15</v>
      </c>
      <c r="C1640" s="55" t="s">
        <v>65</v>
      </c>
      <c r="D1640" s="6">
        <v>2021</v>
      </c>
      <c r="E1640" s="6"/>
      <c r="F1640" s="52">
        <v>113</v>
      </c>
      <c r="G1640" s="6">
        <v>3</v>
      </c>
      <c r="H1640" s="6">
        <v>172.12</v>
      </c>
      <c r="I1640" s="206"/>
      <c r="J1640" s="206"/>
    </row>
    <row r="1641" spans="1:10" s="5" customFormat="1" ht="29.25" hidden="1" customHeight="1" outlineLevel="1" x14ac:dyDescent="0.25">
      <c r="A1641" s="41">
        <v>9733</v>
      </c>
      <c r="B1641" s="6" t="s">
        <v>15</v>
      </c>
      <c r="C1641" s="55" t="s">
        <v>66</v>
      </c>
      <c r="D1641" s="6">
        <v>2021</v>
      </c>
      <c r="E1641" s="6"/>
      <c r="F1641" s="52">
        <v>3</v>
      </c>
      <c r="G1641" s="6">
        <v>15</v>
      </c>
      <c r="H1641" s="6">
        <v>56.445999999999998</v>
      </c>
      <c r="I1641" s="206"/>
      <c r="J1641" s="206"/>
    </row>
    <row r="1642" spans="1:10" s="5" customFormat="1" ht="29.25" hidden="1" customHeight="1" outlineLevel="1" x14ac:dyDescent="0.25">
      <c r="A1642" s="41">
        <v>9680</v>
      </c>
      <c r="B1642" s="6" t="s">
        <v>15</v>
      </c>
      <c r="C1642" s="55" t="s">
        <v>67</v>
      </c>
      <c r="D1642" s="6">
        <v>2021</v>
      </c>
      <c r="E1642" s="6"/>
      <c r="F1642" s="52">
        <v>5</v>
      </c>
      <c r="G1642" s="6">
        <v>15</v>
      </c>
      <c r="H1642" s="6">
        <v>33.77225</v>
      </c>
      <c r="I1642" s="206"/>
      <c r="J1642" s="206"/>
    </row>
    <row r="1643" spans="1:10" s="5" customFormat="1" ht="29.25" hidden="1" customHeight="1" outlineLevel="1" x14ac:dyDescent="0.25">
      <c r="A1643" s="41">
        <v>9530</v>
      </c>
      <c r="B1643" s="6" t="s">
        <v>15</v>
      </c>
      <c r="C1643" s="55" t="s">
        <v>68</v>
      </c>
      <c r="D1643" s="6">
        <v>2021</v>
      </c>
      <c r="E1643" s="6"/>
      <c r="F1643" s="52">
        <v>200</v>
      </c>
      <c r="G1643" s="6">
        <v>15</v>
      </c>
      <c r="H1643" s="6">
        <v>179.46039999999999</v>
      </c>
      <c r="I1643" s="206"/>
      <c r="J1643" s="206"/>
    </row>
    <row r="1644" spans="1:10" s="5" customFormat="1" ht="29.25" hidden="1" customHeight="1" outlineLevel="1" x14ac:dyDescent="0.25">
      <c r="A1644" s="41">
        <v>9544</v>
      </c>
      <c r="B1644" s="6" t="s">
        <v>15</v>
      </c>
      <c r="C1644" s="55" t="s">
        <v>69</v>
      </c>
      <c r="D1644" s="6">
        <v>2021</v>
      </c>
      <c r="E1644" s="6"/>
      <c r="F1644" s="52">
        <v>60</v>
      </c>
      <c r="G1644" s="6">
        <v>15</v>
      </c>
      <c r="H1644" s="6">
        <v>152.73705000000001</v>
      </c>
      <c r="I1644" s="206"/>
      <c r="J1644" s="206"/>
    </row>
    <row r="1645" spans="1:10" s="5" customFormat="1" ht="29.25" hidden="1" customHeight="1" outlineLevel="1" x14ac:dyDescent="0.25">
      <c r="A1645" s="41">
        <v>9540</v>
      </c>
      <c r="B1645" s="6" t="s">
        <v>15</v>
      </c>
      <c r="C1645" s="55" t="s">
        <v>70</v>
      </c>
      <c r="D1645" s="6">
        <v>2021</v>
      </c>
      <c r="E1645" s="6"/>
      <c r="F1645" s="52">
        <v>36</v>
      </c>
      <c r="G1645" s="6">
        <v>50</v>
      </c>
      <c r="H1645" s="6">
        <v>81.510189999999994</v>
      </c>
      <c r="I1645" s="206"/>
      <c r="J1645" s="206"/>
    </row>
    <row r="1646" spans="1:10" s="5" customFormat="1" ht="29.25" hidden="1" customHeight="1" outlineLevel="1" x14ac:dyDescent="0.25">
      <c r="A1646" s="41">
        <v>9571</v>
      </c>
      <c r="B1646" s="6" t="s">
        <v>15</v>
      </c>
      <c r="C1646" s="55" t="s">
        <v>71</v>
      </c>
      <c r="D1646" s="6">
        <v>2021</v>
      </c>
      <c r="E1646" s="6"/>
      <c r="F1646" s="52">
        <v>87</v>
      </c>
      <c r="G1646" s="6">
        <v>9</v>
      </c>
      <c r="H1646" s="6">
        <v>135.22538</v>
      </c>
      <c r="I1646" s="206"/>
      <c r="J1646" s="206"/>
    </row>
    <row r="1647" spans="1:10" s="5" customFormat="1" ht="29.25" hidden="1" customHeight="1" outlineLevel="1" x14ac:dyDescent="0.25">
      <c r="A1647" s="42">
        <v>799</v>
      </c>
      <c r="B1647" s="6" t="s">
        <v>15</v>
      </c>
      <c r="C1647" s="55" t="s">
        <v>72</v>
      </c>
      <c r="D1647" s="6">
        <v>2021</v>
      </c>
      <c r="E1647" s="6"/>
      <c r="F1647" s="52">
        <v>70</v>
      </c>
      <c r="G1647" s="6">
        <v>15</v>
      </c>
      <c r="H1647" s="6">
        <v>97.643739999999994</v>
      </c>
      <c r="I1647" s="206"/>
      <c r="J1647" s="206"/>
    </row>
    <row r="1648" spans="1:10" s="5" customFormat="1" ht="29.25" hidden="1" customHeight="1" outlineLevel="1" x14ac:dyDescent="0.25">
      <c r="A1648" s="42">
        <v>599</v>
      </c>
      <c r="B1648" s="6" t="s">
        <v>15</v>
      </c>
      <c r="C1648" s="55" t="s">
        <v>73</v>
      </c>
      <c r="D1648" s="6">
        <v>2021</v>
      </c>
      <c r="E1648" s="6"/>
      <c r="F1648" s="52">
        <v>95</v>
      </c>
      <c r="G1648" s="6">
        <v>6</v>
      </c>
      <c r="H1648" s="6">
        <v>105.72880000000001</v>
      </c>
      <c r="I1648" s="206"/>
      <c r="J1648" s="206"/>
    </row>
    <row r="1649" spans="1:10" s="5" customFormat="1" ht="29.25" hidden="1" customHeight="1" outlineLevel="1" x14ac:dyDescent="0.25">
      <c r="A1649" s="41">
        <v>9535</v>
      </c>
      <c r="B1649" s="6" t="s">
        <v>15</v>
      </c>
      <c r="C1649" s="55" t="s">
        <v>74</v>
      </c>
      <c r="D1649" s="6">
        <v>2021</v>
      </c>
      <c r="E1649" s="6"/>
      <c r="F1649" s="52">
        <v>90</v>
      </c>
      <c r="G1649" s="6">
        <v>10</v>
      </c>
      <c r="H1649" s="6">
        <v>113.93300000000001</v>
      </c>
      <c r="I1649" s="206"/>
      <c r="J1649" s="206"/>
    </row>
    <row r="1650" spans="1:10" s="5" customFormat="1" ht="29.25" hidden="1" customHeight="1" outlineLevel="1" x14ac:dyDescent="0.25">
      <c r="A1650" s="41">
        <v>9534</v>
      </c>
      <c r="B1650" s="6" t="s">
        <v>15</v>
      </c>
      <c r="C1650" s="55" t="s">
        <v>75</v>
      </c>
      <c r="D1650" s="6">
        <v>2021</v>
      </c>
      <c r="E1650" s="6"/>
      <c r="F1650" s="52">
        <v>75</v>
      </c>
      <c r="G1650" s="6">
        <v>10</v>
      </c>
      <c r="H1650" s="6">
        <v>116.36499999999999</v>
      </c>
      <c r="I1650" s="206"/>
      <c r="J1650" s="206"/>
    </row>
    <row r="1651" spans="1:10" s="5" customFormat="1" ht="29.25" hidden="1" customHeight="1" outlineLevel="1" x14ac:dyDescent="0.25">
      <c r="A1651" s="41">
        <v>9542</v>
      </c>
      <c r="B1651" s="6" t="s">
        <v>15</v>
      </c>
      <c r="C1651" s="55" t="s">
        <v>76</v>
      </c>
      <c r="D1651" s="6">
        <v>2021</v>
      </c>
      <c r="E1651" s="6"/>
      <c r="F1651" s="52">
        <v>340</v>
      </c>
      <c r="G1651" s="6">
        <v>15</v>
      </c>
      <c r="H1651" s="6">
        <v>231.983</v>
      </c>
      <c r="I1651" s="206"/>
      <c r="J1651" s="206"/>
    </row>
    <row r="1652" spans="1:10" s="5" customFormat="1" ht="29.25" hidden="1" customHeight="1" outlineLevel="1" x14ac:dyDescent="0.25">
      <c r="A1652" s="41">
        <v>9536</v>
      </c>
      <c r="B1652" s="6" t="s">
        <v>15</v>
      </c>
      <c r="C1652" s="55" t="s">
        <v>77</v>
      </c>
      <c r="D1652" s="6">
        <v>2021</v>
      </c>
      <c r="E1652" s="6"/>
      <c r="F1652" s="52">
        <v>71</v>
      </c>
      <c r="G1652" s="6">
        <v>6</v>
      </c>
      <c r="H1652" s="6">
        <v>86.706000000000003</v>
      </c>
      <c r="I1652" s="206"/>
      <c r="J1652" s="206"/>
    </row>
    <row r="1653" spans="1:10" s="5" customFormat="1" ht="29.25" hidden="1" customHeight="1" outlineLevel="1" x14ac:dyDescent="0.25">
      <c r="A1653" s="42">
        <v>826</v>
      </c>
      <c r="B1653" s="6" t="s">
        <v>15</v>
      </c>
      <c r="C1653" s="55" t="s">
        <v>78</v>
      </c>
      <c r="D1653" s="6">
        <v>2021</v>
      </c>
      <c r="E1653" s="6"/>
      <c r="F1653" s="52">
        <v>80</v>
      </c>
      <c r="G1653" s="6">
        <v>15</v>
      </c>
      <c r="H1653" s="6">
        <v>134.578</v>
      </c>
      <c r="I1653" s="206"/>
      <c r="J1653" s="206"/>
    </row>
    <row r="1654" spans="1:10" s="5" customFormat="1" ht="29.25" hidden="1" customHeight="1" outlineLevel="1" x14ac:dyDescent="0.25">
      <c r="A1654" s="41">
        <v>9543</v>
      </c>
      <c r="B1654" s="6" t="s">
        <v>15</v>
      </c>
      <c r="C1654" s="55" t="s">
        <v>79</v>
      </c>
      <c r="D1654" s="6">
        <v>2021</v>
      </c>
      <c r="E1654" s="6"/>
      <c r="F1654" s="52">
        <v>229</v>
      </c>
      <c r="G1654" s="6">
        <v>30</v>
      </c>
      <c r="H1654" s="6">
        <v>239.59200000000001</v>
      </c>
      <c r="I1654" s="206"/>
      <c r="J1654" s="206"/>
    </row>
    <row r="1655" spans="1:10" s="5" customFormat="1" ht="29.25" hidden="1" customHeight="1" outlineLevel="1" x14ac:dyDescent="0.25">
      <c r="A1655" s="42">
        <v>812</v>
      </c>
      <c r="B1655" s="6" t="s">
        <v>15</v>
      </c>
      <c r="C1655" s="55" t="s">
        <v>80</v>
      </c>
      <c r="D1655" s="6">
        <v>2021</v>
      </c>
      <c r="E1655" s="6"/>
      <c r="F1655" s="52">
        <v>60</v>
      </c>
      <c r="G1655" s="6">
        <v>15</v>
      </c>
      <c r="H1655" s="6">
        <v>78.274000000000001</v>
      </c>
      <c r="I1655" s="206"/>
      <c r="J1655" s="206"/>
    </row>
    <row r="1656" spans="1:10" s="5" customFormat="1" ht="29.25" hidden="1" customHeight="1" outlineLevel="1" x14ac:dyDescent="0.25">
      <c r="A1656" s="41">
        <v>9550</v>
      </c>
      <c r="B1656" s="6" t="s">
        <v>15</v>
      </c>
      <c r="C1656" s="55" t="s">
        <v>81</v>
      </c>
      <c r="D1656" s="6">
        <v>2021</v>
      </c>
      <c r="E1656" s="6"/>
      <c r="F1656" s="52">
        <v>50</v>
      </c>
      <c r="G1656" s="6">
        <v>15</v>
      </c>
      <c r="H1656" s="6">
        <v>81.28</v>
      </c>
      <c r="I1656" s="206"/>
      <c r="J1656" s="206"/>
    </row>
    <row r="1657" spans="1:10" s="5" customFormat="1" ht="29.25" hidden="1" customHeight="1" outlineLevel="1" x14ac:dyDescent="0.25">
      <c r="A1657" s="41">
        <v>9548</v>
      </c>
      <c r="B1657" s="6" t="s">
        <v>15</v>
      </c>
      <c r="C1657" s="55" t="s">
        <v>82</v>
      </c>
      <c r="D1657" s="6">
        <v>2021</v>
      </c>
      <c r="E1657" s="6"/>
      <c r="F1657" s="52">
        <v>50</v>
      </c>
      <c r="G1657" s="6">
        <v>15</v>
      </c>
      <c r="H1657" s="6">
        <v>65.275999999999996</v>
      </c>
      <c r="I1657" s="206"/>
      <c r="J1657" s="206"/>
    </row>
    <row r="1658" spans="1:10" s="5" customFormat="1" ht="29.25" hidden="1" customHeight="1" outlineLevel="1" x14ac:dyDescent="0.25">
      <c r="A1658" s="41">
        <v>9539</v>
      </c>
      <c r="B1658" s="6" t="s">
        <v>15</v>
      </c>
      <c r="C1658" s="55" t="s">
        <v>83</v>
      </c>
      <c r="D1658" s="6">
        <v>2021</v>
      </c>
      <c r="E1658" s="6"/>
      <c r="F1658" s="52">
        <v>74</v>
      </c>
      <c r="G1658" s="6">
        <v>15</v>
      </c>
      <c r="H1658" s="6">
        <v>86.218999999999994</v>
      </c>
      <c r="I1658" s="206"/>
      <c r="J1658" s="206"/>
    </row>
    <row r="1659" spans="1:10" s="5" customFormat="1" ht="29.25" hidden="1" customHeight="1" outlineLevel="1" x14ac:dyDescent="0.25">
      <c r="A1659" s="41">
        <v>9557</v>
      </c>
      <c r="B1659" s="6" t="s">
        <v>15</v>
      </c>
      <c r="C1659" s="55" t="s">
        <v>84</v>
      </c>
      <c r="D1659" s="6">
        <v>2021</v>
      </c>
      <c r="E1659" s="6"/>
      <c r="F1659" s="52">
        <v>40</v>
      </c>
      <c r="G1659" s="6">
        <v>15</v>
      </c>
      <c r="H1659" s="6">
        <v>59.686</v>
      </c>
      <c r="I1659" s="206"/>
      <c r="J1659" s="206"/>
    </row>
    <row r="1660" spans="1:10" s="5" customFormat="1" ht="29.25" hidden="1" customHeight="1" outlineLevel="1" x14ac:dyDescent="0.25">
      <c r="A1660" s="41">
        <v>9555</v>
      </c>
      <c r="B1660" s="6" t="s">
        <v>15</v>
      </c>
      <c r="C1660" s="55" t="s">
        <v>85</v>
      </c>
      <c r="D1660" s="6">
        <v>2021</v>
      </c>
      <c r="E1660" s="6"/>
      <c r="F1660" s="52">
        <v>70</v>
      </c>
      <c r="G1660" s="6">
        <v>6</v>
      </c>
      <c r="H1660" s="6">
        <v>85.039000000000001</v>
      </c>
      <c r="I1660" s="206"/>
      <c r="J1660" s="206"/>
    </row>
    <row r="1661" spans="1:10" s="5" customFormat="1" ht="29.25" hidden="1" customHeight="1" outlineLevel="1" x14ac:dyDescent="0.25">
      <c r="A1661" s="41">
        <v>9682</v>
      </c>
      <c r="B1661" s="6" t="s">
        <v>15</v>
      </c>
      <c r="C1661" s="55" t="s">
        <v>86</v>
      </c>
      <c r="D1661" s="6">
        <v>2021</v>
      </c>
      <c r="E1661" s="6"/>
      <c r="F1661" s="52">
        <v>39</v>
      </c>
      <c r="G1661" s="6">
        <v>15</v>
      </c>
      <c r="H1661" s="6">
        <v>65.459000000000003</v>
      </c>
      <c r="I1661" s="206"/>
      <c r="J1661" s="206"/>
    </row>
    <row r="1662" spans="1:10" s="5" customFormat="1" ht="29.25" hidden="1" customHeight="1" outlineLevel="1" x14ac:dyDescent="0.25">
      <c r="A1662" s="41">
        <v>9434</v>
      </c>
      <c r="B1662" s="6" t="s">
        <v>15</v>
      </c>
      <c r="C1662" s="55" t="s">
        <v>87</v>
      </c>
      <c r="D1662" s="6">
        <v>2021</v>
      </c>
      <c r="E1662" s="6"/>
      <c r="F1662" s="52">
        <v>115</v>
      </c>
      <c r="G1662" s="6">
        <v>15</v>
      </c>
      <c r="H1662" s="6">
        <v>118</v>
      </c>
      <c r="I1662" s="206"/>
      <c r="J1662" s="206"/>
    </row>
    <row r="1663" spans="1:10" s="5" customFormat="1" ht="29.25" hidden="1" customHeight="1" outlineLevel="1" x14ac:dyDescent="0.25">
      <c r="A1663" s="41">
        <v>9435</v>
      </c>
      <c r="B1663" s="6" t="s">
        <v>15</v>
      </c>
      <c r="C1663" s="55" t="s">
        <v>88</v>
      </c>
      <c r="D1663" s="6">
        <v>2021</v>
      </c>
      <c r="E1663" s="6"/>
      <c r="F1663" s="52">
        <v>130</v>
      </c>
      <c r="G1663" s="6">
        <v>15</v>
      </c>
      <c r="H1663" s="6">
        <v>124.22499999999999</v>
      </c>
      <c r="I1663" s="206"/>
      <c r="J1663" s="206"/>
    </row>
    <row r="1664" spans="1:10" s="5" customFormat="1" ht="29.25" hidden="1" customHeight="1" outlineLevel="1" x14ac:dyDescent="0.25">
      <c r="A1664" s="42">
        <v>700</v>
      </c>
      <c r="B1664" s="6" t="s">
        <v>15</v>
      </c>
      <c r="C1664" s="55" t="s">
        <v>89</v>
      </c>
      <c r="D1664" s="6">
        <v>2021</v>
      </c>
      <c r="E1664" s="6"/>
      <c r="F1664" s="52">
        <v>36</v>
      </c>
      <c r="G1664" s="58">
        <v>20</v>
      </c>
      <c r="H1664" s="6">
        <v>111</v>
      </c>
      <c r="I1664" s="206"/>
      <c r="J1664" s="206"/>
    </row>
    <row r="1665" spans="1:10" s="5" customFormat="1" ht="29.25" hidden="1" customHeight="1" outlineLevel="1" x14ac:dyDescent="0.25">
      <c r="A1665" s="42">
        <v>3824</v>
      </c>
      <c r="B1665" s="6" t="s">
        <v>15</v>
      </c>
      <c r="C1665" s="55" t="s">
        <v>90</v>
      </c>
      <c r="D1665" s="6">
        <v>2021</v>
      </c>
      <c r="E1665" s="6"/>
      <c r="F1665" s="52">
        <v>233</v>
      </c>
      <c r="G1665" s="58">
        <v>15</v>
      </c>
      <c r="H1665" s="6">
        <v>387</v>
      </c>
      <c r="I1665" s="206"/>
      <c r="J1665" s="206"/>
    </row>
    <row r="1666" spans="1:10" s="5" customFormat="1" ht="29.25" hidden="1" customHeight="1" outlineLevel="1" x14ac:dyDescent="0.25">
      <c r="A1666" s="41">
        <v>9508</v>
      </c>
      <c r="B1666" s="6" t="s">
        <v>15</v>
      </c>
      <c r="C1666" s="55" t="s">
        <v>92</v>
      </c>
      <c r="D1666" s="6">
        <v>2021</v>
      </c>
      <c r="E1666" s="6"/>
      <c r="F1666" s="52">
        <v>327</v>
      </c>
      <c r="G1666" s="58">
        <v>150</v>
      </c>
      <c r="H1666" s="6">
        <v>437</v>
      </c>
      <c r="I1666" s="206"/>
      <c r="J1666" s="206"/>
    </row>
    <row r="1667" spans="1:10" s="5" customFormat="1" ht="29.25" hidden="1" customHeight="1" outlineLevel="1" x14ac:dyDescent="0.25">
      <c r="A1667" s="41">
        <v>9728</v>
      </c>
      <c r="B1667" s="6" t="s">
        <v>15</v>
      </c>
      <c r="C1667" s="55" t="s">
        <v>93</v>
      </c>
      <c r="D1667" s="6">
        <v>2021</v>
      </c>
      <c r="E1667" s="6"/>
      <c r="F1667" s="52">
        <v>3840</v>
      </c>
      <c r="G1667" s="58">
        <v>20</v>
      </c>
      <c r="H1667" s="6">
        <v>3937</v>
      </c>
      <c r="I1667" s="206"/>
      <c r="J1667" s="206"/>
    </row>
    <row r="1668" spans="1:10" s="5" customFormat="1" ht="29.25" hidden="1" customHeight="1" outlineLevel="1" x14ac:dyDescent="0.25">
      <c r="A1668" s="42">
        <v>3832</v>
      </c>
      <c r="B1668" s="6" t="s">
        <v>15</v>
      </c>
      <c r="C1668" s="55" t="s">
        <v>94</v>
      </c>
      <c r="D1668" s="6">
        <v>2021</v>
      </c>
      <c r="E1668" s="6"/>
      <c r="F1668" s="52">
        <v>40</v>
      </c>
      <c r="G1668" s="58">
        <v>15</v>
      </c>
      <c r="H1668" s="6">
        <v>204</v>
      </c>
      <c r="I1668" s="206"/>
      <c r="J1668" s="206"/>
    </row>
    <row r="1669" spans="1:10" s="5" customFormat="1" ht="29.25" hidden="1" customHeight="1" outlineLevel="1" x14ac:dyDescent="0.25">
      <c r="A1669" s="41">
        <v>9727</v>
      </c>
      <c r="B1669" s="6" t="s">
        <v>15</v>
      </c>
      <c r="C1669" s="55" t="s">
        <v>95</v>
      </c>
      <c r="D1669" s="6">
        <v>2021</v>
      </c>
      <c r="E1669" s="6"/>
      <c r="F1669" s="52">
        <v>266</v>
      </c>
      <c r="G1669" s="6">
        <v>45</v>
      </c>
      <c r="H1669" s="6">
        <v>586</v>
      </c>
      <c r="I1669" s="206"/>
      <c r="J1669" s="206"/>
    </row>
    <row r="1670" spans="1:10" s="5" customFormat="1" ht="29.25" hidden="1" customHeight="1" outlineLevel="1" x14ac:dyDescent="0.25">
      <c r="A1670" s="41">
        <v>9729</v>
      </c>
      <c r="B1670" s="6" t="s">
        <v>15</v>
      </c>
      <c r="C1670" s="55" t="s">
        <v>97</v>
      </c>
      <c r="D1670" s="6">
        <v>2021</v>
      </c>
      <c r="E1670" s="6"/>
      <c r="F1670" s="52">
        <v>690</v>
      </c>
      <c r="G1670" s="58">
        <v>40</v>
      </c>
      <c r="H1670" s="6">
        <v>1045</v>
      </c>
      <c r="I1670" s="206"/>
      <c r="J1670" s="206"/>
    </row>
    <row r="1671" spans="1:10" s="5" customFormat="1" ht="29.25" hidden="1" customHeight="1" outlineLevel="1" x14ac:dyDescent="0.25">
      <c r="A1671" s="42">
        <v>3825</v>
      </c>
      <c r="B1671" s="6" t="s">
        <v>15</v>
      </c>
      <c r="C1671" s="55" t="s">
        <v>98</v>
      </c>
      <c r="D1671" s="6">
        <v>2021</v>
      </c>
      <c r="E1671" s="6"/>
      <c r="F1671" s="52">
        <v>10</v>
      </c>
      <c r="G1671" s="58">
        <v>50</v>
      </c>
      <c r="H1671" s="6">
        <v>22</v>
      </c>
      <c r="I1671" s="206"/>
      <c r="J1671" s="206"/>
    </row>
    <row r="1672" spans="1:10" s="5" customFormat="1" ht="29.25" hidden="1" customHeight="1" outlineLevel="1" x14ac:dyDescent="0.25">
      <c r="A1672" s="41">
        <v>9739</v>
      </c>
      <c r="B1672" s="6" t="s">
        <v>15</v>
      </c>
      <c r="C1672" s="59" t="s">
        <v>99</v>
      </c>
      <c r="D1672" s="6">
        <v>2021</v>
      </c>
      <c r="E1672" s="6"/>
      <c r="F1672" s="52">
        <v>40</v>
      </c>
      <c r="G1672" s="58">
        <v>15</v>
      </c>
      <c r="H1672" s="6">
        <v>179</v>
      </c>
      <c r="I1672" s="206"/>
      <c r="J1672" s="206"/>
    </row>
    <row r="1673" spans="1:10" s="5" customFormat="1" ht="29.25" hidden="1" customHeight="1" outlineLevel="1" x14ac:dyDescent="0.25">
      <c r="A1673" s="42">
        <v>1261</v>
      </c>
      <c r="B1673" s="6" t="s">
        <v>15</v>
      </c>
      <c r="C1673" s="55" t="s">
        <v>100</v>
      </c>
      <c r="D1673" s="6">
        <v>2021</v>
      </c>
      <c r="E1673" s="6"/>
      <c r="F1673" s="52">
        <v>25</v>
      </c>
      <c r="G1673" s="58">
        <v>15</v>
      </c>
      <c r="H1673" s="6">
        <v>101</v>
      </c>
      <c r="I1673" s="206"/>
      <c r="J1673" s="206"/>
    </row>
    <row r="1674" spans="1:10" s="5" customFormat="1" ht="29.25" hidden="1" customHeight="1" outlineLevel="1" x14ac:dyDescent="0.25">
      <c r="A1674" s="41">
        <v>9722</v>
      </c>
      <c r="B1674" s="6" t="s">
        <v>15</v>
      </c>
      <c r="C1674" s="55" t="s">
        <v>106</v>
      </c>
      <c r="D1674" s="6">
        <v>2021</v>
      </c>
      <c r="E1674" s="6"/>
      <c r="F1674" s="52">
        <v>75</v>
      </c>
      <c r="G1674" s="6" t="s">
        <v>107</v>
      </c>
      <c r="H1674" s="6">
        <v>287</v>
      </c>
      <c r="I1674" s="206"/>
      <c r="J1674" s="206"/>
    </row>
    <row r="1675" spans="1:10" s="5" customFormat="1" ht="29.25" hidden="1" customHeight="1" outlineLevel="1" x14ac:dyDescent="0.25">
      <c r="A1675" s="41">
        <v>9094</v>
      </c>
      <c r="B1675" s="6" t="s">
        <v>15</v>
      </c>
      <c r="C1675" s="55" t="s">
        <v>108</v>
      </c>
      <c r="D1675" s="6">
        <v>2021</v>
      </c>
      <c r="E1675" s="6"/>
      <c r="F1675" s="52">
        <v>973</v>
      </c>
      <c r="G1675" s="6" t="s">
        <v>109</v>
      </c>
      <c r="H1675" s="6">
        <v>1232</v>
      </c>
      <c r="I1675" s="206"/>
      <c r="J1675" s="206"/>
    </row>
    <row r="1676" spans="1:10" s="5" customFormat="1" ht="29.25" hidden="1" customHeight="1" outlineLevel="1" x14ac:dyDescent="0.25">
      <c r="A1676" s="41">
        <v>9449</v>
      </c>
      <c r="B1676" s="6" t="s">
        <v>15</v>
      </c>
      <c r="C1676" s="55" t="s">
        <v>110</v>
      </c>
      <c r="D1676" s="6">
        <v>2021</v>
      </c>
      <c r="E1676" s="6"/>
      <c r="F1676" s="52">
        <v>7</v>
      </c>
      <c r="G1676" s="6">
        <v>40</v>
      </c>
      <c r="H1676" s="6">
        <v>102.60199</v>
      </c>
      <c r="I1676" s="206"/>
      <c r="J1676" s="206"/>
    </row>
    <row r="1677" spans="1:10" s="5" customFormat="1" ht="29.25" hidden="1" customHeight="1" outlineLevel="1" x14ac:dyDescent="0.25">
      <c r="A1677" s="41">
        <v>9384</v>
      </c>
      <c r="B1677" s="6" t="s">
        <v>15</v>
      </c>
      <c r="C1677" s="55" t="s">
        <v>111</v>
      </c>
      <c r="D1677" s="6">
        <v>2021</v>
      </c>
      <c r="E1677" s="6"/>
      <c r="F1677" s="52">
        <v>105</v>
      </c>
      <c r="G1677" s="6">
        <v>15</v>
      </c>
      <c r="H1677" s="6">
        <v>244.96835999999999</v>
      </c>
      <c r="I1677" s="206"/>
      <c r="J1677" s="206"/>
    </row>
    <row r="1678" spans="1:10" s="5" customFormat="1" ht="29.25" hidden="1" customHeight="1" outlineLevel="1" x14ac:dyDescent="0.25">
      <c r="A1678" s="41">
        <v>9383</v>
      </c>
      <c r="B1678" s="6" t="s">
        <v>15</v>
      </c>
      <c r="C1678" s="55" t="s">
        <v>112</v>
      </c>
      <c r="D1678" s="6">
        <v>2021</v>
      </c>
      <c r="E1678" s="6"/>
      <c r="F1678" s="52">
        <v>120</v>
      </c>
      <c r="G1678" s="6">
        <v>100</v>
      </c>
      <c r="H1678" s="6">
        <v>316.09401000000003</v>
      </c>
      <c r="I1678" s="206"/>
      <c r="J1678" s="206"/>
    </row>
    <row r="1679" spans="1:10" s="5" customFormat="1" ht="29.25" hidden="1" customHeight="1" outlineLevel="1" x14ac:dyDescent="0.25">
      <c r="A1679" s="41">
        <v>9345</v>
      </c>
      <c r="B1679" s="6" t="s">
        <v>15</v>
      </c>
      <c r="C1679" s="55" t="s">
        <v>113</v>
      </c>
      <c r="D1679" s="6">
        <v>2021</v>
      </c>
      <c r="E1679" s="6"/>
      <c r="F1679" s="52">
        <v>80</v>
      </c>
      <c r="G1679" s="6">
        <v>15</v>
      </c>
      <c r="H1679" s="6">
        <v>186.73113000000001</v>
      </c>
      <c r="I1679" s="206"/>
      <c r="J1679" s="206"/>
    </row>
    <row r="1680" spans="1:10" s="5" customFormat="1" ht="29.25" hidden="1" customHeight="1" outlineLevel="1" x14ac:dyDescent="0.25">
      <c r="A1680" s="41">
        <v>9533</v>
      </c>
      <c r="B1680" s="6" t="s">
        <v>15</v>
      </c>
      <c r="C1680" s="55" t="s">
        <v>114</v>
      </c>
      <c r="D1680" s="6">
        <v>2021</v>
      </c>
      <c r="E1680" s="6"/>
      <c r="F1680" s="52">
        <v>25</v>
      </c>
      <c r="G1680" s="6">
        <v>15</v>
      </c>
      <c r="H1680" s="6">
        <v>115.95699999999999</v>
      </c>
      <c r="I1680" s="206"/>
      <c r="J1680" s="206"/>
    </row>
    <row r="1681" spans="1:10" s="5" customFormat="1" ht="29.25" hidden="1" customHeight="1" outlineLevel="1" x14ac:dyDescent="0.25">
      <c r="A1681" s="41">
        <v>9347</v>
      </c>
      <c r="B1681" s="6" t="s">
        <v>15</v>
      </c>
      <c r="C1681" s="55" t="s">
        <v>115</v>
      </c>
      <c r="D1681" s="6">
        <v>2021</v>
      </c>
      <c r="E1681" s="6"/>
      <c r="F1681" s="52">
        <v>80</v>
      </c>
      <c r="G1681" s="6">
        <v>30</v>
      </c>
      <c r="H1681" s="6">
        <v>217.15375</v>
      </c>
      <c r="I1681" s="206"/>
      <c r="J1681" s="206"/>
    </row>
    <row r="1682" spans="1:10" s="5" customFormat="1" ht="29.25" hidden="1" customHeight="1" outlineLevel="1" x14ac:dyDescent="0.25">
      <c r="A1682" s="41">
        <v>9077</v>
      </c>
      <c r="B1682" s="6" t="s">
        <v>15</v>
      </c>
      <c r="C1682" s="55" t="s">
        <v>116</v>
      </c>
      <c r="D1682" s="6">
        <v>2021</v>
      </c>
      <c r="E1682" s="6"/>
      <c r="F1682" s="52">
        <v>342</v>
      </c>
      <c r="G1682" s="6">
        <v>15</v>
      </c>
      <c r="H1682" s="6">
        <v>574.87371999999993</v>
      </c>
      <c r="I1682" s="206"/>
      <c r="J1682" s="206"/>
    </row>
    <row r="1683" spans="1:10" s="5" customFormat="1" ht="29.25" hidden="1" customHeight="1" outlineLevel="1" x14ac:dyDescent="0.25">
      <c r="A1683" s="41">
        <v>9450</v>
      </c>
      <c r="B1683" s="6" t="s">
        <v>15</v>
      </c>
      <c r="C1683" s="55" t="s">
        <v>117</v>
      </c>
      <c r="D1683" s="6">
        <v>2021</v>
      </c>
      <c r="E1683" s="6"/>
      <c r="F1683" s="52">
        <v>10</v>
      </c>
      <c r="G1683" s="6">
        <v>7</v>
      </c>
      <c r="H1683" s="6">
        <v>104</v>
      </c>
      <c r="I1683" s="206"/>
      <c r="J1683" s="206"/>
    </row>
    <row r="1684" spans="1:10" s="5" customFormat="1" ht="45" hidden="1" customHeight="1" outlineLevel="1" x14ac:dyDescent="0.25">
      <c r="A1684" s="42">
        <v>451</v>
      </c>
      <c r="B1684" s="6" t="s">
        <v>15</v>
      </c>
      <c r="C1684" s="55" t="s">
        <v>118</v>
      </c>
      <c r="D1684" s="6">
        <v>2021</v>
      </c>
      <c r="E1684" s="6"/>
      <c r="F1684" s="52">
        <v>100</v>
      </c>
      <c r="G1684" s="6">
        <v>14</v>
      </c>
      <c r="H1684" s="6">
        <v>238.93912</v>
      </c>
      <c r="I1684" s="206"/>
      <c r="J1684" s="206"/>
    </row>
    <row r="1685" spans="1:10" s="5" customFormat="1" ht="29.25" hidden="1" customHeight="1" outlineLevel="1" x14ac:dyDescent="0.25">
      <c r="A1685" s="41">
        <v>9349</v>
      </c>
      <c r="B1685" s="6" t="s">
        <v>15</v>
      </c>
      <c r="C1685" s="55" t="s">
        <v>119</v>
      </c>
      <c r="D1685" s="6">
        <v>2021</v>
      </c>
      <c r="E1685" s="6"/>
      <c r="F1685" s="52">
        <v>406</v>
      </c>
      <c r="G1685" s="6">
        <v>15</v>
      </c>
      <c r="H1685" s="6">
        <v>622.26958999999999</v>
      </c>
      <c r="I1685" s="206"/>
      <c r="J1685" s="206"/>
    </row>
    <row r="1686" spans="1:10" s="5" customFormat="1" ht="29.25" hidden="1" customHeight="1" outlineLevel="1" x14ac:dyDescent="0.25">
      <c r="A1686" s="41">
        <v>9531</v>
      </c>
      <c r="B1686" s="6" t="s">
        <v>15</v>
      </c>
      <c r="C1686" s="55" t="s">
        <v>120</v>
      </c>
      <c r="D1686" s="6">
        <v>2021</v>
      </c>
      <c r="E1686" s="6"/>
      <c r="F1686" s="52">
        <v>465</v>
      </c>
      <c r="G1686" s="6">
        <v>13</v>
      </c>
      <c r="H1686" s="6">
        <v>655.88535999999999</v>
      </c>
      <c r="I1686" s="206"/>
      <c r="J1686" s="206"/>
    </row>
    <row r="1687" spans="1:10" s="5" customFormat="1" ht="29.25" hidden="1" customHeight="1" outlineLevel="1" x14ac:dyDescent="0.25">
      <c r="A1687" s="41">
        <v>9641</v>
      </c>
      <c r="B1687" s="6" t="s">
        <v>15</v>
      </c>
      <c r="C1687" s="55" t="s">
        <v>121</v>
      </c>
      <c r="D1687" s="6">
        <v>2021</v>
      </c>
      <c r="E1687" s="6"/>
      <c r="F1687" s="52">
        <v>100</v>
      </c>
      <c r="G1687" s="6">
        <v>30</v>
      </c>
      <c r="H1687" s="6">
        <v>183.30607000000001</v>
      </c>
      <c r="I1687" s="206"/>
      <c r="J1687" s="206"/>
    </row>
    <row r="1688" spans="1:10" s="5" customFormat="1" ht="29.25" hidden="1" customHeight="1" outlineLevel="1" x14ac:dyDescent="0.25">
      <c r="A1688" s="42">
        <v>462</v>
      </c>
      <c r="B1688" s="6" t="s">
        <v>15</v>
      </c>
      <c r="C1688" s="55" t="s">
        <v>122</v>
      </c>
      <c r="D1688" s="6">
        <v>2021</v>
      </c>
      <c r="E1688" s="6"/>
      <c r="F1688" s="52">
        <v>12</v>
      </c>
      <c r="G1688" s="6">
        <v>10.5</v>
      </c>
      <c r="H1688" s="6">
        <v>122.646</v>
      </c>
      <c r="I1688" s="206"/>
      <c r="J1688" s="206"/>
    </row>
    <row r="1689" spans="1:10" s="5" customFormat="1" ht="29.25" hidden="1" customHeight="1" outlineLevel="1" x14ac:dyDescent="0.25">
      <c r="A1689" s="41">
        <v>9458</v>
      </c>
      <c r="B1689" s="6" t="s">
        <v>15</v>
      </c>
      <c r="C1689" s="55" t="s">
        <v>123</v>
      </c>
      <c r="D1689" s="6">
        <v>2021</v>
      </c>
      <c r="E1689" s="6"/>
      <c r="F1689" s="52">
        <v>130</v>
      </c>
      <c r="G1689" s="6">
        <v>15</v>
      </c>
      <c r="H1689" s="6">
        <v>225.54898</v>
      </c>
      <c r="I1689" s="206"/>
      <c r="J1689" s="206"/>
    </row>
    <row r="1690" spans="1:10" s="5" customFormat="1" ht="29.25" hidden="1" customHeight="1" outlineLevel="1" x14ac:dyDescent="0.25">
      <c r="A1690" s="41">
        <v>9389</v>
      </c>
      <c r="B1690" s="6" t="s">
        <v>15</v>
      </c>
      <c r="C1690" s="55" t="s">
        <v>124</v>
      </c>
      <c r="D1690" s="6">
        <v>2021</v>
      </c>
      <c r="E1690" s="6"/>
      <c r="F1690" s="52">
        <v>40</v>
      </c>
      <c r="G1690" s="6">
        <v>15</v>
      </c>
      <c r="H1690" s="6">
        <v>153.202</v>
      </c>
      <c r="I1690" s="206"/>
      <c r="J1690" s="206"/>
    </row>
    <row r="1691" spans="1:10" s="5" customFormat="1" ht="29.25" hidden="1" customHeight="1" outlineLevel="1" x14ac:dyDescent="0.25">
      <c r="A1691" s="41">
        <v>9387</v>
      </c>
      <c r="B1691" s="6" t="s">
        <v>15</v>
      </c>
      <c r="C1691" s="55" t="s">
        <v>125</v>
      </c>
      <c r="D1691" s="6">
        <v>2021</v>
      </c>
      <c r="E1691" s="6"/>
      <c r="F1691" s="52">
        <v>60</v>
      </c>
      <c r="G1691" s="6">
        <v>15</v>
      </c>
      <c r="H1691" s="6">
        <v>152.33464000000001</v>
      </c>
      <c r="I1691" s="206"/>
      <c r="J1691" s="206"/>
    </row>
    <row r="1692" spans="1:10" s="5" customFormat="1" ht="29.25" hidden="1" customHeight="1" outlineLevel="1" x14ac:dyDescent="0.25">
      <c r="A1692" s="41">
        <v>9382</v>
      </c>
      <c r="B1692" s="6" t="s">
        <v>15</v>
      </c>
      <c r="C1692" s="55" t="s">
        <v>126</v>
      </c>
      <c r="D1692" s="6">
        <v>2021</v>
      </c>
      <c r="E1692" s="6"/>
      <c r="F1692" s="52">
        <v>60</v>
      </c>
      <c r="G1692" s="6">
        <v>15</v>
      </c>
      <c r="H1692" s="6">
        <v>87.823800000000006</v>
      </c>
      <c r="I1692" s="206"/>
      <c r="J1692" s="206"/>
    </row>
    <row r="1693" spans="1:10" s="5" customFormat="1" ht="29.25" hidden="1" customHeight="1" outlineLevel="1" x14ac:dyDescent="0.25">
      <c r="A1693" s="41">
        <v>9377</v>
      </c>
      <c r="B1693" s="6" t="s">
        <v>15</v>
      </c>
      <c r="C1693" s="55" t="s">
        <v>127</v>
      </c>
      <c r="D1693" s="6">
        <v>2021</v>
      </c>
      <c r="E1693" s="6"/>
      <c r="F1693" s="52">
        <v>50</v>
      </c>
      <c r="G1693" s="6">
        <v>15</v>
      </c>
      <c r="H1693" s="6">
        <v>106.06389999999999</v>
      </c>
      <c r="I1693" s="206"/>
      <c r="J1693" s="206"/>
    </row>
    <row r="1694" spans="1:10" s="5" customFormat="1" ht="29.25" hidden="1" customHeight="1" outlineLevel="1" x14ac:dyDescent="0.25">
      <c r="A1694" s="41">
        <v>9385</v>
      </c>
      <c r="B1694" s="6" t="s">
        <v>15</v>
      </c>
      <c r="C1694" s="55" t="s">
        <v>128</v>
      </c>
      <c r="D1694" s="6">
        <v>2021</v>
      </c>
      <c r="E1694" s="6"/>
      <c r="F1694" s="52">
        <v>170</v>
      </c>
      <c r="G1694" s="6">
        <v>15</v>
      </c>
      <c r="H1694" s="6">
        <v>180.54583</v>
      </c>
      <c r="I1694" s="206"/>
      <c r="J1694" s="206"/>
    </row>
    <row r="1695" spans="1:10" s="5" customFormat="1" ht="29.25" hidden="1" customHeight="1" outlineLevel="1" x14ac:dyDescent="0.25">
      <c r="A1695" s="41">
        <v>9376</v>
      </c>
      <c r="B1695" s="6" t="s">
        <v>15</v>
      </c>
      <c r="C1695" s="55" t="s">
        <v>129</v>
      </c>
      <c r="D1695" s="6">
        <v>2021</v>
      </c>
      <c r="E1695" s="6"/>
      <c r="F1695" s="52">
        <v>75</v>
      </c>
      <c r="G1695" s="6">
        <v>15</v>
      </c>
      <c r="H1695" s="6">
        <v>138.06152</v>
      </c>
      <c r="I1695" s="206"/>
      <c r="J1695" s="206"/>
    </row>
    <row r="1696" spans="1:10" s="5" customFormat="1" ht="29.25" hidden="1" customHeight="1" outlineLevel="1" x14ac:dyDescent="0.25">
      <c r="A1696" s="41">
        <v>9351</v>
      </c>
      <c r="B1696" s="6" t="s">
        <v>15</v>
      </c>
      <c r="C1696" s="55" t="s">
        <v>130</v>
      </c>
      <c r="D1696" s="6">
        <v>2021</v>
      </c>
      <c r="E1696" s="6"/>
      <c r="F1696" s="52">
        <v>473</v>
      </c>
      <c r="G1696" s="6">
        <v>15</v>
      </c>
      <c r="H1696" s="6">
        <v>620.25209999999993</v>
      </c>
      <c r="I1696" s="206"/>
      <c r="J1696" s="206"/>
    </row>
    <row r="1697" spans="1:10" s="5" customFormat="1" ht="29.25" hidden="1" customHeight="1" outlineLevel="1" x14ac:dyDescent="0.25">
      <c r="A1697" s="41">
        <v>9388</v>
      </c>
      <c r="B1697" s="6" t="s">
        <v>15</v>
      </c>
      <c r="C1697" s="55" t="s">
        <v>131</v>
      </c>
      <c r="D1697" s="6">
        <v>2021</v>
      </c>
      <c r="E1697" s="6"/>
      <c r="F1697" s="52">
        <v>45</v>
      </c>
      <c r="G1697" s="6">
        <v>7</v>
      </c>
      <c r="H1697" s="6">
        <v>101</v>
      </c>
      <c r="I1697" s="206"/>
      <c r="J1697" s="206"/>
    </row>
    <row r="1698" spans="1:10" s="5" customFormat="1" ht="29.25" hidden="1" customHeight="1" outlineLevel="1" x14ac:dyDescent="0.25">
      <c r="A1698" s="42">
        <v>1325</v>
      </c>
      <c r="B1698" s="6" t="s">
        <v>15</v>
      </c>
      <c r="C1698" s="55" t="s">
        <v>132</v>
      </c>
      <c r="D1698" s="6">
        <v>2021</v>
      </c>
      <c r="E1698" s="6"/>
      <c r="F1698" s="52">
        <v>35</v>
      </c>
      <c r="G1698" s="6">
        <v>8.5</v>
      </c>
      <c r="H1698" s="6">
        <v>46</v>
      </c>
      <c r="I1698" s="206"/>
      <c r="J1698" s="206"/>
    </row>
    <row r="1699" spans="1:10" s="5" customFormat="1" ht="29.25" hidden="1" customHeight="1" outlineLevel="1" x14ac:dyDescent="0.25">
      <c r="A1699" s="41">
        <v>9452</v>
      </c>
      <c r="B1699" s="6" t="s">
        <v>15</v>
      </c>
      <c r="C1699" s="55" t="s">
        <v>133</v>
      </c>
      <c r="D1699" s="6">
        <v>2021</v>
      </c>
      <c r="E1699" s="6"/>
      <c r="F1699" s="52">
        <v>5</v>
      </c>
      <c r="G1699" s="6">
        <v>15</v>
      </c>
      <c r="H1699" s="6">
        <v>139</v>
      </c>
      <c r="I1699" s="206"/>
      <c r="J1699" s="206"/>
    </row>
    <row r="1700" spans="1:10" s="5" customFormat="1" ht="29.25" hidden="1" customHeight="1" outlineLevel="1" x14ac:dyDescent="0.25">
      <c r="A1700" s="42">
        <v>673</v>
      </c>
      <c r="B1700" s="6" t="s">
        <v>15</v>
      </c>
      <c r="C1700" s="55" t="s">
        <v>134</v>
      </c>
      <c r="D1700" s="6">
        <v>2021</v>
      </c>
      <c r="E1700" s="6"/>
      <c r="F1700" s="52">
        <v>10</v>
      </c>
      <c r="G1700" s="6">
        <v>30</v>
      </c>
      <c r="H1700" s="6">
        <v>133</v>
      </c>
      <c r="I1700" s="206"/>
      <c r="J1700" s="206"/>
    </row>
    <row r="1701" spans="1:10" s="5" customFormat="1" ht="29.25" hidden="1" customHeight="1" outlineLevel="1" x14ac:dyDescent="0.25">
      <c r="A1701" s="41">
        <v>9308</v>
      </c>
      <c r="B1701" s="6" t="s">
        <v>15</v>
      </c>
      <c r="C1701" s="55" t="s">
        <v>135</v>
      </c>
      <c r="D1701" s="6">
        <v>2021</v>
      </c>
      <c r="E1701" s="6"/>
      <c r="F1701" s="52">
        <v>371</v>
      </c>
      <c r="G1701" s="6">
        <v>75</v>
      </c>
      <c r="H1701" s="6">
        <v>571.55200000000002</v>
      </c>
      <c r="I1701" s="206"/>
      <c r="J1701" s="206"/>
    </row>
    <row r="1702" spans="1:10" s="5" customFormat="1" ht="29.25" hidden="1" customHeight="1" outlineLevel="1" x14ac:dyDescent="0.25">
      <c r="A1702" s="42">
        <v>338</v>
      </c>
      <c r="B1702" s="6" t="s">
        <v>15</v>
      </c>
      <c r="C1702" s="55" t="s">
        <v>136</v>
      </c>
      <c r="D1702" s="6">
        <v>2021</v>
      </c>
      <c r="E1702" s="6"/>
      <c r="F1702" s="52">
        <v>71</v>
      </c>
      <c r="G1702" s="6">
        <v>15</v>
      </c>
      <c r="H1702" s="6">
        <v>266.29899999999998</v>
      </c>
      <c r="I1702" s="206"/>
      <c r="J1702" s="206"/>
    </row>
    <row r="1703" spans="1:10" s="5" customFormat="1" ht="29.25" hidden="1" customHeight="1" outlineLevel="1" x14ac:dyDescent="0.25">
      <c r="A1703" s="42">
        <v>337</v>
      </c>
      <c r="B1703" s="6" t="s">
        <v>15</v>
      </c>
      <c r="C1703" s="35" t="s">
        <v>137</v>
      </c>
      <c r="D1703" s="6">
        <v>2021</v>
      </c>
      <c r="E1703" s="6"/>
      <c r="F1703" s="52">
        <v>56</v>
      </c>
      <c r="G1703" s="6">
        <v>15</v>
      </c>
      <c r="H1703" s="6">
        <v>266.13600000000002</v>
      </c>
      <c r="I1703" s="206"/>
      <c r="J1703" s="206"/>
    </row>
    <row r="1704" spans="1:10" s="5" customFormat="1" ht="29.25" hidden="1" customHeight="1" outlineLevel="1" x14ac:dyDescent="0.25">
      <c r="A1704" s="41">
        <v>9390</v>
      </c>
      <c r="B1704" s="6" t="s">
        <v>15</v>
      </c>
      <c r="C1704" s="55" t="s">
        <v>138</v>
      </c>
      <c r="D1704" s="6">
        <v>2021</v>
      </c>
      <c r="E1704" s="6"/>
      <c r="F1704" s="52">
        <v>139</v>
      </c>
      <c r="G1704" s="6">
        <v>20</v>
      </c>
      <c r="H1704" s="6">
        <v>327.18400000000003</v>
      </c>
      <c r="I1704" s="206"/>
      <c r="J1704" s="206"/>
    </row>
    <row r="1705" spans="1:10" s="5" customFormat="1" ht="29.25" hidden="1" customHeight="1" outlineLevel="1" x14ac:dyDescent="0.25">
      <c r="A1705" s="42">
        <v>433</v>
      </c>
      <c r="B1705" s="6" t="s">
        <v>15</v>
      </c>
      <c r="C1705" s="55" t="s">
        <v>139</v>
      </c>
      <c r="D1705" s="6">
        <v>2021</v>
      </c>
      <c r="E1705" s="6"/>
      <c r="F1705" s="52">
        <v>115</v>
      </c>
      <c r="G1705" s="6">
        <v>45</v>
      </c>
      <c r="H1705" s="6">
        <v>245.49700000000001</v>
      </c>
      <c r="I1705" s="206"/>
      <c r="J1705" s="206"/>
    </row>
    <row r="1706" spans="1:10" s="5" customFormat="1" ht="29.25" hidden="1" customHeight="1" outlineLevel="1" x14ac:dyDescent="0.25">
      <c r="A1706" s="42">
        <v>345</v>
      </c>
      <c r="B1706" s="6" t="s">
        <v>15</v>
      </c>
      <c r="C1706" s="55" t="s">
        <v>140</v>
      </c>
      <c r="D1706" s="6">
        <v>2021</v>
      </c>
      <c r="E1706" s="6"/>
      <c r="F1706" s="52">
        <v>118</v>
      </c>
      <c r="G1706" s="6">
        <v>15</v>
      </c>
      <c r="H1706" s="6">
        <v>254.904</v>
      </c>
      <c r="I1706" s="206"/>
      <c r="J1706" s="206"/>
    </row>
    <row r="1707" spans="1:10" s="5" customFormat="1" ht="29.25" hidden="1" customHeight="1" outlineLevel="1" x14ac:dyDescent="0.25">
      <c r="A1707" s="42">
        <v>349</v>
      </c>
      <c r="B1707" s="6" t="s">
        <v>15</v>
      </c>
      <c r="C1707" s="55" t="s">
        <v>141</v>
      </c>
      <c r="D1707" s="6">
        <v>2021</v>
      </c>
      <c r="E1707" s="6"/>
      <c r="F1707" s="52">
        <v>293</v>
      </c>
      <c r="G1707" s="6">
        <v>10</v>
      </c>
      <c r="H1707" s="6">
        <v>448.28</v>
      </c>
      <c r="I1707" s="206"/>
      <c r="J1707" s="206"/>
    </row>
    <row r="1708" spans="1:10" s="5" customFormat="1" ht="29.25" hidden="1" customHeight="1" outlineLevel="1" x14ac:dyDescent="0.25">
      <c r="A1708" s="42">
        <v>378</v>
      </c>
      <c r="B1708" s="6" t="s">
        <v>15</v>
      </c>
      <c r="C1708" s="55" t="s">
        <v>142</v>
      </c>
      <c r="D1708" s="6">
        <v>2021</v>
      </c>
      <c r="E1708" s="6"/>
      <c r="F1708" s="52">
        <v>214</v>
      </c>
      <c r="G1708" s="6">
        <v>30</v>
      </c>
      <c r="H1708" s="6">
        <v>379.76400000000001</v>
      </c>
      <c r="I1708" s="206"/>
      <c r="J1708" s="206"/>
    </row>
    <row r="1709" spans="1:10" s="5" customFormat="1" ht="29.25" hidden="1" customHeight="1" outlineLevel="1" x14ac:dyDescent="0.25">
      <c r="A1709" s="4">
        <v>343</v>
      </c>
      <c r="B1709" s="6" t="s">
        <v>15</v>
      </c>
      <c r="C1709" s="55" t="s">
        <v>2087</v>
      </c>
      <c r="D1709" s="6">
        <v>2021</v>
      </c>
      <c r="E1709" s="6"/>
      <c r="F1709" s="52">
        <v>255</v>
      </c>
      <c r="G1709" s="6">
        <v>10</v>
      </c>
      <c r="H1709" s="6">
        <v>264.80099999999999</v>
      </c>
      <c r="I1709" s="206"/>
      <c r="J1709" s="206"/>
    </row>
    <row r="1710" spans="1:10" s="5" customFormat="1" ht="29.25" hidden="1" customHeight="1" outlineLevel="1" x14ac:dyDescent="0.25">
      <c r="A1710" s="41">
        <v>9421</v>
      </c>
      <c r="B1710" s="6" t="s">
        <v>15</v>
      </c>
      <c r="C1710" s="55" t="s">
        <v>143</v>
      </c>
      <c r="D1710" s="6">
        <v>2021</v>
      </c>
      <c r="E1710" s="6"/>
      <c r="F1710" s="52">
        <v>7</v>
      </c>
      <c r="G1710" s="6">
        <v>15</v>
      </c>
      <c r="H1710" s="6">
        <v>89.671000000000006</v>
      </c>
      <c r="I1710" s="206"/>
      <c r="J1710" s="206"/>
    </row>
    <row r="1711" spans="1:10" s="5" customFormat="1" ht="29.25" hidden="1" customHeight="1" outlineLevel="1" x14ac:dyDescent="0.25">
      <c r="A1711" s="41">
        <v>9275</v>
      </c>
      <c r="B1711" s="6" t="s">
        <v>15</v>
      </c>
      <c r="C1711" s="55" t="s">
        <v>144</v>
      </c>
      <c r="D1711" s="6">
        <v>2021</v>
      </c>
      <c r="E1711" s="6"/>
      <c r="F1711" s="52">
        <v>283</v>
      </c>
      <c r="G1711" s="6">
        <v>15</v>
      </c>
      <c r="H1711" s="6">
        <v>472.178</v>
      </c>
      <c r="I1711" s="206"/>
      <c r="J1711" s="206"/>
    </row>
    <row r="1712" spans="1:10" s="5" customFormat="1" ht="29.25" hidden="1" customHeight="1" outlineLevel="1" x14ac:dyDescent="0.25">
      <c r="A1712" s="41">
        <v>9346</v>
      </c>
      <c r="B1712" s="6" t="s">
        <v>15</v>
      </c>
      <c r="C1712" s="55" t="s">
        <v>145</v>
      </c>
      <c r="D1712" s="6">
        <v>2021</v>
      </c>
      <c r="E1712" s="6"/>
      <c r="F1712" s="52">
        <v>181</v>
      </c>
      <c r="G1712" s="6">
        <v>80</v>
      </c>
      <c r="H1712" s="6">
        <v>186.94900000000001</v>
      </c>
      <c r="I1712" s="206"/>
      <c r="J1712" s="206"/>
    </row>
    <row r="1713" spans="1:10" s="5" customFormat="1" ht="29.25" hidden="1" customHeight="1" outlineLevel="1" x14ac:dyDescent="0.25">
      <c r="A1713" s="41">
        <v>9360</v>
      </c>
      <c r="B1713" s="6" t="s">
        <v>15</v>
      </c>
      <c r="C1713" s="55" t="s">
        <v>146</v>
      </c>
      <c r="D1713" s="6">
        <v>2021</v>
      </c>
      <c r="E1713" s="6"/>
      <c r="F1713" s="52">
        <v>16</v>
      </c>
      <c r="G1713" s="6">
        <v>15</v>
      </c>
      <c r="H1713" s="6">
        <v>32.438000000000002</v>
      </c>
      <c r="I1713" s="206"/>
      <c r="J1713" s="206"/>
    </row>
    <row r="1714" spans="1:10" s="5" customFormat="1" ht="29.25" hidden="1" customHeight="1" outlineLevel="1" x14ac:dyDescent="0.25">
      <c r="A1714" s="41">
        <v>9082</v>
      </c>
      <c r="B1714" s="6" t="s">
        <v>15</v>
      </c>
      <c r="C1714" s="55" t="s">
        <v>147</v>
      </c>
      <c r="D1714" s="6">
        <v>2021</v>
      </c>
      <c r="E1714" s="6"/>
      <c r="F1714" s="52">
        <v>96</v>
      </c>
      <c r="G1714" s="6">
        <v>42</v>
      </c>
      <c r="H1714" s="6">
        <v>227.803</v>
      </c>
      <c r="I1714" s="206"/>
      <c r="J1714" s="206"/>
    </row>
    <row r="1715" spans="1:10" s="5" customFormat="1" ht="29.25" hidden="1" customHeight="1" outlineLevel="1" x14ac:dyDescent="0.25">
      <c r="A1715" s="41">
        <v>9078</v>
      </c>
      <c r="B1715" s="6" t="s">
        <v>15</v>
      </c>
      <c r="C1715" s="55" t="s">
        <v>148</v>
      </c>
      <c r="D1715" s="6">
        <v>2021</v>
      </c>
      <c r="E1715" s="6"/>
      <c r="F1715" s="52">
        <v>99</v>
      </c>
      <c r="G1715" s="6">
        <v>15</v>
      </c>
      <c r="H1715" s="6">
        <v>157.273</v>
      </c>
      <c r="I1715" s="206"/>
      <c r="J1715" s="206"/>
    </row>
    <row r="1716" spans="1:10" s="5" customFormat="1" ht="29.25" hidden="1" customHeight="1" outlineLevel="1" x14ac:dyDescent="0.25">
      <c r="A1716" s="41">
        <v>9341</v>
      </c>
      <c r="B1716" s="6" t="s">
        <v>15</v>
      </c>
      <c r="C1716" s="55" t="s">
        <v>149</v>
      </c>
      <c r="D1716" s="6">
        <v>2021</v>
      </c>
      <c r="E1716" s="6"/>
      <c r="F1716" s="52">
        <v>173</v>
      </c>
      <c r="G1716" s="6">
        <v>15</v>
      </c>
      <c r="H1716" s="6">
        <v>318.53800000000001</v>
      </c>
      <c r="I1716" s="206"/>
      <c r="J1716" s="206"/>
    </row>
    <row r="1717" spans="1:10" s="5" customFormat="1" ht="29.25" hidden="1" customHeight="1" outlineLevel="1" x14ac:dyDescent="0.25">
      <c r="A1717" s="41">
        <v>9309</v>
      </c>
      <c r="B1717" s="6" t="s">
        <v>15</v>
      </c>
      <c r="C1717" s="55" t="s">
        <v>150</v>
      </c>
      <c r="D1717" s="6">
        <v>2021</v>
      </c>
      <c r="E1717" s="6"/>
      <c r="F1717" s="52">
        <v>166</v>
      </c>
      <c r="G1717" s="6">
        <v>15</v>
      </c>
      <c r="H1717" s="6">
        <v>308.24400000000003</v>
      </c>
      <c r="I1717" s="206"/>
      <c r="J1717" s="206"/>
    </row>
    <row r="1718" spans="1:10" s="5" customFormat="1" ht="29.25" hidden="1" customHeight="1" outlineLevel="1" x14ac:dyDescent="0.25">
      <c r="A1718" s="41">
        <v>9391</v>
      </c>
      <c r="B1718" s="6" t="s">
        <v>15</v>
      </c>
      <c r="C1718" s="55" t="s">
        <v>151</v>
      </c>
      <c r="D1718" s="6">
        <v>2021</v>
      </c>
      <c r="E1718" s="6"/>
      <c r="F1718" s="52">
        <v>193</v>
      </c>
      <c r="G1718" s="6">
        <v>15</v>
      </c>
      <c r="H1718" s="6">
        <v>316.42200000000003</v>
      </c>
      <c r="I1718" s="206"/>
      <c r="J1718" s="206"/>
    </row>
    <row r="1719" spans="1:10" s="5" customFormat="1" ht="29.25" hidden="1" customHeight="1" outlineLevel="1" x14ac:dyDescent="0.25">
      <c r="A1719" s="42">
        <v>444</v>
      </c>
      <c r="B1719" s="6" t="s">
        <v>15</v>
      </c>
      <c r="C1719" s="55" t="s">
        <v>152</v>
      </c>
      <c r="D1719" s="6">
        <v>2021</v>
      </c>
      <c r="E1719" s="6"/>
      <c r="F1719" s="52">
        <v>4</v>
      </c>
      <c r="G1719" s="6">
        <v>70</v>
      </c>
      <c r="H1719" s="6">
        <v>91.153000000000006</v>
      </c>
      <c r="I1719" s="206"/>
      <c r="J1719" s="206"/>
    </row>
    <row r="1720" spans="1:10" s="5" customFormat="1" ht="29.25" hidden="1" customHeight="1" outlineLevel="1" x14ac:dyDescent="0.25">
      <c r="A1720" s="41">
        <v>9074</v>
      </c>
      <c r="B1720" s="6" t="s">
        <v>15</v>
      </c>
      <c r="C1720" s="55" t="s">
        <v>153</v>
      </c>
      <c r="D1720" s="6">
        <v>2021</v>
      </c>
      <c r="E1720" s="6"/>
      <c r="F1720" s="52">
        <v>119</v>
      </c>
      <c r="G1720" s="6">
        <v>2.5299999999999998</v>
      </c>
      <c r="H1720" s="6">
        <v>159.958</v>
      </c>
      <c r="I1720" s="206"/>
      <c r="J1720" s="206"/>
    </row>
    <row r="1721" spans="1:10" s="5" customFormat="1" ht="29.25" hidden="1" customHeight="1" outlineLevel="1" x14ac:dyDescent="0.25">
      <c r="A1721" s="41">
        <v>9431</v>
      </c>
      <c r="B1721" s="6" t="s">
        <v>15</v>
      </c>
      <c r="C1721" s="35" t="s">
        <v>154</v>
      </c>
      <c r="D1721" s="6">
        <v>2021</v>
      </c>
      <c r="E1721" s="6"/>
      <c r="F1721" s="52">
        <v>64</v>
      </c>
      <c r="G1721" s="6">
        <v>15</v>
      </c>
      <c r="H1721" s="6">
        <v>120.861</v>
      </c>
      <c r="I1721" s="206"/>
      <c r="J1721" s="206"/>
    </row>
    <row r="1722" spans="1:10" s="5" customFormat="1" ht="29.25" hidden="1" customHeight="1" outlineLevel="1" x14ac:dyDescent="0.25">
      <c r="A1722" s="42">
        <v>365</v>
      </c>
      <c r="B1722" s="6" t="s">
        <v>15</v>
      </c>
      <c r="C1722" s="55" t="s">
        <v>155</v>
      </c>
      <c r="D1722" s="6">
        <v>2021</v>
      </c>
      <c r="E1722" s="6"/>
      <c r="F1722" s="52">
        <v>99</v>
      </c>
      <c r="G1722" s="6">
        <v>30</v>
      </c>
      <c r="H1722" s="6">
        <v>136.37200000000001</v>
      </c>
      <c r="I1722" s="206"/>
      <c r="J1722" s="206"/>
    </row>
    <row r="1723" spans="1:10" s="5" customFormat="1" ht="29.25" hidden="1" customHeight="1" outlineLevel="1" x14ac:dyDescent="0.25">
      <c r="A1723" s="42">
        <v>477</v>
      </c>
      <c r="B1723" s="6" t="s">
        <v>15</v>
      </c>
      <c r="C1723" s="55" t="s">
        <v>156</v>
      </c>
      <c r="D1723" s="6">
        <v>2021</v>
      </c>
      <c r="E1723" s="6"/>
      <c r="F1723" s="52">
        <v>51</v>
      </c>
      <c r="G1723" s="6">
        <v>15</v>
      </c>
      <c r="H1723" s="6">
        <v>80.477000000000004</v>
      </c>
      <c r="I1723" s="206"/>
      <c r="J1723" s="206"/>
    </row>
    <row r="1724" spans="1:10" s="5" customFormat="1" ht="29.25" hidden="1" customHeight="1" outlineLevel="1" x14ac:dyDescent="0.25">
      <c r="A1724" s="42">
        <v>494</v>
      </c>
      <c r="B1724" s="6" t="s">
        <v>15</v>
      </c>
      <c r="C1724" s="55" t="s">
        <v>157</v>
      </c>
      <c r="D1724" s="6">
        <v>2021</v>
      </c>
      <c r="E1724" s="6"/>
      <c r="F1724" s="52">
        <v>88</v>
      </c>
      <c r="G1724" s="6">
        <v>15</v>
      </c>
      <c r="H1724" s="6">
        <v>121.044</v>
      </c>
      <c r="I1724" s="206"/>
      <c r="J1724" s="206"/>
    </row>
    <row r="1725" spans="1:10" s="5" customFormat="1" ht="29.25" hidden="1" customHeight="1" outlineLevel="1" x14ac:dyDescent="0.25">
      <c r="A1725" s="42">
        <v>482</v>
      </c>
      <c r="B1725" s="6" t="s">
        <v>15</v>
      </c>
      <c r="C1725" s="55" t="s">
        <v>158</v>
      </c>
      <c r="D1725" s="6">
        <v>2021</v>
      </c>
      <c r="E1725" s="6"/>
      <c r="F1725" s="52">
        <v>11</v>
      </c>
      <c r="G1725" s="6">
        <v>15</v>
      </c>
      <c r="H1725" s="6">
        <v>60.375999999999998</v>
      </c>
      <c r="I1725" s="206"/>
      <c r="J1725" s="206"/>
    </row>
    <row r="1726" spans="1:10" s="5" customFormat="1" ht="29.25" hidden="1" customHeight="1" outlineLevel="1" x14ac:dyDescent="0.25">
      <c r="A1726" s="42">
        <v>492</v>
      </c>
      <c r="B1726" s="6" t="s">
        <v>15</v>
      </c>
      <c r="C1726" s="55" t="s">
        <v>159</v>
      </c>
      <c r="D1726" s="6">
        <v>2021</v>
      </c>
      <c r="E1726" s="6"/>
      <c r="F1726" s="52">
        <v>44</v>
      </c>
      <c r="G1726" s="6">
        <v>15</v>
      </c>
      <c r="H1726" s="6">
        <v>89.540999999999997</v>
      </c>
      <c r="I1726" s="206"/>
      <c r="J1726" s="206"/>
    </row>
    <row r="1727" spans="1:10" s="5" customFormat="1" ht="29.25" hidden="1" customHeight="1" outlineLevel="1" x14ac:dyDescent="0.25">
      <c r="A1727" s="42">
        <v>347</v>
      </c>
      <c r="B1727" s="6" t="s">
        <v>15</v>
      </c>
      <c r="C1727" s="55" t="s">
        <v>160</v>
      </c>
      <c r="D1727" s="6">
        <v>2021</v>
      </c>
      <c r="E1727" s="6"/>
      <c r="F1727" s="52">
        <v>183</v>
      </c>
      <c r="G1727" s="6">
        <v>15</v>
      </c>
      <c r="H1727" s="6">
        <v>104.50700000000001</v>
      </c>
      <c r="I1727" s="206"/>
      <c r="J1727" s="206"/>
    </row>
    <row r="1728" spans="1:10" s="5" customFormat="1" ht="29.25" hidden="1" customHeight="1" outlineLevel="1" x14ac:dyDescent="0.25">
      <c r="A1728" s="41">
        <v>9350</v>
      </c>
      <c r="B1728" s="6" t="s">
        <v>15</v>
      </c>
      <c r="C1728" s="55" t="s">
        <v>161</v>
      </c>
      <c r="D1728" s="6">
        <v>2021</v>
      </c>
      <c r="E1728" s="6"/>
      <c r="F1728" s="52">
        <v>182</v>
      </c>
      <c r="G1728" s="6">
        <v>15</v>
      </c>
      <c r="H1728" s="6">
        <v>191.91900000000001</v>
      </c>
      <c r="I1728" s="206"/>
      <c r="J1728" s="206"/>
    </row>
    <row r="1729" spans="1:10" s="5" customFormat="1" ht="29.25" hidden="1" customHeight="1" outlineLevel="1" x14ac:dyDescent="0.25">
      <c r="A1729" s="41">
        <v>9688</v>
      </c>
      <c r="B1729" s="6" t="s">
        <v>15</v>
      </c>
      <c r="C1729" s="55" t="s">
        <v>162</v>
      </c>
      <c r="D1729" s="6">
        <v>2021</v>
      </c>
      <c r="E1729" s="6"/>
      <c r="F1729" s="52">
        <v>356</v>
      </c>
      <c r="G1729" s="6">
        <v>10</v>
      </c>
      <c r="H1729" s="6">
        <v>294.04399999999998</v>
      </c>
      <c r="I1729" s="206"/>
      <c r="J1729" s="206"/>
    </row>
    <row r="1730" spans="1:10" s="5" customFormat="1" ht="29.25" hidden="1" customHeight="1" outlineLevel="1" x14ac:dyDescent="0.25">
      <c r="A1730" s="41">
        <v>9348</v>
      </c>
      <c r="B1730" s="6" t="s">
        <v>15</v>
      </c>
      <c r="C1730" s="55" t="s">
        <v>163</v>
      </c>
      <c r="D1730" s="6">
        <v>2021</v>
      </c>
      <c r="E1730" s="6"/>
      <c r="F1730" s="52">
        <v>139</v>
      </c>
      <c r="G1730" s="6">
        <v>15</v>
      </c>
      <c r="H1730" s="6">
        <v>277.93099999999998</v>
      </c>
      <c r="I1730" s="206"/>
      <c r="J1730" s="206"/>
    </row>
    <row r="1731" spans="1:10" s="5" customFormat="1" ht="29.25" hidden="1" customHeight="1" outlineLevel="1" x14ac:dyDescent="0.25">
      <c r="A1731" s="41">
        <v>9276</v>
      </c>
      <c r="B1731" s="6" t="s">
        <v>15</v>
      </c>
      <c r="C1731" s="55" t="s">
        <v>164</v>
      </c>
      <c r="D1731" s="6">
        <v>2021</v>
      </c>
      <c r="E1731" s="6"/>
      <c r="F1731" s="52">
        <v>112</v>
      </c>
      <c r="G1731" s="6">
        <v>15</v>
      </c>
      <c r="H1731" s="6">
        <v>143.858</v>
      </c>
      <c r="I1731" s="206"/>
      <c r="J1731" s="206"/>
    </row>
    <row r="1732" spans="1:10" s="5" customFormat="1" ht="29.25" hidden="1" customHeight="1" outlineLevel="1" x14ac:dyDescent="0.25">
      <c r="A1732" s="41">
        <v>9277</v>
      </c>
      <c r="B1732" s="6" t="s">
        <v>15</v>
      </c>
      <c r="C1732" s="55" t="s">
        <v>165</v>
      </c>
      <c r="D1732" s="6">
        <v>2021</v>
      </c>
      <c r="E1732" s="6"/>
      <c r="F1732" s="52">
        <v>90</v>
      </c>
      <c r="G1732" s="6">
        <v>15</v>
      </c>
      <c r="H1732" s="6">
        <v>234.233</v>
      </c>
      <c r="I1732" s="206"/>
      <c r="J1732" s="206"/>
    </row>
    <row r="1733" spans="1:10" s="5" customFormat="1" ht="29.25" hidden="1" customHeight="1" outlineLevel="1" x14ac:dyDescent="0.25">
      <c r="A1733" s="41">
        <v>9367</v>
      </c>
      <c r="B1733" s="6" t="s">
        <v>15</v>
      </c>
      <c r="C1733" s="55" t="s">
        <v>166</v>
      </c>
      <c r="D1733" s="6">
        <v>2021</v>
      </c>
      <c r="E1733" s="6"/>
      <c r="F1733" s="52">
        <v>19</v>
      </c>
      <c r="G1733" s="6">
        <v>15</v>
      </c>
      <c r="H1733" s="6">
        <v>125.212</v>
      </c>
      <c r="I1733" s="206"/>
      <c r="J1733" s="206"/>
    </row>
    <row r="1734" spans="1:10" s="5" customFormat="1" ht="29.25" hidden="1" customHeight="1" outlineLevel="1" x14ac:dyDescent="0.25">
      <c r="A1734" s="41">
        <v>9357</v>
      </c>
      <c r="B1734" s="6" t="s">
        <v>15</v>
      </c>
      <c r="C1734" s="55" t="s">
        <v>167</v>
      </c>
      <c r="D1734" s="6">
        <v>2021</v>
      </c>
      <c r="E1734" s="6"/>
      <c r="F1734" s="52">
        <v>560</v>
      </c>
      <c r="G1734" s="6">
        <v>20</v>
      </c>
      <c r="H1734" s="6">
        <v>778.39499999999998</v>
      </c>
      <c r="I1734" s="206"/>
      <c r="J1734" s="206"/>
    </row>
    <row r="1735" spans="1:10" s="5" customFormat="1" ht="29.25" hidden="1" customHeight="1" outlineLevel="1" x14ac:dyDescent="0.25">
      <c r="A1735" s="41">
        <v>9373</v>
      </c>
      <c r="B1735" s="6" t="s">
        <v>15</v>
      </c>
      <c r="C1735" s="55" t="s">
        <v>168</v>
      </c>
      <c r="D1735" s="6">
        <v>2021</v>
      </c>
      <c r="E1735" s="6"/>
      <c r="F1735" s="52">
        <v>5</v>
      </c>
      <c r="G1735" s="6">
        <v>25</v>
      </c>
      <c r="H1735" s="6">
        <v>149.042</v>
      </c>
      <c r="I1735" s="206"/>
      <c r="J1735" s="206"/>
    </row>
    <row r="1736" spans="1:10" s="5" customFormat="1" ht="29.25" hidden="1" customHeight="1" outlineLevel="1" x14ac:dyDescent="0.25">
      <c r="A1736" s="41">
        <v>9366</v>
      </c>
      <c r="B1736" s="6" t="s">
        <v>15</v>
      </c>
      <c r="C1736" s="55" t="s">
        <v>169</v>
      </c>
      <c r="D1736" s="6">
        <v>2021</v>
      </c>
      <c r="E1736" s="6"/>
      <c r="F1736" s="52">
        <v>287</v>
      </c>
      <c r="G1736" s="6">
        <v>10</v>
      </c>
      <c r="H1736" s="6">
        <v>423.55</v>
      </c>
      <c r="I1736" s="206"/>
      <c r="J1736" s="206"/>
    </row>
    <row r="1737" spans="1:10" s="5" customFormat="1" ht="29.25" hidden="1" customHeight="1" outlineLevel="1" x14ac:dyDescent="0.25">
      <c r="A1737" s="41">
        <v>9313</v>
      </c>
      <c r="B1737" s="6" t="s">
        <v>15</v>
      </c>
      <c r="C1737" s="55" t="s">
        <v>170</v>
      </c>
      <c r="D1737" s="6">
        <v>2021</v>
      </c>
      <c r="E1737" s="6"/>
      <c r="F1737" s="52">
        <v>376</v>
      </c>
      <c r="G1737" s="6">
        <v>15</v>
      </c>
      <c r="H1737" s="6">
        <v>526.32600000000002</v>
      </c>
      <c r="I1737" s="206"/>
      <c r="J1737" s="206"/>
    </row>
    <row r="1738" spans="1:10" s="5" customFormat="1" ht="29.25" hidden="1" customHeight="1" outlineLevel="1" x14ac:dyDescent="0.25">
      <c r="A1738" s="42">
        <v>3708</v>
      </c>
      <c r="B1738" s="6" t="s">
        <v>15</v>
      </c>
      <c r="C1738" s="55" t="s">
        <v>171</v>
      </c>
      <c r="D1738" s="6">
        <v>2021</v>
      </c>
      <c r="E1738" s="6"/>
      <c r="F1738" s="52">
        <v>444</v>
      </c>
      <c r="G1738" s="6">
        <v>15</v>
      </c>
      <c r="H1738" s="6">
        <v>521.96500000000003</v>
      </c>
      <c r="I1738" s="206"/>
      <c r="J1738" s="206"/>
    </row>
    <row r="1739" spans="1:10" s="5" customFormat="1" ht="29.25" hidden="1" customHeight="1" outlineLevel="1" x14ac:dyDescent="0.25">
      <c r="A1739" s="41">
        <v>9359</v>
      </c>
      <c r="B1739" s="6" t="s">
        <v>15</v>
      </c>
      <c r="C1739" s="55" t="s">
        <v>172</v>
      </c>
      <c r="D1739" s="6">
        <v>2021</v>
      </c>
      <c r="E1739" s="6"/>
      <c r="F1739" s="52">
        <v>114</v>
      </c>
      <c r="G1739" s="6">
        <v>60</v>
      </c>
      <c r="H1739" s="6">
        <v>285.185</v>
      </c>
      <c r="I1739" s="206"/>
      <c r="J1739" s="206"/>
    </row>
    <row r="1740" spans="1:10" s="5" customFormat="1" ht="29.25" hidden="1" customHeight="1" outlineLevel="1" x14ac:dyDescent="0.25">
      <c r="A1740" s="41">
        <v>9355</v>
      </c>
      <c r="B1740" s="6" t="s">
        <v>15</v>
      </c>
      <c r="C1740" s="55" t="s">
        <v>173</v>
      </c>
      <c r="D1740" s="6">
        <v>2021</v>
      </c>
      <c r="E1740" s="6"/>
      <c r="F1740" s="52">
        <v>5</v>
      </c>
      <c r="G1740" s="6">
        <v>50</v>
      </c>
      <c r="H1740" s="6">
        <v>157.61799999999999</v>
      </c>
      <c r="I1740" s="206"/>
      <c r="J1740" s="206"/>
    </row>
    <row r="1741" spans="1:10" s="5" customFormat="1" ht="29.25" hidden="1" customHeight="1" outlineLevel="1" x14ac:dyDescent="0.25">
      <c r="A1741" s="42">
        <v>428</v>
      </c>
      <c r="B1741" s="6" t="s">
        <v>15</v>
      </c>
      <c r="C1741" s="55" t="s">
        <v>174</v>
      </c>
      <c r="D1741" s="6">
        <v>2021</v>
      </c>
      <c r="E1741" s="6"/>
      <c r="F1741" s="52">
        <v>68</v>
      </c>
      <c r="G1741" s="6">
        <v>200</v>
      </c>
      <c r="H1741" s="6">
        <v>373.404</v>
      </c>
      <c r="I1741" s="206"/>
      <c r="J1741" s="206"/>
    </row>
    <row r="1742" spans="1:10" s="5" customFormat="1" ht="29.25" hidden="1" customHeight="1" outlineLevel="1" x14ac:dyDescent="0.25">
      <c r="A1742" s="42">
        <v>478</v>
      </c>
      <c r="B1742" s="6" t="s">
        <v>15</v>
      </c>
      <c r="C1742" s="55" t="s">
        <v>175</v>
      </c>
      <c r="D1742" s="6">
        <v>2021</v>
      </c>
      <c r="E1742" s="6"/>
      <c r="F1742" s="52">
        <v>43</v>
      </c>
      <c r="G1742" s="6">
        <v>30</v>
      </c>
      <c r="H1742" s="6">
        <v>84.234999999999999</v>
      </c>
      <c r="I1742" s="206"/>
      <c r="J1742" s="206"/>
    </row>
    <row r="1743" spans="1:10" s="5" customFormat="1" ht="29.25" hidden="1" customHeight="1" outlineLevel="1" x14ac:dyDescent="0.25">
      <c r="A1743" s="42">
        <v>565</v>
      </c>
      <c r="B1743" s="6" t="s">
        <v>15</v>
      </c>
      <c r="C1743" s="55" t="s">
        <v>176</v>
      </c>
      <c r="D1743" s="6">
        <v>2021</v>
      </c>
      <c r="E1743" s="6"/>
      <c r="F1743" s="52">
        <v>2</v>
      </c>
      <c r="G1743" s="6">
        <v>135</v>
      </c>
      <c r="H1743" s="6">
        <v>32.963999999999999</v>
      </c>
      <c r="I1743" s="206"/>
      <c r="J1743" s="206"/>
    </row>
    <row r="1744" spans="1:10" s="5" customFormat="1" ht="29.25" hidden="1" customHeight="1" outlineLevel="1" x14ac:dyDescent="0.25">
      <c r="A1744" s="42">
        <v>3709</v>
      </c>
      <c r="B1744" s="6" t="s">
        <v>15</v>
      </c>
      <c r="C1744" s="55" t="s">
        <v>177</v>
      </c>
      <c r="D1744" s="6">
        <v>2021</v>
      </c>
      <c r="E1744" s="6"/>
      <c r="F1744" s="52">
        <v>510</v>
      </c>
      <c r="G1744" s="6">
        <v>15</v>
      </c>
      <c r="H1744" s="6">
        <v>716.14</v>
      </c>
      <c r="I1744" s="206"/>
      <c r="J1744" s="206"/>
    </row>
    <row r="1745" spans="1:10" s="5" customFormat="1" ht="29.25" hidden="1" customHeight="1" outlineLevel="1" x14ac:dyDescent="0.25">
      <c r="A1745" s="42">
        <v>354</v>
      </c>
      <c r="B1745" s="6" t="s">
        <v>15</v>
      </c>
      <c r="C1745" s="55" t="s">
        <v>178</v>
      </c>
      <c r="D1745" s="6">
        <v>2021</v>
      </c>
      <c r="E1745" s="6"/>
      <c r="F1745" s="52">
        <v>120</v>
      </c>
      <c r="G1745" s="6">
        <v>15</v>
      </c>
      <c r="H1745" s="6">
        <v>173.40600000000001</v>
      </c>
      <c r="I1745" s="206"/>
      <c r="J1745" s="206"/>
    </row>
    <row r="1746" spans="1:10" s="5" customFormat="1" ht="29.25" hidden="1" customHeight="1" outlineLevel="1" x14ac:dyDescent="0.25">
      <c r="A1746" s="41">
        <v>9289</v>
      </c>
      <c r="B1746" s="6" t="s">
        <v>15</v>
      </c>
      <c r="C1746" s="55" t="s">
        <v>179</v>
      </c>
      <c r="D1746" s="6">
        <v>2021</v>
      </c>
      <c r="E1746" s="6"/>
      <c r="F1746" s="52">
        <v>136</v>
      </c>
      <c r="G1746" s="6">
        <v>10</v>
      </c>
      <c r="H1746" s="6">
        <v>220.941</v>
      </c>
      <c r="I1746" s="206"/>
      <c r="J1746" s="206"/>
    </row>
    <row r="1747" spans="1:10" s="5" customFormat="1" ht="29.25" hidden="1" customHeight="1" outlineLevel="1" x14ac:dyDescent="0.25">
      <c r="A1747" s="41">
        <v>9314</v>
      </c>
      <c r="B1747" s="6" t="s">
        <v>15</v>
      </c>
      <c r="C1747" s="55" t="s">
        <v>180</v>
      </c>
      <c r="D1747" s="6">
        <v>2021</v>
      </c>
      <c r="E1747" s="6"/>
      <c r="F1747" s="52">
        <v>243</v>
      </c>
      <c r="G1747" s="6">
        <v>15</v>
      </c>
      <c r="H1747" s="6">
        <v>341.58100000000002</v>
      </c>
      <c r="I1747" s="206"/>
      <c r="J1747" s="206"/>
    </row>
    <row r="1748" spans="1:10" s="5" customFormat="1" ht="29.25" hidden="1" customHeight="1" outlineLevel="1" x14ac:dyDescent="0.25">
      <c r="A1748" s="41">
        <v>9572</v>
      </c>
      <c r="B1748" s="6" t="s">
        <v>15</v>
      </c>
      <c r="C1748" s="55" t="s">
        <v>181</v>
      </c>
      <c r="D1748" s="6">
        <v>2021</v>
      </c>
      <c r="E1748" s="6"/>
      <c r="F1748" s="52">
        <v>8</v>
      </c>
      <c r="G1748" s="6">
        <v>60</v>
      </c>
      <c r="H1748" s="6">
        <v>158.624</v>
      </c>
      <c r="I1748" s="206"/>
      <c r="J1748" s="206"/>
    </row>
    <row r="1749" spans="1:10" s="5" customFormat="1" ht="29.25" hidden="1" customHeight="1" outlineLevel="1" x14ac:dyDescent="0.25">
      <c r="A1749" s="41">
        <v>9356</v>
      </c>
      <c r="B1749" s="6" t="s">
        <v>15</v>
      </c>
      <c r="C1749" s="55" t="s">
        <v>182</v>
      </c>
      <c r="D1749" s="6">
        <v>2021</v>
      </c>
      <c r="E1749" s="6"/>
      <c r="F1749" s="52">
        <v>66</v>
      </c>
      <c r="G1749" s="6">
        <v>75</v>
      </c>
      <c r="H1749" s="6">
        <v>165.352</v>
      </c>
      <c r="I1749" s="206"/>
      <c r="J1749" s="206"/>
    </row>
    <row r="1750" spans="1:10" s="5" customFormat="1" ht="29.25" hidden="1" customHeight="1" outlineLevel="1" x14ac:dyDescent="0.25">
      <c r="A1750" s="41">
        <v>9337</v>
      </c>
      <c r="B1750" s="6" t="s">
        <v>15</v>
      </c>
      <c r="C1750" s="55" t="s">
        <v>183</v>
      </c>
      <c r="D1750" s="6">
        <v>2021</v>
      </c>
      <c r="E1750" s="6"/>
      <c r="F1750" s="52">
        <v>163</v>
      </c>
      <c r="G1750" s="6">
        <v>30</v>
      </c>
      <c r="H1750" s="6">
        <v>376.274</v>
      </c>
      <c r="I1750" s="206"/>
      <c r="J1750" s="206"/>
    </row>
    <row r="1751" spans="1:10" s="5" customFormat="1" ht="29.25" hidden="1" customHeight="1" outlineLevel="1" x14ac:dyDescent="0.25">
      <c r="A1751" s="41">
        <v>9279</v>
      </c>
      <c r="B1751" s="6" t="s">
        <v>15</v>
      </c>
      <c r="C1751" s="55" t="s">
        <v>184</v>
      </c>
      <c r="D1751" s="6">
        <v>2021</v>
      </c>
      <c r="E1751" s="6"/>
      <c r="F1751" s="52">
        <v>231</v>
      </c>
      <c r="G1751" s="6">
        <v>15</v>
      </c>
      <c r="H1751" s="6">
        <v>387.02699999999999</v>
      </c>
      <c r="I1751" s="206"/>
      <c r="J1751" s="206"/>
    </row>
    <row r="1752" spans="1:10" s="5" customFormat="1" ht="29.25" hidden="1" customHeight="1" outlineLevel="1" x14ac:dyDescent="0.25">
      <c r="A1752" s="41">
        <v>9274</v>
      </c>
      <c r="B1752" s="6" t="s">
        <v>15</v>
      </c>
      <c r="C1752" s="55" t="s">
        <v>185</v>
      </c>
      <c r="D1752" s="6">
        <v>2021</v>
      </c>
      <c r="E1752" s="6"/>
      <c r="F1752" s="52">
        <v>219</v>
      </c>
      <c r="G1752" s="6">
        <v>15</v>
      </c>
      <c r="H1752" s="6">
        <v>350.54899999999998</v>
      </c>
      <c r="I1752" s="206"/>
      <c r="J1752" s="206"/>
    </row>
    <row r="1753" spans="1:10" s="5" customFormat="1" ht="29.25" hidden="1" customHeight="1" outlineLevel="1" x14ac:dyDescent="0.25">
      <c r="A1753" s="41">
        <v>9280</v>
      </c>
      <c r="B1753" s="6" t="s">
        <v>15</v>
      </c>
      <c r="C1753" s="55" t="s">
        <v>186</v>
      </c>
      <c r="D1753" s="6">
        <v>2021</v>
      </c>
      <c r="E1753" s="6"/>
      <c r="F1753" s="52">
        <v>209</v>
      </c>
      <c r="G1753" s="6">
        <v>30</v>
      </c>
      <c r="H1753" s="6">
        <v>366.56</v>
      </c>
      <c r="I1753" s="206"/>
      <c r="J1753" s="206"/>
    </row>
    <row r="1754" spans="1:10" s="5" customFormat="1" ht="29.25" hidden="1" customHeight="1" outlineLevel="1" x14ac:dyDescent="0.25">
      <c r="A1754" s="41">
        <v>9422</v>
      </c>
      <c r="B1754" s="6" t="s">
        <v>15</v>
      </c>
      <c r="C1754" s="55" t="s">
        <v>187</v>
      </c>
      <c r="D1754" s="6">
        <v>2021</v>
      </c>
      <c r="E1754" s="6"/>
      <c r="F1754" s="52">
        <v>251</v>
      </c>
      <c r="G1754" s="6">
        <v>75</v>
      </c>
      <c r="H1754" s="6">
        <v>406.38799999999998</v>
      </c>
      <c r="I1754" s="206"/>
      <c r="J1754" s="206"/>
    </row>
    <row r="1755" spans="1:10" s="5" customFormat="1" ht="29.25" hidden="1" customHeight="1" outlineLevel="1" x14ac:dyDescent="0.25">
      <c r="A1755" s="41">
        <v>9371</v>
      </c>
      <c r="B1755" s="6" t="s">
        <v>15</v>
      </c>
      <c r="C1755" s="55" t="s">
        <v>188</v>
      </c>
      <c r="D1755" s="6">
        <v>2021</v>
      </c>
      <c r="E1755" s="6"/>
      <c r="F1755" s="52">
        <v>5</v>
      </c>
      <c r="G1755" s="6">
        <v>30</v>
      </c>
      <c r="H1755" s="6">
        <v>106.77500000000001</v>
      </c>
      <c r="I1755" s="206"/>
      <c r="J1755" s="206"/>
    </row>
    <row r="1756" spans="1:10" s="5" customFormat="1" ht="29.25" hidden="1" customHeight="1" outlineLevel="1" x14ac:dyDescent="0.25">
      <c r="A1756" s="42">
        <v>369</v>
      </c>
      <c r="B1756" s="6" t="s">
        <v>15</v>
      </c>
      <c r="C1756" s="55" t="s">
        <v>189</v>
      </c>
      <c r="D1756" s="6">
        <v>2021</v>
      </c>
      <c r="E1756" s="6"/>
      <c r="F1756" s="52">
        <v>245</v>
      </c>
      <c r="G1756" s="6">
        <v>15</v>
      </c>
      <c r="H1756" s="6">
        <v>312.16000000000003</v>
      </c>
      <c r="I1756" s="206"/>
      <c r="J1756" s="206"/>
    </row>
    <row r="1757" spans="1:10" s="5" customFormat="1" ht="29.25" hidden="1" customHeight="1" outlineLevel="1" x14ac:dyDescent="0.25">
      <c r="A1757" s="41">
        <v>9437</v>
      </c>
      <c r="B1757" s="6" t="s">
        <v>15</v>
      </c>
      <c r="C1757" s="55" t="s">
        <v>190</v>
      </c>
      <c r="D1757" s="6">
        <v>2021</v>
      </c>
      <c r="E1757" s="6"/>
      <c r="F1757" s="52">
        <v>182</v>
      </c>
      <c r="G1757" s="6">
        <v>70</v>
      </c>
      <c r="H1757" s="6">
        <v>151.541</v>
      </c>
      <c r="I1757" s="206"/>
      <c r="J1757" s="206"/>
    </row>
    <row r="1758" spans="1:10" s="5" customFormat="1" ht="29.25" hidden="1" customHeight="1" outlineLevel="1" x14ac:dyDescent="0.25">
      <c r="A1758" s="42">
        <v>398</v>
      </c>
      <c r="B1758" s="6" t="s">
        <v>15</v>
      </c>
      <c r="C1758" s="55" t="s">
        <v>191</v>
      </c>
      <c r="D1758" s="6">
        <v>2021</v>
      </c>
      <c r="E1758" s="6"/>
      <c r="F1758" s="52">
        <v>144</v>
      </c>
      <c r="G1758" s="6">
        <v>15</v>
      </c>
      <c r="H1758" s="6">
        <v>121.041</v>
      </c>
      <c r="I1758" s="206"/>
      <c r="J1758" s="206"/>
    </row>
    <row r="1759" spans="1:10" s="5" customFormat="1" ht="29.25" hidden="1" customHeight="1" outlineLevel="1" x14ac:dyDescent="0.25">
      <c r="A1759" s="42">
        <v>404</v>
      </c>
      <c r="B1759" s="6" t="s">
        <v>15</v>
      </c>
      <c r="C1759" s="55" t="s">
        <v>192</v>
      </c>
      <c r="D1759" s="6">
        <v>2021</v>
      </c>
      <c r="E1759" s="6"/>
      <c r="F1759" s="52">
        <v>180</v>
      </c>
      <c r="G1759" s="6">
        <v>15</v>
      </c>
      <c r="H1759" s="6">
        <v>229.845</v>
      </c>
      <c r="I1759" s="206"/>
      <c r="J1759" s="206"/>
    </row>
    <row r="1760" spans="1:10" s="5" customFormat="1" ht="30" hidden="1" customHeight="1" outlineLevel="1" x14ac:dyDescent="0.25">
      <c r="A1760" s="174"/>
      <c r="B1760" s="157"/>
      <c r="C1760" s="158"/>
      <c r="D1760" s="157"/>
      <c r="E1760" s="157"/>
      <c r="F1760" s="159"/>
      <c r="G1760" s="159"/>
      <c r="H1760" s="159"/>
      <c r="I1760" s="213"/>
      <c r="J1760" s="213"/>
    </row>
    <row r="1761" spans="1:36" s="5" customFormat="1" ht="17.25" customHeight="1" collapsed="1" x14ac:dyDescent="0.25">
      <c r="A1761" s="4"/>
      <c r="B1761" s="321" t="s">
        <v>15</v>
      </c>
      <c r="C1761" s="329" t="s">
        <v>2090</v>
      </c>
      <c r="D1761" s="329"/>
      <c r="E1761" s="321" t="s">
        <v>13</v>
      </c>
      <c r="F1761" s="321"/>
      <c r="G1761" s="321"/>
      <c r="H1761" s="321"/>
      <c r="I1761" s="214"/>
      <c r="J1761" s="214"/>
    </row>
    <row r="1762" spans="1:36" s="5" customFormat="1" ht="17.25" customHeight="1" x14ac:dyDescent="0.25">
      <c r="A1762" s="4"/>
      <c r="B1762" s="322"/>
      <c r="C1762" s="350"/>
      <c r="D1762" s="350"/>
      <c r="E1762" s="322"/>
      <c r="F1762" s="322"/>
      <c r="G1762" s="322"/>
      <c r="H1762" s="322"/>
      <c r="I1762" s="215"/>
      <c r="J1762" s="215"/>
    </row>
    <row r="1763" spans="1:36" s="5" customFormat="1" ht="7.5" hidden="1" customHeight="1" x14ac:dyDescent="0.25">
      <c r="A1763" s="4"/>
      <c r="B1763" s="322"/>
      <c r="C1763" s="350"/>
      <c r="D1763" s="350"/>
      <c r="E1763" s="322" t="s">
        <v>13</v>
      </c>
      <c r="F1763" s="322"/>
      <c r="G1763" s="322"/>
      <c r="H1763" s="322"/>
      <c r="I1763" s="215"/>
      <c r="J1763" s="215"/>
    </row>
    <row r="1764" spans="1:36" s="5" customFormat="1" ht="17.25" customHeight="1" x14ac:dyDescent="0.25">
      <c r="A1764" s="4"/>
      <c r="B1764" s="323"/>
      <c r="C1764" s="351"/>
      <c r="D1764" s="351"/>
      <c r="E1764" s="323"/>
      <c r="F1764" s="323"/>
      <c r="G1764" s="323"/>
      <c r="H1764" s="323"/>
      <c r="I1764" s="215"/>
      <c r="J1764" s="215"/>
    </row>
    <row r="1765" spans="1:36" s="5" customFormat="1" ht="17.25" customHeight="1" x14ac:dyDescent="0.25">
      <c r="A1765" s="4"/>
      <c r="B1765" s="7" t="s">
        <v>15</v>
      </c>
      <c r="C1765" s="8" t="s">
        <v>57</v>
      </c>
      <c r="D1765" s="7">
        <v>2021</v>
      </c>
      <c r="E1765" s="7" t="s">
        <v>13</v>
      </c>
      <c r="F1765" s="7">
        <f>SUMIF($D$1768:$D$2127,$D$1765,$F$1768:$F$2127)</f>
        <v>10250</v>
      </c>
      <c r="G1765" s="10">
        <f>SUMIF($D$1768:$D$2127,$D$1765,$G$1768:$G$2127)</f>
        <v>4518.2</v>
      </c>
      <c r="H1765" s="10">
        <f>SUMIF($D$1768:$D$2127,$D$1765,$H$1768:$H$2127)</f>
        <v>19224.279999999988</v>
      </c>
    </row>
    <row r="1766" spans="1:36" s="26" customFormat="1" ht="17.25" customHeight="1" x14ac:dyDescent="0.25">
      <c r="A1766" s="4"/>
      <c r="B1766" s="7" t="s">
        <v>15</v>
      </c>
      <c r="C1766" s="8" t="s">
        <v>57</v>
      </c>
      <c r="D1766" s="7">
        <v>2022</v>
      </c>
      <c r="E1766" s="7" t="s">
        <v>13</v>
      </c>
      <c r="F1766" s="7">
        <f>SUMIF($D$1768:$D$2127,$D$1766,$F$1768:$F$2127)</f>
        <v>71460</v>
      </c>
      <c r="G1766" s="10">
        <f>SUMIF($D$1768:$D$2127,$D$1766,$G$1768:$G$2127)</f>
        <v>11919.980000000001</v>
      </c>
      <c r="H1766" s="10">
        <f>SUMIF($D$1768:$D$2127,$D$1766,$H$1768:$H$2127)</f>
        <v>133618.87857999999</v>
      </c>
      <c r="I1766" s="205"/>
      <c r="J1766" s="205"/>
      <c r="K1766" s="5"/>
      <c r="L1766" s="5"/>
      <c r="M1766" s="5"/>
      <c r="N1766" s="5"/>
      <c r="O1766" s="5"/>
      <c r="P1766" s="5"/>
      <c r="Q1766" s="5"/>
      <c r="R1766" s="5"/>
      <c r="S1766" s="5"/>
      <c r="T1766" s="5"/>
      <c r="U1766" s="5"/>
      <c r="V1766" s="5"/>
      <c r="W1766" s="5"/>
      <c r="X1766" s="5"/>
      <c r="Y1766" s="5"/>
      <c r="Z1766" s="5"/>
      <c r="AA1766" s="5"/>
      <c r="AB1766" s="5"/>
      <c r="AC1766" s="5"/>
      <c r="AD1766" s="5"/>
      <c r="AE1766" s="5"/>
      <c r="AF1766" s="5"/>
      <c r="AG1766" s="5"/>
      <c r="AH1766" s="5"/>
      <c r="AI1766" s="5"/>
      <c r="AJ1766" s="5"/>
    </row>
    <row r="1767" spans="1:36" s="26" customFormat="1" ht="15.75" x14ac:dyDescent="0.25">
      <c r="A1767" s="4"/>
      <c r="B1767" s="7" t="s">
        <v>15</v>
      </c>
      <c r="C1767" s="8" t="s">
        <v>2811</v>
      </c>
      <c r="D1767" s="7">
        <v>2023</v>
      </c>
      <c r="E1767" s="7" t="s">
        <v>13</v>
      </c>
      <c r="F1767" s="7">
        <f>SUMIF($D$1768:$D$2127,$D$1767,$F$1768:$F$2127)</f>
        <v>36044</v>
      </c>
      <c r="G1767" s="10">
        <f>SUMIF($D$1768:$D$2127,$D$1767,$G$1768:$G$2127)</f>
        <v>18712</v>
      </c>
      <c r="H1767" s="10">
        <f>SUMIF($D$1768:$D$2127,$D$1767,$H$1768:$H$2127)</f>
        <v>92914.579359999974</v>
      </c>
      <c r="I1767" s="205"/>
      <c r="J1767" s="205"/>
      <c r="K1767" s="5"/>
      <c r="L1767" s="5"/>
      <c r="M1767" s="5"/>
      <c r="N1767" s="5"/>
      <c r="O1767" s="5"/>
      <c r="P1767" s="5"/>
      <c r="Q1767" s="5"/>
      <c r="R1767" s="5"/>
      <c r="S1767" s="5"/>
      <c r="T1767" s="5"/>
      <c r="U1767" s="5"/>
      <c r="V1767" s="5"/>
      <c r="W1767" s="5"/>
      <c r="X1767" s="5"/>
      <c r="Y1767" s="5"/>
      <c r="Z1767" s="5"/>
      <c r="AA1767" s="5"/>
      <c r="AB1767" s="5"/>
      <c r="AC1767" s="5"/>
      <c r="AD1767" s="5"/>
      <c r="AE1767" s="5"/>
      <c r="AF1767" s="5"/>
      <c r="AG1767" s="5"/>
      <c r="AH1767" s="5"/>
      <c r="AI1767" s="5"/>
      <c r="AJ1767" s="5"/>
    </row>
    <row r="1768" spans="1:36" s="5" customFormat="1" ht="25.5" hidden="1" customHeight="1" outlineLevel="1" x14ac:dyDescent="0.25">
      <c r="A1768" s="4">
        <v>2926</v>
      </c>
      <c r="B1768" s="6" t="s">
        <v>15</v>
      </c>
      <c r="C1768" s="38" t="s">
        <v>2128</v>
      </c>
      <c r="D1768" s="6">
        <v>2022</v>
      </c>
      <c r="E1768" s="6" t="s">
        <v>13</v>
      </c>
      <c r="F1768" s="6">
        <v>3</v>
      </c>
      <c r="G1768" s="6">
        <v>15</v>
      </c>
      <c r="H1768" s="6">
        <v>79</v>
      </c>
      <c r="I1768" s="206"/>
      <c r="J1768" s="206"/>
    </row>
    <row r="1769" spans="1:36" s="5" customFormat="1" ht="25.5" hidden="1" customHeight="1" outlineLevel="1" x14ac:dyDescent="0.25">
      <c r="A1769" s="4">
        <v>2985</v>
      </c>
      <c r="B1769" s="6" t="s">
        <v>15</v>
      </c>
      <c r="C1769" s="38" t="s">
        <v>2812</v>
      </c>
      <c r="D1769" s="6">
        <v>2022</v>
      </c>
      <c r="E1769" s="6" t="s">
        <v>13</v>
      </c>
      <c r="F1769" s="6">
        <v>21</v>
      </c>
      <c r="G1769" s="6">
        <v>150</v>
      </c>
      <c r="H1769" s="6">
        <f>0.154137*(1000)</f>
        <v>154.137</v>
      </c>
      <c r="I1769" s="206"/>
      <c r="J1769" s="206"/>
    </row>
    <row r="1770" spans="1:36" s="5" customFormat="1" ht="25.5" hidden="1" customHeight="1" outlineLevel="1" x14ac:dyDescent="0.25">
      <c r="A1770" s="4">
        <v>2839</v>
      </c>
      <c r="B1770" s="6" t="s">
        <v>15</v>
      </c>
      <c r="C1770" s="38" t="s">
        <v>2813</v>
      </c>
      <c r="D1770" s="6">
        <v>2022</v>
      </c>
      <c r="E1770" s="6" t="s">
        <v>13</v>
      </c>
      <c r="F1770" s="6">
        <v>655</v>
      </c>
      <c r="G1770" s="6">
        <v>55</v>
      </c>
      <c r="H1770" s="6">
        <f>1.768936*(1000)</f>
        <v>1768.9360000000001</v>
      </c>
      <c r="I1770" s="206"/>
      <c r="J1770" s="206"/>
    </row>
    <row r="1771" spans="1:36" s="5" customFormat="1" ht="25.5" hidden="1" customHeight="1" outlineLevel="1" x14ac:dyDescent="0.25">
      <c r="A1771" s="4">
        <v>2927</v>
      </c>
      <c r="B1771" s="6" t="s">
        <v>15</v>
      </c>
      <c r="C1771" s="38" t="s">
        <v>2132</v>
      </c>
      <c r="D1771" s="6">
        <v>2022</v>
      </c>
      <c r="E1771" s="6" t="s">
        <v>13</v>
      </c>
      <c r="F1771" s="6">
        <v>220</v>
      </c>
      <c r="G1771" s="6">
        <v>10</v>
      </c>
      <c r="H1771" s="6">
        <f>0.435561*(1000)</f>
        <v>435.56099999999998</v>
      </c>
      <c r="I1771" s="206"/>
      <c r="J1771" s="206"/>
    </row>
    <row r="1772" spans="1:36" s="5" customFormat="1" ht="25.5" hidden="1" customHeight="1" outlineLevel="1" x14ac:dyDescent="0.25">
      <c r="A1772" s="4">
        <v>2710</v>
      </c>
      <c r="B1772" s="6" t="s">
        <v>15</v>
      </c>
      <c r="C1772" s="38" t="s">
        <v>2814</v>
      </c>
      <c r="D1772" s="6">
        <v>2022</v>
      </c>
      <c r="E1772" s="6" t="s">
        <v>13</v>
      </c>
      <c r="F1772" s="6">
        <v>10</v>
      </c>
      <c r="G1772" s="6">
        <v>208.3</v>
      </c>
      <c r="H1772" s="6">
        <f>0.061875*(1000)</f>
        <v>61.875</v>
      </c>
      <c r="I1772" s="206"/>
      <c r="J1772" s="206"/>
    </row>
    <row r="1773" spans="1:36" s="5" customFormat="1" ht="25.5" hidden="1" customHeight="1" outlineLevel="1" x14ac:dyDescent="0.25">
      <c r="A1773" s="4">
        <v>2713</v>
      </c>
      <c r="B1773" s="6" t="s">
        <v>15</v>
      </c>
      <c r="C1773" s="38" t="s">
        <v>2815</v>
      </c>
      <c r="D1773" s="6">
        <v>2022</v>
      </c>
      <c r="E1773" s="6" t="s">
        <v>13</v>
      </c>
      <c r="F1773" s="6">
        <v>750</v>
      </c>
      <c r="G1773" s="6">
        <v>177</v>
      </c>
      <c r="H1773" s="6">
        <f>1.762611*(1000)</f>
        <v>1762.6109999999999</v>
      </c>
      <c r="I1773" s="206"/>
      <c r="J1773" s="206"/>
    </row>
    <row r="1774" spans="1:36" s="5" customFormat="1" ht="25.5" hidden="1" customHeight="1" outlineLevel="1" x14ac:dyDescent="0.25">
      <c r="A1774" s="4">
        <v>2718</v>
      </c>
      <c r="B1774" s="6" t="s">
        <v>15</v>
      </c>
      <c r="C1774" s="38" t="s">
        <v>2133</v>
      </c>
      <c r="D1774" s="6">
        <v>2022</v>
      </c>
      <c r="E1774" s="6" t="s">
        <v>13</v>
      </c>
      <c r="F1774" s="6">
        <v>14</v>
      </c>
      <c r="G1774" s="6">
        <v>25</v>
      </c>
      <c r="H1774" s="6">
        <f>0.07864*(1000)</f>
        <v>78.64</v>
      </c>
      <c r="I1774" s="206"/>
      <c r="J1774" s="206"/>
    </row>
    <row r="1775" spans="1:36" s="5" customFormat="1" ht="25.5" hidden="1" customHeight="1" outlineLevel="1" x14ac:dyDescent="0.25">
      <c r="A1775" s="4">
        <v>2722</v>
      </c>
      <c r="B1775" s="6" t="s">
        <v>15</v>
      </c>
      <c r="C1775" s="38" t="s">
        <v>2816</v>
      </c>
      <c r="D1775" s="6">
        <v>2022</v>
      </c>
      <c r="E1775" s="6" t="s">
        <v>13</v>
      </c>
      <c r="F1775" s="6">
        <v>40</v>
      </c>
      <c r="G1775" s="6">
        <v>28</v>
      </c>
      <c r="H1775" s="6">
        <f>0.188313*(1000)</f>
        <v>188.31300000000002</v>
      </c>
      <c r="I1775" s="206"/>
      <c r="J1775" s="206"/>
    </row>
    <row r="1776" spans="1:36" s="5" customFormat="1" ht="25.5" hidden="1" customHeight="1" outlineLevel="1" x14ac:dyDescent="0.25">
      <c r="A1776" s="4">
        <v>2770</v>
      </c>
      <c r="B1776" s="6" t="s">
        <v>15</v>
      </c>
      <c r="C1776" s="38" t="s">
        <v>2139</v>
      </c>
      <c r="D1776" s="6">
        <v>2022</v>
      </c>
      <c r="E1776" s="6" t="s">
        <v>13</v>
      </c>
      <c r="F1776" s="6">
        <v>5</v>
      </c>
      <c r="G1776" s="6">
        <v>100</v>
      </c>
      <c r="H1776" s="6">
        <f>0.087834*(1000)</f>
        <v>87.833999999999989</v>
      </c>
      <c r="I1776" s="206"/>
      <c r="J1776" s="206"/>
    </row>
    <row r="1777" spans="1:10" s="5" customFormat="1" ht="25.5" hidden="1" customHeight="1" outlineLevel="1" x14ac:dyDescent="0.25">
      <c r="A1777" s="4">
        <v>2771</v>
      </c>
      <c r="B1777" s="6" t="s">
        <v>15</v>
      </c>
      <c r="C1777" s="38" t="s">
        <v>2140</v>
      </c>
      <c r="D1777" s="6">
        <v>2022</v>
      </c>
      <c r="E1777" s="6" t="s">
        <v>13</v>
      </c>
      <c r="F1777" s="6">
        <v>4</v>
      </c>
      <c r="G1777" s="6">
        <v>15</v>
      </c>
      <c r="H1777" s="6">
        <f>0.057818*(1000)</f>
        <v>57.817999999999998</v>
      </c>
      <c r="I1777" s="206"/>
      <c r="J1777" s="206"/>
    </row>
    <row r="1778" spans="1:10" s="5" customFormat="1" ht="25.5" hidden="1" customHeight="1" outlineLevel="1" x14ac:dyDescent="0.25">
      <c r="A1778" s="4">
        <v>2779</v>
      </c>
      <c r="B1778" s="6" t="s">
        <v>15</v>
      </c>
      <c r="C1778" s="38" t="s">
        <v>2144</v>
      </c>
      <c r="D1778" s="6">
        <v>2022</v>
      </c>
      <c r="E1778" s="6" t="s">
        <v>13</v>
      </c>
      <c r="F1778" s="6">
        <v>407</v>
      </c>
      <c r="G1778" s="6">
        <v>150</v>
      </c>
      <c r="H1778" s="6">
        <f>0.589715*(1000)</f>
        <v>589.71500000000003</v>
      </c>
      <c r="I1778" s="206"/>
      <c r="J1778" s="206"/>
    </row>
    <row r="1779" spans="1:10" s="5" customFormat="1" ht="25.5" hidden="1" customHeight="1" outlineLevel="1" x14ac:dyDescent="0.25">
      <c r="A1779" s="4">
        <v>2795</v>
      </c>
      <c r="B1779" s="6" t="s">
        <v>15</v>
      </c>
      <c r="C1779" s="38" t="s">
        <v>2148</v>
      </c>
      <c r="D1779" s="6">
        <v>2022</v>
      </c>
      <c r="E1779" s="6" t="s">
        <v>13</v>
      </c>
      <c r="F1779" s="6">
        <v>5</v>
      </c>
      <c r="G1779" s="6">
        <v>15</v>
      </c>
      <c r="H1779" s="6">
        <f>0.0493*(1000)</f>
        <v>49.3</v>
      </c>
      <c r="I1779" s="206"/>
      <c r="J1779" s="206"/>
    </row>
    <row r="1780" spans="1:10" s="5" customFormat="1" ht="25.5" hidden="1" customHeight="1" outlineLevel="1" x14ac:dyDescent="0.25">
      <c r="A1780" s="4">
        <v>2796</v>
      </c>
      <c r="B1780" s="6" t="s">
        <v>15</v>
      </c>
      <c r="C1780" s="38" t="s">
        <v>2149</v>
      </c>
      <c r="D1780" s="6">
        <v>2022</v>
      </c>
      <c r="E1780" s="6" t="s">
        <v>13</v>
      </c>
      <c r="F1780" s="6">
        <v>15</v>
      </c>
      <c r="G1780" s="6">
        <v>100</v>
      </c>
      <c r="H1780" s="6">
        <f>0.049551*(1000)</f>
        <v>49.550999999999995</v>
      </c>
      <c r="I1780" s="206"/>
      <c r="J1780" s="206"/>
    </row>
    <row r="1781" spans="1:10" s="5" customFormat="1" ht="25.5" hidden="1" customHeight="1" outlineLevel="1" x14ac:dyDescent="0.25">
      <c r="A1781" s="4">
        <v>2814</v>
      </c>
      <c r="B1781" s="6" t="s">
        <v>15</v>
      </c>
      <c r="C1781" s="38" t="s">
        <v>2154</v>
      </c>
      <c r="D1781" s="6">
        <v>2022</v>
      </c>
      <c r="E1781" s="6" t="s">
        <v>13</v>
      </c>
      <c r="F1781" s="6">
        <v>95</v>
      </c>
      <c r="G1781" s="6">
        <v>60</v>
      </c>
      <c r="H1781" s="6">
        <f>0.210298*(1000)</f>
        <v>210.298</v>
      </c>
      <c r="I1781" s="206"/>
      <c r="J1781" s="206"/>
    </row>
    <row r="1782" spans="1:10" s="5" customFormat="1" ht="25.5" hidden="1" customHeight="1" outlineLevel="1" x14ac:dyDescent="0.25">
      <c r="A1782" s="4">
        <v>2840</v>
      </c>
      <c r="B1782" s="6" t="s">
        <v>15</v>
      </c>
      <c r="C1782" s="38" t="s">
        <v>2817</v>
      </c>
      <c r="D1782" s="6">
        <v>2022</v>
      </c>
      <c r="E1782" s="6" t="s">
        <v>13</v>
      </c>
      <c r="F1782" s="6">
        <v>3</v>
      </c>
      <c r="G1782" s="6">
        <v>150</v>
      </c>
      <c r="H1782" s="6">
        <f>0.068396*(1000)</f>
        <v>68.396000000000001</v>
      </c>
      <c r="I1782" s="206"/>
      <c r="J1782" s="206"/>
    </row>
    <row r="1783" spans="1:10" s="5" customFormat="1" ht="25.5" hidden="1" customHeight="1" outlineLevel="1" x14ac:dyDescent="0.25">
      <c r="A1783" s="4">
        <v>2863</v>
      </c>
      <c r="B1783" s="6" t="s">
        <v>15</v>
      </c>
      <c r="C1783" s="38" t="s">
        <v>2158</v>
      </c>
      <c r="D1783" s="6">
        <v>2022</v>
      </c>
      <c r="E1783" s="6" t="s">
        <v>13</v>
      </c>
      <c r="F1783" s="6">
        <v>35</v>
      </c>
      <c r="G1783" s="6">
        <v>45</v>
      </c>
      <c r="H1783" s="6">
        <f>0.105702*(1000)</f>
        <v>105.702</v>
      </c>
      <c r="I1783" s="206"/>
      <c r="J1783" s="206"/>
    </row>
    <row r="1784" spans="1:10" s="5" customFormat="1" ht="25.5" hidden="1" customHeight="1" outlineLevel="1" x14ac:dyDescent="0.25">
      <c r="A1784" s="4">
        <v>2886</v>
      </c>
      <c r="B1784" s="6" t="s">
        <v>15</v>
      </c>
      <c r="C1784" s="38" t="s">
        <v>2818</v>
      </c>
      <c r="D1784" s="6">
        <v>2022</v>
      </c>
      <c r="E1784" s="6" t="s">
        <v>13</v>
      </c>
      <c r="F1784" s="6">
        <v>6</v>
      </c>
      <c r="G1784" s="6">
        <v>150</v>
      </c>
      <c r="H1784" s="6">
        <f>0.047076*(1000)</f>
        <v>47.076000000000001</v>
      </c>
      <c r="I1784" s="206"/>
      <c r="J1784" s="206"/>
    </row>
    <row r="1785" spans="1:10" s="5" customFormat="1" ht="25.5" hidden="1" customHeight="1" outlineLevel="1" x14ac:dyDescent="0.25">
      <c r="A1785" s="4">
        <v>2733</v>
      </c>
      <c r="B1785" s="6" t="s">
        <v>15</v>
      </c>
      <c r="C1785" s="38" t="s">
        <v>2819</v>
      </c>
      <c r="D1785" s="6">
        <v>2022</v>
      </c>
      <c r="E1785" s="6" t="s">
        <v>13</v>
      </c>
      <c r="F1785" s="6">
        <v>14</v>
      </c>
      <c r="G1785" s="6">
        <v>150</v>
      </c>
      <c r="H1785" s="6">
        <f>0.120967*(1000)</f>
        <v>120.967</v>
      </c>
      <c r="I1785" s="206"/>
      <c r="J1785" s="206"/>
    </row>
    <row r="1786" spans="1:10" s="5" customFormat="1" ht="25.5" hidden="1" customHeight="1" outlineLevel="1" x14ac:dyDescent="0.25">
      <c r="A1786" s="4">
        <v>2804</v>
      </c>
      <c r="B1786" s="6" t="s">
        <v>15</v>
      </c>
      <c r="C1786" s="38" t="s">
        <v>2820</v>
      </c>
      <c r="D1786" s="6">
        <v>2022</v>
      </c>
      <c r="E1786" s="6" t="s">
        <v>13</v>
      </c>
      <c r="F1786" s="6">
        <v>78</v>
      </c>
      <c r="G1786" s="6">
        <v>435</v>
      </c>
      <c r="H1786" s="6">
        <f>0.345481*(1000)</f>
        <v>345.48099999999999</v>
      </c>
      <c r="I1786" s="206"/>
      <c r="J1786" s="206"/>
    </row>
    <row r="1787" spans="1:10" s="5" customFormat="1" ht="25.5" hidden="1" customHeight="1" outlineLevel="1" x14ac:dyDescent="0.25">
      <c r="A1787" s="4">
        <v>2914</v>
      </c>
      <c r="B1787" s="6" t="s">
        <v>15</v>
      </c>
      <c r="C1787" s="38" t="s">
        <v>2172</v>
      </c>
      <c r="D1787" s="6">
        <v>2022</v>
      </c>
      <c r="E1787" s="6" t="s">
        <v>13</v>
      </c>
      <c r="F1787" s="6">
        <v>309</v>
      </c>
      <c r="G1787" s="6">
        <v>120</v>
      </c>
      <c r="H1787" s="6">
        <f>0.706491*(1000)</f>
        <v>706.49099999999999</v>
      </c>
      <c r="I1787" s="206"/>
      <c r="J1787" s="206"/>
    </row>
    <row r="1788" spans="1:10" s="5" customFormat="1" ht="25.5" hidden="1" customHeight="1" outlineLevel="1" x14ac:dyDescent="0.25">
      <c r="A1788" s="4">
        <v>2916</v>
      </c>
      <c r="B1788" s="6" t="s">
        <v>15</v>
      </c>
      <c r="C1788" s="38" t="s">
        <v>2173</v>
      </c>
      <c r="D1788" s="6">
        <v>2022</v>
      </c>
      <c r="E1788" s="6" t="s">
        <v>13</v>
      </c>
      <c r="F1788" s="6">
        <v>27</v>
      </c>
      <c r="G1788" s="6">
        <v>85</v>
      </c>
      <c r="H1788" s="6">
        <f>0.073582*(1000)</f>
        <v>73.581999999999994</v>
      </c>
      <c r="I1788" s="206"/>
      <c r="J1788" s="206"/>
    </row>
    <row r="1789" spans="1:10" s="5" customFormat="1" ht="25.5" hidden="1" customHeight="1" outlineLevel="1" x14ac:dyDescent="0.25">
      <c r="A1789" s="4">
        <v>2858</v>
      </c>
      <c r="B1789" s="6" t="s">
        <v>15</v>
      </c>
      <c r="C1789" s="38" t="s">
        <v>2174</v>
      </c>
      <c r="D1789" s="6">
        <v>2022</v>
      </c>
      <c r="E1789" s="6" t="s">
        <v>13</v>
      </c>
      <c r="F1789" s="6">
        <v>2</v>
      </c>
      <c r="G1789" s="6">
        <v>150</v>
      </c>
      <c r="H1789" s="6">
        <f>0.025932*(1000)</f>
        <v>25.931999999999999</v>
      </c>
      <c r="I1789" s="206"/>
      <c r="J1789" s="206"/>
    </row>
    <row r="1790" spans="1:10" s="5" customFormat="1" ht="25.5" hidden="1" customHeight="1" outlineLevel="1" x14ac:dyDescent="0.25">
      <c r="A1790" s="4">
        <v>2919</v>
      </c>
      <c r="B1790" s="6" t="s">
        <v>15</v>
      </c>
      <c r="C1790" s="38" t="s">
        <v>2821</v>
      </c>
      <c r="D1790" s="6">
        <v>2022</v>
      </c>
      <c r="E1790" s="6" t="s">
        <v>13</v>
      </c>
      <c r="F1790" s="6">
        <v>23</v>
      </c>
      <c r="G1790" s="6">
        <v>30</v>
      </c>
      <c r="H1790" s="6">
        <f>0.19801*(1000)</f>
        <v>198.01</v>
      </c>
      <c r="I1790" s="206"/>
      <c r="J1790" s="206"/>
    </row>
    <row r="1791" spans="1:10" s="5" customFormat="1" ht="25.5" hidden="1" customHeight="1" outlineLevel="1" x14ac:dyDescent="0.25">
      <c r="A1791" s="4">
        <v>2920</v>
      </c>
      <c r="B1791" s="6" t="s">
        <v>15</v>
      </c>
      <c r="C1791" s="38" t="s">
        <v>2822</v>
      </c>
      <c r="D1791" s="6">
        <v>2022</v>
      </c>
      <c r="E1791" s="6" t="s">
        <v>13</v>
      </c>
      <c r="F1791" s="6">
        <v>456</v>
      </c>
      <c r="G1791" s="6">
        <v>15</v>
      </c>
      <c r="H1791" s="6">
        <f>0.963047*(1000)</f>
        <v>963.04700000000003</v>
      </c>
      <c r="I1791" s="206"/>
      <c r="J1791" s="206"/>
    </row>
    <row r="1792" spans="1:10" s="5" customFormat="1" ht="25.5" hidden="1" customHeight="1" outlineLevel="1" x14ac:dyDescent="0.25">
      <c r="A1792" s="4">
        <v>2731</v>
      </c>
      <c r="B1792" s="6" t="s">
        <v>15</v>
      </c>
      <c r="C1792" s="38" t="s">
        <v>2823</v>
      </c>
      <c r="D1792" s="6">
        <v>2022</v>
      </c>
      <c r="E1792" s="6" t="s">
        <v>13</v>
      </c>
      <c r="F1792" s="6">
        <v>844</v>
      </c>
      <c r="G1792" s="6">
        <v>215</v>
      </c>
      <c r="H1792" s="6">
        <f>1.4839521*(1000)</f>
        <v>1483.9521</v>
      </c>
      <c r="I1792" s="206"/>
      <c r="J1792" s="206"/>
    </row>
    <row r="1793" spans="1:10" s="5" customFormat="1" ht="25.5" hidden="1" customHeight="1" outlineLevel="1" x14ac:dyDescent="0.25">
      <c r="A1793" s="4">
        <v>4112</v>
      </c>
      <c r="B1793" s="6" t="s">
        <v>15</v>
      </c>
      <c r="C1793" s="38" t="s">
        <v>2179</v>
      </c>
      <c r="D1793" s="6">
        <v>2022</v>
      </c>
      <c r="E1793" s="6" t="s">
        <v>13</v>
      </c>
      <c r="F1793" s="6">
        <v>3</v>
      </c>
      <c r="G1793" s="6">
        <v>45</v>
      </c>
      <c r="H1793" s="6">
        <f>0.117584*(1000)</f>
        <v>117.58399999999999</v>
      </c>
      <c r="I1793" s="206"/>
      <c r="J1793" s="206"/>
    </row>
    <row r="1794" spans="1:10" s="5" customFormat="1" ht="25.5" hidden="1" customHeight="1" outlineLevel="1" x14ac:dyDescent="0.25">
      <c r="A1794" s="4">
        <v>4113</v>
      </c>
      <c r="B1794" s="6" t="s">
        <v>15</v>
      </c>
      <c r="C1794" s="38" t="s">
        <v>2824</v>
      </c>
      <c r="D1794" s="6">
        <v>2022</v>
      </c>
      <c r="E1794" s="6" t="s">
        <v>13</v>
      </c>
      <c r="F1794" s="6">
        <v>1213</v>
      </c>
      <c r="G1794" s="6">
        <v>138</v>
      </c>
      <c r="H1794" s="6">
        <f>3.142281*(1000)</f>
        <v>3142.2809999999999</v>
      </c>
      <c r="I1794" s="206"/>
      <c r="J1794" s="206"/>
    </row>
    <row r="1795" spans="1:10" s="5" customFormat="1" ht="25.5" hidden="1" customHeight="1" outlineLevel="1" x14ac:dyDescent="0.25">
      <c r="A1795" s="4">
        <v>4114</v>
      </c>
      <c r="B1795" s="6" t="s">
        <v>15</v>
      </c>
      <c r="C1795" s="38" t="s">
        <v>2180</v>
      </c>
      <c r="D1795" s="6">
        <v>2022</v>
      </c>
      <c r="E1795" s="6" t="s">
        <v>13</v>
      </c>
      <c r="F1795" s="6">
        <v>2036</v>
      </c>
      <c r="G1795" s="6">
        <v>15</v>
      </c>
      <c r="H1795" s="6">
        <f>3.77360388*(1000)</f>
        <v>3773.6038800000001</v>
      </c>
      <c r="I1795" s="206"/>
      <c r="J1795" s="206"/>
    </row>
    <row r="1796" spans="1:10" s="5" customFormat="1" ht="25.5" hidden="1" customHeight="1" outlineLevel="1" x14ac:dyDescent="0.25">
      <c r="A1796" s="4">
        <v>2717</v>
      </c>
      <c r="B1796" s="6" t="s">
        <v>15</v>
      </c>
      <c r="C1796" s="38" t="s">
        <v>2181</v>
      </c>
      <c r="D1796" s="6">
        <v>2022</v>
      </c>
      <c r="E1796" s="6" t="s">
        <v>13</v>
      </c>
      <c r="F1796" s="6">
        <v>42</v>
      </c>
      <c r="G1796" s="6">
        <v>15</v>
      </c>
      <c r="H1796" s="6">
        <f>0.10614813*(1000)</f>
        <v>106.14812999999999</v>
      </c>
      <c r="I1796" s="206"/>
      <c r="J1796" s="206"/>
    </row>
    <row r="1797" spans="1:10" s="5" customFormat="1" ht="25.5" hidden="1" customHeight="1" outlineLevel="1" x14ac:dyDescent="0.25">
      <c r="A1797" s="4">
        <v>2780</v>
      </c>
      <c r="B1797" s="6" t="s">
        <v>15</v>
      </c>
      <c r="C1797" s="38" t="s">
        <v>2182</v>
      </c>
      <c r="D1797" s="6">
        <v>2022</v>
      </c>
      <c r="E1797" s="6" t="s">
        <v>13</v>
      </c>
      <c r="F1797" s="6">
        <v>5</v>
      </c>
      <c r="G1797" s="6">
        <v>15</v>
      </c>
      <c r="H1797" s="6">
        <f>0.08731996*(1000)</f>
        <v>87.319960000000009</v>
      </c>
      <c r="I1797" s="206"/>
      <c r="J1797" s="206"/>
    </row>
    <row r="1798" spans="1:10" s="5" customFormat="1" ht="25.5" hidden="1" customHeight="1" outlineLevel="1" x14ac:dyDescent="0.25">
      <c r="A1798" s="4">
        <v>2803</v>
      </c>
      <c r="B1798" s="6" t="s">
        <v>15</v>
      </c>
      <c r="C1798" s="38" t="s">
        <v>2825</v>
      </c>
      <c r="D1798" s="6">
        <v>2022</v>
      </c>
      <c r="E1798" s="6" t="s">
        <v>13</v>
      </c>
      <c r="F1798" s="6">
        <v>15</v>
      </c>
      <c r="G1798" s="6">
        <v>130</v>
      </c>
      <c r="H1798" s="6">
        <f>0.10555266*(1000)</f>
        <v>105.55266</v>
      </c>
      <c r="I1798" s="206"/>
      <c r="J1798" s="206"/>
    </row>
    <row r="1799" spans="1:10" s="5" customFormat="1" ht="25.5" hidden="1" customHeight="1" outlineLevel="1" x14ac:dyDescent="0.25">
      <c r="A1799" s="4">
        <v>2859</v>
      </c>
      <c r="B1799" s="6" t="s">
        <v>15</v>
      </c>
      <c r="C1799" s="38" t="s">
        <v>2185</v>
      </c>
      <c r="D1799" s="6">
        <v>2022</v>
      </c>
      <c r="E1799" s="6" t="s">
        <v>13</v>
      </c>
      <c r="F1799" s="6">
        <v>12</v>
      </c>
      <c r="G1799" s="6">
        <v>100</v>
      </c>
      <c r="H1799" s="6">
        <f>0.06139903*(1000)</f>
        <v>61.399030000000003</v>
      </c>
      <c r="I1799" s="206"/>
      <c r="J1799" s="206"/>
    </row>
    <row r="1800" spans="1:10" s="5" customFormat="1" ht="25.5" hidden="1" customHeight="1" outlineLevel="1" x14ac:dyDescent="0.25">
      <c r="A1800" s="4">
        <v>2862</v>
      </c>
      <c r="B1800" s="6" t="s">
        <v>15</v>
      </c>
      <c r="C1800" s="38" t="s">
        <v>2187</v>
      </c>
      <c r="D1800" s="6">
        <v>2022</v>
      </c>
      <c r="E1800" s="6" t="s">
        <v>13</v>
      </c>
      <c r="F1800" s="6">
        <v>23</v>
      </c>
      <c r="G1800" s="6">
        <v>50</v>
      </c>
      <c r="H1800" s="6">
        <f>0.07180048*(1000)</f>
        <v>71.800479999999993</v>
      </c>
      <c r="I1800" s="206"/>
      <c r="J1800" s="206"/>
    </row>
    <row r="1801" spans="1:10" s="5" customFormat="1" ht="25.5" hidden="1" customHeight="1" outlineLevel="1" x14ac:dyDescent="0.25">
      <c r="A1801" s="4">
        <v>2867</v>
      </c>
      <c r="B1801" s="6" t="s">
        <v>15</v>
      </c>
      <c r="C1801" s="38" t="s">
        <v>2188</v>
      </c>
      <c r="D1801" s="6">
        <v>2022</v>
      </c>
      <c r="E1801" s="6" t="s">
        <v>13</v>
      </c>
      <c r="F1801" s="6">
        <v>31</v>
      </c>
      <c r="G1801" s="6">
        <v>100</v>
      </c>
      <c r="H1801" s="6">
        <f>0.11927671*(1000)</f>
        <v>119.27670999999999</v>
      </c>
      <c r="I1801" s="206"/>
      <c r="J1801" s="206"/>
    </row>
    <row r="1802" spans="1:10" s="5" customFormat="1" ht="25.5" hidden="1" customHeight="1" outlineLevel="1" x14ac:dyDescent="0.25">
      <c r="A1802" s="4">
        <v>2915</v>
      </c>
      <c r="B1802" s="6" t="s">
        <v>15</v>
      </c>
      <c r="C1802" s="38" t="s">
        <v>2190</v>
      </c>
      <c r="D1802" s="6">
        <v>2022</v>
      </c>
      <c r="E1802" s="6" t="s">
        <v>13</v>
      </c>
      <c r="F1802" s="6">
        <v>4</v>
      </c>
      <c r="G1802" s="6">
        <v>80</v>
      </c>
      <c r="H1802" s="6">
        <f>0.06795173*(1000)</f>
        <v>67.951729999999998</v>
      </c>
      <c r="I1802" s="206"/>
      <c r="J1802" s="206"/>
    </row>
    <row r="1803" spans="1:10" s="5" customFormat="1" ht="25.5" hidden="1" customHeight="1" outlineLevel="1" x14ac:dyDescent="0.25">
      <c r="A1803" s="4">
        <v>4124</v>
      </c>
      <c r="B1803" s="6" t="s">
        <v>15</v>
      </c>
      <c r="C1803" s="38" t="s">
        <v>2197</v>
      </c>
      <c r="D1803" s="6">
        <v>2022</v>
      </c>
      <c r="E1803" s="6" t="s">
        <v>13</v>
      </c>
      <c r="F1803" s="6">
        <v>1710</v>
      </c>
      <c r="G1803" s="6">
        <v>108.67</v>
      </c>
      <c r="H1803" s="6">
        <f>2.37412129*(1000)</f>
        <v>2374.12129</v>
      </c>
      <c r="I1803" s="206"/>
      <c r="J1803" s="206"/>
    </row>
    <row r="1804" spans="1:10" s="5" customFormat="1" ht="25.5" hidden="1" customHeight="1" outlineLevel="1" x14ac:dyDescent="0.25">
      <c r="A1804" s="4">
        <v>4126</v>
      </c>
      <c r="B1804" s="6" t="s">
        <v>15</v>
      </c>
      <c r="C1804" s="38" t="s">
        <v>2198</v>
      </c>
      <c r="D1804" s="6">
        <v>2022</v>
      </c>
      <c r="E1804" s="6" t="s">
        <v>13</v>
      </c>
      <c r="F1804" s="6">
        <v>180</v>
      </c>
      <c r="G1804" s="6">
        <v>80</v>
      </c>
      <c r="H1804" s="6">
        <f>0.545065*(1000)</f>
        <v>545.06500000000005</v>
      </c>
      <c r="I1804" s="206"/>
      <c r="J1804" s="206"/>
    </row>
    <row r="1805" spans="1:10" s="5" customFormat="1" ht="25.5" hidden="1" customHeight="1" outlineLevel="1" x14ac:dyDescent="0.25">
      <c r="A1805" s="4">
        <v>2728</v>
      </c>
      <c r="B1805" s="6" t="s">
        <v>15</v>
      </c>
      <c r="C1805" s="38" t="s">
        <v>2826</v>
      </c>
      <c r="D1805" s="6">
        <v>2022</v>
      </c>
      <c r="E1805" s="6" t="s">
        <v>13</v>
      </c>
      <c r="F1805" s="6">
        <v>426</v>
      </c>
      <c r="G1805" s="6">
        <v>80</v>
      </c>
      <c r="H1805" s="6">
        <f>0.12919619*(1000)</f>
        <v>129.19619</v>
      </c>
      <c r="I1805" s="206"/>
      <c r="J1805" s="206"/>
    </row>
    <row r="1806" spans="1:10" s="5" customFormat="1" ht="25.5" hidden="1" customHeight="1" outlineLevel="1" x14ac:dyDescent="0.25">
      <c r="A1806" s="4">
        <v>4223</v>
      </c>
      <c r="B1806" s="6" t="s">
        <v>15</v>
      </c>
      <c r="C1806" s="38" t="s">
        <v>2236</v>
      </c>
      <c r="D1806" s="6">
        <v>2022</v>
      </c>
      <c r="E1806" s="6" t="s">
        <v>13</v>
      </c>
      <c r="F1806" s="6">
        <v>4</v>
      </c>
      <c r="G1806" s="6">
        <v>90</v>
      </c>
      <c r="H1806" s="6">
        <f>0.15548567*(1000)</f>
        <v>155.48567</v>
      </c>
      <c r="I1806" s="206"/>
      <c r="J1806" s="206"/>
    </row>
    <row r="1807" spans="1:10" s="5" customFormat="1" ht="25.5" hidden="1" customHeight="1" outlineLevel="1" x14ac:dyDescent="0.25">
      <c r="A1807" s="4">
        <v>4228</v>
      </c>
      <c r="B1807" s="6" t="s">
        <v>15</v>
      </c>
      <c r="C1807" s="38" t="s">
        <v>2827</v>
      </c>
      <c r="D1807" s="6">
        <v>2022</v>
      </c>
      <c r="E1807" s="6" t="s">
        <v>13</v>
      </c>
      <c r="F1807" s="6">
        <v>43</v>
      </c>
      <c r="G1807" s="6">
        <v>175</v>
      </c>
      <c r="H1807" s="6">
        <f>0.64643469*(1000)</f>
        <v>646.43468999999993</v>
      </c>
      <c r="I1807" s="206"/>
      <c r="J1807" s="206"/>
    </row>
    <row r="1808" spans="1:10" s="5" customFormat="1" ht="25.5" hidden="1" customHeight="1" outlineLevel="1" x14ac:dyDescent="0.25">
      <c r="A1808" s="4">
        <v>2712</v>
      </c>
      <c r="B1808" s="6" t="s">
        <v>15</v>
      </c>
      <c r="C1808" s="38" t="s">
        <v>2828</v>
      </c>
      <c r="D1808" s="6">
        <v>2022</v>
      </c>
      <c r="E1808" s="6" t="s">
        <v>13</v>
      </c>
      <c r="F1808" s="6">
        <v>3</v>
      </c>
      <c r="G1808" s="6">
        <v>300</v>
      </c>
      <c r="H1808" s="6">
        <f>0.087634*(1000)</f>
        <v>87.634</v>
      </c>
      <c r="I1808" s="206"/>
      <c r="J1808" s="206"/>
    </row>
    <row r="1809" spans="1:10" s="5" customFormat="1" ht="25.5" hidden="1" customHeight="1" outlineLevel="1" x14ac:dyDescent="0.25">
      <c r="A1809" s="4">
        <v>2887</v>
      </c>
      <c r="B1809" s="6" t="s">
        <v>15</v>
      </c>
      <c r="C1809" s="38" t="s">
        <v>2243</v>
      </c>
      <c r="D1809" s="6">
        <v>2022</v>
      </c>
      <c r="E1809" s="6" t="s">
        <v>13</v>
      </c>
      <c r="F1809" s="6">
        <v>5</v>
      </c>
      <c r="G1809" s="6">
        <v>100</v>
      </c>
      <c r="H1809" s="6">
        <f>0.06175*(1000)</f>
        <v>61.75</v>
      </c>
      <c r="I1809" s="206"/>
      <c r="J1809" s="206"/>
    </row>
    <row r="1810" spans="1:10" s="5" customFormat="1" ht="25.5" hidden="1" customHeight="1" outlineLevel="1" x14ac:dyDescent="0.25">
      <c r="A1810" s="4">
        <v>3003</v>
      </c>
      <c r="B1810" s="6" t="s">
        <v>15</v>
      </c>
      <c r="C1810" s="38" t="s">
        <v>2829</v>
      </c>
      <c r="D1810" s="6">
        <v>2022</v>
      </c>
      <c r="E1810" s="6" t="s">
        <v>13</v>
      </c>
      <c r="F1810" s="6">
        <v>405</v>
      </c>
      <c r="G1810" s="6">
        <v>185</v>
      </c>
      <c r="H1810" s="6">
        <f>1.251919*(1000)</f>
        <v>1251.9190000000001</v>
      </c>
      <c r="I1810" s="206"/>
      <c r="J1810" s="206"/>
    </row>
    <row r="1811" spans="1:10" s="5" customFormat="1" ht="25.5" hidden="1" customHeight="1" outlineLevel="1" x14ac:dyDescent="0.25">
      <c r="A1811" s="4">
        <v>2711</v>
      </c>
      <c r="B1811" s="6" t="s">
        <v>15</v>
      </c>
      <c r="C1811" s="38" t="s">
        <v>2830</v>
      </c>
      <c r="D1811" s="6">
        <v>2022</v>
      </c>
      <c r="E1811" s="6" t="s">
        <v>13</v>
      </c>
      <c r="F1811" s="6">
        <v>2243</v>
      </c>
      <c r="G1811" s="6">
        <v>194.71</v>
      </c>
      <c r="H1811" s="6">
        <f>8.01486997*(1000)</f>
        <v>8014.8699699999997</v>
      </c>
      <c r="I1811" s="206"/>
      <c r="J1811" s="206"/>
    </row>
    <row r="1812" spans="1:10" s="5" customFormat="1" ht="25.5" hidden="1" customHeight="1" outlineLevel="1" x14ac:dyDescent="0.25">
      <c r="A1812" s="4">
        <v>1433</v>
      </c>
      <c r="B1812" s="6" t="s">
        <v>15</v>
      </c>
      <c r="C1812" s="38" t="s">
        <v>2831</v>
      </c>
      <c r="D1812" s="6">
        <v>2022</v>
      </c>
      <c r="E1812" s="6" t="s">
        <v>13</v>
      </c>
      <c r="F1812" s="6">
        <v>8</v>
      </c>
      <c r="G1812" s="6">
        <v>180</v>
      </c>
      <c r="H1812" s="6">
        <v>116.52524</v>
      </c>
      <c r="I1812" s="206"/>
      <c r="J1812" s="206"/>
    </row>
    <row r="1813" spans="1:10" s="5" customFormat="1" ht="25.5" hidden="1" customHeight="1" outlineLevel="1" x14ac:dyDescent="0.25">
      <c r="A1813" s="4">
        <v>1079</v>
      </c>
      <c r="B1813" s="6" t="s">
        <v>15</v>
      </c>
      <c r="C1813" s="38" t="s">
        <v>2250</v>
      </c>
      <c r="D1813" s="6">
        <v>2022</v>
      </c>
      <c r="E1813" s="6" t="s">
        <v>13</v>
      </c>
      <c r="F1813" s="6">
        <v>17</v>
      </c>
      <c r="G1813" s="6">
        <v>35</v>
      </c>
      <c r="H1813" s="6">
        <v>158.17561000000001</v>
      </c>
      <c r="I1813" s="206"/>
      <c r="J1813" s="206"/>
    </row>
    <row r="1814" spans="1:10" s="5" customFormat="1" ht="25.5" hidden="1" customHeight="1" outlineLevel="1" x14ac:dyDescent="0.25">
      <c r="A1814" s="4">
        <v>1487</v>
      </c>
      <c r="B1814" s="6" t="s">
        <v>15</v>
      </c>
      <c r="C1814" s="38" t="s">
        <v>2832</v>
      </c>
      <c r="D1814" s="6">
        <v>2022</v>
      </c>
      <c r="E1814" s="6" t="s">
        <v>13</v>
      </c>
      <c r="F1814" s="6">
        <v>2291</v>
      </c>
      <c r="G1814" s="6">
        <v>150</v>
      </c>
      <c r="H1814" s="6">
        <v>3524.8365800000001</v>
      </c>
      <c r="I1814" s="206"/>
      <c r="J1814" s="206"/>
    </row>
    <row r="1815" spans="1:10" s="5" customFormat="1" ht="25.5" hidden="1" customHeight="1" outlineLevel="1" x14ac:dyDescent="0.25">
      <c r="A1815" s="4">
        <v>1547</v>
      </c>
      <c r="B1815" s="6" t="s">
        <v>15</v>
      </c>
      <c r="C1815" s="38" t="s">
        <v>2253</v>
      </c>
      <c r="D1815" s="6">
        <v>2022</v>
      </c>
      <c r="E1815" s="6" t="s">
        <v>13</v>
      </c>
      <c r="F1815" s="6">
        <v>224</v>
      </c>
      <c r="G1815" s="6">
        <v>52</v>
      </c>
      <c r="H1815" s="6">
        <v>469.59073000000001</v>
      </c>
      <c r="I1815" s="206"/>
      <c r="J1815" s="206"/>
    </row>
    <row r="1816" spans="1:10" s="5" customFormat="1" ht="25.5" hidden="1" customHeight="1" outlineLevel="1" x14ac:dyDescent="0.25">
      <c r="A1816" s="4">
        <v>1206</v>
      </c>
      <c r="B1816" s="6" t="s">
        <v>15</v>
      </c>
      <c r="C1816" s="38" t="s">
        <v>2833</v>
      </c>
      <c r="D1816" s="6">
        <v>2022</v>
      </c>
      <c r="E1816" s="6" t="s">
        <v>13</v>
      </c>
      <c r="F1816" s="6">
        <v>93</v>
      </c>
      <c r="G1816" s="6">
        <v>150</v>
      </c>
      <c r="H1816" s="6">
        <v>246.15306000000001</v>
      </c>
      <c r="I1816" s="206"/>
      <c r="J1816" s="206"/>
    </row>
    <row r="1817" spans="1:10" s="5" customFormat="1" ht="25.5" hidden="1" customHeight="1" outlineLevel="1" x14ac:dyDescent="0.25">
      <c r="A1817" s="4">
        <v>1162</v>
      </c>
      <c r="B1817" s="6" t="s">
        <v>15</v>
      </c>
      <c r="C1817" s="38" t="s">
        <v>2275</v>
      </c>
      <c r="D1817" s="6">
        <v>2022</v>
      </c>
      <c r="E1817" s="6" t="s">
        <v>13</v>
      </c>
      <c r="F1817" s="6">
        <v>10</v>
      </c>
      <c r="G1817" s="6">
        <v>15</v>
      </c>
      <c r="H1817" s="6">
        <v>102.87581</v>
      </c>
      <c r="I1817" s="206"/>
      <c r="J1817" s="206"/>
    </row>
    <row r="1818" spans="1:10" s="5" customFormat="1" ht="25.5" hidden="1" customHeight="1" outlineLevel="1" x14ac:dyDescent="0.25">
      <c r="A1818" s="4">
        <v>1545</v>
      </c>
      <c r="B1818" s="6" t="s">
        <v>15</v>
      </c>
      <c r="C1818" s="38" t="s">
        <v>2321</v>
      </c>
      <c r="D1818" s="6">
        <v>2022</v>
      </c>
      <c r="E1818" s="6" t="s">
        <v>13</v>
      </c>
      <c r="F1818" s="6">
        <v>89</v>
      </c>
      <c r="G1818" s="6">
        <v>13</v>
      </c>
      <c r="H1818" s="6">
        <v>281.72449999999998</v>
      </c>
      <c r="I1818" s="206"/>
      <c r="J1818" s="206"/>
    </row>
    <row r="1819" spans="1:10" s="5" customFormat="1" ht="25.5" hidden="1" customHeight="1" outlineLevel="1" x14ac:dyDescent="0.25">
      <c r="A1819" s="4">
        <v>1174</v>
      </c>
      <c r="B1819" s="6" t="s">
        <v>15</v>
      </c>
      <c r="C1819" s="38" t="s">
        <v>2343</v>
      </c>
      <c r="D1819" s="6">
        <v>2022</v>
      </c>
      <c r="E1819" s="6" t="s">
        <v>13</v>
      </c>
      <c r="F1819" s="6">
        <v>180</v>
      </c>
      <c r="G1819" s="6">
        <v>15</v>
      </c>
      <c r="H1819" s="6">
        <v>298.32862</v>
      </c>
      <c r="I1819" s="206"/>
      <c r="J1819" s="206"/>
    </row>
    <row r="1820" spans="1:10" s="5" customFormat="1" ht="25.5" hidden="1" customHeight="1" outlineLevel="1" x14ac:dyDescent="0.25">
      <c r="A1820" s="4">
        <v>1037</v>
      </c>
      <c r="B1820" s="6" t="s">
        <v>15</v>
      </c>
      <c r="C1820" s="38" t="s">
        <v>2353</v>
      </c>
      <c r="D1820" s="6">
        <v>2022</v>
      </c>
      <c r="E1820" s="6" t="s">
        <v>13</v>
      </c>
      <c r="F1820" s="6">
        <v>7</v>
      </c>
      <c r="G1820" s="6">
        <v>130</v>
      </c>
      <c r="H1820" s="6">
        <v>163.56548000000001</v>
      </c>
      <c r="I1820" s="206"/>
      <c r="J1820" s="206"/>
    </row>
    <row r="1821" spans="1:10" s="5" customFormat="1" ht="25.5" hidden="1" customHeight="1" outlineLevel="1" x14ac:dyDescent="0.25">
      <c r="A1821" s="4">
        <v>1199</v>
      </c>
      <c r="B1821" s="6" t="s">
        <v>15</v>
      </c>
      <c r="C1821" s="38" t="s">
        <v>2363</v>
      </c>
      <c r="D1821" s="6">
        <v>2022</v>
      </c>
      <c r="E1821" s="6" t="s">
        <v>13</v>
      </c>
      <c r="F1821" s="6">
        <v>35</v>
      </c>
      <c r="G1821" s="6">
        <v>15</v>
      </c>
      <c r="H1821" s="6">
        <v>142.46872999999999</v>
      </c>
      <c r="I1821" s="206"/>
      <c r="J1821" s="206"/>
    </row>
    <row r="1822" spans="1:10" s="5" customFormat="1" ht="25.5" hidden="1" customHeight="1" outlineLevel="1" x14ac:dyDescent="0.25">
      <c r="A1822" s="4">
        <v>448</v>
      </c>
      <c r="B1822" s="6" t="s">
        <v>15</v>
      </c>
      <c r="C1822" s="38" t="s">
        <v>2387</v>
      </c>
      <c r="D1822" s="6">
        <v>2022</v>
      </c>
      <c r="E1822" s="6" t="s">
        <v>13</v>
      </c>
      <c r="F1822" s="6">
        <v>500</v>
      </c>
      <c r="G1822" s="6">
        <v>150</v>
      </c>
      <c r="H1822" s="6">
        <v>455.29192</v>
      </c>
      <c r="I1822" s="206"/>
      <c r="J1822" s="206"/>
    </row>
    <row r="1823" spans="1:10" s="5" customFormat="1" ht="25.5" hidden="1" customHeight="1" outlineLevel="1" x14ac:dyDescent="0.25">
      <c r="A1823" s="4">
        <v>528</v>
      </c>
      <c r="B1823" s="6" t="s">
        <v>15</v>
      </c>
      <c r="C1823" s="38" t="s">
        <v>2390</v>
      </c>
      <c r="D1823" s="6">
        <v>2022</v>
      </c>
      <c r="E1823" s="6" t="s">
        <v>13</v>
      </c>
      <c r="F1823" s="6">
        <v>469</v>
      </c>
      <c r="G1823" s="6">
        <v>25</v>
      </c>
      <c r="H1823" s="6">
        <v>1147.32951</v>
      </c>
      <c r="I1823" s="206"/>
      <c r="J1823" s="206"/>
    </row>
    <row r="1824" spans="1:10" s="5" customFormat="1" ht="25.5" hidden="1" customHeight="1" outlineLevel="1" x14ac:dyDescent="0.25">
      <c r="A1824" s="4">
        <v>538</v>
      </c>
      <c r="B1824" s="6" t="s">
        <v>15</v>
      </c>
      <c r="C1824" s="38" t="s">
        <v>2834</v>
      </c>
      <c r="D1824" s="6">
        <v>2022</v>
      </c>
      <c r="E1824" s="6" t="s">
        <v>13</v>
      </c>
      <c r="F1824" s="6">
        <v>232</v>
      </c>
      <c r="G1824" s="6">
        <v>15</v>
      </c>
      <c r="H1824" s="6">
        <v>363.16356000000002</v>
      </c>
      <c r="I1824" s="206"/>
      <c r="J1824" s="206"/>
    </row>
    <row r="1825" spans="1:10" s="5" customFormat="1" ht="25.5" hidden="1" customHeight="1" outlineLevel="1" x14ac:dyDescent="0.25">
      <c r="A1825" s="4">
        <v>449</v>
      </c>
      <c r="B1825" s="6" t="s">
        <v>15</v>
      </c>
      <c r="C1825" s="38" t="s">
        <v>2835</v>
      </c>
      <c r="D1825" s="6">
        <v>2022</v>
      </c>
      <c r="E1825" s="6" t="s">
        <v>13</v>
      </c>
      <c r="F1825" s="6">
        <v>5</v>
      </c>
      <c r="G1825" s="6">
        <v>149</v>
      </c>
      <c r="H1825" s="6">
        <v>61.800530000000002</v>
      </c>
      <c r="I1825" s="206"/>
      <c r="J1825" s="206"/>
    </row>
    <row r="1826" spans="1:10" s="5" customFormat="1" ht="25.5" hidden="1" customHeight="1" outlineLevel="1" x14ac:dyDescent="0.25">
      <c r="A1826" s="4">
        <v>451</v>
      </c>
      <c r="B1826" s="6" t="s">
        <v>15</v>
      </c>
      <c r="C1826" s="38" t="s">
        <v>2836</v>
      </c>
      <c r="D1826" s="6">
        <v>2022</v>
      </c>
      <c r="E1826" s="6" t="s">
        <v>13</v>
      </c>
      <c r="F1826" s="6">
        <v>1213</v>
      </c>
      <c r="G1826" s="6">
        <v>150</v>
      </c>
      <c r="H1826" s="6">
        <v>1976.8956700000001</v>
      </c>
      <c r="I1826" s="206"/>
      <c r="J1826" s="206"/>
    </row>
    <row r="1827" spans="1:10" s="5" customFormat="1" ht="25.5" hidden="1" customHeight="1" outlineLevel="1" x14ac:dyDescent="0.25">
      <c r="A1827" s="4">
        <v>492</v>
      </c>
      <c r="B1827" s="6" t="s">
        <v>15</v>
      </c>
      <c r="C1827" s="38" t="s">
        <v>2837</v>
      </c>
      <c r="D1827" s="6">
        <v>2022</v>
      </c>
      <c r="E1827" s="6" t="s">
        <v>13</v>
      </c>
      <c r="F1827" s="6">
        <v>50</v>
      </c>
      <c r="G1827" s="6">
        <v>15</v>
      </c>
      <c r="H1827" s="6">
        <v>60.856670000000001</v>
      </c>
      <c r="I1827" s="206"/>
      <c r="J1827" s="206"/>
    </row>
    <row r="1828" spans="1:10" s="5" customFormat="1" ht="25.5" hidden="1" customHeight="1" outlineLevel="1" x14ac:dyDescent="0.25">
      <c r="A1828" s="4">
        <v>453</v>
      </c>
      <c r="B1828" s="6" t="s">
        <v>15</v>
      </c>
      <c r="C1828" s="38" t="s">
        <v>2838</v>
      </c>
      <c r="D1828" s="6">
        <v>2022</v>
      </c>
      <c r="E1828" s="6" t="s">
        <v>13</v>
      </c>
      <c r="F1828" s="6">
        <v>70</v>
      </c>
      <c r="G1828" s="6">
        <v>15</v>
      </c>
      <c r="H1828" s="6">
        <v>246.81887</v>
      </c>
      <c r="I1828" s="206"/>
      <c r="J1828" s="206"/>
    </row>
    <row r="1829" spans="1:10" s="5" customFormat="1" ht="25.5" hidden="1" customHeight="1" outlineLevel="1" x14ac:dyDescent="0.25">
      <c r="A1829" s="4">
        <v>458</v>
      </c>
      <c r="B1829" s="6" t="s">
        <v>15</v>
      </c>
      <c r="C1829" s="38" t="s">
        <v>2438</v>
      </c>
      <c r="D1829" s="6">
        <v>2022</v>
      </c>
      <c r="E1829" s="6" t="s">
        <v>13</v>
      </c>
      <c r="F1829" s="6">
        <v>555</v>
      </c>
      <c r="G1829" s="6">
        <v>10</v>
      </c>
      <c r="H1829" s="6">
        <v>1042.5386599999999</v>
      </c>
      <c r="I1829" s="206"/>
      <c r="J1829" s="206"/>
    </row>
    <row r="1830" spans="1:10" s="5" customFormat="1" ht="25.5" hidden="1" customHeight="1" outlineLevel="1" x14ac:dyDescent="0.25">
      <c r="A1830" s="4">
        <v>459</v>
      </c>
      <c r="B1830" s="6" t="s">
        <v>15</v>
      </c>
      <c r="C1830" s="38" t="s">
        <v>2439</v>
      </c>
      <c r="D1830" s="6">
        <v>2022</v>
      </c>
      <c r="E1830" s="6" t="s">
        <v>13</v>
      </c>
      <c r="F1830" s="6">
        <v>33</v>
      </c>
      <c r="G1830" s="6">
        <v>150</v>
      </c>
      <c r="H1830" s="6">
        <v>306.90688</v>
      </c>
      <c r="I1830" s="206"/>
      <c r="J1830" s="206"/>
    </row>
    <row r="1831" spans="1:10" s="5" customFormat="1" ht="25.5" hidden="1" customHeight="1" outlineLevel="1" x14ac:dyDescent="0.25">
      <c r="A1831" s="4">
        <v>461</v>
      </c>
      <c r="B1831" s="6" t="s">
        <v>15</v>
      </c>
      <c r="C1831" s="38" t="s">
        <v>2839</v>
      </c>
      <c r="D1831" s="6">
        <v>2022</v>
      </c>
      <c r="E1831" s="6" t="s">
        <v>13</v>
      </c>
      <c r="F1831" s="6">
        <v>222</v>
      </c>
      <c r="G1831" s="6">
        <v>81</v>
      </c>
      <c r="H1831" s="6">
        <v>744.47676999999999</v>
      </c>
      <c r="I1831" s="206"/>
      <c r="J1831" s="206"/>
    </row>
    <row r="1832" spans="1:10" s="5" customFormat="1" ht="25.5" hidden="1" customHeight="1" outlineLevel="1" x14ac:dyDescent="0.25">
      <c r="A1832" s="4">
        <v>465</v>
      </c>
      <c r="B1832" s="6" t="s">
        <v>15</v>
      </c>
      <c r="C1832" s="38" t="s">
        <v>2454</v>
      </c>
      <c r="D1832" s="6">
        <v>2022</v>
      </c>
      <c r="E1832" s="6" t="s">
        <v>13</v>
      </c>
      <c r="F1832" s="6">
        <v>320</v>
      </c>
      <c r="G1832" s="6">
        <v>15</v>
      </c>
      <c r="H1832" s="6">
        <v>909.81694000000005</v>
      </c>
      <c r="I1832" s="206"/>
      <c r="J1832" s="206"/>
    </row>
    <row r="1833" spans="1:10" s="5" customFormat="1" ht="25.5" hidden="1" customHeight="1" outlineLevel="1" x14ac:dyDescent="0.25">
      <c r="A1833" s="4">
        <v>467</v>
      </c>
      <c r="B1833" s="6" t="s">
        <v>15</v>
      </c>
      <c r="C1833" s="38" t="s">
        <v>2455</v>
      </c>
      <c r="D1833" s="6">
        <v>2022</v>
      </c>
      <c r="E1833" s="6" t="s">
        <v>13</v>
      </c>
      <c r="F1833" s="6">
        <v>2822</v>
      </c>
      <c r="G1833" s="6">
        <v>15</v>
      </c>
      <c r="H1833" s="6">
        <v>6290.5868300000002</v>
      </c>
      <c r="I1833" s="206"/>
      <c r="J1833" s="206"/>
    </row>
    <row r="1834" spans="1:10" s="5" customFormat="1" ht="25.5" hidden="1" customHeight="1" outlineLevel="1" x14ac:dyDescent="0.25">
      <c r="A1834" s="4">
        <v>474</v>
      </c>
      <c r="B1834" s="6" t="s">
        <v>15</v>
      </c>
      <c r="C1834" s="38" t="s">
        <v>2840</v>
      </c>
      <c r="D1834" s="6">
        <v>2022</v>
      </c>
      <c r="E1834" s="6" t="s">
        <v>13</v>
      </c>
      <c r="F1834" s="6">
        <v>1106</v>
      </c>
      <c r="G1834" s="6">
        <v>15</v>
      </c>
      <c r="H1834" s="6">
        <v>1875.69381</v>
      </c>
      <c r="I1834" s="206"/>
      <c r="J1834" s="206"/>
    </row>
    <row r="1835" spans="1:10" s="5" customFormat="1" ht="25.5" hidden="1" customHeight="1" outlineLevel="1" x14ac:dyDescent="0.25">
      <c r="A1835" s="4">
        <v>475</v>
      </c>
      <c r="B1835" s="6" t="s">
        <v>15</v>
      </c>
      <c r="C1835" s="38" t="s">
        <v>2841</v>
      </c>
      <c r="D1835" s="6">
        <v>2022</v>
      </c>
      <c r="E1835" s="6" t="s">
        <v>13</v>
      </c>
      <c r="F1835" s="6">
        <v>1779</v>
      </c>
      <c r="G1835" s="6">
        <v>150</v>
      </c>
      <c r="H1835" s="6">
        <v>1809.44011</v>
      </c>
      <c r="I1835" s="206"/>
      <c r="J1835" s="206"/>
    </row>
    <row r="1836" spans="1:10" s="5" customFormat="1" ht="25.5" hidden="1" customHeight="1" outlineLevel="1" x14ac:dyDescent="0.25">
      <c r="A1836" s="4">
        <v>4792</v>
      </c>
      <c r="B1836" s="6" t="s">
        <v>15</v>
      </c>
      <c r="C1836" s="38" t="s">
        <v>2842</v>
      </c>
      <c r="D1836" s="6">
        <v>2022</v>
      </c>
      <c r="E1836" s="6" t="s">
        <v>13</v>
      </c>
      <c r="F1836" s="6">
        <v>8</v>
      </c>
      <c r="G1836" s="6" t="s">
        <v>2843</v>
      </c>
      <c r="H1836" s="6">
        <v>144</v>
      </c>
      <c r="I1836" s="206"/>
      <c r="J1836" s="206"/>
    </row>
    <row r="1837" spans="1:10" s="5" customFormat="1" ht="25.5" hidden="1" customHeight="1" outlineLevel="1" x14ac:dyDescent="0.25">
      <c r="A1837" s="4">
        <v>4791</v>
      </c>
      <c r="B1837" s="6" t="s">
        <v>15</v>
      </c>
      <c r="C1837" s="38" t="s">
        <v>2844</v>
      </c>
      <c r="D1837" s="6">
        <v>2022</v>
      </c>
      <c r="E1837" s="6" t="s">
        <v>13</v>
      </c>
      <c r="F1837" s="6">
        <v>7</v>
      </c>
      <c r="G1837" s="6" t="s">
        <v>358</v>
      </c>
      <c r="H1837" s="6">
        <v>139</v>
      </c>
      <c r="I1837" s="206"/>
      <c r="J1837" s="206"/>
    </row>
    <row r="1838" spans="1:10" s="5" customFormat="1" ht="25.5" hidden="1" customHeight="1" outlineLevel="1" x14ac:dyDescent="0.25">
      <c r="A1838" s="4" t="s">
        <v>2845</v>
      </c>
      <c r="B1838" s="6" t="s">
        <v>15</v>
      </c>
      <c r="C1838" s="38" t="s">
        <v>2846</v>
      </c>
      <c r="D1838" s="6">
        <v>2022</v>
      </c>
      <c r="E1838" s="6" t="s">
        <v>13</v>
      </c>
      <c r="F1838" s="6">
        <v>20</v>
      </c>
      <c r="G1838" s="6" t="s">
        <v>2847</v>
      </c>
      <c r="H1838" s="6">
        <v>102</v>
      </c>
      <c r="I1838" s="206"/>
      <c r="J1838" s="206"/>
    </row>
    <row r="1839" spans="1:10" s="5" customFormat="1" ht="25.5" hidden="1" customHeight="1" outlineLevel="1" x14ac:dyDescent="0.25">
      <c r="A1839" s="4" t="s">
        <v>2848</v>
      </c>
      <c r="B1839" s="6" t="s">
        <v>15</v>
      </c>
      <c r="C1839" s="38" t="s">
        <v>2849</v>
      </c>
      <c r="D1839" s="6">
        <v>2022</v>
      </c>
      <c r="E1839" s="6" t="s">
        <v>13</v>
      </c>
      <c r="F1839" s="6">
        <v>195</v>
      </c>
      <c r="G1839" s="6" t="s">
        <v>2850</v>
      </c>
      <c r="H1839" s="6">
        <v>262</v>
      </c>
      <c r="I1839" s="206"/>
      <c r="J1839" s="206"/>
    </row>
    <row r="1840" spans="1:10" s="5" customFormat="1" ht="25.5" hidden="1" customHeight="1" outlineLevel="1" x14ac:dyDescent="0.25">
      <c r="A1840" s="4">
        <v>4877</v>
      </c>
      <c r="B1840" s="6" t="s">
        <v>15</v>
      </c>
      <c r="C1840" s="38" t="s">
        <v>2851</v>
      </c>
      <c r="D1840" s="6">
        <v>2022</v>
      </c>
      <c r="E1840" s="6" t="s">
        <v>13</v>
      </c>
      <c r="F1840" s="6">
        <v>331</v>
      </c>
      <c r="G1840" s="6" t="s">
        <v>107</v>
      </c>
      <c r="H1840" s="6">
        <v>890</v>
      </c>
      <c r="I1840" s="206"/>
      <c r="J1840" s="206"/>
    </row>
    <row r="1841" spans="1:10" s="5" customFormat="1" ht="25.5" hidden="1" customHeight="1" outlineLevel="1" x14ac:dyDescent="0.25">
      <c r="A1841" s="4">
        <v>4878</v>
      </c>
      <c r="B1841" s="6" t="s">
        <v>15</v>
      </c>
      <c r="C1841" s="38" t="s">
        <v>2852</v>
      </c>
      <c r="D1841" s="6">
        <v>2022</v>
      </c>
      <c r="E1841" s="6" t="s">
        <v>13</v>
      </c>
      <c r="F1841" s="6">
        <v>6</v>
      </c>
      <c r="G1841" s="6" t="s">
        <v>2853</v>
      </c>
      <c r="H1841" s="6">
        <v>151</v>
      </c>
      <c r="I1841" s="206"/>
      <c r="J1841" s="206"/>
    </row>
    <row r="1842" spans="1:10" s="5" customFormat="1" ht="25.5" hidden="1" customHeight="1" outlineLevel="1" x14ac:dyDescent="0.25">
      <c r="A1842" s="4">
        <v>4745</v>
      </c>
      <c r="B1842" s="6" t="s">
        <v>15</v>
      </c>
      <c r="C1842" s="38" t="s">
        <v>2854</v>
      </c>
      <c r="D1842" s="6">
        <v>2022</v>
      </c>
      <c r="E1842" s="6" t="s">
        <v>13</v>
      </c>
      <c r="F1842" s="6">
        <v>1881</v>
      </c>
      <c r="G1842" s="6" t="s">
        <v>806</v>
      </c>
      <c r="H1842" s="6">
        <v>3231</v>
      </c>
      <c r="I1842" s="206"/>
      <c r="J1842" s="206"/>
    </row>
    <row r="1843" spans="1:10" s="5" customFormat="1" ht="25.5" hidden="1" customHeight="1" outlineLevel="1" x14ac:dyDescent="0.25">
      <c r="A1843" s="4">
        <v>4899</v>
      </c>
      <c r="B1843" s="6" t="s">
        <v>15</v>
      </c>
      <c r="C1843" s="38" t="s">
        <v>2855</v>
      </c>
      <c r="D1843" s="6">
        <v>2022</v>
      </c>
      <c r="E1843" s="6" t="s">
        <v>13</v>
      </c>
      <c r="F1843" s="6">
        <v>202</v>
      </c>
      <c r="G1843" s="6">
        <v>42</v>
      </c>
      <c r="H1843" s="6">
        <v>395</v>
      </c>
      <c r="I1843" s="206"/>
      <c r="J1843" s="206"/>
    </row>
    <row r="1844" spans="1:10" s="5" customFormat="1" ht="25.5" hidden="1" customHeight="1" outlineLevel="1" x14ac:dyDescent="0.25">
      <c r="A1844" s="4">
        <v>4616</v>
      </c>
      <c r="B1844" s="6" t="s">
        <v>15</v>
      </c>
      <c r="C1844" s="38" t="s">
        <v>2856</v>
      </c>
      <c r="D1844" s="6">
        <v>2022</v>
      </c>
      <c r="E1844" s="6" t="s">
        <v>13</v>
      </c>
      <c r="F1844" s="6">
        <v>40</v>
      </c>
      <c r="G1844" s="6" t="s">
        <v>2857</v>
      </c>
      <c r="H1844" s="6">
        <v>101.227</v>
      </c>
      <c r="I1844" s="206"/>
      <c r="J1844" s="206"/>
    </row>
    <row r="1845" spans="1:10" s="5" customFormat="1" ht="25.5" hidden="1" customHeight="1" outlineLevel="1" x14ac:dyDescent="0.25">
      <c r="A1845" s="4">
        <v>5048</v>
      </c>
      <c r="B1845" s="6" t="s">
        <v>15</v>
      </c>
      <c r="C1845" s="38" t="s">
        <v>2858</v>
      </c>
      <c r="D1845" s="6">
        <v>2022</v>
      </c>
      <c r="E1845" s="6" t="s">
        <v>13</v>
      </c>
      <c r="F1845" s="6">
        <v>423</v>
      </c>
      <c r="G1845" s="6" t="s">
        <v>806</v>
      </c>
      <c r="H1845" s="6">
        <v>1344.5620000000001</v>
      </c>
      <c r="I1845" s="206"/>
      <c r="J1845" s="206"/>
    </row>
    <row r="1846" spans="1:10" s="5" customFormat="1" ht="25.5" hidden="1" customHeight="1" outlineLevel="1" x14ac:dyDescent="0.25">
      <c r="A1846" s="4">
        <v>5417</v>
      </c>
      <c r="B1846" s="6" t="s">
        <v>15</v>
      </c>
      <c r="C1846" s="38" t="s">
        <v>2859</v>
      </c>
      <c r="D1846" s="6">
        <v>2022</v>
      </c>
      <c r="E1846" s="6" t="s">
        <v>13</v>
      </c>
      <c r="F1846" s="6">
        <v>1669</v>
      </c>
      <c r="G1846" s="6">
        <v>159.69999999999999</v>
      </c>
      <c r="H1846" s="6">
        <v>2539.59</v>
      </c>
      <c r="I1846" s="206"/>
      <c r="J1846" s="206"/>
    </row>
    <row r="1847" spans="1:10" s="5" customFormat="1" ht="25.5" hidden="1" customHeight="1" outlineLevel="1" x14ac:dyDescent="0.25">
      <c r="A1847" s="4">
        <v>5835</v>
      </c>
      <c r="B1847" s="6" t="s">
        <v>15</v>
      </c>
      <c r="C1847" s="38" t="s">
        <v>2529</v>
      </c>
      <c r="D1847" s="6">
        <v>2022</v>
      </c>
      <c r="E1847" s="6" t="s">
        <v>13</v>
      </c>
      <c r="F1847" s="6">
        <v>5</v>
      </c>
      <c r="G1847" s="6">
        <v>15</v>
      </c>
      <c r="H1847" s="6">
        <v>410.81400000000002</v>
      </c>
      <c r="I1847" s="206"/>
      <c r="J1847" s="206"/>
    </row>
    <row r="1848" spans="1:10" s="5" customFormat="1" ht="25.5" hidden="1" customHeight="1" outlineLevel="1" x14ac:dyDescent="0.25">
      <c r="A1848" s="4">
        <v>5885</v>
      </c>
      <c r="B1848" s="6" t="s">
        <v>15</v>
      </c>
      <c r="C1848" s="38" t="s">
        <v>2553</v>
      </c>
      <c r="D1848" s="6">
        <v>2022</v>
      </c>
      <c r="E1848" s="6" t="s">
        <v>13</v>
      </c>
      <c r="F1848" s="6">
        <v>1389</v>
      </c>
      <c r="G1848" s="6">
        <v>30</v>
      </c>
      <c r="H1848" s="6">
        <v>2249.7020000000002</v>
      </c>
      <c r="I1848" s="206"/>
      <c r="J1848" s="206"/>
    </row>
    <row r="1849" spans="1:10" s="5" customFormat="1" ht="25.5" hidden="1" customHeight="1" outlineLevel="1" x14ac:dyDescent="0.25">
      <c r="A1849" s="4">
        <v>5861</v>
      </c>
      <c r="B1849" s="6" t="s">
        <v>15</v>
      </c>
      <c r="C1849" s="38" t="s">
        <v>2860</v>
      </c>
      <c r="D1849" s="6">
        <v>2022</v>
      </c>
      <c r="E1849" s="6" t="s">
        <v>13</v>
      </c>
      <c r="F1849" s="6">
        <v>10</v>
      </c>
      <c r="G1849" s="6">
        <v>150</v>
      </c>
      <c r="H1849" s="6">
        <v>135.50399999999999</v>
      </c>
      <c r="I1849" s="206"/>
      <c r="J1849" s="206"/>
    </row>
    <row r="1850" spans="1:10" s="5" customFormat="1" ht="25.5" hidden="1" customHeight="1" outlineLevel="1" x14ac:dyDescent="0.25">
      <c r="A1850" s="4">
        <v>179</v>
      </c>
      <c r="B1850" s="6" t="s">
        <v>15</v>
      </c>
      <c r="C1850" s="38" t="s">
        <v>2570</v>
      </c>
      <c r="D1850" s="6">
        <v>2022</v>
      </c>
      <c r="E1850" s="6" t="s">
        <v>13</v>
      </c>
      <c r="F1850" s="6">
        <v>10</v>
      </c>
      <c r="G1850" s="6">
        <v>100</v>
      </c>
      <c r="H1850" s="6">
        <v>49</v>
      </c>
      <c r="I1850" s="206"/>
      <c r="J1850" s="206"/>
    </row>
    <row r="1851" spans="1:10" s="5" customFormat="1" ht="25.5" hidden="1" customHeight="1" outlineLevel="1" x14ac:dyDescent="0.25">
      <c r="A1851" s="4">
        <v>118</v>
      </c>
      <c r="B1851" s="6" t="s">
        <v>15</v>
      </c>
      <c r="C1851" s="38" t="s">
        <v>2571</v>
      </c>
      <c r="D1851" s="6">
        <v>2022</v>
      </c>
      <c r="E1851" s="6" t="s">
        <v>13</v>
      </c>
      <c r="F1851" s="6">
        <v>50</v>
      </c>
      <c r="G1851" s="6">
        <v>100</v>
      </c>
      <c r="H1851" s="6">
        <v>92</v>
      </c>
      <c r="I1851" s="206"/>
      <c r="J1851" s="206"/>
    </row>
    <row r="1852" spans="1:10" s="5" customFormat="1" ht="25.5" hidden="1" customHeight="1" outlineLevel="1" x14ac:dyDescent="0.25">
      <c r="A1852" s="4">
        <v>121</v>
      </c>
      <c r="B1852" s="6" t="s">
        <v>15</v>
      </c>
      <c r="C1852" s="38" t="s">
        <v>2574</v>
      </c>
      <c r="D1852" s="6">
        <v>2022</v>
      </c>
      <c r="E1852" s="6" t="s">
        <v>13</v>
      </c>
      <c r="F1852" s="6">
        <v>15</v>
      </c>
      <c r="G1852" s="6">
        <v>15</v>
      </c>
      <c r="H1852" s="6">
        <v>81</v>
      </c>
      <c r="I1852" s="206"/>
      <c r="J1852" s="206"/>
    </row>
    <row r="1853" spans="1:10" s="5" customFormat="1" ht="25.5" hidden="1" customHeight="1" outlineLevel="1" x14ac:dyDescent="0.25">
      <c r="A1853" s="4">
        <v>181</v>
      </c>
      <c r="B1853" s="6" t="s">
        <v>15</v>
      </c>
      <c r="C1853" s="38" t="s">
        <v>2578</v>
      </c>
      <c r="D1853" s="6">
        <v>2022</v>
      </c>
      <c r="E1853" s="6" t="s">
        <v>13</v>
      </c>
      <c r="F1853" s="6">
        <v>796</v>
      </c>
      <c r="G1853" s="6">
        <v>15</v>
      </c>
      <c r="H1853" s="6">
        <v>1238</v>
      </c>
      <c r="I1853" s="206"/>
      <c r="J1853" s="206"/>
    </row>
    <row r="1854" spans="1:10" s="5" customFormat="1" ht="25.5" hidden="1" customHeight="1" outlineLevel="1" x14ac:dyDescent="0.25">
      <c r="A1854" s="4">
        <v>116</v>
      </c>
      <c r="B1854" s="6" t="s">
        <v>15</v>
      </c>
      <c r="C1854" s="38" t="s">
        <v>2579</v>
      </c>
      <c r="D1854" s="6">
        <v>2022</v>
      </c>
      <c r="E1854" s="6" t="s">
        <v>13</v>
      </c>
      <c r="F1854" s="6">
        <v>30</v>
      </c>
      <c r="G1854" s="6">
        <v>150</v>
      </c>
      <c r="H1854" s="6">
        <v>64</v>
      </c>
      <c r="I1854" s="206"/>
      <c r="J1854" s="206"/>
    </row>
    <row r="1855" spans="1:10" s="5" customFormat="1" ht="25.5" hidden="1" customHeight="1" outlineLevel="1" x14ac:dyDescent="0.25">
      <c r="A1855" s="4">
        <v>117</v>
      </c>
      <c r="B1855" s="6" t="s">
        <v>15</v>
      </c>
      <c r="C1855" s="38" t="s">
        <v>2582</v>
      </c>
      <c r="D1855" s="6">
        <v>2022</v>
      </c>
      <c r="E1855" s="6" t="s">
        <v>13</v>
      </c>
      <c r="F1855" s="6">
        <v>60</v>
      </c>
      <c r="G1855" s="6">
        <v>15</v>
      </c>
      <c r="H1855" s="6">
        <v>75</v>
      </c>
      <c r="I1855" s="206"/>
      <c r="J1855" s="206"/>
    </row>
    <row r="1856" spans="1:10" s="5" customFormat="1" ht="25.5" hidden="1" customHeight="1" outlineLevel="1" x14ac:dyDescent="0.25">
      <c r="A1856" s="4">
        <v>152</v>
      </c>
      <c r="B1856" s="6" t="s">
        <v>15</v>
      </c>
      <c r="C1856" s="38" t="s">
        <v>2584</v>
      </c>
      <c r="D1856" s="6">
        <v>2022</v>
      </c>
      <c r="E1856" s="6" t="s">
        <v>13</v>
      </c>
      <c r="F1856" s="6">
        <v>30</v>
      </c>
      <c r="G1856" s="6">
        <v>150</v>
      </c>
      <c r="H1856" s="6">
        <v>68</v>
      </c>
      <c r="I1856" s="206"/>
      <c r="J1856" s="206"/>
    </row>
    <row r="1857" spans="1:10" s="5" customFormat="1" ht="25.5" hidden="1" customHeight="1" outlineLevel="1" x14ac:dyDescent="0.25">
      <c r="A1857" s="4">
        <v>251</v>
      </c>
      <c r="B1857" s="6" t="s">
        <v>15</v>
      </c>
      <c r="C1857" s="38" t="s">
        <v>2595</v>
      </c>
      <c r="D1857" s="6">
        <v>2022</v>
      </c>
      <c r="E1857" s="6" t="s">
        <v>13</v>
      </c>
      <c r="F1857" s="6">
        <v>415</v>
      </c>
      <c r="G1857" s="6">
        <v>45</v>
      </c>
      <c r="H1857" s="6">
        <v>863</v>
      </c>
      <c r="I1857" s="206"/>
      <c r="J1857" s="206"/>
    </row>
    <row r="1858" spans="1:10" s="5" customFormat="1" ht="25.5" hidden="1" customHeight="1" outlineLevel="1" x14ac:dyDescent="0.25">
      <c r="A1858" s="4">
        <v>203</v>
      </c>
      <c r="B1858" s="6" t="s">
        <v>15</v>
      </c>
      <c r="C1858" s="38" t="s">
        <v>2596</v>
      </c>
      <c r="D1858" s="6">
        <v>2022</v>
      </c>
      <c r="E1858" s="6" t="s">
        <v>13</v>
      </c>
      <c r="F1858" s="6">
        <v>5</v>
      </c>
      <c r="G1858" s="6">
        <v>30</v>
      </c>
      <c r="H1858" s="6">
        <v>51</v>
      </c>
      <c r="I1858" s="206"/>
      <c r="J1858" s="206"/>
    </row>
    <row r="1859" spans="1:10" s="5" customFormat="1" ht="25.5" hidden="1" customHeight="1" outlineLevel="1" x14ac:dyDescent="0.25">
      <c r="A1859" s="4">
        <v>201</v>
      </c>
      <c r="B1859" s="6" t="s">
        <v>15</v>
      </c>
      <c r="C1859" s="38" t="s">
        <v>2597</v>
      </c>
      <c r="D1859" s="6">
        <v>2022</v>
      </c>
      <c r="E1859" s="6" t="s">
        <v>13</v>
      </c>
      <c r="F1859" s="6">
        <v>2447</v>
      </c>
      <c r="G1859" s="6">
        <v>15</v>
      </c>
      <c r="H1859" s="6">
        <v>3430</v>
      </c>
      <c r="I1859" s="206"/>
      <c r="J1859" s="206"/>
    </row>
    <row r="1860" spans="1:10" s="5" customFormat="1" ht="25.5" hidden="1" customHeight="1" outlineLevel="1" x14ac:dyDescent="0.25">
      <c r="A1860" s="4">
        <v>154</v>
      </c>
      <c r="B1860" s="6" t="s">
        <v>15</v>
      </c>
      <c r="C1860" s="38" t="s">
        <v>2599</v>
      </c>
      <c r="D1860" s="6">
        <v>2022</v>
      </c>
      <c r="E1860" s="6" t="s">
        <v>13</v>
      </c>
      <c r="F1860" s="6">
        <v>50</v>
      </c>
      <c r="G1860" s="6">
        <v>10</v>
      </c>
      <c r="H1860" s="6">
        <v>84</v>
      </c>
      <c r="I1860" s="206"/>
      <c r="J1860" s="206"/>
    </row>
    <row r="1861" spans="1:10" s="5" customFormat="1" ht="25.5" hidden="1" customHeight="1" outlineLevel="1" x14ac:dyDescent="0.25">
      <c r="A1861" s="4">
        <v>155</v>
      </c>
      <c r="B1861" s="6" t="s">
        <v>15</v>
      </c>
      <c r="C1861" s="38" t="s">
        <v>2600</v>
      </c>
      <c r="D1861" s="6">
        <v>2022</v>
      </c>
      <c r="E1861" s="6" t="s">
        <v>13</v>
      </c>
      <c r="F1861" s="6">
        <v>30</v>
      </c>
      <c r="G1861" s="6">
        <v>15</v>
      </c>
      <c r="H1861" s="6">
        <v>42</v>
      </c>
      <c r="I1861" s="206"/>
      <c r="J1861" s="206"/>
    </row>
    <row r="1862" spans="1:10" s="5" customFormat="1" ht="25.5" hidden="1" customHeight="1" outlineLevel="1" x14ac:dyDescent="0.25">
      <c r="A1862" s="4">
        <v>18</v>
      </c>
      <c r="B1862" s="6" t="s">
        <v>15</v>
      </c>
      <c r="C1862" s="38" t="s">
        <v>2627</v>
      </c>
      <c r="D1862" s="6">
        <v>2022</v>
      </c>
      <c r="E1862" s="6" t="s">
        <v>13</v>
      </c>
      <c r="F1862" s="6">
        <v>30</v>
      </c>
      <c r="G1862" s="6">
        <v>150</v>
      </c>
      <c r="H1862" s="6">
        <v>69</v>
      </c>
      <c r="I1862" s="206"/>
      <c r="J1862" s="206"/>
    </row>
    <row r="1863" spans="1:10" s="5" customFormat="1" ht="25.5" hidden="1" customHeight="1" outlineLevel="1" x14ac:dyDescent="0.25">
      <c r="A1863" s="4">
        <v>47</v>
      </c>
      <c r="B1863" s="6" t="s">
        <v>15</v>
      </c>
      <c r="C1863" s="38" t="s">
        <v>2636</v>
      </c>
      <c r="D1863" s="6">
        <v>2022</v>
      </c>
      <c r="E1863" s="6" t="s">
        <v>13</v>
      </c>
      <c r="F1863" s="6">
        <v>60</v>
      </c>
      <c r="G1863" s="6">
        <v>40</v>
      </c>
      <c r="H1863" s="6">
        <v>88</v>
      </c>
      <c r="I1863" s="206"/>
      <c r="J1863" s="206"/>
    </row>
    <row r="1864" spans="1:10" s="5" customFormat="1" ht="25.5" hidden="1" customHeight="1" outlineLevel="1" x14ac:dyDescent="0.25">
      <c r="A1864" s="4">
        <v>43</v>
      </c>
      <c r="B1864" s="6" t="s">
        <v>15</v>
      </c>
      <c r="C1864" s="38" t="s">
        <v>2638</v>
      </c>
      <c r="D1864" s="6">
        <v>2022</v>
      </c>
      <c r="E1864" s="6" t="s">
        <v>13</v>
      </c>
      <c r="F1864" s="6">
        <v>80</v>
      </c>
      <c r="G1864" s="6">
        <v>7</v>
      </c>
      <c r="H1864" s="6">
        <v>84</v>
      </c>
      <c r="I1864" s="206"/>
      <c r="J1864" s="206"/>
    </row>
    <row r="1865" spans="1:10" s="5" customFormat="1" ht="25.5" hidden="1" customHeight="1" outlineLevel="1" x14ac:dyDescent="0.25">
      <c r="A1865" s="4">
        <v>46</v>
      </c>
      <c r="B1865" s="6" t="s">
        <v>15</v>
      </c>
      <c r="C1865" s="38" t="s">
        <v>2650</v>
      </c>
      <c r="D1865" s="6">
        <v>2022</v>
      </c>
      <c r="E1865" s="6" t="s">
        <v>13</v>
      </c>
      <c r="F1865" s="6">
        <v>30</v>
      </c>
      <c r="G1865" s="6">
        <v>50</v>
      </c>
      <c r="H1865" s="6">
        <v>81</v>
      </c>
      <c r="I1865" s="206"/>
      <c r="J1865" s="206"/>
    </row>
    <row r="1866" spans="1:10" s="5" customFormat="1" ht="25.5" hidden="1" customHeight="1" outlineLevel="1" x14ac:dyDescent="0.25">
      <c r="A1866" s="4">
        <v>44</v>
      </c>
      <c r="B1866" s="6" t="s">
        <v>15</v>
      </c>
      <c r="C1866" s="38" t="s">
        <v>2651</v>
      </c>
      <c r="D1866" s="6">
        <v>2022</v>
      </c>
      <c r="E1866" s="6" t="s">
        <v>13</v>
      </c>
      <c r="F1866" s="6">
        <v>880</v>
      </c>
      <c r="G1866" s="6">
        <v>30</v>
      </c>
      <c r="H1866" s="6">
        <v>972</v>
      </c>
      <c r="I1866" s="206"/>
      <c r="J1866" s="206"/>
    </row>
    <row r="1867" spans="1:10" s="5" customFormat="1" ht="25.5" hidden="1" customHeight="1" outlineLevel="1" x14ac:dyDescent="0.25">
      <c r="A1867" s="4">
        <v>120</v>
      </c>
      <c r="B1867" s="6" t="s">
        <v>15</v>
      </c>
      <c r="C1867" s="38" t="s">
        <v>2657</v>
      </c>
      <c r="D1867" s="6">
        <v>2022</v>
      </c>
      <c r="E1867" s="6" t="s">
        <v>13</v>
      </c>
      <c r="F1867" s="6">
        <v>3</v>
      </c>
      <c r="G1867" s="6">
        <v>150</v>
      </c>
      <c r="H1867" s="6">
        <v>84</v>
      </c>
      <c r="I1867" s="206"/>
      <c r="J1867" s="206"/>
    </row>
    <row r="1868" spans="1:10" s="5" customFormat="1" ht="25.5" hidden="1" customHeight="1" outlineLevel="1" x14ac:dyDescent="0.25">
      <c r="A1868" s="4">
        <v>130</v>
      </c>
      <c r="B1868" s="6" t="s">
        <v>15</v>
      </c>
      <c r="C1868" s="38" t="s">
        <v>2861</v>
      </c>
      <c r="D1868" s="6">
        <v>2022</v>
      </c>
      <c r="E1868" s="6" t="s">
        <v>13</v>
      </c>
      <c r="F1868" s="6">
        <v>374</v>
      </c>
      <c r="G1868" s="6">
        <v>30</v>
      </c>
      <c r="H1868" s="6">
        <v>1103</v>
      </c>
      <c r="I1868" s="206"/>
      <c r="J1868" s="206"/>
    </row>
    <row r="1869" spans="1:10" s="5" customFormat="1" ht="25.5" hidden="1" customHeight="1" outlineLevel="1" x14ac:dyDescent="0.25">
      <c r="A1869" s="4">
        <v>153</v>
      </c>
      <c r="B1869" s="6" t="s">
        <v>15</v>
      </c>
      <c r="C1869" s="38" t="s">
        <v>2862</v>
      </c>
      <c r="D1869" s="6">
        <v>2022</v>
      </c>
      <c r="E1869" s="6" t="s">
        <v>13</v>
      </c>
      <c r="F1869" s="6">
        <v>1523</v>
      </c>
      <c r="G1869" s="6">
        <v>150</v>
      </c>
      <c r="H1869" s="6">
        <v>2581</v>
      </c>
      <c r="I1869" s="206"/>
      <c r="J1869" s="206"/>
    </row>
    <row r="1870" spans="1:10" s="5" customFormat="1" ht="25.5" hidden="1" customHeight="1" outlineLevel="1" x14ac:dyDescent="0.25">
      <c r="A1870" s="4">
        <v>282</v>
      </c>
      <c r="B1870" s="6" t="s">
        <v>15</v>
      </c>
      <c r="C1870" s="38" t="s">
        <v>2863</v>
      </c>
      <c r="D1870" s="6">
        <v>2022</v>
      </c>
      <c r="E1870" s="6" t="s">
        <v>13</v>
      </c>
      <c r="F1870" s="6">
        <v>18</v>
      </c>
      <c r="G1870" s="6">
        <v>160</v>
      </c>
      <c r="H1870" s="6">
        <v>131</v>
      </c>
      <c r="I1870" s="206"/>
      <c r="J1870" s="206"/>
    </row>
    <row r="1871" spans="1:10" s="5" customFormat="1" ht="25.5" hidden="1" customHeight="1" outlineLevel="1" x14ac:dyDescent="0.25">
      <c r="A1871" s="4">
        <v>224</v>
      </c>
      <c r="B1871" s="6" t="s">
        <v>15</v>
      </c>
      <c r="C1871" s="38" t="s">
        <v>2864</v>
      </c>
      <c r="D1871" s="6">
        <v>2022</v>
      </c>
      <c r="E1871" s="6" t="s">
        <v>13</v>
      </c>
      <c r="F1871" s="6">
        <v>2303</v>
      </c>
      <c r="G1871" s="6">
        <v>15</v>
      </c>
      <c r="H1871" s="6">
        <v>4163</v>
      </c>
      <c r="I1871" s="206"/>
      <c r="J1871" s="206"/>
    </row>
    <row r="1872" spans="1:10" s="5" customFormat="1" ht="25.5" hidden="1" customHeight="1" outlineLevel="1" x14ac:dyDescent="0.25">
      <c r="A1872" s="4">
        <v>2</v>
      </c>
      <c r="B1872" s="6" t="s">
        <v>15</v>
      </c>
      <c r="C1872" s="38" t="s">
        <v>2865</v>
      </c>
      <c r="D1872" s="6">
        <v>2022</v>
      </c>
      <c r="E1872" s="6" t="s">
        <v>13</v>
      </c>
      <c r="F1872" s="6">
        <v>20</v>
      </c>
      <c r="G1872" s="6">
        <v>630</v>
      </c>
      <c r="H1872" s="6">
        <v>46</v>
      </c>
      <c r="I1872" s="206"/>
      <c r="J1872" s="206"/>
    </row>
    <row r="1873" spans="1:10" s="5" customFormat="1" ht="25.5" hidden="1" customHeight="1" outlineLevel="1" x14ac:dyDescent="0.25">
      <c r="A1873" s="4">
        <v>353</v>
      </c>
      <c r="B1873" s="6" t="s">
        <v>15</v>
      </c>
      <c r="C1873" s="38" t="s">
        <v>2679</v>
      </c>
      <c r="D1873" s="6">
        <v>2022</v>
      </c>
      <c r="E1873" s="6" t="s">
        <v>13</v>
      </c>
      <c r="F1873" s="6">
        <v>282</v>
      </c>
      <c r="G1873" s="6">
        <v>135</v>
      </c>
      <c r="H1873" s="6">
        <v>808</v>
      </c>
      <c r="I1873" s="206"/>
      <c r="J1873" s="206"/>
    </row>
    <row r="1874" spans="1:10" s="5" customFormat="1" ht="25.5" hidden="1" customHeight="1" outlineLevel="1" x14ac:dyDescent="0.25">
      <c r="A1874" s="4">
        <v>186</v>
      </c>
      <c r="B1874" s="6" t="s">
        <v>15</v>
      </c>
      <c r="C1874" s="38" t="s">
        <v>2683</v>
      </c>
      <c r="D1874" s="6">
        <v>2022</v>
      </c>
      <c r="E1874" s="6" t="s">
        <v>13</v>
      </c>
      <c r="F1874" s="6">
        <v>450</v>
      </c>
      <c r="G1874" s="6">
        <v>150</v>
      </c>
      <c r="H1874" s="6">
        <v>436</v>
      </c>
      <c r="I1874" s="206"/>
      <c r="J1874" s="206"/>
    </row>
    <row r="1875" spans="1:10" s="5" customFormat="1" ht="25.5" hidden="1" customHeight="1" outlineLevel="1" x14ac:dyDescent="0.25">
      <c r="A1875" s="4">
        <v>302</v>
      </c>
      <c r="B1875" s="6" t="s">
        <v>15</v>
      </c>
      <c r="C1875" s="38" t="s">
        <v>2866</v>
      </c>
      <c r="D1875" s="6">
        <v>2022</v>
      </c>
      <c r="E1875" s="6" t="s">
        <v>13</v>
      </c>
      <c r="F1875" s="6">
        <v>30</v>
      </c>
      <c r="G1875" s="6">
        <v>150</v>
      </c>
      <c r="H1875" s="6">
        <v>48</v>
      </c>
      <c r="I1875" s="206"/>
      <c r="J1875" s="206"/>
    </row>
    <row r="1876" spans="1:10" s="5" customFormat="1" ht="25.5" hidden="1" customHeight="1" outlineLevel="1" x14ac:dyDescent="0.25">
      <c r="A1876" s="4">
        <v>358</v>
      </c>
      <c r="B1876" s="6" t="s">
        <v>15</v>
      </c>
      <c r="C1876" s="38" t="s">
        <v>2867</v>
      </c>
      <c r="D1876" s="6">
        <v>2022</v>
      </c>
      <c r="E1876" s="6" t="s">
        <v>13</v>
      </c>
      <c r="F1876" s="6">
        <v>388</v>
      </c>
      <c r="G1876" s="6">
        <v>30</v>
      </c>
      <c r="H1876" s="6">
        <v>829</v>
      </c>
      <c r="I1876" s="206"/>
      <c r="J1876" s="206"/>
    </row>
    <row r="1877" spans="1:10" s="5" customFormat="1" ht="25.5" hidden="1" customHeight="1" outlineLevel="1" x14ac:dyDescent="0.25">
      <c r="A1877" s="4">
        <v>355</v>
      </c>
      <c r="B1877" s="6" t="s">
        <v>15</v>
      </c>
      <c r="C1877" s="38" t="s">
        <v>2709</v>
      </c>
      <c r="D1877" s="6">
        <v>2022</v>
      </c>
      <c r="E1877" s="6" t="s">
        <v>13</v>
      </c>
      <c r="F1877" s="6">
        <v>29</v>
      </c>
      <c r="G1877" s="6">
        <v>60</v>
      </c>
      <c r="H1877" s="6">
        <v>307</v>
      </c>
      <c r="I1877" s="206"/>
      <c r="J1877" s="206"/>
    </row>
    <row r="1878" spans="1:10" s="5" customFormat="1" ht="25.5" hidden="1" customHeight="1" outlineLevel="1" x14ac:dyDescent="0.25">
      <c r="A1878" s="4">
        <v>396</v>
      </c>
      <c r="B1878" s="6" t="s">
        <v>15</v>
      </c>
      <c r="C1878" s="38" t="s">
        <v>2710</v>
      </c>
      <c r="D1878" s="6">
        <v>2022</v>
      </c>
      <c r="E1878" s="6" t="s">
        <v>13</v>
      </c>
      <c r="F1878" s="6">
        <v>34</v>
      </c>
      <c r="G1878" s="6">
        <v>21</v>
      </c>
      <c r="H1878" s="6">
        <v>239</v>
      </c>
      <c r="I1878" s="206"/>
      <c r="J1878" s="206"/>
    </row>
    <row r="1879" spans="1:10" s="5" customFormat="1" ht="25.5" hidden="1" customHeight="1" outlineLevel="1" x14ac:dyDescent="0.25">
      <c r="A1879" s="4">
        <v>400</v>
      </c>
      <c r="B1879" s="6" t="s">
        <v>15</v>
      </c>
      <c r="C1879" s="38" t="s">
        <v>2868</v>
      </c>
      <c r="D1879" s="6">
        <v>2022</v>
      </c>
      <c r="E1879" s="6" t="s">
        <v>13</v>
      </c>
      <c r="F1879" s="6">
        <v>938</v>
      </c>
      <c r="G1879" s="6">
        <v>300</v>
      </c>
      <c r="H1879" s="6">
        <v>1920</v>
      </c>
      <c r="I1879" s="206"/>
      <c r="J1879" s="206"/>
    </row>
    <row r="1880" spans="1:10" s="5" customFormat="1" ht="25.5" hidden="1" customHeight="1" outlineLevel="1" x14ac:dyDescent="0.25">
      <c r="A1880" s="4">
        <v>402</v>
      </c>
      <c r="B1880" s="6" t="s">
        <v>15</v>
      </c>
      <c r="C1880" s="38" t="s">
        <v>2869</v>
      </c>
      <c r="D1880" s="6">
        <v>2022</v>
      </c>
      <c r="E1880" s="6" t="s">
        <v>13</v>
      </c>
      <c r="F1880" s="6">
        <v>436</v>
      </c>
      <c r="G1880" s="6">
        <v>447</v>
      </c>
      <c r="H1880" s="6">
        <v>1385</v>
      </c>
      <c r="I1880" s="206"/>
      <c r="J1880" s="206"/>
    </row>
    <row r="1881" spans="1:10" s="5" customFormat="1" ht="25.5" hidden="1" customHeight="1" outlineLevel="1" x14ac:dyDescent="0.25">
      <c r="A1881" s="4">
        <v>398</v>
      </c>
      <c r="B1881" s="6" t="s">
        <v>15</v>
      </c>
      <c r="C1881" s="38" t="s">
        <v>2711</v>
      </c>
      <c r="D1881" s="6">
        <v>2022</v>
      </c>
      <c r="E1881" s="6" t="s">
        <v>13</v>
      </c>
      <c r="F1881" s="6">
        <v>5</v>
      </c>
      <c r="G1881" s="6">
        <v>30</v>
      </c>
      <c r="H1881" s="6">
        <v>182</v>
      </c>
      <c r="I1881" s="206"/>
      <c r="J1881" s="206"/>
    </row>
    <row r="1882" spans="1:10" s="5" customFormat="1" ht="25.5" hidden="1" customHeight="1" outlineLevel="1" x14ac:dyDescent="0.25">
      <c r="A1882" s="4">
        <v>351</v>
      </c>
      <c r="B1882" s="6" t="s">
        <v>15</v>
      </c>
      <c r="C1882" s="38" t="s">
        <v>2712</v>
      </c>
      <c r="D1882" s="6">
        <v>2022</v>
      </c>
      <c r="E1882" s="6" t="s">
        <v>13</v>
      </c>
      <c r="F1882" s="6">
        <v>1035</v>
      </c>
      <c r="G1882" s="6">
        <v>40</v>
      </c>
      <c r="H1882" s="6">
        <v>2310</v>
      </c>
      <c r="I1882" s="206"/>
      <c r="J1882" s="206"/>
    </row>
    <row r="1883" spans="1:10" s="5" customFormat="1" ht="25.5" hidden="1" customHeight="1" outlineLevel="1" x14ac:dyDescent="0.25">
      <c r="A1883" s="4">
        <v>357</v>
      </c>
      <c r="B1883" s="6" t="s">
        <v>15</v>
      </c>
      <c r="C1883" s="38" t="s">
        <v>2713</v>
      </c>
      <c r="D1883" s="6">
        <v>2022</v>
      </c>
      <c r="E1883" s="6" t="s">
        <v>13</v>
      </c>
      <c r="F1883" s="6">
        <v>750</v>
      </c>
      <c r="G1883" s="6">
        <v>15</v>
      </c>
      <c r="H1883" s="6">
        <v>992</v>
      </c>
      <c r="I1883" s="206"/>
      <c r="J1883" s="206"/>
    </row>
    <row r="1884" spans="1:10" s="5" customFormat="1" ht="25.5" hidden="1" customHeight="1" outlineLevel="1" x14ac:dyDescent="0.25">
      <c r="A1884" s="4">
        <v>350</v>
      </c>
      <c r="B1884" s="6" t="s">
        <v>15</v>
      </c>
      <c r="C1884" s="38" t="s">
        <v>2714</v>
      </c>
      <c r="D1884" s="6">
        <v>2022</v>
      </c>
      <c r="E1884" s="6" t="s">
        <v>13</v>
      </c>
      <c r="F1884" s="6">
        <v>871</v>
      </c>
      <c r="G1884" s="6">
        <v>150</v>
      </c>
      <c r="H1884" s="6">
        <v>1534</v>
      </c>
      <c r="I1884" s="206"/>
      <c r="J1884" s="206"/>
    </row>
    <row r="1885" spans="1:10" s="5" customFormat="1" ht="25.5" hidden="1" customHeight="1" outlineLevel="1" x14ac:dyDescent="0.25">
      <c r="A1885" s="4">
        <v>431</v>
      </c>
      <c r="B1885" s="6" t="s">
        <v>15</v>
      </c>
      <c r="C1885" s="38" t="s">
        <v>2870</v>
      </c>
      <c r="D1885" s="6">
        <v>2022</v>
      </c>
      <c r="E1885" s="6" t="s">
        <v>13</v>
      </c>
      <c r="F1885" s="6">
        <v>234</v>
      </c>
      <c r="G1885" s="6">
        <v>405</v>
      </c>
      <c r="H1885" s="6">
        <v>1099</v>
      </c>
      <c r="I1885" s="206"/>
      <c r="J1885" s="206"/>
    </row>
    <row r="1886" spans="1:10" s="5" customFormat="1" ht="25.5" hidden="1" customHeight="1" outlineLevel="1" x14ac:dyDescent="0.25">
      <c r="A1886" s="4">
        <v>427</v>
      </c>
      <c r="B1886" s="6" t="s">
        <v>15</v>
      </c>
      <c r="C1886" s="38" t="s">
        <v>2717</v>
      </c>
      <c r="D1886" s="6">
        <v>2022</v>
      </c>
      <c r="E1886" s="6" t="s">
        <v>13</v>
      </c>
      <c r="F1886" s="6">
        <v>20</v>
      </c>
      <c r="G1886" s="6">
        <v>15</v>
      </c>
      <c r="H1886" s="6">
        <v>149</v>
      </c>
      <c r="I1886" s="206"/>
      <c r="J1886" s="206"/>
    </row>
    <row r="1887" spans="1:10" s="5" customFormat="1" ht="25.5" hidden="1" customHeight="1" outlineLevel="1" x14ac:dyDescent="0.25">
      <c r="A1887" s="4">
        <v>423</v>
      </c>
      <c r="B1887" s="6" t="s">
        <v>15</v>
      </c>
      <c r="C1887" s="38" t="s">
        <v>2871</v>
      </c>
      <c r="D1887" s="6">
        <v>2022</v>
      </c>
      <c r="E1887" s="6" t="s">
        <v>13</v>
      </c>
      <c r="F1887" s="6">
        <v>136</v>
      </c>
      <c r="G1887" s="6">
        <v>45</v>
      </c>
      <c r="H1887" s="6">
        <v>374</v>
      </c>
      <c r="I1887" s="206"/>
      <c r="J1887" s="206"/>
    </row>
    <row r="1888" spans="1:10" s="5" customFormat="1" ht="25.5" hidden="1" customHeight="1" outlineLevel="1" x14ac:dyDescent="0.25">
      <c r="A1888" s="4">
        <v>424</v>
      </c>
      <c r="B1888" s="6" t="s">
        <v>15</v>
      </c>
      <c r="C1888" s="38" t="s">
        <v>2872</v>
      </c>
      <c r="D1888" s="6">
        <v>2022</v>
      </c>
      <c r="E1888" s="6" t="s">
        <v>13</v>
      </c>
      <c r="F1888" s="6">
        <v>354</v>
      </c>
      <c r="G1888" s="6">
        <v>15</v>
      </c>
      <c r="H1888" s="6">
        <v>788</v>
      </c>
      <c r="I1888" s="206"/>
      <c r="J1888" s="206"/>
    </row>
    <row r="1889" spans="1:10" s="5" customFormat="1" ht="25.5" hidden="1" customHeight="1" outlineLevel="1" x14ac:dyDescent="0.25">
      <c r="A1889" s="4">
        <v>425</v>
      </c>
      <c r="B1889" s="6" t="s">
        <v>15</v>
      </c>
      <c r="C1889" s="38" t="s">
        <v>2719</v>
      </c>
      <c r="D1889" s="6">
        <v>2022</v>
      </c>
      <c r="E1889" s="6" t="s">
        <v>13</v>
      </c>
      <c r="F1889" s="6">
        <v>506</v>
      </c>
      <c r="G1889" s="6">
        <v>120</v>
      </c>
      <c r="H1889" s="6">
        <v>991</v>
      </c>
      <c r="I1889" s="206"/>
      <c r="J1889" s="206"/>
    </row>
    <row r="1890" spans="1:10" s="5" customFormat="1" ht="25.5" hidden="1" customHeight="1" outlineLevel="1" x14ac:dyDescent="0.25">
      <c r="A1890" s="4">
        <v>397</v>
      </c>
      <c r="B1890" s="6" t="s">
        <v>15</v>
      </c>
      <c r="C1890" s="38" t="s">
        <v>2720</v>
      </c>
      <c r="D1890" s="6">
        <v>2022</v>
      </c>
      <c r="E1890" s="6" t="s">
        <v>13</v>
      </c>
      <c r="F1890" s="6">
        <v>286</v>
      </c>
      <c r="G1890" s="6">
        <v>15</v>
      </c>
      <c r="H1890" s="6">
        <v>787</v>
      </c>
      <c r="I1890" s="206"/>
      <c r="J1890" s="206"/>
    </row>
    <row r="1891" spans="1:10" s="5" customFormat="1" ht="25.5" hidden="1" customHeight="1" outlineLevel="1" x14ac:dyDescent="0.25">
      <c r="A1891" s="4">
        <v>382</v>
      </c>
      <c r="B1891" s="6" t="s">
        <v>15</v>
      </c>
      <c r="C1891" s="38" t="s">
        <v>2732</v>
      </c>
      <c r="D1891" s="6">
        <v>2022</v>
      </c>
      <c r="E1891" s="6" t="s">
        <v>13</v>
      </c>
      <c r="F1891" s="6">
        <v>30</v>
      </c>
      <c r="G1891" s="6">
        <v>15</v>
      </c>
      <c r="H1891" s="6">
        <v>59</v>
      </c>
      <c r="I1891" s="206"/>
      <c r="J1891" s="206"/>
    </row>
    <row r="1892" spans="1:10" s="5" customFormat="1" ht="25.5" hidden="1" customHeight="1" outlineLevel="1" x14ac:dyDescent="0.25">
      <c r="A1892" s="4">
        <v>363</v>
      </c>
      <c r="B1892" s="6" t="s">
        <v>15</v>
      </c>
      <c r="C1892" s="38" t="s">
        <v>2873</v>
      </c>
      <c r="D1892" s="6">
        <v>2022</v>
      </c>
      <c r="E1892" s="6" t="s">
        <v>13</v>
      </c>
      <c r="F1892" s="6">
        <v>46</v>
      </c>
      <c r="G1892" s="6">
        <v>100</v>
      </c>
      <c r="H1892" s="6">
        <v>163</v>
      </c>
      <c r="I1892" s="206"/>
      <c r="J1892" s="206"/>
    </row>
    <row r="1893" spans="1:10" s="5" customFormat="1" ht="25.5" hidden="1" customHeight="1" outlineLevel="1" x14ac:dyDescent="0.25">
      <c r="A1893" s="4">
        <v>432</v>
      </c>
      <c r="B1893" s="6" t="s">
        <v>15</v>
      </c>
      <c r="C1893" s="38" t="s">
        <v>2874</v>
      </c>
      <c r="D1893" s="6">
        <v>2022</v>
      </c>
      <c r="E1893" s="6" t="s">
        <v>13</v>
      </c>
      <c r="F1893" s="6">
        <v>188</v>
      </c>
      <c r="G1893" s="6">
        <v>15</v>
      </c>
      <c r="H1893" s="6">
        <v>657</v>
      </c>
      <c r="I1893" s="206"/>
      <c r="J1893" s="206"/>
    </row>
    <row r="1894" spans="1:10" s="5" customFormat="1" ht="25.5" hidden="1" customHeight="1" outlineLevel="1" x14ac:dyDescent="0.25">
      <c r="A1894" s="4">
        <v>426</v>
      </c>
      <c r="B1894" s="6" t="s">
        <v>15</v>
      </c>
      <c r="C1894" s="38" t="s">
        <v>2750</v>
      </c>
      <c r="D1894" s="6">
        <v>2022</v>
      </c>
      <c r="E1894" s="6" t="s">
        <v>13</v>
      </c>
      <c r="F1894" s="6">
        <v>336</v>
      </c>
      <c r="G1894" s="6">
        <v>104.4</v>
      </c>
      <c r="H1894" s="6">
        <v>797</v>
      </c>
      <c r="I1894" s="206"/>
      <c r="J1894" s="206"/>
    </row>
    <row r="1895" spans="1:10" s="5" customFormat="1" ht="25.5" hidden="1" customHeight="1" outlineLevel="1" x14ac:dyDescent="0.25">
      <c r="A1895" s="4">
        <v>5056</v>
      </c>
      <c r="B1895" s="6" t="s">
        <v>15</v>
      </c>
      <c r="C1895" s="38" t="s">
        <v>2772</v>
      </c>
      <c r="D1895" s="6">
        <v>2022</v>
      </c>
      <c r="E1895" s="6" t="s">
        <v>13</v>
      </c>
      <c r="F1895" s="6">
        <v>15158</v>
      </c>
      <c r="G1895" s="6">
        <v>269.2</v>
      </c>
      <c r="H1895" s="6">
        <v>24382</v>
      </c>
      <c r="I1895" s="206"/>
      <c r="J1895" s="206"/>
    </row>
    <row r="1896" spans="1:10" s="5" customFormat="1" ht="25.5" hidden="1" customHeight="1" outlineLevel="1" x14ac:dyDescent="0.25">
      <c r="A1896" s="4">
        <v>5396</v>
      </c>
      <c r="B1896" s="6" t="s">
        <v>15</v>
      </c>
      <c r="C1896" s="38" t="s">
        <v>2774</v>
      </c>
      <c r="D1896" s="6">
        <v>2022</v>
      </c>
      <c r="E1896" s="6" t="s">
        <v>13</v>
      </c>
      <c r="F1896" s="6">
        <v>251</v>
      </c>
      <c r="G1896" s="6">
        <v>15</v>
      </c>
      <c r="H1896" s="6">
        <v>497</v>
      </c>
      <c r="I1896" s="206"/>
      <c r="J1896" s="206"/>
    </row>
    <row r="1897" spans="1:10" s="5" customFormat="1" ht="25.5" hidden="1" customHeight="1" outlineLevel="1" x14ac:dyDescent="0.25">
      <c r="A1897" s="4">
        <v>5397</v>
      </c>
      <c r="B1897" s="6" t="s">
        <v>15</v>
      </c>
      <c r="C1897" s="38" t="s">
        <v>2775</v>
      </c>
      <c r="D1897" s="6">
        <v>2022</v>
      </c>
      <c r="E1897" s="6" t="s">
        <v>13</v>
      </c>
      <c r="F1897" s="6">
        <v>150</v>
      </c>
      <c r="G1897" s="6">
        <v>15</v>
      </c>
      <c r="H1897" s="6">
        <v>133</v>
      </c>
      <c r="I1897" s="206"/>
      <c r="J1897" s="206"/>
    </row>
    <row r="1898" spans="1:10" s="5" customFormat="1" ht="25.5" hidden="1" customHeight="1" outlineLevel="1" x14ac:dyDescent="0.25">
      <c r="A1898" s="4">
        <v>5398</v>
      </c>
      <c r="B1898" s="6" t="s">
        <v>15</v>
      </c>
      <c r="C1898" s="38" t="s">
        <v>2776</v>
      </c>
      <c r="D1898" s="6">
        <v>2022</v>
      </c>
      <c r="E1898" s="6" t="s">
        <v>13</v>
      </c>
      <c r="F1898" s="6">
        <v>10</v>
      </c>
      <c r="G1898" s="6">
        <v>150</v>
      </c>
      <c r="H1898" s="6">
        <v>201</v>
      </c>
      <c r="I1898" s="206"/>
      <c r="J1898" s="206"/>
    </row>
    <row r="1899" spans="1:10" s="5" customFormat="1" ht="25.5" hidden="1" customHeight="1" outlineLevel="1" x14ac:dyDescent="0.25">
      <c r="A1899" s="4">
        <v>5077</v>
      </c>
      <c r="B1899" s="6" t="s">
        <v>15</v>
      </c>
      <c r="C1899" s="38" t="s">
        <v>2781</v>
      </c>
      <c r="D1899" s="6">
        <v>2022</v>
      </c>
      <c r="E1899" s="6" t="s">
        <v>13</v>
      </c>
      <c r="F1899" s="6">
        <v>60</v>
      </c>
      <c r="G1899" s="6">
        <v>15</v>
      </c>
      <c r="H1899" s="6">
        <v>240</v>
      </c>
      <c r="I1899" s="206"/>
      <c r="J1899" s="206"/>
    </row>
    <row r="1900" spans="1:10" s="5" customFormat="1" ht="25.5" hidden="1" customHeight="1" outlineLevel="1" x14ac:dyDescent="0.25">
      <c r="A1900" s="4">
        <v>5059</v>
      </c>
      <c r="B1900" s="6" t="s">
        <v>15</v>
      </c>
      <c r="C1900" s="38" t="s">
        <v>2792</v>
      </c>
      <c r="D1900" s="6">
        <v>2022</v>
      </c>
      <c r="E1900" s="6" t="s">
        <v>13</v>
      </c>
      <c r="F1900" s="6">
        <v>50</v>
      </c>
      <c r="G1900" s="6">
        <v>30</v>
      </c>
      <c r="H1900" s="6">
        <v>108</v>
      </c>
      <c r="I1900" s="206"/>
      <c r="J1900" s="206"/>
    </row>
    <row r="1901" spans="1:10" s="5" customFormat="1" ht="25.5" hidden="1" customHeight="1" outlineLevel="1" x14ac:dyDescent="0.25">
      <c r="A1901" s="4">
        <v>5301</v>
      </c>
      <c r="B1901" s="6" t="s">
        <v>15</v>
      </c>
      <c r="C1901" s="38" t="s">
        <v>2797</v>
      </c>
      <c r="D1901" s="6">
        <v>2022</v>
      </c>
      <c r="E1901" s="6" t="s">
        <v>13</v>
      </c>
      <c r="F1901" s="6">
        <v>4145</v>
      </c>
      <c r="G1901" s="6">
        <v>15</v>
      </c>
      <c r="H1901" s="6">
        <v>4353</v>
      </c>
      <c r="I1901" s="206"/>
      <c r="J1901" s="206"/>
    </row>
    <row r="1902" spans="1:10" s="5" customFormat="1" ht="25.5" hidden="1" customHeight="1" outlineLevel="1" x14ac:dyDescent="0.25">
      <c r="A1902" s="4">
        <v>5302</v>
      </c>
      <c r="B1902" s="6" t="s">
        <v>15</v>
      </c>
      <c r="C1902" s="38" t="s">
        <v>2798</v>
      </c>
      <c r="D1902" s="6">
        <v>2022</v>
      </c>
      <c r="E1902" s="6" t="s">
        <v>13</v>
      </c>
      <c r="F1902" s="6">
        <v>2812</v>
      </c>
      <c r="G1902" s="6">
        <v>25</v>
      </c>
      <c r="H1902" s="6">
        <v>3527</v>
      </c>
      <c r="I1902" s="206"/>
      <c r="J1902" s="206"/>
    </row>
    <row r="1903" spans="1:10" s="5" customFormat="1" ht="25.5" hidden="1" customHeight="1" outlineLevel="1" x14ac:dyDescent="0.25">
      <c r="A1903" s="4">
        <v>5098</v>
      </c>
      <c r="B1903" s="6" t="s">
        <v>15</v>
      </c>
      <c r="C1903" s="38" t="s">
        <v>2803</v>
      </c>
      <c r="D1903" s="6">
        <v>2022</v>
      </c>
      <c r="E1903" s="6" t="s">
        <v>13</v>
      </c>
      <c r="F1903" s="6">
        <v>35</v>
      </c>
      <c r="G1903" s="6">
        <v>150</v>
      </c>
      <c r="H1903" s="6">
        <v>120</v>
      </c>
      <c r="I1903" s="206"/>
      <c r="J1903" s="206"/>
    </row>
    <row r="1904" spans="1:10" s="5" customFormat="1" ht="25.5" hidden="1" customHeight="1" outlineLevel="1" x14ac:dyDescent="0.25">
      <c r="A1904" s="4">
        <v>5099</v>
      </c>
      <c r="B1904" s="6" t="s">
        <v>15</v>
      </c>
      <c r="C1904" s="38" t="s">
        <v>2804</v>
      </c>
      <c r="D1904" s="6">
        <v>2022</v>
      </c>
      <c r="E1904" s="6" t="s">
        <v>13</v>
      </c>
      <c r="F1904" s="6">
        <v>260</v>
      </c>
      <c r="G1904" s="6">
        <v>15</v>
      </c>
      <c r="H1904" s="6">
        <v>692</v>
      </c>
      <c r="I1904" s="206"/>
      <c r="J1904" s="206"/>
    </row>
    <row r="1905" spans="1:10" s="5" customFormat="1" ht="25.5" hidden="1" customHeight="1" outlineLevel="1" x14ac:dyDescent="0.25">
      <c r="A1905" s="4">
        <v>5100</v>
      </c>
      <c r="B1905" s="6" t="s">
        <v>15</v>
      </c>
      <c r="C1905" s="38" t="s">
        <v>2805</v>
      </c>
      <c r="D1905" s="6">
        <v>2022</v>
      </c>
      <c r="E1905" s="6" t="s">
        <v>13</v>
      </c>
      <c r="F1905" s="6">
        <v>926</v>
      </c>
      <c r="G1905" s="6">
        <v>10</v>
      </c>
      <c r="H1905" s="6">
        <v>1450</v>
      </c>
      <c r="I1905" s="206"/>
      <c r="J1905" s="206"/>
    </row>
    <row r="1906" spans="1:10" s="5" customFormat="1" ht="25.5" hidden="1" customHeight="1" outlineLevel="1" x14ac:dyDescent="0.25">
      <c r="A1906" s="4">
        <v>3013</v>
      </c>
      <c r="B1906" s="6" t="s">
        <v>15</v>
      </c>
      <c r="C1906" s="38" t="s">
        <v>9017</v>
      </c>
      <c r="D1906" s="6">
        <v>2023</v>
      </c>
      <c r="E1906" s="6" t="s">
        <v>13</v>
      </c>
      <c r="F1906" s="6">
        <v>35</v>
      </c>
      <c r="G1906" s="40">
        <v>135</v>
      </c>
      <c r="H1906" s="40">
        <v>71.064000000000007</v>
      </c>
      <c r="I1906" s="212"/>
      <c r="J1906" s="212"/>
    </row>
    <row r="1907" spans="1:10" s="5" customFormat="1" ht="25.5" hidden="1" customHeight="1" outlineLevel="1" x14ac:dyDescent="0.25">
      <c r="A1907" s="4">
        <v>3032</v>
      </c>
      <c r="B1907" s="6" t="s">
        <v>15</v>
      </c>
      <c r="C1907" s="38" t="s">
        <v>9018</v>
      </c>
      <c r="D1907" s="6">
        <v>2023</v>
      </c>
      <c r="E1907" s="6" t="s">
        <v>13</v>
      </c>
      <c r="F1907" s="6">
        <v>1568</v>
      </c>
      <c r="G1907" s="40">
        <v>150</v>
      </c>
      <c r="H1907" s="40">
        <v>2754.85</v>
      </c>
      <c r="I1907" s="212"/>
      <c r="J1907" s="212"/>
    </row>
    <row r="1908" spans="1:10" s="5" customFormat="1" ht="25.5" hidden="1" customHeight="1" outlineLevel="1" x14ac:dyDescent="0.25">
      <c r="A1908" s="4">
        <v>618</v>
      </c>
      <c r="B1908" s="6" t="s">
        <v>15</v>
      </c>
      <c r="C1908" s="38" t="s">
        <v>8048</v>
      </c>
      <c r="D1908" s="6">
        <v>2023</v>
      </c>
      <c r="E1908" s="6" t="s">
        <v>13</v>
      </c>
      <c r="F1908" s="6">
        <v>3</v>
      </c>
      <c r="G1908" s="40">
        <v>15</v>
      </c>
      <c r="H1908" s="40">
        <v>193.91300000000001</v>
      </c>
      <c r="I1908" s="212"/>
      <c r="J1908" s="212"/>
    </row>
    <row r="1909" spans="1:10" s="5" customFormat="1" ht="25.5" hidden="1" customHeight="1" outlineLevel="1" x14ac:dyDescent="0.25">
      <c r="A1909" s="4">
        <v>2991</v>
      </c>
      <c r="B1909" s="6" t="s">
        <v>15</v>
      </c>
      <c r="C1909" s="38" t="s">
        <v>8049</v>
      </c>
      <c r="D1909" s="6">
        <v>2023</v>
      </c>
      <c r="E1909" s="6" t="s">
        <v>13</v>
      </c>
      <c r="F1909" s="6">
        <v>257</v>
      </c>
      <c r="G1909" s="40">
        <v>155</v>
      </c>
      <c r="H1909" s="40">
        <v>640.80000000000007</v>
      </c>
      <c r="I1909" s="212"/>
      <c r="J1909" s="212"/>
    </row>
    <row r="1910" spans="1:10" s="5" customFormat="1" ht="25.5" hidden="1" customHeight="1" outlineLevel="1" x14ac:dyDescent="0.25">
      <c r="A1910" s="4">
        <v>6163</v>
      </c>
      <c r="B1910" s="6" t="s">
        <v>15</v>
      </c>
      <c r="C1910" s="38" t="s">
        <v>9019</v>
      </c>
      <c r="D1910" s="6">
        <v>2023</v>
      </c>
      <c r="E1910" s="6" t="s">
        <v>13</v>
      </c>
      <c r="F1910" s="6">
        <v>5</v>
      </c>
      <c r="G1910" s="40">
        <v>400</v>
      </c>
      <c r="H1910" s="40">
        <v>244.09</v>
      </c>
      <c r="I1910" s="212"/>
      <c r="J1910" s="212"/>
    </row>
    <row r="1911" spans="1:10" s="5" customFormat="1" ht="25.5" hidden="1" customHeight="1" outlineLevel="1" x14ac:dyDescent="0.25">
      <c r="A1911" s="4">
        <v>6170</v>
      </c>
      <c r="B1911" s="6" t="s">
        <v>15</v>
      </c>
      <c r="C1911" s="38" t="s">
        <v>8050</v>
      </c>
      <c r="D1911" s="6">
        <v>2023</v>
      </c>
      <c r="E1911" s="6" t="s">
        <v>13</v>
      </c>
      <c r="F1911" s="6">
        <v>40</v>
      </c>
      <c r="G1911" s="40">
        <v>150</v>
      </c>
      <c r="H1911" s="40">
        <v>43.318000000000005</v>
      </c>
      <c r="I1911" s="212"/>
      <c r="J1911" s="212"/>
    </row>
    <row r="1912" spans="1:10" s="5" customFormat="1" ht="25.5" hidden="1" customHeight="1" outlineLevel="1" x14ac:dyDescent="0.25">
      <c r="A1912" s="4">
        <v>3020</v>
      </c>
      <c r="B1912" s="6" t="s">
        <v>15</v>
      </c>
      <c r="C1912" s="38" t="s">
        <v>9020</v>
      </c>
      <c r="D1912" s="6">
        <v>2023</v>
      </c>
      <c r="E1912" s="6" t="s">
        <v>13</v>
      </c>
      <c r="F1912" s="6">
        <v>25</v>
      </c>
      <c r="G1912" s="40">
        <v>150</v>
      </c>
      <c r="H1912" s="40">
        <v>48.097999999999999</v>
      </c>
      <c r="I1912" s="212"/>
      <c r="J1912" s="212"/>
    </row>
    <row r="1913" spans="1:10" s="5" customFormat="1" ht="25.5" hidden="1" customHeight="1" outlineLevel="1" x14ac:dyDescent="0.25">
      <c r="A1913" s="4">
        <v>3362</v>
      </c>
      <c r="B1913" s="6" t="s">
        <v>15</v>
      </c>
      <c r="C1913" s="38" t="s">
        <v>9021</v>
      </c>
      <c r="D1913" s="6">
        <v>2023</v>
      </c>
      <c r="E1913" s="6" t="s">
        <v>13</v>
      </c>
      <c r="F1913" s="6">
        <v>60</v>
      </c>
      <c r="G1913" s="40">
        <v>150</v>
      </c>
      <c r="H1913" s="40">
        <v>69.926000000000002</v>
      </c>
      <c r="I1913" s="212"/>
      <c r="J1913" s="212"/>
    </row>
    <row r="1914" spans="1:10" s="5" customFormat="1" ht="25.5" hidden="1" customHeight="1" outlineLevel="1" x14ac:dyDescent="0.25">
      <c r="A1914" s="4">
        <v>3006</v>
      </c>
      <c r="B1914" s="6" t="s">
        <v>15</v>
      </c>
      <c r="C1914" s="38" t="s">
        <v>9022</v>
      </c>
      <c r="D1914" s="6">
        <v>2023</v>
      </c>
      <c r="E1914" s="6" t="s">
        <v>13</v>
      </c>
      <c r="F1914" s="6">
        <v>40</v>
      </c>
      <c r="G1914" s="40">
        <v>150</v>
      </c>
      <c r="H1914" s="40">
        <v>158.07</v>
      </c>
      <c r="I1914" s="212"/>
      <c r="J1914" s="212"/>
    </row>
    <row r="1915" spans="1:10" s="5" customFormat="1" ht="25.5" hidden="1" customHeight="1" outlineLevel="1" x14ac:dyDescent="0.25">
      <c r="A1915" s="4">
        <v>361</v>
      </c>
      <c r="B1915" s="6" t="s">
        <v>15</v>
      </c>
      <c r="C1915" s="38" t="s">
        <v>9023</v>
      </c>
      <c r="D1915" s="6">
        <v>2023</v>
      </c>
      <c r="E1915" s="6" t="s">
        <v>13</v>
      </c>
      <c r="F1915" s="6">
        <v>16</v>
      </c>
      <c r="G1915" s="40">
        <v>15</v>
      </c>
      <c r="H1915" s="40">
        <v>182.59</v>
      </c>
      <c r="I1915" s="212"/>
      <c r="J1915" s="212"/>
    </row>
    <row r="1916" spans="1:10" s="5" customFormat="1" ht="25.5" hidden="1" customHeight="1" outlineLevel="1" x14ac:dyDescent="0.25">
      <c r="A1916" s="4">
        <v>3057</v>
      </c>
      <c r="B1916" s="6" t="s">
        <v>15</v>
      </c>
      <c r="C1916" s="38" t="s">
        <v>9024</v>
      </c>
      <c r="D1916" s="6">
        <v>2023</v>
      </c>
      <c r="E1916" s="6" t="s">
        <v>13</v>
      </c>
      <c r="F1916" s="6">
        <v>265</v>
      </c>
      <c r="G1916" s="40">
        <v>150</v>
      </c>
      <c r="H1916" s="40">
        <v>761</v>
      </c>
      <c r="I1916" s="212"/>
      <c r="J1916" s="212"/>
    </row>
    <row r="1917" spans="1:10" s="5" customFormat="1" ht="25.5" hidden="1" customHeight="1" outlineLevel="1" x14ac:dyDescent="0.25">
      <c r="A1917" s="4">
        <v>3021</v>
      </c>
      <c r="B1917" s="6" t="s">
        <v>15</v>
      </c>
      <c r="C1917" s="38" t="s">
        <v>9025</v>
      </c>
      <c r="D1917" s="6">
        <v>2023</v>
      </c>
      <c r="E1917" s="6" t="s">
        <v>13</v>
      </c>
      <c r="F1917" s="6">
        <v>234</v>
      </c>
      <c r="G1917" s="40">
        <v>150</v>
      </c>
      <c r="H1917" s="40">
        <v>647.25800000000004</v>
      </c>
      <c r="I1917" s="212"/>
      <c r="J1917" s="212"/>
    </row>
    <row r="1918" spans="1:10" s="5" customFormat="1" ht="25.5" hidden="1" customHeight="1" outlineLevel="1" x14ac:dyDescent="0.25">
      <c r="A1918" s="4">
        <v>3075</v>
      </c>
      <c r="B1918" s="6" t="s">
        <v>15</v>
      </c>
      <c r="C1918" s="38" t="s">
        <v>8068</v>
      </c>
      <c r="D1918" s="6">
        <v>2023</v>
      </c>
      <c r="E1918" s="6" t="s">
        <v>13</v>
      </c>
      <c r="F1918" s="6">
        <v>65</v>
      </c>
      <c r="G1918" s="40">
        <v>100</v>
      </c>
      <c r="H1918" s="40">
        <v>180.29999999999998</v>
      </c>
      <c r="I1918" s="212"/>
      <c r="J1918" s="212"/>
    </row>
    <row r="1919" spans="1:10" s="5" customFormat="1" ht="25.5" hidden="1" customHeight="1" outlineLevel="1" x14ac:dyDescent="0.25">
      <c r="A1919" s="4">
        <v>3034</v>
      </c>
      <c r="B1919" s="6" t="s">
        <v>15</v>
      </c>
      <c r="C1919" s="38" t="s">
        <v>8082</v>
      </c>
      <c r="D1919" s="6">
        <v>2023</v>
      </c>
      <c r="E1919" s="6" t="s">
        <v>13</v>
      </c>
      <c r="F1919" s="6">
        <v>30</v>
      </c>
      <c r="G1919" s="40">
        <v>150</v>
      </c>
      <c r="H1919" s="40">
        <v>110.81</v>
      </c>
      <c r="I1919" s="212"/>
      <c r="J1919" s="212"/>
    </row>
    <row r="1920" spans="1:10" s="5" customFormat="1" ht="25.5" hidden="1" customHeight="1" outlineLevel="1" x14ac:dyDescent="0.25">
      <c r="A1920" s="4">
        <v>3363</v>
      </c>
      <c r="B1920" s="6" t="s">
        <v>15</v>
      </c>
      <c r="C1920" s="38" t="s">
        <v>9026</v>
      </c>
      <c r="D1920" s="6">
        <v>2023</v>
      </c>
      <c r="E1920" s="6" t="s">
        <v>13</v>
      </c>
      <c r="F1920" s="6">
        <v>15</v>
      </c>
      <c r="G1920" s="40">
        <v>150</v>
      </c>
      <c r="H1920" s="40">
        <v>93.396999999999991</v>
      </c>
      <c r="I1920" s="212"/>
      <c r="J1920" s="212"/>
    </row>
    <row r="1921" spans="1:10" s="5" customFormat="1" ht="25.5" hidden="1" customHeight="1" outlineLevel="1" x14ac:dyDescent="0.25">
      <c r="A1921" s="4">
        <v>3079</v>
      </c>
      <c r="B1921" s="6" t="s">
        <v>15</v>
      </c>
      <c r="C1921" s="38" t="s">
        <v>9027</v>
      </c>
      <c r="D1921" s="6">
        <v>2023</v>
      </c>
      <c r="E1921" s="6" t="s">
        <v>13</v>
      </c>
      <c r="F1921" s="6">
        <v>15</v>
      </c>
      <c r="G1921" s="40">
        <v>100</v>
      </c>
      <c r="H1921" s="40">
        <v>201.19</v>
      </c>
      <c r="I1921" s="212"/>
      <c r="J1921" s="212"/>
    </row>
    <row r="1922" spans="1:10" s="5" customFormat="1" ht="25.5" hidden="1" customHeight="1" outlineLevel="1" x14ac:dyDescent="0.25">
      <c r="A1922" s="4">
        <v>1230</v>
      </c>
      <c r="B1922" s="6" t="s">
        <v>15</v>
      </c>
      <c r="C1922" s="38" t="s">
        <v>8087</v>
      </c>
      <c r="D1922" s="6">
        <v>2023</v>
      </c>
      <c r="E1922" s="6" t="s">
        <v>13</v>
      </c>
      <c r="F1922" s="6">
        <v>60</v>
      </c>
      <c r="G1922" s="40">
        <v>15</v>
      </c>
      <c r="H1922" s="40">
        <v>172.054</v>
      </c>
      <c r="I1922" s="212"/>
      <c r="J1922" s="212"/>
    </row>
    <row r="1923" spans="1:10" s="5" customFormat="1" ht="25.5" hidden="1" customHeight="1" outlineLevel="1" x14ac:dyDescent="0.25">
      <c r="A1923" s="4">
        <v>3068</v>
      </c>
      <c r="B1923" s="6" t="s">
        <v>15</v>
      </c>
      <c r="C1923" s="38" t="s">
        <v>9028</v>
      </c>
      <c r="D1923" s="6">
        <v>2023</v>
      </c>
      <c r="E1923" s="6" t="s">
        <v>13</v>
      </c>
      <c r="F1923" s="6">
        <v>539</v>
      </c>
      <c r="G1923" s="40">
        <v>135</v>
      </c>
      <c r="H1923" s="40">
        <v>1368.91</v>
      </c>
      <c r="I1923" s="212"/>
      <c r="J1923" s="212"/>
    </row>
    <row r="1924" spans="1:10" s="5" customFormat="1" ht="25.5" hidden="1" customHeight="1" outlineLevel="1" x14ac:dyDescent="0.25">
      <c r="A1924" s="4">
        <v>3026</v>
      </c>
      <c r="B1924" s="6" t="s">
        <v>15</v>
      </c>
      <c r="C1924" s="38" t="s">
        <v>8100</v>
      </c>
      <c r="D1924" s="6">
        <v>2023</v>
      </c>
      <c r="E1924" s="6" t="s">
        <v>13</v>
      </c>
      <c r="F1924" s="6">
        <v>153</v>
      </c>
      <c r="G1924" s="40">
        <v>80</v>
      </c>
      <c r="H1924" s="40">
        <v>472.24599999999998</v>
      </c>
      <c r="I1924" s="212"/>
      <c r="J1924" s="212"/>
    </row>
    <row r="1925" spans="1:10" s="5" customFormat="1" ht="25.5" hidden="1" customHeight="1" outlineLevel="1" x14ac:dyDescent="0.25">
      <c r="A1925" s="4">
        <v>3241</v>
      </c>
      <c r="B1925" s="6" t="s">
        <v>15</v>
      </c>
      <c r="C1925" s="38" t="s">
        <v>8104</v>
      </c>
      <c r="D1925" s="6">
        <v>2023</v>
      </c>
      <c r="E1925" s="6" t="s">
        <v>13</v>
      </c>
      <c r="F1925" s="6">
        <v>735</v>
      </c>
      <c r="G1925" s="40">
        <v>5</v>
      </c>
      <c r="H1925" s="40">
        <v>1178.182</v>
      </c>
      <c r="I1925" s="212"/>
      <c r="J1925" s="212"/>
    </row>
    <row r="1926" spans="1:10" s="5" customFormat="1" ht="25.5" hidden="1" customHeight="1" outlineLevel="1" x14ac:dyDescent="0.25">
      <c r="A1926" s="4">
        <v>3110</v>
      </c>
      <c r="B1926" s="6" t="s">
        <v>15</v>
      </c>
      <c r="C1926" s="38" t="s">
        <v>9029</v>
      </c>
      <c r="D1926" s="6">
        <v>2023</v>
      </c>
      <c r="E1926" s="6" t="s">
        <v>13</v>
      </c>
      <c r="F1926" s="6">
        <v>713</v>
      </c>
      <c r="G1926" s="40">
        <v>150</v>
      </c>
      <c r="H1926" s="40">
        <v>1889.3899999999999</v>
      </c>
      <c r="I1926" s="212"/>
      <c r="J1926" s="212"/>
    </row>
    <row r="1927" spans="1:10" s="5" customFormat="1" ht="25.5" hidden="1" customHeight="1" outlineLevel="1" x14ac:dyDescent="0.25">
      <c r="A1927" s="4">
        <v>1088</v>
      </c>
      <c r="B1927" s="6" t="s">
        <v>15</v>
      </c>
      <c r="C1927" s="38" t="s">
        <v>8105</v>
      </c>
      <c r="D1927" s="6">
        <v>2023</v>
      </c>
      <c r="E1927" s="6" t="s">
        <v>13</v>
      </c>
      <c r="F1927" s="6">
        <v>428</v>
      </c>
      <c r="G1927" s="40">
        <v>45</v>
      </c>
      <c r="H1927" s="40">
        <v>887.90700000000004</v>
      </c>
      <c r="I1927" s="212"/>
      <c r="J1927" s="212"/>
    </row>
    <row r="1928" spans="1:10" s="5" customFormat="1" ht="25.5" hidden="1" customHeight="1" outlineLevel="1" x14ac:dyDescent="0.25">
      <c r="A1928" s="4">
        <v>671</v>
      </c>
      <c r="B1928" s="6" t="s">
        <v>15</v>
      </c>
      <c r="C1928" s="38" t="s">
        <v>8139</v>
      </c>
      <c r="D1928" s="6">
        <v>2023</v>
      </c>
      <c r="E1928" s="6" t="s">
        <v>13</v>
      </c>
      <c r="F1928" s="6">
        <v>128</v>
      </c>
      <c r="G1928" s="40">
        <v>15</v>
      </c>
      <c r="H1928" s="40">
        <v>471.43655999999999</v>
      </c>
      <c r="I1928" s="212"/>
      <c r="J1928" s="212"/>
    </row>
    <row r="1929" spans="1:10" s="5" customFormat="1" ht="25.5" hidden="1" customHeight="1" outlineLevel="1" x14ac:dyDescent="0.25">
      <c r="A1929" s="4">
        <v>3024</v>
      </c>
      <c r="B1929" s="6" t="s">
        <v>15</v>
      </c>
      <c r="C1929" s="38" t="s">
        <v>8147</v>
      </c>
      <c r="D1929" s="6">
        <v>2023</v>
      </c>
      <c r="E1929" s="6" t="s">
        <v>13</v>
      </c>
      <c r="F1929" s="6">
        <v>118</v>
      </c>
      <c r="G1929" s="40">
        <v>80</v>
      </c>
      <c r="H1929" s="40">
        <v>477.99599999999998</v>
      </c>
      <c r="I1929" s="212"/>
      <c r="J1929" s="212"/>
    </row>
    <row r="1930" spans="1:10" s="5" customFormat="1" ht="25.5" hidden="1" customHeight="1" outlineLevel="1" x14ac:dyDescent="0.25">
      <c r="A1930" s="4">
        <v>3236</v>
      </c>
      <c r="B1930" s="6" t="s">
        <v>15</v>
      </c>
      <c r="C1930" s="38" t="s">
        <v>8149</v>
      </c>
      <c r="D1930" s="6">
        <v>2023</v>
      </c>
      <c r="E1930" s="6" t="s">
        <v>13</v>
      </c>
      <c r="F1930" s="6">
        <v>5</v>
      </c>
      <c r="G1930" s="40">
        <v>15</v>
      </c>
      <c r="H1930" s="40">
        <v>129.58259000000001</v>
      </c>
      <c r="I1930" s="212"/>
      <c r="J1930" s="212"/>
    </row>
    <row r="1931" spans="1:10" s="5" customFormat="1" ht="25.5" hidden="1" customHeight="1" outlineLevel="1" x14ac:dyDescent="0.25">
      <c r="A1931" s="4">
        <v>3366</v>
      </c>
      <c r="B1931" s="6" t="s">
        <v>15</v>
      </c>
      <c r="C1931" s="38" t="s">
        <v>9030</v>
      </c>
      <c r="D1931" s="6">
        <v>2023</v>
      </c>
      <c r="E1931" s="6" t="s">
        <v>13</v>
      </c>
      <c r="F1931" s="6">
        <v>15</v>
      </c>
      <c r="G1931" s="40">
        <v>150</v>
      </c>
      <c r="H1931" s="40">
        <v>79.546930000000003</v>
      </c>
      <c r="I1931" s="212"/>
      <c r="J1931" s="212"/>
    </row>
    <row r="1932" spans="1:10" s="5" customFormat="1" ht="25.5" hidden="1" customHeight="1" outlineLevel="1" x14ac:dyDescent="0.25">
      <c r="A1932" s="4">
        <v>3072</v>
      </c>
      <c r="B1932" s="6" t="s">
        <v>15</v>
      </c>
      <c r="C1932" s="38" t="s">
        <v>8155</v>
      </c>
      <c r="D1932" s="6">
        <v>2023</v>
      </c>
      <c r="E1932" s="6" t="s">
        <v>13</v>
      </c>
      <c r="F1932" s="6">
        <v>90</v>
      </c>
      <c r="G1932" s="40">
        <v>137</v>
      </c>
      <c r="H1932" s="40">
        <v>173.44398999999999</v>
      </c>
      <c r="I1932" s="212"/>
      <c r="J1932" s="212"/>
    </row>
    <row r="1933" spans="1:10" s="5" customFormat="1" ht="25.5" hidden="1" customHeight="1" outlineLevel="1" x14ac:dyDescent="0.25">
      <c r="A1933" s="4">
        <v>3096</v>
      </c>
      <c r="B1933" s="6" t="s">
        <v>15</v>
      </c>
      <c r="C1933" s="38" t="s">
        <v>9031</v>
      </c>
      <c r="D1933" s="6">
        <v>2023</v>
      </c>
      <c r="E1933" s="6" t="s">
        <v>13</v>
      </c>
      <c r="F1933" s="6">
        <v>30</v>
      </c>
      <c r="G1933" s="40">
        <v>150</v>
      </c>
      <c r="H1933" s="40">
        <v>59.850999999999999</v>
      </c>
      <c r="I1933" s="212"/>
      <c r="J1933" s="212"/>
    </row>
    <row r="1934" spans="1:10" s="5" customFormat="1" ht="25.5" hidden="1" customHeight="1" outlineLevel="1" x14ac:dyDescent="0.25">
      <c r="A1934" s="4">
        <v>3095</v>
      </c>
      <c r="B1934" s="6" t="s">
        <v>15</v>
      </c>
      <c r="C1934" s="38" t="s">
        <v>9032</v>
      </c>
      <c r="D1934" s="6">
        <v>2023</v>
      </c>
      <c r="E1934" s="6" t="s">
        <v>13</v>
      </c>
      <c r="F1934" s="6">
        <v>15</v>
      </c>
      <c r="G1934" s="40">
        <v>300</v>
      </c>
      <c r="H1934" s="40">
        <v>97.699999999999989</v>
      </c>
      <c r="I1934" s="212"/>
      <c r="J1934" s="212"/>
    </row>
    <row r="1935" spans="1:10" s="5" customFormat="1" ht="25.5" hidden="1" customHeight="1" outlineLevel="1" x14ac:dyDescent="0.25">
      <c r="A1935" s="4">
        <v>3018</v>
      </c>
      <c r="B1935" s="6" t="s">
        <v>15</v>
      </c>
      <c r="C1935" s="38" t="s">
        <v>9033</v>
      </c>
      <c r="D1935" s="6">
        <v>2023</v>
      </c>
      <c r="E1935" s="6" t="s">
        <v>13</v>
      </c>
      <c r="F1935" s="6">
        <v>3906</v>
      </c>
      <c r="G1935" s="40">
        <v>50</v>
      </c>
      <c r="H1935" s="40">
        <v>7123.9579999999996</v>
      </c>
      <c r="I1935" s="212"/>
      <c r="J1935" s="212"/>
    </row>
    <row r="1936" spans="1:10" s="5" customFormat="1" ht="25.5" hidden="1" customHeight="1" outlineLevel="1" x14ac:dyDescent="0.25">
      <c r="A1936" s="4">
        <v>6490</v>
      </c>
      <c r="B1936" s="6" t="s">
        <v>15</v>
      </c>
      <c r="C1936" s="38" t="s">
        <v>9034</v>
      </c>
      <c r="D1936" s="6">
        <v>2023</v>
      </c>
      <c r="E1936" s="6" t="s">
        <v>13</v>
      </c>
      <c r="F1936" s="6">
        <v>7</v>
      </c>
      <c r="G1936" s="40">
        <v>150</v>
      </c>
      <c r="H1936" s="40">
        <v>21.02356</v>
      </c>
      <c r="I1936" s="212"/>
      <c r="J1936" s="212"/>
    </row>
    <row r="1937" spans="1:10" s="5" customFormat="1" ht="25.5" hidden="1" customHeight="1" outlineLevel="1" x14ac:dyDescent="0.25">
      <c r="A1937" s="4">
        <v>3280</v>
      </c>
      <c r="B1937" s="6" t="s">
        <v>15</v>
      </c>
      <c r="C1937" s="38" t="s">
        <v>8163</v>
      </c>
      <c r="D1937" s="6">
        <v>2023</v>
      </c>
      <c r="E1937" s="6" t="s">
        <v>13</v>
      </c>
      <c r="F1937" s="6">
        <v>60</v>
      </c>
      <c r="G1937" s="40">
        <v>15</v>
      </c>
      <c r="H1937" s="40">
        <v>257.48579000000001</v>
      </c>
      <c r="I1937" s="212"/>
      <c r="J1937" s="212"/>
    </row>
    <row r="1938" spans="1:10" s="5" customFormat="1" ht="25.5" hidden="1" customHeight="1" outlineLevel="1" x14ac:dyDescent="0.25">
      <c r="A1938" s="4">
        <v>3134</v>
      </c>
      <c r="B1938" s="6" t="s">
        <v>15</v>
      </c>
      <c r="C1938" s="38" t="s">
        <v>9035</v>
      </c>
      <c r="D1938" s="6">
        <v>2023</v>
      </c>
      <c r="E1938" s="6" t="s">
        <v>13</v>
      </c>
      <c r="F1938" s="6">
        <v>5</v>
      </c>
      <c r="G1938" s="40">
        <v>150</v>
      </c>
      <c r="H1938" s="40">
        <v>110.51300000000001</v>
      </c>
      <c r="I1938" s="212"/>
      <c r="J1938" s="212"/>
    </row>
    <row r="1939" spans="1:10" s="5" customFormat="1" ht="25.5" hidden="1" customHeight="1" outlineLevel="1" x14ac:dyDescent="0.25">
      <c r="A1939" s="4">
        <v>3016</v>
      </c>
      <c r="B1939" s="6" t="s">
        <v>15</v>
      </c>
      <c r="C1939" s="38" t="s">
        <v>8181</v>
      </c>
      <c r="D1939" s="6">
        <v>2023</v>
      </c>
      <c r="E1939" s="6" t="s">
        <v>13</v>
      </c>
      <c r="F1939" s="6">
        <v>5</v>
      </c>
      <c r="G1939" s="40">
        <v>60</v>
      </c>
      <c r="H1939" s="40">
        <v>15.402000000000001</v>
      </c>
      <c r="I1939" s="212"/>
      <c r="J1939" s="212"/>
    </row>
    <row r="1940" spans="1:10" s="5" customFormat="1" ht="25.5" hidden="1" customHeight="1" outlineLevel="1" x14ac:dyDescent="0.25">
      <c r="A1940" s="4">
        <v>634</v>
      </c>
      <c r="B1940" s="6" t="s">
        <v>15</v>
      </c>
      <c r="C1940" s="38" t="s">
        <v>8182</v>
      </c>
      <c r="D1940" s="6">
        <v>2023</v>
      </c>
      <c r="E1940" s="6" t="s">
        <v>13</v>
      </c>
      <c r="F1940" s="6">
        <v>80</v>
      </c>
      <c r="G1940" s="40">
        <v>15</v>
      </c>
      <c r="H1940" s="40">
        <v>50.118980000000001</v>
      </c>
      <c r="I1940" s="212"/>
      <c r="J1940" s="212"/>
    </row>
    <row r="1941" spans="1:10" s="5" customFormat="1" ht="25.5" hidden="1" customHeight="1" outlineLevel="1" x14ac:dyDescent="0.25">
      <c r="A1941" s="4">
        <v>3133</v>
      </c>
      <c r="B1941" s="6" t="s">
        <v>15</v>
      </c>
      <c r="C1941" s="38" t="s">
        <v>9036</v>
      </c>
      <c r="D1941" s="6">
        <v>2023</v>
      </c>
      <c r="E1941" s="6" t="s">
        <v>13</v>
      </c>
      <c r="F1941" s="6">
        <v>10</v>
      </c>
      <c r="G1941" s="40">
        <v>150</v>
      </c>
      <c r="H1941" s="40">
        <v>11.635</v>
      </c>
      <c r="I1941" s="212"/>
      <c r="J1941" s="212"/>
    </row>
    <row r="1942" spans="1:10" s="5" customFormat="1" ht="25.5" hidden="1" customHeight="1" outlineLevel="1" x14ac:dyDescent="0.25">
      <c r="A1942" s="4">
        <v>3122</v>
      </c>
      <c r="B1942" s="6" t="s">
        <v>15</v>
      </c>
      <c r="C1942" s="38" t="s">
        <v>9037</v>
      </c>
      <c r="D1942" s="6">
        <v>2023</v>
      </c>
      <c r="E1942" s="6" t="s">
        <v>13</v>
      </c>
      <c r="F1942" s="6">
        <v>6</v>
      </c>
      <c r="G1942" s="40">
        <v>150</v>
      </c>
      <c r="H1942" s="40">
        <v>135.61599999999999</v>
      </c>
      <c r="I1942" s="212"/>
      <c r="J1942" s="212"/>
    </row>
    <row r="1943" spans="1:10" s="5" customFormat="1" ht="25.5" hidden="1" customHeight="1" outlineLevel="1" x14ac:dyDescent="0.25">
      <c r="A1943" s="4">
        <v>3146</v>
      </c>
      <c r="B1943" s="6" t="s">
        <v>15</v>
      </c>
      <c r="C1943" s="38" t="s">
        <v>9038</v>
      </c>
      <c r="D1943" s="6">
        <v>2023</v>
      </c>
      <c r="E1943" s="6" t="s">
        <v>13</v>
      </c>
      <c r="F1943" s="6">
        <v>527</v>
      </c>
      <c r="G1943" s="40">
        <v>150</v>
      </c>
      <c r="H1943" s="40">
        <v>1561.5874000000001</v>
      </c>
      <c r="I1943" s="212"/>
      <c r="J1943" s="212"/>
    </row>
    <row r="1944" spans="1:10" s="5" customFormat="1" ht="25.5" hidden="1" customHeight="1" outlineLevel="1" x14ac:dyDescent="0.25">
      <c r="A1944" s="4">
        <v>3086</v>
      </c>
      <c r="B1944" s="6" t="s">
        <v>15</v>
      </c>
      <c r="C1944" s="38" t="s">
        <v>9039</v>
      </c>
      <c r="D1944" s="6">
        <v>2023</v>
      </c>
      <c r="E1944" s="6" t="s">
        <v>13</v>
      </c>
      <c r="F1944" s="6">
        <v>20</v>
      </c>
      <c r="G1944" s="40">
        <v>150</v>
      </c>
      <c r="H1944" s="40">
        <v>8.2159999999999993</v>
      </c>
      <c r="I1944" s="212"/>
      <c r="J1944" s="212"/>
    </row>
    <row r="1945" spans="1:10" s="5" customFormat="1" ht="25.5" hidden="1" customHeight="1" outlineLevel="1" x14ac:dyDescent="0.25">
      <c r="A1945" s="4">
        <v>3039</v>
      </c>
      <c r="B1945" s="6" t="s">
        <v>15</v>
      </c>
      <c r="C1945" s="38" t="s">
        <v>8197</v>
      </c>
      <c r="D1945" s="6">
        <v>2023</v>
      </c>
      <c r="E1945" s="6" t="s">
        <v>13</v>
      </c>
      <c r="F1945" s="6">
        <v>10</v>
      </c>
      <c r="G1945" s="40">
        <v>65</v>
      </c>
      <c r="H1945" s="40">
        <v>14.984</v>
      </c>
      <c r="I1945" s="212"/>
      <c r="J1945" s="212"/>
    </row>
    <row r="1946" spans="1:10" s="5" customFormat="1" ht="25.5" hidden="1" customHeight="1" outlineLevel="1" x14ac:dyDescent="0.25">
      <c r="A1946" s="4">
        <v>3071</v>
      </c>
      <c r="B1946" s="6" t="s">
        <v>15</v>
      </c>
      <c r="C1946" s="38" t="s">
        <v>9040</v>
      </c>
      <c r="D1946" s="6">
        <v>2023</v>
      </c>
      <c r="E1946" s="6" t="s">
        <v>13</v>
      </c>
      <c r="F1946" s="6">
        <v>563</v>
      </c>
      <c r="G1946" s="40">
        <v>150</v>
      </c>
      <c r="H1946" s="40">
        <v>1390.5409999999999</v>
      </c>
      <c r="I1946" s="212"/>
      <c r="J1946" s="212"/>
    </row>
    <row r="1947" spans="1:10" s="5" customFormat="1" ht="25.5" hidden="1" customHeight="1" outlineLevel="1" x14ac:dyDescent="0.25">
      <c r="A1947" s="4">
        <v>3138</v>
      </c>
      <c r="B1947" s="6" t="s">
        <v>15</v>
      </c>
      <c r="C1947" s="38" t="s">
        <v>9041</v>
      </c>
      <c r="D1947" s="6">
        <v>2023</v>
      </c>
      <c r="E1947" s="6" t="s">
        <v>13</v>
      </c>
      <c r="F1947" s="6">
        <v>15</v>
      </c>
      <c r="G1947" s="40">
        <v>140</v>
      </c>
      <c r="H1947" s="40">
        <v>157.97900000000001</v>
      </c>
      <c r="I1947" s="212"/>
      <c r="J1947" s="212"/>
    </row>
    <row r="1948" spans="1:10" s="5" customFormat="1" ht="25.5" hidden="1" customHeight="1" outlineLevel="1" x14ac:dyDescent="0.25">
      <c r="A1948" s="4">
        <v>633</v>
      </c>
      <c r="B1948" s="6" t="s">
        <v>15</v>
      </c>
      <c r="C1948" s="38" t="s">
        <v>8202</v>
      </c>
      <c r="D1948" s="6">
        <v>2023</v>
      </c>
      <c r="E1948" s="6" t="s">
        <v>13</v>
      </c>
      <c r="F1948" s="6">
        <v>50</v>
      </c>
      <c r="G1948" s="40">
        <v>10</v>
      </c>
      <c r="H1948" s="40">
        <v>37.309950000000001</v>
      </c>
      <c r="I1948" s="212"/>
      <c r="J1948" s="212"/>
    </row>
    <row r="1949" spans="1:10" s="5" customFormat="1" ht="25.5" hidden="1" customHeight="1" outlineLevel="1" x14ac:dyDescent="0.25">
      <c r="A1949" s="4">
        <v>3065</v>
      </c>
      <c r="B1949" s="6" t="s">
        <v>15</v>
      </c>
      <c r="C1949" s="38" t="s">
        <v>9042</v>
      </c>
      <c r="D1949" s="6">
        <v>2023</v>
      </c>
      <c r="E1949" s="6" t="s">
        <v>13</v>
      </c>
      <c r="F1949" s="6">
        <v>10</v>
      </c>
      <c r="G1949" s="40">
        <v>150</v>
      </c>
      <c r="H1949" s="40">
        <v>23.794</v>
      </c>
      <c r="I1949" s="212"/>
      <c r="J1949" s="212"/>
    </row>
    <row r="1950" spans="1:10" s="5" customFormat="1" ht="25.5" hidden="1" customHeight="1" outlineLevel="1" x14ac:dyDescent="0.25">
      <c r="A1950" s="4">
        <v>3069</v>
      </c>
      <c r="B1950" s="6" t="s">
        <v>15</v>
      </c>
      <c r="C1950" s="38" t="s">
        <v>9043</v>
      </c>
      <c r="D1950" s="6">
        <v>2023</v>
      </c>
      <c r="E1950" s="6" t="s">
        <v>13</v>
      </c>
      <c r="F1950" s="6">
        <v>15</v>
      </c>
      <c r="G1950" s="40">
        <v>150</v>
      </c>
      <c r="H1950" s="40">
        <v>49.792999999999999</v>
      </c>
      <c r="I1950" s="212"/>
      <c r="J1950" s="212"/>
    </row>
    <row r="1951" spans="1:10" s="5" customFormat="1" ht="25.5" hidden="1" customHeight="1" outlineLevel="1" x14ac:dyDescent="0.25">
      <c r="A1951" s="4">
        <v>3008</v>
      </c>
      <c r="B1951" s="6" t="s">
        <v>15</v>
      </c>
      <c r="C1951" s="38" t="s">
        <v>9044</v>
      </c>
      <c r="D1951" s="6">
        <v>2023</v>
      </c>
      <c r="E1951" s="6" t="s">
        <v>13</v>
      </c>
      <c r="F1951" s="6">
        <v>40</v>
      </c>
      <c r="G1951" s="40">
        <v>150</v>
      </c>
      <c r="H1951" s="40">
        <v>17.785499999999999</v>
      </c>
      <c r="I1951" s="212"/>
      <c r="J1951" s="212"/>
    </row>
    <row r="1952" spans="1:10" s="5" customFormat="1" ht="25.5" hidden="1" customHeight="1" outlineLevel="1" x14ac:dyDescent="0.25">
      <c r="A1952" s="4">
        <v>6636</v>
      </c>
      <c r="B1952" s="6" t="s">
        <v>15</v>
      </c>
      <c r="C1952" s="38" t="s">
        <v>9045</v>
      </c>
      <c r="D1952" s="6">
        <v>2023</v>
      </c>
      <c r="E1952" s="6" t="s">
        <v>13</v>
      </c>
      <c r="F1952" s="6">
        <v>216</v>
      </c>
      <c r="G1952" s="40">
        <v>100</v>
      </c>
      <c r="H1952" s="40">
        <v>631.45300000000009</v>
      </c>
      <c r="I1952" s="212"/>
      <c r="J1952" s="212"/>
    </row>
    <row r="1953" spans="1:10" s="5" customFormat="1" ht="25.5" hidden="1" customHeight="1" outlineLevel="1" x14ac:dyDescent="0.25">
      <c r="A1953" s="4">
        <v>3165</v>
      </c>
      <c r="B1953" s="6" t="s">
        <v>15</v>
      </c>
      <c r="C1953" s="38" t="s">
        <v>9046</v>
      </c>
      <c r="D1953" s="6">
        <v>2023</v>
      </c>
      <c r="E1953" s="6" t="s">
        <v>13</v>
      </c>
      <c r="F1953" s="6">
        <v>430</v>
      </c>
      <c r="G1953" s="40">
        <v>600</v>
      </c>
      <c r="H1953" s="40">
        <v>1042.931</v>
      </c>
      <c r="I1953" s="212"/>
      <c r="J1953" s="212"/>
    </row>
    <row r="1954" spans="1:10" s="5" customFormat="1" ht="25.5" hidden="1" customHeight="1" outlineLevel="1" x14ac:dyDescent="0.25">
      <c r="A1954" s="4">
        <v>6711</v>
      </c>
      <c r="B1954" s="6" t="s">
        <v>15</v>
      </c>
      <c r="C1954" s="38" t="s">
        <v>9047</v>
      </c>
      <c r="D1954" s="6">
        <v>2023</v>
      </c>
      <c r="E1954" s="6" t="s">
        <v>13</v>
      </c>
      <c r="F1954" s="6">
        <v>399</v>
      </c>
      <c r="G1954" s="40">
        <v>75</v>
      </c>
      <c r="H1954" s="40">
        <v>1099.6669999999999</v>
      </c>
      <c r="I1954" s="212"/>
      <c r="J1954" s="212"/>
    </row>
    <row r="1955" spans="1:10" s="5" customFormat="1" ht="25.5" hidden="1" customHeight="1" outlineLevel="1" x14ac:dyDescent="0.25">
      <c r="A1955" s="4">
        <v>4028</v>
      </c>
      <c r="B1955" s="6" t="s">
        <v>15</v>
      </c>
      <c r="C1955" s="38" t="s">
        <v>8361</v>
      </c>
      <c r="D1955" s="6">
        <v>2023</v>
      </c>
      <c r="E1955" s="6" t="s">
        <v>13</v>
      </c>
      <c r="F1955" s="6">
        <v>10</v>
      </c>
      <c r="G1955" s="40">
        <v>75</v>
      </c>
      <c r="H1955" s="40">
        <v>106.93716999999999</v>
      </c>
      <c r="I1955" s="212"/>
      <c r="J1955" s="212"/>
    </row>
    <row r="1956" spans="1:10" s="5" customFormat="1" ht="25.5" hidden="1" customHeight="1" outlineLevel="1" x14ac:dyDescent="0.25">
      <c r="A1956" s="4">
        <v>3995</v>
      </c>
      <c r="B1956" s="6" t="s">
        <v>15</v>
      </c>
      <c r="C1956" s="38" t="s">
        <v>8362</v>
      </c>
      <c r="D1956" s="6">
        <v>2023</v>
      </c>
      <c r="E1956" s="6" t="s">
        <v>13</v>
      </c>
      <c r="F1956" s="6">
        <v>15</v>
      </c>
      <c r="G1956" s="40">
        <v>15</v>
      </c>
      <c r="H1956" s="40">
        <v>122.86982</v>
      </c>
      <c r="I1956" s="212"/>
      <c r="J1956" s="212"/>
    </row>
    <row r="1957" spans="1:10" s="5" customFormat="1" ht="25.5" hidden="1" customHeight="1" outlineLevel="1" x14ac:dyDescent="0.25">
      <c r="A1957" s="4">
        <v>4032</v>
      </c>
      <c r="B1957" s="6" t="s">
        <v>15</v>
      </c>
      <c r="C1957" s="38" t="s">
        <v>8363</v>
      </c>
      <c r="D1957" s="6">
        <v>2023</v>
      </c>
      <c r="E1957" s="6" t="s">
        <v>13</v>
      </c>
      <c r="F1957" s="6">
        <v>246</v>
      </c>
      <c r="G1957" s="40">
        <v>15</v>
      </c>
      <c r="H1957" s="40">
        <v>849.20746999999994</v>
      </c>
      <c r="I1957" s="212"/>
      <c r="J1957" s="212"/>
    </row>
    <row r="1958" spans="1:10" s="5" customFormat="1" ht="25.5" hidden="1" customHeight="1" outlineLevel="1" x14ac:dyDescent="0.25">
      <c r="A1958" s="4">
        <v>484</v>
      </c>
      <c r="B1958" s="6" t="s">
        <v>15</v>
      </c>
      <c r="C1958" s="38" t="s">
        <v>8365</v>
      </c>
      <c r="D1958" s="6">
        <v>2023</v>
      </c>
      <c r="E1958" s="6" t="s">
        <v>13</v>
      </c>
      <c r="F1958" s="6">
        <v>459</v>
      </c>
      <c r="G1958" s="40">
        <v>15</v>
      </c>
      <c r="H1958" s="40">
        <v>1145.30936</v>
      </c>
      <c r="I1958" s="212"/>
      <c r="J1958" s="212"/>
    </row>
    <row r="1959" spans="1:10" s="5" customFormat="1" ht="25.5" hidden="1" customHeight="1" outlineLevel="1" x14ac:dyDescent="0.25">
      <c r="A1959" s="4">
        <v>4025</v>
      </c>
      <c r="B1959" s="6" t="s">
        <v>15</v>
      </c>
      <c r="C1959" s="38" t="s">
        <v>8366</v>
      </c>
      <c r="D1959" s="6">
        <v>2023</v>
      </c>
      <c r="E1959" s="6" t="s">
        <v>13</v>
      </c>
      <c r="F1959" s="6">
        <v>237</v>
      </c>
      <c r="G1959" s="40">
        <v>50</v>
      </c>
      <c r="H1959" s="40">
        <v>545.59981000000005</v>
      </c>
      <c r="I1959" s="212"/>
      <c r="J1959" s="212"/>
    </row>
    <row r="1960" spans="1:10" s="5" customFormat="1" ht="25.5" hidden="1" customHeight="1" outlineLevel="1" x14ac:dyDescent="0.25">
      <c r="A1960" s="4">
        <v>253</v>
      </c>
      <c r="B1960" s="6" t="s">
        <v>15</v>
      </c>
      <c r="C1960" s="38" t="s">
        <v>8367</v>
      </c>
      <c r="D1960" s="6">
        <v>2023</v>
      </c>
      <c r="E1960" s="6" t="s">
        <v>13</v>
      </c>
      <c r="F1960" s="6">
        <v>275</v>
      </c>
      <c r="G1960" s="40">
        <v>15</v>
      </c>
      <c r="H1960" s="40">
        <v>483.84018000000003</v>
      </c>
      <c r="I1960" s="212"/>
      <c r="J1960" s="212"/>
    </row>
    <row r="1961" spans="1:10" s="5" customFormat="1" ht="25.5" hidden="1" customHeight="1" outlineLevel="1" x14ac:dyDescent="0.25">
      <c r="A1961" s="4">
        <v>2825</v>
      </c>
      <c r="B1961" s="6" t="s">
        <v>15</v>
      </c>
      <c r="C1961" s="38" t="s">
        <v>8369</v>
      </c>
      <c r="D1961" s="6">
        <v>2023</v>
      </c>
      <c r="E1961" s="6" t="s">
        <v>13</v>
      </c>
      <c r="F1961" s="6">
        <v>15</v>
      </c>
      <c r="G1961" s="40">
        <v>15</v>
      </c>
      <c r="H1961" s="40">
        <v>162.97232</v>
      </c>
      <c r="I1961" s="212"/>
      <c r="J1961" s="212"/>
    </row>
    <row r="1962" spans="1:10" s="5" customFormat="1" ht="25.5" hidden="1" customHeight="1" outlineLevel="1" x14ac:dyDescent="0.25">
      <c r="A1962" s="4">
        <v>274</v>
      </c>
      <c r="B1962" s="6" t="s">
        <v>15</v>
      </c>
      <c r="C1962" s="38" t="s">
        <v>8371</v>
      </c>
      <c r="D1962" s="6">
        <v>2023</v>
      </c>
      <c r="E1962" s="6" t="s">
        <v>13</v>
      </c>
      <c r="F1962" s="6">
        <v>168</v>
      </c>
      <c r="G1962" s="40">
        <v>85</v>
      </c>
      <c r="H1962" s="40">
        <v>480.33693999999997</v>
      </c>
      <c r="I1962" s="212"/>
      <c r="J1962" s="212"/>
    </row>
    <row r="1963" spans="1:10" s="5" customFormat="1" ht="25.5" hidden="1" customHeight="1" outlineLevel="1" x14ac:dyDescent="0.25">
      <c r="A1963" s="4">
        <v>376</v>
      </c>
      <c r="B1963" s="6" t="s">
        <v>15</v>
      </c>
      <c r="C1963" s="38" t="s">
        <v>8374</v>
      </c>
      <c r="D1963" s="6">
        <v>2023</v>
      </c>
      <c r="E1963" s="6" t="s">
        <v>13</v>
      </c>
      <c r="F1963" s="6">
        <v>7</v>
      </c>
      <c r="G1963" s="40">
        <v>15</v>
      </c>
      <c r="H1963" s="40">
        <v>133.46575999999999</v>
      </c>
      <c r="I1963" s="212"/>
      <c r="J1963" s="212"/>
    </row>
    <row r="1964" spans="1:10" s="5" customFormat="1" ht="25.5" hidden="1" customHeight="1" outlineLevel="1" x14ac:dyDescent="0.25">
      <c r="A1964" s="4">
        <v>444</v>
      </c>
      <c r="B1964" s="6" t="s">
        <v>15</v>
      </c>
      <c r="C1964" s="38" t="s">
        <v>8375</v>
      </c>
      <c r="D1964" s="6">
        <v>2023</v>
      </c>
      <c r="E1964" s="6" t="s">
        <v>13</v>
      </c>
      <c r="F1964" s="6">
        <v>95</v>
      </c>
      <c r="G1964" s="40">
        <v>15</v>
      </c>
      <c r="H1964" s="40">
        <v>295.99482</v>
      </c>
      <c r="I1964" s="212"/>
      <c r="J1964" s="212"/>
    </row>
    <row r="1965" spans="1:10" s="5" customFormat="1" ht="25.5" hidden="1" customHeight="1" outlineLevel="1" x14ac:dyDescent="0.25">
      <c r="A1965" s="4">
        <v>2818</v>
      </c>
      <c r="B1965" s="6" t="s">
        <v>15</v>
      </c>
      <c r="C1965" s="38" t="s">
        <v>9048</v>
      </c>
      <c r="D1965" s="6">
        <v>2023</v>
      </c>
      <c r="E1965" s="6" t="s">
        <v>13</v>
      </c>
      <c r="F1965" s="6">
        <v>2</v>
      </c>
      <c r="G1965" s="40">
        <v>240</v>
      </c>
      <c r="H1965" s="40">
        <v>154.25704999999999</v>
      </c>
      <c r="I1965" s="212"/>
      <c r="J1965" s="212"/>
    </row>
    <row r="1966" spans="1:10" s="5" customFormat="1" ht="25.5" hidden="1" customHeight="1" outlineLevel="1" x14ac:dyDescent="0.25">
      <c r="A1966" s="4">
        <v>3090</v>
      </c>
      <c r="B1966" s="6" t="s">
        <v>15</v>
      </c>
      <c r="C1966" s="38" t="s">
        <v>9049</v>
      </c>
      <c r="D1966" s="6">
        <v>2023</v>
      </c>
      <c r="E1966" s="6" t="s">
        <v>13</v>
      </c>
      <c r="F1966" s="6">
        <v>10</v>
      </c>
      <c r="G1966" s="40">
        <v>150</v>
      </c>
      <c r="H1966" s="40">
        <v>140.85729999999998</v>
      </c>
      <c r="I1966" s="212"/>
      <c r="J1966" s="212"/>
    </row>
    <row r="1967" spans="1:10" s="5" customFormat="1" ht="25.5" hidden="1" customHeight="1" outlineLevel="1" x14ac:dyDescent="0.25">
      <c r="A1967" s="4">
        <v>1679</v>
      </c>
      <c r="B1967" s="6" t="s">
        <v>15</v>
      </c>
      <c r="C1967" s="38" t="s">
        <v>8381</v>
      </c>
      <c r="D1967" s="6">
        <v>2023</v>
      </c>
      <c r="E1967" s="6" t="s">
        <v>13</v>
      </c>
      <c r="F1967" s="6">
        <v>30</v>
      </c>
      <c r="G1967" s="40">
        <v>7</v>
      </c>
      <c r="H1967" s="40">
        <v>148.38992999999999</v>
      </c>
      <c r="I1967" s="212"/>
      <c r="J1967" s="212"/>
    </row>
    <row r="1968" spans="1:10" s="5" customFormat="1" ht="25.5" hidden="1" customHeight="1" outlineLevel="1" x14ac:dyDescent="0.25">
      <c r="A1968" s="4">
        <v>324</v>
      </c>
      <c r="B1968" s="6" t="s">
        <v>15</v>
      </c>
      <c r="C1968" s="38" t="s">
        <v>8384</v>
      </c>
      <c r="D1968" s="6">
        <v>2023</v>
      </c>
      <c r="E1968" s="6" t="s">
        <v>13</v>
      </c>
      <c r="F1968" s="6">
        <v>132</v>
      </c>
      <c r="G1968" s="40">
        <v>10</v>
      </c>
      <c r="H1968" s="40">
        <v>646.35037</v>
      </c>
      <c r="I1968" s="212"/>
      <c r="J1968" s="212"/>
    </row>
    <row r="1969" spans="1:10" s="5" customFormat="1" ht="25.5" hidden="1" customHeight="1" outlineLevel="1" x14ac:dyDescent="0.25">
      <c r="A1969" s="4">
        <v>280</v>
      </c>
      <c r="B1969" s="6" t="s">
        <v>15</v>
      </c>
      <c r="C1969" s="38" t="s">
        <v>8411</v>
      </c>
      <c r="D1969" s="6">
        <v>2023</v>
      </c>
      <c r="E1969" s="6" t="s">
        <v>13</v>
      </c>
      <c r="F1969" s="6">
        <v>35</v>
      </c>
      <c r="G1969" s="40">
        <v>15</v>
      </c>
      <c r="H1969" s="40">
        <v>122.70273</v>
      </c>
      <c r="I1969" s="212"/>
      <c r="J1969" s="212"/>
    </row>
    <row r="1970" spans="1:10" s="5" customFormat="1" ht="25.5" hidden="1" customHeight="1" outlineLevel="1" x14ac:dyDescent="0.25">
      <c r="A1970" s="4">
        <v>3343</v>
      </c>
      <c r="B1970" s="6" t="s">
        <v>15</v>
      </c>
      <c r="C1970" s="38" t="s">
        <v>9050</v>
      </c>
      <c r="D1970" s="6">
        <v>2023</v>
      </c>
      <c r="E1970" s="6" t="s">
        <v>13</v>
      </c>
      <c r="F1970" s="6">
        <v>44</v>
      </c>
      <c r="G1970" s="40">
        <v>150</v>
      </c>
      <c r="H1970" s="40">
        <v>145.25382000000002</v>
      </c>
      <c r="I1970" s="212"/>
      <c r="J1970" s="212"/>
    </row>
    <row r="1971" spans="1:10" s="5" customFormat="1" ht="25.5" hidden="1" customHeight="1" outlineLevel="1" x14ac:dyDescent="0.25">
      <c r="A1971" s="4">
        <v>3035</v>
      </c>
      <c r="B1971" s="6" t="s">
        <v>15</v>
      </c>
      <c r="C1971" s="38" t="s">
        <v>9051</v>
      </c>
      <c r="D1971" s="6">
        <v>2023</v>
      </c>
      <c r="E1971" s="6" t="s">
        <v>13</v>
      </c>
      <c r="F1971" s="6">
        <v>5</v>
      </c>
      <c r="G1971" s="40">
        <v>120</v>
      </c>
      <c r="H1971" s="40">
        <v>142.97401000000002</v>
      </c>
      <c r="I1971" s="212"/>
      <c r="J1971" s="212"/>
    </row>
    <row r="1972" spans="1:10" s="5" customFormat="1" ht="25.5" hidden="1" customHeight="1" outlineLevel="1" x14ac:dyDescent="0.25">
      <c r="A1972" s="4">
        <v>3029</v>
      </c>
      <c r="B1972" s="6" t="s">
        <v>15</v>
      </c>
      <c r="C1972" s="38" t="s">
        <v>9052</v>
      </c>
      <c r="D1972" s="6">
        <v>2023</v>
      </c>
      <c r="E1972" s="6" t="s">
        <v>13</v>
      </c>
      <c r="F1972" s="6">
        <v>21</v>
      </c>
      <c r="G1972" s="40">
        <v>150</v>
      </c>
      <c r="H1972" s="40">
        <v>139</v>
      </c>
      <c r="I1972" s="212"/>
      <c r="J1972" s="212"/>
    </row>
    <row r="1973" spans="1:10" s="5" customFormat="1" ht="25.5" hidden="1" customHeight="1" outlineLevel="1" x14ac:dyDescent="0.25">
      <c r="A1973" s="4">
        <v>3347</v>
      </c>
      <c r="B1973" s="6" t="s">
        <v>15</v>
      </c>
      <c r="C1973" s="38" t="s">
        <v>9053</v>
      </c>
      <c r="D1973" s="6">
        <v>2023</v>
      </c>
      <c r="E1973" s="6" t="s">
        <v>13</v>
      </c>
      <c r="F1973" s="6">
        <v>3</v>
      </c>
      <c r="G1973" s="40">
        <v>150</v>
      </c>
      <c r="H1973" s="40">
        <v>135.03607</v>
      </c>
      <c r="I1973" s="212"/>
      <c r="J1973" s="212"/>
    </row>
    <row r="1974" spans="1:10" s="5" customFormat="1" ht="25.5" hidden="1" customHeight="1" outlineLevel="1" x14ac:dyDescent="0.25">
      <c r="A1974" s="4">
        <v>3067</v>
      </c>
      <c r="B1974" s="6" t="s">
        <v>15</v>
      </c>
      <c r="C1974" s="38" t="s">
        <v>8422</v>
      </c>
      <c r="D1974" s="6">
        <v>2023</v>
      </c>
      <c r="E1974" s="6" t="s">
        <v>13</v>
      </c>
      <c r="F1974" s="6">
        <v>26</v>
      </c>
      <c r="G1974" s="40">
        <v>45</v>
      </c>
      <c r="H1974" s="40">
        <v>251.70293999999998</v>
      </c>
      <c r="I1974" s="212"/>
      <c r="J1974" s="212"/>
    </row>
    <row r="1975" spans="1:10" s="5" customFormat="1" ht="25.5" hidden="1" customHeight="1" outlineLevel="1" x14ac:dyDescent="0.25">
      <c r="A1975" s="4">
        <v>3050</v>
      </c>
      <c r="B1975" s="6" t="s">
        <v>15</v>
      </c>
      <c r="C1975" s="38" t="s">
        <v>9054</v>
      </c>
      <c r="D1975" s="6">
        <v>2023</v>
      </c>
      <c r="E1975" s="6" t="s">
        <v>13</v>
      </c>
      <c r="F1975" s="6">
        <v>1308</v>
      </c>
      <c r="G1975" s="40">
        <v>150</v>
      </c>
      <c r="H1975" s="40">
        <v>2761.4880800000001</v>
      </c>
      <c r="I1975" s="212"/>
      <c r="J1975" s="212"/>
    </row>
    <row r="1976" spans="1:10" s="5" customFormat="1" ht="25.5" hidden="1" customHeight="1" outlineLevel="1" x14ac:dyDescent="0.25">
      <c r="A1976" s="4">
        <v>3080</v>
      </c>
      <c r="B1976" s="6" t="s">
        <v>15</v>
      </c>
      <c r="C1976" s="38" t="s">
        <v>9055</v>
      </c>
      <c r="D1976" s="6">
        <v>2023</v>
      </c>
      <c r="E1976" s="6" t="s">
        <v>13</v>
      </c>
      <c r="F1976" s="6">
        <v>10</v>
      </c>
      <c r="G1976" s="40">
        <v>130</v>
      </c>
      <c r="H1976" s="40">
        <v>97.12700000000001</v>
      </c>
      <c r="I1976" s="212"/>
      <c r="J1976" s="212"/>
    </row>
    <row r="1977" spans="1:10" s="5" customFormat="1" ht="25.5" hidden="1" customHeight="1" outlineLevel="1" x14ac:dyDescent="0.25">
      <c r="A1977" s="4">
        <v>4238</v>
      </c>
      <c r="B1977" s="6" t="s">
        <v>15</v>
      </c>
      <c r="C1977" s="38" t="s">
        <v>8427</v>
      </c>
      <c r="D1977" s="6">
        <v>2023</v>
      </c>
      <c r="E1977" s="6" t="s">
        <v>13</v>
      </c>
      <c r="F1977" s="6">
        <v>10</v>
      </c>
      <c r="G1977" s="40">
        <v>15</v>
      </c>
      <c r="H1977" s="40">
        <v>120.1271</v>
      </c>
      <c r="I1977" s="212"/>
      <c r="J1977" s="212"/>
    </row>
    <row r="1978" spans="1:10" s="5" customFormat="1" ht="25.5" hidden="1" customHeight="1" outlineLevel="1" x14ac:dyDescent="0.25">
      <c r="A1978" s="4">
        <v>4239</v>
      </c>
      <c r="B1978" s="6" t="s">
        <v>15</v>
      </c>
      <c r="C1978" s="38" t="s">
        <v>9056</v>
      </c>
      <c r="D1978" s="6">
        <v>2023</v>
      </c>
      <c r="E1978" s="6" t="s">
        <v>13</v>
      </c>
      <c r="F1978" s="6">
        <v>2376</v>
      </c>
      <c r="G1978" s="40">
        <v>150</v>
      </c>
      <c r="H1978" s="40">
        <v>4540.2403999999997</v>
      </c>
      <c r="I1978" s="212"/>
      <c r="J1978" s="212"/>
    </row>
    <row r="1979" spans="1:10" s="5" customFormat="1" ht="25.5" hidden="1" customHeight="1" outlineLevel="1" x14ac:dyDescent="0.25">
      <c r="A1979" s="4">
        <v>3087</v>
      </c>
      <c r="B1979" s="6" t="s">
        <v>15</v>
      </c>
      <c r="C1979" s="38" t="s">
        <v>9057</v>
      </c>
      <c r="D1979" s="6">
        <v>2023</v>
      </c>
      <c r="E1979" s="6" t="s">
        <v>13</v>
      </c>
      <c r="F1979" s="6">
        <v>28</v>
      </c>
      <c r="G1979" s="40">
        <v>150</v>
      </c>
      <c r="H1979" s="40">
        <v>339.86999000000003</v>
      </c>
      <c r="I1979" s="212"/>
      <c r="J1979" s="212"/>
    </row>
    <row r="1980" spans="1:10" s="5" customFormat="1" ht="25.5" hidden="1" customHeight="1" outlineLevel="1" x14ac:dyDescent="0.25">
      <c r="A1980" s="4">
        <v>3341</v>
      </c>
      <c r="B1980" s="6" t="s">
        <v>15</v>
      </c>
      <c r="C1980" s="38" t="s">
        <v>9058</v>
      </c>
      <c r="D1980" s="6">
        <v>2023</v>
      </c>
      <c r="E1980" s="6" t="s">
        <v>13</v>
      </c>
      <c r="F1980" s="6">
        <v>77</v>
      </c>
      <c r="G1980" s="40">
        <v>100</v>
      </c>
      <c r="H1980" s="40">
        <v>525.0643</v>
      </c>
      <c r="I1980" s="212"/>
      <c r="J1980" s="212"/>
    </row>
    <row r="1981" spans="1:10" s="5" customFormat="1" ht="25.5" hidden="1" customHeight="1" outlineLevel="1" x14ac:dyDescent="0.25">
      <c r="A1981" s="4">
        <v>590</v>
      </c>
      <c r="B1981" s="6" t="s">
        <v>15</v>
      </c>
      <c r="C1981" s="38" t="s">
        <v>8459</v>
      </c>
      <c r="D1981" s="6">
        <v>2023</v>
      </c>
      <c r="E1981" s="6" t="s">
        <v>13</v>
      </c>
      <c r="F1981" s="6">
        <v>130</v>
      </c>
      <c r="G1981" s="40">
        <v>15</v>
      </c>
      <c r="H1981" s="40">
        <v>208.37042</v>
      </c>
      <c r="I1981" s="212"/>
      <c r="J1981" s="212"/>
    </row>
    <row r="1982" spans="1:10" s="5" customFormat="1" ht="25.5" hidden="1" customHeight="1" outlineLevel="1" x14ac:dyDescent="0.25">
      <c r="A1982" s="4">
        <v>3141</v>
      </c>
      <c r="B1982" s="6" t="s">
        <v>15</v>
      </c>
      <c r="C1982" s="38" t="s">
        <v>8466</v>
      </c>
      <c r="D1982" s="6">
        <v>2023</v>
      </c>
      <c r="E1982" s="6" t="s">
        <v>13</v>
      </c>
      <c r="F1982" s="6">
        <v>420</v>
      </c>
      <c r="G1982" s="40">
        <v>100</v>
      </c>
      <c r="H1982" s="40">
        <v>1081.57322</v>
      </c>
      <c r="I1982" s="212"/>
      <c r="J1982" s="212"/>
    </row>
    <row r="1983" spans="1:10" s="5" customFormat="1" ht="25.5" hidden="1" customHeight="1" outlineLevel="1" x14ac:dyDescent="0.25">
      <c r="A1983" s="4">
        <v>4240</v>
      </c>
      <c r="B1983" s="6" t="s">
        <v>15</v>
      </c>
      <c r="C1983" s="38" t="s">
        <v>9059</v>
      </c>
      <c r="D1983" s="6">
        <v>2023</v>
      </c>
      <c r="E1983" s="6" t="s">
        <v>13</v>
      </c>
      <c r="F1983" s="6">
        <v>17</v>
      </c>
      <c r="G1983" s="40">
        <v>150</v>
      </c>
      <c r="H1983" s="40">
        <v>202.95197999999999</v>
      </c>
      <c r="I1983" s="212"/>
      <c r="J1983" s="212"/>
    </row>
    <row r="1984" spans="1:10" s="5" customFormat="1" ht="25.5" hidden="1" customHeight="1" outlineLevel="1" x14ac:dyDescent="0.25">
      <c r="A1984" s="4">
        <v>4009</v>
      </c>
      <c r="B1984" s="6" t="s">
        <v>15</v>
      </c>
      <c r="C1984" s="38" t="s">
        <v>9060</v>
      </c>
      <c r="D1984" s="6">
        <v>2023</v>
      </c>
      <c r="E1984" s="6" t="s">
        <v>13</v>
      </c>
      <c r="F1984" s="6">
        <v>554</v>
      </c>
      <c r="G1984" s="40">
        <v>14</v>
      </c>
      <c r="H1984" s="40">
        <v>2283.8416499999998</v>
      </c>
      <c r="I1984" s="212"/>
      <c r="J1984" s="212"/>
    </row>
    <row r="1985" spans="1:10" s="5" customFormat="1" ht="25.5" hidden="1" customHeight="1" outlineLevel="1" x14ac:dyDescent="0.25">
      <c r="A1985" s="4">
        <v>4241</v>
      </c>
      <c r="B1985" s="6" t="s">
        <v>15</v>
      </c>
      <c r="C1985" s="38" t="s">
        <v>9061</v>
      </c>
      <c r="D1985" s="6">
        <v>2023</v>
      </c>
      <c r="E1985" s="6" t="s">
        <v>13</v>
      </c>
      <c r="F1985" s="6">
        <v>34</v>
      </c>
      <c r="G1985" s="40">
        <v>150</v>
      </c>
      <c r="H1985" s="40">
        <v>362.07242000000002</v>
      </c>
      <c r="I1985" s="212"/>
      <c r="J1985" s="212"/>
    </row>
    <row r="1986" spans="1:10" s="5" customFormat="1" ht="25.5" hidden="1" customHeight="1" outlineLevel="1" x14ac:dyDescent="0.25">
      <c r="A1986" s="4">
        <v>3135</v>
      </c>
      <c r="B1986" s="6" t="s">
        <v>15</v>
      </c>
      <c r="C1986" s="38" t="s">
        <v>8475</v>
      </c>
      <c r="D1986" s="6">
        <v>2023</v>
      </c>
      <c r="E1986" s="6" t="s">
        <v>13</v>
      </c>
      <c r="F1986" s="6">
        <v>6</v>
      </c>
      <c r="G1986" s="40">
        <v>50</v>
      </c>
      <c r="H1986" s="40">
        <v>194.7191</v>
      </c>
      <c r="I1986" s="212"/>
      <c r="J1986" s="212"/>
    </row>
    <row r="1987" spans="1:10" s="5" customFormat="1" ht="25.5" hidden="1" customHeight="1" outlineLevel="1" x14ac:dyDescent="0.25">
      <c r="A1987" s="4">
        <v>3149</v>
      </c>
      <c r="B1987" s="6" t="s">
        <v>15</v>
      </c>
      <c r="C1987" s="38" t="s">
        <v>9062</v>
      </c>
      <c r="D1987" s="6">
        <v>2023</v>
      </c>
      <c r="E1987" s="6" t="s">
        <v>13</v>
      </c>
      <c r="F1987" s="6">
        <v>195</v>
      </c>
      <c r="G1987" s="40">
        <v>100</v>
      </c>
      <c r="H1987" s="40">
        <v>701.01979999999992</v>
      </c>
      <c r="I1987" s="212"/>
      <c r="J1987" s="212"/>
    </row>
    <row r="1988" spans="1:10" s="5" customFormat="1" ht="25.5" hidden="1" customHeight="1" outlineLevel="1" x14ac:dyDescent="0.25">
      <c r="A1988" s="4">
        <v>2283</v>
      </c>
      <c r="B1988" s="6" t="s">
        <v>15</v>
      </c>
      <c r="C1988" s="38" t="s">
        <v>8486</v>
      </c>
      <c r="D1988" s="6">
        <v>2023</v>
      </c>
      <c r="E1988" s="6" t="s">
        <v>13</v>
      </c>
      <c r="F1988" s="6">
        <v>5</v>
      </c>
      <c r="G1988" s="40">
        <v>6</v>
      </c>
      <c r="H1988" s="40">
        <v>142.8476</v>
      </c>
      <c r="I1988" s="212"/>
      <c r="J1988" s="212"/>
    </row>
    <row r="1989" spans="1:10" s="5" customFormat="1" ht="25.5" hidden="1" customHeight="1" outlineLevel="1" x14ac:dyDescent="0.25">
      <c r="A1989" s="4">
        <v>4242</v>
      </c>
      <c r="B1989" s="6" t="s">
        <v>15</v>
      </c>
      <c r="C1989" s="38" t="s">
        <v>9063</v>
      </c>
      <c r="D1989" s="6">
        <v>2023</v>
      </c>
      <c r="E1989" s="6" t="s">
        <v>13</v>
      </c>
      <c r="F1989" s="6">
        <v>242</v>
      </c>
      <c r="G1989" s="40">
        <v>181</v>
      </c>
      <c r="H1989" s="40">
        <v>821.29293999999993</v>
      </c>
      <c r="I1989" s="212"/>
      <c r="J1989" s="212"/>
    </row>
    <row r="1990" spans="1:10" s="5" customFormat="1" ht="25.5" hidden="1" customHeight="1" outlineLevel="1" x14ac:dyDescent="0.25">
      <c r="A1990" s="4">
        <v>3165</v>
      </c>
      <c r="B1990" s="6" t="s">
        <v>15</v>
      </c>
      <c r="C1990" s="38" t="s">
        <v>9064</v>
      </c>
      <c r="D1990" s="6">
        <v>2023</v>
      </c>
      <c r="E1990" s="6" t="s">
        <v>13</v>
      </c>
      <c r="F1990" s="6">
        <v>165</v>
      </c>
      <c r="G1990" s="40">
        <v>15</v>
      </c>
      <c r="H1990" s="40">
        <v>846.32300000000009</v>
      </c>
      <c r="I1990" s="212"/>
      <c r="J1990" s="212"/>
    </row>
    <row r="1991" spans="1:10" s="5" customFormat="1" ht="25.5" hidden="1" customHeight="1" outlineLevel="1" x14ac:dyDescent="0.25">
      <c r="A1991" s="4">
        <v>4614</v>
      </c>
      <c r="B1991" s="6" t="s">
        <v>15</v>
      </c>
      <c r="C1991" s="38" t="s">
        <v>9065</v>
      </c>
      <c r="D1991" s="6">
        <v>2023</v>
      </c>
      <c r="E1991" s="6" t="s">
        <v>13</v>
      </c>
      <c r="F1991" s="6">
        <v>12</v>
      </c>
      <c r="G1991" s="40">
        <v>150</v>
      </c>
      <c r="H1991" s="40">
        <v>123.32799999999999</v>
      </c>
      <c r="I1991" s="212"/>
      <c r="J1991" s="212"/>
    </row>
    <row r="1992" spans="1:10" s="5" customFormat="1" ht="25.5" hidden="1" customHeight="1" outlineLevel="1" x14ac:dyDescent="0.25">
      <c r="A1992" s="4">
        <v>413</v>
      </c>
      <c r="B1992" s="6" t="s">
        <v>15</v>
      </c>
      <c r="C1992" s="38" t="s">
        <v>9066</v>
      </c>
      <c r="D1992" s="6">
        <v>2023</v>
      </c>
      <c r="E1992" s="6" t="s">
        <v>13</v>
      </c>
      <c r="F1992" s="6">
        <v>60</v>
      </c>
      <c r="G1992" s="40">
        <v>15</v>
      </c>
      <c r="H1992" s="40">
        <v>86.41</v>
      </c>
      <c r="I1992" s="212"/>
      <c r="J1992" s="212"/>
    </row>
    <row r="1993" spans="1:10" s="5" customFormat="1" ht="25.5" hidden="1" customHeight="1" outlineLevel="1" x14ac:dyDescent="0.25">
      <c r="A1993" s="4">
        <v>4790</v>
      </c>
      <c r="B1993" s="6" t="s">
        <v>15</v>
      </c>
      <c r="C1993" s="38" t="s">
        <v>9067</v>
      </c>
      <c r="D1993" s="6">
        <v>2023</v>
      </c>
      <c r="E1993" s="6" t="s">
        <v>13</v>
      </c>
      <c r="F1993" s="6">
        <v>703</v>
      </c>
      <c r="G1993" s="40">
        <v>54.2</v>
      </c>
      <c r="H1993" s="40">
        <v>1670.268</v>
      </c>
      <c r="I1993" s="212"/>
      <c r="J1993" s="212"/>
    </row>
    <row r="1994" spans="1:10" s="5" customFormat="1" ht="25.5" hidden="1" customHeight="1" outlineLevel="1" x14ac:dyDescent="0.25">
      <c r="A1994" s="4">
        <v>3036</v>
      </c>
      <c r="B1994" s="6" t="s">
        <v>15</v>
      </c>
      <c r="C1994" s="38" t="s">
        <v>9068</v>
      </c>
      <c r="D1994" s="6">
        <v>2023</v>
      </c>
      <c r="E1994" s="6" t="s">
        <v>13</v>
      </c>
      <c r="F1994" s="6">
        <v>47</v>
      </c>
      <c r="G1994" s="40">
        <v>109.7</v>
      </c>
      <c r="H1994" s="40">
        <v>297.63499999999999</v>
      </c>
      <c r="I1994" s="212"/>
      <c r="J1994" s="212"/>
    </row>
    <row r="1995" spans="1:10" s="5" customFormat="1" ht="25.5" hidden="1" customHeight="1" outlineLevel="1" x14ac:dyDescent="0.25">
      <c r="A1995" s="4">
        <v>3328</v>
      </c>
      <c r="B1995" s="6" t="s">
        <v>15</v>
      </c>
      <c r="C1995" s="38" t="s">
        <v>9069</v>
      </c>
      <c r="D1995" s="6">
        <v>2023</v>
      </c>
      <c r="E1995" s="6" t="s">
        <v>13</v>
      </c>
      <c r="F1995" s="6">
        <v>15</v>
      </c>
      <c r="G1995" s="40">
        <v>15</v>
      </c>
      <c r="H1995" s="40">
        <v>193.351</v>
      </c>
      <c r="I1995" s="212"/>
      <c r="J1995" s="212"/>
    </row>
    <row r="1996" spans="1:10" s="5" customFormat="1" ht="25.5" hidden="1" customHeight="1" outlineLevel="1" x14ac:dyDescent="0.25">
      <c r="A1996" s="4">
        <v>4007</v>
      </c>
      <c r="B1996" s="6" t="s">
        <v>15</v>
      </c>
      <c r="C1996" s="38" t="s">
        <v>8506</v>
      </c>
      <c r="D1996" s="6">
        <v>2023</v>
      </c>
      <c r="E1996" s="6" t="s">
        <v>13</v>
      </c>
      <c r="F1996" s="6">
        <v>68</v>
      </c>
      <c r="G1996" s="40">
        <v>15</v>
      </c>
      <c r="H1996" s="40">
        <v>257.42795000000001</v>
      </c>
      <c r="I1996" s="212"/>
      <c r="J1996" s="212"/>
    </row>
    <row r="1997" spans="1:10" s="5" customFormat="1" ht="25.5" hidden="1" customHeight="1" outlineLevel="1" x14ac:dyDescent="0.25">
      <c r="A1997" s="4">
        <v>3396</v>
      </c>
      <c r="B1997" s="6" t="s">
        <v>15</v>
      </c>
      <c r="C1997" s="38" t="s">
        <v>8511</v>
      </c>
      <c r="D1997" s="6">
        <v>2023</v>
      </c>
      <c r="E1997" s="6" t="s">
        <v>13</v>
      </c>
      <c r="F1997" s="6">
        <v>8</v>
      </c>
      <c r="G1997" s="40">
        <v>100</v>
      </c>
      <c r="H1997" s="40">
        <v>84.806129999999996</v>
      </c>
      <c r="I1997" s="212"/>
      <c r="J1997" s="212"/>
    </row>
    <row r="1998" spans="1:10" s="5" customFormat="1" ht="25.5" hidden="1" customHeight="1" outlineLevel="1" x14ac:dyDescent="0.25">
      <c r="A1998" s="4">
        <v>471</v>
      </c>
      <c r="B1998" s="6" t="s">
        <v>15</v>
      </c>
      <c r="C1998" s="38" t="s">
        <v>9070</v>
      </c>
      <c r="D1998" s="6">
        <v>2023</v>
      </c>
      <c r="E1998" s="6" t="s">
        <v>13</v>
      </c>
      <c r="F1998" s="6">
        <v>3</v>
      </c>
      <c r="G1998" s="40">
        <v>140</v>
      </c>
      <c r="H1998" s="40">
        <v>177.47494</v>
      </c>
      <c r="I1998" s="212"/>
      <c r="J1998" s="212"/>
    </row>
    <row r="1999" spans="1:10" s="5" customFormat="1" ht="25.5" hidden="1" customHeight="1" outlineLevel="1" x14ac:dyDescent="0.25">
      <c r="A1999" s="4">
        <v>5051</v>
      </c>
      <c r="B1999" s="6" t="s">
        <v>15</v>
      </c>
      <c r="C1999" s="38" t="s">
        <v>8547</v>
      </c>
      <c r="D1999" s="6">
        <v>2023</v>
      </c>
      <c r="E1999" s="6" t="s">
        <v>13</v>
      </c>
      <c r="F1999" s="6">
        <v>25</v>
      </c>
      <c r="G1999" s="40">
        <v>30</v>
      </c>
      <c r="H1999" s="40">
        <v>134.35174000000001</v>
      </c>
      <c r="I1999" s="212"/>
      <c r="J1999" s="212"/>
    </row>
    <row r="2000" spans="1:10" s="5" customFormat="1" ht="25.5" hidden="1" customHeight="1" outlineLevel="1" x14ac:dyDescent="0.25">
      <c r="A2000" s="4">
        <v>5052</v>
      </c>
      <c r="B2000" s="6" t="s">
        <v>15</v>
      </c>
      <c r="C2000" s="38" t="s">
        <v>8548</v>
      </c>
      <c r="D2000" s="6">
        <v>2023</v>
      </c>
      <c r="E2000" s="6" t="s">
        <v>13</v>
      </c>
      <c r="F2000" s="6">
        <v>4</v>
      </c>
      <c r="G2000" s="40">
        <v>10</v>
      </c>
      <c r="H2000" s="40">
        <v>350.60872999999998</v>
      </c>
      <c r="I2000" s="212"/>
      <c r="J2000" s="212"/>
    </row>
    <row r="2001" spans="1:10" s="5" customFormat="1" ht="25.5" hidden="1" customHeight="1" outlineLevel="1" x14ac:dyDescent="0.25">
      <c r="A2001" s="4">
        <v>287</v>
      </c>
      <c r="B2001" s="6" t="s">
        <v>15</v>
      </c>
      <c r="C2001" s="38" t="s">
        <v>9071</v>
      </c>
      <c r="D2001" s="6">
        <v>2023</v>
      </c>
      <c r="E2001" s="6" t="s">
        <v>13</v>
      </c>
      <c r="F2001" s="6">
        <v>12</v>
      </c>
      <c r="G2001" s="40">
        <v>82</v>
      </c>
      <c r="H2001" s="40">
        <v>169.49943999999999</v>
      </c>
      <c r="I2001" s="212"/>
      <c r="J2001" s="212"/>
    </row>
    <row r="2002" spans="1:10" s="5" customFormat="1" ht="25.5" hidden="1" customHeight="1" outlineLevel="1" x14ac:dyDescent="0.25">
      <c r="A2002" s="4">
        <v>427</v>
      </c>
      <c r="B2002" s="6" t="s">
        <v>15</v>
      </c>
      <c r="C2002" s="38" t="s">
        <v>9072</v>
      </c>
      <c r="D2002" s="6">
        <v>2023</v>
      </c>
      <c r="E2002" s="6" t="s">
        <v>13</v>
      </c>
      <c r="F2002" s="6">
        <v>374</v>
      </c>
      <c r="G2002" s="40">
        <v>165</v>
      </c>
      <c r="H2002" s="40">
        <v>817.93143999999995</v>
      </c>
      <c r="I2002" s="212"/>
      <c r="J2002" s="212"/>
    </row>
    <row r="2003" spans="1:10" s="5" customFormat="1" ht="25.5" hidden="1" customHeight="1" outlineLevel="1" x14ac:dyDescent="0.25">
      <c r="A2003" s="4">
        <v>3014</v>
      </c>
      <c r="B2003" s="6" t="s">
        <v>15</v>
      </c>
      <c r="C2003" s="38" t="s">
        <v>9073</v>
      </c>
      <c r="D2003" s="6">
        <v>2023</v>
      </c>
      <c r="E2003" s="6" t="s">
        <v>13</v>
      </c>
      <c r="F2003" s="6">
        <v>121</v>
      </c>
      <c r="G2003" s="40">
        <v>150</v>
      </c>
      <c r="H2003" s="40">
        <v>480.07930999999996</v>
      </c>
      <c r="I2003" s="212"/>
      <c r="J2003" s="212"/>
    </row>
    <row r="2004" spans="1:10" s="5" customFormat="1" ht="25.5" hidden="1" customHeight="1" outlineLevel="1" x14ac:dyDescent="0.25">
      <c r="A2004" s="4">
        <v>551</v>
      </c>
      <c r="B2004" s="6" t="s">
        <v>15</v>
      </c>
      <c r="C2004" s="38" t="s">
        <v>9074</v>
      </c>
      <c r="D2004" s="6">
        <v>2023</v>
      </c>
      <c r="E2004" s="6" t="s">
        <v>13</v>
      </c>
      <c r="F2004" s="6">
        <v>236</v>
      </c>
      <c r="G2004" s="40">
        <v>90</v>
      </c>
      <c r="H2004" s="40">
        <v>866.49671999999998</v>
      </c>
      <c r="I2004" s="212"/>
      <c r="J2004" s="212"/>
    </row>
    <row r="2005" spans="1:10" s="5" customFormat="1" ht="25.5" hidden="1" customHeight="1" outlineLevel="1" x14ac:dyDescent="0.25">
      <c r="A2005" s="4">
        <v>565</v>
      </c>
      <c r="B2005" s="6" t="s">
        <v>15</v>
      </c>
      <c r="C2005" s="38" t="s">
        <v>9075</v>
      </c>
      <c r="D2005" s="6">
        <v>2023</v>
      </c>
      <c r="E2005" s="6" t="s">
        <v>13</v>
      </c>
      <c r="F2005" s="6">
        <v>102</v>
      </c>
      <c r="G2005" s="40">
        <v>90</v>
      </c>
      <c r="H2005" s="40">
        <v>397.99836999999997</v>
      </c>
      <c r="I2005" s="212"/>
      <c r="J2005" s="212"/>
    </row>
    <row r="2006" spans="1:10" s="5" customFormat="1" ht="25.5" hidden="1" customHeight="1" outlineLevel="1" x14ac:dyDescent="0.25">
      <c r="A2006" s="4">
        <v>2969</v>
      </c>
      <c r="B2006" s="6" t="s">
        <v>15</v>
      </c>
      <c r="C2006" s="38" t="s">
        <v>9076</v>
      </c>
      <c r="D2006" s="6">
        <v>2023</v>
      </c>
      <c r="E2006" s="6" t="s">
        <v>13</v>
      </c>
      <c r="F2006" s="6">
        <v>102</v>
      </c>
      <c r="G2006" s="40">
        <v>150</v>
      </c>
      <c r="H2006" s="40">
        <v>620.73219000000006</v>
      </c>
      <c r="I2006" s="212"/>
      <c r="J2006" s="212"/>
    </row>
    <row r="2007" spans="1:10" s="5" customFormat="1" ht="25.5" hidden="1" customHeight="1" outlineLevel="1" x14ac:dyDescent="0.25">
      <c r="A2007" s="4">
        <v>1205</v>
      </c>
      <c r="B2007" s="6" t="s">
        <v>15</v>
      </c>
      <c r="C2007" s="38" t="s">
        <v>8585</v>
      </c>
      <c r="D2007" s="6">
        <v>2023</v>
      </c>
      <c r="E2007" s="6" t="s">
        <v>13</v>
      </c>
      <c r="F2007" s="6">
        <v>8</v>
      </c>
      <c r="G2007" s="40">
        <v>15</v>
      </c>
      <c r="H2007" s="40">
        <v>188.07425999999998</v>
      </c>
      <c r="I2007" s="212"/>
      <c r="J2007" s="212"/>
    </row>
    <row r="2008" spans="1:10" s="5" customFormat="1" ht="25.5" hidden="1" customHeight="1" outlineLevel="1" x14ac:dyDescent="0.25">
      <c r="A2008" s="4">
        <v>3249</v>
      </c>
      <c r="B2008" s="6" t="s">
        <v>15</v>
      </c>
      <c r="C2008" s="38" t="s">
        <v>8586</v>
      </c>
      <c r="D2008" s="6">
        <v>2023</v>
      </c>
      <c r="E2008" s="6" t="s">
        <v>13</v>
      </c>
      <c r="F2008" s="6">
        <v>613</v>
      </c>
      <c r="G2008" s="40">
        <v>15</v>
      </c>
      <c r="H2008" s="40">
        <v>1317.2896800000001</v>
      </c>
      <c r="I2008" s="212"/>
      <c r="J2008" s="212"/>
    </row>
    <row r="2009" spans="1:10" s="5" customFormat="1" ht="25.5" hidden="1" customHeight="1" outlineLevel="1" x14ac:dyDescent="0.25">
      <c r="A2009" s="4">
        <v>3397</v>
      </c>
      <c r="B2009" s="6" t="s">
        <v>15</v>
      </c>
      <c r="C2009" s="38" t="s">
        <v>8594</v>
      </c>
      <c r="D2009" s="6">
        <v>2023</v>
      </c>
      <c r="E2009" s="6" t="s">
        <v>13</v>
      </c>
      <c r="F2009" s="6">
        <v>10</v>
      </c>
      <c r="G2009" s="40">
        <v>100</v>
      </c>
      <c r="H2009" s="40">
        <v>60.698090000000001</v>
      </c>
      <c r="I2009" s="212"/>
      <c r="J2009" s="212"/>
    </row>
    <row r="2010" spans="1:10" s="5" customFormat="1" ht="25.5" hidden="1" customHeight="1" outlineLevel="1" x14ac:dyDescent="0.25">
      <c r="A2010" s="4">
        <v>776</v>
      </c>
      <c r="B2010" s="6" t="s">
        <v>15</v>
      </c>
      <c r="C2010" s="38" t="s">
        <v>9077</v>
      </c>
      <c r="D2010" s="6">
        <v>2023</v>
      </c>
      <c r="E2010" s="6" t="s">
        <v>13</v>
      </c>
      <c r="F2010" s="6">
        <v>57</v>
      </c>
      <c r="G2010" s="40">
        <v>15</v>
      </c>
      <c r="H2010" s="40">
        <v>97.221980000000002</v>
      </c>
      <c r="I2010" s="212"/>
      <c r="J2010" s="212"/>
    </row>
    <row r="2011" spans="1:10" s="5" customFormat="1" ht="25.5" hidden="1" customHeight="1" outlineLevel="1" x14ac:dyDescent="0.25">
      <c r="A2011" s="4">
        <v>5172</v>
      </c>
      <c r="B2011" s="6" t="s">
        <v>15</v>
      </c>
      <c r="C2011" s="38" t="s">
        <v>9078</v>
      </c>
      <c r="D2011" s="6">
        <v>2023</v>
      </c>
      <c r="E2011" s="6" t="s">
        <v>13</v>
      </c>
      <c r="F2011" s="6">
        <v>43</v>
      </c>
      <c r="G2011" s="40">
        <v>30</v>
      </c>
      <c r="H2011" s="40">
        <v>344.65616</v>
      </c>
      <c r="I2011" s="212"/>
      <c r="J2011" s="212"/>
    </row>
    <row r="2012" spans="1:10" s="5" customFormat="1" ht="25.5" hidden="1" customHeight="1" outlineLevel="1" x14ac:dyDescent="0.25">
      <c r="A2012" s="4">
        <v>820</v>
      </c>
      <c r="B2012" s="6" t="s">
        <v>15</v>
      </c>
      <c r="C2012" s="38" t="s">
        <v>9079</v>
      </c>
      <c r="D2012" s="6">
        <v>2023</v>
      </c>
      <c r="E2012" s="6" t="s">
        <v>13</v>
      </c>
      <c r="F2012" s="6">
        <v>333</v>
      </c>
      <c r="G2012" s="40">
        <v>41</v>
      </c>
      <c r="H2012" s="40">
        <v>840.38800000000003</v>
      </c>
      <c r="I2012" s="212"/>
      <c r="J2012" s="212"/>
    </row>
    <row r="2013" spans="1:10" s="5" customFormat="1" ht="25.5" hidden="1" customHeight="1" outlineLevel="1" x14ac:dyDescent="0.25">
      <c r="A2013" s="4">
        <v>1348</v>
      </c>
      <c r="B2013" s="6" t="s">
        <v>15</v>
      </c>
      <c r="C2013" s="38" t="s">
        <v>9080</v>
      </c>
      <c r="D2013" s="6">
        <v>2023</v>
      </c>
      <c r="E2013" s="6" t="s">
        <v>13</v>
      </c>
      <c r="F2013" s="6">
        <v>61</v>
      </c>
      <c r="G2013" s="40">
        <v>15</v>
      </c>
      <c r="H2013" s="40">
        <v>351.34778999999997</v>
      </c>
      <c r="I2013" s="212"/>
      <c r="J2013" s="212"/>
    </row>
    <row r="2014" spans="1:10" s="5" customFormat="1" ht="25.5" hidden="1" customHeight="1" outlineLevel="1" x14ac:dyDescent="0.25">
      <c r="A2014" s="4">
        <v>2824</v>
      </c>
      <c r="B2014" s="6" t="s">
        <v>15</v>
      </c>
      <c r="C2014" s="38" t="s">
        <v>8621</v>
      </c>
      <c r="D2014" s="6">
        <v>2023</v>
      </c>
      <c r="E2014" s="6" t="s">
        <v>13</v>
      </c>
      <c r="F2014" s="6">
        <v>12</v>
      </c>
      <c r="G2014" s="40">
        <v>15</v>
      </c>
      <c r="H2014" s="40">
        <v>40.361190000000001</v>
      </c>
      <c r="I2014" s="212"/>
      <c r="J2014" s="212"/>
    </row>
    <row r="2015" spans="1:10" s="5" customFormat="1" ht="25.5" hidden="1" customHeight="1" outlineLevel="1" x14ac:dyDescent="0.25">
      <c r="A2015" s="4">
        <v>358</v>
      </c>
      <c r="B2015" s="6" t="s">
        <v>15</v>
      </c>
      <c r="C2015" s="38" t="s">
        <v>8628</v>
      </c>
      <c r="D2015" s="6">
        <v>2023</v>
      </c>
      <c r="E2015" s="6" t="s">
        <v>13</v>
      </c>
      <c r="F2015" s="6">
        <v>8</v>
      </c>
      <c r="G2015" s="40">
        <v>15</v>
      </c>
      <c r="H2015" s="40">
        <v>71.751440000000002</v>
      </c>
      <c r="I2015" s="212"/>
      <c r="J2015" s="212"/>
    </row>
    <row r="2016" spans="1:10" s="5" customFormat="1" ht="25.5" hidden="1" customHeight="1" outlineLevel="1" x14ac:dyDescent="0.25">
      <c r="A2016" s="4">
        <v>3101</v>
      </c>
      <c r="B2016" s="6" t="s">
        <v>15</v>
      </c>
      <c r="C2016" s="38" t="s">
        <v>9081</v>
      </c>
      <c r="D2016" s="6">
        <v>2023</v>
      </c>
      <c r="E2016" s="6" t="s">
        <v>13</v>
      </c>
      <c r="F2016" s="6">
        <v>45</v>
      </c>
      <c r="G2016" s="40">
        <v>150</v>
      </c>
      <c r="H2016" s="40">
        <v>75.637519999999995</v>
      </c>
      <c r="I2016" s="212"/>
      <c r="J2016" s="212"/>
    </row>
    <row r="2017" spans="1:10" s="5" customFormat="1" ht="25.5" hidden="1" customHeight="1" outlineLevel="1" x14ac:dyDescent="0.25">
      <c r="A2017" s="4">
        <v>5509</v>
      </c>
      <c r="B2017" s="6" t="s">
        <v>15</v>
      </c>
      <c r="C2017" s="38" t="s">
        <v>8635</v>
      </c>
      <c r="D2017" s="6">
        <v>2023</v>
      </c>
      <c r="E2017" s="6" t="s">
        <v>13</v>
      </c>
      <c r="F2017" s="6">
        <v>6</v>
      </c>
      <c r="G2017" s="40">
        <v>30</v>
      </c>
      <c r="H2017" s="40">
        <v>105.95012</v>
      </c>
      <c r="I2017" s="212"/>
      <c r="J2017" s="212"/>
    </row>
    <row r="2018" spans="1:10" s="5" customFormat="1" ht="25.5" hidden="1" customHeight="1" outlineLevel="1" x14ac:dyDescent="0.25">
      <c r="A2018" s="4">
        <v>2992</v>
      </c>
      <c r="B2018" s="6" t="s">
        <v>15</v>
      </c>
      <c r="C2018" s="38" t="s">
        <v>8638</v>
      </c>
      <c r="D2018" s="6">
        <v>2023</v>
      </c>
      <c r="E2018" s="6" t="s">
        <v>13</v>
      </c>
      <c r="F2018" s="6">
        <v>4</v>
      </c>
      <c r="G2018" s="40">
        <v>150</v>
      </c>
      <c r="H2018" s="40">
        <v>46.589060000000003</v>
      </c>
      <c r="I2018" s="212"/>
      <c r="J2018" s="212"/>
    </row>
    <row r="2019" spans="1:10" s="5" customFormat="1" ht="25.5" hidden="1" customHeight="1" outlineLevel="1" x14ac:dyDescent="0.25">
      <c r="A2019" s="4">
        <v>3081</v>
      </c>
      <c r="B2019" s="6" t="s">
        <v>15</v>
      </c>
      <c r="C2019" s="38" t="s">
        <v>9082</v>
      </c>
      <c r="D2019" s="6">
        <v>2023</v>
      </c>
      <c r="E2019" s="6" t="s">
        <v>13</v>
      </c>
      <c r="F2019" s="6">
        <v>373</v>
      </c>
      <c r="G2019" s="40">
        <v>150</v>
      </c>
      <c r="H2019" s="40">
        <v>1082.5440799999999</v>
      </c>
      <c r="I2019" s="212"/>
      <c r="J2019" s="212"/>
    </row>
    <row r="2020" spans="1:10" s="5" customFormat="1" ht="25.5" hidden="1" customHeight="1" outlineLevel="1" x14ac:dyDescent="0.25">
      <c r="A2020" s="4">
        <v>5512</v>
      </c>
      <c r="B2020" s="6" t="s">
        <v>15</v>
      </c>
      <c r="C2020" s="38" t="s">
        <v>9083</v>
      </c>
      <c r="D2020" s="6">
        <v>2023</v>
      </c>
      <c r="E2020" s="6" t="s">
        <v>13</v>
      </c>
      <c r="F2020" s="6">
        <v>755</v>
      </c>
      <c r="G2020" s="40">
        <v>138</v>
      </c>
      <c r="H2020" s="40">
        <v>1930.7011</v>
      </c>
      <c r="I2020" s="212"/>
      <c r="J2020" s="212"/>
    </row>
    <row r="2021" spans="1:10" s="5" customFormat="1" ht="25.5" hidden="1" customHeight="1" outlineLevel="1" x14ac:dyDescent="0.25">
      <c r="A2021" s="4">
        <v>1449</v>
      </c>
      <c r="B2021" s="6" t="s">
        <v>15</v>
      </c>
      <c r="C2021" s="38" t="s">
        <v>9084</v>
      </c>
      <c r="D2021" s="6">
        <v>2023</v>
      </c>
      <c r="E2021" s="6" t="s">
        <v>13</v>
      </c>
      <c r="F2021" s="6">
        <v>633</v>
      </c>
      <c r="G2021" s="40">
        <v>121</v>
      </c>
      <c r="H2021" s="40">
        <v>1460.22162</v>
      </c>
      <c r="I2021" s="212"/>
      <c r="J2021" s="212"/>
    </row>
    <row r="2022" spans="1:10" s="5" customFormat="1" ht="25.5" hidden="1" customHeight="1" outlineLevel="1" x14ac:dyDescent="0.25">
      <c r="A2022" s="4">
        <v>2984</v>
      </c>
      <c r="B2022" s="6" t="s">
        <v>15</v>
      </c>
      <c r="C2022" s="38" t="s">
        <v>8656</v>
      </c>
      <c r="D2022" s="6">
        <v>2023</v>
      </c>
      <c r="E2022" s="6" t="s">
        <v>13</v>
      </c>
      <c r="F2022" s="6">
        <v>2</v>
      </c>
      <c r="G2022" s="40">
        <v>30</v>
      </c>
      <c r="H2022" s="40">
        <v>43.370760000000004</v>
      </c>
      <c r="I2022" s="212"/>
      <c r="J2022" s="212"/>
    </row>
    <row r="2023" spans="1:10" s="5" customFormat="1" ht="25.5" hidden="1" customHeight="1" outlineLevel="1" x14ac:dyDescent="0.25">
      <c r="A2023" s="4">
        <v>2987</v>
      </c>
      <c r="B2023" s="6" t="s">
        <v>15</v>
      </c>
      <c r="C2023" s="38" t="s">
        <v>8657</v>
      </c>
      <c r="D2023" s="6">
        <v>2023</v>
      </c>
      <c r="E2023" s="6" t="s">
        <v>13</v>
      </c>
      <c r="F2023" s="6">
        <v>6</v>
      </c>
      <c r="G2023" s="40">
        <v>150</v>
      </c>
      <c r="H2023" s="40">
        <v>37.095440000000004</v>
      </c>
      <c r="I2023" s="212"/>
      <c r="J2023" s="212"/>
    </row>
    <row r="2024" spans="1:10" s="5" customFormat="1" ht="25.5" hidden="1" customHeight="1" outlineLevel="1" x14ac:dyDescent="0.25">
      <c r="A2024" s="4">
        <v>5746</v>
      </c>
      <c r="B2024" s="6" t="s">
        <v>15</v>
      </c>
      <c r="C2024" s="38" t="s">
        <v>9085</v>
      </c>
      <c r="D2024" s="6">
        <v>2023</v>
      </c>
      <c r="E2024" s="6" t="s">
        <v>13</v>
      </c>
      <c r="F2024" s="6">
        <v>101</v>
      </c>
      <c r="G2024" s="40">
        <v>300</v>
      </c>
      <c r="H2024" s="40">
        <v>606.96433999999999</v>
      </c>
      <c r="I2024" s="212"/>
      <c r="J2024" s="212"/>
    </row>
    <row r="2025" spans="1:10" s="5" customFormat="1" ht="25.5" hidden="1" customHeight="1" outlineLevel="1" x14ac:dyDescent="0.25">
      <c r="A2025" s="4">
        <v>333</v>
      </c>
      <c r="B2025" s="6" t="s">
        <v>15</v>
      </c>
      <c r="C2025" s="38" t="s">
        <v>8668</v>
      </c>
      <c r="D2025" s="6">
        <v>2023</v>
      </c>
      <c r="E2025" s="6" t="s">
        <v>13</v>
      </c>
      <c r="F2025" s="6">
        <v>8</v>
      </c>
      <c r="G2025" s="40">
        <v>15</v>
      </c>
      <c r="H2025" s="40">
        <v>37.083650000000006</v>
      </c>
      <c r="I2025" s="212"/>
      <c r="J2025" s="212"/>
    </row>
    <row r="2026" spans="1:10" s="5" customFormat="1" ht="25.5" hidden="1" customHeight="1" outlineLevel="1" x14ac:dyDescent="0.25">
      <c r="A2026" s="4">
        <v>2996</v>
      </c>
      <c r="B2026" s="6" t="s">
        <v>15</v>
      </c>
      <c r="C2026" s="38" t="s">
        <v>8670</v>
      </c>
      <c r="D2026" s="6">
        <v>2023</v>
      </c>
      <c r="E2026" s="6" t="s">
        <v>13</v>
      </c>
      <c r="F2026" s="6">
        <v>60</v>
      </c>
      <c r="G2026" s="40">
        <v>150</v>
      </c>
      <c r="H2026" s="40">
        <v>114.26635</v>
      </c>
      <c r="I2026" s="212"/>
      <c r="J2026" s="212"/>
    </row>
    <row r="2027" spans="1:10" s="5" customFormat="1" ht="25.5" hidden="1" customHeight="1" outlineLevel="1" x14ac:dyDescent="0.25">
      <c r="A2027" s="4">
        <v>5042</v>
      </c>
      <c r="B2027" s="6" t="s">
        <v>15</v>
      </c>
      <c r="C2027" s="38" t="s">
        <v>8672</v>
      </c>
      <c r="D2027" s="6">
        <v>2023</v>
      </c>
      <c r="E2027" s="6" t="s">
        <v>13</v>
      </c>
      <c r="F2027" s="6">
        <v>28</v>
      </c>
      <c r="G2027" s="40">
        <v>150</v>
      </c>
      <c r="H2027" s="40">
        <v>122.64367</v>
      </c>
      <c r="I2027" s="212"/>
      <c r="J2027" s="212"/>
    </row>
    <row r="2028" spans="1:10" s="5" customFormat="1" ht="25.5" hidden="1" customHeight="1" outlineLevel="1" x14ac:dyDescent="0.25">
      <c r="A2028" s="4">
        <v>5054</v>
      </c>
      <c r="B2028" s="6" t="s">
        <v>15</v>
      </c>
      <c r="C2028" s="38" t="s">
        <v>8675</v>
      </c>
      <c r="D2028" s="6">
        <v>2023</v>
      </c>
      <c r="E2028" s="6" t="s">
        <v>13</v>
      </c>
      <c r="F2028" s="6">
        <v>1112</v>
      </c>
      <c r="G2028" s="40">
        <v>15</v>
      </c>
      <c r="H2028" s="40">
        <v>1746.5586500000002</v>
      </c>
      <c r="I2028" s="212"/>
      <c r="J2028" s="212"/>
    </row>
    <row r="2029" spans="1:10" s="5" customFormat="1" ht="25.5" hidden="1" customHeight="1" outlineLevel="1" x14ac:dyDescent="0.25">
      <c r="A2029" s="4">
        <v>3028</v>
      </c>
      <c r="B2029" s="6" t="s">
        <v>15</v>
      </c>
      <c r="C2029" s="38" t="s">
        <v>8677</v>
      </c>
      <c r="D2029" s="6">
        <v>2023</v>
      </c>
      <c r="E2029" s="6" t="s">
        <v>13</v>
      </c>
      <c r="F2029" s="6">
        <v>222</v>
      </c>
      <c r="G2029" s="40">
        <v>50</v>
      </c>
      <c r="H2029" s="40">
        <v>705.85412000000008</v>
      </c>
      <c r="I2029" s="212"/>
      <c r="J2029" s="212"/>
    </row>
    <row r="2030" spans="1:10" s="5" customFormat="1" ht="25.5" hidden="1" customHeight="1" outlineLevel="1" x14ac:dyDescent="0.25">
      <c r="A2030" s="4">
        <v>3025</v>
      </c>
      <c r="B2030" s="6" t="s">
        <v>15</v>
      </c>
      <c r="C2030" s="38" t="s">
        <v>9086</v>
      </c>
      <c r="D2030" s="6">
        <v>2023</v>
      </c>
      <c r="E2030" s="6" t="s">
        <v>13</v>
      </c>
      <c r="F2030" s="6">
        <v>60</v>
      </c>
      <c r="G2030" s="40">
        <v>50</v>
      </c>
      <c r="H2030" s="40">
        <v>43.542099999999998</v>
      </c>
      <c r="I2030" s="212"/>
      <c r="J2030" s="212"/>
    </row>
    <row r="2031" spans="1:10" s="5" customFormat="1" ht="25.5" hidden="1" customHeight="1" outlineLevel="1" x14ac:dyDescent="0.25">
      <c r="A2031" s="4">
        <v>3098</v>
      </c>
      <c r="B2031" s="6" t="s">
        <v>15</v>
      </c>
      <c r="C2031" s="38" t="s">
        <v>9087</v>
      </c>
      <c r="D2031" s="6">
        <v>2023</v>
      </c>
      <c r="E2031" s="6" t="s">
        <v>13</v>
      </c>
      <c r="F2031" s="6">
        <v>275</v>
      </c>
      <c r="G2031" s="40">
        <v>500</v>
      </c>
      <c r="H2031" s="40">
        <v>478.43892</v>
      </c>
      <c r="I2031" s="212"/>
      <c r="J2031" s="212"/>
    </row>
    <row r="2032" spans="1:10" s="5" customFormat="1" ht="25.5" hidden="1" customHeight="1" outlineLevel="1" x14ac:dyDescent="0.25">
      <c r="A2032" s="4">
        <v>2949</v>
      </c>
      <c r="B2032" s="6" t="s">
        <v>15</v>
      </c>
      <c r="C2032" s="38" t="s">
        <v>9088</v>
      </c>
      <c r="D2032" s="6">
        <v>2023</v>
      </c>
      <c r="E2032" s="6" t="s">
        <v>13</v>
      </c>
      <c r="F2032" s="6">
        <v>258</v>
      </c>
      <c r="G2032" s="40">
        <v>63.7</v>
      </c>
      <c r="H2032" s="40">
        <v>400.80991</v>
      </c>
      <c r="I2032" s="212"/>
      <c r="J2032" s="212"/>
    </row>
    <row r="2033" spans="1:10" s="5" customFormat="1" ht="25.5" hidden="1" customHeight="1" outlineLevel="1" x14ac:dyDescent="0.25">
      <c r="A2033" s="4">
        <v>5038</v>
      </c>
      <c r="B2033" s="6" t="s">
        <v>15</v>
      </c>
      <c r="C2033" s="38" t="s">
        <v>8690</v>
      </c>
      <c r="D2033" s="6">
        <v>2023</v>
      </c>
      <c r="E2033" s="6" t="s">
        <v>13</v>
      </c>
      <c r="F2033" s="6">
        <v>5</v>
      </c>
      <c r="G2033" s="40">
        <v>150</v>
      </c>
      <c r="H2033" s="40">
        <v>63.065999999999995</v>
      </c>
      <c r="I2033" s="212"/>
      <c r="J2033" s="212"/>
    </row>
    <row r="2034" spans="1:10" s="5" customFormat="1" ht="25.5" hidden="1" customHeight="1" outlineLevel="1" x14ac:dyDescent="0.25">
      <c r="A2034" s="4">
        <v>463</v>
      </c>
      <c r="B2034" s="6" t="s">
        <v>15</v>
      </c>
      <c r="C2034" s="38" t="s">
        <v>8691</v>
      </c>
      <c r="D2034" s="6">
        <v>2023</v>
      </c>
      <c r="E2034" s="6" t="s">
        <v>13</v>
      </c>
      <c r="F2034" s="6">
        <v>5</v>
      </c>
      <c r="G2034" s="40">
        <v>15</v>
      </c>
      <c r="H2034" s="40">
        <v>37.213000000000001</v>
      </c>
      <c r="I2034" s="212"/>
      <c r="J2034" s="212"/>
    </row>
    <row r="2035" spans="1:10" s="5" customFormat="1" ht="25.5" hidden="1" customHeight="1" outlineLevel="1" x14ac:dyDescent="0.25">
      <c r="A2035" s="4">
        <v>3107</v>
      </c>
      <c r="B2035" s="6" t="s">
        <v>15</v>
      </c>
      <c r="C2035" s="38" t="s">
        <v>8718</v>
      </c>
      <c r="D2035" s="6">
        <v>2023</v>
      </c>
      <c r="E2035" s="6" t="s">
        <v>13</v>
      </c>
      <c r="F2035" s="6">
        <v>48</v>
      </c>
      <c r="G2035" s="40">
        <v>70</v>
      </c>
      <c r="H2035" s="40">
        <v>58.277000000000001</v>
      </c>
      <c r="I2035" s="212"/>
      <c r="J2035" s="212"/>
    </row>
    <row r="2036" spans="1:10" s="5" customFormat="1" ht="25.5" hidden="1" customHeight="1" outlineLevel="1" x14ac:dyDescent="0.25">
      <c r="A2036" s="4">
        <v>3115</v>
      </c>
      <c r="B2036" s="6" t="s">
        <v>15</v>
      </c>
      <c r="C2036" s="38" t="s">
        <v>9089</v>
      </c>
      <c r="D2036" s="6">
        <v>2023</v>
      </c>
      <c r="E2036" s="6" t="s">
        <v>13</v>
      </c>
      <c r="F2036" s="6">
        <v>25</v>
      </c>
      <c r="G2036" s="40">
        <v>150</v>
      </c>
      <c r="H2036" s="40">
        <v>55.36</v>
      </c>
      <c r="I2036" s="212"/>
      <c r="J2036" s="212"/>
    </row>
    <row r="2037" spans="1:10" s="5" customFormat="1" ht="25.5" hidden="1" customHeight="1" outlineLevel="1" x14ac:dyDescent="0.25">
      <c r="A2037" s="4">
        <v>5798</v>
      </c>
      <c r="B2037" s="6" t="s">
        <v>15</v>
      </c>
      <c r="C2037" s="38" t="s">
        <v>8728</v>
      </c>
      <c r="D2037" s="6">
        <v>2023</v>
      </c>
      <c r="E2037" s="6" t="s">
        <v>13</v>
      </c>
      <c r="F2037" s="6">
        <v>63</v>
      </c>
      <c r="G2037" s="40">
        <v>35</v>
      </c>
      <c r="H2037" s="40">
        <v>67.294000000000011</v>
      </c>
      <c r="I2037" s="212"/>
      <c r="J2037" s="212"/>
    </row>
    <row r="2038" spans="1:10" s="5" customFormat="1" ht="25.5" hidden="1" customHeight="1" outlineLevel="1" x14ac:dyDescent="0.25">
      <c r="A2038" s="4">
        <v>2977</v>
      </c>
      <c r="B2038" s="6" t="s">
        <v>15</v>
      </c>
      <c r="C2038" s="38" t="s">
        <v>8797</v>
      </c>
      <c r="D2038" s="6">
        <v>2023</v>
      </c>
      <c r="E2038" s="6" t="s">
        <v>13</v>
      </c>
      <c r="F2038" s="6">
        <v>810</v>
      </c>
      <c r="G2038" s="40">
        <v>100</v>
      </c>
      <c r="H2038" s="40">
        <v>1759</v>
      </c>
      <c r="I2038" s="212"/>
      <c r="J2038" s="212"/>
    </row>
    <row r="2039" spans="1:10" s="5" customFormat="1" ht="25.5" hidden="1" customHeight="1" outlineLevel="1" x14ac:dyDescent="0.25">
      <c r="A2039" s="4">
        <v>609</v>
      </c>
      <c r="B2039" s="6" t="s">
        <v>15</v>
      </c>
      <c r="C2039" s="38" t="s">
        <v>8798</v>
      </c>
      <c r="D2039" s="6">
        <v>2023</v>
      </c>
      <c r="E2039" s="6" t="s">
        <v>13</v>
      </c>
      <c r="F2039" s="6">
        <v>30</v>
      </c>
      <c r="G2039" s="40">
        <v>45</v>
      </c>
      <c r="H2039" s="40">
        <v>30</v>
      </c>
      <c r="I2039" s="212"/>
      <c r="J2039" s="212"/>
    </row>
    <row r="2040" spans="1:10" s="5" customFormat="1" ht="25.5" hidden="1" customHeight="1" outlineLevel="1" x14ac:dyDescent="0.25">
      <c r="A2040" s="4">
        <v>3368</v>
      </c>
      <c r="B2040" s="6" t="s">
        <v>15</v>
      </c>
      <c r="C2040" s="38" t="s">
        <v>8819</v>
      </c>
      <c r="D2040" s="6">
        <v>2023</v>
      </c>
      <c r="E2040" s="6" t="s">
        <v>13</v>
      </c>
      <c r="F2040" s="6">
        <v>30</v>
      </c>
      <c r="G2040" s="40">
        <v>100</v>
      </c>
      <c r="H2040" s="40">
        <v>82</v>
      </c>
      <c r="I2040" s="212"/>
      <c r="J2040" s="212"/>
    </row>
    <row r="2041" spans="1:10" s="5" customFormat="1" ht="25.5" hidden="1" customHeight="1" outlineLevel="1" x14ac:dyDescent="0.25">
      <c r="A2041" s="4">
        <v>3621</v>
      </c>
      <c r="B2041" s="6" t="s">
        <v>15</v>
      </c>
      <c r="C2041" s="38" t="s">
        <v>8823</v>
      </c>
      <c r="D2041" s="6">
        <v>2023</v>
      </c>
      <c r="E2041" s="6" t="s">
        <v>13</v>
      </c>
      <c r="F2041" s="6">
        <v>60</v>
      </c>
      <c r="G2041" s="40">
        <v>30</v>
      </c>
      <c r="H2041" s="40">
        <v>130</v>
      </c>
      <c r="I2041" s="212"/>
      <c r="J2041" s="212"/>
    </row>
    <row r="2042" spans="1:10" s="5" customFormat="1" ht="25.5" hidden="1" customHeight="1" outlineLevel="1" x14ac:dyDescent="0.25">
      <c r="A2042" s="4">
        <v>3361</v>
      </c>
      <c r="B2042" s="6" t="s">
        <v>15</v>
      </c>
      <c r="C2042" s="38" t="s">
        <v>8825</v>
      </c>
      <c r="D2042" s="6">
        <v>2023</v>
      </c>
      <c r="E2042" s="6" t="s">
        <v>13</v>
      </c>
      <c r="F2042" s="6">
        <v>20</v>
      </c>
      <c r="G2042" s="40">
        <v>100</v>
      </c>
      <c r="H2042" s="40">
        <v>80</v>
      </c>
      <c r="I2042" s="212"/>
      <c r="J2042" s="212"/>
    </row>
    <row r="2043" spans="1:10" s="5" customFormat="1" ht="25.5" hidden="1" customHeight="1" outlineLevel="1" x14ac:dyDescent="0.25">
      <c r="A2043" s="4">
        <v>3004</v>
      </c>
      <c r="B2043" s="6" t="s">
        <v>15</v>
      </c>
      <c r="C2043" s="38" t="s">
        <v>8827</v>
      </c>
      <c r="D2043" s="6">
        <v>2023</v>
      </c>
      <c r="E2043" s="6" t="s">
        <v>13</v>
      </c>
      <c r="F2043" s="6">
        <v>15</v>
      </c>
      <c r="G2043" s="40">
        <v>100</v>
      </c>
      <c r="H2043" s="40">
        <v>21</v>
      </c>
      <c r="I2043" s="212"/>
      <c r="J2043" s="212"/>
    </row>
    <row r="2044" spans="1:10" s="5" customFormat="1" ht="25.5" hidden="1" customHeight="1" outlineLevel="1" x14ac:dyDescent="0.25">
      <c r="A2044" s="4">
        <v>571</v>
      </c>
      <c r="B2044" s="6" t="s">
        <v>15</v>
      </c>
      <c r="C2044" s="38" t="s">
        <v>8841</v>
      </c>
      <c r="D2044" s="6">
        <v>2023</v>
      </c>
      <c r="E2044" s="6" t="s">
        <v>13</v>
      </c>
      <c r="F2044" s="6">
        <v>366</v>
      </c>
      <c r="G2044" s="40">
        <v>15</v>
      </c>
      <c r="H2044" s="40">
        <v>1179</v>
      </c>
      <c r="I2044" s="212"/>
      <c r="J2044" s="212"/>
    </row>
    <row r="2045" spans="1:10" s="5" customFormat="1" ht="25.5" hidden="1" customHeight="1" outlineLevel="1" x14ac:dyDescent="0.25">
      <c r="A2045" s="4">
        <v>987</v>
      </c>
      <c r="B2045" s="6" t="s">
        <v>15</v>
      </c>
      <c r="C2045" s="38" t="s">
        <v>8847</v>
      </c>
      <c r="D2045" s="6">
        <v>2023</v>
      </c>
      <c r="E2045" s="6" t="s">
        <v>13</v>
      </c>
      <c r="F2045" s="6">
        <v>10</v>
      </c>
      <c r="G2045" s="40">
        <v>30</v>
      </c>
      <c r="H2045" s="40">
        <v>46</v>
      </c>
      <c r="I2045" s="212"/>
      <c r="J2045" s="212"/>
    </row>
    <row r="2046" spans="1:10" s="5" customFormat="1" ht="25.5" hidden="1" customHeight="1" outlineLevel="1" x14ac:dyDescent="0.25">
      <c r="A2046" s="4">
        <v>654</v>
      </c>
      <c r="B2046" s="6" t="s">
        <v>15</v>
      </c>
      <c r="C2046" s="38" t="s">
        <v>8855</v>
      </c>
      <c r="D2046" s="6">
        <v>2023</v>
      </c>
      <c r="E2046" s="6" t="s">
        <v>13</v>
      </c>
      <c r="F2046" s="6">
        <v>50</v>
      </c>
      <c r="G2046" s="40">
        <v>30</v>
      </c>
      <c r="H2046" s="40">
        <v>119</v>
      </c>
      <c r="I2046" s="212"/>
      <c r="J2046" s="212"/>
    </row>
    <row r="2047" spans="1:10" s="5" customFormat="1" ht="25.5" hidden="1" customHeight="1" outlineLevel="1" x14ac:dyDescent="0.25">
      <c r="A2047" s="4">
        <v>510</v>
      </c>
      <c r="B2047" s="6" t="s">
        <v>15</v>
      </c>
      <c r="C2047" s="38" t="s">
        <v>8865</v>
      </c>
      <c r="D2047" s="6">
        <v>2023</v>
      </c>
      <c r="E2047" s="6" t="s">
        <v>13</v>
      </c>
      <c r="F2047" s="6">
        <v>168</v>
      </c>
      <c r="G2047" s="40">
        <v>94</v>
      </c>
      <c r="H2047" s="40">
        <v>572</v>
      </c>
      <c r="I2047" s="212"/>
      <c r="J2047" s="212"/>
    </row>
    <row r="2048" spans="1:10" s="5" customFormat="1" ht="25.5" hidden="1" customHeight="1" outlineLevel="1" x14ac:dyDescent="0.25">
      <c r="A2048" s="4">
        <v>4452</v>
      </c>
      <c r="B2048" s="6" t="s">
        <v>15</v>
      </c>
      <c r="C2048" s="38" t="s">
        <v>8870</v>
      </c>
      <c r="D2048" s="6">
        <v>2023</v>
      </c>
      <c r="E2048" s="6" t="s">
        <v>13</v>
      </c>
      <c r="F2048" s="6">
        <v>60</v>
      </c>
      <c r="G2048" s="40">
        <v>100</v>
      </c>
      <c r="H2048" s="40">
        <v>114</v>
      </c>
      <c r="I2048" s="212"/>
      <c r="J2048" s="212"/>
    </row>
    <row r="2049" spans="1:10" s="5" customFormat="1" ht="25.5" hidden="1" customHeight="1" outlineLevel="1" x14ac:dyDescent="0.25">
      <c r="A2049" s="4">
        <v>3123</v>
      </c>
      <c r="B2049" s="6" t="s">
        <v>15</v>
      </c>
      <c r="C2049" s="38" t="s">
        <v>8879</v>
      </c>
      <c r="D2049" s="6">
        <v>2023</v>
      </c>
      <c r="E2049" s="6" t="s">
        <v>13</v>
      </c>
      <c r="F2049" s="6">
        <v>15</v>
      </c>
      <c r="G2049" s="40">
        <v>150</v>
      </c>
      <c r="H2049" s="40">
        <v>47</v>
      </c>
      <c r="I2049" s="212"/>
      <c r="J2049" s="212"/>
    </row>
    <row r="2050" spans="1:10" s="5" customFormat="1" ht="25.5" hidden="1" customHeight="1" outlineLevel="1" x14ac:dyDescent="0.25">
      <c r="A2050" s="4">
        <v>3007</v>
      </c>
      <c r="B2050" s="6" t="s">
        <v>15</v>
      </c>
      <c r="C2050" s="38" t="s">
        <v>8889</v>
      </c>
      <c r="D2050" s="6">
        <v>2023</v>
      </c>
      <c r="E2050" s="6" t="s">
        <v>13</v>
      </c>
      <c r="F2050" s="6">
        <v>1793</v>
      </c>
      <c r="G2050" s="40">
        <v>90</v>
      </c>
      <c r="H2050" s="40">
        <v>3049</v>
      </c>
      <c r="I2050" s="212"/>
      <c r="J2050" s="212"/>
    </row>
    <row r="2051" spans="1:10" s="5" customFormat="1" ht="25.5" hidden="1" customHeight="1" outlineLevel="1" x14ac:dyDescent="0.25">
      <c r="A2051" s="4">
        <v>668</v>
      </c>
      <c r="B2051" s="6" t="s">
        <v>15</v>
      </c>
      <c r="C2051" s="38" t="s">
        <v>8890</v>
      </c>
      <c r="D2051" s="6">
        <v>2023</v>
      </c>
      <c r="E2051" s="6" t="s">
        <v>13</v>
      </c>
      <c r="F2051" s="6">
        <v>10</v>
      </c>
      <c r="G2051" s="40">
        <v>45</v>
      </c>
      <c r="H2051" s="40">
        <v>53</v>
      </c>
      <c r="I2051" s="212"/>
      <c r="J2051" s="212"/>
    </row>
    <row r="2052" spans="1:10" s="5" customFormat="1" ht="25.5" hidden="1" customHeight="1" outlineLevel="1" x14ac:dyDescent="0.25">
      <c r="A2052" s="4">
        <v>3247</v>
      </c>
      <c r="B2052" s="6" t="s">
        <v>15</v>
      </c>
      <c r="C2052" s="38" t="s">
        <v>8900</v>
      </c>
      <c r="D2052" s="6">
        <v>2023</v>
      </c>
      <c r="E2052" s="6" t="s">
        <v>13</v>
      </c>
      <c r="F2052" s="6">
        <v>325</v>
      </c>
      <c r="G2052" s="40">
        <v>15</v>
      </c>
      <c r="H2052" s="40">
        <v>972</v>
      </c>
      <c r="I2052" s="212"/>
      <c r="J2052" s="212"/>
    </row>
    <row r="2053" spans="1:10" s="5" customFormat="1" ht="25.5" hidden="1" customHeight="1" outlineLevel="1" x14ac:dyDescent="0.25">
      <c r="A2053" s="4">
        <v>1317</v>
      </c>
      <c r="B2053" s="6" t="s">
        <v>15</v>
      </c>
      <c r="C2053" s="38" t="s">
        <v>8905</v>
      </c>
      <c r="D2053" s="6">
        <v>2023</v>
      </c>
      <c r="E2053" s="6" t="s">
        <v>13</v>
      </c>
      <c r="F2053" s="6">
        <v>30</v>
      </c>
      <c r="G2053" s="40">
        <v>15</v>
      </c>
      <c r="H2053" s="40">
        <v>26</v>
      </c>
      <c r="I2053" s="212"/>
      <c r="J2053" s="212"/>
    </row>
    <row r="2054" spans="1:10" s="5" customFormat="1" ht="25.5" hidden="1" customHeight="1" outlineLevel="1" x14ac:dyDescent="0.25">
      <c r="A2054" s="4">
        <v>3074</v>
      </c>
      <c r="B2054" s="6" t="s">
        <v>15</v>
      </c>
      <c r="C2054" s="38" t="s">
        <v>8915</v>
      </c>
      <c r="D2054" s="6">
        <v>2023</v>
      </c>
      <c r="E2054" s="6" t="s">
        <v>13</v>
      </c>
      <c r="F2054" s="6">
        <v>10</v>
      </c>
      <c r="G2054" s="40">
        <v>150</v>
      </c>
      <c r="H2054" s="40">
        <v>80</v>
      </c>
      <c r="I2054" s="212"/>
      <c r="J2054" s="212"/>
    </row>
    <row r="2055" spans="1:10" s="5" customFormat="1" ht="25.5" hidden="1" customHeight="1" outlineLevel="1" x14ac:dyDescent="0.25">
      <c r="A2055" s="4">
        <v>2872</v>
      </c>
      <c r="B2055" s="6" t="s">
        <v>15</v>
      </c>
      <c r="C2055" s="38" t="s">
        <v>8921</v>
      </c>
      <c r="D2055" s="6">
        <v>2023</v>
      </c>
      <c r="E2055" s="6" t="s">
        <v>13</v>
      </c>
      <c r="F2055" s="6">
        <v>7</v>
      </c>
      <c r="G2055" s="40">
        <v>15</v>
      </c>
      <c r="H2055" s="40">
        <v>49</v>
      </c>
      <c r="I2055" s="212"/>
      <c r="J2055" s="212"/>
    </row>
    <row r="2056" spans="1:10" s="5" customFormat="1" ht="25.5" hidden="1" customHeight="1" outlineLevel="1" x14ac:dyDescent="0.25">
      <c r="A2056" s="4">
        <v>3245</v>
      </c>
      <c r="B2056" s="6" t="s">
        <v>15</v>
      </c>
      <c r="C2056" s="38" t="s">
        <v>8922</v>
      </c>
      <c r="D2056" s="6">
        <v>2023</v>
      </c>
      <c r="E2056" s="6" t="s">
        <v>13</v>
      </c>
      <c r="F2056" s="6">
        <v>30</v>
      </c>
      <c r="G2056" s="40">
        <v>15</v>
      </c>
      <c r="H2056" s="40">
        <v>61</v>
      </c>
      <c r="I2056" s="212"/>
      <c r="J2056" s="212"/>
    </row>
    <row r="2057" spans="1:10" s="5" customFormat="1" ht="25.5" hidden="1" customHeight="1" outlineLevel="1" x14ac:dyDescent="0.25">
      <c r="A2057" s="4">
        <v>1631</v>
      </c>
      <c r="B2057" s="6" t="s">
        <v>15</v>
      </c>
      <c r="C2057" s="38" t="s">
        <v>8924</v>
      </c>
      <c r="D2057" s="6">
        <v>2023</v>
      </c>
      <c r="E2057" s="6" t="s">
        <v>13</v>
      </c>
      <c r="F2057" s="6">
        <v>15</v>
      </c>
      <c r="G2057" s="40">
        <v>30</v>
      </c>
      <c r="H2057" s="40">
        <v>139</v>
      </c>
      <c r="I2057" s="212"/>
      <c r="J2057" s="212"/>
    </row>
    <row r="2058" spans="1:10" s="5" customFormat="1" ht="25.5" hidden="1" customHeight="1" outlineLevel="1" x14ac:dyDescent="0.25">
      <c r="A2058" s="4">
        <v>3340</v>
      </c>
      <c r="B2058" s="6" t="s">
        <v>15</v>
      </c>
      <c r="C2058" s="38" t="s">
        <v>8949</v>
      </c>
      <c r="D2058" s="6">
        <v>2023</v>
      </c>
      <c r="E2058" s="6" t="s">
        <v>13</v>
      </c>
      <c r="F2058" s="6">
        <v>60</v>
      </c>
      <c r="G2058" s="40">
        <v>90</v>
      </c>
      <c r="H2058" s="40">
        <v>149</v>
      </c>
      <c r="I2058" s="212"/>
      <c r="J2058" s="212"/>
    </row>
    <row r="2059" spans="1:10" s="5" customFormat="1" ht="25.5" hidden="1" customHeight="1" outlineLevel="1" x14ac:dyDescent="0.25">
      <c r="A2059" s="4">
        <v>2886</v>
      </c>
      <c r="B2059" s="6" t="s">
        <v>15</v>
      </c>
      <c r="C2059" s="38" t="s">
        <v>8962</v>
      </c>
      <c r="D2059" s="6">
        <v>2023</v>
      </c>
      <c r="E2059" s="6" t="s">
        <v>13</v>
      </c>
      <c r="F2059" s="6">
        <v>600</v>
      </c>
      <c r="G2059" s="40">
        <v>15</v>
      </c>
      <c r="H2059" s="40">
        <v>743</v>
      </c>
      <c r="I2059" s="212"/>
      <c r="J2059" s="212"/>
    </row>
    <row r="2060" spans="1:10" s="5" customFormat="1" ht="25.5" hidden="1" customHeight="1" outlineLevel="1" x14ac:dyDescent="0.25">
      <c r="A2060" s="4">
        <v>4523</v>
      </c>
      <c r="B2060" s="6" t="s">
        <v>15</v>
      </c>
      <c r="C2060" s="38" t="s">
        <v>8965</v>
      </c>
      <c r="D2060" s="6">
        <v>2023</v>
      </c>
      <c r="E2060" s="6" t="s">
        <v>13</v>
      </c>
      <c r="F2060" s="6">
        <v>20</v>
      </c>
      <c r="G2060" s="40">
        <v>50</v>
      </c>
      <c r="H2060" s="40">
        <v>138</v>
      </c>
      <c r="I2060" s="212"/>
      <c r="J2060" s="212"/>
    </row>
    <row r="2061" spans="1:10" s="5" customFormat="1" ht="25.5" hidden="1" customHeight="1" outlineLevel="1" x14ac:dyDescent="0.25">
      <c r="A2061" s="4">
        <v>4522</v>
      </c>
      <c r="B2061" s="6" t="s">
        <v>15</v>
      </c>
      <c r="C2061" s="38" t="s">
        <v>8966</v>
      </c>
      <c r="D2061" s="6">
        <v>2023</v>
      </c>
      <c r="E2061" s="6" t="s">
        <v>13</v>
      </c>
      <c r="F2061" s="6">
        <v>25</v>
      </c>
      <c r="G2061" s="40">
        <v>15</v>
      </c>
      <c r="H2061" s="40">
        <v>152</v>
      </c>
      <c r="I2061" s="212"/>
      <c r="J2061" s="212"/>
    </row>
    <row r="2062" spans="1:10" s="5" customFormat="1" ht="25.5" hidden="1" customHeight="1" outlineLevel="1" x14ac:dyDescent="0.25">
      <c r="A2062" s="4">
        <v>3076</v>
      </c>
      <c r="B2062" s="6" t="s">
        <v>15</v>
      </c>
      <c r="C2062" s="38" t="s">
        <v>8991</v>
      </c>
      <c r="D2062" s="6">
        <v>2023</v>
      </c>
      <c r="E2062" s="6" t="s">
        <v>13</v>
      </c>
      <c r="F2062" s="6">
        <v>20</v>
      </c>
      <c r="G2062" s="40">
        <v>150</v>
      </c>
      <c r="H2062" s="40">
        <v>71</v>
      </c>
      <c r="I2062" s="212"/>
      <c r="J2062" s="212"/>
    </row>
    <row r="2063" spans="1:10" s="5" customFormat="1" ht="25.5" hidden="1" customHeight="1" outlineLevel="1" x14ac:dyDescent="0.25">
      <c r="A2063" s="4">
        <v>4538</v>
      </c>
      <c r="B2063" s="6" t="s">
        <v>15</v>
      </c>
      <c r="C2063" s="38" t="s">
        <v>8992</v>
      </c>
      <c r="D2063" s="6">
        <v>2023</v>
      </c>
      <c r="E2063" s="6" t="s">
        <v>13</v>
      </c>
      <c r="F2063" s="6">
        <v>5</v>
      </c>
      <c r="G2063" s="40">
        <v>15</v>
      </c>
      <c r="H2063" s="40">
        <v>74</v>
      </c>
      <c r="I2063" s="212"/>
      <c r="J2063" s="212"/>
    </row>
    <row r="2064" spans="1:10" s="5" customFormat="1" ht="25.5" hidden="1" customHeight="1" outlineLevel="1" x14ac:dyDescent="0.25">
      <c r="A2064" s="4">
        <v>485</v>
      </c>
      <c r="B2064" s="6" t="s">
        <v>15</v>
      </c>
      <c r="C2064" s="38" t="s">
        <v>9008</v>
      </c>
      <c r="D2064" s="6">
        <v>2023</v>
      </c>
      <c r="E2064" s="6" t="s">
        <v>13</v>
      </c>
      <c r="F2064" s="6">
        <v>182</v>
      </c>
      <c r="G2064" s="40">
        <v>15</v>
      </c>
      <c r="H2064" s="40">
        <v>936</v>
      </c>
      <c r="I2064" s="212"/>
      <c r="J2064" s="212"/>
    </row>
    <row r="2065" spans="1:10" s="5" customFormat="1" ht="25.5" hidden="1" customHeight="1" outlineLevel="1" x14ac:dyDescent="0.25">
      <c r="A2065" s="4">
        <v>2998</v>
      </c>
      <c r="B2065" s="6" t="s">
        <v>15</v>
      </c>
      <c r="C2065" s="38" t="s">
        <v>9016</v>
      </c>
      <c r="D2065" s="6">
        <v>2023</v>
      </c>
      <c r="E2065" s="6" t="s">
        <v>13</v>
      </c>
      <c r="F2065" s="6">
        <v>1335</v>
      </c>
      <c r="G2065" s="40">
        <v>100</v>
      </c>
      <c r="H2065" s="40">
        <v>3158</v>
      </c>
      <c r="I2065" s="212"/>
      <c r="J2065" s="212"/>
    </row>
    <row r="2066" spans="1:10" s="5" customFormat="1" ht="25.5" hidden="1" customHeight="1" outlineLevel="1" x14ac:dyDescent="0.25">
      <c r="A2066" s="4">
        <v>3003</v>
      </c>
      <c r="B2066" s="6" t="s">
        <v>15</v>
      </c>
      <c r="C2066" s="38" t="s">
        <v>9090</v>
      </c>
      <c r="D2066" s="6">
        <v>2023</v>
      </c>
      <c r="E2066" s="6" t="s">
        <v>13</v>
      </c>
      <c r="F2066" s="6">
        <v>570</v>
      </c>
      <c r="G2066" s="40">
        <v>150</v>
      </c>
      <c r="H2066" s="40">
        <v>1124.6940000000002</v>
      </c>
      <c r="I2066" s="212"/>
      <c r="J2066" s="212"/>
    </row>
    <row r="2067" spans="1:10" s="5" customFormat="1" ht="25.5" hidden="1" customHeight="1" outlineLevel="1" x14ac:dyDescent="0.25">
      <c r="A2067" s="4">
        <v>3394</v>
      </c>
      <c r="B2067" s="6" t="s">
        <v>15</v>
      </c>
      <c r="C2067" s="38" t="s">
        <v>9091</v>
      </c>
      <c r="D2067" s="6">
        <v>2023</v>
      </c>
      <c r="E2067" s="6" t="s">
        <v>13</v>
      </c>
      <c r="F2067" s="6">
        <v>662</v>
      </c>
      <c r="G2067" s="40">
        <v>150</v>
      </c>
      <c r="H2067" s="40">
        <v>1496.1819999999998</v>
      </c>
      <c r="I2067" s="212"/>
      <c r="J2067" s="212"/>
    </row>
    <row r="2068" spans="1:10" s="5" customFormat="1" ht="25.5" hidden="1" customHeight="1" outlineLevel="1" x14ac:dyDescent="0.25">
      <c r="A2068" s="4">
        <v>3439</v>
      </c>
      <c r="B2068" s="6" t="s">
        <v>15</v>
      </c>
      <c r="C2068" s="38" t="s">
        <v>9092</v>
      </c>
      <c r="D2068" s="6">
        <v>2023</v>
      </c>
      <c r="E2068" s="6" t="s">
        <v>13</v>
      </c>
      <c r="F2068" s="6">
        <v>30</v>
      </c>
      <c r="G2068" s="40">
        <v>30</v>
      </c>
      <c r="H2068" s="40">
        <v>80.949999999999989</v>
      </c>
      <c r="I2068" s="212"/>
      <c r="J2068" s="212"/>
    </row>
    <row r="2069" spans="1:10" s="5" customFormat="1" ht="25.5" hidden="1" customHeight="1" outlineLevel="1" x14ac:dyDescent="0.25">
      <c r="A2069" s="4">
        <v>3365</v>
      </c>
      <c r="B2069" s="6" t="s">
        <v>15</v>
      </c>
      <c r="C2069" s="38" t="s">
        <v>9093</v>
      </c>
      <c r="D2069" s="6">
        <v>2023</v>
      </c>
      <c r="E2069" s="6" t="s">
        <v>13</v>
      </c>
      <c r="F2069" s="6">
        <v>30</v>
      </c>
      <c r="G2069" s="40">
        <v>150</v>
      </c>
      <c r="H2069" s="40">
        <v>78.63000000000001</v>
      </c>
      <c r="I2069" s="212"/>
      <c r="J2069" s="212"/>
    </row>
    <row r="2070" spans="1:10" s="5" customFormat="1" ht="25.5" hidden="1" customHeight="1" outlineLevel="1" x14ac:dyDescent="0.25">
      <c r="A2070" s="4">
        <v>937</v>
      </c>
      <c r="B2070" s="6" t="s">
        <v>15</v>
      </c>
      <c r="C2070" s="38" t="s">
        <v>9094</v>
      </c>
      <c r="D2070" s="6">
        <v>2023</v>
      </c>
      <c r="E2070" s="6" t="s">
        <v>13</v>
      </c>
      <c r="F2070" s="6">
        <v>40</v>
      </c>
      <c r="G2070" s="40">
        <v>150</v>
      </c>
      <c r="H2070" s="40">
        <v>92</v>
      </c>
      <c r="I2070" s="212"/>
      <c r="J2070" s="212"/>
    </row>
    <row r="2071" spans="1:10" s="5" customFormat="1" ht="25.5" hidden="1" customHeight="1" outlineLevel="1" x14ac:dyDescent="0.25">
      <c r="A2071" s="4">
        <v>4450</v>
      </c>
      <c r="B2071" s="6" t="s">
        <v>15</v>
      </c>
      <c r="C2071" s="38" t="s">
        <v>9095</v>
      </c>
      <c r="D2071" s="6">
        <v>2023</v>
      </c>
      <c r="E2071" s="6" t="s">
        <v>13</v>
      </c>
      <c r="F2071" s="6">
        <v>21</v>
      </c>
      <c r="G2071" s="40">
        <v>150</v>
      </c>
      <c r="H2071" s="40">
        <v>330.60599999999999</v>
      </c>
      <c r="I2071" s="212"/>
      <c r="J2071" s="212"/>
    </row>
    <row r="2072" spans="1:10" s="5" customFormat="1" ht="25.5" hidden="1" customHeight="1" outlineLevel="1" x14ac:dyDescent="0.25">
      <c r="A2072" s="4">
        <v>579</v>
      </c>
      <c r="B2072" s="6" t="s">
        <v>15</v>
      </c>
      <c r="C2072" s="38" t="s">
        <v>9096</v>
      </c>
      <c r="D2072" s="6">
        <v>2023</v>
      </c>
      <c r="E2072" s="6" t="s">
        <v>13</v>
      </c>
      <c r="F2072" s="6">
        <v>5</v>
      </c>
      <c r="G2072" s="40">
        <v>330</v>
      </c>
      <c r="H2072" s="40">
        <v>172.03899999999999</v>
      </c>
      <c r="I2072" s="212"/>
      <c r="J2072" s="212"/>
    </row>
    <row r="2073" spans="1:10" s="5" customFormat="1" ht="25.5" hidden="1" customHeight="1" outlineLevel="1" x14ac:dyDescent="0.25">
      <c r="A2073" s="4">
        <v>4451</v>
      </c>
      <c r="B2073" s="6" t="s">
        <v>15</v>
      </c>
      <c r="C2073" s="38" t="s">
        <v>9097</v>
      </c>
      <c r="D2073" s="6">
        <v>2023</v>
      </c>
      <c r="E2073" s="6" t="s">
        <v>13</v>
      </c>
      <c r="F2073" s="6">
        <v>9</v>
      </c>
      <c r="G2073" s="40">
        <v>150</v>
      </c>
      <c r="H2073" s="40">
        <v>132.03395</v>
      </c>
      <c r="I2073" s="212"/>
      <c r="J2073" s="212"/>
    </row>
    <row r="2074" spans="1:10" s="5" customFormat="1" ht="25.5" hidden="1" customHeight="1" outlineLevel="1" x14ac:dyDescent="0.25">
      <c r="A2074" s="4">
        <v>3062</v>
      </c>
      <c r="B2074" s="6" t="s">
        <v>15</v>
      </c>
      <c r="C2074" s="38" t="s">
        <v>9098</v>
      </c>
      <c r="D2074" s="6">
        <v>2023</v>
      </c>
      <c r="E2074" s="6" t="s">
        <v>13</v>
      </c>
      <c r="F2074" s="6">
        <v>40</v>
      </c>
      <c r="G2074" s="40">
        <v>150</v>
      </c>
      <c r="H2074" s="40">
        <v>86.53</v>
      </c>
      <c r="I2074" s="212"/>
      <c r="J2074" s="212"/>
    </row>
    <row r="2075" spans="1:10" s="5" customFormat="1" ht="25.5" hidden="1" customHeight="1" outlineLevel="1" x14ac:dyDescent="0.25">
      <c r="A2075" s="4">
        <v>796</v>
      </c>
      <c r="B2075" s="6" t="s">
        <v>15</v>
      </c>
      <c r="C2075" s="38" t="s">
        <v>9099</v>
      </c>
      <c r="D2075" s="6">
        <v>2023</v>
      </c>
      <c r="E2075" s="6" t="s">
        <v>13</v>
      </c>
      <c r="F2075" s="6">
        <v>21</v>
      </c>
      <c r="G2075" s="40">
        <v>45</v>
      </c>
      <c r="H2075" s="40">
        <v>145.983</v>
      </c>
      <c r="I2075" s="212"/>
      <c r="J2075" s="212"/>
    </row>
    <row r="2076" spans="1:10" s="5" customFormat="1" ht="25.5" hidden="1" customHeight="1" outlineLevel="1" x14ac:dyDescent="0.25">
      <c r="A2076" s="4">
        <v>3254</v>
      </c>
      <c r="B2076" s="6" t="s">
        <v>15</v>
      </c>
      <c r="C2076" s="38" t="s">
        <v>9100</v>
      </c>
      <c r="D2076" s="6">
        <v>2023</v>
      </c>
      <c r="E2076" s="6" t="s">
        <v>13</v>
      </c>
      <c r="F2076" s="6">
        <v>10</v>
      </c>
      <c r="G2076" s="40">
        <v>15</v>
      </c>
      <c r="H2076" s="40">
        <v>75</v>
      </c>
      <c r="I2076" s="212"/>
      <c r="J2076" s="212"/>
    </row>
    <row r="2077" spans="1:10" s="5" customFormat="1" ht="25.5" hidden="1" customHeight="1" outlineLevel="1" x14ac:dyDescent="0.25">
      <c r="A2077" s="4">
        <v>3078</v>
      </c>
      <c r="B2077" s="6" t="s">
        <v>15</v>
      </c>
      <c r="C2077" s="38" t="s">
        <v>9101</v>
      </c>
      <c r="D2077" s="6">
        <v>2023</v>
      </c>
      <c r="E2077" s="6" t="s">
        <v>13</v>
      </c>
      <c r="F2077" s="6">
        <v>10</v>
      </c>
      <c r="G2077" s="40">
        <v>150</v>
      </c>
      <c r="H2077" s="40">
        <v>40</v>
      </c>
      <c r="I2077" s="212"/>
      <c r="J2077" s="212"/>
    </row>
    <row r="2078" spans="1:10" s="5" customFormat="1" ht="25.5" hidden="1" customHeight="1" outlineLevel="1" x14ac:dyDescent="0.25">
      <c r="A2078" s="4">
        <v>3085</v>
      </c>
      <c r="B2078" s="6" t="s">
        <v>15</v>
      </c>
      <c r="C2078" s="38" t="s">
        <v>9102</v>
      </c>
      <c r="D2078" s="6">
        <v>2023</v>
      </c>
      <c r="E2078" s="6" t="s">
        <v>13</v>
      </c>
      <c r="F2078" s="6">
        <v>60</v>
      </c>
      <c r="G2078" s="40">
        <v>149</v>
      </c>
      <c r="H2078" s="40">
        <v>55</v>
      </c>
      <c r="I2078" s="212"/>
      <c r="J2078" s="212"/>
    </row>
    <row r="2079" spans="1:10" s="5" customFormat="1" ht="25.5" hidden="1" customHeight="1" outlineLevel="1" x14ac:dyDescent="0.25">
      <c r="A2079" s="4">
        <v>3022</v>
      </c>
      <c r="B2079" s="6" t="s">
        <v>15</v>
      </c>
      <c r="C2079" s="38" t="s">
        <v>9103</v>
      </c>
      <c r="D2079" s="6">
        <v>2023</v>
      </c>
      <c r="E2079" s="6" t="s">
        <v>13</v>
      </c>
      <c r="F2079" s="6">
        <v>152</v>
      </c>
      <c r="G2079" s="40">
        <v>165</v>
      </c>
      <c r="H2079" s="40">
        <v>748</v>
      </c>
      <c r="I2079" s="212"/>
      <c r="J2079" s="212"/>
    </row>
    <row r="2080" spans="1:10" s="5" customFormat="1" ht="25.5" hidden="1" customHeight="1" outlineLevel="1" x14ac:dyDescent="0.25">
      <c r="A2080" s="4">
        <v>1183</v>
      </c>
      <c r="B2080" s="6" t="s">
        <v>15</v>
      </c>
      <c r="C2080" s="38" t="s">
        <v>9104</v>
      </c>
      <c r="D2080" s="6">
        <v>2023</v>
      </c>
      <c r="E2080" s="6" t="s">
        <v>13</v>
      </c>
      <c r="F2080" s="6">
        <v>59</v>
      </c>
      <c r="G2080" s="40">
        <v>110</v>
      </c>
      <c r="H2080" s="40">
        <v>347</v>
      </c>
      <c r="I2080" s="212"/>
      <c r="J2080" s="212"/>
    </row>
    <row r="2081" spans="1:10" s="5" customFormat="1" ht="25.5" hidden="1" customHeight="1" outlineLevel="1" x14ac:dyDescent="0.25">
      <c r="A2081" s="4">
        <v>465</v>
      </c>
      <c r="B2081" s="6" t="s">
        <v>15</v>
      </c>
      <c r="C2081" s="38" t="s">
        <v>9105</v>
      </c>
      <c r="D2081" s="6">
        <v>2023</v>
      </c>
      <c r="E2081" s="6" t="s">
        <v>13</v>
      </c>
      <c r="F2081" s="6">
        <v>232</v>
      </c>
      <c r="G2081" s="40">
        <v>120</v>
      </c>
      <c r="H2081" s="40">
        <v>653</v>
      </c>
      <c r="I2081" s="212"/>
      <c r="J2081" s="212"/>
    </row>
    <row r="2082" spans="1:10" s="5" customFormat="1" ht="25.5" hidden="1" customHeight="1" outlineLevel="1" x14ac:dyDescent="0.25">
      <c r="A2082" s="4">
        <v>3118</v>
      </c>
      <c r="B2082" s="6" t="s">
        <v>15</v>
      </c>
      <c r="C2082" s="38" t="s">
        <v>9106</v>
      </c>
      <c r="D2082" s="6">
        <v>2023</v>
      </c>
      <c r="E2082" s="6" t="s">
        <v>13</v>
      </c>
      <c r="F2082" s="6">
        <v>35</v>
      </c>
      <c r="G2082" s="40">
        <v>150</v>
      </c>
      <c r="H2082" s="40">
        <v>103</v>
      </c>
      <c r="I2082" s="212"/>
      <c r="J2082" s="212"/>
    </row>
    <row r="2083" spans="1:10" s="5" customFormat="1" ht="25.5" hidden="1" customHeight="1" outlineLevel="1" x14ac:dyDescent="0.25">
      <c r="A2083" s="4">
        <v>3117</v>
      </c>
      <c r="B2083" s="6" t="s">
        <v>15</v>
      </c>
      <c r="C2083" s="38" t="s">
        <v>9107</v>
      </c>
      <c r="D2083" s="6">
        <v>2023</v>
      </c>
      <c r="E2083" s="6" t="s">
        <v>13</v>
      </c>
      <c r="F2083" s="6">
        <v>90</v>
      </c>
      <c r="G2083" s="40">
        <v>150</v>
      </c>
      <c r="H2083" s="40">
        <v>170</v>
      </c>
      <c r="I2083" s="212"/>
      <c r="J2083" s="212"/>
    </row>
    <row r="2084" spans="1:10" s="5" customFormat="1" ht="25.5" hidden="1" customHeight="1" outlineLevel="1" x14ac:dyDescent="0.25">
      <c r="A2084" s="4">
        <v>3041</v>
      </c>
      <c r="B2084" s="6" t="s">
        <v>15</v>
      </c>
      <c r="C2084" s="38" t="s">
        <v>9108</v>
      </c>
      <c r="D2084" s="6">
        <v>2023</v>
      </c>
      <c r="E2084" s="6" t="s">
        <v>13</v>
      </c>
      <c r="F2084" s="6">
        <v>5</v>
      </c>
      <c r="G2084" s="40">
        <v>120</v>
      </c>
      <c r="H2084" s="40">
        <v>234.13964000000001</v>
      </c>
      <c r="I2084" s="212"/>
      <c r="J2084" s="212"/>
    </row>
    <row r="2085" spans="1:10" s="5" customFormat="1" ht="25.5" hidden="1" customHeight="1" outlineLevel="1" x14ac:dyDescent="0.25">
      <c r="A2085" s="4">
        <v>3127</v>
      </c>
      <c r="B2085" s="6" t="s">
        <v>15</v>
      </c>
      <c r="C2085" s="38" t="s">
        <v>9109</v>
      </c>
      <c r="D2085" s="6">
        <v>2023</v>
      </c>
      <c r="E2085" s="6" t="s">
        <v>13</v>
      </c>
      <c r="F2085" s="6">
        <v>132</v>
      </c>
      <c r="G2085" s="40">
        <v>450</v>
      </c>
      <c r="H2085" s="40">
        <v>538.62502999999992</v>
      </c>
      <c r="I2085" s="212"/>
      <c r="J2085" s="212"/>
    </row>
    <row r="2086" spans="1:10" s="5" customFormat="1" ht="25.5" hidden="1" customHeight="1" outlineLevel="1" x14ac:dyDescent="0.25">
      <c r="A2086" s="4">
        <v>660</v>
      </c>
      <c r="B2086" s="6" t="s">
        <v>15</v>
      </c>
      <c r="C2086" s="38" t="s">
        <v>9110</v>
      </c>
      <c r="D2086" s="6">
        <v>2023</v>
      </c>
      <c r="E2086" s="6" t="s">
        <v>13</v>
      </c>
      <c r="F2086" s="6">
        <v>543</v>
      </c>
      <c r="G2086" s="40">
        <v>30</v>
      </c>
      <c r="H2086" s="40">
        <v>1071.6840500000001</v>
      </c>
      <c r="I2086" s="212"/>
      <c r="J2086" s="212"/>
    </row>
    <row r="2087" spans="1:10" s="5" customFormat="1" ht="25.5" hidden="1" customHeight="1" outlineLevel="1" x14ac:dyDescent="0.25">
      <c r="A2087" s="4">
        <v>3001</v>
      </c>
      <c r="B2087" s="6" t="s">
        <v>15</v>
      </c>
      <c r="C2087" s="38" t="s">
        <v>9111</v>
      </c>
      <c r="D2087" s="6">
        <v>2023</v>
      </c>
      <c r="E2087" s="6" t="s">
        <v>13</v>
      </c>
      <c r="F2087" s="6">
        <v>190</v>
      </c>
      <c r="G2087" s="40">
        <v>150</v>
      </c>
      <c r="H2087" s="40">
        <v>223</v>
      </c>
      <c r="I2087" s="212"/>
      <c r="J2087" s="212"/>
    </row>
    <row r="2088" spans="1:10" s="5" customFormat="1" ht="25.5" hidden="1" customHeight="1" outlineLevel="1" x14ac:dyDescent="0.25">
      <c r="A2088" s="4">
        <v>3051</v>
      </c>
      <c r="B2088" s="6" t="s">
        <v>15</v>
      </c>
      <c r="C2088" s="38" t="s">
        <v>9112</v>
      </c>
      <c r="D2088" s="6">
        <v>2023</v>
      </c>
      <c r="E2088" s="6" t="s">
        <v>13</v>
      </c>
      <c r="F2088" s="6">
        <v>30</v>
      </c>
      <c r="G2088" s="40">
        <v>150</v>
      </c>
      <c r="H2088" s="40">
        <v>58.087820000000001</v>
      </c>
      <c r="I2088" s="212"/>
      <c r="J2088" s="212"/>
    </row>
    <row r="2089" spans="1:10" s="5" customFormat="1" ht="25.5" hidden="1" customHeight="1" outlineLevel="1" x14ac:dyDescent="0.25">
      <c r="A2089" s="4">
        <v>4428</v>
      </c>
      <c r="B2089" s="6" t="s">
        <v>15</v>
      </c>
      <c r="C2089" s="38" t="s">
        <v>9113</v>
      </c>
      <c r="D2089" s="6">
        <v>2023</v>
      </c>
      <c r="E2089" s="6" t="s">
        <v>13</v>
      </c>
      <c r="F2089" s="6">
        <v>50</v>
      </c>
      <c r="G2089" s="40">
        <v>134.80000000000001</v>
      </c>
      <c r="H2089" s="40">
        <v>68.079000000000008</v>
      </c>
      <c r="I2089" s="212"/>
      <c r="J2089" s="212"/>
    </row>
    <row r="2090" spans="1:10" s="5" customFormat="1" ht="25.5" hidden="1" customHeight="1" outlineLevel="1" x14ac:dyDescent="0.25">
      <c r="A2090" s="4">
        <v>4500</v>
      </c>
      <c r="B2090" s="6" t="s">
        <v>15</v>
      </c>
      <c r="C2090" s="38" t="s">
        <v>9114</v>
      </c>
      <c r="D2090" s="6">
        <v>2023</v>
      </c>
      <c r="E2090" s="6" t="s">
        <v>13</v>
      </c>
      <c r="F2090" s="6">
        <v>58</v>
      </c>
      <c r="G2090" s="40">
        <v>119.8</v>
      </c>
      <c r="H2090" s="40">
        <v>692.21770000000004</v>
      </c>
      <c r="I2090" s="212"/>
      <c r="J2090" s="212"/>
    </row>
    <row r="2091" spans="1:10" s="5" customFormat="1" ht="25.5" hidden="1" customHeight="1" outlineLevel="1" x14ac:dyDescent="0.25">
      <c r="A2091" s="4">
        <v>4502</v>
      </c>
      <c r="B2091" s="6" t="s">
        <v>15</v>
      </c>
      <c r="C2091" s="38" t="s">
        <v>9115</v>
      </c>
      <c r="D2091" s="6">
        <v>2023</v>
      </c>
      <c r="E2091" s="6" t="s">
        <v>13</v>
      </c>
      <c r="F2091" s="6">
        <v>240</v>
      </c>
      <c r="G2091" s="40">
        <v>109.8</v>
      </c>
      <c r="H2091" s="40">
        <v>1506.72909</v>
      </c>
      <c r="I2091" s="212"/>
      <c r="J2091" s="212"/>
    </row>
    <row r="2092" spans="1:10" s="5" customFormat="1" ht="25.5" hidden="1" customHeight="1" outlineLevel="1" x14ac:dyDescent="0.25">
      <c r="A2092" s="41">
        <v>9449</v>
      </c>
      <c r="B2092" s="6" t="s">
        <v>15</v>
      </c>
      <c r="C2092" s="38" t="s">
        <v>110</v>
      </c>
      <c r="D2092" s="6">
        <v>2021</v>
      </c>
      <c r="E2092" s="6"/>
      <c r="F2092" s="6">
        <v>15</v>
      </c>
      <c r="G2092" s="6">
        <v>40</v>
      </c>
      <c r="H2092" s="6">
        <v>169</v>
      </c>
      <c r="I2092" s="206"/>
      <c r="J2092" s="206"/>
    </row>
    <row r="2093" spans="1:10" s="5" customFormat="1" ht="25.5" hidden="1" customHeight="1" outlineLevel="1" x14ac:dyDescent="0.25">
      <c r="A2093" s="41">
        <v>9450</v>
      </c>
      <c r="B2093" s="6" t="s">
        <v>15</v>
      </c>
      <c r="C2093" s="38" t="s">
        <v>117</v>
      </c>
      <c r="D2093" s="6">
        <v>2021</v>
      </c>
      <c r="E2093" s="6"/>
      <c r="F2093" s="6">
        <v>40</v>
      </c>
      <c r="G2093" s="6">
        <v>7</v>
      </c>
      <c r="H2093" s="6">
        <v>131</v>
      </c>
      <c r="I2093" s="206"/>
      <c r="J2093" s="206"/>
    </row>
    <row r="2094" spans="1:10" s="5" customFormat="1" ht="25.5" hidden="1" customHeight="1" outlineLevel="1" x14ac:dyDescent="0.25">
      <c r="A2094" s="41">
        <v>9452</v>
      </c>
      <c r="B2094" s="6" t="s">
        <v>15</v>
      </c>
      <c r="C2094" s="38" t="s">
        <v>133</v>
      </c>
      <c r="D2094" s="6">
        <v>2021</v>
      </c>
      <c r="E2094" s="6"/>
      <c r="F2094" s="6">
        <v>3684</v>
      </c>
      <c r="G2094" s="6">
        <v>15</v>
      </c>
      <c r="H2094" s="6">
        <v>2777</v>
      </c>
      <c r="I2094" s="206"/>
      <c r="J2094" s="206"/>
    </row>
    <row r="2095" spans="1:10" s="5" customFormat="1" ht="25.5" hidden="1" customHeight="1" outlineLevel="1" x14ac:dyDescent="0.25">
      <c r="A2095" s="41">
        <v>673</v>
      </c>
      <c r="B2095" s="6" t="s">
        <v>15</v>
      </c>
      <c r="C2095" s="38" t="s">
        <v>134</v>
      </c>
      <c r="D2095" s="6">
        <v>2021</v>
      </c>
      <c r="E2095" s="6"/>
      <c r="F2095" s="6">
        <v>10</v>
      </c>
      <c r="G2095" s="6">
        <v>30</v>
      </c>
      <c r="H2095" s="6">
        <v>147</v>
      </c>
      <c r="I2095" s="206"/>
      <c r="J2095" s="206"/>
    </row>
    <row r="2096" spans="1:10" s="5" customFormat="1" ht="25.5" hidden="1" customHeight="1" outlineLevel="1" x14ac:dyDescent="0.25">
      <c r="A2096" s="41">
        <v>9574</v>
      </c>
      <c r="B2096" s="6" t="s">
        <v>15</v>
      </c>
      <c r="C2096" s="38" t="s">
        <v>193</v>
      </c>
      <c r="D2096" s="6">
        <v>2021</v>
      </c>
      <c r="E2096" s="6"/>
      <c r="F2096" s="6">
        <v>3395</v>
      </c>
      <c r="G2096" s="6">
        <v>2002</v>
      </c>
      <c r="H2096" s="6">
        <v>7307</v>
      </c>
      <c r="I2096" s="206"/>
      <c r="J2096" s="206"/>
    </row>
    <row r="2097" spans="1:10" s="5" customFormat="1" ht="25.5" hidden="1" customHeight="1" outlineLevel="1" x14ac:dyDescent="0.25">
      <c r="A2097" s="41">
        <v>9363</v>
      </c>
      <c r="B2097" s="6" t="s">
        <v>15</v>
      </c>
      <c r="C2097" s="38" t="s">
        <v>194</v>
      </c>
      <c r="D2097" s="6">
        <v>2021</v>
      </c>
      <c r="E2097" s="6"/>
      <c r="F2097" s="6">
        <v>160</v>
      </c>
      <c r="G2097" s="6">
        <v>65</v>
      </c>
      <c r="H2097" s="6">
        <v>353.91300000000001</v>
      </c>
      <c r="I2097" s="206"/>
      <c r="J2097" s="206"/>
    </row>
    <row r="2098" spans="1:10" s="5" customFormat="1" ht="25.5" hidden="1" customHeight="1" outlineLevel="1" x14ac:dyDescent="0.25">
      <c r="A2098" s="41">
        <v>425</v>
      </c>
      <c r="B2098" s="6" t="s">
        <v>15</v>
      </c>
      <c r="C2098" s="38" t="s">
        <v>195</v>
      </c>
      <c r="D2098" s="6">
        <v>2021</v>
      </c>
      <c r="E2098" s="6"/>
      <c r="F2098" s="6">
        <v>12</v>
      </c>
      <c r="G2098" s="6">
        <v>300</v>
      </c>
      <c r="H2098" s="6">
        <v>143.05000000000001</v>
      </c>
      <c r="I2098" s="206"/>
      <c r="J2098" s="206"/>
    </row>
    <row r="2099" spans="1:10" s="5" customFormat="1" ht="25.5" hidden="1" customHeight="1" outlineLevel="1" x14ac:dyDescent="0.25">
      <c r="A2099" s="41">
        <v>422</v>
      </c>
      <c r="B2099" s="6" t="s">
        <v>15</v>
      </c>
      <c r="C2099" s="38" t="s">
        <v>196</v>
      </c>
      <c r="D2099" s="6">
        <v>2021</v>
      </c>
      <c r="E2099" s="6"/>
      <c r="F2099" s="6">
        <v>41</v>
      </c>
      <c r="G2099" s="6">
        <v>150</v>
      </c>
      <c r="H2099" s="6">
        <v>178.499</v>
      </c>
      <c r="I2099" s="206"/>
      <c r="J2099" s="206"/>
    </row>
    <row r="2100" spans="1:10" s="5" customFormat="1" ht="25.5" hidden="1" customHeight="1" outlineLevel="1" x14ac:dyDescent="0.25">
      <c r="A2100" s="41">
        <v>433</v>
      </c>
      <c r="B2100" s="6" t="s">
        <v>15</v>
      </c>
      <c r="C2100" s="38" t="s">
        <v>139</v>
      </c>
      <c r="D2100" s="6">
        <v>2021</v>
      </c>
      <c r="E2100" s="6"/>
      <c r="F2100" s="6">
        <v>24</v>
      </c>
      <c r="G2100" s="6">
        <v>45</v>
      </c>
      <c r="H2100" s="6">
        <v>200.982</v>
      </c>
      <c r="I2100" s="206"/>
      <c r="J2100" s="206"/>
    </row>
    <row r="2101" spans="1:10" s="5" customFormat="1" ht="25.5" hidden="1" customHeight="1" outlineLevel="1" x14ac:dyDescent="0.25">
      <c r="A2101" s="41">
        <v>9369</v>
      </c>
      <c r="B2101" s="6" t="s">
        <v>15</v>
      </c>
      <c r="C2101" s="38" t="s">
        <v>197</v>
      </c>
      <c r="D2101" s="6">
        <v>2021</v>
      </c>
      <c r="E2101" s="6"/>
      <c r="F2101" s="6">
        <v>5</v>
      </c>
      <c r="G2101" s="6">
        <v>75</v>
      </c>
      <c r="H2101" s="6">
        <v>95.066999999999993</v>
      </c>
      <c r="I2101" s="206"/>
      <c r="J2101" s="206"/>
    </row>
    <row r="2102" spans="1:10" s="5" customFormat="1" ht="25.5" hidden="1" customHeight="1" outlineLevel="1" x14ac:dyDescent="0.25">
      <c r="A2102" s="41">
        <v>9358</v>
      </c>
      <c r="B2102" s="6" t="s">
        <v>15</v>
      </c>
      <c r="C2102" s="38" t="s">
        <v>198</v>
      </c>
      <c r="D2102" s="6">
        <v>2021</v>
      </c>
      <c r="E2102" s="6"/>
      <c r="F2102" s="6">
        <v>364</v>
      </c>
      <c r="G2102" s="6">
        <v>45</v>
      </c>
      <c r="H2102" s="6">
        <v>585.76700000000005</v>
      </c>
      <c r="I2102" s="206"/>
      <c r="J2102" s="206"/>
    </row>
    <row r="2103" spans="1:10" s="5" customFormat="1" ht="25.5" hidden="1" customHeight="1" outlineLevel="1" x14ac:dyDescent="0.25">
      <c r="A2103" s="41">
        <v>9365</v>
      </c>
      <c r="B2103" s="6" t="s">
        <v>15</v>
      </c>
      <c r="C2103" s="38" t="s">
        <v>199</v>
      </c>
      <c r="D2103" s="6">
        <v>2021</v>
      </c>
      <c r="E2103" s="6"/>
      <c r="F2103" s="6">
        <v>158</v>
      </c>
      <c r="G2103" s="6">
        <v>119.2</v>
      </c>
      <c r="H2103" s="6">
        <v>407.173</v>
      </c>
      <c r="I2103" s="206"/>
      <c r="J2103" s="206"/>
    </row>
    <row r="2104" spans="1:10" s="5" customFormat="1" ht="25.5" hidden="1" customHeight="1" outlineLevel="1" x14ac:dyDescent="0.25">
      <c r="A2104" s="41">
        <v>9360</v>
      </c>
      <c r="B2104" s="6" t="s">
        <v>15</v>
      </c>
      <c r="C2104" s="38" t="s">
        <v>146</v>
      </c>
      <c r="D2104" s="6">
        <v>2021</v>
      </c>
      <c r="E2104" s="6"/>
      <c r="F2104" s="6">
        <v>8</v>
      </c>
      <c r="G2104" s="6">
        <v>15</v>
      </c>
      <c r="H2104" s="6">
        <v>44.889000000000003</v>
      </c>
      <c r="I2104" s="206"/>
      <c r="J2104" s="206"/>
    </row>
    <row r="2105" spans="1:10" s="5" customFormat="1" ht="25.5" hidden="1" customHeight="1" outlineLevel="1" x14ac:dyDescent="0.25">
      <c r="A2105" s="41">
        <v>9078</v>
      </c>
      <c r="B2105" s="6" t="s">
        <v>15</v>
      </c>
      <c r="C2105" s="38" t="s">
        <v>148</v>
      </c>
      <c r="D2105" s="6">
        <v>2021</v>
      </c>
      <c r="E2105" s="6"/>
      <c r="F2105" s="6">
        <v>4</v>
      </c>
      <c r="G2105" s="6">
        <v>15</v>
      </c>
      <c r="H2105" s="6">
        <v>45.110999999999997</v>
      </c>
      <c r="I2105" s="206"/>
      <c r="J2105" s="206"/>
    </row>
    <row r="2106" spans="1:10" s="5" customFormat="1" ht="25.5" hidden="1" customHeight="1" outlineLevel="1" x14ac:dyDescent="0.25">
      <c r="A2106" s="41">
        <v>9364</v>
      </c>
      <c r="B2106" s="6" t="s">
        <v>15</v>
      </c>
      <c r="C2106" s="38" t="s">
        <v>200</v>
      </c>
      <c r="D2106" s="6">
        <v>2021</v>
      </c>
      <c r="E2106" s="6"/>
      <c r="F2106" s="6">
        <v>26</v>
      </c>
      <c r="G2106" s="6">
        <v>150</v>
      </c>
      <c r="H2106" s="6">
        <v>220.01400000000001</v>
      </c>
      <c r="I2106" s="206"/>
      <c r="J2106" s="206"/>
    </row>
    <row r="2107" spans="1:10" s="5" customFormat="1" ht="25.5" hidden="1" customHeight="1" outlineLevel="1" x14ac:dyDescent="0.25">
      <c r="A2107" s="41">
        <v>444</v>
      </c>
      <c r="B2107" s="6" t="s">
        <v>15</v>
      </c>
      <c r="C2107" s="38" t="s">
        <v>152</v>
      </c>
      <c r="D2107" s="6">
        <v>2021</v>
      </c>
      <c r="E2107" s="6"/>
      <c r="F2107" s="6">
        <v>21</v>
      </c>
      <c r="G2107" s="6">
        <v>70</v>
      </c>
      <c r="H2107" s="6">
        <v>96.963999999999999</v>
      </c>
      <c r="I2107" s="206"/>
      <c r="J2107" s="206"/>
    </row>
    <row r="2108" spans="1:10" s="5" customFormat="1" ht="25.5" hidden="1" customHeight="1" outlineLevel="1" x14ac:dyDescent="0.25">
      <c r="A2108" s="41">
        <v>3712</v>
      </c>
      <c r="B2108" s="6" t="s">
        <v>15</v>
      </c>
      <c r="C2108" s="38" t="s">
        <v>201</v>
      </c>
      <c r="D2108" s="6">
        <v>2021</v>
      </c>
      <c r="E2108" s="6"/>
      <c r="F2108" s="6">
        <v>109</v>
      </c>
      <c r="G2108" s="6">
        <v>80</v>
      </c>
      <c r="H2108" s="6">
        <v>326.87299999999999</v>
      </c>
      <c r="I2108" s="206"/>
      <c r="J2108" s="206"/>
    </row>
    <row r="2109" spans="1:10" s="5" customFormat="1" ht="25.5" hidden="1" customHeight="1" outlineLevel="1" x14ac:dyDescent="0.25">
      <c r="A2109" s="41">
        <v>3713</v>
      </c>
      <c r="B2109" s="6" t="s">
        <v>15</v>
      </c>
      <c r="C2109" s="38" t="s">
        <v>202</v>
      </c>
      <c r="D2109" s="6">
        <v>2021</v>
      </c>
      <c r="E2109" s="6"/>
      <c r="F2109" s="6">
        <v>3</v>
      </c>
      <c r="G2109" s="6">
        <v>15</v>
      </c>
      <c r="H2109" s="6">
        <v>146.518</v>
      </c>
      <c r="I2109" s="206"/>
      <c r="J2109" s="206"/>
    </row>
    <row r="2110" spans="1:10" s="5" customFormat="1" ht="25.5" hidden="1" customHeight="1" outlineLevel="1" x14ac:dyDescent="0.25">
      <c r="A2110" s="41">
        <v>9367</v>
      </c>
      <c r="B2110" s="6" t="s">
        <v>15</v>
      </c>
      <c r="C2110" s="38" t="s">
        <v>166</v>
      </c>
      <c r="D2110" s="6">
        <v>2021</v>
      </c>
      <c r="E2110" s="6"/>
      <c r="F2110" s="6">
        <v>19</v>
      </c>
      <c r="G2110" s="6">
        <v>15</v>
      </c>
      <c r="H2110" s="6">
        <v>100.79300000000001</v>
      </c>
      <c r="I2110" s="206"/>
      <c r="J2110" s="206"/>
    </row>
    <row r="2111" spans="1:10" s="5" customFormat="1" ht="25.5" hidden="1" customHeight="1" outlineLevel="1" x14ac:dyDescent="0.25">
      <c r="A2111" s="41">
        <v>9366</v>
      </c>
      <c r="B2111" s="6" t="s">
        <v>15</v>
      </c>
      <c r="C2111" s="38" t="s">
        <v>169</v>
      </c>
      <c r="D2111" s="6">
        <v>2021</v>
      </c>
      <c r="E2111" s="6"/>
      <c r="F2111" s="6">
        <v>10</v>
      </c>
      <c r="G2111" s="6">
        <v>10</v>
      </c>
      <c r="H2111" s="6">
        <v>112.499</v>
      </c>
      <c r="I2111" s="206"/>
      <c r="J2111" s="206"/>
    </row>
    <row r="2112" spans="1:10" s="57" customFormat="1" ht="25.5" hidden="1" customHeight="1" outlineLevel="1" x14ac:dyDescent="0.25">
      <c r="A2112" s="54">
        <v>1250</v>
      </c>
      <c r="B2112" s="6" t="s">
        <v>15</v>
      </c>
      <c r="C2112" s="55" t="s">
        <v>91</v>
      </c>
      <c r="D2112" s="52">
        <v>2021</v>
      </c>
      <c r="E2112" s="52"/>
      <c r="F2112" s="52">
        <v>21</v>
      </c>
      <c r="G2112" s="56">
        <v>15</v>
      </c>
      <c r="H2112" s="52">
        <v>262</v>
      </c>
      <c r="I2112" s="216"/>
      <c r="J2112" s="216"/>
    </row>
    <row r="2113" spans="1:10" s="5" customFormat="1" ht="25.5" hidden="1" customHeight="1" outlineLevel="1" x14ac:dyDescent="0.25">
      <c r="A2113" s="42">
        <v>1281</v>
      </c>
      <c r="B2113" s="6" t="s">
        <v>15</v>
      </c>
      <c r="C2113" s="55" t="s">
        <v>96</v>
      </c>
      <c r="D2113" s="6">
        <v>2021</v>
      </c>
      <c r="E2113" s="6"/>
      <c r="F2113" s="52">
        <v>7</v>
      </c>
      <c r="G2113" s="58">
        <v>70</v>
      </c>
      <c r="H2113" s="6">
        <v>61</v>
      </c>
      <c r="I2113" s="206"/>
      <c r="J2113" s="206"/>
    </row>
    <row r="2114" spans="1:10" s="5" customFormat="1" ht="25.5" hidden="1" customHeight="1" outlineLevel="1" x14ac:dyDescent="0.25">
      <c r="A2114" s="42">
        <v>1251</v>
      </c>
      <c r="B2114" s="6" t="s">
        <v>15</v>
      </c>
      <c r="C2114" s="55" t="s">
        <v>101</v>
      </c>
      <c r="D2114" s="6">
        <v>2021</v>
      </c>
      <c r="E2114" s="6"/>
      <c r="F2114" s="52">
        <v>24</v>
      </c>
      <c r="G2114" s="58">
        <v>15</v>
      </c>
      <c r="H2114" s="6">
        <v>211</v>
      </c>
      <c r="I2114" s="206"/>
      <c r="J2114" s="206"/>
    </row>
    <row r="2115" spans="1:10" s="5" customFormat="1" ht="25.5" hidden="1" customHeight="1" outlineLevel="1" x14ac:dyDescent="0.25">
      <c r="A2115" s="42">
        <v>3829</v>
      </c>
      <c r="B2115" s="6" t="s">
        <v>15</v>
      </c>
      <c r="C2115" s="55" t="s">
        <v>102</v>
      </c>
      <c r="D2115" s="6">
        <v>2021</v>
      </c>
      <c r="E2115" s="6"/>
      <c r="F2115" s="52">
        <v>15</v>
      </c>
      <c r="G2115" s="6">
        <v>40</v>
      </c>
      <c r="H2115" s="6">
        <v>130</v>
      </c>
      <c r="I2115" s="206"/>
      <c r="J2115" s="206"/>
    </row>
    <row r="2116" spans="1:10" s="5" customFormat="1" ht="25.5" hidden="1" customHeight="1" outlineLevel="1" x14ac:dyDescent="0.25">
      <c r="A2116" s="41">
        <v>9723</v>
      </c>
      <c r="B2116" s="6" t="s">
        <v>15</v>
      </c>
      <c r="C2116" s="55" t="s">
        <v>103</v>
      </c>
      <c r="D2116" s="6">
        <v>2021</v>
      </c>
      <c r="E2116" s="6"/>
      <c r="F2116" s="52">
        <v>11</v>
      </c>
      <c r="G2116" s="58">
        <v>150</v>
      </c>
      <c r="H2116" s="6">
        <v>145</v>
      </c>
      <c r="I2116" s="206"/>
      <c r="J2116" s="206"/>
    </row>
    <row r="2117" spans="1:10" s="5" customFormat="1" ht="25.5" hidden="1" customHeight="1" outlineLevel="1" x14ac:dyDescent="0.25">
      <c r="A2117" s="41">
        <v>9724</v>
      </c>
      <c r="B2117" s="6" t="s">
        <v>15</v>
      </c>
      <c r="C2117" s="55" t="s">
        <v>104</v>
      </c>
      <c r="D2117" s="6">
        <v>2021</v>
      </c>
      <c r="E2117" s="6"/>
      <c r="F2117" s="52">
        <v>10</v>
      </c>
      <c r="G2117" s="58">
        <v>150</v>
      </c>
      <c r="H2117" s="6">
        <v>147</v>
      </c>
      <c r="I2117" s="206"/>
      <c r="J2117" s="206"/>
    </row>
    <row r="2118" spans="1:10" s="5" customFormat="1" ht="25.5" hidden="1" customHeight="1" outlineLevel="1" x14ac:dyDescent="0.25">
      <c r="A2118" s="41">
        <v>9725</v>
      </c>
      <c r="B2118" s="6" t="s">
        <v>15</v>
      </c>
      <c r="C2118" s="55" t="s">
        <v>105</v>
      </c>
      <c r="D2118" s="6">
        <v>2021</v>
      </c>
      <c r="E2118" s="6"/>
      <c r="F2118" s="52">
        <v>13</v>
      </c>
      <c r="G2118" s="6">
        <v>15</v>
      </c>
      <c r="H2118" s="6">
        <v>133</v>
      </c>
      <c r="I2118" s="206"/>
      <c r="J2118" s="206"/>
    </row>
    <row r="2119" spans="1:10" s="5" customFormat="1" ht="25.5" hidden="1" customHeight="1" outlineLevel="1" x14ac:dyDescent="0.25">
      <c r="A2119" s="41">
        <v>9355</v>
      </c>
      <c r="B2119" s="6" t="s">
        <v>15</v>
      </c>
      <c r="C2119" s="38" t="s">
        <v>173</v>
      </c>
      <c r="D2119" s="6">
        <v>2021</v>
      </c>
      <c r="E2119" s="6"/>
      <c r="F2119" s="6">
        <v>1047</v>
      </c>
      <c r="G2119" s="6">
        <v>50</v>
      </c>
      <c r="H2119" s="6">
        <v>2143.3850000000002</v>
      </c>
      <c r="I2119" s="206"/>
      <c r="J2119" s="206"/>
    </row>
    <row r="2120" spans="1:10" s="5" customFormat="1" ht="25.5" hidden="1" customHeight="1" outlineLevel="1" x14ac:dyDescent="0.25">
      <c r="A2120" s="42">
        <v>428</v>
      </c>
      <c r="B2120" s="6" t="s">
        <v>15</v>
      </c>
      <c r="C2120" s="38" t="s">
        <v>174</v>
      </c>
      <c r="D2120" s="6">
        <v>2021</v>
      </c>
      <c r="E2120" s="6"/>
      <c r="F2120" s="6">
        <v>740</v>
      </c>
      <c r="G2120" s="6">
        <v>200</v>
      </c>
      <c r="H2120" s="6">
        <v>1258.03</v>
      </c>
      <c r="I2120" s="206"/>
      <c r="J2120" s="206"/>
    </row>
    <row r="2121" spans="1:10" s="5" customFormat="1" ht="25.5" hidden="1" customHeight="1" outlineLevel="1" x14ac:dyDescent="0.25">
      <c r="A2121" s="42">
        <v>565</v>
      </c>
      <c r="B2121" s="6" t="s">
        <v>15</v>
      </c>
      <c r="C2121" s="38" t="s">
        <v>176</v>
      </c>
      <c r="D2121" s="6">
        <v>2021</v>
      </c>
      <c r="E2121" s="6"/>
      <c r="F2121" s="6">
        <v>6</v>
      </c>
      <c r="G2121" s="6">
        <v>135</v>
      </c>
      <c r="H2121" s="6">
        <v>28.724</v>
      </c>
      <c r="I2121" s="206"/>
      <c r="J2121" s="206"/>
    </row>
    <row r="2122" spans="1:10" s="5" customFormat="1" ht="25.5" hidden="1" customHeight="1" outlineLevel="1" x14ac:dyDescent="0.25">
      <c r="A2122" s="42">
        <v>3800</v>
      </c>
      <c r="B2122" s="6" t="s">
        <v>15</v>
      </c>
      <c r="C2122" s="38" t="s">
        <v>203</v>
      </c>
      <c r="D2122" s="6">
        <v>2021</v>
      </c>
      <c r="E2122" s="6"/>
      <c r="F2122" s="6">
        <v>11</v>
      </c>
      <c r="G2122" s="6">
        <v>30</v>
      </c>
      <c r="H2122" s="6">
        <v>96.647999999999996</v>
      </c>
      <c r="I2122" s="206"/>
      <c r="J2122" s="206"/>
    </row>
    <row r="2123" spans="1:10" s="5" customFormat="1" ht="25.5" hidden="1" customHeight="1" outlineLevel="1" x14ac:dyDescent="0.25">
      <c r="A2123" s="42">
        <v>9442</v>
      </c>
      <c r="B2123" s="6" t="s">
        <v>15</v>
      </c>
      <c r="C2123" s="38" t="s">
        <v>204</v>
      </c>
      <c r="D2123" s="6">
        <v>2021</v>
      </c>
      <c r="E2123" s="6"/>
      <c r="F2123" s="6">
        <v>98</v>
      </c>
      <c r="G2123" s="6">
        <v>70</v>
      </c>
      <c r="H2123" s="6">
        <v>219.25899999999999</v>
      </c>
      <c r="I2123" s="206"/>
      <c r="J2123" s="206"/>
    </row>
    <row r="2124" spans="1:10" s="5" customFormat="1" ht="25.5" hidden="1" customHeight="1" outlineLevel="1" x14ac:dyDescent="0.25">
      <c r="A2124" s="42">
        <v>9372</v>
      </c>
      <c r="B2124" s="6" t="s">
        <v>15</v>
      </c>
      <c r="C2124" s="38" t="s">
        <v>205</v>
      </c>
      <c r="D2124" s="6">
        <v>2021</v>
      </c>
      <c r="E2124" s="6"/>
      <c r="F2124" s="6">
        <v>5</v>
      </c>
      <c r="G2124" s="6">
        <v>210</v>
      </c>
      <c r="H2124" s="6">
        <v>332.62</v>
      </c>
      <c r="I2124" s="206"/>
      <c r="J2124" s="206"/>
    </row>
    <row r="2125" spans="1:10" s="5" customFormat="1" ht="25.5" hidden="1" customHeight="1" outlineLevel="1" x14ac:dyDescent="0.25">
      <c r="A2125" s="41">
        <v>9422</v>
      </c>
      <c r="B2125" s="6" t="s">
        <v>15</v>
      </c>
      <c r="C2125" s="38" t="s">
        <v>187</v>
      </c>
      <c r="D2125" s="6">
        <v>2021</v>
      </c>
      <c r="E2125" s="6"/>
      <c r="F2125" s="6">
        <v>96</v>
      </c>
      <c r="G2125" s="6">
        <v>75</v>
      </c>
      <c r="H2125" s="6">
        <v>277.38400000000001</v>
      </c>
      <c r="I2125" s="206"/>
      <c r="J2125" s="206"/>
    </row>
    <row r="2126" spans="1:10" s="5" customFormat="1" ht="25.5" hidden="1" customHeight="1" outlineLevel="1" x14ac:dyDescent="0.25">
      <c r="A2126" s="41">
        <v>9371</v>
      </c>
      <c r="B2126" s="6" t="s">
        <v>15</v>
      </c>
      <c r="C2126" s="38" t="s">
        <v>188</v>
      </c>
      <c r="D2126" s="6">
        <v>2021</v>
      </c>
      <c r="E2126" s="6"/>
      <c r="F2126" s="6">
        <v>38</v>
      </c>
      <c r="G2126" s="6">
        <v>30</v>
      </c>
      <c r="H2126" s="6">
        <v>190.11799999999999</v>
      </c>
      <c r="I2126" s="206"/>
      <c r="J2126" s="206"/>
    </row>
    <row r="2127" spans="1:10" s="5" customFormat="1" ht="25.5" hidden="1" customHeight="1" outlineLevel="1" x14ac:dyDescent="0.25">
      <c r="A2127" s="175"/>
      <c r="B2127" s="155"/>
      <c r="C2127" s="176"/>
      <c r="D2127" s="177"/>
      <c r="E2127" s="178"/>
      <c r="F2127" s="156"/>
      <c r="G2127" s="156"/>
      <c r="H2127" s="156"/>
      <c r="I2127" s="217"/>
      <c r="J2127" s="217"/>
    </row>
    <row r="2128" spans="1:10" s="5" customFormat="1" ht="15.75" customHeight="1" collapsed="1" x14ac:dyDescent="0.25">
      <c r="A2128" s="4"/>
      <c r="B2128" s="324" t="s">
        <v>16</v>
      </c>
      <c r="C2128" s="324" t="s">
        <v>2091</v>
      </c>
      <c r="D2128" s="324"/>
      <c r="E2128" s="319" t="s">
        <v>12</v>
      </c>
      <c r="F2128" s="319"/>
      <c r="G2128" s="319"/>
      <c r="H2128" s="319"/>
      <c r="I2128" s="218"/>
      <c r="J2128" s="218"/>
    </row>
    <row r="2129" spans="1:36" s="5" customFormat="1" ht="18.75" customHeight="1" x14ac:dyDescent="0.25">
      <c r="A2129" s="4"/>
      <c r="B2129" s="340"/>
      <c r="C2129" s="340"/>
      <c r="D2129" s="340"/>
      <c r="E2129" s="328"/>
      <c r="F2129" s="328"/>
      <c r="G2129" s="328"/>
      <c r="H2129" s="328"/>
      <c r="I2129" s="219"/>
      <c r="J2129" s="219"/>
    </row>
    <row r="2130" spans="1:36" s="13" customFormat="1" ht="17.25" customHeight="1" x14ac:dyDescent="0.25">
      <c r="A2130" s="4"/>
      <c r="B2130" s="341"/>
      <c r="C2130" s="341"/>
      <c r="D2130" s="341"/>
      <c r="E2130" s="320"/>
      <c r="F2130" s="320"/>
      <c r="G2130" s="320"/>
      <c r="H2130" s="320"/>
      <c r="I2130" s="219"/>
      <c r="J2130" s="219"/>
      <c r="K2130" s="5"/>
      <c r="L2130" s="5"/>
      <c r="M2130" s="5"/>
      <c r="N2130" s="5"/>
      <c r="O2130" s="5"/>
      <c r="P2130" s="5"/>
      <c r="Q2130" s="5"/>
      <c r="R2130" s="5"/>
      <c r="S2130" s="5"/>
      <c r="T2130" s="5"/>
      <c r="U2130" s="5"/>
      <c r="V2130" s="5"/>
      <c r="W2130" s="5"/>
      <c r="X2130" s="5"/>
      <c r="Y2130" s="5"/>
      <c r="Z2130" s="5"/>
      <c r="AA2130" s="5"/>
      <c r="AB2130" s="5"/>
      <c r="AC2130" s="5"/>
      <c r="AD2130" s="5"/>
      <c r="AE2130" s="5"/>
      <c r="AF2130" s="5"/>
      <c r="AG2130" s="5"/>
      <c r="AH2130" s="5"/>
      <c r="AI2130" s="5"/>
      <c r="AJ2130" s="5"/>
    </row>
    <row r="2131" spans="1:36" s="5" customFormat="1" ht="17.25" customHeight="1" x14ac:dyDescent="0.25">
      <c r="A2131" s="4"/>
      <c r="B2131" s="11" t="s">
        <v>16</v>
      </c>
      <c r="C2131" s="12" t="s">
        <v>57</v>
      </c>
      <c r="D2131" s="11">
        <v>2021</v>
      </c>
      <c r="E2131" s="11" t="s">
        <v>12</v>
      </c>
      <c r="F2131" s="11">
        <f>SUMIF($D$2134:$D$2469,$D$2131,$F$2134:$F$2469)</f>
        <v>15580.4</v>
      </c>
      <c r="G2131" s="14">
        <f>SUMIF($D$2134:$D$2469,$D$2131,$G$2134:$G$2469)</f>
        <v>5403.2</v>
      </c>
      <c r="H2131" s="14">
        <f>SUMIF($D$2134:$D$2469,$D$2131,$H$2134:$H$2469)</f>
        <v>26584.632020000001</v>
      </c>
    </row>
    <row r="2132" spans="1:36" s="26" customFormat="1" ht="17.25" customHeight="1" x14ac:dyDescent="0.25">
      <c r="A2132" s="4"/>
      <c r="B2132" s="11" t="s">
        <v>16</v>
      </c>
      <c r="C2132" s="12" t="s">
        <v>57</v>
      </c>
      <c r="D2132" s="11">
        <v>2022</v>
      </c>
      <c r="E2132" s="11" t="s">
        <v>12</v>
      </c>
      <c r="F2132" s="11">
        <f>SUMIF($D$2134:$D$2469,$D$2132,$F$2134:$F$2469)</f>
        <v>24805</v>
      </c>
      <c r="G2132" s="14">
        <f>SUMIF($D$2134:$D$2469,$D$2132,$G$2134:$G$2469)</f>
        <v>9287.7000000000007</v>
      </c>
      <c r="H2132" s="14">
        <f>SUMIF($D$2134:$D$2469,$D$2132,$H$2134:$H$2469)</f>
        <v>48063.872039999987</v>
      </c>
      <c r="I2132" s="220"/>
      <c r="J2132" s="220"/>
      <c r="K2132" s="5"/>
      <c r="L2132" s="5"/>
      <c r="M2132" s="5"/>
      <c r="N2132" s="5"/>
      <c r="O2132" s="5"/>
      <c r="P2132" s="5"/>
      <c r="Q2132" s="5"/>
      <c r="R2132" s="5"/>
      <c r="S2132" s="5"/>
      <c r="T2132" s="5"/>
      <c r="U2132" s="5"/>
      <c r="V2132" s="5"/>
      <c r="W2132" s="5"/>
      <c r="X2132" s="5"/>
      <c r="Y2132" s="5"/>
      <c r="Z2132" s="5"/>
      <c r="AA2132" s="5"/>
      <c r="AB2132" s="5"/>
      <c r="AC2132" s="5"/>
      <c r="AD2132" s="5"/>
      <c r="AE2132" s="5"/>
      <c r="AF2132" s="5"/>
      <c r="AG2132" s="5"/>
      <c r="AH2132" s="5"/>
      <c r="AI2132" s="5"/>
      <c r="AJ2132" s="5"/>
    </row>
    <row r="2133" spans="1:36" s="26" customFormat="1" ht="15.75" x14ac:dyDescent="0.25">
      <c r="A2133" s="4"/>
      <c r="B2133" s="11" t="s">
        <v>16</v>
      </c>
      <c r="C2133" s="12" t="s">
        <v>57</v>
      </c>
      <c r="D2133" s="11">
        <v>2023</v>
      </c>
      <c r="E2133" s="11" t="s">
        <v>12</v>
      </c>
      <c r="F2133" s="11">
        <f>SUMIF($D$2134:$D$2469,$D$2133,$F$2134:$F$2469)</f>
        <v>38542.6</v>
      </c>
      <c r="G2133" s="14">
        <f>SUMIF($D$2134:$D$2469,$D$2133,$G$2134:$G$2469)</f>
        <v>16635.099999999999</v>
      </c>
      <c r="H2133" s="14">
        <f>SUMIF($D$2134:$D$2469,$D$2133,$H$2134:$H$2469)</f>
        <v>76416.669749999986</v>
      </c>
      <c r="I2133" s="220"/>
      <c r="J2133" s="220"/>
      <c r="K2133" s="5"/>
      <c r="L2133" s="5"/>
      <c r="M2133" s="5"/>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row>
    <row r="2134" spans="1:36" s="5" customFormat="1" ht="22.5" hidden="1" customHeight="1" outlineLevel="1" x14ac:dyDescent="0.25">
      <c r="A2134" s="4">
        <v>2983</v>
      </c>
      <c r="B2134" s="4" t="s">
        <v>16</v>
      </c>
      <c r="C2134" s="38" t="s">
        <v>2875</v>
      </c>
      <c r="D2134" s="4">
        <v>2022</v>
      </c>
      <c r="E2134" s="4" t="s">
        <v>12</v>
      </c>
      <c r="F2134" s="4">
        <v>124</v>
      </c>
      <c r="G2134" s="4">
        <v>10</v>
      </c>
      <c r="H2134" s="4">
        <v>149.155</v>
      </c>
      <c r="I2134" s="201"/>
      <c r="J2134" s="201"/>
    </row>
    <row r="2135" spans="1:36" s="5" customFormat="1" ht="22.5" hidden="1" customHeight="1" outlineLevel="1" x14ac:dyDescent="0.25">
      <c r="A2135" s="4">
        <v>2985</v>
      </c>
      <c r="B2135" s="4" t="s">
        <v>16</v>
      </c>
      <c r="C2135" s="38" t="s">
        <v>2812</v>
      </c>
      <c r="D2135" s="4">
        <v>2022</v>
      </c>
      <c r="E2135" s="4" t="s">
        <v>12</v>
      </c>
      <c r="F2135" s="4">
        <v>4</v>
      </c>
      <c r="G2135" s="4">
        <v>150</v>
      </c>
      <c r="H2135" s="4">
        <f>0.107896*(1000)</f>
        <v>107.896</v>
      </c>
      <c r="I2135" s="201"/>
      <c r="J2135" s="201"/>
    </row>
    <row r="2136" spans="1:36" s="5" customFormat="1" ht="22.5" hidden="1" customHeight="1" outlineLevel="1" x14ac:dyDescent="0.25">
      <c r="A2136" s="4">
        <v>2815</v>
      </c>
      <c r="B2136" s="4" t="s">
        <v>16</v>
      </c>
      <c r="C2136" s="38" t="s">
        <v>2876</v>
      </c>
      <c r="D2136" s="4">
        <v>2022</v>
      </c>
      <c r="E2136" s="4" t="s">
        <v>12</v>
      </c>
      <c r="F2136" s="4">
        <v>281</v>
      </c>
      <c r="G2136" s="4">
        <v>15</v>
      </c>
      <c r="H2136" s="4">
        <f>0.55991*(1000)</f>
        <v>559.91</v>
      </c>
      <c r="I2136" s="201"/>
      <c r="J2136" s="201"/>
    </row>
    <row r="2137" spans="1:36" s="5" customFormat="1" ht="22.5" hidden="1" customHeight="1" outlineLevel="1" x14ac:dyDescent="0.25">
      <c r="A2137" s="4">
        <v>2839</v>
      </c>
      <c r="B2137" s="4" t="s">
        <v>16</v>
      </c>
      <c r="C2137" s="38" t="s">
        <v>2813</v>
      </c>
      <c r="D2137" s="4">
        <v>2022</v>
      </c>
      <c r="E2137" s="4" t="s">
        <v>12</v>
      </c>
      <c r="F2137" s="4">
        <v>693</v>
      </c>
      <c r="G2137" s="4">
        <v>55</v>
      </c>
      <c r="H2137" s="4">
        <f>1.48097*(1000)</f>
        <v>1480.9699999999998</v>
      </c>
      <c r="I2137" s="201"/>
      <c r="J2137" s="201"/>
    </row>
    <row r="2138" spans="1:36" s="5" customFormat="1" ht="22.5" hidden="1" customHeight="1" outlineLevel="1" x14ac:dyDescent="0.25">
      <c r="A2138" s="4">
        <v>2922</v>
      </c>
      <c r="B2138" s="4" t="s">
        <v>16</v>
      </c>
      <c r="C2138" s="38" t="s">
        <v>2877</v>
      </c>
      <c r="D2138" s="4">
        <v>2022</v>
      </c>
      <c r="E2138" s="4" t="s">
        <v>12</v>
      </c>
      <c r="F2138" s="4">
        <v>241</v>
      </c>
      <c r="G2138" s="4">
        <v>15</v>
      </c>
      <c r="H2138" s="4">
        <f>0.571178*(1000)</f>
        <v>571.178</v>
      </c>
      <c r="I2138" s="201"/>
      <c r="J2138" s="201"/>
    </row>
    <row r="2139" spans="1:36" s="5" customFormat="1" ht="22.5" hidden="1" customHeight="1" outlineLevel="1" x14ac:dyDescent="0.25">
      <c r="A2139" s="4">
        <v>2923</v>
      </c>
      <c r="B2139" s="4" t="s">
        <v>16</v>
      </c>
      <c r="C2139" s="38" t="s">
        <v>2878</v>
      </c>
      <c r="D2139" s="4">
        <v>2022</v>
      </c>
      <c r="E2139" s="4" t="s">
        <v>12</v>
      </c>
      <c r="F2139" s="4">
        <v>492</v>
      </c>
      <c r="G2139" s="4">
        <v>185</v>
      </c>
      <c r="H2139" s="4">
        <f>0.846673*(1000)</f>
        <v>846.673</v>
      </c>
      <c r="I2139" s="201"/>
      <c r="J2139" s="201"/>
    </row>
    <row r="2140" spans="1:36" s="5" customFormat="1" ht="22.5" hidden="1" customHeight="1" outlineLevel="1" x14ac:dyDescent="0.25">
      <c r="A2140" s="4">
        <v>2925</v>
      </c>
      <c r="B2140" s="4" t="s">
        <v>16</v>
      </c>
      <c r="C2140" s="38" t="s">
        <v>2879</v>
      </c>
      <c r="D2140" s="4">
        <v>2022</v>
      </c>
      <c r="E2140" s="4" t="s">
        <v>12</v>
      </c>
      <c r="F2140" s="4">
        <v>212</v>
      </c>
      <c r="G2140" s="4">
        <v>10</v>
      </c>
      <c r="H2140" s="4">
        <f>0.383587*(1000)</f>
        <v>383.58699999999999</v>
      </c>
      <c r="I2140" s="201"/>
      <c r="J2140" s="201"/>
    </row>
    <row r="2141" spans="1:36" s="5" customFormat="1" ht="22.5" hidden="1" customHeight="1" outlineLevel="1" x14ac:dyDescent="0.25">
      <c r="A2141" s="4">
        <v>2710</v>
      </c>
      <c r="B2141" s="4" t="s">
        <v>16</v>
      </c>
      <c r="C2141" s="38" t="s">
        <v>2814</v>
      </c>
      <c r="D2141" s="4">
        <v>2022</v>
      </c>
      <c r="E2141" s="4" t="s">
        <v>12</v>
      </c>
      <c r="F2141" s="4">
        <v>10</v>
      </c>
      <c r="G2141" s="4">
        <v>208.3</v>
      </c>
      <c r="H2141" s="4">
        <f>0.070715*(1000)</f>
        <v>70.715000000000003</v>
      </c>
      <c r="I2141" s="201"/>
      <c r="J2141" s="201"/>
    </row>
    <row r="2142" spans="1:36" s="5" customFormat="1" ht="22.5" hidden="1" customHeight="1" outlineLevel="1" x14ac:dyDescent="0.25">
      <c r="A2142" s="4">
        <v>2722</v>
      </c>
      <c r="B2142" s="4" t="s">
        <v>16</v>
      </c>
      <c r="C2142" s="38" t="s">
        <v>2816</v>
      </c>
      <c r="D2142" s="4">
        <v>2022</v>
      </c>
      <c r="E2142" s="4" t="s">
        <v>12</v>
      </c>
      <c r="F2142" s="4">
        <v>360</v>
      </c>
      <c r="G2142" s="4">
        <v>28</v>
      </c>
      <c r="H2142" s="4">
        <f>0.32012*(1000)</f>
        <v>320.12</v>
      </c>
      <c r="I2142" s="201"/>
      <c r="J2142" s="201"/>
    </row>
    <row r="2143" spans="1:36" s="5" customFormat="1" ht="22.5" hidden="1" customHeight="1" outlineLevel="1" x14ac:dyDescent="0.25">
      <c r="A2143" s="4">
        <v>2785</v>
      </c>
      <c r="B2143" s="4" t="s">
        <v>16</v>
      </c>
      <c r="C2143" s="38" t="s">
        <v>2880</v>
      </c>
      <c r="D2143" s="4">
        <v>2022</v>
      </c>
      <c r="E2143" s="4" t="s">
        <v>12</v>
      </c>
      <c r="F2143" s="4">
        <v>293</v>
      </c>
      <c r="G2143" s="4">
        <v>150</v>
      </c>
      <c r="H2143" s="4">
        <f>0.300512*(1000)</f>
        <v>300.512</v>
      </c>
      <c r="I2143" s="201"/>
      <c r="J2143" s="201"/>
    </row>
    <row r="2144" spans="1:36" s="5" customFormat="1" ht="22.5" hidden="1" customHeight="1" outlineLevel="1" x14ac:dyDescent="0.25">
      <c r="A2144" s="4">
        <v>2802</v>
      </c>
      <c r="B2144" s="4" t="s">
        <v>16</v>
      </c>
      <c r="C2144" s="38" t="s">
        <v>2881</v>
      </c>
      <c r="D2144" s="4">
        <v>2022</v>
      </c>
      <c r="E2144" s="4" t="s">
        <v>12</v>
      </c>
      <c r="F2144" s="4">
        <v>90</v>
      </c>
      <c r="G2144" s="4">
        <v>300</v>
      </c>
      <c r="H2144" s="4">
        <f>0.415138*(1000)</f>
        <v>415.13800000000003</v>
      </c>
      <c r="I2144" s="201"/>
      <c r="J2144" s="201"/>
    </row>
    <row r="2145" spans="1:10" s="5" customFormat="1" ht="22.5" hidden="1" customHeight="1" outlineLevel="1" x14ac:dyDescent="0.25">
      <c r="A2145" s="4">
        <v>2840</v>
      </c>
      <c r="B2145" s="4" t="s">
        <v>16</v>
      </c>
      <c r="C2145" s="38" t="s">
        <v>2817</v>
      </c>
      <c r="D2145" s="4">
        <v>2022</v>
      </c>
      <c r="E2145" s="4" t="s">
        <v>12</v>
      </c>
      <c r="F2145" s="4">
        <v>101</v>
      </c>
      <c r="G2145" s="4">
        <v>150</v>
      </c>
      <c r="H2145" s="4">
        <f>0.149757*(1000)</f>
        <v>149.75700000000001</v>
      </c>
      <c r="I2145" s="201"/>
      <c r="J2145" s="201"/>
    </row>
    <row r="2146" spans="1:10" s="5" customFormat="1" ht="22.5" hidden="1" customHeight="1" outlineLevel="1" x14ac:dyDescent="0.25">
      <c r="A2146" s="4">
        <v>2886</v>
      </c>
      <c r="B2146" s="4" t="s">
        <v>16</v>
      </c>
      <c r="C2146" s="38" t="s">
        <v>2818</v>
      </c>
      <c r="D2146" s="4">
        <v>2022</v>
      </c>
      <c r="E2146" s="4" t="s">
        <v>12</v>
      </c>
      <c r="F2146" s="4">
        <v>2</v>
      </c>
      <c r="G2146" s="4">
        <v>150</v>
      </c>
      <c r="H2146" s="4">
        <f>0.052974*(1000)</f>
        <v>52.974000000000004</v>
      </c>
      <c r="I2146" s="201"/>
      <c r="J2146" s="201"/>
    </row>
    <row r="2147" spans="1:10" s="5" customFormat="1" ht="22.5" hidden="1" customHeight="1" outlineLevel="1" x14ac:dyDescent="0.25">
      <c r="A2147" s="4">
        <v>2993</v>
      </c>
      <c r="B2147" s="4" t="s">
        <v>16</v>
      </c>
      <c r="C2147" s="38" t="s">
        <v>2882</v>
      </c>
      <c r="D2147" s="4">
        <v>2022</v>
      </c>
      <c r="E2147" s="4" t="s">
        <v>12</v>
      </c>
      <c r="F2147" s="4">
        <v>488</v>
      </c>
      <c r="G2147" s="4">
        <v>15</v>
      </c>
      <c r="H2147" s="4">
        <f>0.960191*(1000)</f>
        <v>960.19100000000003</v>
      </c>
      <c r="I2147" s="201"/>
      <c r="J2147" s="201"/>
    </row>
    <row r="2148" spans="1:10" s="5" customFormat="1" ht="22.5" hidden="1" customHeight="1" outlineLevel="1" x14ac:dyDescent="0.25">
      <c r="A2148" s="4">
        <v>3004</v>
      </c>
      <c r="B2148" s="4" t="s">
        <v>16</v>
      </c>
      <c r="C2148" s="38" t="s">
        <v>2883</v>
      </c>
      <c r="D2148" s="4">
        <v>2022</v>
      </c>
      <c r="E2148" s="4" t="s">
        <v>12</v>
      </c>
      <c r="F2148" s="4">
        <v>221</v>
      </c>
      <c r="G2148" s="4">
        <v>15</v>
      </c>
      <c r="H2148" s="4">
        <f>0.589733*(1000)</f>
        <v>589.73299999999995</v>
      </c>
      <c r="I2148" s="201"/>
      <c r="J2148" s="201"/>
    </row>
    <row r="2149" spans="1:10" s="5" customFormat="1" ht="22.5" hidden="1" customHeight="1" outlineLevel="1" x14ac:dyDescent="0.25">
      <c r="A2149" s="4">
        <v>3005</v>
      </c>
      <c r="B2149" s="4" t="s">
        <v>16</v>
      </c>
      <c r="C2149" s="38" t="s">
        <v>2884</v>
      </c>
      <c r="D2149" s="4">
        <v>2022</v>
      </c>
      <c r="E2149" s="4" t="s">
        <v>12</v>
      </c>
      <c r="F2149" s="4">
        <v>456</v>
      </c>
      <c r="G2149" s="4">
        <v>30</v>
      </c>
      <c r="H2149" s="4">
        <f>0.997065*(1000)</f>
        <v>997.06499999999994</v>
      </c>
      <c r="I2149" s="201"/>
      <c r="J2149" s="201"/>
    </row>
    <row r="2150" spans="1:10" s="5" customFormat="1" ht="22.5" hidden="1" customHeight="1" outlineLevel="1" x14ac:dyDescent="0.25">
      <c r="A2150" s="4">
        <v>2733</v>
      </c>
      <c r="B2150" s="4" t="s">
        <v>16</v>
      </c>
      <c r="C2150" s="38" t="s">
        <v>2819</v>
      </c>
      <c r="D2150" s="4">
        <v>2022</v>
      </c>
      <c r="E2150" s="4" t="s">
        <v>12</v>
      </c>
      <c r="F2150" s="4">
        <v>10</v>
      </c>
      <c r="G2150" s="4">
        <v>150</v>
      </c>
      <c r="H2150" s="4">
        <f>0.082817*(1000)</f>
        <v>82.817000000000007</v>
      </c>
      <c r="I2150" s="201"/>
      <c r="J2150" s="201"/>
    </row>
    <row r="2151" spans="1:10" s="5" customFormat="1" ht="22.5" hidden="1" customHeight="1" outlineLevel="1" x14ac:dyDescent="0.25">
      <c r="A2151" s="4">
        <v>2768</v>
      </c>
      <c r="B2151" s="4" t="s">
        <v>16</v>
      </c>
      <c r="C2151" s="38" t="s">
        <v>2885</v>
      </c>
      <c r="D2151" s="4">
        <v>2022</v>
      </c>
      <c r="E2151" s="4" t="s">
        <v>12</v>
      </c>
      <c r="F2151" s="4">
        <v>946</v>
      </c>
      <c r="G2151" s="4">
        <v>75</v>
      </c>
      <c r="H2151" s="4">
        <f>1.526081*(1000)</f>
        <v>1526.0810000000001</v>
      </c>
      <c r="I2151" s="201"/>
      <c r="J2151" s="201"/>
    </row>
    <row r="2152" spans="1:10" s="5" customFormat="1" ht="22.5" hidden="1" customHeight="1" outlineLevel="1" x14ac:dyDescent="0.25">
      <c r="A2152" s="4">
        <v>2769</v>
      </c>
      <c r="B2152" s="4" t="s">
        <v>16</v>
      </c>
      <c r="C2152" s="38" t="s">
        <v>2886</v>
      </c>
      <c r="D2152" s="4">
        <v>2022</v>
      </c>
      <c r="E2152" s="4" t="s">
        <v>12</v>
      </c>
      <c r="F2152" s="4">
        <v>550</v>
      </c>
      <c r="G2152" s="4">
        <v>60</v>
      </c>
      <c r="H2152" s="4">
        <f>0.819945*(1000)</f>
        <v>819.94500000000005</v>
      </c>
      <c r="I2152" s="201"/>
      <c r="J2152" s="201"/>
    </row>
    <row r="2153" spans="1:10" s="5" customFormat="1" ht="22.5" hidden="1" customHeight="1" outlineLevel="1" x14ac:dyDescent="0.25">
      <c r="A2153" s="4">
        <v>2811</v>
      </c>
      <c r="B2153" s="4" t="s">
        <v>16</v>
      </c>
      <c r="C2153" s="38" t="s">
        <v>2887</v>
      </c>
      <c r="D2153" s="4">
        <v>2022</v>
      </c>
      <c r="E2153" s="4" t="s">
        <v>12</v>
      </c>
      <c r="F2153" s="4">
        <v>287</v>
      </c>
      <c r="G2153" s="4">
        <v>45</v>
      </c>
      <c r="H2153" s="4">
        <f>0.450629*(1000)</f>
        <v>450.62900000000002</v>
      </c>
      <c r="I2153" s="201"/>
      <c r="J2153" s="201"/>
    </row>
    <row r="2154" spans="1:10" s="5" customFormat="1" ht="22.5" hidden="1" customHeight="1" outlineLevel="1" x14ac:dyDescent="0.25">
      <c r="A2154" s="4">
        <v>2919</v>
      </c>
      <c r="B2154" s="4" t="s">
        <v>16</v>
      </c>
      <c r="C2154" s="38" t="s">
        <v>2821</v>
      </c>
      <c r="D2154" s="4">
        <v>2022</v>
      </c>
      <c r="E2154" s="4" t="s">
        <v>12</v>
      </c>
      <c r="F2154" s="4">
        <v>134</v>
      </c>
      <c r="G2154" s="4">
        <v>30</v>
      </c>
      <c r="H2154" s="4">
        <f>0.337714*(1000)</f>
        <v>337.714</v>
      </c>
      <c r="I2154" s="201"/>
      <c r="J2154" s="201"/>
    </row>
    <row r="2155" spans="1:10" s="5" customFormat="1" ht="22.5" hidden="1" customHeight="1" outlineLevel="1" x14ac:dyDescent="0.25">
      <c r="A2155" s="4">
        <v>2920</v>
      </c>
      <c r="B2155" s="4" t="s">
        <v>16</v>
      </c>
      <c r="C2155" s="38" t="s">
        <v>2822</v>
      </c>
      <c r="D2155" s="4">
        <v>2022</v>
      </c>
      <c r="E2155" s="4" t="s">
        <v>12</v>
      </c>
      <c r="F2155" s="4">
        <v>79</v>
      </c>
      <c r="G2155" s="4">
        <v>15</v>
      </c>
      <c r="H2155" s="4">
        <f>0.227158*(1000)</f>
        <v>227.15799999999999</v>
      </c>
      <c r="I2155" s="201"/>
      <c r="J2155" s="201"/>
    </row>
    <row r="2156" spans="1:10" s="5" customFormat="1" ht="22.5" hidden="1" customHeight="1" outlineLevel="1" x14ac:dyDescent="0.25">
      <c r="A2156" s="4">
        <v>2731</v>
      </c>
      <c r="B2156" s="4" t="s">
        <v>16</v>
      </c>
      <c r="C2156" s="38" t="s">
        <v>2823</v>
      </c>
      <c r="D2156" s="4">
        <v>2022</v>
      </c>
      <c r="E2156" s="4" t="s">
        <v>12</v>
      </c>
      <c r="F2156" s="4">
        <v>420</v>
      </c>
      <c r="G2156" s="4">
        <v>215</v>
      </c>
      <c r="H2156" s="4">
        <f>0.8557861*(1000)</f>
        <v>855.78610000000003</v>
      </c>
      <c r="I2156" s="201"/>
      <c r="J2156" s="201"/>
    </row>
    <row r="2157" spans="1:10" s="5" customFormat="1" ht="22.5" hidden="1" customHeight="1" outlineLevel="1" x14ac:dyDescent="0.25">
      <c r="A2157" s="4">
        <v>4113</v>
      </c>
      <c r="B2157" s="4" t="s">
        <v>16</v>
      </c>
      <c r="C2157" s="38" t="s">
        <v>2824</v>
      </c>
      <c r="D2157" s="4">
        <v>2022</v>
      </c>
      <c r="E2157" s="4" t="s">
        <v>12</v>
      </c>
      <c r="F2157" s="4">
        <v>93</v>
      </c>
      <c r="G2157" s="4">
        <v>138</v>
      </c>
      <c r="H2157" s="4">
        <f>0.4588638*(1000)</f>
        <v>458.86379999999997</v>
      </c>
      <c r="I2157" s="201"/>
      <c r="J2157" s="201"/>
    </row>
    <row r="2158" spans="1:10" s="5" customFormat="1" ht="22.5" hidden="1" customHeight="1" outlineLevel="1" x14ac:dyDescent="0.25">
      <c r="A2158" s="4">
        <v>4117</v>
      </c>
      <c r="B2158" s="4" t="s">
        <v>16</v>
      </c>
      <c r="C2158" s="38" t="s">
        <v>2888</v>
      </c>
      <c r="D2158" s="4">
        <v>2022</v>
      </c>
      <c r="E2158" s="4" t="s">
        <v>12</v>
      </c>
      <c r="F2158" s="4">
        <v>864</v>
      </c>
      <c r="G2158" s="4">
        <v>300</v>
      </c>
      <c r="H2158" s="4">
        <f>1.45908565*(1000)</f>
        <v>1459.08565</v>
      </c>
      <c r="I2158" s="201"/>
      <c r="J2158" s="201"/>
    </row>
    <row r="2159" spans="1:10" s="5" customFormat="1" ht="22.5" hidden="1" customHeight="1" outlineLevel="1" x14ac:dyDescent="0.25">
      <c r="A2159" s="4">
        <v>2991</v>
      </c>
      <c r="B2159" s="4" t="s">
        <v>16</v>
      </c>
      <c r="C2159" s="38" t="s">
        <v>2889</v>
      </c>
      <c r="D2159" s="4">
        <v>2022</v>
      </c>
      <c r="E2159" s="4" t="s">
        <v>12</v>
      </c>
      <c r="F2159" s="4">
        <v>4</v>
      </c>
      <c r="G2159" s="4">
        <v>80</v>
      </c>
      <c r="H2159" s="4">
        <f>0.07980699*(1000)</f>
        <v>79.806989999999999</v>
      </c>
      <c r="I2159" s="201"/>
      <c r="J2159" s="201"/>
    </row>
    <row r="2160" spans="1:10" s="5" customFormat="1" ht="22.5" hidden="1" customHeight="1" outlineLevel="1" x14ac:dyDescent="0.25">
      <c r="A2160" s="4">
        <v>4125</v>
      </c>
      <c r="B2160" s="4" t="s">
        <v>16</v>
      </c>
      <c r="C2160" s="38" t="s">
        <v>2890</v>
      </c>
      <c r="D2160" s="4">
        <v>2022</v>
      </c>
      <c r="E2160" s="4" t="s">
        <v>12</v>
      </c>
      <c r="F2160" s="4">
        <v>183</v>
      </c>
      <c r="G2160" s="4">
        <v>90</v>
      </c>
      <c r="H2160" s="4">
        <f>0.2427585*(1000)</f>
        <v>242.7585</v>
      </c>
      <c r="I2160" s="201"/>
      <c r="J2160" s="201"/>
    </row>
    <row r="2161" spans="1:10" s="5" customFormat="1" ht="22.5" hidden="1" customHeight="1" outlineLevel="1" x14ac:dyDescent="0.25">
      <c r="A2161" s="4">
        <v>2719</v>
      </c>
      <c r="B2161" s="4" t="s">
        <v>16</v>
      </c>
      <c r="C2161" s="38" t="s">
        <v>2891</v>
      </c>
      <c r="D2161" s="4">
        <v>2022</v>
      </c>
      <c r="E2161" s="4" t="s">
        <v>12</v>
      </c>
      <c r="F2161" s="4">
        <v>143</v>
      </c>
      <c r="G2161" s="4">
        <v>15</v>
      </c>
      <c r="H2161" s="4">
        <f>0.20096355*(1000)</f>
        <v>200.96355</v>
      </c>
      <c r="I2161" s="201"/>
      <c r="J2161" s="201"/>
    </row>
    <row r="2162" spans="1:10" s="5" customFormat="1" ht="22.5" hidden="1" customHeight="1" outlineLevel="1" x14ac:dyDescent="0.25">
      <c r="A2162" s="4">
        <v>2727</v>
      </c>
      <c r="B2162" s="4" t="s">
        <v>16</v>
      </c>
      <c r="C2162" s="38" t="s">
        <v>2892</v>
      </c>
      <c r="D2162" s="4">
        <v>2022</v>
      </c>
      <c r="E2162" s="4" t="s">
        <v>12</v>
      </c>
      <c r="F2162" s="4">
        <v>60</v>
      </c>
      <c r="G2162" s="4">
        <v>58</v>
      </c>
      <c r="H2162" s="4">
        <f>0.13020589*(1000)</f>
        <v>130.20588999999998</v>
      </c>
      <c r="I2162" s="201"/>
      <c r="J2162" s="201"/>
    </row>
    <row r="2163" spans="1:10" s="5" customFormat="1" ht="22.5" hidden="1" customHeight="1" outlineLevel="1" x14ac:dyDescent="0.25">
      <c r="A2163" s="4">
        <v>2866</v>
      </c>
      <c r="B2163" s="4" t="s">
        <v>16</v>
      </c>
      <c r="C2163" s="38" t="s">
        <v>2893</v>
      </c>
      <c r="D2163" s="4">
        <v>2022</v>
      </c>
      <c r="E2163" s="4" t="s">
        <v>12</v>
      </c>
      <c r="F2163" s="4">
        <v>51</v>
      </c>
      <c r="G2163" s="4">
        <v>15</v>
      </c>
      <c r="H2163" s="4">
        <f>0.08350566*(1000)</f>
        <v>83.505659999999992</v>
      </c>
      <c r="I2163" s="201"/>
      <c r="J2163" s="201"/>
    </row>
    <row r="2164" spans="1:10" s="5" customFormat="1" ht="22.5" hidden="1" customHeight="1" outlineLevel="1" x14ac:dyDescent="0.25">
      <c r="A2164" s="4">
        <v>4224</v>
      </c>
      <c r="B2164" s="4" t="s">
        <v>16</v>
      </c>
      <c r="C2164" s="38" t="s">
        <v>2894</v>
      </c>
      <c r="D2164" s="4">
        <v>2022</v>
      </c>
      <c r="E2164" s="4" t="s">
        <v>12</v>
      </c>
      <c r="F2164" s="4">
        <v>437</v>
      </c>
      <c r="G2164" s="4">
        <v>99</v>
      </c>
      <c r="H2164" s="4">
        <f>0.72903087*(1000)</f>
        <v>729.03087000000005</v>
      </c>
      <c r="I2164" s="201"/>
      <c r="J2164" s="201"/>
    </row>
    <row r="2165" spans="1:10" s="5" customFormat="1" ht="22.5" hidden="1" customHeight="1" outlineLevel="1" x14ac:dyDescent="0.25">
      <c r="A2165" s="4">
        <v>4228</v>
      </c>
      <c r="B2165" s="4" t="s">
        <v>16</v>
      </c>
      <c r="C2165" s="38" t="s">
        <v>2827</v>
      </c>
      <c r="D2165" s="4">
        <v>2022</v>
      </c>
      <c r="E2165" s="4" t="s">
        <v>12</v>
      </c>
      <c r="F2165" s="4">
        <v>343</v>
      </c>
      <c r="G2165" s="4">
        <v>175</v>
      </c>
      <c r="H2165" s="4">
        <f>0.63464896*(1000)</f>
        <v>634.64895999999999</v>
      </c>
      <c r="I2165" s="201"/>
      <c r="J2165" s="201"/>
    </row>
    <row r="2166" spans="1:10" s="5" customFormat="1" ht="22.5" hidden="1" customHeight="1" outlineLevel="1" x14ac:dyDescent="0.25">
      <c r="A2166" s="4">
        <v>4547</v>
      </c>
      <c r="B2166" s="4" t="s">
        <v>16</v>
      </c>
      <c r="C2166" s="38" t="s">
        <v>2895</v>
      </c>
      <c r="D2166" s="4">
        <v>2022</v>
      </c>
      <c r="E2166" s="4" t="s">
        <v>12</v>
      </c>
      <c r="F2166" s="4">
        <v>102</v>
      </c>
      <c r="G2166" s="4">
        <v>140</v>
      </c>
      <c r="H2166" s="4">
        <f>0.21612972*(1000)</f>
        <v>216.12971999999999</v>
      </c>
      <c r="I2166" s="201"/>
      <c r="J2166" s="201"/>
    </row>
    <row r="2167" spans="1:10" s="5" customFormat="1" ht="22.5" hidden="1" customHeight="1" outlineLevel="1" x14ac:dyDescent="0.25">
      <c r="A2167" s="4">
        <v>4548</v>
      </c>
      <c r="B2167" s="4" t="s">
        <v>16</v>
      </c>
      <c r="C2167" s="38" t="s">
        <v>2896</v>
      </c>
      <c r="D2167" s="4">
        <v>2022</v>
      </c>
      <c r="E2167" s="4" t="s">
        <v>12</v>
      </c>
      <c r="F2167" s="4">
        <v>156</v>
      </c>
      <c r="G2167" s="4">
        <v>149</v>
      </c>
      <c r="H2167" s="4">
        <f>0.46560881*(1000)</f>
        <v>465.60881000000001</v>
      </c>
      <c r="I2167" s="201"/>
      <c r="J2167" s="201"/>
    </row>
    <row r="2168" spans="1:10" s="5" customFormat="1" ht="22.5" hidden="1" customHeight="1" outlineLevel="1" x14ac:dyDescent="0.25">
      <c r="A2168" s="4">
        <v>2712</v>
      </c>
      <c r="B2168" s="4" t="s">
        <v>16</v>
      </c>
      <c r="C2168" s="38" t="s">
        <v>2828</v>
      </c>
      <c r="D2168" s="4">
        <v>2022</v>
      </c>
      <c r="E2168" s="4" t="s">
        <v>12</v>
      </c>
      <c r="F2168" s="4">
        <v>6</v>
      </c>
      <c r="G2168" s="4">
        <v>300</v>
      </c>
      <c r="H2168" s="4">
        <f>0.098595*(1000)</f>
        <v>98.594999999999999</v>
      </c>
      <c r="I2168" s="201"/>
      <c r="J2168" s="201"/>
    </row>
    <row r="2169" spans="1:10" s="5" customFormat="1" ht="22.5" hidden="1" customHeight="1" outlineLevel="1" x14ac:dyDescent="0.25">
      <c r="A2169" s="4">
        <v>2881</v>
      </c>
      <c r="B2169" s="4" t="s">
        <v>16</v>
      </c>
      <c r="C2169" s="38" t="s">
        <v>2897</v>
      </c>
      <c r="D2169" s="4">
        <v>2022</v>
      </c>
      <c r="E2169" s="4" t="s">
        <v>12</v>
      </c>
      <c r="F2169" s="4">
        <v>16</v>
      </c>
      <c r="G2169" s="4">
        <v>130</v>
      </c>
      <c r="H2169" s="4">
        <f>0.107297*(1000)</f>
        <v>107.297</v>
      </c>
      <c r="I2169" s="201"/>
      <c r="J2169" s="201"/>
    </row>
    <row r="2170" spans="1:10" s="5" customFormat="1" ht="22.5" hidden="1" customHeight="1" outlineLevel="1" x14ac:dyDescent="0.25">
      <c r="A2170" s="4">
        <v>1433</v>
      </c>
      <c r="B2170" s="4" t="s">
        <v>16</v>
      </c>
      <c r="C2170" s="38" t="s">
        <v>2831</v>
      </c>
      <c r="D2170" s="4">
        <v>2022</v>
      </c>
      <c r="E2170" s="4" t="s">
        <v>12</v>
      </c>
      <c r="F2170" s="4">
        <v>536</v>
      </c>
      <c r="G2170" s="4">
        <v>180</v>
      </c>
      <c r="H2170" s="4">
        <v>1105.5056500000001</v>
      </c>
      <c r="I2170" s="201"/>
      <c r="J2170" s="201"/>
    </row>
    <row r="2171" spans="1:10" s="5" customFormat="1" ht="22.5" hidden="1" customHeight="1" outlineLevel="1" x14ac:dyDescent="0.25">
      <c r="A2171" s="4">
        <v>1487</v>
      </c>
      <c r="B2171" s="4" t="s">
        <v>16</v>
      </c>
      <c r="C2171" s="38" t="s">
        <v>2832</v>
      </c>
      <c r="D2171" s="4">
        <v>2022</v>
      </c>
      <c r="E2171" s="4" t="s">
        <v>12</v>
      </c>
      <c r="F2171" s="4">
        <v>13</v>
      </c>
      <c r="G2171" s="4">
        <v>150</v>
      </c>
      <c r="H2171" s="4">
        <v>57.103389999999997</v>
      </c>
      <c r="I2171" s="201"/>
      <c r="J2171" s="201"/>
    </row>
    <row r="2172" spans="1:10" s="5" customFormat="1" ht="22.5" hidden="1" customHeight="1" outlineLevel="1" x14ac:dyDescent="0.25">
      <c r="A2172" s="4">
        <v>1486</v>
      </c>
      <c r="B2172" s="4" t="s">
        <v>16</v>
      </c>
      <c r="C2172" s="38" t="s">
        <v>2898</v>
      </c>
      <c r="D2172" s="4">
        <v>2022</v>
      </c>
      <c r="E2172" s="4" t="s">
        <v>12</v>
      </c>
      <c r="F2172" s="4">
        <v>25</v>
      </c>
      <c r="G2172" s="4">
        <v>40</v>
      </c>
      <c r="H2172" s="4">
        <v>91.676680000000005</v>
      </c>
      <c r="I2172" s="201"/>
      <c r="J2172" s="201"/>
    </row>
    <row r="2173" spans="1:10" s="5" customFormat="1" ht="22.5" hidden="1" customHeight="1" outlineLevel="1" x14ac:dyDescent="0.25">
      <c r="A2173" s="4">
        <v>1206</v>
      </c>
      <c r="B2173" s="4" t="s">
        <v>16</v>
      </c>
      <c r="C2173" s="38" t="s">
        <v>2833</v>
      </c>
      <c r="D2173" s="4">
        <v>2022</v>
      </c>
      <c r="E2173" s="4" t="s">
        <v>12</v>
      </c>
      <c r="F2173" s="4">
        <v>43</v>
      </c>
      <c r="G2173" s="4">
        <v>150</v>
      </c>
      <c r="H2173" s="4">
        <v>201.99943999999999</v>
      </c>
      <c r="I2173" s="201"/>
      <c r="J2173" s="201"/>
    </row>
    <row r="2174" spans="1:10" s="5" customFormat="1" ht="22.5" hidden="1" customHeight="1" outlineLevel="1" x14ac:dyDescent="0.25">
      <c r="A2174" s="4">
        <v>1344</v>
      </c>
      <c r="B2174" s="4" t="s">
        <v>16</v>
      </c>
      <c r="C2174" s="38" t="s">
        <v>2899</v>
      </c>
      <c r="D2174" s="4">
        <v>2022</v>
      </c>
      <c r="E2174" s="4" t="s">
        <v>12</v>
      </c>
      <c r="F2174" s="4">
        <v>521</v>
      </c>
      <c r="G2174" s="4">
        <v>35</v>
      </c>
      <c r="H2174" s="4">
        <v>905.91094999999996</v>
      </c>
      <c r="I2174" s="201"/>
      <c r="J2174" s="201"/>
    </row>
    <row r="2175" spans="1:10" s="5" customFormat="1" ht="22.5" hidden="1" customHeight="1" outlineLevel="1" x14ac:dyDescent="0.25">
      <c r="A2175" s="4">
        <v>1464</v>
      </c>
      <c r="B2175" s="4" t="s">
        <v>16</v>
      </c>
      <c r="C2175" s="38" t="s">
        <v>2900</v>
      </c>
      <c r="D2175" s="4">
        <v>2022</v>
      </c>
      <c r="E2175" s="4" t="s">
        <v>12</v>
      </c>
      <c r="F2175" s="4">
        <v>1405</v>
      </c>
      <c r="G2175" s="4">
        <v>15</v>
      </c>
      <c r="H2175" s="4">
        <v>2626.9262800000001</v>
      </c>
      <c r="I2175" s="201"/>
      <c r="J2175" s="201"/>
    </row>
    <row r="2176" spans="1:10" s="5" customFormat="1" ht="22.5" hidden="1" customHeight="1" outlineLevel="1" x14ac:dyDescent="0.25">
      <c r="A2176" s="4">
        <v>1041</v>
      </c>
      <c r="B2176" s="4" t="s">
        <v>16</v>
      </c>
      <c r="C2176" s="38" t="s">
        <v>2901</v>
      </c>
      <c r="D2176" s="4">
        <v>2022</v>
      </c>
      <c r="E2176" s="4" t="s">
        <v>12</v>
      </c>
      <c r="F2176" s="4">
        <v>22</v>
      </c>
      <c r="G2176" s="4">
        <v>15</v>
      </c>
      <c r="H2176" s="4">
        <v>95.551180000000002</v>
      </c>
      <c r="I2176" s="201"/>
      <c r="J2176" s="201"/>
    </row>
    <row r="2177" spans="1:10" s="5" customFormat="1" ht="22.5" hidden="1" customHeight="1" outlineLevel="1" x14ac:dyDescent="0.25">
      <c r="A2177" s="4">
        <v>1720</v>
      </c>
      <c r="B2177" s="4" t="s">
        <v>16</v>
      </c>
      <c r="C2177" s="38" t="s">
        <v>2902</v>
      </c>
      <c r="D2177" s="4">
        <v>2022</v>
      </c>
      <c r="E2177" s="4" t="s">
        <v>12</v>
      </c>
      <c r="F2177" s="4">
        <v>985</v>
      </c>
      <c r="G2177" s="4">
        <v>11.5</v>
      </c>
      <c r="H2177" s="4">
        <v>1571.93254</v>
      </c>
      <c r="I2177" s="201"/>
      <c r="J2177" s="201"/>
    </row>
    <row r="2178" spans="1:10" s="5" customFormat="1" ht="22.5" hidden="1" customHeight="1" outlineLevel="1" x14ac:dyDescent="0.25">
      <c r="A2178" s="4">
        <v>1663</v>
      </c>
      <c r="B2178" s="4" t="s">
        <v>16</v>
      </c>
      <c r="C2178" s="38" t="s">
        <v>2903</v>
      </c>
      <c r="D2178" s="4">
        <v>2022</v>
      </c>
      <c r="E2178" s="4" t="s">
        <v>12</v>
      </c>
      <c r="F2178" s="4">
        <v>5</v>
      </c>
      <c r="G2178" s="4">
        <v>15</v>
      </c>
      <c r="H2178" s="4">
        <v>37.34102</v>
      </c>
      <c r="I2178" s="201"/>
      <c r="J2178" s="201"/>
    </row>
    <row r="2179" spans="1:10" s="5" customFormat="1" ht="22.5" hidden="1" customHeight="1" outlineLevel="1" x14ac:dyDescent="0.25">
      <c r="A2179" s="4">
        <v>451</v>
      </c>
      <c r="B2179" s="4" t="s">
        <v>16</v>
      </c>
      <c r="C2179" s="38" t="s">
        <v>2836</v>
      </c>
      <c r="D2179" s="4">
        <v>2022</v>
      </c>
      <c r="E2179" s="4" t="s">
        <v>12</v>
      </c>
      <c r="F2179" s="4">
        <v>5</v>
      </c>
      <c r="G2179" s="4">
        <v>150</v>
      </c>
      <c r="H2179" s="4">
        <v>47.984319999999997</v>
      </c>
      <c r="I2179" s="201"/>
      <c r="J2179" s="201"/>
    </row>
    <row r="2180" spans="1:10" s="5" customFormat="1" ht="22.5" hidden="1" customHeight="1" outlineLevel="1" x14ac:dyDescent="0.25">
      <c r="A2180" s="4">
        <v>533</v>
      </c>
      <c r="B2180" s="4" t="s">
        <v>16</v>
      </c>
      <c r="C2180" s="38" t="s">
        <v>2904</v>
      </c>
      <c r="D2180" s="4">
        <v>2022</v>
      </c>
      <c r="E2180" s="4" t="s">
        <v>12</v>
      </c>
      <c r="F2180" s="4">
        <v>756</v>
      </c>
      <c r="G2180" s="4">
        <v>15</v>
      </c>
      <c r="H2180" s="4">
        <v>1179.8443299999999</v>
      </c>
      <c r="I2180" s="201"/>
      <c r="J2180" s="201"/>
    </row>
    <row r="2181" spans="1:10" s="5" customFormat="1" ht="22.5" hidden="1" customHeight="1" outlineLevel="1" x14ac:dyDescent="0.25">
      <c r="A2181" s="4">
        <v>454</v>
      </c>
      <c r="B2181" s="4" t="s">
        <v>16</v>
      </c>
      <c r="C2181" s="38" t="s">
        <v>2905</v>
      </c>
      <c r="D2181" s="4">
        <v>2022</v>
      </c>
      <c r="E2181" s="4" t="s">
        <v>12</v>
      </c>
      <c r="F2181" s="4">
        <v>5</v>
      </c>
      <c r="G2181" s="4">
        <v>150</v>
      </c>
      <c r="H2181" s="4">
        <v>62.345739999999999</v>
      </c>
      <c r="I2181" s="201"/>
      <c r="J2181" s="201"/>
    </row>
    <row r="2182" spans="1:10" s="5" customFormat="1" ht="22.5" hidden="1" customHeight="1" outlineLevel="1" x14ac:dyDescent="0.25">
      <c r="A2182" s="4">
        <v>452</v>
      </c>
      <c r="B2182" s="4" t="s">
        <v>16</v>
      </c>
      <c r="C2182" s="38" t="s">
        <v>2906</v>
      </c>
      <c r="D2182" s="4">
        <v>2022</v>
      </c>
      <c r="E2182" s="4" t="s">
        <v>12</v>
      </c>
      <c r="F2182" s="4">
        <v>5</v>
      </c>
      <c r="G2182" s="4">
        <v>150</v>
      </c>
      <c r="H2182" s="4">
        <v>98.051509999999993</v>
      </c>
      <c r="I2182" s="201"/>
      <c r="J2182" s="201"/>
    </row>
    <row r="2183" spans="1:10" s="5" customFormat="1" ht="22.5" hidden="1" customHeight="1" outlineLevel="1" x14ac:dyDescent="0.25">
      <c r="A2183" s="4">
        <v>450</v>
      </c>
      <c r="B2183" s="4" t="s">
        <v>16</v>
      </c>
      <c r="C2183" s="38" t="s">
        <v>2907</v>
      </c>
      <c r="D2183" s="4">
        <v>2022</v>
      </c>
      <c r="E2183" s="4" t="s">
        <v>12</v>
      </c>
      <c r="F2183" s="4">
        <v>5</v>
      </c>
      <c r="G2183" s="4">
        <v>150</v>
      </c>
      <c r="H2183" s="4">
        <v>50.135429999999999</v>
      </c>
      <c r="I2183" s="201"/>
      <c r="J2183" s="201"/>
    </row>
    <row r="2184" spans="1:10" s="5" customFormat="1" ht="22.5" hidden="1" customHeight="1" outlineLevel="1" x14ac:dyDescent="0.25">
      <c r="A2184" s="4">
        <v>449</v>
      </c>
      <c r="B2184" s="4" t="s">
        <v>16</v>
      </c>
      <c r="C2184" s="38" t="s">
        <v>2835</v>
      </c>
      <c r="D2184" s="4">
        <v>2022</v>
      </c>
      <c r="E2184" s="4" t="s">
        <v>12</v>
      </c>
      <c r="F2184" s="4">
        <v>5</v>
      </c>
      <c r="G2184" s="4">
        <v>149</v>
      </c>
      <c r="H2184" s="4">
        <v>71.815870000000004</v>
      </c>
      <c r="I2184" s="201"/>
      <c r="J2184" s="201"/>
    </row>
    <row r="2185" spans="1:10" s="5" customFormat="1" ht="22.5" hidden="1" customHeight="1" outlineLevel="1" x14ac:dyDescent="0.25">
      <c r="A2185" s="4">
        <v>455</v>
      </c>
      <c r="B2185" s="4" t="s">
        <v>16</v>
      </c>
      <c r="C2185" s="38" t="s">
        <v>2908</v>
      </c>
      <c r="D2185" s="4">
        <v>2022</v>
      </c>
      <c r="E2185" s="4" t="s">
        <v>12</v>
      </c>
      <c r="F2185" s="4">
        <v>3</v>
      </c>
      <c r="G2185" s="4">
        <v>100</v>
      </c>
      <c r="H2185" s="4">
        <v>65.233199999999997</v>
      </c>
      <c r="I2185" s="201"/>
      <c r="J2185" s="201"/>
    </row>
    <row r="2186" spans="1:10" s="5" customFormat="1" ht="22.5" hidden="1" customHeight="1" outlineLevel="1" x14ac:dyDescent="0.25">
      <c r="A2186" s="4">
        <v>456</v>
      </c>
      <c r="B2186" s="4" t="s">
        <v>16</v>
      </c>
      <c r="C2186" s="38" t="s">
        <v>2909</v>
      </c>
      <c r="D2186" s="4">
        <v>2022</v>
      </c>
      <c r="E2186" s="4" t="s">
        <v>12</v>
      </c>
      <c r="F2186" s="4">
        <v>8</v>
      </c>
      <c r="G2186" s="4">
        <v>15</v>
      </c>
      <c r="H2186" s="4">
        <v>109.3719</v>
      </c>
      <c r="I2186" s="201"/>
      <c r="J2186" s="201"/>
    </row>
    <row r="2187" spans="1:10" s="5" customFormat="1" ht="22.5" hidden="1" customHeight="1" outlineLevel="1" x14ac:dyDescent="0.25">
      <c r="A2187" s="4">
        <v>479</v>
      </c>
      <c r="B2187" s="4" t="s">
        <v>16</v>
      </c>
      <c r="C2187" s="38" t="s">
        <v>2910</v>
      </c>
      <c r="D2187" s="4">
        <v>2022</v>
      </c>
      <c r="E2187" s="4" t="s">
        <v>12</v>
      </c>
      <c r="F2187" s="4">
        <v>70</v>
      </c>
      <c r="G2187" s="4">
        <v>10</v>
      </c>
      <c r="H2187" s="4">
        <v>105.50449999999999</v>
      </c>
      <c r="I2187" s="201"/>
      <c r="J2187" s="201"/>
    </row>
    <row r="2188" spans="1:10" s="5" customFormat="1" ht="22.5" hidden="1" customHeight="1" outlineLevel="1" x14ac:dyDescent="0.25">
      <c r="A2188" s="4">
        <v>561</v>
      </c>
      <c r="B2188" s="4" t="s">
        <v>16</v>
      </c>
      <c r="C2188" s="38" t="s">
        <v>2911</v>
      </c>
      <c r="D2188" s="4">
        <v>2022</v>
      </c>
      <c r="E2188" s="4" t="s">
        <v>12</v>
      </c>
      <c r="F2188" s="4">
        <v>307</v>
      </c>
      <c r="G2188" s="4">
        <v>15</v>
      </c>
      <c r="H2188" s="4">
        <v>483.40895999999998</v>
      </c>
      <c r="I2188" s="201"/>
      <c r="J2188" s="201"/>
    </row>
    <row r="2189" spans="1:10" s="5" customFormat="1" ht="22.5" hidden="1" customHeight="1" outlineLevel="1" x14ac:dyDescent="0.25">
      <c r="A2189" s="4">
        <v>562</v>
      </c>
      <c r="B2189" s="4" t="s">
        <v>16</v>
      </c>
      <c r="C2189" s="38" t="s">
        <v>2912</v>
      </c>
      <c r="D2189" s="4">
        <v>2022</v>
      </c>
      <c r="E2189" s="4" t="s">
        <v>12</v>
      </c>
      <c r="F2189" s="4">
        <v>783</v>
      </c>
      <c r="G2189" s="4">
        <v>10.5</v>
      </c>
      <c r="H2189" s="4">
        <v>1359.11429</v>
      </c>
      <c r="I2189" s="201"/>
      <c r="J2189" s="201"/>
    </row>
    <row r="2190" spans="1:10" s="5" customFormat="1" ht="22.5" hidden="1" customHeight="1" outlineLevel="1" x14ac:dyDescent="0.25">
      <c r="A2190" s="4">
        <v>461</v>
      </c>
      <c r="B2190" s="4" t="s">
        <v>16</v>
      </c>
      <c r="C2190" s="38" t="s">
        <v>2839</v>
      </c>
      <c r="D2190" s="4">
        <v>2022</v>
      </c>
      <c r="E2190" s="4" t="s">
        <v>12</v>
      </c>
      <c r="F2190" s="4">
        <v>481</v>
      </c>
      <c r="G2190" s="4">
        <v>81</v>
      </c>
      <c r="H2190" s="4">
        <v>1104.7075400000001</v>
      </c>
      <c r="I2190" s="201"/>
      <c r="J2190" s="201"/>
    </row>
    <row r="2191" spans="1:10" s="5" customFormat="1" ht="22.5" hidden="1" customHeight="1" outlineLevel="1" x14ac:dyDescent="0.25">
      <c r="A2191" s="4">
        <v>564</v>
      </c>
      <c r="B2191" s="4" t="s">
        <v>16</v>
      </c>
      <c r="C2191" s="38" t="s">
        <v>2913</v>
      </c>
      <c r="D2191" s="4">
        <v>2022</v>
      </c>
      <c r="E2191" s="4" t="s">
        <v>12</v>
      </c>
      <c r="F2191" s="4">
        <v>368</v>
      </c>
      <c r="G2191" s="4">
        <v>15</v>
      </c>
      <c r="H2191" s="4">
        <v>910.81111999999996</v>
      </c>
      <c r="I2191" s="201"/>
      <c r="J2191" s="201"/>
    </row>
    <row r="2192" spans="1:10" s="5" customFormat="1" ht="22.5" hidden="1" customHeight="1" outlineLevel="1" x14ac:dyDescent="0.25">
      <c r="A2192" s="4">
        <v>464</v>
      </c>
      <c r="B2192" s="4" t="s">
        <v>16</v>
      </c>
      <c r="C2192" s="38" t="s">
        <v>2914</v>
      </c>
      <c r="D2192" s="4">
        <v>2022</v>
      </c>
      <c r="E2192" s="4" t="s">
        <v>12</v>
      </c>
      <c r="F2192" s="4">
        <v>18</v>
      </c>
      <c r="G2192" s="4">
        <v>150</v>
      </c>
      <c r="H2192" s="4">
        <v>162.90213</v>
      </c>
      <c r="I2192" s="201"/>
      <c r="J2192" s="201"/>
    </row>
    <row r="2193" spans="1:10" s="5" customFormat="1" ht="22.5" hidden="1" customHeight="1" outlineLevel="1" x14ac:dyDescent="0.25">
      <c r="A2193" s="4">
        <v>471</v>
      </c>
      <c r="B2193" s="4" t="s">
        <v>16</v>
      </c>
      <c r="C2193" s="38" t="s">
        <v>2915</v>
      </c>
      <c r="D2193" s="4">
        <v>2022</v>
      </c>
      <c r="E2193" s="4" t="s">
        <v>12</v>
      </c>
      <c r="F2193" s="4">
        <v>3</v>
      </c>
      <c r="G2193" s="4">
        <v>150</v>
      </c>
      <c r="H2193" s="4">
        <v>63.11383</v>
      </c>
      <c r="I2193" s="201"/>
      <c r="J2193" s="201"/>
    </row>
    <row r="2194" spans="1:10" s="5" customFormat="1" ht="22.5" hidden="1" customHeight="1" outlineLevel="1" x14ac:dyDescent="0.25">
      <c r="A2194" s="4">
        <v>472</v>
      </c>
      <c r="B2194" s="4" t="s">
        <v>16</v>
      </c>
      <c r="C2194" s="38" t="s">
        <v>2916</v>
      </c>
      <c r="D2194" s="4">
        <v>2022</v>
      </c>
      <c r="E2194" s="4" t="s">
        <v>12</v>
      </c>
      <c r="F2194" s="4">
        <v>344</v>
      </c>
      <c r="G2194" s="4">
        <v>100</v>
      </c>
      <c r="H2194" s="4">
        <v>835.93847000000005</v>
      </c>
      <c r="I2194" s="201"/>
      <c r="J2194" s="201"/>
    </row>
    <row r="2195" spans="1:10" s="5" customFormat="1" ht="22.5" hidden="1" customHeight="1" outlineLevel="1" x14ac:dyDescent="0.25">
      <c r="A2195" s="4">
        <v>579</v>
      </c>
      <c r="B2195" s="4" t="s">
        <v>16</v>
      </c>
      <c r="C2195" s="38" t="s">
        <v>2917</v>
      </c>
      <c r="D2195" s="4">
        <v>2022</v>
      </c>
      <c r="E2195" s="4" t="s">
        <v>12</v>
      </c>
      <c r="F2195" s="4">
        <v>523</v>
      </c>
      <c r="G2195" s="4">
        <v>9</v>
      </c>
      <c r="H2195" s="4">
        <v>1223.0452700000001</v>
      </c>
      <c r="I2195" s="201"/>
      <c r="J2195" s="201"/>
    </row>
    <row r="2196" spans="1:10" s="5" customFormat="1" ht="22.5" hidden="1" customHeight="1" outlineLevel="1" x14ac:dyDescent="0.25">
      <c r="A2196" s="4">
        <v>5421</v>
      </c>
      <c r="B2196" s="4" t="s">
        <v>16</v>
      </c>
      <c r="C2196" s="38" t="s">
        <v>2918</v>
      </c>
      <c r="D2196" s="4">
        <v>2022</v>
      </c>
      <c r="E2196" s="4" t="s">
        <v>12</v>
      </c>
      <c r="F2196" s="4">
        <v>5</v>
      </c>
      <c r="G2196" s="4">
        <v>130</v>
      </c>
      <c r="H2196" s="4">
        <v>108.735</v>
      </c>
      <c r="I2196" s="201"/>
      <c r="J2196" s="201"/>
    </row>
    <row r="2197" spans="1:10" s="5" customFormat="1" ht="22.5" hidden="1" customHeight="1" outlineLevel="1" x14ac:dyDescent="0.25">
      <c r="A2197" s="4">
        <v>5417</v>
      </c>
      <c r="B2197" s="4" t="s">
        <v>16</v>
      </c>
      <c r="C2197" s="38" t="s">
        <v>2859</v>
      </c>
      <c r="D2197" s="4">
        <v>2022</v>
      </c>
      <c r="E2197" s="4" t="s">
        <v>12</v>
      </c>
      <c r="F2197" s="4">
        <v>53</v>
      </c>
      <c r="G2197" s="4">
        <v>159.69999999999999</v>
      </c>
      <c r="H2197" s="4">
        <v>467.64600000000002</v>
      </c>
      <c r="I2197" s="201"/>
      <c r="J2197" s="201"/>
    </row>
    <row r="2198" spans="1:10" s="5" customFormat="1" ht="22.5" hidden="1" customHeight="1" outlineLevel="1" x14ac:dyDescent="0.25">
      <c r="A2198" s="4">
        <v>5861</v>
      </c>
      <c r="B2198" s="4" t="s">
        <v>16</v>
      </c>
      <c r="C2198" s="38" t="s">
        <v>2860</v>
      </c>
      <c r="D2198" s="4">
        <v>2022</v>
      </c>
      <c r="E2198" s="4" t="s">
        <v>12</v>
      </c>
      <c r="F2198" s="4">
        <v>5</v>
      </c>
      <c r="G2198" s="4">
        <v>150</v>
      </c>
      <c r="H2198" s="4">
        <v>81.314999999999998</v>
      </c>
      <c r="I2198" s="201"/>
      <c r="J2198" s="201"/>
    </row>
    <row r="2199" spans="1:10" s="5" customFormat="1" ht="22.5" hidden="1" customHeight="1" outlineLevel="1" x14ac:dyDescent="0.25">
      <c r="A2199" s="4">
        <v>5421</v>
      </c>
      <c r="B2199" s="4" t="s">
        <v>16</v>
      </c>
      <c r="C2199" s="38" t="s">
        <v>2918</v>
      </c>
      <c r="D2199" s="4">
        <v>2022</v>
      </c>
      <c r="E2199" s="4" t="s">
        <v>12</v>
      </c>
      <c r="F2199" s="4">
        <v>5</v>
      </c>
      <c r="G2199" s="4">
        <v>130</v>
      </c>
      <c r="H2199" s="4">
        <v>108.735</v>
      </c>
      <c r="I2199" s="201"/>
      <c r="J2199" s="201"/>
    </row>
    <row r="2200" spans="1:10" s="5" customFormat="1" ht="22.5" hidden="1" customHeight="1" outlineLevel="1" x14ac:dyDescent="0.25">
      <c r="A2200" s="4">
        <v>5417</v>
      </c>
      <c r="B2200" s="4" t="s">
        <v>16</v>
      </c>
      <c r="C2200" s="38" t="s">
        <v>2859</v>
      </c>
      <c r="D2200" s="4">
        <v>2022</v>
      </c>
      <c r="E2200" s="4" t="s">
        <v>12</v>
      </c>
      <c r="F2200" s="4">
        <v>53</v>
      </c>
      <c r="G2200" s="4">
        <v>159.69999999999999</v>
      </c>
      <c r="H2200" s="4">
        <v>467.64600000000002</v>
      </c>
      <c r="I2200" s="201"/>
      <c r="J2200" s="201"/>
    </row>
    <row r="2201" spans="1:10" s="5" customFormat="1" ht="22.5" hidden="1" customHeight="1" outlineLevel="1" x14ac:dyDescent="0.25">
      <c r="A2201" s="4">
        <v>5861</v>
      </c>
      <c r="B2201" s="4" t="s">
        <v>16</v>
      </c>
      <c r="C2201" s="38" t="s">
        <v>2860</v>
      </c>
      <c r="D2201" s="4">
        <v>2022</v>
      </c>
      <c r="E2201" s="4" t="s">
        <v>12</v>
      </c>
      <c r="F2201" s="4">
        <v>5</v>
      </c>
      <c r="G2201" s="4">
        <v>150</v>
      </c>
      <c r="H2201" s="4">
        <v>81.314999999999998</v>
      </c>
      <c r="I2201" s="201"/>
      <c r="J2201" s="201"/>
    </row>
    <row r="2202" spans="1:10" s="5" customFormat="1" ht="22.5" hidden="1" customHeight="1" outlineLevel="1" x14ac:dyDescent="0.25">
      <c r="A2202" s="4">
        <v>139</v>
      </c>
      <c r="B2202" s="4" t="s">
        <v>16</v>
      </c>
      <c r="C2202" s="38" t="s">
        <v>2919</v>
      </c>
      <c r="D2202" s="4">
        <v>2022</v>
      </c>
      <c r="E2202" s="4" t="s">
        <v>12</v>
      </c>
      <c r="F2202" s="4">
        <v>791</v>
      </c>
      <c r="G2202" s="4">
        <v>15</v>
      </c>
      <c r="H2202" s="4">
        <v>625</v>
      </c>
      <c r="I2202" s="201"/>
      <c r="J2202" s="201"/>
    </row>
    <row r="2203" spans="1:10" s="5" customFormat="1" ht="22.5" hidden="1" customHeight="1" outlineLevel="1" x14ac:dyDescent="0.25">
      <c r="A2203" s="4">
        <v>180</v>
      </c>
      <c r="B2203" s="4" t="s">
        <v>16</v>
      </c>
      <c r="C2203" s="38" t="s">
        <v>2920</v>
      </c>
      <c r="D2203" s="4">
        <v>2022</v>
      </c>
      <c r="E2203" s="4" t="s">
        <v>12</v>
      </c>
      <c r="F2203" s="4">
        <v>5</v>
      </c>
      <c r="G2203" s="4">
        <v>50</v>
      </c>
      <c r="H2203" s="4">
        <v>59</v>
      </c>
      <c r="I2203" s="201"/>
      <c r="J2203" s="201"/>
    </row>
    <row r="2204" spans="1:10" s="5" customFormat="1" ht="22.5" hidden="1" customHeight="1" outlineLevel="1" x14ac:dyDescent="0.25">
      <c r="A2204" s="4">
        <v>100</v>
      </c>
      <c r="B2204" s="4" t="s">
        <v>16</v>
      </c>
      <c r="C2204" s="38" t="s">
        <v>2921</v>
      </c>
      <c r="D2204" s="4">
        <v>2022</v>
      </c>
      <c r="E2204" s="4" t="s">
        <v>12</v>
      </c>
      <c r="F2204" s="4">
        <v>3</v>
      </c>
      <c r="G2204" s="4">
        <v>150</v>
      </c>
      <c r="H2204" s="4">
        <v>37</v>
      </c>
      <c r="I2204" s="201"/>
      <c r="J2204" s="201"/>
    </row>
    <row r="2205" spans="1:10" s="5" customFormat="1" ht="22.5" hidden="1" customHeight="1" outlineLevel="1" x14ac:dyDescent="0.25">
      <c r="A2205" s="4">
        <v>17</v>
      </c>
      <c r="B2205" s="4" t="s">
        <v>16</v>
      </c>
      <c r="C2205" s="38" t="s">
        <v>2922</v>
      </c>
      <c r="D2205" s="4">
        <v>2022</v>
      </c>
      <c r="E2205" s="4" t="s">
        <v>12</v>
      </c>
      <c r="F2205" s="4">
        <v>259</v>
      </c>
      <c r="G2205" s="4">
        <v>265</v>
      </c>
      <c r="H2205" s="4">
        <v>641</v>
      </c>
      <c r="I2205" s="201"/>
      <c r="J2205" s="201"/>
    </row>
    <row r="2206" spans="1:10" s="5" customFormat="1" ht="22.5" hidden="1" customHeight="1" outlineLevel="1" x14ac:dyDescent="0.25">
      <c r="A2206" s="4">
        <v>130</v>
      </c>
      <c r="B2206" s="4" t="s">
        <v>16</v>
      </c>
      <c r="C2206" s="38" t="s">
        <v>2861</v>
      </c>
      <c r="D2206" s="4">
        <v>2022</v>
      </c>
      <c r="E2206" s="4" t="s">
        <v>12</v>
      </c>
      <c r="F2206" s="4">
        <v>269</v>
      </c>
      <c r="G2206" s="4">
        <v>30</v>
      </c>
      <c r="H2206" s="4">
        <v>612</v>
      </c>
      <c r="I2206" s="201"/>
      <c r="J2206" s="201"/>
    </row>
    <row r="2207" spans="1:10" s="5" customFormat="1" ht="22.5" hidden="1" customHeight="1" outlineLevel="1" x14ac:dyDescent="0.25">
      <c r="A2207" s="4">
        <v>153</v>
      </c>
      <c r="B2207" s="4" t="s">
        <v>16</v>
      </c>
      <c r="C2207" s="38" t="s">
        <v>2862</v>
      </c>
      <c r="D2207" s="4">
        <v>2022</v>
      </c>
      <c r="E2207" s="4" t="s">
        <v>12</v>
      </c>
      <c r="F2207" s="4">
        <v>5</v>
      </c>
      <c r="G2207" s="4">
        <v>150</v>
      </c>
      <c r="H2207" s="4">
        <v>72</v>
      </c>
      <c r="I2207" s="201"/>
      <c r="J2207" s="201"/>
    </row>
    <row r="2208" spans="1:10" s="5" customFormat="1" ht="22.5" hidden="1" customHeight="1" outlineLevel="1" x14ac:dyDescent="0.25">
      <c r="A2208" s="4">
        <v>282</v>
      </c>
      <c r="B2208" s="4" t="s">
        <v>16</v>
      </c>
      <c r="C2208" s="38" t="s">
        <v>2863</v>
      </c>
      <c r="D2208" s="4">
        <v>2022</v>
      </c>
      <c r="E2208" s="4" t="s">
        <v>12</v>
      </c>
      <c r="F2208" s="4">
        <v>3569</v>
      </c>
      <c r="G2208" s="4">
        <v>160</v>
      </c>
      <c r="H2208" s="4">
        <v>5036</v>
      </c>
      <c r="I2208" s="201"/>
      <c r="J2208" s="201"/>
    </row>
    <row r="2209" spans="1:10" s="5" customFormat="1" ht="22.5" hidden="1" customHeight="1" outlineLevel="1" x14ac:dyDescent="0.25">
      <c r="A2209" s="4">
        <v>284</v>
      </c>
      <c r="B2209" s="4" t="s">
        <v>16</v>
      </c>
      <c r="C2209" s="38" t="s">
        <v>2923</v>
      </c>
      <c r="D2209" s="4">
        <v>2022</v>
      </c>
      <c r="E2209" s="4" t="s">
        <v>12</v>
      </c>
      <c r="F2209" s="4">
        <v>3</v>
      </c>
      <c r="G2209" s="4">
        <v>150</v>
      </c>
      <c r="H2209" s="4">
        <v>60</v>
      </c>
      <c r="I2209" s="201"/>
      <c r="J2209" s="201"/>
    </row>
    <row r="2210" spans="1:10" s="5" customFormat="1" ht="22.5" hidden="1" customHeight="1" outlineLevel="1" x14ac:dyDescent="0.25">
      <c r="A2210" s="4">
        <v>224</v>
      </c>
      <c r="B2210" s="4" t="s">
        <v>16</v>
      </c>
      <c r="C2210" s="38" t="s">
        <v>2864</v>
      </c>
      <c r="D2210" s="4">
        <v>2022</v>
      </c>
      <c r="E2210" s="4" t="s">
        <v>12</v>
      </c>
      <c r="F2210" s="4">
        <v>3</v>
      </c>
      <c r="G2210" s="4">
        <v>15</v>
      </c>
      <c r="H2210" s="4">
        <v>68</v>
      </c>
      <c r="I2210" s="201"/>
      <c r="J2210" s="201"/>
    </row>
    <row r="2211" spans="1:10" s="5" customFormat="1" ht="22.5" hidden="1" customHeight="1" outlineLevel="1" x14ac:dyDescent="0.25">
      <c r="A2211" s="4">
        <v>261</v>
      </c>
      <c r="B2211" s="4" t="s">
        <v>16</v>
      </c>
      <c r="C2211" s="38" t="s">
        <v>2924</v>
      </c>
      <c r="D2211" s="4">
        <v>2022</v>
      </c>
      <c r="E2211" s="4" t="s">
        <v>12</v>
      </c>
      <c r="F2211" s="4">
        <v>5</v>
      </c>
      <c r="G2211" s="4">
        <v>25</v>
      </c>
      <c r="H2211" s="4">
        <v>35</v>
      </c>
      <c r="I2211" s="201"/>
      <c r="J2211" s="201"/>
    </row>
    <row r="2212" spans="1:10" s="5" customFormat="1" ht="22.5" hidden="1" customHeight="1" outlineLevel="1" x14ac:dyDescent="0.25">
      <c r="A2212" s="4">
        <v>302</v>
      </c>
      <c r="B2212" s="4" t="s">
        <v>16</v>
      </c>
      <c r="C2212" s="38" t="s">
        <v>2866</v>
      </c>
      <c r="D2212" s="4">
        <v>2022</v>
      </c>
      <c r="E2212" s="4" t="s">
        <v>12</v>
      </c>
      <c r="F2212" s="4">
        <v>300</v>
      </c>
      <c r="G2212" s="4">
        <v>150</v>
      </c>
      <c r="H2212" s="4">
        <v>170</v>
      </c>
      <c r="I2212" s="201"/>
      <c r="J2212" s="201"/>
    </row>
    <row r="2213" spans="1:10" s="5" customFormat="1" ht="22.5" hidden="1" customHeight="1" outlineLevel="1" x14ac:dyDescent="0.25">
      <c r="A2213" s="4">
        <v>400</v>
      </c>
      <c r="B2213" s="4" t="s">
        <v>16</v>
      </c>
      <c r="C2213" s="38" t="s">
        <v>2868</v>
      </c>
      <c r="D2213" s="4">
        <v>2022</v>
      </c>
      <c r="E2213" s="4" t="s">
        <v>12</v>
      </c>
      <c r="F2213" s="4">
        <v>3</v>
      </c>
      <c r="G2213" s="4">
        <v>300</v>
      </c>
      <c r="H2213" s="4">
        <v>110</v>
      </c>
      <c r="I2213" s="201"/>
      <c r="J2213" s="201"/>
    </row>
    <row r="2214" spans="1:10" s="5" customFormat="1" ht="22.5" hidden="1" customHeight="1" outlineLevel="1" x14ac:dyDescent="0.25">
      <c r="A2214" s="4">
        <v>402</v>
      </c>
      <c r="B2214" s="4" t="s">
        <v>16</v>
      </c>
      <c r="C2214" s="38" t="s">
        <v>2869</v>
      </c>
      <c r="D2214" s="4">
        <v>2022</v>
      </c>
      <c r="E2214" s="4" t="s">
        <v>12</v>
      </c>
      <c r="F2214" s="4">
        <v>802</v>
      </c>
      <c r="G2214" s="4">
        <v>447</v>
      </c>
      <c r="H2214" s="4">
        <v>2024</v>
      </c>
      <c r="I2214" s="201"/>
      <c r="J2214" s="201"/>
    </row>
    <row r="2215" spans="1:10" s="5" customFormat="1" ht="22.5" hidden="1" customHeight="1" outlineLevel="1" x14ac:dyDescent="0.25">
      <c r="A2215" s="4">
        <v>399</v>
      </c>
      <c r="B2215" s="4" t="s">
        <v>16</v>
      </c>
      <c r="C2215" s="38" t="s">
        <v>2925</v>
      </c>
      <c r="D2215" s="4">
        <v>2022</v>
      </c>
      <c r="E2215" s="4" t="s">
        <v>12</v>
      </c>
      <c r="F2215" s="4">
        <v>6</v>
      </c>
      <c r="G2215" s="4">
        <v>150</v>
      </c>
      <c r="H2215" s="4">
        <v>100</v>
      </c>
      <c r="I2215" s="201"/>
      <c r="J2215" s="201"/>
    </row>
    <row r="2216" spans="1:10" s="5" customFormat="1" ht="22.5" hidden="1" customHeight="1" outlineLevel="1" x14ac:dyDescent="0.25">
      <c r="A2216" s="4">
        <v>431</v>
      </c>
      <c r="B2216" s="4" t="s">
        <v>16</v>
      </c>
      <c r="C2216" s="38" t="s">
        <v>2870</v>
      </c>
      <c r="D2216" s="4">
        <v>2022</v>
      </c>
      <c r="E2216" s="4" t="s">
        <v>12</v>
      </c>
      <c r="F2216" s="4">
        <v>1649</v>
      </c>
      <c r="G2216" s="4">
        <v>405</v>
      </c>
      <c r="H2216" s="4">
        <v>3878</v>
      </c>
      <c r="I2216" s="201"/>
      <c r="J2216" s="201"/>
    </row>
    <row r="2217" spans="1:10" s="5" customFormat="1" ht="22.5" hidden="1" customHeight="1" outlineLevel="1" x14ac:dyDescent="0.25">
      <c r="A2217" s="4">
        <v>423</v>
      </c>
      <c r="B2217" s="4" t="s">
        <v>16</v>
      </c>
      <c r="C2217" s="38" t="s">
        <v>2871</v>
      </c>
      <c r="D2217" s="4">
        <v>2022</v>
      </c>
      <c r="E2217" s="4" t="s">
        <v>12</v>
      </c>
      <c r="F2217" s="4">
        <v>257</v>
      </c>
      <c r="G2217" s="4">
        <v>45</v>
      </c>
      <c r="H2217" s="4">
        <v>532</v>
      </c>
      <c r="I2217" s="201"/>
      <c r="J2217" s="201"/>
    </row>
    <row r="2218" spans="1:10" s="5" customFormat="1" ht="22.5" hidden="1" customHeight="1" outlineLevel="1" x14ac:dyDescent="0.25">
      <c r="A2218" s="4">
        <v>424</v>
      </c>
      <c r="B2218" s="4" t="s">
        <v>16</v>
      </c>
      <c r="C2218" s="38" t="s">
        <v>2872</v>
      </c>
      <c r="D2218" s="4">
        <v>2022</v>
      </c>
      <c r="E2218" s="4" t="s">
        <v>12</v>
      </c>
      <c r="F2218" s="4">
        <v>32</v>
      </c>
      <c r="G2218" s="4">
        <v>15</v>
      </c>
      <c r="H2218" s="4">
        <v>139</v>
      </c>
      <c r="I2218" s="201"/>
      <c r="J2218" s="201"/>
    </row>
    <row r="2219" spans="1:10" s="5" customFormat="1" ht="22.5" hidden="1" customHeight="1" outlineLevel="1" x14ac:dyDescent="0.25">
      <c r="A2219" s="4">
        <v>297</v>
      </c>
      <c r="B2219" s="4" t="s">
        <v>16</v>
      </c>
      <c r="C2219" s="38" t="s">
        <v>2926</v>
      </c>
      <c r="D2219" s="4">
        <v>2022</v>
      </c>
      <c r="E2219" s="4" t="s">
        <v>12</v>
      </c>
      <c r="F2219" s="4">
        <v>130</v>
      </c>
      <c r="G2219" s="4">
        <v>15</v>
      </c>
      <c r="H2219" s="4">
        <v>148</v>
      </c>
      <c r="I2219" s="201"/>
      <c r="J2219" s="201"/>
    </row>
    <row r="2220" spans="1:10" s="5" customFormat="1" ht="22.5" hidden="1" customHeight="1" outlineLevel="1" x14ac:dyDescent="0.25">
      <c r="A2220" s="4">
        <v>295</v>
      </c>
      <c r="B2220" s="4" t="s">
        <v>16</v>
      </c>
      <c r="C2220" s="38" t="s">
        <v>2927</v>
      </c>
      <c r="D2220" s="4">
        <v>2022</v>
      </c>
      <c r="E2220" s="4" t="s">
        <v>12</v>
      </c>
      <c r="F2220" s="4">
        <v>60</v>
      </c>
      <c r="G2220" s="4">
        <v>15</v>
      </c>
      <c r="H2220" s="4">
        <v>75</v>
      </c>
      <c r="I2220" s="201"/>
      <c r="J2220" s="201"/>
    </row>
    <row r="2221" spans="1:10" s="5" customFormat="1" ht="22.5" hidden="1" customHeight="1" outlineLevel="1" x14ac:dyDescent="0.25">
      <c r="A2221" s="4">
        <v>303</v>
      </c>
      <c r="B2221" s="4" t="s">
        <v>16</v>
      </c>
      <c r="C2221" s="38" t="s">
        <v>2928</v>
      </c>
      <c r="D2221" s="4">
        <v>2022</v>
      </c>
      <c r="E2221" s="4" t="s">
        <v>12</v>
      </c>
      <c r="F2221" s="4">
        <v>60</v>
      </c>
      <c r="G2221" s="4">
        <v>15</v>
      </c>
      <c r="H2221" s="4">
        <v>73</v>
      </c>
      <c r="I2221" s="201"/>
      <c r="J2221" s="201"/>
    </row>
    <row r="2222" spans="1:10" s="5" customFormat="1" ht="22.5" hidden="1" customHeight="1" outlineLevel="1" x14ac:dyDescent="0.25">
      <c r="A2222" s="4">
        <v>301</v>
      </c>
      <c r="B2222" s="4" t="s">
        <v>16</v>
      </c>
      <c r="C2222" s="38" t="s">
        <v>2929</v>
      </c>
      <c r="D2222" s="4">
        <v>2022</v>
      </c>
      <c r="E2222" s="4" t="s">
        <v>12</v>
      </c>
      <c r="F2222" s="4">
        <v>50</v>
      </c>
      <c r="G2222" s="4">
        <v>15</v>
      </c>
      <c r="H2222" s="4">
        <v>72</v>
      </c>
      <c r="I2222" s="201"/>
      <c r="J2222" s="201"/>
    </row>
    <row r="2223" spans="1:10" s="5" customFormat="1" ht="22.5" hidden="1" customHeight="1" outlineLevel="1" x14ac:dyDescent="0.25">
      <c r="A2223" s="4">
        <v>304</v>
      </c>
      <c r="B2223" s="4" t="s">
        <v>16</v>
      </c>
      <c r="C2223" s="38" t="s">
        <v>2930</v>
      </c>
      <c r="D2223" s="4">
        <v>2022</v>
      </c>
      <c r="E2223" s="4" t="s">
        <v>12</v>
      </c>
      <c r="F2223" s="4">
        <v>90</v>
      </c>
      <c r="G2223" s="4">
        <v>15</v>
      </c>
      <c r="H2223" s="4">
        <v>122</v>
      </c>
      <c r="I2223" s="201"/>
      <c r="J2223" s="201"/>
    </row>
    <row r="2224" spans="1:10" s="5" customFormat="1" ht="22.5" hidden="1" customHeight="1" outlineLevel="1" x14ac:dyDescent="0.25">
      <c r="A2224" s="4">
        <v>432</v>
      </c>
      <c r="B2224" s="4" t="s">
        <v>16</v>
      </c>
      <c r="C2224" s="38" t="s">
        <v>2874</v>
      </c>
      <c r="D2224" s="4">
        <v>2022</v>
      </c>
      <c r="E2224" s="4" t="s">
        <v>12</v>
      </c>
      <c r="F2224" s="4">
        <v>132</v>
      </c>
      <c r="G2224" s="4">
        <v>15</v>
      </c>
      <c r="H2224" s="4">
        <v>271</v>
      </c>
      <c r="I2224" s="201"/>
      <c r="J2224" s="201"/>
    </row>
    <row r="2225" spans="1:10" s="5" customFormat="1" ht="22.5" hidden="1" customHeight="1" outlineLevel="1" x14ac:dyDescent="0.25">
      <c r="A2225" s="4">
        <v>2818</v>
      </c>
      <c r="B2225" s="6" t="s">
        <v>16</v>
      </c>
      <c r="C2225" s="38" t="s">
        <v>9048</v>
      </c>
      <c r="D2225" s="6">
        <v>2023</v>
      </c>
      <c r="E2225" s="6" t="s">
        <v>12</v>
      </c>
      <c r="F2225" s="6">
        <v>493</v>
      </c>
      <c r="G2225" s="40">
        <v>240</v>
      </c>
      <c r="H2225" s="40">
        <v>1779.83412</v>
      </c>
      <c r="I2225" s="212"/>
      <c r="J2225" s="212"/>
    </row>
    <row r="2226" spans="1:10" s="5" customFormat="1" ht="22.5" hidden="1" customHeight="1" outlineLevel="1" x14ac:dyDescent="0.25">
      <c r="A2226" s="4">
        <v>3090</v>
      </c>
      <c r="B2226" s="6" t="s">
        <v>16</v>
      </c>
      <c r="C2226" s="38" t="s">
        <v>9049</v>
      </c>
      <c r="D2226" s="6">
        <v>2023</v>
      </c>
      <c r="E2226" s="6" t="s">
        <v>12</v>
      </c>
      <c r="F2226" s="6">
        <v>6</v>
      </c>
      <c r="G2226" s="40">
        <v>150</v>
      </c>
      <c r="H2226" s="40">
        <v>50.278169999999996</v>
      </c>
      <c r="I2226" s="212"/>
      <c r="J2226" s="212"/>
    </row>
    <row r="2227" spans="1:10" s="5" customFormat="1" ht="22.5" hidden="1" customHeight="1" outlineLevel="1" x14ac:dyDescent="0.25">
      <c r="A2227" s="4">
        <v>4162</v>
      </c>
      <c r="B2227" s="6" t="s">
        <v>16</v>
      </c>
      <c r="C2227" s="38" t="s">
        <v>9116</v>
      </c>
      <c r="D2227" s="6">
        <v>2023</v>
      </c>
      <c r="E2227" s="6" t="s">
        <v>12</v>
      </c>
      <c r="F2227" s="6">
        <v>6</v>
      </c>
      <c r="G2227" s="40">
        <v>140.5</v>
      </c>
      <c r="H2227" s="40">
        <v>100.70222</v>
      </c>
      <c r="I2227" s="212"/>
      <c r="J2227" s="212"/>
    </row>
    <row r="2228" spans="1:10" s="5" customFormat="1" ht="22.5" hidden="1" customHeight="1" outlineLevel="1" x14ac:dyDescent="0.25">
      <c r="A2228" s="4">
        <v>3038</v>
      </c>
      <c r="B2228" s="6" t="s">
        <v>16</v>
      </c>
      <c r="C2228" s="38" t="s">
        <v>9117</v>
      </c>
      <c r="D2228" s="6">
        <v>2023</v>
      </c>
      <c r="E2228" s="6" t="s">
        <v>12</v>
      </c>
      <c r="F2228" s="6">
        <v>6</v>
      </c>
      <c r="G2228" s="40">
        <v>150</v>
      </c>
      <c r="H2228" s="40">
        <v>74.116370000000003</v>
      </c>
      <c r="I2228" s="212"/>
      <c r="J2228" s="212"/>
    </row>
    <row r="2229" spans="1:10" s="5" customFormat="1" ht="22.5" hidden="1" customHeight="1" outlineLevel="1" x14ac:dyDescent="0.25">
      <c r="A2229" s="4">
        <v>3083</v>
      </c>
      <c r="B2229" s="6" t="s">
        <v>16</v>
      </c>
      <c r="C2229" s="38" t="s">
        <v>9118</v>
      </c>
      <c r="D2229" s="6">
        <v>2023</v>
      </c>
      <c r="E2229" s="6" t="s">
        <v>12</v>
      </c>
      <c r="F2229" s="6">
        <v>6</v>
      </c>
      <c r="G2229" s="40">
        <v>150</v>
      </c>
      <c r="H2229" s="40">
        <v>68.637840000000011</v>
      </c>
      <c r="I2229" s="212"/>
      <c r="J2229" s="212"/>
    </row>
    <row r="2230" spans="1:10" s="5" customFormat="1" ht="22.5" hidden="1" customHeight="1" outlineLevel="1" x14ac:dyDescent="0.25">
      <c r="A2230" s="4">
        <v>3195</v>
      </c>
      <c r="B2230" s="6" t="s">
        <v>16</v>
      </c>
      <c r="C2230" s="38" t="s">
        <v>9119</v>
      </c>
      <c r="D2230" s="6">
        <v>2023</v>
      </c>
      <c r="E2230" s="6" t="s">
        <v>12</v>
      </c>
      <c r="F2230" s="6">
        <v>650</v>
      </c>
      <c r="G2230" s="40">
        <v>15</v>
      </c>
      <c r="H2230" s="40">
        <v>1136.347</v>
      </c>
      <c r="I2230" s="212"/>
      <c r="J2230" s="212"/>
    </row>
    <row r="2231" spans="1:10" s="5" customFormat="1" ht="22.5" hidden="1" customHeight="1" outlineLevel="1" x14ac:dyDescent="0.25">
      <c r="A2231" s="4">
        <v>3082</v>
      </c>
      <c r="B2231" s="6" t="s">
        <v>16</v>
      </c>
      <c r="C2231" s="38" t="s">
        <v>9120</v>
      </c>
      <c r="D2231" s="6">
        <v>2023</v>
      </c>
      <c r="E2231" s="6" t="s">
        <v>12</v>
      </c>
      <c r="F2231" s="6">
        <v>313</v>
      </c>
      <c r="G2231" s="40">
        <v>200</v>
      </c>
      <c r="H2231" s="40">
        <v>543.84500000000003</v>
      </c>
      <c r="I2231" s="212"/>
      <c r="J2231" s="212"/>
    </row>
    <row r="2232" spans="1:10" s="5" customFormat="1" ht="22.5" hidden="1" customHeight="1" outlineLevel="1" x14ac:dyDescent="0.25">
      <c r="A2232" s="4">
        <v>675</v>
      </c>
      <c r="B2232" s="6" t="s">
        <v>16</v>
      </c>
      <c r="C2232" s="38" t="s">
        <v>9121</v>
      </c>
      <c r="D2232" s="6">
        <v>2023</v>
      </c>
      <c r="E2232" s="6" t="s">
        <v>12</v>
      </c>
      <c r="F2232" s="6">
        <v>493</v>
      </c>
      <c r="G2232" s="40">
        <v>45</v>
      </c>
      <c r="H2232" s="40">
        <v>650.62199999999996</v>
      </c>
      <c r="I2232" s="212"/>
      <c r="J2232" s="212"/>
    </row>
    <row r="2233" spans="1:10" s="5" customFormat="1" ht="22.5" hidden="1" customHeight="1" outlineLevel="1" x14ac:dyDescent="0.25">
      <c r="A2233" s="4">
        <v>783</v>
      </c>
      <c r="B2233" s="6" t="s">
        <v>16</v>
      </c>
      <c r="C2233" s="38" t="s">
        <v>9122</v>
      </c>
      <c r="D2233" s="6">
        <v>2023</v>
      </c>
      <c r="E2233" s="6" t="s">
        <v>12</v>
      </c>
      <c r="F2233" s="6">
        <v>267</v>
      </c>
      <c r="G2233" s="40">
        <v>30</v>
      </c>
      <c r="H2233" s="40">
        <v>347.26499999999999</v>
      </c>
      <c r="I2233" s="212"/>
      <c r="J2233" s="212"/>
    </row>
    <row r="2234" spans="1:10" s="5" customFormat="1" ht="22.5" hidden="1" customHeight="1" outlineLevel="1" x14ac:dyDescent="0.25">
      <c r="A2234" s="4">
        <v>3066</v>
      </c>
      <c r="B2234" s="6" t="s">
        <v>16</v>
      </c>
      <c r="C2234" s="38" t="s">
        <v>9123</v>
      </c>
      <c r="D2234" s="6">
        <v>2023</v>
      </c>
      <c r="E2234" s="6" t="s">
        <v>12</v>
      </c>
      <c r="F2234" s="6">
        <v>5</v>
      </c>
      <c r="G2234" s="40">
        <v>150</v>
      </c>
      <c r="H2234" s="40">
        <v>84.783000000000001</v>
      </c>
      <c r="I2234" s="212"/>
      <c r="J2234" s="212"/>
    </row>
    <row r="2235" spans="1:10" s="5" customFormat="1" ht="22.5" hidden="1" customHeight="1" outlineLevel="1" x14ac:dyDescent="0.25">
      <c r="A2235" s="4">
        <v>3070</v>
      </c>
      <c r="B2235" s="6" t="s">
        <v>16</v>
      </c>
      <c r="C2235" s="38" t="s">
        <v>9124</v>
      </c>
      <c r="D2235" s="6">
        <v>2023</v>
      </c>
      <c r="E2235" s="6" t="s">
        <v>12</v>
      </c>
      <c r="F2235" s="6">
        <v>5</v>
      </c>
      <c r="G2235" s="40">
        <v>150</v>
      </c>
      <c r="H2235" s="40">
        <v>94.423000000000002</v>
      </c>
      <c r="I2235" s="212"/>
      <c r="J2235" s="212"/>
    </row>
    <row r="2236" spans="1:10" s="5" customFormat="1" ht="22.5" hidden="1" customHeight="1" outlineLevel="1" x14ac:dyDescent="0.25">
      <c r="A2236" s="4">
        <v>3084</v>
      </c>
      <c r="B2236" s="6" t="s">
        <v>16</v>
      </c>
      <c r="C2236" s="38" t="s">
        <v>9125</v>
      </c>
      <c r="D2236" s="6">
        <v>2023</v>
      </c>
      <c r="E2236" s="6" t="s">
        <v>12</v>
      </c>
      <c r="F2236" s="6">
        <v>50</v>
      </c>
      <c r="G2236" s="40">
        <v>150</v>
      </c>
      <c r="H2236" s="40">
        <v>171.512</v>
      </c>
      <c r="I2236" s="212"/>
      <c r="J2236" s="212"/>
    </row>
    <row r="2237" spans="1:10" s="5" customFormat="1" ht="22.5" hidden="1" customHeight="1" outlineLevel="1" x14ac:dyDescent="0.25">
      <c r="A2237" s="4">
        <v>3099</v>
      </c>
      <c r="B2237" s="6" t="s">
        <v>16</v>
      </c>
      <c r="C2237" s="38" t="s">
        <v>9126</v>
      </c>
      <c r="D2237" s="6">
        <v>2023</v>
      </c>
      <c r="E2237" s="6" t="s">
        <v>12</v>
      </c>
      <c r="F2237" s="6">
        <v>320</v>
      </c>
      <c r="G2237" s="40">
        <v>145</v>
      </c>
      <c r="H2237" s="40">
        <v>254.54</v>
      </c>
      <c r="I2237" s="212"/>
      <c r="J2237" s="212"/>
    </row>
    <row r="2238" spans="1:10" s="5" customFormat="1" ht="22.5" hidden="1" customHeight="1" outlineLevel="1" x14ac:dyDescent="0.25">
      <c r="A2238" s="4">
        <v>3119</v>
      </c>
      <c r="B2238" s="6" t="s">
        <v>16</v>
      </c>
      <c r="C2238" s="38" t="s">
        <v>9127</v>
      </c>
      <c r="D2238" s="6">
        <v>2023</v>
      </c>
      <c r="E2238" s="6" t="s">
        <v>12</v>
      </c>
      <c r="F2238" s="6">
        <v>5</v>
      </c>
      <c r="G2238" s="40">
        <v>150</v>
      </c>
      <c r="H2238" s="40">
        <v>86.016999999999996</v>
      </c>
      <c r="I2238" s="212"/>
      <c r="J2238" s="212"/>
    </row>
    <row r="2239" spans="1:10" s="5" customFormat="1" ht="22.5" hidden="1" customHeight="1" outlineLevel="1" x14ac:dyDescent="0.25">
      <c r="A2239" s="4">
        <v>4833</v>
      </c>
      <c r="B2239" s="6" t="s">
        <v>16</v>
      </c>
      <c r="C2239" s="38" t="s">
        <v>9128</v>
      </c>
      <c r="D2239" s="6">
        <v>2023</v>
      </c>
      <c r="E2239" s="6" t="s">
        <v>12</v>
      </c>
      <c r="F2239" s="6">
        <v>7</v>
      </c>
      <c r="G2239" s="40">
        <v>150</v>
      </c>
      <c r="H2239" s="40">
        <v>101.00700000000001</v>
      </c>
      <c r="I2239" s="212"/>
      <c r="J2239" s="212"/>
    </row>
    <row r="2240" spans="1:10" s="5" customFormat="1" ht="22.5" hidden="1" customHeight="1" outlineLevel="1" x14ac:dyDescent="0.25">
      <c r="A2240" s="4">
        <v>3158</v>
      </c>
      <c r="B2240" s="6" t="s">
        <v>16</v>
      </c>
      <c r="C2240" s="38" t="s">
        <v>9129</v>
      </c>
      <c r="D2240" s="6">
        <v>2023</v>
      </c>
      <c r="E2240" s="6" t="s">
        <v>12</v>
      </c>
      <c r="F2240" s="6">
        <v>5</v>
      </c>
      <c r="G2240" s="40">
        <v>150</v>
      </c>
      <c r="H2240" s="40">
        <v>92.695999999999998</v>
      </c>
      <c r="I2240" s="212"/>
      <c r="J2240" s="212"/>
    </row>
    <row r="2241" spans="1:10" s="5" customFormat="1" ht="22.5" hidden="1" customHeight="1" outlineLevel="1" x14ac:dyDescent="0.25">
      <c r="A2241" s="4">
        <v>3343</v>
      </c>
      <c r="B2241" s="6" t="s">
        <v>16</v>
      </c>
      <c r="C2241" s="38" t="s">
        <v>9050</v>
      </c>
      <c r="D2241" s="6">
        <v>2023</v>
      </c>
      <c r="E2241" s="6" t="s">
        <v>12</v>
      </c>
      <c r="F2241" s="6">
        <v>3</v>
      </c>
      <c r="G2241" s="40">
        <v>150</v>
      </c>
      <c r="H2241" s="40">
        <v>110.90382</v>
      </c>
      <c r="I2241" s="212"/>
      <c r="J2241" s="212"/>
    </row>
    <row r="2242" spans="1:10" s="5" customFormat="1" ht="22.5" hidden="1" customHeight="1" outlineLevel="1" x14ac:dyDescent="0.25">
      <c r="A2242" s="4">
        <v>3035</v>
      </c>
      <c r="B2242" s="6" t="s">
        <v>16</v>
      </c>
      <c r="C2242" s="38" t="s">
        <v>9051</v>
      </c>
      <c r="D2242" s="6">
        <v>2023</v>
      </c>
      <c r="E2242" s="6" t="s">
        <v>12</v>
      </c>
      <c r="F2242" s="6">
        <v>66</v>
      </c>
      <c r="G2242" s="40">
        <v>120</v>
      </c>
      <c r="H2242" s="40">
        <v>330.19470999999999</v>
      </c>
      <c r="I2242" s="212"/>
      <c r="J2242" s="212"/>
    </row>
    <row r="2243" spans="1:10" s="5" customFormat="1" ht="22.5" hidden="1" customHeight="1" outlineLevel="1" x14ac:dyDescent="0.25">
      <c r="A2243" s="4">
        <v>3347</v>
      </c>
      <c r="B2243" s="6" t="s">
        <v>16</v>
      </c>
      <c r="C2243" s="38" t="s">
        <v>9053</v>
      </c>
      <c r="D2243" s="6">
        <v>2023</v>
      </c>
      <c r="E2243" s="6" t="s">
        <v>12</v>
      </c>
      <c r="F2243" s="6">
        <v>3</v>
      </c>
      <c r="G2243" s="40">
        <v>150</v>
      </c>
      <c r="H2243" s="40">
        <v>129.61840999999998</v>
      </c>
      <c r="I2243" s="212"/>
      <c r="J2243" s="212"/>
    </row>
    <row r="2244" spans="1:10" s="5" customFormat="1" ht="22.5" hidden="1" customHeight="1" outlineLevel="1" x14ac:dyDescent="0.25">
      <c r="A2244" s="4">
        <v>3050</v>
      </c>
      <c r="B2244" s="6" t="s">
        <v>16</v>
      </c>
      <c r="C2244" s="38" t="s">
        <v>9054</v>
      </c>
      <c r="D2244" s="6">
        <v>2023</v>
      </c>
      <c r="E2244" s="6" t="s">
        <v>12</v>
      </c>
      <c r="F2244" s="6">
        <v>11</v>
      </c>
      <c r="G2244" s="40">
        <v>150</v>
      </c>
      <c r="H2244" s="40">
        <v>114.51326</v>
      </c>
      <c r="I2244" s="212"/>
      <c r="J2244" s="212"/>
    </row>
    <row r="2245" spans="1:10" s="5" customFormat="1" ht="22.5" hidden="1" customHeight="1" outlineLevel="1" x14ac:dyDescent="0.25">
      <c r="A2245" s="4">
        <v>3080</v>
      </c>
      <c r="B2245" s="6" t="s">
        <v>16</v>
      </c>
      <c r="C2245" s="38" t="s">
        <v>9055</v>
      </c>
      <c r="D2245" s="6">
        <v>2023</v>
      </c>
      <c r="E2245" s="6" t="s">
        <v>12</v>
      </c>
      <c r="F2245" s="6">
        <v>3</v>
      </c>
      <c r="G2245" s="40">
        <v>130</v>
      </c>
      <c r="H2245" s="40">
        <v>112.02450999999999</v>
      </c>
      <c r="I2245" s="212"/>
      <c r="J2245" s="212"/>
    </row>
    <row r="2246" spans="1:10" s="5" customFormat="1" ht="22.5" hidden="1" customHeight="1" outlineLevel="1" x14ac:dyDescent="0.25">
      <c r="A2246" s="4">
        <v>4239</v>
      </c>
      <c r="B2246" s="6" t="s">
        <v>16</v>
      </c>
      <c r="C2246" s="38" t="s">
        <v>9056</v>
      </c>
      <c r="D2246" s="6">
        <v>2023</v>
      </c>
      <c r="E2246" s="6" t="s">
        <v>12</v>
      </c>
      <c r="F2246" s="6">
        <v>7</v>
      </c>
      <c r="G2246" s="40">
        <v>150</v>
      </c>
      <c r="H2246" s="40">
        <v>101.73179</v>
      </c>
      <c r="I2246" s="212"/>
      <c r="J2246" s="212"/>
    </row>
    <row r="2247" spans="1:10" s="5" customFormat="1" ht="22.5" hidden="1" customHeight="1" outlineLevel="1" x14ac:dyDescent="0.25">
      <c r="A2247" s="4">
        <v>3087</v>
      </c>
      <c r="B2247" s="6" t="s">
        <v>16</v>
      </c>
      <c r="C2247" s="38" t="s">
        <v>9057</v>
      </c>
      <c r="D2247" s="6">
        <v>2023</v>
      </c>
      <c r="E2247" s="6" t="s">
        <v>12</v>
      </c>
      <c r="F2247" s="6">
        <v>6</v>
      </c>
      <c r="G2247" s="40">
        <v>150</v>
      </c>
      <c r="H2247" s="40">
        <v>134.51443</v>
      </c>
      <c r="I2247" s="212"/>
      <c r="J2247" s="212"/>
    </row>
    <row r="2248" spans="1:10" s="5" customFormat="1" ht="22.5" hidden="1" customHeight="1" outlineLevel="1" x14ac:dyDescent="0.25">
      <c r="A2248" s="4">
        <v>3341</v>
      </c>
      <c r="B2248" s="6" t="s">
        <v>16</v>
      </c>
      <c r="C2248" s="38" t="s">
        <v>9058</v>
      </c>
      <c r="D2248" s="6">
        <v>2023</v>
      </c>
      <c r="E2248" s="6" t="s">
        <v>12</v>
      </c>
      <c r="F2248" s="6">
        <v>5</v>
      </c>
      <c r="G2248" s="40">
        <v>100</v>
      </c>
      <c r="H2248" s="40">
        <v>111.33493</v>
      </c>
      <c r="I2248" s="212"/>
      <c r="J2248" s="212"/>
    </row>
    <row r="2249" spans="1:10" s="5" customFormat="1" ht="22.5" hidden="1" customHeight="1" outlineLevel="1" x14ac:dyDescent="0.25">
      <c r="A2249" s="4">
        <v>4240</v>
      </c>
      <c r="B2249" s="6" t="s">
        <v>16</v>
      </c>
      <c r="C2249" s="38" t="s">
        <v>9059</v>
      </c>
      <c r="D2249" s="6">
        <v>2023</v>
      </c>
      <c r="E2249" s="6" t="s">
        <v>12</v>
      </c>
      <c r="F2249" s="6">
        <v>5</v>
      </c>
      <c r="G2249" s="40">
        <v>150</v>
      </c>
      <c r="H2249" s="40">
        <v>75.070229999999995</v>
      </c>
      <c r="I2249" s="212"/>
      <c r="J2249" s="212"/>
    </row>
    <row r="2250" spans="1:10" s="5" customFormat="1" ht="22.5" hidden="1" customHeight="1" outlineLevel="1" x14ac:dyDescent="0.25">
      <c r="A2250" s="4">
        <v>4241</v>
      </c>
      <c r="B2250" s="6" t="s">
        <v>16</v>
      </c>
      <c r="C2250" s="38" t="s">
        <v>9061</v>
      </c>
      <c r="D2250" s="6">
        <v>2023</v>
      </c>
      <c r="E2250" s="6" t="s">
        <v>12</v>
      </c>
      <c r="F2250" s="6">
        <v>18</v>
      </c>
      <c r="G2250" s="40">
        <v>150</v>
      </c>
      <c r="H2250" s="40">
        <v>129.15447999999998</v>
      </c>
      <c r="I2250" s="212"/>
      <c r="J2250" s="212"/>
    </row>
    <row r="2251" spans="1:10" s="5" customFormat="1" ht="22.5" hidden="1" customHeight="1" outlineLevel="1" x14ac:dyDescent="0.25">
      <c r="A2251" s="4">
        <v>4237</v>
      </c>
      <c r="B2251" s="6" t="s">
        <v>16</v>
      </c>
      <c r="C2251" s="38" t="s">
        <v>9130</v>
      </c>
      <c r="D2251" s="6">
        <v>2023</v>
      </c>
      <c r="E2251" s="6" t="s">
        <v>12</v>
      </c>
      <c r="F2251" s="6">
        <v>1020</v>
      </c>
      <c r="G2251" s="40">
        <v>700</v>
      </c>
      <c r="H2251" s="40">
        <v>1807.85043</v>
      </c>
      <c r="I2251" s="212"/>
      <c r="J2251" s="212"/>
    </row>
    <row r="2252" spans="1:10" s="5" customFormat="1" ht="22.5" hidden="1" customHeight="1" outlineLevel="1" x14ac:dyDescent="0.25">
      <c r="A2252" s="4">
        <v>3149</v>
      </c>
      <c r="B2252" s="6" t="s">
        <v>16</v>
      </c>
      <c r="C2252" s="38" t="s">
        <v>9062</v>
      </c>
      <c r="D2252" s="6">
        <v>2023</v>
      </c>
      <c r="E2252" s="6" t="s">
        <v>12</v>
      </c>
      <c r="F2252" s="6">
        <v>5</v>
      </c>
      <c r="G2252" s="40">
        <v>100</v>
      </c>
      <c r="H2252" s="40">
        <v>67.759399999999999</v>
      </c>
      <c r="I2252" s="212"/>
      <c r="J2252" s="212"/>
    </row>
    <row r="2253" spans="1:10" s="5" customFormat="1" ht="22.5" hidden="1" customHeight="1" outlineLevel="1" x14ac:dyDescent="0.25">
      <c r="A2253" s="4">
        <v>4236</v>
      </c>
      <c r="B2253" s="6" t="s">
        <v>16</v>
      </c>
      <c r="C2253" s="38" t="s">
        <v>9131</v>
      </c>
      <c r="D2253" s="6">
        <v>2023</v>
      </c>
      <c r="E2253" s="6" t="s">
        <v>12</v>
      </c>
      <c r="F2253" s="6">
        <v>5</v>
      </c>
      <c r="G2253" s="40">
        <v>135</v>
      </c>
      <c r="H2253" s="40">
        <v>24.589949999999998</v>
      </c>
      <c r="I2253" s="212"/>
      <c r="J2253" s="212"/>
    </row>
    <row r="2254" spans="1:10" s="5" customFormat="1" ht="22.5" hidden="1" customHeight="1" outlineLevel="1" x14ac:dyDescent="0.25">
      <c r="A2254" s="4">
        <v>3374</v>
      </c>
      <c r="B2254" s="6" t="s">
        <v>16</v>
      </c>
      <c r="C2254" s="38" t="s">
        <v>9132</v>
      </c>
      <c r="D2254" s="6">
        <v>2023</v>
      </c>
      <c r="E2254" s="6" t="s">
        <v>12</v>
      </c>
      <c r="F2254" s="6">
        <v>392</v>
      </c>
      <c r="G2254" s="40">
        <v>150</v>
      </c>
      <c r="H2254" s="40">
        <v>234.02634</v>
      </c>
      <c r="I2254" s="212"/>
      <c r="J2254" s="212"/>
    </row>
    <row r="2255" spans="1:10" s="5" customFormat="1" ht="22.5" hidden="1" customHeight="1" outlineLevel="1" x14ac:dyDescent="0.25">
      <c r="A2255" s="4">
        <v>471</v>
      </c>
      <c r="B2255" s="6" t="s">
        <v>16</v>
      </c>
      <c r="C2255" s="38" t="s">
        <v>9070</v>
      </c>
      <c r="D2255" s="6">
        <v>2023</v>
      </c>
      <c r="E2255" s="6" t="s">
        <v>12</v>
      </c>
      <c r="F2255" s="6">
        <v>447</v>
      </c>
      <c r="G2255" s="40">
        <v>140</v>
      </c>
      <c r="H2255" s="40">
        <v>910.02300000000002</v>
      </c>
      <c r="I2255" s="212"/>
      <c r="J2255" s="212"/>
    </row>
    <row r="2256" spans="1:10" s="5" customFormat="1" ht="22.5" hidden="1" customHeight="1" outlineLevel="1" x14ac:dyDescent="0.25">
      <c r="A2256" s="4">
        <v>287</v>
      </c>
      <c r="B2256" s="6" t="s">
        <v>16</v>
      </c>
      <c r="C2256" s="38" t="s">
        <v>9071</v>
      </c>
      <c r="D2256" s="6">
        <v>2023</v>
      </c>
      <c r="E2256" s="6" t="s">
        <v>12</v>
      </c>
      <c r="F2256" s="6">
        <v>265</v>
      </c>
      <c r="G2256" s="40">
        <v>82</v>
      </c>
      <c r="H2256" s="40">
        <v>584.59780999999998</v>
      </c>
      <c r="I2256" s="212"/>
      <c r="J2256" s="212"/>
    </row>
    <row r="2257" spans="1:10" s="5" customFormat="1" ht="22.5" hidden="1" customHeight="1" outlineLevel="1" x14ac:dyDescent="0.25">
      <c r="A2257" s="4">
        <v>459</v>
      </c>
      <c r="B2257" s="6" t="s">
        <v>16</v>
      </c>
      <c r="C2257" s="38" t="s">
        <v>9133</v>
      </c>
      <c r="D2257" s="6">
        <v>2023</v>
      </c>
      <c r="E2257" s="6" t="s">
        <v>12</v>
      </c>
      <c r="F2257" s="6">
        <v>649</v>
      </c>
      <c r="G2257" s="40">
        <v>195</v>
      </c>
      <c r="H2257" s="40">
        <v>1211.4006900000002</v>
      </c>
      <c r="I2257" s="212"/>
      <c r="J2257" s="212"/>
    </row>
    <row r="2258" spans="1:10" s="5" customFormat="1" ht="22.5" hidden="1" customHeight="1" outlineLevel="1" x14ac:dyDescent="0.25">
      <c r="A2258" s="4">
        <v>427</v>
      </c>
      <c r="B2258" s="6" t="s">
        <v>16</v>
      </c>
      <c r="C2258" s="38" t="s">
        <v>9072</v>
      </c>
      <c r="D2258" s="6">
        <v>2023</v>
      </c>
      <c r="E2258" s="6" t="s">
        <v>12</v>
      </c>
      <c r="F2258" s="6">
        <v>632</v>
      </c>
      <c r="G2258" s="40">
        <v>165</v>
      </c>
      <c r="H2258" s="40">
        <v>923.68981999999994</v>
      </c>
      <c r="I2258" s="212"/>
      <c r="J2258" s="212"/>
    </row>
    <row r="2259" spans="1:10" s="5" customFormat="1" ht="22.5" hidden="1" customHeight="1" outlineLevel="1" x14ac:dyDescent="0.25">
      <c r="A2259" s="4">
        <v>472</v>
      </c>
      <c r="B2259" s="6" t="s">
        <v>16</v>
      </c>
      <c r="C2259" s="38" t="s">
        <v>9134</v>
      </c>
      <c r="D2259" s="6">
        <v>2023</v>
      </c>
      <c r="E2259" s="6" t="s">
        <v>12</v>
      </c>
      <c r="F2259" s="6">
        <v>277</v>
      </c>
      <c r="G2259" s="40">
        <v>43</v>
      </c>
      <c r="H2259" s="40">
        <v>533.56717000000003</v>
      </c>
      <c r="I2259" s="212"/>
      <c r="J2259" s="212"/>
    </row>
    <row r="2260" spans="1:10" s="5" customFormat="1" ht="22.5" hidden="1" customHeight="1" outlineLevel="1" x14ac:dyDescent="0.25">
      <c r="A2260" s="4">
        <v>114</v>
      </c>
      <c r="B2260" s="6" t="s">
        <v>16</v>
      </c>
      <c r="C2260" s="38" t="s">
        <v>9135</v>
      </c>
      <c r="D2260" s="6">
        <v>2023</v>
      </c>
      <c r="E2260" s="6" t="s">
        <v>12</v>
      </c>
      <c r="F2260" s="6">
        <v>146</v>
      </c>
      <c r="G2260" s="40">
        <v>12</v>
      </c>
      <c r="H2260" s="40">
        <v>288.62708999999995</v>
      </c>
      <c r="I2260" s="212"/>
      <c r="J2260" s="212"/>
    </row>
    <row r="2261" spans="1:10" s="5" customFormat="1" ht="22.5" hidden="1" customHeight="1" outlineLevel="1" x14ac:dyDescent="0.25">
      <c r="A2261" s="4">
        <v>5053</v>
      </c>
      <c r="B2261" s="6" t="s">
        <v>16</v>
      </c>
      <c r="C2261" s="38" t="s">
        <v>9136</v>
      </c>
      <c r="D2261" s="6">
        <v>2023</v>
      </c>
      <c r="E2261" s="6" t="s">
        <v>12</v>
      </c>
      <c r="F2261" s="6">
        <v>238</v>
      </c>
      <c r="G2261" s="40">
        <v>115</v>
      </c>
      <c r="H2261" s="40">
        <v>532.36866000000009</v>
      </c>
      <c r="I2261" s="212"/>
      <c r="J2261" s="212"/>
    </row>
    <row r="2262" spans="1:10" s="5" customFormat="1" ht="22.5" hidden="1" customHeight="1" outlineLevel="1" x14ac:dyDescent="0.25">
      <c r="A2262" s="4">
        <v>3014</v>
      </c>
      <c r="B2262" s="6" t="s">
        <v>16</v>
      </c>
      <c r="C2262" s="38" t="s">
        <v>9073</v>
      </c>
      <c r="D2262" s="6">
        <v>2023</v>
      </c>
      <c r="E2262" s="6" t="s">
        <v>12</v>
      </c>
      <c r="F2262" s="6">
        <v>98</v>
      </c>
      <c r="G2262" s="40">
        <v>150</v>
      </c>
      <c r="H2262" s="40">
        <v>371.85438999999997</v>
      </c>
      <c r="I2262" s="212"/>
      <c r="J2262" s="212"/>
    </row>
    <row r="2263" spans="1:10" s="5" customFormat="1" ht="22.5" hidden="1" customHeight="1" outlineLevel="1" x14ac:dyDescent="0.25">
      <c r="A2263" s="4">
        <v>2979</v>
      </c>
      <c r="B2263" s="6" t="s">
        <v>16</v>
      </c>
      <c r="C2263" s="38" t="s">
        <v>9137</v>
      </c>
      <c r="D2263" s="6">
        <v>2023</v>
      </c>
      <c r="E2263" s="6" t="s">
        <v>12</v>
      </c>
      <c r="F2263" s="6">
        <v>192</v>
      </c>
      <c r="G2263" s="40">
        <v>150</v>
      </c>
      <c r="H2263" s="40">
        <v>259.63824</v>
      </c>
      <c r="I2263" s="212"/>
      <c r="J2263" s="212"/>
    </row>
    <row r="2264" spans="1:10" s="5" customFormat="1" ht="22.5" hidden="1" customHeight="1" outlineLevel="1" x14ac:dyDescent="0.25">
      <c r="A2264" s="4">
        <v>551</v>
      </c>
      <c r="B2264" s="6" t="s">
        <v>16</v>
      </c>
      <c r="C2264" s="38" t="s">
        <v>9074</v>
      </c>
      <c r="D2264" s="6">
        <v>2023</v>
      </c>
      <c r="E2264" s="6" t="s">
        <v>12</v>
      </c>
      <c r="F2264" s="6">
        <v>1984</v>
      </c>
      <c r="G2264" s="40">
        <v>90</v>
      </c>
      <c r="H2264" s="40">
        <v>3802.71389</v>
      </c>
      <c r="I2264" s="212"/>
      <c r="J2264" s="212"/>
    </row>
    <row r="2265" spans="1:10" s="5" customFormat="1" ht="22.5" hidden="1" customHeight="1" outlineLevel="1" x14ac:dyDescent="0.25">
      <c r="A2265" s="4">
        <v>565</v>
      </c>
      <c r="B2265" s="6" t="s">
        <v>16</v>
      </c>
      <c r="C2265" s="38" t="s">
        <v>9075</v>
      </c>
      <c r="D2265" s="6">
        <v>2023</v>
      </c>
      <c r="E2265" s="6" t="s">
        <v>12</v>
      </c>
      <c r="F2265" s="6">
        <v>1107</v>
      </c>
      <c r="G2265" s="40">
        <v>90</v>
      </c>
      <c r="H2265" s="40">
        <v>2223.15148</v>
      </c>
      <c r="I2265" s="212"/>
      <c r="J2265" s="212"/>
    </row>
    <row r="2266" spans="1:10" s="5" customFormat="1" ht="22.5" hidden="1" customHeight="1" outlineLevel="1" x14ac:dyDescent="0.25">
      <c r="A2266" s="4">
        <v>2969</v>
      </c>
      <c r="B2266" s="6" t="s">
        <v>16</v>
      </c>
      <c r="C2266" s="38" t="s">
        <v>9076</v>
      </c>
      <c r="D2266" s="6">
        <v>2023</v>
      </c>
      <c r="E2266" s="6" t="s">
        <v>12</v>
      </c>
      <c r="F2266" s="6">
        <v>5</v>
      </c>
      <c r="G2266" s="40">
        <v>150</v>
      </c>
      <c r="H2266" s="40">
        <v>141.74661999999998</v>
      </c>
      <c r="I2266" s="212"/>
      <c r="J2266" s="212"/>
    </row>
    <row r="2267" spans="1:10" s="5" customFormat="1" ht="22.5" hidden="1" customHeight="1" outlineLevel="1" x14ac:dyDescent="0.25">
      <c r="A2267" s="4">
        <v>369</v>
      </c>
      <c r="B2267" s="6" t="s">
        <v>16</v>
      </c>
      <c r="C2267" s="38" t="s">
        <v>9138</v>
      </c>
      <c r="D2267" s="6">
        <v>2023</v>
      </c>
      <c r="E2267" s="6" t="s">
        <v>12</v>
      </c>
      <c r="F2267" s="6">
        <v>625</v>
      </c>
      <c r="G2267" s="40">
        <v>62.8</v>
      </c>
      <c r="H2267" s="40">
        <v>1034.50692</v>
      </c>
      <c r="I2267" s="212"/>
      <c r="J2267" s="212"/>
    </row>
    <row r="2268" spans="1:10" s="5" customFormat="1" ht="22.5" hidden="1" customHeight="1" outlineLevel="1" x14ac:dyDescent="0.25">
      <c r="A2268" s="4">
        <v>5160</v>
      </c>
      <c r="B2268" s="6" t="s">
        <v>16</v>
      </c>
      <c r="C2268" s="38" t="s">
        <v>9139</v>
      </c>
      <c r="D2268" s="6">
        <v>2023</v>
      </c>
      <c r="E2268" s="6" t="s">
        <v>12</v>
      </c>
      <c r="F2268" s="6">
        <v>256</v>
      </c>
      <c r="G2268" s="40">
        <v>30</v>
      </c>
      <c r="H2268" s="40">
        <v>399.32326999999998</v>
      </c>
      <c r="I2268" s="212"/>
      <c r="J2268" s="212"/>
    </row>
    <row r="2269" spans="1:10" s="5" customFormat="1" ht="22.5" hidden="1" customHeight="1" outlineLevel="1" x14ac:dyDescent="0.25">
      <c r="A2269" s="4">
        <v>1077</v>
      </c>
      <c r="B2269" s="6" t="s">
        <v>16</v>
      </c>
      <c r="C2269" s="38" t="s">
        <v>9140</v>
      </c>
      <c r="D2269" s="6">
        <v>2023</v>
      </c>
      <c r="E2269" s="6" t="s">
        <v>12</v>
      </c>
      <c r="F2269" s="6">
        <v>183</v>
      </c>
      <c r="G2269" s="40">
        <v>80</v>
      </c>
      <c r="H2269" s="40">
        <v>287.92313000000001</v>
      </c>
      <c r="I2269" s="212"/>
      <c r="J2269" s="212"/>
    </row>
    <row r="2270" spans="1:10" s="5" customFormat="1" ht="22.5" hidden="1" customHeight="1" outlineLevel="1" x14ac:dyDescent="0.25">
      <c r="A2270" s="4">
        <v>736</v>
      </c>
      <c r="B2270" s="6" t="s">
        <v>16</v>
      </c>
      <c r="C2270" s="38" t="s">
        <v>9141</v>
      </c>
      <c r="D2270" s="6">
        <v>2023</v>
      </c>
      <c r="E2270" s="6" t="s">
        <v>12</v>
      </c>
      <c r="F2270" s="6">
        <v>57</v>
      </c>
      <c r="G2270" s="40">
        <v>25</v>
      </c>
      <c r="H2270" s="40">
        <v>99.157250000000005</v>
      </c>
      <c r="I2270" s="212"/>
      <c r="J2270" s="212"/>
    </row>
    <row r="2271" spans="1:10" s="5" customFormat="1" ht="22.5" hidden="1" customHeight="1" outlineLevel="1" x14ac:dyDescent="0.25">
      <c r="A2271" s="4">
        <v>3351</v>
      </c>
      <c r="B2271" s="6" t="s">
        <v>16</v>
      </c>
      <c r="C2271" s="38" t="s">
        <v>9142</v>
      </c>
      <c r="D2271" s="6">
        <v>2023</v>
      </c>
      <c r="E2271" s="6" t="s">
        <v>12</v>
      </c>
      <c r="F2271" s="6">
        <v>161</v>
      </c>
      <c r="G2271" s="40">
        <v>150</v>
      </c>
      <c r="H2271" s="40">
        <v>132.92635999999999</v>
      </c>
      <c r="I2271" s="212"/>
      <c r="J2271" s="212"/>
    </row>
    <row r="2272" spans="1:10" s="5" customFormat="1" ht="22.5" hidden="1" customHeight="1" outlineLevel="1" x14ac:dyDescent="0.25">
      <c r="A2272" s="4">
        <v>303</v>
      </c>
      <c r="B2272" s="6" t="s">
        <v>16</v>
      </c>
      <c r="C2272" s="38" t="s">
        <v>9143</v>
      </c>
      <c r="D2272" s="6">
        <v>2023</v>
      </c>
      <c r="E2272" s="6" t="s">
        <v>12</v>
      </c>
      <c r="F2272" s="6">
        <v>529</v>
      </c>
      <c r="G2272" s="40">
        <v>15</v>
      </c>
      <c r="H2272" s="40">
        <v>963.94842999999992</v>
      </c>
      <c r="I2272" s="212"/>
      <c r="J2272" s="212"/>
    </row>
    <row r="2273" spans="1:10" s="5" customFormat="1" ht="22.5" hidden="1" customHeight="1" outlineLevel="1" x14ac:dyDescent="0.25">
      <c r="A2273" s="4">
        <v>5172</v>
      </c>
      <c r="B2273" s="6" t="s">
        <v>16</v>
      </c>
      <c r="C2273" s="38" t="s">
        <v>9078</v>
      </c>
      <c r="D2273" s="6">
        <v>2023</v>
      </c>
      <c r="E2273" s="6" t="s">
        <v>12</v>
      </c>
      <c r="F2273" s="6">
        <v>1141</v>
      </c>
      <c r="G2273" s="40">
        <v>30</v>
      </c>
      <c r="H2273" s="40">
        <v>2472.8337800000004</v>
      </c>
      <c r="I2273" s="212"/>
      <c r="J2273" s="212"/>
    </row>
    <row r="2274" spans="1:10" s="5" customFormat="1" ht="22.5" hidden="1" customHeight="1" outlineLevel="1" x14ac:dyDescent="0.25">
      <c r="A2274" s="4">
        <v>5174</v>
      </c>
      <c r="B2274" s="6" t="s">
        <v>16</v>
      </c>
      <c r="C2274" s="38" t="s">
        <v>9144</v>
      </c>
      <c r="D2274" s="6">
        <v>2023</v>
      </c>
      <c r="E2274" s="6" t="s">
        <v>12</v>
      </c>
      <c r="F2274" s="6">
        <v>2064</v>
      </c>
      <c r="G2274" s="40">
        <v>100</v>
      </c>
      <c r="H2274" s="40">
        <v>3603.0488699999996</v>
      </c>
      <c r="I2274" s="212"/>
      <c r="J2274" s="212"/>
    </row>
    <row r="2275" spans="1:10" s="5" customFormat="1" ht="22.5" hidden="1" customHeight="1" outlineLevel="1" x14ac:dyDescent="0.25">
      <c r="A2275" s="4">
        <v>820</v>
      </c>
      <c r="B2275" s="6" t="s">
        <v>16</v>
      </c>
      <c r="C2275" s="38" t="s">
        <v>9079</v>
      </c>
      <c r="D2275" s="6">
        <v>2023</v>
      </c>
      <c r="E2275" s="6" t="s">
        <v>12</v>
      </c>
      <c r="F2275" s="6">
        <v>367</v>
      </c>
      <c r="G2275" s="40">
        <v>41</v>
      </c>
      <c r="H2275" s="40">
        <v>948.2936400000001</v>
      </c>
      <c r="I2275" s="212"/>
      <c r="J2275" s="212"/>
    </row>
    <row r="2276" spans="1:10" s="5" customFormat="1" ht="22.5" hidden="1" customHeight="1" outlineLevel="1" x14ac:dyDescent="0.25">
      <c r="A2276" s="4">
        <v>1348</v>
      </c>
      <c r="B2276" s="6" t="s">
        <v>16</v>
      </c>
      <c r="C2276" s="38" t="s">
        <v>9080</v>
      </c>
      <c r="D2276" s="6">
        <v>2023</v>
      </c>
      <c r="E2276" s="6" t="s">
        <v>12</v>
      </c>
      <c r="F2276" s="6">
        <v>439</v>
      </c>
      <c r="G2276" s="40">
        <v>15</v>
      </c>
      <c r="H2276" s="40">
        <v>779.9058</v>
      </c>
      <c r="I2276" s="212"/>
      <c r="J2276" s="212"/>
    </row>
    <row r="2277" spans="1:10" s="5" customFormat="1" ht="22.5" hidden="1" customHeight="1" outlineLevel="1" x14ac:dyDescent="0.25">
      <c r="A2277" s="4">
        <v>3101</v>
      </c>
      <c r="B2277" s="6" t="s">
        <v>16</v>
      </c>
      <c r="C2277" s="38" t="s">
        <v>9081</v>
      </c>
      <c r="D2277" s="6">
        <v>2023</v>
      </c>
      <c r="E2277" s="6" t="s">
        <v>12</v>
      </c>
      <c r="F2277" s="6">
        <v>250</v>
      </c>
      <c r="G2277" s="40">
        <v>150</v>
      </c>
      <c r="H2277" s="40">
        <v>80.428370000000001</v>
      </c>
      <c r="I2277" s="212"/>
      <c r="J2277" s="212"/>
    </row>
    <row r="2278" spans="1:10" s="5" customFormat="1" ht="22.5" hidden="1" customHeight="1" outlineLevel="1" x14ac:dyDescent="0.25">
      <c r="A2278" s="4">
        <v>3097</v>
      </c>
      <c r="B2278" s="6" t="s">
        <v>16</v>
      </c>
      <c r="C2278" s="38" t="s">
        <v>9145</v>
      </c>
      <c r="D2278" s="6">
        <v>2023</v>
      </c>
      <c r="E2278" s="6" t="s">
        <v>12</v>
      </c>
      <c r="F2278" s="6">
        <v>303</v>
      </c>
      <c r="G2278" s="40">
        <v>150</v>
      </c>
      <c r="H2278" s="40">
        <v>692.65278999999998</v>
      </c>
      <c r="I2278" s="212"/>
      <c r="J2278" s="212"/>
    </row>
    <row r="2279" spans="1:10" s="5" customFormat="1" ht="22.5" hidden="1" customHeight="1" outlineLevel="1" x14ac:dyDescent="0.25">
      <c r="A2279" s="4">
        <v>21</v>
      </c>
      <c r="B2279" s="6" t="s">
        <v>16</v>
      </c>
      <c r="C2279" s="38" t="s">
        <v>9146</v>
      </c>
      <c r="D2279" s="6">
        <v>2023</v>
      </c>
      <c r="E2279" s="6" t="s">
        <v>12</v>
      </c>
      <c r="F2279" s="6">
        <v>18</v>
      </c>
      <c r="G2279" s="40">
        <v>160</v>
      </c>
      <c r="H2279" s="40">
        <v>257.15539999999999</v>
      </c>
      <c r="I2279" s="212"/>
      <c r="J2279" s="212"/>
    </row>
    <row r="2280" spans="1:10" s="5" customFormat="1" ht="22.5" hidden="1" customHeight="1" outlineLevel="1" x14ac:dyDescent="0.25">
      <c r="A2280" s="4">
        <v>3130</v>
      </c>
      <c r="B2280" s="6" t="s">
        <v>16</v>
      </c>
      <c r="C2280" s="38" t="s">
        <v>9147</v>
      </c>
      <c r="D2280" s="6">
        <v>2023</v>
      </c>
      <c r="E2280" s="6" t="s">
        <v>12</v>
      </c>
      <c r="F2280" s="6">
        <v>18</v>
      </c>
      <c r="G2280" s="40">
        <v>100</v>
      </c>
      <c r="H2280" s="40">
        <v>109.61923</v>
      </c>
      <c r="I2280" s="212"/>
      <c r="J2280" s="212"/>
    </row>
    <row r="2281" spans="1:10" s="5" customFormat="1" ht="22.5" hidden="1" customHeight="1" outlineLevel="1" x14ac:dyDescent="0.25">
      <c r="A2281" s="4">
        <v>3081</v>
      </c>
      <c r="B2281" s="6" t="s">
        <v>16</v>
      </c>
      <c r="C2281" s="38" t="s">
        <v>9082</v>
      </c>
      <c r="D2281" s="6">
        <v>2023</v>
      </c>
      <c r="E2281" s="6" t="s">
        <v>12</v>
      </c>
      <c r="F2281" s="6">
        <v>13</v>
      </c>
      <c r="G2281" s="40">
        <v>150</v>
      </c>
      <c r="H2281" s="40">
        <v>178.92015000000001</v>
      </c>
      <c r="I2281" s="212"/>
      <c r="J2281" s="212"/>
    </row>
    <row r="2282" spans="1:10" s="5" customFormat="1" ht="22.5" hidden="1" customHeight="1" outlineLevel="1" x14ac:dyDescent="0.25">
      <c r="A2282" s="4">
        <v>5512</v>
      </c>
      <c r="B2282" s="6" t="s">
        <v>16</v>
      </c>
      <c r="C2282" s="38" t="s">
        <v>9083</v>
      </c>
      <c r="D2282" s="6">
        <v>2023</v>
      </c>
      <c r="E2282" s="6" t="s">
        <v>12</v>
      </c>
      <c r="F2282" s="6">
        <v>54</v>
      </c>
      <c r="G2282" s="40">
        <v>138</v>
      </c>
      <c r="H2282" s="40">
        <v>250.57707000000002</v>
      </c>
      <c r="I2282" s="212"/>
      <c r="J2282" s="212"/>
    </row>
    <row r="2283" spans="1:10" s="5" customFormat="1" ht="22.5" hidden="1" customHeight="1" outlineLevel="1" x14ac:dyDescent="0.25">
      <c r="A2283" s="4">
        <v>3049</v>
      </c>
      <c r="B2283" s="6" t="s">
        <v>16</v>
      </c>
      <c r="C2283" s="38" t="s">
        <v>9148</v>
      </c>
      <c r="D2283" s="6">
        <v>2023</v>
      </c>
      <c r="E2283" s="6" t="s">
        <v>12</v>
      </c>
      <c r="F2283" s="6">
        <v>475</v>
      </c>
      <c r="G2283" s="40">
        <v>150</v>
      </c>
      <c r="H2283" s="40">
        <v>816.98806999999999</v>
      </c>
      <c r="I2283" s="212"/>
      <c r="J2283" s="212"/>
    </row>
    <row r="2284" spans="1:10" s="5" customFormat="1" ht="22.5" hidden="1" customHeight="1" outlineLevel="1" x14ac:dyDescent="0.25">
      <c r="A2284" s="4">
        <v>1449</v>
      </c>
      <c r="B2284" s="6" t="s">
        <v>16</v>
      </c>
      <c r="C2284" s="38" t="s">
        <v>9084</v>
      </c>
      <c r="D2284" s="6">
        <v>2023</v>
      </c>
      <c r="E2284" s="6" t="s">
        <v>12</v>
      </c>
      <c r="F2284" s="6">
        <v>1781</v>
      </c>
      <c r="G2284" s="40">
        <v>121</v>
      </c>
      <c r="H2284" s="40">
        <v>2529.1590899999997</v>
      </c>
      <c r="I2284" s="212"/>
      <c r="J2284" s="212"/>
    </row>
    <row r="2285" spans="1:10" s="5" customFormat="1" ht="22.5" hidden="1" customHeight="1" outlineLevel="1" x14ac:dyDescent="0.25">
      <c r="A2285" s="4">
        <v>5746</v>
      </c>
      <c r="B2285" s="6" t="s">
        <v>16</v>
      </c>
      <c r="C2285" s="38" t="s">
        <v>9085</v>
      </c>
      <c r="D2285" s="6">
        <v>2023</v>
      </c>
      <c r="E2285" s="6" t="s">
        <v>12</v>
      </c>
      <c r="F2285" s="6">
        <v>27</v>
      </c>
      <c r="G2285" s="40">
        <v>300</v>
      </c>
      <c r="H2285" s="40">
        <v>286.07515000000001</v>
      </c>
      <c r="I2285" s="212"/>
      <c r="J2285" s="212"/>
    </row>
    <row r="2286" spans="1:10" s="5" customFormat="1" ht="22.5" hidden="1" customHeight="1" outlineLevel="1" x14ac:dyDescent="0.25">
      <c r="A2286" s="4">
        <v>5800</v>
      </c>
      <c r="B2286" s="6" t="s">
        <v>16</v>
      </c>
      <c r="C2286" s="38" t="s">
        <v>9149</v>
      </c>
      <c r="D2286" s="6">
        <v>2023</v>
      </c>
      <c r="E2286" s="6" t="s">
        <v>12</v>
      </c>
      <c r="F2286" s="6">
        <v>5</v>
      </c>
      <c r="G2286" s="40">
        <v>100</v>
      </c>
      <c r="H2286" s="40">
        <v>185.96608000000001</v>
      </c>
      <c r="I2286" s="212"/>
      <c r="J2286" s="212"/>
    </row>
    <row r="2287" spans="1:10" s="5" customFormat="1" ht="22.5" hidden="1" customHeight="1" outlineLevel="1" x14ac:dyDescent="0.25">
      <c r="A2287" s="4">
        <v>3025</v>
      </c>
      <c r="B2287" s="6" t="s">
        <v>16</v>
      </c>
      <c r="C2287" s="38" t="s">
        <v>9086</v>
      </c>
      <c r="D2287" s="6">
        <v>2023</v>
      </c>
      <c r="E2287" s="6" t="s">
        <v>12</v>
      </c>
      <c r="F2287" s="6">
        <v>287</v>
      </c>
      <c r="G2287" s="40">
        <v>50</v>
      </c>
      <c r="H2287" s="40">
        <v>407.85399000000001</v>
      </c>
      <c r="I2287" s="212"/>
      <c r="J2287" s="212"/>
    </row>
    <row r="2288" spans="1:10" s="5" customFormat="1" ht="22.5" hidden="1" customHeight="1" outlineLevel="1" x14ac:dyDescent="0.25">
      <c r="A2288" s="4">
        <v>3102</v>
      </c>
      <c r="B2288" s="6" t="s">
        <v>16</v>
      </c>
      <c r="C2288" s="38" t="s">
        <v>9150</v>
      </c>
      <c r="D2288" s="6">
        <v>2023</v>
      </c>
      <c r="E2288" s="6" t="s">
        <v>12</v>
      </c>
      <c r="F2288" s="6">
        <v>137</v>
      </c>
      <c r="G2288" s="40">
        <v>147</v>
      </c>
      <c r="H2288" s="40">
        <v>129.65523000000002</v>
      </c>
      <c r="I2288" s="212"/>
      <c r="J2288" s="212"/>
    </row>
    <row r="2289" spans="1:10" s="5" customFormat="1" ht="22.5" hidden="1" customHeight="1" outlineLevel="1" x14ac:dyDescent="0.25">
      <c r="A2289" s="4">
        <v>3098</v>
      </c>
      <c r="B2289" s="6" t="s">
        <v>16</v>
      </c>
      <c r="C2289" s="38" t="s">
        <v>9087</v>
      </c>
      <c r="D2289" s="6">
        <v>2023</v>
      </c>
      <c r="E2289" s="6" t="s">
        <v>12</v>
      </c>
      <c r="F2289" s="6">
        <v>380</v>
      </c>
      <c r="G2289" s="40">
        <v>500</v>
      </c>
      <c r="H2289" s="40">
        <v>612.21055999999999</v>
      </c>
      <c r="I2289" s="212"/>
      <c r="J2289" s="212"/>
    </row>
    <row r="2290" spans="1:10" s="5" customFormat="1" ht="22.5" hidden="1" customHeight="1" outlineLevel="1" x14ac:dyDescent="0.25">
      <c r="A2290" s="4">
        <v>5014</v>
      </c>
      <c r="B2290" s="6" t="s">
        <v>16</v>
      </c>
      <c r="C2290" s="38" t="s">
        <v>9151</v>
      </c>
      <c r="D2290" s="6">
        <v>2023</v>
      </c>
      <c r="E2290" s="6" t="s">
        <v>12</v>
      </c>
      <c r="F2290" s="6">
        <v>90</v>
      </c>
      <c r="G2290" s="40">
        <v>149</v>
      </c>
      <c r="H2290" s="40">
        <v>426.30308000000002</v>
      </c>
      <c r="I2290" s="212"/>
      <c r="J2290" s="212"/>
    </row>
    <row r="2291" spans="1:10" s="5" customFormat="1" ht="22.5" hidden="1" customHeight="1" outlineLevel="1" x14ac:dyDescent="0.25">
      <c r="A2291" s="4">
        <v>5801</v>
      </c>
      <c r="B2291" s="6" t="s">
        <v>16</v>
      </c>
      <c r="C2291" s="38" t="s">
        <v>9152</v>
      </c>
      <c r="D2291" s="6">
        <v>2023</v>
      </c>
      <c r="E2291" s="6" t="s">
        <v>12</v>
      </c>
      <c r="F2291" s="6">
        <v>836</v>
      </c>
      <c r="G2291" s="40">
        <v>149</v>
      </c>
      <c r="H2291" s="40">
        <v>1379.88076</v>
      </c>
      <c r="I2291" s="212"/>
      <c r="J2291" s="212"/>
    </row>
    <row r="2292" spans="1:10" s="5" customFormat="1" ht="22.5" hidden="1" customHeight="1" outlineLevel="1" x14ac:dyDescent="0.25">
      <c r="A2292" s="4">
        <v>313</v>
      </c>
      <c r="B2292" s="6" t="s">
        <v>16</v>
      </c>
      <c r="C2292" s="38" t="s">
        <v>9153</v>
      </c>
      <c r="D2292" s="6">
        <v>2023</v>
      </c>
      <c r="E2292" s="6" t="s">
        <v>12</v>
      </c>
      <c r="F2292" s="6">
        <v>212</v>
      </c>
      <c r="G2292" s="40">
        <v>30</v>
      </c>
      <c r="H2292" s="40">
        <v>338.56199999999995</v>
      </c>
      <c r="I2292" s="212"/>
      <c r="J2292" s="212"/>
    </row>
    <row r="2293" spans="1:10" s="5" customFormat="1" ht="22.5" hidden="1" customHeight="1" outlineLevel="1" x14ac:dyDescent="0.25">
      <c r="A2293" s="4">
        <v>3115</v>
      </c>
      <c r="B2293" s="6" t="s">
        <v>16</v>
      </c>
      <c r="C2293" s="38" t="s">
        <v>9089</v>
      </c>
      <c r="D2293" s="6">
        <v>2023</v>
      </c>
      <c r="E2293" s="6" t="s">
        <v>12</v>
      </c>
      <c r="F2293" s="6">
        <v>10</v>
      </c>
      <c r="G2293" s="40">
        <v>150</v>
      </c>
      <c r="H2293" s="40">
        <v>50.17</v>
      </c>
      <c r="I2293" s="212"/>
      <c r="J2293" s="212"/>
    </row>
    <row r="2294" spans="1:10" s="5" customFormat="1" ht="22.5" hidden="1" customHeight="1" outlineLevel="1" x14ac:dyDescent="0.25">
      <c r="A2294" s="4">
        <v>3114</v>
      </c>
      <c r="B2294" s="6" t="s">
        <v>16</v>
      </c>
      <c r="C2294" s="38" t="s">
        <v>9154</v>
      </c>
      <c r="D2294" s="6">
        <v>2023</v>
      </c>
      <c r="E2294" s="6" t="s">
        <v>12</v>
      </c>
      <c r="F2294" s="6">
        <v>200</v>
      </c>
      <c r="G2294" s="40">
        <v>190</v>
      </c>
      <c r="H2294" s="40">
        <v>172.43800000000002</v>
      </c>
      <c r="I2294" s="212"/>
      <c r="J2294" s="212"/>
    </row>
    <row r="2295" spans="1:10" s="5" customFormat="1" ht="22.5" hidden="1" customHeight="1" outlineLevel="1" x14ac:dyDescent="0.25">
      <c r="A2295" s="4">
        <v>3058</v>
      </c>
      <c r="B2295" s="6" t="s">
        <v>16</v>
      </c>
      <c r="C2295" s="38" t="s">
        <v>9155</v>
      </c>
      <c r="D2295" s="6">
        <v>2023</v>
      </c>
      <c r="E2295" s="6" t="s">
        <v>12</v>
      </c>
      <c r="F2295" s="6">
        <v>70</v>
      </c>
      <c r="G2295" s="40">
        <v>85</v>
      </c>
      <c r="H2295" s="40">
        <v>89.097009999999997</v>
      </c>
      <c r="I2295" s="212"/>
      <c r="J2295" s="212"/>
    </row>
    <row r="2296" spans="1:10" s="5" customFormat="1" ht="22.5" hidden="1" customHeight="1" outlineLevel="1" x14ac:dyDescent="0.25">
      <c r="A2296" s="4">
        <v>5511</v>
      </c>
      <c r="B2296" s="6" t="s">
        <v>16</v>
      </c>
      <c r="C2296" s="38" t="s">
        <v>9156</v>
      </c>
      <c r="D2296" s="6">
        <v>2023</v>
      </c>
      <c r="E2296" s="6" t="s">
        <v>12</v>
      </c>
      <c r="F2296" s="6">
        <v>205</v>
      </c>
      <c r="G2296" s="40">
        <v>150</v>
      </c>
      <c r="H2296" s="40">
        <v>287.50155999999998</v>
      </c>
      <c r="I2296" s="212"/>
      <c r="J2296" s="212"/>
    </row>
    <row r="2297" spans="1:10" s="5" customFormat="1" ht="22.5" hidden="1" customHeight="1" outlineLevel="1" x14ac:dyDescent="0.25">
      <c r="A2297" s="4">
        <v>906</v>
      </c>
      <c r="B2297" s="6" t="s">
        <v>16</v>
      </c>
      <c r="C2297" s="38" t="s">
        <v>9157</v>
      </c>
      <c r="D2297" s="6">
        <v>2023</v>
      </c>
      <c r="E2297" s="6" t="s">
        <v>12</v>
      </c>
      <c r="F2297" s="6">
        <v>500</v>
      </c>
      <c r="G2297" s="40">
        <v>24</v>
      </c>
      <c r="H2297" s="40">
        <v>461.14254</v>
      </c>
      <c r="I2297" s="212"/>
      <c r="J2297" s="212"/>
    </row>
    <row r="2298" spans="1:10" s="5" customFormat="1" ht="22.5" hidden="1" customHeight="1" outlineLevel="1" x14ac:dyDescent="0.25">
      <c r="A2298" s="4">
        <v>3111</v>
      </c>
      <c r="B2298" s="6" t="s">
        <v>16</v>
      </c>
      <c r="C2298" s="38" t="s">
        <v>9158</v>
      </c>
      <c r="D2298" s="6">
        <v>2023</v>
      </c>
      <c r="E2298" s="6" t="s">
        <v>12</v>
      </c>
      <c r="F2298" s="6">
        <v>21</v>
      </c>
      <c r="G2298" s="40">
        <v>150</v>
      </c>
      <c r="H2298" s="40">
        <v>72.336470000000006</v>
      </c>
      <c r="I2298" s="212"/>
      <c r="J2298" s="212"/>
    </row>
    <row r="2299" spans="1:10" s="5" customFormat="1" ht="22.5" hidden="1" customHeight="1" outlineLevel="1" x14ac:dyDescent="0.25">
      <c r="A2299" s="4">
        <v>707</v>
      </c>
      <c r="B2299" s="6" t="s">
        <v>16</v>
      </c>
      <c r="C2299" s="38" t="s">
        <v>9159</v>
      </c>
      <c r="D2299" s="6">
        <v>2023</v>
      </c>
      <c r="E2299" s="6" t="s">
        <v>12</v>
      </c>
      <c r="F2299" s="6">
        <v>120</v>
      </c>
      <c r="G2299" s="40">
        <v>15</v>
      </c>
      <c r="H2299" s="40">
        <v>232</v>
      </c>
      <c r="I2299" s="212"/>
      <c r="J2299" s="212"/>
    </row>
    <row r="2300" spans="1:10" s="5" customFormat="1" ht="22.5" hidden="1" customHeight="1" outlineLevel="1" x14ac:dyDescent="0.25">
      <c r="A2300" s="4">
        <v>515</v>
      </c>
      <c r="B2300" s="6" t="s">
        <v>16</v>
      </c>
      <c r="C2300" s="38" t="s">
        <v>9160</v>
      </c>
      <c r="D2300" s="6">
        <v>2023</v>
      </c>
      <c r="E2300" s="6" t="s">
        <v>12</v>
      </c>
      <c r="F2300" s="6">
        <v>170</v>
      </c>
      <c r="G2300" s="40">
        <v>15</v>
      </c>
      <c r="H2300" s="40">
        <v>1030</v>
      </c>
      <c r="I2300" s="212"/>
      <c r="J2300" s="212"/>
    </row>
    <row r="2301" spans="1:10" s="5" customFormat="1" ht="22.5" hidden="1" customHeight="1" outlineLevel="1" x14ac:dyDescent="0.25">
      <c r="A2301" s="4">
        <v>621</v>
      </c>
      <c r="B2301" s="6" t="s">
        <v>16</v>
      </c>
      <c r="C2301" s="38" t="s">
        <v>9161</v>
      </c>
      <c r="D2301" s="6">
        <v>2023</v>
      </c>
      <c r="E2301" s="6" t="s">
        <v>12</v>
      </c>
      <c r="F2301" s="6">
        <v>15</v>
      </c>
      <c r="G2301" s="40">
        <v>12.5</v>
      </c>
      <c r="H2301" s="40">
        <v>180</v>
      </c>
      <c r="I2301" s="212"/>
      <c r="J2301" s="212"/>
    </row>
    <row r="2302" spans="1:10" s="5" customFormat="1" ht="22.5" hidden="1" customHeight="1" outlineLevel="1" x14ac:dyDescent="0.25">
      <c r="A2302" s="4">
        <v>682</v>
      </c>
      <c r="B2302" s="6" t="s">
        <v>16</v>
      </c>
      <c r="C2302" s="38" t="s">
        <v>9162</v>
      </c>
      <c r="D2302" s="6">
        <v>2023</v>
      </c>
      <c r="E2302" s="6" t="s">
        <v>12</v>
      </c>
      <c r="F2302" s="6">
        <v>438</v>
      </c>
      <c r="G2302" s="40">
        <v>12</v>
      </c>
      <c r="H2302" s="40">
        <v>879.78138999999999</v>
      </c>
      <c r="I2302" s="212"/>
      <c r="J2302" s="212"/>
    </row>
    <row r="2303" spans="1:10" s="5" customFormat="1" ht="22.5" hidden="1" customHeight="1" outlineLevel="1" x14ac:dyDescent="0.25">
      <c r="A2303" s="4">
        <v>2833</v>
      </c>
      <c r="B2303" s="6" t="s">
        <v>16</v>
      </c>
      <c r="C2303" s="38" t="s">
        <v>9163</v>
      </c>
      <c r="D2303" s="6">
        <v>2023</v>
      </c>
      <c r="E2303" s="6" t="s">
        <v>12</v>
      </c>
      <c r="F2303" s="6">
        <v>208</v>
      </c>
      <c r="G2303" s="40">
        <v>6</v>
      </c>
      <c r="H2303" s="40">
        <v>563.04080999999996</v>
      </c>
      <c r="I2303" s="212"/>
      <c r="J2303" s="212"/>
    </row>
    <row r="2304" spans="1:10" s="5" customFormat="1" ht="22.5" hidden="1" customHeight="1" outlineLevel="1" x14ac:dyDescent="0.25">
      <c r="A2304" s="4">
        <v>835</v>
      </c>
      <c r="B2304" s="6" t="s">
        <v>16</v>
      </c>
      <c r="C2304" s="38" t="s">
        <v>9164</v>
      </c>
      <c r="D2304" s="6">
        <v>2023</v>
      </c>
      <c r="E2304" s="6" t="s">
        <v>12</v>
      </c>
      <c r="F2304" s="6">
        <v>291</v>
      </c>
      <c r="G2304" s="40">
        <v>15</v>
      </c>
      <c r="H2304" s="40">
        <v>624.55981999999995</v>
      </c>
      <c r="I2304" s="212"/>
      <c r="J2304" s="212"/>
    </row>
    <row r="2305" spans="1:10" s="5" customFormat="1" ht="22.5" hidden="1" customHeight="1" outlineLevel="1" x14ac:dyDescent="0.25">
      <c r="A2305" s="4">
        <v>2828</v>
      </c>
      <c r="B2305" s="6" t="s">
        <v>16</v>
      </c>
      <c r="C2305" s="38" t="s">
        <v>9165</v>
      </c>
      <c r="D2305" s="6">
        <v>2023</v>
      </c>
      <c r="E2305" s="6" t="s">
        <v>12</v>
      </c>
      <c r="F2305" s="6">
        <v>644</v>
      </c>
      <c r="G2305" s="40">
        <v>25.3</v>
      </c>
      <c r="H2305" s="40">
        <v>1103.2473199999999</v>
      </c>
      <c r="I2305" s="212"/>
      <c r="J2305" s="212"/>
    </row>
    <row r="2306" spans="1:10" s="5" customFormat="1" ht="22.5" hidden="1" customHeight="1" outlineLevel="1" x14ac:dyDescent="0.25">
      <c r="A2306" s="4">
        <v>657</v>
      </c>
      <c r="B2306" s="6" t="s">
        <v>16</v>
      </c>
      <c r="C2306" s="38" t="s">
        <v>9166</v>
      </c>
      <c r="D2306" s="6">
        <v>2023</v>
      </c>
      <c r="E2306" s="6" t="s">
        <v>12</v>
      </c>
      <c r="F2306" s="6">
        <v>110</v>
      </c>
      <c r="G2306" s="40">
        <v>15</v>
      </c>
      <c r="H2306" s="40">
        <v>136.37031999999999</v>
      </c>
      <c r="I2306" s="212"/>
      <c r="J2306" s="212"/>
    </row>
    <row r="2307" spans="1:10" s="5" customFormat="1" ht="22.5" hidden="1" customHeight="1" outlineLevel="1" x14ac:dyDescent="0.25">
      <c r="A2307" s="4">
        <v>3121</v>
      </c>
      <c r="B2307" s="6" t="s">
        <v>16</v>
      </c>
      <c r="C2307" s="38" t="s">
        <v>9167</v>
      </c>
      <c r="D2307" s="6">
        <v>2023</v>
      </c>
      <c r="E2307" s="6" t="s">
        <v>12</v>
      </c>
      <c r="F2307" s="6">
        <v>50</v>
      </c>
      <c r="G2307" s="40">
        <v>100</v>
      </c>
      <c r="H2307" s="40">
        <v>159.42950999999999</v>
      </c>
      <c r="I2307" s="212"/>
      <c r="J2307" s="212"/>
    </row>
    <row r="2308" spans="1:10" s="5" customFormat="1" ht="22.5" hidden="1" customHeight="1" outlineLevel="1" x14ac:dyDescent="0.25">
      <c r="A2308" s="4">
        <v>670</v>
      </c>
      <c r="B2308" s="6" t="s">
        <v>16</v>
      </c>
      <c r="C2308" s="38" t="s">
        <v>9168</v>
      </c>
      <c r="D2308" s="6">
        <v>2023</v>
      </c>
      <c r="E2308" s="6" t="s">
        <v>12</v>
      </c>
      <c r="F2308" s="6">
        <v>550</v>
      </c>
      <c r="G2308" s="40">
        <v>15</v>
      </c>
      <c r="H2308" s="40">
        <v>1060.0932700000001</v>
      </c>
      <c r="I2308" s="212"/>
      <c r="J2308" s="212"/>
    </row>
    <row r="2309" spans="1:10" s="5" customFormat="1" ht="22.5" hidden="1" customHeight="1" outlineLevel="1" x14ac:dyDescent="0.25">
      <c r="A2309" s="4">
        <v>1175</v>
      </c>
      <c r="B2309" s="6" t="s">
        <v>16</v>
      </c>
      <c r="C2309" s="38" t="s">
        <v>9169</v>
      </c>
      <c r="D2309" s="6">
        <v>2023</v>
      </c>
      <c r="E2309" s="6" t="s">
        <v>12</v>
      </c>
      <c r="F2309" s="6">
        <v>367</v>
      </c>
      <c r="G2309" s="40">
        <v>15</v>
      </c>
      <c r="H2309" s="40">
        <v>802.56082000000004</v>
      </c>
      <c r="I2309" s="212"/>
      <c r="J2309" s="212"/>
    </row>
    <row r="2310" spans="1:10" s="5" customFormat="1" ht="22.5" hidden="1" customHeight="1" outlineLevel="1" x14ac:dyDescent="0.25">
      <c r="A2310" s="4">
        <v>3196</v>
      </c>
      <c r="B2310" s="6" t="s">
        <v>16</v>
      </c>
      <c r="C2310" s="38" t="s">
        <v>9170</v>
      </c>
      <c r="D2310" s="6">
        <v>2023</v>
      </c>
      <c r="E2310" s="6" t="s">
        <v>12</v>
      </c>
      <c r="F2310" s="6">
        <v>2132</v>
      </c>
      <c r="G2310" s="40">
        <v>19</v>
      </c>
      <c r="H2310" s="40">
        <v>3807.4847300000001</v>
      </c>
      <c r="I2310" s="212"/>
      <c r="J2310" s="212"/>
    </row>
    <row r="2311" spans="1:10" s="5" customFormat="1" ht="22.5" hidden="1" customHeight="1" outlineLevel="1" x14ac:dyDescent="0.25">
      <c r="A2311" s="4">
        <v>3126</v>
      </c>
      <c r="B2311" s="6" t="s">
        <v>16</v>
      </c>
      <c r="C2311" s="38" t="s">
        <v>9171</v>
      </c>
      <c r="D2311" s="6">
        <v>2023</v>
      </c>
      <c r="E2311" s="6" t="s">
        <v>12</v>
      </c>
      <c r="F2311" s="6">
        <v>10</v>
      </c>
      <c r="G2311" s="40">
        <v>72</v>
      </c>
      <c r="H2311" s="40">
        <v>94.137180000000001</v>
      </c>
      <c r="I2311" s="212"/>
      <c r="J2311" s="212"/>
    </row>
    <row r="2312" spans="1:10" s="5" customFormat="1" ht="22.5" hidden="1" customHeight="1" outlineLevel="1" x14ac:dyDescent="0.25">
      <c r="A2312" s="4">
        <v>3128</v>
      </c>
      <c r="B2312" s="6" t="s">
        <v>16</v>
      </c>
      <c r="C2312" s="38" t="s">
        <v>9172</v>
      </c>
      <c r="D2312" s="6">
        <v>2023</v>
      </c>
      <c r="E2312" s="6" t="s">
        <v>12</v>
      </c>
      <c r="F2312" s="6">
        <v>210</v>
      </c>
      <c r="G2312" s="40">
        <v>50</v>
      </c>
      <c r="H2312" s="40">
        <v>365.93617</v>
      </c>
      <c r="I2312" s="212"/>
      <c r="J2312" s="212"/>
    </row>
    <row r="2313" spans="1:10" s="5" customFormat="1" ht="22.5" hidden="1" customHeight="1" outlineLevel="1" x14ac:dyDescent="0.25">
      <c r="A2313" s="4">
        <v>3170</v>
      </c>
      <c r="B2313" s="6" t="s">
        <v>16</v>
      </c>
      <c r="C2313" s="38" t="s">
        <v>9173</v>
      </c>
      <c r="D2313" s="6">
        <v>2023</v>
      </c>
      <c r="E2313" s="6" t="s">
        <v>12</v>
      </c>
      <c r="F2313" s="6">
        <v>635.6</v>
      </c>
      <c r="G2313" s="40">
        <v>45</v>
      </c>
      <c r="H2313" s="40">
        <v>927.34289999999999</v>
      </c>
      <c r="I2313" s="212"/>
      <c r="J2313" s="212"/>
    </row>
    <row r="2314" spans="1:10" s="5" customFormat="1" ht="22.5" hidden="1" customHeight="1" outlineLevel="1" x14ac:dyDescent="0.25">
      <c r="A2314" s="4">
        <v>4990</v>
      </c>
      <c r="B2314" s="6" t="s">
        <v>16</v>
      </c>
      <c r="C2314" s="38" t="s">
        <v>9174</v>
      </c>
      <c r="D2314" s="6">
        <v>2023</v>
      </c>
      <c r="E2314" s="6" t="s">
        <v>12</v>
      </c>
      <c r="F2314" s="6">
        <v>363</v>
      </c>
      <c r="G2314" s="40">
        <v>30</v>
      </c>
      <c r="H2314" s="40">
        <v>719.49014999999997</v>
      </c>
      <c r="I2314" s="212"/>
      <c r="J2314" s="212"/>
    </row>
    <row r="2315" spans="1:10" s="5" customFormat="1" ht="22.5" hidden="1" customHeight="1" outlineLevel="1" x14ac:dyDescent="0.25">
      <c r="A2315" s="4">
        <v>3140</v>
      </c>
      <c r="B2315" s="6" t="s">
        <v>16</v>
      </c>
      <c r="C2315" s="38" t="s">
        <v>9175</v>
      </c>
      <c r="D2315" s="6">
        <v>2023</v>
      </c>
      <c r="E2315" s="6" t="s">
        <v>12</v>
      </c>
      <c r="F2315" s="6">
        <v>40</v>
      </c>
      <c r="G2315" s="40">
        <v>70</v>
      </c>
      <c r="H2315" s="40">
        <v>134.24578</v>
      </c>
      <c r="I2315" s="212"/>
      <c r="J2315" s="212"/>
    </row>
    <row r="2316" spans="1:10" s="5" customFormat="1" ht="22.5" hidden="1" customHeight="1" outlineLevel="1" x14ac:dyDescent="0.25">
      <c r="A2316" s="4">
        <v>3191</v>
      </c>
      <c r="B2316" s="6" t="s">
        <v>16</v>
      </c>
      <c r="C2316" s="38" t="s">
        <v>9176</v>
      </c>
      <c r="D2316" s="6">
        <v>2023</v>
      </c>
      <c r="E2316" s="6" t="s">
        <v>12</v>
      </c>
      <c r="F2316" s="6">
        <v>5</v>
      </c>
      <c r="G2316" s="40">
        <v>15</v>
      </c>
      <c r="H2316" s="40">
        <v>146.65194</v>
      </c>
      <c r="I2316" s="212"/>
      <c r="J2316" s="212"/>
    </row>
    <row r="2317" spans="1:10" s="5" customFormat="1" ht="22.5" hidden="1" customHeight="1" outlineLevel="1" x14ac:dyDescent="0.25">
      <c r="A2317" s="4">
        <v>3129</v>
      </c>
      <c r="B2317" s="6" t="s">
        <v>16</v>
      </c>
      <c r="C2317" s="38" t="s">
        <v>9177</v>
      </c>
      <c r="D2317" s="6">
        <v>2023</v>
      </c>
      <c r="E2317" s="6" t="s">
        <v>12</v>
      </c>
      <c r="F2317" s="6">
        <v>191</v>
      </c>
      <c r="G2317" s="40">
        <v>100</v>
      </c>
      <c r="H2317" s="40">
        <v>579.92197999999996</v>
      </c>
      <c r="I2317" s="212"/>
      <c r="J2317" s="212"/>
    </row>
    <row r="2318" spans="1:10" s="5" customFormat="1" ht="22.5" hidden="1" customHeight="1" outlineLevel="1" x14ac:dyDescent="0.25">
      <c r="A2318" s="4">
        <v>4991</v>
      </c>
      <c r="B2318" s="6" t="s">
        <v>16</v>
      </c>
      <c r="C2318" s="38" t="s">
        <v>9178</v>
      </c>
      <c r="D2318" s="6">
        <v>2023</v>
      </c>
      <c r="E2318" s="6" t="s">
        <v>12</v>
      </c>
      <c r="F2318" s="6">
        <v>170</v>
      </c>
      <c r="G2318" s="40">
        <v>30</v>
      </c>
      <c r="H2318" s="40">
        <v>502.4753</v>
      </c>
      <c r="I2318" s="212"/>
      <c r="J2318" s="212"/>
    </row>
    <row r="2319" spans="1:10" s="5" customFormat="1" ht="22.5" hidden="1" customHeight="1" outlineLevel="1" x14ac:dyDescent="0.25">
      <c r="A2319" s="4">
        <v>4993</v>
      </c>
      <c r="B2319" s="6" t="s">
        <v>16</v>
      </c>
      <c r="C2319" s="38" t="s">
        <v>9179</v>
      </c>
      <c r="D2319" s="6">
        <v>2023</v>
      </c>
      <c r="E2319" s="6" t="s">
        <v>12</v>
      </c>
      <c r="F2319" s="6">
        <v>5</v>
      </c>
      <c r="G2319" s="40">
        <v>95</v>
      </c>
      <c r="H2319" s="40">
        <v>106.58629000000001</v>
      </c>
      <c r="I2319" s="212"/>
      <c r="J2319" s="212"/>
    </row>
    <row r="2320" spans="1:10" s="5" customFormat="1" ht="22.5" hidden="1" customHeight="1" outlineLevel="1" x14ac:dyDescent="0.25">
      <c r="A2320" s="4">
        <v>3030</v>
      </c>
      <c r="B2320" s="6" t="s">
        <v>16</v>
      </c>
      <c r="C2320" s="38" t="s">
        <v>9180</v>
      </c>
      <c r="D2320" s="6">
        <v>2023</v>
      </c>
      <c r="E2320" s="6" t="s">
        <v>12</v>
      </c>
      <c r="F2320" s="6">
        <v>5</v>
      </c>
      <c r="G2320" s="40">
        <v>150</v>
      </c>
      <c r="H2320" s="40">
        <v>231.03587999999999</v>
      </c>
      <c r="I2320" s="212"/>
      <c r="J2320" s="212"/>
    </row>
    <row r="2321" spans="1:10" s="5" customFormat="1" ht="22.5" hidden="1" customHeight="1" outlineLevel="1" x14ac:dyDescent="0.25">
      <c r="A2321" s="4">
        <v>3145</v>
      </c>
      <c r="B2321" s="6" t="s">
        <v>16</v>
      </c>
      <c r="C2321" s="38" t="s">
        <v>9181</v>
      </c>
      <c r="D2321" s="6">
        <v>2023</v>
      </c>
      <c r="E2321" s="6" t="s">
        <v>12</v>
      </c>
      <c r="F2321" s="6">
        <v>10</v>
      </c>
      <c r="G2321" s="40">
        <v>100</v>
      </c>
      <c r="H2321" s="40">
        <v>111.84768</v>
      </c>
      <c r="I2321" s="212"/>
      <c r="J2321" s="212"/>
    </row>
    <row r="2322" spans="1:10" s="5" customFormat="1" ht="22.5" hidden="1" customHeight="1" outlineLevel="1" x14ac:dyDescent="0.25">
      <c r="A2322" s="4">
        <v>5002</v>
      </c>
      <c r="B2322" s="6" t="s">
        <v>16</v>
      </c>
      <c r="C2322" s="38" t="s">
        <v>9182</v>
      </c>
      <c r="D2322" s="6">
        <v>2023</v>
      </c>
      <c r="E2322" s="6" t="s">
        <v>12</v>
      </c>
      <c r="F2322" s="6">
        <v>230</v>
      </c>
      <c r="G2322" s="40">
        <v>15</v>
      </c>
      <c r="H2322" s="40">
        <v>356.60944000000001</v>
      </c>
      <c r="I2322" s="212"/>
      <c r="J2322" s="212"/>
    </row>
    <row r="2323" spans="1:10" s="5" customFormat="1" ht="22.5" hidden="1" customHeight="1" outlineLevel="1" x14ac:dyDescent="0.25">
      <c r="A2323" s="4">
        <v>5010</v>
      </c>
      <c r="B2323" s="6" t="s">
        <v>16</v>
      </c>
      <c r="C2323" s="38" t="s">
        <v>9183</v>
      </c>
      <c r="D2323" s="6">
        <v>2023</v>
      </c>
      <c r="E2323" s="6" t="s">
        <v>12</v>
      </c>
      <c r="F2323" s="6">
        <v>413</v>
      </c>
      <c r="G2323" s="40">
        <v>15</v>
      </c>
      <c r="H2323" s="40">
        <v>776.50427999999999</v>
      </c>
      <c r="I2323" s="212"/>
      <c r="J2323" s="212"/>
    </row>
    <row r="2324" spans="1:10" s="5" customFormat="1" ht="22.5" hidden="1" customHeight="1" outlineLevel="1" x14ac:dyDescent="0.25">
      <c r="A2324" s="4">
        <v>3229</v>
      </c>
      <c r="B2324" s="6" t="s">
        <v>16</v>
      </c>
      <c r="C2324" s="38" t="s">
        <v>9184</v>
      </c>
      <c r="D2324" s="6">
        <v>2023</v>
      </c>
      <c r="E2324" s="6" t="s">
        <v>12</v>
      </c>
      <c r="F2324" s="6">
        <v>70</v>
      </c>
      <c r="G2324" s="152">
        <v>11.5</v>
      </c>
      <c r="H2324" s="40">
        <v>320.67057</v>
      </c>
      <c r="I2324" s="212"/>
      <c r="J2324" s="212"/>
    </row>
    <row r="2325" spans="1:10" s="5" customFormat="1" ht="22.5" hidden="1" customHeight="1" outlineLevel="1" x14ac:dyDescent="0.25">
      <c r="A2325" s="4">
        <v>3003</v>
      </c>
      <c r="B2325" s="6" t="s">
        <v>16</v>
      </c>
      <c r="C2325" s="38" t="s">
        <v>9090</v>
      </c>
      <c r="D2325" s="6">
        <v>2023</v>
      </c>
      <c r="E2325" s="6" t="s">
        <v>12</v>
      </c>
      <c r="F2325" s="6">
        <v>6</v>
      </c>
      <c r="G2325" s="40">
        <v>150</v>
      </c>
      <c r="H2325" s="40">
        <v>116.97499999999999</v>
      </c>
      <c r="I2325" s="212"/>
      <c r="J2325" s="212"/>
    </row>
    <row r="2326" spans="1:10" s="5" customFormat="1" ht="22.5" hidden="1" customHeight="1" outlineLevel="1" x14ac:dyDescent="0.25">
      <c r="A2326" s="4">
        <v>3394</v>
      </c>
      <c r="B2326" s="6" t="s">
        <v>16</v>
      </c>
      <c r="C2326" s="38" t="s">
        <v>9091</v>
      </c>
      <c r="D2326" s="6">
        <v>2023</v>
      </c>
      <c r="E2326" s="6" t="s">
        <v>12</v>
      </c>
      <c r="F2326" s="6">
        <v>14</v>
      </c>
      <c r="G2326" s="40">
        <v>150</v>
      </c>
      <c r="H2326" s="40">
        <v>154.40200000000002</v>
      </c>
      <c r="I2326" s="212"/>
      <c r="J2326" s="212"/>
    </row>
    <row r="2327" spans="1:10" s="5" customFormat="1" ht="22.5" hidden="1" customHeight="1" outlineLevel="1" x14ac:dyDescent="0.25">
      <c r="A2327" s="4">
        <v>3233</v>
      </c>
      <c r="B2327" s="6" t="s">
        <v>16</v>
      </c>
      <c r="C2327" s="38" t="s">
        <v>9185</v>
      </c>
      <c r="D2327" s="6">
        <v>2023</v>
      </c>
      <c r="E2327" s="6" t="s">
        <v>12</v>
      </c>
      <c r="F2327" s="6">
        <v>594</v>
      </c>
      <c r="G2327" s="40">
        <v>32</v>
      </c>
      <c r="H2327" s="40">
        <v>1158.78</v>
      </c>
      <c r="I2327" s="212"/>
      <c r="J2327" s="212"/>
    </row>
    <row r="2328" spans="1:10" s="5" customFormat="1" ht="22.5" hidden="1" customHeight="1" outlineLevel="1" x14ac:dyDescent="0.25">
      <c r="A2328" s="4">
        <v>738</v>
      </c>
      <c r="B2328" s="6" t="s">
        <v>16</v>
      </c>
      <c r="C2328" s="38" t="s">
        <v>9186</v>
      </c>
      <c r="D2328" s="6">
        <v>2023</v>
      </c>
      <c r="E2328" s="6" t="s">
        <v>12</v>
      </c>
      <c r="F2328" s="6">
        <v>511</v>
      </c>
      <c r="G2328" s="40">
        <v>23</v>
      </c>
      <c r="H2328" s="40">
        <v>1064.5059999999999</v>
      </c>
      <c r="I2328" s="212"/>
      <c r="J2328" s="212"/>
    </row>
    <row r="2329" spans="1:10" s="5" customFormat="1" ht="22.5" hidden="1" customHeight="1" outlineLevel="1" x14ac:dyDescent="0.25">
      <c r="A2329" s="4">
        <v>3857</v>
      </c>
      <c r="B2329" s="6" t="s">
        <v>16</v>
      </c>
      <c r="C2329" s="38" t="s">
        <v>9187</v>
      </c>
      <c r="D2329" s="6">
        <v>2023</v>
      </c>
      <c r="E2329" s="6" t="s">
        <v>12</v>
      </c>
      <c r="F2329" s="6">
        <v>460</v>
      </c>
      <c r="G2329" s="40">
        <v>10</v>
      </c>
      <c r="H2329" s="40">
        <v>199.13154</v>
      </c>
      <c r="I2329" s="212"/>
      <c r="J2329" s="212"/>
    </row>
    <row r="2330" spans="1:10" s="5" customFormat="1" ht="22.5" hidden="1" customHeight="1" outlineLevel="1" x14ac:dyDescent="0.25">
      <c r="A2330" s="4">
        <v>3813</v>
      </c>
      <c r="B2330" s="6" t="s">
        <v>16</v>
      </c>
      <c r="C2330" s="38" t="s">
        <v>9188</v>
      </c>
      <c r="D2330" s="6">
        <v>2023</v>
      </c>
      <c r="E2330" s="6" t="s">
        <v>12</v>
      </c>
      <c r="F2330" s="6">
        <v>100</v>
      </c>
      <c r="G2330" s="40">
        <v>15</v>
      </c>
      <c r="H2330" s="40">
        <v>68.245999999999995</v>
      </c>
      <c r="I2330" s="212"/>
      <c r="J2330" s="212"/>
    </row>
    <row r="2331" spans="1:10" s="5" customFormat="1" ht="22.5" hidden="1" customHeight="1" outlineLevel="1" x14ac:dyDescent="0.25">
      <c r="A2331" s="4">
        <v>3439</v>
      </c>
      <c r="B2331" s="6" t="s">
        <v>16</v>
      </c>
      <c r="C2331" s="38" t="s">
        <v>9092</v>
      </c>
      <c r="D2331" s="6">
        <v>2023</v>
      </c>
      <c r="E2331" s="6" t="s">
        <v>12</v>
      </c>
      <c r="F2331" s="6">
        <v>40</v>
      </c>
      <c r="G2331" s="40">
        <v>30</v>
      </c>
      <c r="H2331" s="40">
        <v>59.000999999999998</v>
      </c>
      <c r="I2331" s="212"/>
      <c r="J2331" s="212"/>
    </row>
    <row r="2332" spans="1:10" s="5" customFormat="1" ht="22.5" hidden="1" customHeight="1" outlineLevel="1" x14ac:dyDescent="0.25">
      <c r="A2332" s="4">
        <v>3365</v>
      </c>
      <c r="B2332" s="6" t="s">
        <v>16</v>
      </c>
      <c r="C2332" s="38" t="s">
        <v>9093</v>
      </c>
      <c r="D2332" s="6">
        <v>2023</v>
      </c>
      <c r="E2332" s="6" t="s">
        <v>12</v>
      </c>
      <c r="F2332" s="6">
        <v>30</v>
      </c>
      <c r="G2332" s="40">
        <v>150</v>
      </c>
      <c r="H2332" s="40">
        <v>48.683999999999997</v>
      </c>
      <c r="I2332" s="212"/>
      <c r="J2332" s="212"/>
    </row>
    <row r="2333" spans="1:10" s="5" customFormat="1" ht="22.5" hidden="1" customHeight="1" outlineLevel="1" x14ac:dyDescent="0.25">
      <c r="A2333" s="4">
        <v>3372</v>
      </c>
      <c r="B2333" s="6" t="s">
        <v>16</v>
      </c>
      <c r="C2333" s="38" t="s">
        <v>9189</v>
      </c>
      <c r="D2333" s="6">
        <v>2023</v>
      </c>
      <c r="E2333" s="6" t="s">
        <v>12</v>
      </c>
      <c r="F2333" s="6">
        <v>250</v>
      </c>
      <c r="G2333" s="40">
        <v>15</v>
      </c>
      <c r="H2333" s="40">
        <v>424.08141000000001</v>
      </c>
      <c r="I2333" s="212"/>
      <c r="J2333" s="212"/>
    </row>
    <row r="2334" spans="1:10" s="5" customFormat="1" ht="22.5" hidden="1" customHeight="1" outlineLevel="1" x14ac:dyDescent="0.25">
      <c r="A2334" s="4">
        <v>1342</v>
      </c>
      <c r="B2334" s="6" t="s">
        <v>16</v>
      </c>
      <c r="C2334" s="38" t="s">
        <v>9190</v>
      </c>
      <c r="D2334" s="6">
        <v>2023</v>
      </c>
      <c r="E2334" s="6" t="s">
        <v>12</v>
      </c>
      <c r="F2334" s="6">
        <v>170</v>
      </c>
      <c r="G2334" s="40">
        <v>30</v>
      </c>
      <c r="H2334" s="40">
        <v>238.529</v>
      </c>
      <c r="I2334" s="212"/>
      <c r="J2334" s="212"/>
    </row>
    <row r="2335" spans="1:10" s="5" customFormat="1" ht="22.5" hidden="1" customHeight="1" outlineLevel="1" x14ac:dyDescent="0.25">
      <c r="A2335" s="4">
        <v>362</v>
      </c>
      <c r="B2335" s="6" t="s">
        <v>16</v>
      </c>
      <c r="C2335" s="38" t="s">
        <v>9191</v>
      </c>
      <c r="D2335" s="6">
        <v>2023</v>
      </c>
      <c r="E2335" s="6" t="s">
        <v>12</v>
      </c>
      <c r="F2335" s="6">
        <v>180</v>
      </c>
      <c r="G2335" s="40">
        <v>15</v>
      </c>
      <c r="H2335" s="40">
        <v>213.72800000000001</v>
      </c>
      <c r="I2335" s="212"/>
      <c r="J2335" s="212"/>
    </row>
    <row r="2336" spans="1:10" s="5" customFormat="1" ht="22.5" hidden="1" customHeight="1" outlineLevel="1" x14ac:dyDescent="0.25">
      <c r="A2336" s="4">
        <v>3064</v>
      </c>
      <c r="B2336" s="6" t="s">
        <v>16</v>
      </c>
      <c r="C2336" s="38" t="s">
        <v>9192</v>
      </c>
      <c r="D2336" s="6">
        <v>2023</v>
      </c>
      <c r="E2336" s="6" t="s">
        <v>12</v>
      </c>
      <c r="F2336" s="6">
        <v>10</v>
      </c>
      <c r="G2336" s="40">
        <v>95</v>
      </c>
      <c r="H2336" s="40">
        <v>49.266999999999996</v>
      </c>
      <c r="I2336" s="212"/>
      <c r="J2336" s="212"/>
    </row>
    <row r="2337" spans="1:10" s="5" customFormat="1" ht="22.5" hidden="1" customHeight="1" outlineLevel="1" x14ac:dyDescent="0.25">
      <c r="A2337" s="4">
        <v>1039</v>
      </c>
      <c r="B2337" s="6" t="s">
        <v>16</v>
      </c>
      <c r="C2337" s="38" t="s">
        <v>9193</v>
      </c>
      <c r="D2337" s="6">
        <v>2023</v>
      </c>
      <c r="E2337" s="6" t="s">
        <v>12</v>
      </c>
      <c r="F2337" s="6">
        <v>100</v>
      </c>
      <c r="G2337" s="40">
        <v>15</v>
      </c>
      <c r="H2337" s="40">
        <v>52.856000000000002</v>
      </c>
      <c r="I2337" s="212"/>
      <c r="J2337" s="212"/>
    </row>
    <row r="2338" spans="1:10" s="5" customFormat="1" ht="22.5" hidden="1" customHeight="1" outlineLevel="1" x14ac:dyDescent="0.25">
      <c r="A2338" s="4">
        <v>937</v>
      </c>
      <c r="B2338" s="6" t="s">
        <v>16</v>
      </c>
      <c r="C2338" s="38" t="s">
        <v>9094</v>
      </c>
      <c r="D2338" s="6">
        <v>2023</v>
      </c>
      <c r="E2338" s="6" t="s">
        <v>12</v>
      </c>
      <c r="F2338" s="6">
        <v>100</v>
      </c>
      <c r="G2338" s="40">
        <v>150</v>
      </c>
      <c r="H2338" s="40">
        <v>97.706000000000003</v>
      </c>
      <c r="I2338" s="212"/>
      <c r="J2338" s="212"/>
    </row>
    <row r="2339" spans="1:10" s="5" customFormat="1" ht="22.5" hidden="1" customHeight="1" outlineLevel="1" x14ac:dyDescent="0.25">
      <c r="A2339" s="4">
        <v>1185</v>
      </c>
      <c r="B2339" s="6" t="s">
        <v>16</v>
      </c>
      <c r="C2339" s="38" t="s">
        <v>9194</v>
      </c>
      <c r="D2339" s="6">
        <v>2023</v>
      </c>
      <c r="E2339" s="6" t="s">
        <v>12</v>
      </c>
      <c r="F2339" s="6">
        <v>90</v>
      </c>
      <c r="G2339" s="40">
        <v>15</v>
      </c>
      <c r="H2339" s="40">
        <v>71.566000000000003</v>
      </c>
      <c r="I2339" s="212"/>
      <c r="J2339" s="212"/>
    </row>
    <row r="2340" spans="1:10" s="5" customFormat="1" ht="22.5" hidden="1" customHeight="1" outlineLevel="1" x14ac:dyDescent="0.25">
      <c r="A2340" s="4">
        <v>2990</v>
      </c>
      <c r="B2340" s="6" t="s">
        <v>16</v>
      </c>
      <c r="C2340" s="38" t="s">
        <v>9195</v>
      </c>
      <c r="D2340" s="6">
        <v>2023</v>
      </c>
      <c r="E2340" s="6" t="s">
        <v>12</v>
      </c>
      <c r="F2340" s="6">
        <v>4</v>
      </c>
      <c r="G2340" s="40">
        <v>150</v>
      </c>
      <c r="H2340" s="40">
        <v>87.614999999999995</v>
      </c>
      <c r="I2340" s="212"/>
      <c r="J2340" s="212"/>
    </row>
    <row r="2341" spans="1:10" s="5" customFormat="1" ht="22.5" hidden="1" customHeight="1" outlineLevel="1" x14ac:dyDescent="0.25">
      <c r="A2341" s="4">
        <v>4450</v>
      </c>
      <c r="B2341" s="6" t="s">
        <v>16</v>
      </c>
      <c r="C2341" s="38" t="s">
        <v>9095</v>
      </c>
      <c r="D2341" s="6">
        <v>2023</v>
      </c>
      <c r="E2341" s="6" t="s">
        <v>12</v>
      </c>
      <c r="F2341" s="6">
        <v>3</v>
      </c>
      <c r="G2341" s="40">
        <v>150</v>
      </c>
      <c r="H2341" s="40">
        <v>66.709000000000003</v>
      </c>
      <c r="I2341" s="212"/>
      <c r="J2341" s="212"/>
    </row>
    <row r="2342" spans="1:10" s="5" customFormat="1" ht="22.5" hidden="1" customHeight="1" outlineLevel="1" x14ac:dyDescent="0.25">
      <c r="A2342" s="4">
        <v>579</v>
      </c>
      <c r="B2342" s="6" t="s">
        <v>16</v>
      </c>
      <c r="C2342" s="38" t="s">
        <v>9096</v>
      </c>
      <c r="D2342" s="6">
        <v>2023</v>
      </c>
      <c r="E2342" s="6" t="s">
        <v>12</v>
      </c>
      <c r="F2342" s="6">
        <v>333</v>
      </c>
      <c r="G2342" s="40">
        <v>330</v>
      </c>
      <c r="H2342" s="40">
        <v>900.84799999999996</v>
      </c>
      <c r="I2342" s="212"/>
      <c r="J2342" s="212"/>
    </row>
    <row r="2343" spans="1:10" s="5" customFormat="1" ht="22.5" hidden="1" customHeight="1" outlineLevel="1" x14ac:dyDescent="0.25">
      <c r="A2343" s="4">
        <v>4451</v>
      </c>
      <c r="B2343" s="6" t="s">
        <v>16</v>
      </c>
      <c r="C2343" s="38" t="s">
        <v>9097</v>
      </c>
      <c r="D2343" s="6">
        <v>2023</v>
      </c>
      <c r="E2343" s="6" t="s">
        <v>12</v>
      </c>
      <c r="F2343" s="6">
        <v>33</v>
      </c>
      <c r="G2343" s="40">
        <v>150</v>
      </c>
      <c r="H2343" s="40">
        <v>162.80707999999998</v>
      </c>
      <c r="I2343" s="212"/>
      <c r="J2343" s="212"/>
    </row>
    <row r="2344" spans="1:10" s="5" customFormat="1" ht="22.5" hidden="1" customHeight="1" outlineLevel="1" x14ac:dyDescent="0.25">
      <c r="A2344" s="4">
        <v>984</v>
      </c>
      <c r="B2344" s="6" t="s">
        <v>16</v>
      </c>
      <c r="C2344" s="38" t="s">
        <v>9196</v>
      </c>
      <c r="D2344" s="6">
        <v>2023</v>
      </c>
      <c r="E2344" s="6" t="s">
        <v>12</v>
      </c>
      <c r="F2344" s="6">
        <v>332</v>
      </c>
      <c r="G2344" s="40">
        <v>105</v>
      </c>
      <c r="H2344" s="40">
        <v>992.11800000000005</v>
      </c>
      <c r="I2344" s="212"/>
      <c r="J2344" s="212"/>
    </row>
    <row r="2345" spans="1:10" s="5" customFormat="1" ht="22.5" hidden="1" customHeight="1" outlineLevel="1" x14ac:dyDescent="0.25">
      <c r="A2345" s="4">
        <v>862</v>
      </c>
      <c r="B2345" s="6" t="s">
        <v>16</v>
      </c>
      <c r="C2345" s="38" t="s">
        <v>9197</v>
      </c>
      <c r="D2345" s="6">
        <v>2023</v>
      </c>
      <c r="E2345" s="6" t="s">
        <v>12</v>
      </c>
      <c r="F2345" s="6">
        <v>80</v>
      </c>
      <c r="G2345" s="40">
        <v>15</v>
      </c>
      <c r="H2345" s="40">
        <v>104.45699999999999</v>
      </c>
      <c r="I2345" s="212"/>
      <c r="J2345" s="212"/>
    </row>
    <row r="2346" spans="1:10" s="5" customFormat="1" ht="22.5" hidden="1" customHeight="1" outlineLevel="1" x14ac:dyDescent="0.25">
      <c r="A2346" s="4">
        <v>1013</v>
      </c>
      <c r="B2346" s="6" t="s">
        <v>16</v>
      </c>
      <c r="C2346" s="38" t="s">
        <v>9198</v>
      </c>
      <c r="D2346" s="6">
        <v>2023</v>
      </c>
      <c r="E2346" s="6" t="s">
        <v>12</v>
      </c>
      <c r="F2346" s="6">
        <v>30</v>
      </c>
      <c r="G2346" s="40">
        <v>15</v>
      </c>
      <c r="H2346" s="40">
        <v>52.915999999999997</v>
      </c>
      <c r="I2346" s="212"/>
      <c r="J2346" s="212"/>
    </row>
    <row r="2347" spans="1:10" s="5" customFormat="1" ht="22.5" hidden="1" customHeight="1" outlineLevel="1" x14ac:dyDescent="0.25">
      <c r="A2347" s="4">
        <v>3062</v>
      </c>
      <c r="B2347" s="6" t="s">
        <v>16</v>
      </c>
      <c r="C2347" s="38" t="s">
        <v>9098</v>
      </c>
      <c r="D2347" s="6">
        <v>2023</v>
      </c>
      <c r="E2347" s="6" t="s">
        <v>12</v>
      </c>
      <c r="F2347" s="6">
        <v>10</v>
      </c>
      <c r="G2347" s="40">
        <v>150</v>
      </c>
      <c r="H2347" s="40">
        <v>28.190989999999999</v>
      </c>
      <c r="I2347" s="212"/>
      <c r="J2347" s="212"/>
    </row>
    <row r="2348" spans="1:10" s="5" customFormat="1" ht="22.5" hidden="1" customHeight="1" outlineLevel="1" x14ac:dyDescent="0.25">
      <c r="A2348" s="4">
        <v>796</v>
      </c>
      <c r="B2348" s="6" t="s">
        <v>16</v>
      </c>
      <c r="C2348" s="38" t="s">
        <v>9099</v>
      </c>
      <c r="D2348" s="6">
        <v>2023</v>
      </c>
      <c r="E2348" s="6" t="s">
        <v>12</v>
      </c>
      <c r="F2348" s="6">
        <v>355</v>
      </c>
      <c r="G2348" s="40">
        <v>45</v>
      </c>
      <c r="H2348" s="40">
        <v>896.49299999999994</v>
      </c>
      <c r="I2348" s="212"/>
      <c r="J2348" s="212"/>
    </row>
    <row r="2349" spans="1:10" s="5" customFormat="1" ht="22.5" hidden="1" customHeight="1" outlineLevel="1" x14ac:dyDescent="0.25">
      <c r="A2349" s="4">
        <v>787</v>
      </c>
      <c r="B2349" s="6" t="s">
        <v>16</v>
      </c>
      <c r="C2349" s="38" t="s">
        <v>9199</v>
      </c>
      <c r="D2349" s="6">
        <v>2023</v>
      </c>
      <c r="E2349" s="6" t="s">
        <v>12</v>
      </c>
      <c r="F2349" s="6">
        <v>350</v>
      </c>
      <c r="G2349" s="40">
        <v>15</v>
      </c>
      <c r="H2349" s="40">
        <v>808.85942</v>
      </c>
      <c r="I2349" s="212"/>
      <c r="J2349" s="212"/>
    </row>
    <row r="2350" spans="1:10" s="5" customFormat="1" ht="22.5" hidden="1" customHeight="1" outlineLevel="1" x14ac:dyDescent="0.25">
      <c r="A2350" s="4">
        <v>468</v>
      </c>
      <c r="B2350" s="6" t="s">
        <v>16</v>
      </c>
      <c r="C2350" s="38" t="s">
        <v>9200</v>
      </c>
      <c r="D2350" s="6">
        <v>2023</v>
      </c>
      <c r="E2350" s="6" t="s">
        <v>12</v>
      </c>
      <c r="F2350" s="6">
        <v>179</v>
      </c>
      <c r="G2350" s="40">
        <v>10</v>
      </c>
      <c r="H2350" s="40">
        <v>369.99100000000004</v>
      </c>
      <c r="I2350" s="212"/>
      <c r="J2350" s="212"/>
    </row>
    <row r="2351" spans="1:10" s="5" customFormat="1" ht="22.5" hidden="1" customHeight="1" outlineLevel="1" x14ac:dyDescent="0.25">
      <c r="A2351" s="4">
        <v>1029</v>
      </c>
      <c r="B2351" s="6" t="s">
        <v>16</v>
      </c>
      <c r="C2351" s="38" t="s">
        <v>9201</v>
      </c>
      <c r="D2351" s="6">
        <v>2023</v>
      </c>
      <c r="E2351" s="6" t="s">
        <v>12</v>
      </c>
      <c r="F2351" s="6">
        <v>90</v>
      </c>
      <c r="G2351" s="40">
        <v>15</v>
      </c>
      <c r="H2351" s="40">
        <v>149.61156</v>
      </c>
      <c r="I2351" s="212"/>
      <c r="J2351" s="212"/>
    </row>
    <row r="2352" spans="1:10" s="5" customFormat="1" ht="22.5" hidden="1" customHeight="1" outlineLevel="1" x14ac:dyDescent="0.25">
      <c r="A2352" s="4">
        <v>444</v>
      </c>
      <c r="B2352" s="6" t="s">
        <v>16</v>
      </c>
      <c r="C2352" s="38" t="s">
        <v>9202</v>
      </c>
      <c r="D2352" s="6">
        <v>2023</v>
      </c>
      <c r="E2352" s="6" t="s">
        <v>12</v>
      </c>
      <c r="F2352" s="6">
        <v>30</v>
      </c>
      <c r="G2352" s="40">
        <v>15</v>
      </c>
      <c r="H2352" s="40">
        <v>66.673399999999987</v>
      </c>
      <c r="I2352" s="212"/>
      <c r="J2352" s="212"/>
    </row>
    <row r="2353" spans="1:10" s="5" customFormat="1" ht="22.5" hidden="1" customHeight="1" outlineLevel="1" x14ac:dyDescent="0.25">
      <c r="A2353" s="4">
        <v>1229</v>
      </c>
      <c r="B2353" s="6" t="s">
        <v>16</v>
      </c>
      <c r="C2353" s="38" t="s">
        <v>9203</v>
      </c>
      <c r="D2353" s="6">
        <v>2023</v>
      </c>
      <c r="E2353" s="6" t="s">
        <v>12</v>
      </c>
      <c r="F2353" s="6">
        <v>120</v>
      </c>
      <c r="G2353" s="40">
        <v>15</v>
      </c>
      <c r="H2353" s="40">
        <v>147.09855999999999</v>
      </c>
      <c r="I2353" s="212"/>
      <c r="J2353" s="212"/>
    </row>
    <row r="2354" spans="1:10" s="5" customFormat="1" ht="22.5" hidden="1" customHeight="1" outlineLevel="1" x14ac:dyDescent="0.25">
      <c r="A2354" s="4">
        <v>1060</v>
      </c>
      <c r="B2354" s="6" t="s">
        <v>16</v>
      </c>
      <c r="C2354" s="38" t="s">
        <v>9204</v>
      </c>
      <c r="D2354" s="6">
        <v>2023</v>
      </c>
      <c r="E2354" s="6" t="s">
        <v>12</v>
      </c>
      <c r="F2354" s="6">
        <v>90</v>
      </c>
      <c r="G2354" s="40">
        <v>15</v>
      </c>
      <c r="H2354" s="40">
        <v>124.95254</v>
      </c>
      <c r="I2354" s="212"/>
      <c r="J2354" s="212"/>
    </row>
    <row r="2355" spans="1:10" s="5" customFormat="1" ht="22.5" hidden="1" customHeight="1" outlineLevel="1" x14ac:dyDescent="0.25">
      <c r="A2355" s="4">
        <v>3254</v>
      </c>
      <c r="B2355" s="6" t="s">
        <v>16</v>
      </c>
      <c r="C2355" s="38" t="s">
        <v>9100</v>
      </c>
      <c r="D2355" s="6">
        <v>2023</v>
      </c>
      <c r="E2355" s="6" t="s">
        <v>12</v>
      </c>
      <c r="F2355" s="6">
        <v>20</v>
      </c>
      <c r="G2355" s="40">
        <v>15</v>
      </c>
      <c r="H2355" s="40">
        <v>98.140069999999994</v>
      </c>
      <c r="I2355" s="212"/>
      <c r="J2355" s="212"/>
    </row>
    <row r="2356" spans="1:10" s="5" customFormat="1" ht="22.5" hidden="1" customHeight="1" outlineLevel="1" x14ac:dyDescent="0.25">
      <c r="A2356" s="4">
        <v>1251</v>
      </c>
      <c r="B2356" s="6" t="s">
        <v>16</v>
      </c>
      <c r="C2356" s="38" t="s">
        <v>9205</v>
      </c>
      <c r="D2356" s="6">
        <v>2023</v>
      </c>
      <c r="E2356" s="6" t="s">
        <v>12</v>
      </c>
      <c r="F2356" s="6">
        <v>110</v>
      </c>
      <c r="G2356" s="40">
        <v>15</v>
      </c>
      <c r="H2356" s="40">
        <v>136.55655999999999</v>
      </c>
      <c r="I2356" s="212"/>
      <c r="J2356" s="212"/>
    </row>
    <row r="2357" spans="1:10" s="5" customFormat="1" ht="22.5" hidden="1" customHeight="1" outlineLevel="1" x14ac:dyDescent="0.25">
      <c r="A2357" s="4">
        <v>1287</v>
      </c>
      <c r="B2357" s="6" t="s">
        <v>16</v>
      </c>
      <c r="C2357" s="38" t="s">
        <v>9206</v>
      </c>
      <c r="D2357" s="6">
        <v>2023</v>
      </c>
      <c r="E2357" s="6" t="s">
        <v>12</v>
      </c>
      <c r="F2357" s="6">
        <v>40</v>
      </c>
      <c r="G2357" s="40">
        <v>5</v>
      </c>
      <c r="H2357" s="40">
        <v>54.268560000000001</v>
      </c>
      <c r="I2357" s="212"/>
      <c r="J2357" s="212"/>
    </row>
    <row r="2358" spans="1:10" s="5" customFormat="1" ht="22.5" hidden="1" customHeight="1" outlineLevel="1" x14ac:dyDescent="0.25">
      <c r="A2358" s="4">
        <v>1988</v>
      </c>
      <c r="B2358" s="6" t="s">
        <v>16</v>
      </c>
      <c r="C2358" s="38" t="s">
        <v>9207</v>
      </c>
      <c r="D2358" s="6">
        <v>2023</v>
      </c>
      <c r="E2358" s="6" t="s">
        <v>12</v>
      </c>
      <c r="F2358" s="6">
        <v>180</v>
      </c>
      <c r="G2358" s="40">
        <v>3</v>
      </c>
      <c r="H2358" s="40">
        <v>263.29856000000001</v>
      </c>
      <c r="I2358" s="212"/>
      <c r="J2358" s="212"/>
    </row>
    <row r="2359" spans="1:10" s="5" customFormat="1" ht="22.5" hidden="1" customHeight="1" outlineLevel="1" x14ac:dyDescent="0.25">
      <c r="A2359" s="4">
        <v>3258</v>
      </c>
      <c r="B2359" s="6" t="s">
        <v>16</v>
      </c>
      <c r="C2359" s="38" t="s">
        <v>9208</v>
      </c>
      <c r="D2359" s="6">
        <v>2023</v>
      </c>
      <c r="E2359" s="6" t="s">
        <v>12</v>
      </c>
      <c r="F2359" s="6">
        <v>80</v>
      </c>
      <c r="G2359" s="40">
        <v>15</v>
      </c>
      <c r="H2359" s="40">
        <v>190.59855999999999</v>
      </c>
      <c r="I2359" s="212"/>
      <c r="J2359" s="212"/>
    </row>
    <row r="2360" spans="1:10" s="5" customFormat="1" ht="22.5" hidden="1" customHeight="1" outlineLevel="1" x14ac:dyDescent="0.25">
      <c r="A2360" s="4">
        <v>3078</v>
      </c>
      <c r="B2360" s="6" t="s">
        <v>16</v>
      </c>
      <c r="C2360" s="38" t="s">
        <v>9101</v>
      </c>
      <c r="D2360" s="6">
        <v>2023</v>
      </c>
      <c r="E2360" s="6" t="s">
        <v>12</v>
      </c>
      <c r="F2360" s="6">
        <v>50</v>
      </c>
      <c r="G2360" s="40">
        <v>150</v>
      </c>
      <c r="H2360" s="40">
        <v>95.605999999999995</v>
      </c>
      <c r="I2360" s="212"/>
      <c r="J2360" s="212"/>
    </row>
    <row r="2361" spans="1:10" s="5" customFormat="1" ht="22.5" hidden="1" customHeight="1" outlineLevel="1" x14ac:dyDescent="0.25">
      <c r="A2361" s="4">
        <v>3085</v>
      </c>
      <c r="B2361" s="6" t="s">
        <v>16</v>
      </c>
      <c r="C2361" s="38" t="s">
        <v>9102</v>
      </c>
      <c r="D2361" s="6">
        <v>2023</v>
      </c>
      <c r="E2361" s="6" t="s">
        <v>12</v>
      </c>
      <c r="F2361" s="6">
        <v>30</v>
      </c>
      <c r="G2361" s="40">
        <v>149</v>
      </c>
      <c r="H2361" s="40">
        <v>79.882649999999998</v>
      </c>
      <c r="I2361" s="212"/>
      <c r="J2361" s="212"/>
    </row>
    <row r="2362" spans="1:10" s="5" customFormat="1" ht="22.5" hidden="1" customHeight="1" outlineLevel="1" x14ac:dyDescent="0.25">
      <c r="A2362" s="4">
        <v>400</v>
      </c>
      <c r="B2362" s="6" t="s">
        <v>16</v>
      </c>
      <c r="C2362" s="38" t="s">
        <v>9209</v>
      </c>
      <c r="D2362" s="6">
        <v>2023</v>
      </c>
      <c r="E2362" s="6" t="s">
        <v>12</v>
      </c>
      <c r="F2362" s="6">
        <v>150</v>
      </c>
      <c r="G2362" s="40">
        <v>15</v>
      </c>
      <c r="H2362" s="40">
        <v>204.02600000000001</v>
      </c>
      <c r="I2362" s="212"/>
      <c r="J2362" s="212"/>
    </row>
    <row r="2363" spans="1:10" s="5" customFormat="1" ht="22.5" hidden="1" customHeight="1" outlineLevel="1" x14ac:dyDescent="0.25">
      <c r="A2363" s="4">
        <v>3022</v>
      </c>
      <c r="B2363" s="6" t="s">
        <v>16</v>
      </c>
      <c r="C2363" s="38" t="s">
        <v>9103</v>
      </c>
      <c r="D2363" s="6">
        <v>2023</v>
      </c>
      <c r="E2363" s="6" t="s">
        <v>12</v>
      </c>
      <c r="F2363" s="6">
        <v>134</v>
      </c>
      <c r="G2363" s="40">
        <v>165</v>
      </c>
      <c r="H2363" s="40">
        <v>433.40028000000001</v>
      </c>
      <c r="I2363" s="212"/>
      <c r="J2363" s="212"/>
    </row>
    <row r="2364" spans="1:10" s="5" customFormat="1" ht="22.5" hidden="1" customHeight="1" outlineLevel="1" x14ac:dyDescent="0.25">
      <c r="A2364" s="4">
        <v>3415</v>
      </c>
      <c r="B2364" s="6" t="s">
        <v>16</v>
      </c>
      <c r="C2364" s="38" t="s">
        <v>9210</v>
      </c>
      <c r="D2364" s="6">
        <v>2023</v>
      </c>
      <c r="E2364" s="6" t="s">
        <v>12</v>
      </c>
      <c r="F2364" s="6">
        <v>6</v>
      </c>
      <c r="G2364" s="40">
        <v>15</v>
      </c>
      <c r="H2364" s="40">
        <v>39.908380000000001</v>
      </c>
      <c r="I2364" s="212"/>
      <c r="J2364" s="212"/>
    </row>
    <row r="2365" spans="1:10" s="5" customFormat="1" ht="22.5" hidden="1" customHeight="1" outlineLevel="1" x14ac:dyDescent="0.25">
      <c r="A2365" s="4">
        <v>3017</v>
      </c>
      <c r="B2365" s="6" t="s">
        <v>16</v>
      </c>
      <c r="C2365" s="38" t="s">
        <v>9211</v>
      </c>
      <c r="D2365" s="6">
        <v>2023</v>
      </c>
      <c r="E2365" s="6" t="s">
        <v>12</v>
      </c>
      <c r="F2365" s="6">
        <v>7</v>
      </c>
      <c r="G2365" s="40">
        <v>150</v>
      </c>
      <c r="H2365" s="40">
        <v>61.545000000000002</v>
      </c>
      <c r="I2365" s="212"/>
      <c r="J2365" s="212"/>
    </row>
    <row r="2366" spans="1:10" s="5" customFormat="1" ht="22.5" hidden="1" customHeight="1" outlineLevel="1" x14ac:dyDescent="0.25">
      <c r="A2366" s="4">
        <v>3291</v>
      </c>
      <c r="B2366" s="6" t="s">
        <v>16</v>
      </c>
      <c r="C2366" s="38" t="s">
        <v>9212</v>
      </c>
      <c r="D2366" s="6">
        <v>2023</v>
      </c>
      <c r="E2366" s="6" t="s">
        <v>12</v>
      </c>
      <c r="F2366" s="6">
        <v>70</v>
      </c>
      <c r="G2366" s="40">
        <v>10</v>
      </c>
      <c r="H2366" s="40">
        <v>66.753999999999991</v>
      </c>
      <c r="I2366" s="212"/>
      <c r="J2366" s="212"/>
    </row>
    <row r="2367" spans="1:10" s="5" customFormat="1" ht="22.5" hidden="1" customHeight="1" outlineLevel="1" x14ac:dyDescent="0.25">
      <c r="A2367" s="4">
        <v>1636</v>
      </c>
      <c r="B2367" s="6" t="s">
        <v>16</v>
      </c>
      <c r="C2367" s="38" t="s">
        <v>9213</v>
      </c>
      <c r="D2367" s="6">
        <v>2023</v>
      </c>
      <c r="E2367" s="6" t="s">
        <v>12</v>
      </c>
      <c r="F2367" s="6">
        <v>35</v>
      </c>
      <c r="G2367" s="40">
        <v>6.5</v>
      </c>
      <c r="H2367" s="40">
        <v>58.884999999999998</v>
      </c>
      <c r="I2367" s="212"/>
      <c r="J2367" s="212"/>
    </row>
    <row r="2368" spans="1:10" s="5" customFormat="1" ht="22.5" hidden="1" customHeight="1" outlineLevel="1" x14ac:dyDescent="0.25">
      <c r="A2368" s="4">
        <v>4455</v>
      </c>
      <c r="B2368" s="6" t="s">
        <v>16</v>
      </c>
      <c r="C2368" s="38" t="s">
        <v>9214</v>
      </c>
      <c r="D2368" s="6">
        <v>2023</v>
      </c>
      <c r="E2368" s="6" t="s">
        <v>12</v>
      </c>
      <c r="F2368" s="6">
        <v>180</v>
      </c>
      <c r="G2368" s="40">
        <v>50</v>
      </c>
      <c r="H2368" s="40">
        <v>267.36500000000001</v>
      </c>
      <c r="I2368" s="212"/>
      <c r="J2368" s="212"/>
    </row>
    <row r="2369" spans="1:10" s="5" customFormat="1" ht="22.5" hidden="1" customHeight="1" outlineLevel="1" x14ac:dyDescent="0.25">
      <c r="A2369" s="4">
        <v>1183</v>
      </c>
      <c r="B2369" s="6" t="s">
        <v>16</v>
      </c>
      <c r="C2369" s="38" t="s">
        <v>9104</v>
      </c>
      <c r="D2369" s="6">
        <v>2023</v>
      </c>
      <c r="E2369" s="6" t="s">
        <v>12</v>
      </c>
      <c r="F2369" s="6">
        <v>370</v>
      </c>
      <c r="G2369" s="40">
        <v>110</v>
      </c>
      <c r="H2369" s="40">
        <v>1024.8208099999999</v>
      </c>
      <c r="I2369" s="212"/>
      <c r="J2369" s="212"/>
    </row>
    <row r="2370" spans="1:10" s="5" customFormat="1" ht="22.5" hidden="1" customHeight="1" outlineLevel="1" x14ac:dyDescent="0.25">
      <c r="A2370" s="4">
        <v>4503</v>
      </c>
      <c r="B2370" s="6" t="s">
        <v>16</v>
      </c>
      <c r="C2370" s="38" t="s">
        <v>9215</v>
      </c>
      <c r="D2370" s="6">
        <v>2023</v>
      </c>
      <c r="E2370" s="6" t="s">
        <v>12</v>
      </c>
      <c r="F2370" s="6">
        <v>516</v>
      </c>
      <c r="G2370" s="40">
        <v>900</v>
      </c>
      <c r="H2370" s="40">
        <v>1890.2475999999999</v>
      </c>
      <c r="I2370" s="212"/>
      <c r="J2370" s="212"/>
    </row>
    <row r="2371" spans="1:10" s="5" customFormat="1" ht="22.5" hidden="1" customHeight="1" outlineLevel="1" x14ac:dyDescent="0.25">
      <c r="A2371" s="4">
        <v>4419</v>
      </c>
      <c r="B2371" s="6" t="s">
        <v>16</v>
      </c>
      <c r="C2371" s="38" t="s">
        <v>9216</v>
      </c>
      <c r="D2371" s="6">
        <v>2023</v>
      </c>
      <c r="E2371" s="6" t="s">
        <v>12</v>
      </c>
      <c r="F2371" s="6">
        <v>8</v>
      </c>
      <c r="G2371" s="40">
        <v>250</v>
      </c>
      <c r="H2371" s="40">
        <v>210.04570999999999</v>
      </c>
      <c r="I2371" s="212"/>
      <c r="J2371" s="212"/>
    </row>
    <row r="2372" spans="1:10" s="5" customFormat="1" ht="22.5" hidden="1" customHeight="1" outlineLevel="1" x14ac:dyDescent="0.25">
      <c r="A2372" s="4">
        <v>2966</v>
      </c>
      <c r="B2372" s="6" t="s">
        <v>16</v>
      </c>
      <c r="C2372" s="38" t="s">
        <v>9217</v>
      </c>
      <c r="D2372" s="6">
        <v>2023</v>
      </c>
      <c r="E2372" s="6" t="s">
        <v>12</v>
      </c>
      <c r="F2372" s="6">
        <v>3</v>
      </c>
      <c r="G2372" s="40">
        <v>150</v>
      </c>
      <c r="H2372" s="40">
        <v>95.524680000000004</v>
      </c>
      <c r="I2372" s="212"/>
      <c r="J2372" s="212"/>
    </row>
    <row r="2373" spans="1:10" s="5" customFormat="1" ht="22.5" hidden="1" customHeight="1" outlineLevel="1" x14ac:dyDescent="0.25">
      <c r="A2373" s="4">
        <v>465</v>
      </c>
      <c r="B2373" s="6" t="s">
        <v>16</v>
      </c>
      <c r="C2373" s="38" t="s">
        <v>9105</v>
      </c>
      <c r="D2373" s="6">
        <v>2023</v>
      </c>
      <c r="E2373" s="6" t="s">
        <v>12</v>
      </c>
      <c r="F2373" s="6">
        <v>843</v>
      </c>
      <c r="G2373" s="40">
        <v>120</v>
      </c>
      <c r="H2373" s="40">
        <v>1419.5753099999999</v>
      </c>
      <c r="I2373" s="212"/>
      <c r="J2373" s="212"/>
    </row>
    <row r="2374" spans="1:10" s="5" customFormat="1" ht="22.5" hidden="1" customHeight="1" outlineLevel="1" x14ac:dyDescent="0.25">
      <c r="A2374" s="4">
        <v>331</v>
      </c>
      <c r="B2374" s="6" t="s">
        <v>16</v>
      </c>
      <c r="C2374" s="38" t="s">
        <v>9218</v>
      </c>
      <c r="D2374" s="6">
        <v>2023</v>
      </c>
      <c r="E2374" s="6" t="s">
        <v>12</v>
      </c>
      <c r="F2374" s="6">
        <v>46</v>
      </c>
      <c r="G2374" s="40">
        <v>15</v>
      </c>
      <c r="H2374" s="40">
        <v>245.16049000000001</v>
      </c>
      <c r="I2374" s="212"/>
      <c r="J2374" s="212"/>
    </row>
    <row r="2375" spans="1:10" s="5" customFormat="1" ht="22.5" hidden="1" customHeight="1" outlineLevel="1" x14ac:dyDescent="0.25">
      <c r="A2375" s="4">
        <v>4537</v>
      </c>
      <c r="B2375" s="6" t="s">
        <v>16</v>
      </c>
      <c r="C2375" s="38" t="s">
        <v>9219</v>
      </c>
      <c r="D2375" s="6">
        <v>2023</v>
      </c>
      <c r="E2375" s="6" t="s">
        <v>12</v>
      </c>
      <c r="F2375" s="6">
        <v>70</v>
      </c>
      <c r="G2375" s="40">
        <v>134</v>
      </c>
      <c r="H2375" s="40">
        <v>181.68522000000002</v>
      </c>
      <c r="I2375" s="212"/>
      <c r="J2375" s="212"/>
    </row>
    <row r="2376" spans="1:10" s="5" customFormat="1" ht="22.5" hidden="1" customHeight="1" outlineLevel="1" x14ac:dyDescent="0.25">
      <c r="A2376" s="4">
        <v>3118</v>
      </c>
      <c r="B2376" s="6" t="s">
        <v>16</v>
      </c>
      <c r="C2376" s="38" t="s">
        <v>9106</v>
      </c>
      <c r="D2376" s="6">
        <v>2023</v>
      </c>
      <c r="E2376" s="6" t="s">
        <v>12</v>
      </c>
      <c r="F2376" s="6">
        <v>20</v>
      </c>
      <c r="G2376" s="40">
        <v>150</v>
      </c>
      <c r="H2376" s="40">
        <v>60.669750000000001</v>
      </c>
      <c r="I2376" s="212"/>
      <c r="J2376" s="212"/>
    </row>
    <row r="2377" spans="1:10" s="5" customFormat="1" ht="22.5" hidden="1" customHeight="1" outlineLevel="1" x14ac:dyDescent="0.25">
      <c r="A2377" s="4">
        <v>3005</v>
      </c>
      <c r="B2377" s="6" t="s">
        <v>16</v>
      </c>
      <c r="C2377" s="38" t="s">
        <v>9220</v>
      </c>
      <c r="D2377" s="6">
        <v>2023</v>
      </c>
      <c r="E2377" s="6" t="s">
        <v>12</v>
      </c>
      <c r="F2377" s="6">
        <v>20</v>
      </c>
      <c r="G2377" s="40">
        <v>150</v>
      </c>
      <c r="H2377" s="40">
        <v>54.404809999999998</v>
      </c>
      <c r="I2377" s="212"/>
      <c r="J2377" s="212"/>
    </row>
    <row r="2378" spans="1:10" s="5" customFormat="1" ht="22.5" hidden="1" customHeight="1" outlineLevel="1" x14ac:dyDescent="0.25">
      <c r="A2378" s="4">
        <v>3117</v>
      </c>
      <c r="B2378" s="6" t="s">
        <v>16</v>
      </c>
      <c r="C2378" s="38" t="s">
        <v>9107</v>
      </c>
      <c r="D2378" s="6">
        <v>2023</v>
      </c>
      <c r="E2378" s="6" t="s">
        <v>12</v>
      </c>
      <c r="F2378" s="6">
        <v>20</v>
      </c>
      <c r="G2378" s="40">
        <v>150</v>
      </c>
      <c r="H2378" s="40">
        <v>65.931569999999994</v>
      </c>
      <c r="I2378" s="212"/>
      <c r="J2378" s="212"/>
    </row>
    <row r="2379" spans="1:10" s="5" customFormat="1" ht="22.5" hidden="1" customHeight="1" outlineLevel="1" x14ac:dyDescent="0.25">
      <c r="A2379" s="4">
        <v>3116</v>
      </c>
      <c r="B2379" s="6" t="s">
        <v>16</v>
      </c>
      <c r="C2379" s="38" t="s">
        <v>9221</v>
      </c>
      <c r="D2379" s="6">
        <v>2023</v>
      </c>
      <c r="E2379" s="6" t="s">
        <v>12</v>
      </c>
      <c r="F2379" s="6">
        <v>331</v>
      </c>
      <c r="G2379" s="40">
        <v>115</v>
      </c>
      <c r="H2379" s="40">
        <v>591.74844999999993</v>
      </c>
      <c r="I2379" s="212"/>
      <c r="J2379" s="212"/>
    </row>
    <row r="2380" spans="1:10" s="5" customFormat="1" ht="22.5" hidden="1" customHeight="1" outlineLevel="1" x14ac:dyDescent="0.25">
      <c r="A2380" s="4">
        <v>3041</v>
      </c>
      <c r="B2380" s="6" t="s">
        <v>16</v>
      </c>
      <c r="C2380" s="38" t="s">
        <v>9108</v>
      </c>
      <c r="D2380" s="6">
        <v>2023</v>
      </c>
      <c r="E2380" s="6" t="s">
        <v>12</v>
      </c>
      <c r="F2380" s="6">
        <v>301</v>
      </c>
      <c r="G2380" s="40">
        <v>120</v>
      </c>
      <c r="H2380" s="40">
        <v>374.49081000000001</v>
      </c>
      <c r="I2380" s="212"/>
      <c r="J2380" s="212"/>
    </row>
    <row r="2381" spans="1:10" s="5" customFormat="1" ht="22.5" hidden="1" customHeight="1" outlineLevel="1" x14ac:dyDescent="0.25">
      <c r="A2381" s="4">
        <v>3127</v>
      </c>
      <c r="B2381" s="6" t="s">
        <v>16</v>
      </c>
      <c r="C2381" s="38" t="s">
        <v>9109</v>
      </c>
      <c r="D2381" s="6">
        <v>2023</v>
      </c>
      <c r="E2381" s="6" t="s">
        <v>12</v>
      </c>
      <c r="F2381" s="6">
        <v>62</v>
      </c>
      <c r="G2381" s="40">
        <v>450</v>
      </c>
      <c r="H2381" s="40">
        <v>202.82460999999998</v>
      </c>
      <c r="I2381" s="212"/>
      <c r="J2381" s="212"/>
    </row>
    <row r="2382" spans="1:10" s="5" customFormat="1" ht="22.5" hidden="1" customHeight="1" outlineLevel="1" x14ac:dyDescent="0.25">
      <c r="A2382" s="4">
        <v>660</v>
      </c>
      <c r="B2382" s="6" t="s">
        <v>16</v>
      </c>
      <c r="C2382" s="38" t="s">
        <v>9110</v>
      </c>
      <c r="D2382" s="6">
        <v>2023</v>
      </c>
      <c r="E2382" s="6" t="s">
        <v>12</v>
      </c>
      <c r="F2382" s="6">
        <v>754</v>
      </c>
      <c r="G2382" s="40">
        <v>30</v>
      </c>
      <c r="H2382" s="40">
        <v>1580.63096</v>
      </c>
      <c r="I2382" s="212"/>
      <c r="J2382" s="212"/>
    </row>
    <row r="2383" spans="1:10" s="5" customFormat="1" ht="22.5" hidden="1" customHeight="1" outlineLevel="1" x14ac:dyDescent="0.25">
      <c r="A2383" s="42">
        <v>3749</v>
      </c>
      <c r="B2383" s="4" t="s">
        <v>16</v>
      </c>
      <c r="C2383" s="35" t="s">
        <v>206</v>
      </c>
      <c r="D2383" s="4">
        <v>2021</v>
      </c>
      <c r="E2383" s="4"/>
      <c r="F2383" s="4">
        <v>36</v>
      </c>
      <c r="G2383" s="4">
        <v>100</v>
      </c>
      <c r="H2383" s="4">
        <v>128.31768</v>
      </c>
      <c r="I2383" s="201"/>
      <c r="J2383" s="201"/>
    </row>
    <row r="2384" spans="1:10" s="5" customFormat="1" ht="22.5" hidden="1" customHeight="1" outlineLevel="1" x14ac:dyDescent="0.25">
      <c r="A2384" s="42">
        <v>1190</v>
      </c>
      <c r="B2384" s="4" t="s">
        <v>16</v>
      </c>
      <c r="C2384" s="38" t="s">
        <v>207</v>
      </c>
      <c r="D2384" s="4">
        <v>2021</v>
      </c>
      <c r="E2384" s="4"/>
      <c r="F2384" s="4">
        <v>5</v>
      </c>
      <c r="G2384" s="4">
        <v>150</v>
      </c>
      <c r="H2384" s="4">
        <v>48.889449999999997</v>
      </c>
      <c r="I2384" s="201"/>
      <c r="J2384" s="201"/>
    </row>
    <row r="2385" spans="1:10" s="5" customFormat="1" ht="22.5" hidden="1" customHeight="1" outlineLevel="1" x14ac:dyDescent="0.25">
      <c r="A2385" s="41">
        <v>9679</v>
      </c>
      <c r="B2385" s="4" t="s">
        <v>16</v>
      </c>
      <c r="C2385" s="38" t="s">
        <v>208</v>
      </c>
      <c r="D2385" s="4">
        <v>2021</v>
      </c>
      <c r="E2385" s="4"/>
      <c r="F2385" s="4">
        <v>18</v>
      </c>
      <c r="G2385" s="4">
        <v>60</v>
      </c>
      <c r="H2385" s="4">
        <v>34.933639999999997</v>
      </c>
      <c r="I2385" s="201"/>
      <c r="J2385" s="201"/>
    </row>
    <row r="2386" spans="1:10" s="5" customFormat="1" ht="22.5" hidden="1" customHeight="1" outlineLevel="1" x14ac:dyDescent="0.25">
      <c r="A2386" s="42">
        <v>3741</v>
      </c>
      <c r="B2386" s="4" t="s">
        <v>16</v>
      </c>
      <c r="C2386" s="38" t="s">
        <v>209</v>
      </c>
      <c r="D2386" s="4">
        <v>2021</v>
      </c>
      <c r="E2386" s="4"/>
      <c r="F2386" s="4">
        <v>5</v>
      </c>
      <c r="G2386" s="4">
        <v>15</v>
      </c>
      <c r="H2386" s="4">
        <v>44.38044</v>
      </c>
      <c r="I2386" s="201"/>
      <c r="J2386" s="201"/>
    </row>
    <row r="2387" spans="1:10" s="5" customFormat="1" ht="22.5" hidden="1" customHeight="1" outlineLevel="1" x14ac:dyDescent="0.25">
      <c r="A2387" s="42">
        <v>3745</v>
      </c>
      <c r="B2387" s="4" t="s">
        <v>16</v>
      </c>
      <c r="C2387" s="38" t="s">
        <v>210</v>
      </c>
      <c r="D2387" s="4">
        <v>2021</v>
      </c>
      <c r="E2387" s="4"/>
      <c r="F2387" s="4">
        <v>50</v>
      </c>
      <c r="G2387" s="4">
        <v>70</v>
      </c>
      <c r="H2387" s="4">
        <v>110.82632</v>
      </c>
      <c r="I2387" s="201"/>
      <c r="J2387" s="201"/>
    </row>
    <row r="2388" spans="1:10" s="5" customFormat="1" ht="22.5" hidden="1" customHeight="1" outlineLevel="1" x14ac:dyDescent="0.25">
      <c r="A2388" s="41">
        <v>9684</v>
      </c>
      <c r="B2388" s="4" t="s">
        <v>16</v>
      </c>
      <c r="C2388" s="38" t="s">
        <v>211</v>
      </c>
      <c r="D2388" s="4">
        <v>2021</v>
      </c>
      <c r="E2388" s="4"/>
      <c r="F2388" s="4">
        <v>5</v>
      </c>
      <c r="G2388" s="4">
        <v>15</v>
      </c>
      <c r="H2388" s="4">
        <v>88.547899999999998</v>
      </c>
      <c r="I2388" s="201"/>
      <c r="J2388" s="201"/>
    </row>
    <row r="2389" spans="1:10" s="5" customFormat="1" ht="22.5" hidden="1" customHeight="1" outlineLevel="1" x14ac:dyDescent="0.25">
      <c r="A2389" s="41">
        <v>9737</v>
      </c>
      <c r="B2389" s="4" t="s">
        <v>16</v>
      </c>
      <c r="C2389" s="38" t="s">
        <v>212</v>
      </c>
      <c r="D2389" s="4">
        <v>2021</v>
      </c>
      <c r="E2389" s="4"/>
      <c r="F2389" s="4">
        <v>10</v>
      </c>
      <c r="G2389" s="4">
        <v>50</v>
      </c>
      <c r="H2389" s="4">
        <v>75.592569999999995</v>
      </c>
      <c r="I2389" s="201"/>
      <c r="J2389" s="201"/>
    </row>
    <row r="2390" spans="1:10" s="5" customFormat="1" ht="22.5" hidden="1" customHeight="1" outlineLevel="1" x14ac:dyDescent="0.25">
      <c r="A2390" s="41">
        <v>9562</v>
      </c>
      <c r="B2390" s="4" t="s">
        <v>16</v>
      </c>
      <c r="C2390" s="38" t="s">
        <v>213</v>
      </c>
      <c r="D2390" s="4">
        <v>2021</v>
      </c>
      <c r="E2390" s="4"/>
      <c r="F2390" s="4">
        <v>160</v>
      </c>
      <c r="G2390" s="4">
        <v>15</v>
      </c>
      <c r="H2390" s="4">
        <v>203.90380999999999</v>
      </c>
      <c r="I2390" s="201"/>
      <c r="J2390" s="201"/>
    </row>
    <row r="2391" spans="1:10" s="5" customFormat="1" ht="22.5" hidden="1" customHeight="1" outlineLevel="1" x14ac:dyDescent="0.25">
      <c r="A2391" s="41">
        <v>9551</v>
      </c>
      <c r="B2391" s="4" t="s">
        <v>16</v>
      </c>
      <c r="C2391" s="38" t="s">
        <v>214</v>
      </c>
      <c r="D2391" s="4">
        <v>2021</v>
      </c>
      <c r="E2391" s="4"/>
      <c r="F2391" s="4">
        <v>135</v>
      </c>
      <c r="G2391" s="4">
        <v>10</v>
      </c>
      <c r="H2391" s="4">
        <v>187.12297000000001</v>
      </c>
      <c r="I2391" s="201"/>
      <c r="J2391" s="201"/>
    </row>
    <row r="2392" spans="1:10" s="5" customFormat="1" ht="22.5" hidden="1" customHeight="1" outlineLevel="1" x14ac:dyDescent="0.25">
      <c r="A2392" s="42">
        <v>805</v>
      </c>
      <c r="B2392" s="4" t="s">
        <v>16</v>
      </c>
      <c r="C2392" s="38" t="s">
        <v>215</v>
      </c>
      <c r="D2392" s="4">
        <v>2021</v>
      </c>
      <c r="E2392" s="4"/>
      <c r="F2392" s="4">
        <v>260</v>
      </c>
      <c r="G2392" s="4">
        <v>30</v>
      </c>
      <c r="H2392" s="4">
        <v>298.61651999999998</v>
      </c>
      <c r="I2392" s="201"/>
      <c r="J2392" s="201"/>
    </row>
    <row r="2393" spans="1:10" s="5" customFormat="1" ht="22.5" hidden="1" customHeight="1" outlineLevel="1" x14ac:dyDescent="0.25">
      <c r="A2393" s="42">
        <v>800</v>
      </c>
      <c r="B2393" s="4" t="s">
        <v>16</v>
      </c>
      <c r="C2393" s="38" t="s">
        <v>216</v>
      </c>
      <c r="D2393" s="4">
        <v>2021</v>
      </c>
      <c r="E2393" s="4"/>
      <c r="F2393" s="4">
        <v>30</v>
      </c>
      <c r="G2393" s="4">
        <v>15</v>
      </c>
      <c r="H2393" s="4">
        <v>89.437079999999995</v>
      </c>
      <c r="I2393" s="201"/>
      <c r="J2393" s="201"/>
    </row>
    <row r="2394" spans="1:10" s="5" customFormat="1" ht="22.5" hidden="1" customHeight="1" outlineLevel="1" x14ac:dyDescent="0.25">
      <c r="A2394" s="42">
        <v>3837</v>
      </c>
      <c r="B2394" s="4" t="s">
        <v>16</v>
      </c>
      <c r="C2394" s="38" t="s">
        <v>217</v>
      </c>
      <c r="D2394" s="4">
        <v>2021</v>
      </c>
      <c r="E2394" s="4"/>
      <c r="F2394" s="4">
        <v>103</v>
      </c>
      <c r="G2394" s="4">
        <v>15</v>
      </c>
      <c r="H2394" s="4">
        <v>237.81196</v>
      </c>
      <c r="I2394" s="201"/>
      <c r="J2394" s="201"/>
    </row>
    <row r="2395" spans="1:10" s="5" customFormat="1" ht="22.5" hidden="1" customHeight="1" outlineLevel="1" x14ac:dyDescent="0.25">
      <c r="A2395" s="41">
        <v>9556</v>
      </c>
      <c r="B2395" s="4" t="s">
        <v>16</v>
      </c>
      <c r="C2395" s="38" t="s">
        <v>218</v>
      </c>
      <c r="D2395" s="4">
        <v>2021</v>
      </c>
      <c r="E2395" s="4"/>
      <c r="F2395" s="4">
        <v>35</v>
      </c>
      <c r="G2395" s="4">
        <v>10</v>
      </c>
      <c r="H2395" s="4">
        <v>109.99688999999999</v>
      </c>
      <c r="I2395" s="201"/>
      <c r="J2395" s="201"/>
    </row>
    <row r="2396" spans="1:10" s="5" customFormat="1" ht="22.5" hidden="1" customHeight="1" outlineLevel="1" x14ac:dyDescent="0.25">
      <c r="A2396" s="41">
        <v>9683</v>
      </c>
      <c r="B2396" s="4" t="s">
        <v>16</v>
      </c>
      <c r="C2396" s="38" t="s">
        <v>219</v>
      </c>
      <c r="D2396" s="4">
        <v>2021</v>
      </c>
      <c r="E2396" s="4"/>
      <c r="F2396" s="4">
        <v>5</v>
      </c>
      <c r="G2396" s="4">
        <v>50</v>
      </c>
      <c r="H2396" s="4">
        <v>34.902509999999999</v>
      </c>
      <c r="I2396" s="201"/>
      <c r="J2396" s="201"/>
    </row>
    <row r="2397" spans="1:10" s="5" customFormat="1" ht="22.5" hidden="1" customHeight="1" outlineLevel="1" x14ac:dyDescent="0.25">
      <c r="A2397" s="41">
        <v>9685</v>
      </c>
      <c r="B2397" s="4" t="s">
        <v>16</v>
      </c>
      <c r="C2397" s="35" t="s">
        <v>220</v>
      </c>
      <c r="D2397" s="4">
        <v>2021</v>
      </c>
      <c r="E2397" s="4"/>
      <c r="F2397" s="4">
        <v>35</v>
      </c>
      <c r="G2397" s="4">
        <v>15</v>
      </c>
      <c r="H2397" s="4">
        <v>114.18888</v>
      </c>
      <c r="I2397" s="201"/>
      <c r="J2397" s="201"/>
    </row>
    <row r="2398" spans="1:10" s="5" customFormat="1" ht="22.5" hidden="1" customHeight="1" outlineLevel="1" x14ac:dyDescent="0.25">
      <c r="A2398" s="42">
        <v>828</v>
      </c>
      <c r="B2398" s="4" t="s">
        <v>16</v>
      </c>
      <c r="C2398" s="38" t="s">
        <v>221</v>
      </c>
      <c r="D2398" s="4">
        <v>2021</v>
      </c>
      <c r="E2398" s="4"/>
      <c r="F2398" s="4">
        <v>153</v>
      </c>
      <c r="G2398" s="4">
        <v>150</v>
      </c>
      <c r="H2398" s="4">
        <v>166.82500999999999</v>
      </c>
      <c r="I2398" s="201"/>
      <c r="J2398" s="201"/>
    </row>
    <row r="2399" spans="1:10" s="5" customFormat="1" ht="22.5" hidden="1" customHeight="1" outlineLevel="1" x14ac:dyDescent="0.25">
      <c r="A2399" s="42">
        <v>814</v>
      </c>
      <c r="B2399" s="4" t="s">
        <v>16</v>
      </c>
      <c r="C2399" s="38" t="s">
        <v>222</v>
      </c>
      <c r="D2399" s="4">
        <v>2021</v>
      </c>
      <c r="E2399" s="4"/>
      <c r="F2399" s="4">
        <v>100</v>
      </c>
      <c r="G2399" s="4">
        <v>15</v>
      </c>
      <c r="H2399" s="4">
        <v>104.42939</v>
      </c>
      <c r="I2399" s="201"/>
      <c r="J2399" s="201"/>
    </row>
    <row r="2400" spans="1:10" s="5" customFormat="1" ht="22.5" hidden="1" customHeight="1" outlineLevel="1" x14ac:dyDescent="0.25">
      <c r="A2400" s="42">
        <v>1285</v>
      </c>
      <c r="B2400" s="4" t="s">
        <v>16</v>
      </c>
      <c r="C2400" s="38" t="s">
        <v>223</v>
      </c>
      <c r="D2400" s="4">
        <v>2021</v>
      </c>
      <c r="E2400" s="4"/>
      <c r="F2400" s="4">
        <v>56</v>
      </c>
      <c r="G2400" s="4">
        <v>30</v>
      </c>
      <c r="H2400" s="4">
        <v>172.69486000000001</v>
      </c>
      <c r="I2400" s="201"/>
      <c r="J2400" s="201"/>
    </row>
    <row r="2401" spans="1:10" s="5" customFormat="1" ht="22.5" hidden="1" customHeight="1" outlineLevel="1" x14ac:dyDescent="0.25">
      <c r="A2401" s="42">
        <v>1277</v>
      </c>
      <c r="B2401" s="4" t="s">
        <v>16</v>
      </c>
      <c r="C2401" s="38" t="s">
        <v>224</v>
      </c>
      <c r="D2401" s="4">
        <v>2021</v>
      </c>
      <c r="E2401" s="4"/>
      <c r="F2401" s="4">
        <v>94</v>
      </c>
      <c r="G2401" s="4">
        <v>20</v>
      </c>
      <c r="H2401" s="4">
        <v>270.18968999999998</v>
      </c>
      <c r="I2401" s="201"/>
      <c r="J2401" s="201"/>
    </row>
    <row r="2402" spans="1:10" s="5" customFormat="1" ht="22.5" hidden="1" customHeight="1" outlineLevel="1" x14ac:dyDescent="0.25">
      <c r="A2402" s="41">
        <v>9806</v>
      </c>
      <c r="B2402" s="4" t="s">
        <v>16</v>
      </c>
      <c r="C2402" s="38" t="s">
        <v>225</v>
      </c>
      <c r="D2402" s="4">
        <v>2021</v>
      </c>
      <c r="E2402" s="4"/>
      <c r="F2402" s="4">
        <v>144</v>
      </c>
      <c r="G2402" s="4">
        <v>15</v>
      </c>
      <c r="H2402" s="4">
        <v>151.28398000000001</v>
      </c>
      <c r="I2402" s="201"/>
      <c r="J2402" s="201"/>
    </row>
    <row r="2403" spans="1:10" s="5" customFormat="1" ht="22.5" hidden="1" customHeight="1" outlineLevel="1" x14ac:dyDescent="0.25">
      <c r="A2403" s="41">
        <v>9545</v>
      </c>
      <c r="B2403" s="4" t="s">
        <v>16</v>
      </c>
      <c r="C2403" s="38" t="s">
        <v>226</v>
      </c>
      <c r="D2403" s="4">
        <v>2021</v>
      </c>
      <c r="E2403" s="4"/>
      <c r="F2403" s="4">
        <v>175</v>
      </c>
      <c r="G2403" s="4">
        <v>15</v>
      </c>
      <c r="H2403" s="4">
        <v>318.03751</v>
      </c>
      <c r="I2403" s="201"/>
      <c r="J2403" s="201"/>
    </row>
    <row r="2404" spans="1:10" s="5" customFormat="1" ht="22.5" hidden="1" customHeight="1" outlineLevel="1" x14ac:dyDescent="0.25">
      <c r="A2404" s="42">
        <v>3746</v>
      </c>
      <c r="B2404" s="4" t="s">
        <v>16</v>
      </c>
      <c r="C2404" s="38" t="s">
        <v>227</v>
      </c>
      <c r="D2404" s="4">
        <v>2021</v>
      </c>
      <c r="E2404" s="4"/>
      <c r="F2404" s="4">
        <v>219</v>
      </c>
      <c r="G2404" s="4">
        <v>15</v>
      </c>
      <c r="H2404" s="4">
        <v>340.99779000000001</v>
      </c>
      <c r="I2404" s="201"/>
      <c r="J2404" s="201"/>
    </row>
    <row r="2405" spans="1:10" s="5" customFormat="1" ht="22.5" hidden="1" customHeight="1" outlineLevel="1" x14ac:dyDescent="0.25">
      <c r="A2405" s="41">
        <v>9738</v>
      </c>
      <c r="B2405" s="4" t="s">
        <v>16</v>
      </c>
      <c r="C2405" s="38" t="s">
        <v>228</v>
      </c>
      <c r="D2405" s="4">
        <v>2021</v>
      </c>
      <c r="E2405" s="4"/>
      <c r="F2405" s="4">
        <v>5</v>
      </c>
      <c r="G2405" s="4">
        <v>15</v>
      </c>
      <c r="H2405" s="4">
        <v>50.992269999999998</v>
      </c>
      <c r="I2405" s="201"/>
      <c r="J2405" s="201"/>
    </row>
    <row r="2406" spans="1:10" s="5" customFormat="1" ht="22.5" hidden="1" customHeight="1" outlineLevel="1" x14ac:dyDescent="0.25">
      <c r="A2406" s="42">
        <v>3823</v>
      </c>
      <c r="B2406" s="4" t="s">
        <v>16</v>
      </c>
      <c r="C2406" s="38" t="s">
        <v>229</v>
      </c>
      <c r="D2406" s="4">
        <v>2021</v>
      </c>
      <c r="E2406" s="4"/>
      <c r="F2406" s="4">
        <v>121</v>
      </c>
      <c r="G2406" s="4">
        <v>150</v>
      </c>
      <c r="H2406" s="4">
        <v>167.27436</v>
      </c>
      <c r="I2406" s="201"/>
      <c r="J2406" s="201"/>
    </row>
    <row r="2407" spans="1:10" s="5" customFormat="1" ht="22.5" hidden="1" customHeight="1" outlineLevel="1" x14ac:dyDescent="0.25">
      <c r="A2407" s="41">
        <v>9479</v>
      </c>
      <c r="B2407" s="4" t="s">
        <v>16</v>
      </c>
      <c r="C2407" s="38" t="s">
        <v>230</v>
      </c>
      <c r="D2407" s="4">
        <v>2021</v>
      </c>
      <c r="E2407" s="4"/>
      <c r="F2407" s="4">
        <v>471</v>
      </c>
      <c r="G2407" s="4">
        <v>15</v>
      </c>
      <c r="H2407" s="4">
        <v>679.78890999999999</v>
      </c>
      <c r="I2407" s="201"/>
      <c r="J2407" s="201"/>
    </row>
    <row r="2408" spans="1:10" s="5" customFormat="1" ht="22.5" hidden="1" customHeight="1" outlineLevel="1" x14ac:dyDescent="0.25">
      <c r="A2408" s="42">
        <v>1291</v>
      </c>
      <c r="B2408" s="4" t="s">
        <v>16</v>
      </c>
      <c r="C2408" s="38" t="s">
        <v>231</v>
      </c>
      <c r="D2408" s="4">
        <v>2021</v>
      </c>
      <c r="E2408" s="4"/>
      <c r="F2408" s="4">
        <v>290</v>
      </c>
      <c r="G2408" s="4">
        <v>15</v>
      </c>
      <c r="H2408" s="4">
        <v>427.78285</v>
      </c>
      <c r="I2408" s="201"/>
      <c r="J2408" s="201"/>
    </row>
    <row r="2409" spans="1:10" s="5" customFormat="1" ht="22.5" hidden="1" customHeight="1" outlineLevel="1" x14ac:dyDescent="0.25">
      <c r="A2409" s="41">
        <v>9566</v>
      </c>
      <c r="B2409" s="4" t="s">
        <v>16</v>
      </c>
      <c r="C2409" s="38" t="s">
        <v>232</v>
      </c>
      <c r="D2409" s="4">
        <v>2021</v>
      </c>
      <c r="E2409" s="4"/>
      <c r="F2409" s="4">
        <v>491</v>
      </c>
      <c r="G2409" s="4">
        <v>15</v>
      </c>
      <c r="H2409" s="4">
        <v>641.06978000000004</v>
      </c>
      <c r="I2409" s="201"/>
      <c r="J2409" s="201"/>
    </row>
    <row r="2410" spans="1:10" s="5" customFormat="1" ht="22.5" hidden="1" customHeight="1" outlineLevel="1" x14ac:dyDescent="0.25">
      <c r="A2410" s="42">
        <v>3802</v>
      </c>
      <c r="B2410" s="4" t="s">
        <v>16</v>
      </c>
      <c r="C2410" s="38" t="s">
        <v>233</v>
      </c>
      <c r="D2410" s="4">
        <v>2021</v>
      </c>
      <c r="E2410" s="4"/>
      <c r="F2410" s="4">
        <v>4</v>
      </c>
      <c r="G2410" s="4">
        <v>135</v>
      </c>
      <c r="H2410" s="4">
        <v>143.62799999999999</v>
      </c>
      <c r="I2410" s="201"/>
      <c r="J2410" s="201"/>
    </row>
    <row r="2411" spans="1:10" s="5" customFormat="1" ht="22.5" hidden="1" customHeight="1" outlineLevel="1" x14ac:dyDescent="0.25">
      <c r="A2411" s="41">
        <v>9538</v>
      </c>
      <c r="B2411" s="4" t="s">
        <v>16</v>
      </c>
      <c r="C2411" s="38" t="s">
        <v>234</v>
      </c>
      <c r="D2411" s="4">
        <v>2021</v>
      </c>
      <c r="E2411" s="4"/>
      <c r="F2411" s="4">
        <v>513</v>
      </c>
      <c r="G2411" s="4">
        <v>15</v>
      </c>
      <c r="H2411" s="4">
        <v>697.56600000000003</v>
      </c>
      <c r="I2411" s="201"/>
      <c r="J2411" s="201"/>
    </row>
    <row r="2412" spans="1:10" s="5" customFormat="1" ht="22.5" hidden="1" customHeight="1" outlineLevel="1" x14ac:dyDescent="0.25">
      <c r="A2412" s="41">
        <v>9547</v>
      </c>
      <c r="B2412" s="4" t="s">
        <v>16</v>
      </c>
      <c r="C2412" s="38" t="s">
        <v>235</v>
      </c>
      <c r="D2412" s="4">
        <v>2021</v>
      </c>
      <c r="E2412" s="4"/>
      <c r="F2412" s="4">
        <v>150</v>
      </c>
      <c r="G2412" s="4">
        <v>10</v>
      </c>
      <c r="H2412" s="4">
        <v>142.78299999999999</v>
      </c>
      <c r="I2412" s="201"/>
      <c r="J2412" s="201"/>
    </row>
    <row r="2413" spans="1:10" s="5" customFormat="1" ht="22.5" hidden="1" customHeight="1" outlineLevel="1" x14ac:dyDescent="0.25">
      <c r="A2413" s="42">
        <v>1299</v>
      </c>
      <c r="B2413" s="4" t="s">
        <v>16</v>
      </c>
      <c r="C2413" s="38" t="s">
        <v>236</v>
      </c>
      <c r="D2413" s="4">
        <v>2021</v>
      </c>
      <c r="E2413" s="4"/>
      <c r="F2413" s="4">
        <v>106</v>
      </c>
      <c r="G2413" s="4">
        <v>30</v>
      </c>
      <c r="H2413" s="4">
        <v>327.07900000000001</v>
      </c>
      <c r="I2413" s="201"/>
      <c r="J2413" s="201"/>
    </row>
    <row r="2414" spans="1:10" s="5" customFormat="1" ht="22.5" hidden="1" customHeight="1" outlineLevel="1" x14ac:dyDescent="0.25">
      <c r="A2414" s="42">
        <v>846</v>
      </c>
      <c r="B2414" s="4" t="s">
        <v>16</v>
      </c>
      <c r="C2414" s="38" t="s">
        <v>237</v>
      </c>
      <c r="D2414" s="4">
        <v>2021</v>
      </c>
      <c r="E2414" s="4"/>
      <c r="F2414" s="4">
        <v>272</v>
      </c>
      <c r="G2414" s="4">
        <v>45</v>
      </c>
      <c r="H2414" s="4">
        <v>413.95400000000001</v>
      </c>
      <c r="I2414" s="201"/>
      <c r="J2414" s="201"/>
    </row>
    <row r="2415" spans="1:10" s="5" customFormat="1" ht="22.5" hidden="1" customHeight="1" outlineLevel="1" x14ac:dyDescent="0.25">
      <c r="A2415" s="41">
        <v>9552</v>
      </c>
      <c r="B2415" s="4" t="s">
        <v>16</v>
      </c>
      <c r="C2415" s="38" t="s">
        <v>238</v>
      </c>
      <c r="D2415" s="4">
        <v>2021</v>
      </c>
      <c r="E2415" s="4"/>
      <c r="F2415" s="4">
        <v>166</v>
      </c>
      <c r="G2415" s="4">
        <v>10</v>
      </c>
      <c r="H2415" s="4">
        <v>272.72800000000001</v>
      </c>
      <c r="I2415" s="201"/>
      <c r="J2415" s="201"/>
    </row>
    <row r="2416" spans="1:10" s="5" customFormat="1" ht="22.5" hidden="1" customHeight="1" outlineLevel="1" x14ac:dyDescent="0.25">
      <c r="A2416" s="42">
        <v>3801</v>
      </c>
      <c r="B2416" s="4" t="s">
        <v>16</v>
      </c>
      <c r="C2416" s="38" t="s">
        <v>239</v>
      </c>
      <c r="D2416" s="4">
        <v>2021</v>
      </c>
      <c r="E2416" s="4"/>
      <c r="F2416" s="4">
        <v>13</v>
      </c>
      <c r="G2416" s="4">
        <v>15</v>
      </c>
      <c r="H2416" s="4">
        <v>105.059</v>
      </c>
      <c r="I2416" s="201"/>
      <c r="J2416" s="201"/>
    </row>
    <row r="2417" spans="1:10" s="5" customFormat="1" ht="22.5" hidden="1" customHeight="1" outlineLevel="1" x14ac:dyDescent="0.25">
      <c r="A2417" s="41">
        <v>9553</v>
      </c>
      <c r="B2417" s="4" t="s">
        <v>16</v>
      </c>
      <c r="C2417" s="38" t="s">
        <v>240</v>
      </c>
      <c r="D2417" s="4">
        <v>2021</v>
      </c>
      <c r="E2417" s="4"/>
      <c r="F2417" s="4">
        <v>232</v>
      </c>
      <c r="G2417" s="4">
        <v>14</v>
      </c>
      <c r="H2417" s="4">
        <v>327.53100000000001</v>
      </c>
      <c r="I2417" s="201"/>
      <c r="J2417" s="201"/>
    </row>
    <row r="2418" spans="1:10" s="5" customFormat="1" ht="22.5" hidden="1" customHeight="1" outlineLevel="1" x14ac:dyDescent="0.25">
      <c r="A2418" s="41">
        <v>9563</v>
      </c>
      <c r="B2418" s="4" t="s">
        <v>16</v>
      </c>
      <c r="C2418" s="38" t="s">
        <v>241</v>
      </c>
      <c r="D2418" s="4">
        <v>2021</v>
      </c>
      <c r="E2418" s="4"/>
      <c r="F2418" s="4">
        <v>70</v>
      </c>
      <c r="G2418" s="4">
        <v>15</v>
      </c>
      <c r="H2418" s="4">
        <v>86.536000000000001</v>
      </c>
      <c r="I2418" s="201"/>
      <c r="J2418" s="201"/>
    </row>
    <row r="2419" spans="1:10" s="5" customFormat="1" ht="22.5" hidden="1" customHeight="1" outlineLevel="1" x14ac:dyDescent="0.25">
      <c r="A2419" s="41">
        <v>9554</v>
      </c>
      <c r="B2419" s="4" t="s">
        <v>16</v>
      </c>
      <c r="C2419" s="38" t="s">
        <v>242</v>
      </c>
      <c r="D2419" s="4">
        <v>2021</v>
      </c>
      <c r="E2419" s="4"/>
      <c r="F2419" s="4">
        <v>120</v>
      </c>
      <c r="G2419" s="4">
        <v>15</v>
      </c>
      <c r="H2419" s="4">
        <v>114.628</v>
      </c>
      <c r="I2419" s="201"/>
      <c r="J2419" s="201"/>
    </row>
    <row r="2420" spans="1:10" s="5" customFormat="1" ht="22.5" hidden="1" customHeight="1" outlineLevel="1" x14ac:dyDescent="0.25">
      <c r="A2420" s="41">
        <v>9561</v>
      </c>
      <c r="B2420" s="4" t="s">
        <v>16</v>
      </c>
      <c r="C2420" s="38" t="s">
        <v>243</v>
      </c>
      <c r="D2420" s="4">
        <v>2021</v>
      </c>
      <c r="E2420" s="4"/>
      <c r="F2420" s="4">
        <v>160</v>
      </c>
      <c r="G2420" s="4">
        <v>15</v>
      </c>
      <c r="H2420" s="4">
        <v>149.96100000000001</v>
      </c>
      <c r="I2420" s="201"/>
      <c r="J2420" s="201"/>
    </row>
    <row r="2421" spans="1:10" s="5" customFormat="1" ht="22.5" hidden="1" customHeight="1" outlineLevel="1" x14ac:dyDescent="0.25">
      <c r="A2421" s="41">
        <v>9537</v>
      </c>
      <c r="B2421" s="4" t="s">
        <v>16</v>
      </c>
      <c r="C2421" s="35" t="s">
        <v>244</v>
      </c>
      <c r="D2421" s="4">
        <v>2021</v>
      </c>
      <c r="E2421" s="4"/>
      <c r="F2421" s="4">
        <v>110</v>
      </c>
      <c r="G2421" s="4">
        <v>6</v>
      </c>
      <c r="H2421" s="4">
        <v>148.137</v>
      </c>
      <c r="I2421" s="201"/>
      <c r="J2421" s="201"/>
    </row>
    <row r="2422" spans="1:10" s="5" customFormat="1" ht="22.5" hidden="1" customHeight="1" outlineLevel="1" x14ac:dyDescent="0.25">
      <c r="A2422" s="41">
        <v>9559</v>
      </c>
      <c r="B2422" s="4" t="s">
        <v>16</v>
      </c>
      <c r="C2422" s="38" t="s">
        <v>245</v>
      </c>
      <c r="D2422" s="4">
        <v>2021</v>
      </c>
      <c r="E2422" s="4"/>
      <c r="F2422" s="4">
        <v>150</v>
      </c>
      <c r="G2422" s="4">
        <v>15</v>
      </c>
      <c r="H2422" s="4">
        <v>161.434</v>
      </c>
      <c r="I2422" s="201"/>
      <c r="J2422" s="201"/>
    </row>
    <row r="2423" spans="1:10" s="5" customFormat="1" ht="22.5" hidden="1" customHeight="1" outlineLevel="1" x14ac:dyDescent="0.25">
      <c r="A2423" s="42">
        <v>1181</v>
      </c>
      <c r="B2423" s="4" t="s">
        <v>16</v>
      </c>
      <c r="C2423" s="38" t="s">
        <v>246</v>
      </c>
      <c r="D2423" s="4">
        <v>2021</v>
      </c>
      <c r="E2423" s="4"/>
      <c r="F2423" s="4">
        <v>435</v>
      </c>
      <c r="G2423" s="4">
        <v>100</v>
      </c>
      <c r="H2423" s="4">
        <v>808.23299999999995</v>
      </c>
      <c r="I2423" s="201"/>
      <c r="J2423" s="201"/>
    </row>
    <row r="2424" spans="1:10" s="5" customFormat="1" ht="22.5" hidden="1" customHeight="1" outlineLevel="1" x14ac:dyDescent="0.25">
      <c r="A2424" s="41">
        <v>9734</v>
      </c>
      <c r="B2424" s="4" t="s">
        <v>16</v>
      </c>
      <c r="C2424" s="35" t="s">
        <v>247</v>
      </c>
      <c r="D2424" s="4">
        <v>2021</v>
      </c>
      <c r="E2424" s="4"/>
      <c r="F2424" s="4">
        <v>138</v>
      </c>
      <c r="G2424" s="4">
        <v>170</v>
      </c>
      <c r="H2424" s="4">
        <v>365.95699999999999</v>
      </c>
      <c r="I2424" s="201"/>
      <c r="J2424" s="201"/>
    </row>
    <row r="2425" spans="1:10" s="5" customFormat="1" ht="22.5" hidden="1" customHeight="1" outlineLevel="1" x14ac:dyDescent="0.25">
      <c r="A2425" s="42">
        <v>797</v>
      </c>
      <c r="B2425" s="4" t="s">
        <v>16</v>
      </c>
      <c r="C2425" s="38" t="s">
        <v>248</v>
      </c>
      <c r="D2425" s="4">
        <v>2021</v>
      </c>
      <c r="E2425" s="4"/>
      <c r="F2425" s="4">
        <v>40</v>
      </c>
      <c r="G2425" s="4">
        <v>14</v>
      </c>
      <c r="H2425" s="4">
        <v>65.537999999999997</v>
      </c>
      <c r="I2425" s="201"/>
      <c r="J2425" s="201"/>
    </row>
    <row r="2426" spans="1:10" s="5" customFormat="1" ht="22.5" hidden="1" customHeight="1" outlineLevel="1" x14ac:dyDescent="0.25">
      <c r="A2426" s="41">
        <v>9546</v>
      </c>
      <c r="B2426" s="4" t="s">
        <v>16</v>
      </c>
      <c r="C2426" s="38" t="s">
        <v>249</v>
      </c>
      <c r="D2426" s="4">
        <v>2021</v>
      </c>
      <c r="E2426" s="4"/>
      <c r="F2426" s="4">
        <v>150</v>
      </c>
      <c r="G2426" s="4">
        <v>15</v>
      </c>
      <c r="H2426" s="4">
        <v>140.089</v>
      </c>
      <c r="I2426" s="201"/>
      <c r="J2426" s="201"/>
    </row>
    <row r="2427" spans="1:10" s="5" customFormat="1" ht="22.5" hidden="1" customHeight="1" outlineLevel="1" x14ac:dyDescent="0.25">
      <c r="A2427" s="41">
        <v>9681</v>
      </c>
      <c r="B2427" s="4" t="s">
        <v>16</v>
      </c>
      <c r="C2427" s="38" t="s">
        <v>250</v>
      </c>
      <c r="D2427" s="4">
        <v>2021</v>
      </c>
      <c r="E2427" s="4"/>
      <c r="F2427" s="4">
        <v>4</v>
      </c>
      <c r="G2427" s="4">
        <v>105</v>
      </c>
      <c r="H2427" s="4">
        <v>57.002000000000002</v>
      </c>
      <c r="I2427" s="201"/>
      <c r="J2427" s="201"/>
    </row>
    <row r="2428" spans="1:10" s="5" customFormat="1" ht="22.5" hidden="1" customHeight="1" outlineLevel="1" x14ac:dyDescent="0.25">
      <c r="A2428" s="42">
        <v>1170</v>
      </c>
      <c r="B2428" s="4" t="s">
        <v>16</v>
      </c>
      <c r="C2428" s="38" t="s">
        <v>251</v>
      </c>
      <c r="D2428" s="4">
        <v>2021</v>
      </c>
      <c r="E2428" s="4"/>
      <c r="F2428" s="4">
        <v>187</v>
      </c>
      <c r="G2428" s="4">
        <v>60</v>
      </c>
      <c r="H2428" s="4">
        <v>327.5</v>
      </c>
      <c r="I2428" s="201"/>
      <c r="J2428" s="201"/>
    </row>
    <row r="2429" spans="1:10" s="5" customFormat="1" ht="22.5" hidden="1" customHeight="1" outlineLevel="1" x14ac:dyDescent="0.25">
      <c r="A2429" s="41">
        <v>9740</v>
      </c>
      <c r="B2429" s="4" t="s">
        <v>16</v>
      </c>
      <c r="C2429" s="38" t="s">
        <v>252</v>
      </c>
      <c r="D2429" s="4">
        <v>2021</v>
      </c>
      <c r="E2429" s="4"/>
      <c r="F2429" s="4">
        <v>86</v>
      </c>
      <c r="G2429" s="4">
        <v>150</v>
      </c>
      <c r="H2429" s="4">
        <v>118.57</v>
      </c>
      <c r="I2429" s="201"/>
      <c r="J2429" s="201"/>
    </row>
    <row r="2430" spans="1:10" s="5" customFormat="1" ht="22.5" hidden="1" customHeight="1" outlineLevel="1" x14ac:dyDescent="0.25">
      <c r="A2430" s="41">
        <v>9686</v>
      </c>
      <c r="B2430" s="4" t="s">
        <v>16</v>
      </c>
      <c r="C2430" s="38" t="s">
        <v>253</v>
      </c>
      <c r="D2430" s="4">
        <v>2021</v>
      </c>
      <c r="E2430" s="4"/>
      <c r="F2430" s="4">
        <v>15</v>
      </c>
      <c r="G2430" s="4">
        <v>150</v>
      </c>
      <c r="H2430" s="4">
        <v>71.094999999999999</v>
      </c>
      <c r="I2430" s="201"/>
      <c r="J2430" s="201"/>
    </row>
    <row r="2431" spans="1:10" s="5" customFormat="1" ht="22.5" hidden="1" customHeight="1" outlineLevel="1" x14ac:dyDescent="0.25">
      <c r="A2431" s="41">
        <v>9736</v>
      </c>
      <c r="B2431" s="4" t="s">
        <v>16</v>
      </c>
      <c r="C2431" s="38" t="s">
        <v>254</v>
      </c>
      <c r="D2431" s="4">
        <v>2021</v>
      </c>
      <c r="E2431" s="4"/>
      <c r="F2431" s="4">
        <v>10</v>
      </c>
      <c r="G2431" s="4">
        <v>107</v>
      </c>
      <c r="H2431" s="4">
        <v>44.889000000000003</v>
      </c>
      <c r="I2431" s="201"/>
      <c r="J2431" s="201"/>
    </row>
    <row r="2432" spans="1:10" s="5" customFormat="1" ht="22.5" hidden="1" customHeight="1" outlineLevel="1" x14ac:dyDescent="0.25">
      <c r="A2432" s="42">
        <v>836</v>
      </c>
      <c r="B2432" s="4" t="s">
        <v>16</v>
      </c>
      <c r="C2432" s="38" t="s">
        <v>255</v>
      </c>
      <c r="D2432" s="4">
        <v>2021</v>
      </c>
      <c r="E2432" s="4"/>
      <c r="F2432" s="4">
        <v>741</v>
      </c>
      <c r="G2432" s="4">
        <v>150</v>
      </c>
      <c r="H2432" s="4">
        <v>967.52200000000005</v>
      </c>
      <c r="I2432" s="201"/>
      <c r="J2432" s="201"/>
    </row>
    <row r="2433" spans="1:10" s="5" customFormat="1" ht="22.5" hidden="1" customHeight="1" outlineLevel="1" x14ac:dyDescent="0.25">
      <c r="A2433" s="41">
        <v>9374</v>
      </c>
      <c r="B2433" s="4" t="s">
        <v>16</v>
      </c>
      <c r="C2433" s="38" t="s">
        <v>256</v>
      </c>
      <c r="D2433" s="4">
        <v>2021</v>
      </c>
      <c r="E2433" s="4"/>
      <c r="F2433" s="4">
        <v>88</v>
      </c>
      <c r="G2433" s="4">
        <v>9</v>
      </c>
      <c r="H2433" s="4">
        <v>143.601</v>
      </c>
      <c r="I2433" s="201"/>
      <c r="J2433" s="201"/>
    </row>
    <row r="2434" spans="1:10" s="5" customFormat="1" ht="22.5" hidden="1" customHeight="1" outlineLevel="1" x14ac:dyDescent="0.25">
      <c r="A2434" s="41">
        <v>9391</v>
      </c>
      <c r="B2434" s="4" t="s">
        <v>16</v>
      </c>
      <c r="C2434" s="38" t="s">
        <v>151</v>
      </c>
      <c r="D2434" s="4">
        <v>2021</v>
      </c>
      <c r="E2434" s="4"/>
      <c r="F2434" s="4">
        <v>41.5</v>
      </c>
      <c r="G2434" s="4">
        <v>15</v>
      </c>
      <c r="H2434" s="4">
        <v>140.08000000000001</v>
      </c>
      <c r="I2434" s="201"/>
      <c r="J2434" s="201"/>
    </row>
    <row r="2435" spans="1:10" s="5" customFormat="1" ht="22.5" hidden="1" customHeight="1" outlineLevel="1" x14ac:dyDescent="0.25">
      <c r="A2435" s="42">
        <v>3885</v>
      </c>
      <c r="B2435" s="4" t="s">
        <v>16</v>
      </c>
      <c r="C2435" s="38" t="s">
        <v>257</v>
      </c>
      <c r="D2435" s="4">
        <v>2021</v>
      </c>
      <c r="E2435" s="4"/>
      <c r="F2435" s="4">
        <v>30.9</v>
      </c>
      <c r="G2435" s="4">
        <v>15</v>
      </c>
      <c r="H2435" s="4">
        <v>132.589</v>
      </c>
      <c r="I2435" s="201"/>
      <c r="J2435" s="201"/>
    </row>
    <row r="2436" spans="1:10" s="5" customFormat="1" ht="22.5" hidden="1" customHeight="1" outlineLevel="1" x14ac:dyDescent="0.25">
      <c r="A2436" s="41">
        <v>9361</v>
      </c>
      <c r="B2436" s="4" t="s">
        <v>16</v>
      </c>
      <c r="C2436" s="38" t="s">
        <v>258</v>
      </c>
      <c r="D2436" s="4">
        <v>2021</v>
      </c>
      <c r="E2436" s="4"/>
      <c r="F2436" s="4">
        <v>53</v>
      </c>
      <c r="G2436" s="4">
        <v>75</v>
      </c>
      <c r="H2436" s="4">
        <v>216.28299999999999</v>
      </c>
      <c r="I2436" s="201"/>
      <c r="J2436" s="201"/>
    </row>
    <row r="2437" spans="1:10" s="5" customFormat="1" ht="22.5" hidden="1" customHeight="1" outlineLevel="1" x14ac:dyDescent="0.25">
      <c r="A2437" s="41">
        <v>9363</v>
      </c>
      <c r="B2437" s="4" t="s">
        <v>16</v>
      </c>
      <c r="C2437" s="38" t="s">
        <v>194</v>
      </c>
      <c r="D2437" s="4">
        <v>2021</v>
      </c>
      <c r="E2437" s="4"/>
      <c r="F2437" s="4">
        <v>15</v>
      </c>
      <c r="G2437" s="4">
        <v>65</v>
      </c>
      <c r="H2437" s="4">
        <v>167.91499999999999</v>
      </c>
      <c r="I2437" s="201"/>
      <c r="J2437" s="201"/>
    </row>
    <row r="2438" spans="1:10" s="5" customFormat="1" ht="22.5" hidden="1" customHeight="1" outlineLevel="1" x14ac:dyDescent="0.25">
      <c r="A2438" s="42">
        <v>425</v>
      </c>
      <c r="B2438" s="4" t="s">
        <v>16</v>
      </c>
      <c r="C2438" s="38" t="s">
        <v>195</v>
      </c>
      <c r="D2438" s="4">
        <v>2021</v>
      </c>
      <c r="E2438" s="4"/>
      <c r="F2438" s="4">
        <v>12</v>
      </c>
      <c r="G2438" s="4">
        <v>300</v>
      </c>
      <c r="H2438" s="4">
        <v>148.62700000000001</v>
      </c>
      <c r="I2438" s="201"/>
      <c r="J2438" s="201"/>
    </row>
    <row r="2439" spans="1:10" s="5" customFormat="1" ht="22.5" hidden="1" customHeight="1" outlineLevel="1" x14ac:dyDescent="0.25">
      <c r="A2439" s="42">
        <v>422</v>
      </c>
      <c r="B2439" s="4" t="s">
        <v>16</v>
      </c>
      <c r="C2439" s="38" t="s">
        <v>196</v>
      </c>
      <c r="D2439" s="4">
        <v>2021</v>
      </c>
      <c r="E2439" s="4"/>
      <c r="F2439" s="4">
        <v>4</v>
      </c>
      <c r="G2439" s="4">
        <v>150</v>
      </c>
      <c r="H2439" s="4">
        <v>131.49700000000001</v>
      </c>
      <c r="I2439" s="201"/>
      <c r="J2439" s="201"/>
    </row>
    <row r="2440" spans="1:10" s="5" customFormat="1" ht="22.5" hidden="1" customHeight="1" outlineLevel="1" x14ac:dyDescent="0.25">
      <c r="A2440" s="41">
        <v>9369</v>
      </c>
      <c r="B2440" s="4" t="s">
        <v>16</v>
      </c>
      <c r="C2440" s="38" t="s">
        <v>197</v>
      </c>
      <c r="D2440" s="4">
        <v>2021</v>
      </c>
      <c r="E2440" s="4"/>
      <c r="F2440" s="4">
        <v>340</v>
      </c>
      <c r="G2440" s="4">
        <v>75</v>
      </c>
      <c r="H2440" s="4">
        <v>521.96699999999998</v>
      </c>
      <c r="I2440" s="201"/>
      <c r="J2440" s="201"/>
    </row>
    <row r="2441" spans="1:10" s="5" customFormat="1" ht="22.5" hidden="1" customHeight="1" outlineLevel="1" x14ac:dyDescent="0.25">
      <c r="A2441" s="41">
        <v>9358</v>
      </c>
      <c r="B2441" s="4" t="s">
        <v>16</v>
      </c>
      <c r="C2441" s="38" t="s">
        <v>198</v>
      </c>
      <c r="D2441" s="4">
        <v>2021</v>
      </c>
      <c r="E2441" s="4"/>
      <c r="F2441" s="4">
        <v>505</v>
      </c>
      <c r="G2441" s="4">
        <v>45</v>
      </c>
      <c r="H2441" s="4">
        <v>728.00400000000002</v>
      </c>
      <c r="I2441" s="201"/>
      <c r="J2441" s="201"/>
    </row>
    <row r="2442" spans="1:10" s="5" customFormat="1" ht="22.5" hidden="1" customHeight="1" outlineLevel="1" x14ac:dyDescent="0.25">
      <c r="A2442" s="41">
        <v>9354</v>
      </c>
      <c r="B2442" s="4" t="s">
        <v>16</v>
      </c>
      <c r="C2442" s="38" t="s">
        <v>259</v>
      </c>
      <c r="D2442" s="4">
        <v>2021</v>
      </c>
      <c r="E2442" s="4"/>
      <c r="F2442" s="4">
        <v>10</v>
      </c>
      <c r="G2442" s="4">
        <v>15</v>
      </c>
      <c r="H2442" s="4">
        <v>158.63499999999999</v>
      </c>
      <c r="I2442" s="201"/>
      <c r="J2442" s="201"/>
    </row>
    <row r="2443" spans="1:10" s="5" customFormat="1" ht="22.5" hidden="1" customHeight="1" outlineLevel="1" x14ac:dyDescent="0.25">
      <c r="A2443" s="41">
        <v>9365</v>
      </c>
      <c r="B2443" s="4" t="s">
        <v>16</v>
      </c>
      <c r="C2443" s="38" t="s">
        <v>199</v>
      </c>
      <c r="D2443" s="4">
        <v>2021</v>
      </c>
      <c r="E2443" s="4"/>
      <c r="F2443" s="4">
        <v>37</v>
      </c>
      <c r="G2443" s="4">
        <v>119.2</v>
      </c>
      <c r="H2443" s="4">
        <v>109.45399999999999</v>
      </c>
      <c r="I2443" s="201"/>
      <c r="J2443" s="201"/>
    </row>
    <row r="2444" spans="1:10" s="5" customFormat="1" ht="22.5" hidden="1" customHeight="1" outlineLevel="1" x14ac:dyDescent="0.25">
      <c r="A2444" s="41">
        <v>9364</v>
      </c>
      <c r="B2444" s="4" t="s">
        <v>16</v>
      </c>
      <c r="C2444" s="38" t="s">
        <v>200</v>
      </c>
      <c r="D2444" s="4">
        <v>2021</v>
      </c>
      <c r="E2444" s="4"/>
      <c r="F2444" s="4">
        <v>20</v>
      </c>
      <c r="G2444" s="4">
        <v>150</v>
      </c>
      <c r="H2444" s="4">
        <v>147.72499999999999</v>
      </c>
      <c r="I2444" s="201"/>
      <c r="J2444" s="201"/>
    </row>
    <row r="2445" spans="1:10" s="5" customFormat="1" ht="22.5" hidden="1" customHeight="1" outlineLevel="1" x14ac:dyDescent="0.25">
      <c r="A2445" s="41">
        <v>9287</v>
      </c>
      <c r="B2445" s="4" t="s">
        <v>16</v>
      </c>
      <c r="C2445" s="38" t="s">
        <v>260</v>
      </c>
      <c r="D2445" s="4">
        <v>2021</v>
      </c>
      <c r="E2445" s="4"/>
      <c r="F2445" s="4">
        <v>227</v>
      </c>
      <c r="G2445" s="4">
        <v>15</v>
      </c>
      <c r="H2445" s="4">
        <v>436.536</v>
      </c>
      <c r="I2445" s="201"/>
      <c r="J2445" s="201"/>
    </row>
    <row r="2446" spans="1:10" s="5" customFormat="1" ht="22.5" hidden="1" customHeight="1" outlineLevel="1" x14ac:dyDescent="0.25">
      <c r="A2446" s="41">
        <v>9335</v>
      </c>
      <c r="B2446" s="4" t="s">
        <v>16</v>
      </c>
      <c r="C2446" s="38" t="s">
        <v>261</v>
      </c>
      <c r="D2446" s="4">
        <v>2021</v>
      </c>
      <c r="E2446" s="4"/>
      <c r="F2446" s="4">
        <v>232</v>
      </c>
      <c r="G2446" s="4">
        <v>30</v>
      </c>
      <c r="H2446" s="4">
        <v>205.85499999999999</v>
      </c>
      <c r="I2446" s="201"/>
      <c r="J2446" s="201"/>
    </row>
    <row r="2447" spans="1:10" s="5" customFormat="1" ht="22.5" hidden="1" customHeight="1" outlineLevel="1" x14ac:dyDescent="0.25">
      <c r="A2447" s="42">
        <v>367</v>
      </c>
      <c r="B2447" s="4" t="s">
        <v>16</v>
      </c>
      <c r="C2447" s="38" t="s">
        <v>262</v>
      </c>
      <c r="D2447" s="4">
        <v>2021</v>
      </c>
      <c r="E2447" s="4"/>
      <c r="F2447" s="4">
        <v>357</v>
      </c>
      <c r="G2447" s="4">
        <v>15</v>
      </c>
      <c r="H2447" s="4">
        <v>546.26599999999996</v>
      </c>
      <c r="I2447" s="201"/>
      <c r="J2447" s="201"/>
    </row>
    <row r="2448" spans="1:10" s="5" customFormat="1" ht="22.5" hidden="1" customHeight="1" outlineLevel="1" x14ac:dyDescent="0.25">
      <c r="A2448" s="41">
        <v>9368</v>
      </c>
      <c r="B2448" s="4" t="s">
        <v>16</v>
      </c>
      <c r="C2448" s="38" t="s">
        <v>263</v>
      </c>
      <c r="D2448" s="4">
        <v>2021</v>
      </c>
      <c r="E2448" s="4"/>
      <c r="F2448" s="4">
        <v>5</v>
      </c>
      <c r="G2448" s="4">
        <v>150</v>
      </c>
      <c r="H2448" s="4">
        <v>172.47200000000001</v>
      </c>
      <c r="I2448" s="201"/>
      <c r="J2448" s="201"/>
    </row>
    <row r="2449" spans="1:10" s="5" customFormat="1" ht="22.5" hidden="1" customHeight="1" outlineLevel="1" x14ac:dyDescent="0.25">
      <c r="A2449" s="42">
        <v>421</v>
      </c>
      <c r="B2449" s="4" t="s">
        <v>16</v>
      </c>
      <c r="C2449" s="38" t="s">
        <v>264</v>
      </c>
      <c r="D2449" s="4">
        <v>2021</v>
      </c>
      <c r="E2449" s="4"/>
      <c r="F2449" s="4">
        <v>130</v>
      </c>
      <c r="G2449" s="4">
        <v>149</v>
      </c>
      <c r="H2449" s="4">
        <v>270.88200000000001</v>
      </c>
      <c r="I2449" s="201"/>
      <c r="J2449" s="201"/>
    </row>
    <row r="2450" spans="1:10" s="5" customFormat="1" ht="22.5" hidden="1" customHeight="1" outlineLevel="1" x14ac:dyDescent="0.25">
      <c r="A2450" s="41">
        <v>9342</v>
      </c>
      <c r="B2450" s="4" t="s">
        <v>16</v>
      </c>
      <c r="C2450" s="38" t="s">
        <v>265</v>
      </c>
      <c r="D2450" s="4">
        <v>2021</v>
      </c>
      <c r="E2450" s="4"/>
      <c r="F2450" s="4">
        <v>365</v>
      </c>
      <c r="G2450" s="4">
        <v>60</v>
      </c>
      <c r="H2450" s="4">
        <v>589.14700000000005</v>
      </c>
      <c r="I2450" s="201"/>
      <c r="J2450" s="201"/>
    </row>
    <row r="2451" spans="1:10" s="5" customFormat="1" ht="22.5" hidden="1" customHeight="1" outlineLevel="1" x14ac:dyDescent="0.25">
      <c r="A2451" s="41">
        <v>9326</v>
      </c>
      <c r="B2451" s="4" t="s">
        <v>16</v>
      </c>
      <c r="C2451" s="38" t="s">
        <v>266</v>
      </c>
      <c r="D2451" s="4">
        <v>2021</v>
      </c>
      <c r="E2451" s="4"/>
      <c r="F2451" s="4">
        <v>546</v>
      </c>
      <c r="G2451" s="4">
        <v>60</v>
      </c>
      <c r="H2451" s="4">
        <v>845.61500000000001</v>
      </c>
      <c r="I2451" s="201"/>
      <c r="J2451" s="201"/>
    </row>
    <row r="2452" spans="1:10" s="5" customFormat="1" ht="22.5" hidden="1" customHeight="1" outlineLevel="1" x14ac:dyDescent="0.25">
      <c r="A2452" s="41">
        <v>3748</v>
      </c>
      <c r="B2452" s="4" t="s">
        <v>16</v>
      </c>
      <c r="C2452" s="38" t="s">
        <v>267</v>
      </c>
      <c r="D2452" s="4">
        <v>2021</v>
      </c>
      <c r="E2452" s="4"/>
      <c r="F2452" s="4">
        <v>190</v>
      </c>
      <c r="G2452" s="4">
        <v>65</v>
      </c>
      <c r="H2452" s="4">
        <v>530.30899999999997</v>
      </c>
      <c r="I2452" s="201"/>
      <c r="J2452" s="201"/>
    </row>
    <row r="2453" spans="1:10" s="5" customFormat="1" ht="22.5" hidden="1" customHeight="1" outlineLevel="1" x14ac:dyDescent="0.25">
      <c r="A2453" s="41">
        <v>3714</v>
      </c>
      <c r="B2453" s="4" t="s">
        <v>16</v>
      </c>
      <c r="C2453" s="38" t="s">
        <v>268</v>
      </c>
      <c r="D2453" s="4">
        <v>2021</v>
      </c>
      <c r="E2453" s="4"/>
      <c r="F2453" s="4">
        <v>91</v>
      </c>
      <c r="G2453" s="4">
        <v>120</v>
      </c>
      <c r="H2453" s="4">
        <v>171.41499999999999</v>
      </c>
      <c r="I2453" s="201"/>
      <c r="J2453" s="201"/>
    </row>
    <row r="2454" spans="1:10" s="5" customFormat="1" ht="22.5" hidden="1" customHeight="1" outlineLevel="1" x14ac:dyDescent="0.25">
      <c r="A2454" s="41">
        <v>9336</v>
      </c>
      <c r="B2454" s="4" t="s">
        <v>16</v>
      </c>
      <c r="C2454" s="38" t="s">
        <v>269</v>
      </c>
      <c r="D2454" s="4">
        <v>2021</v>
      </c>
      <c r="E2454" s="4"/>
      <c r="F2454" s="4">
        <v>136</v>
      </c>
      <c r="G2454" s="4">
        <v>15</v>
      </c>
      <c r="H2454" s="4">
        <v>235.70400000000001</v>
      </c>
      <c r="I2454" s="201"/>
      <c r="J2454" s="201"/>
    </row>
    <row r="2455" spans="1:10" s="5" customFormat="1" ht="22.5" hidden="1" customHeight="1" outlineLevel="1" x14ac:dyDescent="0.25">
      <c r="A2455" s="41">
        <v>9324</v>
      </c>
      <c r="B2455" s="4" t="s">
        <v>16</v>
      </c>
      <c r="C2455" s="38" t="s">
        <v>270</v>
      </c>
      <c r="D2455" s="4">
        <v>2021</v>
      </c>
      <c r="E2455" s="4"/>
      <c r="F2455" s="4">
        <v>131</v>
      </c>
      <c r="G2455" s="4">
        <v>45</v>
      </c>
      <c r="H2455" s="4">
        <v>239.42500000000001</v>
      </c>
      <c r="I2455" s="201"/>
      <c r="J2455" s="201"/>
    </row>
    <row r="2456" spans="1:10" s="5" customFormat="1" ht="22.5" hidden="1" customHeight="1" outlineLevel="1" x14ac:dyDescent="0.25">
      <c r="A2456" s="41">
        <v>9442</v>
      </c>
      <c r="B2456" s="4" t="s">
        <v>16</v>
      </c>
      <c r="C2456" s="38" t="s">
        <v>204</v>
      </c>
      <c r="D2456" s="4">
        <v>2021</v>
      </c>
      <c r="E2456" s="4"/>
      <c r="F2456" s="4">
        <v>15</v>
      </c>
      <c r="G2456" s="4">
        <v>70</v>
      </c>
      <c r="H2456" s="4">
        <v>112.498</v>
      </c>
      <c r="I2456" s="201"/>
      <c r="J2456" s="201"/>
    </row>
    <row r="2457" spans="1:10" s="5" customFormat="1" ht="22.5" hidden="1" customHeight="1" outlineLevel="1" x14ac:dyDescent="0.25">
      <c r="A2457" s="41">
        <v>9372</v>
      </c>
      <c r="B2457" s="4" t="s">
        <v>16</v>
      </c>
      <c r="C2457" s="38" t="s">
        <v>205</v>
      </c>
      <c r="D2457" s="4">
        <v>2021</v>
      </c>
      <c r="E2457" s="4"/>
      <c r="F2457" s="4">
        <v>2298</v>
      </c>
      <c r="G2457" s="4">
        <v>210</v>
      </c>
      <c r="H2457" s="4">
        <v>2989.25</v>
      </c>
      <c r="I2457" s="201"/>
      <c r="J2457" s="201"/>
    </row>
    <row r="2458" spans="1:10" s="5" customFormat="1" ht="22.5" hidden="1" customHeight="1" outlineLevel="1" x14ac:dyDescent="0.25">
      <c r="A2458" s="41">
        <v>9271</v>
      </c>
      <c r="B2458" s="4" t="s">
        <v>16</v>
      </c>
      <c r="C2458" s="38" t="s">
        <v>271</v>
      </c>
      <c r="D2458" s="4">
        <v>2021</v>
      </c>
      <c r="E2458" s="4"/>
      <c r="F2458" s="4">
        <v>135</v>
      </c>
      <c r="G2458" s="4">
        <v>15</v>
      </c>
      <c r="H2458" s="4">
        <v>225.13399999999999</v>
      </c>
      <c r="I2458" s="201"/>
      <c r="J2458" s="201"/>
    </row>
    <row r="2459" spans="1:10" s="5" customFormat="1" ht="22.5" hidden="1" customHeight="1" outlineLevel="1" x14ac:dyDescent="0.25">
      <c r="A2459" s="41">
        <v>9362</v>
      </c>
      <c r="B2459" s="4" t="s">
        <v>16</v>
      </c>
      <c r="C2459" s="38" t="s">
        <v>272</v>
      </c>
      <c r="D2459" s="4">
        <v>2021</v>
      </c>
      <c r="E2459" s="4"/>
      <c r="F2459" s="4">
        <v>553</v>
      </c>
      <c r="G2459" s="4">
        <v>60</v>
      </c>
      <c r="H2459" s="4">
        <v>725.59299999999996</v>
      </c>
      <c r="I2459" s="201"/>
      <c r="J2459" s="201"/>
    </row>
    <row r="2460" spans="1:10" s="5" customFormat="1" ht="22.5" hidden="1" customHeight="1" outlineLevel="1" x14ac:dyDescent="0.25">
      <c r="A2460" s="41">
        <v>9429</v>
      </c>
      <c r="B2460" s="4" t="s">
        <v>16</v>
      </c>
      <c r="C2460" s="38" t="s">
        <v>273</v>
      </c>
      <c r="D2460" s="4">
        <v>2021</v>
      </c>
      <c r="E2460" s="4"/>
      <c r="F2460" s="4">
        <v>453</v>
      </c>
      <c r="G2460" s="4">
        <v>90</v>
      </c>
      <c r="H2460" s="4">
        <v>1049.3689999999999</v>
      </c>
      <c r="I2460" s="201"/>
      <c r="J2460" s="201"/>
    </row>
    <row r="2461" spans="1:10" s="5" customFormat="1" ht="22.5" hidden="1" customHeight="1" outlineLevel="1" x14ac:dyDescent="0.25">
      <c r="A2461" s="41">
        <v>9352</v>
      </c>
      <c r="B2461" s="4" t="s">
        <v>16</v>
      </c>
      <c r="C2461" s="38" t="s">
        <v>274</v>
      </c>
      <c r="D2461" s="4">
        <v>2021</v>
      </c>
      <c r="E2461" s="4"/>
      <c r="F2461" s="4">
        <v>317</v>
      </c>
      <c r="G2461" s="4">
        <v>90</v>
      </c>
      <c r="H2461" s="4">
        <v>583.53099999999995</v>
      </c>
      <c r="I2461" s="201"/>
      <c r="J2461" s="201"/>
    </row>
    <row r="2462" spans="1:10" s="5" customFormat="1" ht="22.5" hidden="1" customHeight="1" outlineLevel="1" x14ac:dyDescent="0.25">
      <c r="A2462" s="41">
        <v>9370</v>
      </c>
      <c r="B2462" s="4" t="s">
        <v>16</v>
      </c>
      <c r="C2462" s="38" t="s">
        <v>275</v>
      </c>
      <c r="D2462" s="4">
        <v>2021</v>
      </c>
      <c r="E2462" s="4"/>
      <c r="F2462" s="4">
        <v>182</v>
      </c>
      <c r="G2462" s="4">
        <v>15</v>
      </c>
      <c r="H2462" s="4">
        <v>386.55099999999999</v>
      </c>
      <c r="I2462" s="201"/>
      <c r="J2462" s="201"/>
    </row>
    <row r="2463" spans="1:10" s="5" customFormat="1" ht="22.5" hidden="1" customHeight="1" outlineLevel="1" x14ac:dyDescent="0.25">
      <c r="A2463" s="42">
        <v>563</v>
      </c>
      <c r="B2463" s="4" t="s">
        <v>16</v>
      </c>
      <c r="C2463" s="38" t="s">
        <v>276</v>
      </c>
      <c r="D2463" s="4">
        <v>2021</v>
      </c>
      <c r="E2463" s="4"/>
      <c r="F2463" s="4">
        <v>41</v>
      </c>
      <c r="G2463" s="4">
        <v>150</v>
      </c>
      <c r="H2463" s="4">
        <v>202.51900000000001</v>
      </c>
      <c r="I2463" s="201"/>
      <c r="J2463" s="201"/>
    </row>
    <row r="2464" spans="1:10" s="5" customFormat="1" ht="22.5" hidden="1" customHeight="1" outlineLevel="1" x14ac:dyDescent="0.25">
      <c r="A2464" s="41">
        <v>9091</v>
      </c>
      <c r="B2464" s="4" t="s">
        <v>16</v>
      </c>
      <c r="C2464" s="38" t="s">
        <v>277</v>
      </c>
      <c r="D2464" s="4">
        <v>2021</v>
      </c>
      <c r="E2464" s="4"/>
      <c r="F2464" s="4">
        <v>17</v>
      </c>
      <c r="G2464" s="4">
        <v>60</v>
      </c>
      <c r="H2464" s="4">
        <v>127.78100000000001</v>
      </c>
      <c r="I2464" s="201"/>
      <c r="J2464" s="201"/>
    </row>
    <row r="2465" spans="1:36" s="5" customFormat="1" ht="22.5" hidden="1" customHeight="1" outlineLevel="1" x14ac:dyDescent="0.25">
      <c r="A2465" s="42">
        <v>449</v>
      </c>
      <c r="B2465" s="4" t="s">
        <v>16</v>
      </c>
      <c r="C2465" s="38" t="s">
        <v>278</v>
      </c>
      <c r="D2465" s="4">
        <v>2021</v>
      </c>
      <c r="E2465" s="4"/>
      <c r="F2465" s="4">
        <v>260</v>
      </c>
      <c r="G2465" s="4">
        <v>150</v>
      </c>
      <c r="H2465" s="4">
        <v>596.005</v>
      </c>
      <c r="I2465" s="201"/>
      <c r="J2465" s="201"/>
    </row>
    <row r="2466" spans="1:36" s="5" customFormat="1" ht="22.5" hidden="1" customHeight="1" outlineLevel="1" x14ac:dyDescent="0.25">
      <c r="A2466" s="41">
        <v>9079</v>
      </c>
      <c r="B2466" s="4" t="s">
        <v>16</v>
      </c>
      <c r="C2466" s="38" t="s">
        <v>279</v>
      </c>
      <c r="D2466" s="4">
        <v>2021</v>
      </c>
      <c r="E2466" s="4"/>
      <c r="F2466" s="4">
        <v>203</v>
      </c>
      <c r="G2466" s="4">
        <v>105</v>
      </c>
      <c r="H2466" s="4">
        <v>481.79300000000001</v>
      </c>
      <c r="I2466" s="201"/>
      <c r="J2466" s="201"/>
    </row>
    <row r="2467" spans="1:36" s="5" customFormat="1" ht="22.5" hidden="1" customHeight="1" outlineLevel="1" x14ac:dyDescent="0.25">
      <c r="A2467" s="42">
        <v>447</v>
      </c>
      <c r="B2467" s="4" t="s">
        <v>16</v>
      </c>
      <c r="C2467" s="38" t="s">
        <v>280</v>
      </c>
      <c r="D2467" s="4">
        <v>2021</v>
      </c>
      <c r="E2467" s="4"/>
      <c r="F2467" s="4">
        <v>223</v>
      </c>
      <c r="G2467" s="4">
        <v>30</v>
      </c>
      <c r="H2467" s="4">
        <v>438.20800000000003</v>
      </c>
      <c r="I2467" s="201"/>
      <c r="J2467" s="201"/>
    </row>
    <row r="2468" spans="1:36" s="5" customFormat="1" ht="22.5" hidden="1" customHeight="1" outlineLevel="1" x14ac:dyDescent="0.25">
      <c r="A2468" s="42">
        <v>897</v>
      </c>
      <c r="B2468" s="4" t="s">
        <v>16</v>
      </c>
      <c r="C2468" s="38" t="s">
        <v>281</v>
      </c>
      <c r="D2468" s="4">
        <v>2021</v>
      </c>
      <c r="E2468" s="4"/>
      <c r="F2468" s="4">
        <v>234</v>
      </c>
      <c r="G2468" s="4">
        <v>150</v>
      </c>
      <c r="H2468" s="4">
        <v>320.14299999999997</v>
      </c>
      <c r="I2468" s="201"/>
      <c r="J2468" s="201"/>
    </row>
    <row r="2469" spans="1:36" s="5" customFormat="1" ht="22.5" hidden="1" customHeight="1" outlineLevel="1" x14ac:dyDescent="0.25">
      <c r="A2469" s="179"/>
      <c r="B2469" s="180"/>
      <c r="C2469" s="181"/>
      <c r="D2469" s="180"/>
      <c r="E2469" s="180"/>
      <c r="F2469" s="156"/>
      <c r="G2469" s="156"/>
      <c r="H2469" s="156"/>
      <c r="I2469" s="217"/>
      <c r="J2469" s="217"/>
    </row>
    <row r="2470" spans="1:36" s="5" customFormat="1" ht="15.75" collapsed="1" x14ac:dyDescent="0.25">
      <c r="A2470" s="4"/>
      <c r="B2470" s="324" t="s">
        <v>16</v>
      </c>
      <c r="C2470" s="324" t="s">
        <v>2091</v>
      </c>
      <c r="D2470" s="324"/>
      <c r="E2470" s="319" t="s">
        <v>13</v>
      </c>
      <c r="F2470" s="319"/>
      <c r="G2470" s="319"/>
      <c r="H2470" s="319"/>
      <c r="I2470" s="218"/>
      <c r="J2470" s="218"/>
    </row>
    <row r="2471" spans="1:36" s="5" customFormat="1" ht="15.75" customHeight="1" x14ac:dyDescent="0.25">
      <c r="A2471" s="4"/>
      <c r="B2471" s="340"/>
      <c r="C2471" s="340"/>
      <c r="D2471" s="340"/>
      <c r="E2471" s="328"/>
      <c r="F2471" s="328"/>
      <c r="G2471" s="328"/>
      <c r="H2471" s="328"/>
      <c r="I2471" s="219"/>
      <c r="J2471" s="219"/>
    </row>
    <row r="2472" spans="1:36" s="5" customFormat="1" ht="17.25" customHeight="1" x14ac:dyDescent="0.25">
      <c r="A2472" s="4"/>
      <c r="B2472" s="341"/>
      <c r="C2472" s="341"/>
      <c r="D2472" s="341"/>
      <c r="E2472" s="320"/>
      <c r="F2472" s="320"/>
      <c r="G2472" s="320"/>
      <c r="H2472" s="320"/>
      <c r="I2472" s="219"/>
      <c r="J2472" s="219"/>
    </row>
    <row r="2473" spans="1:36" s="5" customFormat="1" ht="17.25" customHeight="1" x14ac:dyDescent="0.25">
      <c r="A2473" s="4"/>
      <c r="B2473" s="11" t="s">
        <v>16</v>
      </c>
      <c r="C2473" s="12" t="s">
        <v>57</v>
      </c>
      <c r="D2473" s="11">
        <v>2021</v>
      </c>
      <c r="E2473" s="11" t="s">
        <v>13</v>
      </c>
      <c r="F2473" s="11">
        <f>SUMIF($D$2476:$D$2569,$D$2473,$F$2476:$F$2569)</f>
        <v>12208</v>
      </c>
      <c r="G2473" s="14">
        <f>SUMIF($D$2476:$D$2569,$D$2473,$G$2476:$G$2569)</f>
        <v>2826</v>
      </c>
      <c r="H2473" s="14">
        <f>SUMIF($D$2476:$D$2569,$D$2473,$H$2476:$H$2569)</f>
        <v>23939.066260000007</v>
      </c>
    </row>
    <row r="2474" spans="1:36" s="26" customFormat="1" ht="17.25" customHeight="1" x14ac:dyDescent="0.25">
      <c r="A2474" s="4"/>
      <c r="B2474" s="11" t="s">
        <v>16</v>
      </c>
      <c r="C2474" s="12" t="s">
        <v>57</v>
      </c>
      <c r="D2474" s="11">
        <v>2022</v>
      </c>
      <c r="E2474" s="11" t="s">
        <v>13</v>
      </c>
      <c r="F2474" s="11">
        <f>SUMIF($D$2476:$D$2569,$D$2474,$F$2476:$F$2569)</f>
        <v>15107</v>
      </c>
      <c r="G2474" s="14">
        <f>SUMIF($D$2476:$D$2569,$D$2474,$G$2476:$G$2569)</f>
        <v>2819</v>
      </c>
      <c r="H2474" s="14">
        <f>SUMIF($D$2476:$D$2569,$D$2474,$H$2476:$H$2569)</f>
        <v>26206.558369999999</v>
      </c>
      <c r="I2474" s="220"/>
      <c r="J2474" s="220"/>
      <c r="K2474" s="5"/>
      <c r="L2474" s="5"/>
      <c r="M2474" s="5"/>
      <c r="N2474" s="5"/>
      <c r="O2474" s="5"/>
      <c r="P2474" s="5"/>
      <c r="Q2474" s="5"/>
      <c r="R2474" s="5"/>
      <c r="S2474" s="5"/>
      <c r="T2474" s="5"/>
      <c r="U2474" s="5"/>
      <c r="V2474" s="5"/>
      <c r="W2474" s="5"/>
      <c r="X2474" s="5"/>
      <c r="Y2474" s="5"/>
      <c r="Z2474" s="5"/>
      <c r="AA2474" s="5"/>
      <c r="AB2474" s="5"/>
      <c r="AC2474" s="5"/>
      <c r="AD2474" s="5"/>
      <c r="AE2474" s="5"/>
      <c r="AF2474" s="5"/>
      <c r="AG2474" s="5"/>
      <c r="AH2474" s="5"/>
      <c r="AI2474" s="5"/>
      <c r="AJ2474" s="5"/>
    </row>
    <row r="2475" spans="1:36" s="26" customFormat="1" ht="15.75" x14ac:dyDescent="0.25">
      <c r="A2475" s="4"/>
      <c r="B2475" s="11" t="s">
        <v>16</v>
      </c>
      <c r="C2475" s="12" t="s">
        <v>2811</v>
      </c>
      <c r="D2475" s="11">
        <v>2023</v>
      </c>
      <c r="E2475" s="11" t="s">
        <v>13</v>
      </c>
      <c r="F2475" s="11">
        <f>SUMIF($D$2476:$D$2569,$D$2475,$F$2476:$F$2569)</f>
        <v>26931</v>
      </c>
      <c r="G2475" s="14">
        <f>SUMIF($D$2476:$D$2569,$D$2475,$G$2476:$G$2569)</f>
        <v>4341.8999999999996</v>
      </c>
      <c r="H2475" s="14">
        <f>SUMIF($D$2476:$D$2569,$D$2475,$H$2476:$H$2569)</f>
        <v>57078.934034999998</v>
      </c>
      <c r="I2475" s="220"/>
      <c r="J2475" s="220"/>
      <c r="K2475" s="5"/>
      <c r="L2475" s="5"/>
      <c r="M2475" s="5"/>
      <c r="N2475" s="5"/>
      <c r="O2475" s="5"/>
      <c r="P2475" s="5"/>
      <c r="Q2475" s="5"/>
      <c r="R2475" s="5"/>
      <c r="S2475" s="5"/>
      <c r="T2475" s="5"/>
      <c r="U2475" s="5"/>
      <c r="V2475" s="5"/>
      <c r="W2475" s="5"/>
      <c r="X2475" s="5"/>
      <c r="Y2475" s="5"/>
      <c r="Z2475" s="5"/>
      <c r="AA2475" s="5"/>
      <c r="AB2475" s="5"/>
      <c r="AC2475" s="5"/>
      <c r="AD2475" s="5"/>
      <c r="AE2475" s="5"/>
      <c r="AF2475" s="5"/>
      <c r="AG2475" s="5"/>
      <c r="AH2475" s="5"/>
      <c r="AI2475" s="5"/>
      <c r="AJ2475" s="5"/>
    </row>
    <row r="2476" spans="1:36" s="5" customFormat="1" ht="17.25" hidden="1" customHeight="1" outlineLevel="1" x14ac:dyDescent="0.25">
      <c r="A2476" s="4">
        <v>2984</v>
      </c>
      <c r="B2476" s="4" t="s">
        <v>16</v>
      </c>
      <c r="C2476" s="38" t="s">
        <v>2931</v>
      </c>
      <c r="D2476" s="4">
        <v>2022</v>
      </c>
      <c r="E2476" s="4" t="s">
        <v>13</v>
      </c>
      <c r="F2476" s="4">
        <v>61</v>
      </c>
      <c r="G2476" s="4">
        <v>100</v>
      </c>
      <c r="H2476" s="4">
        <v>294.89500000000004</v>
      </c>
      <c r="I2476" s="201"/>
      <c r="J2476" s="201"/>
    </row>
    <row r="2477" spans="1:36" s="5" customFormat="1" ht="17.25" hidden="1" customHeight="1" outlineLevel="1" x14ac:dyDescent="0.25">
      <c r="A2477" s="4">
        <v>2784</v>
      </c>
      <c r="B2477" s="4" t="s">
        <v>16</v>
      </c>
      <c r="C2477" s="38" t="s">
        <v>2147</v>
      </c>
      <c r="D2477" s="4">
        <v>2022</v>
      </c>
      <c r="E2477" s="4" t="s">
        <v>13</v>
      </c>
      <c r="F2477" s="4">
        <v>480</v>
      </c>
      <c r="G2477" s="4">
        <v>30</v>
      </c>
      <c r="H2477" s="4">
        <f>0.464783*(1000)</f>
        <v>464.78300000000002</v>
      </c>
      <c r="I2477" s="201"/>
      <c r="J2477" s="201"/>
    </row>
    <row r="2478" spans="1:36" s="5" customFormat="1" ht="17.25" hidden="1" customHeight="1" outlineLevel="1" x14ac:dyDescent="0.25">
      <c r="A2478" s="4">
        <v>2802</v>
      </c>
      <c r="B2478" s="4" t="s">
        <v>16</v>
      </c>
      <c r="C2478" s="38" t="s">
        <v>2881</v>
      </c>
      <c r="D2478" s="4">
        <v>2022</v>
      </c>
      <c r="E2478" s="4" t="s">
        <v>13</v>
      </c>
      <c r="F2478" s="4">
        <v>412</v>
      </c>
      <c r="G2478" s="4">
        <v>300</v>
      </c>
      <c r="H2478" s="4">
        <f>0.518923*(1000)</f>
        <v>518.923</v>
      </c>
      <c r="I2478" s="201"/>
      <c r="J2478" s="201"/>
    </row>
    <row r="2479" spans="1:36" s="5" customFormat="1" ht="17.25" hidden="1" customHeight="1" outlineLevel="1" x14ac:dyDescent="0.25">
      <c r="A2479" s="4">
        <v>2993</v>
      </c>
      <c r="B2479" s="4" t="s">
        <v>16</v>
      </c>
      <c r="C2479" s="38" t="s">
        <v>2882</v>
      </c>
      <c r="D2479" s="4">
        <v>2022</v>
      </c>
      <c r="E2479" s="4" t="s">
        <v>13</v>
      </c>
      <c r="F2479" s="4">
        <v>8</v>
      </c>
      <c r="G2479" s="4">
        <v>15</v>
      </c>
      <c r="H2479" s="4">
        <f>0.10002*(1000)</f>
        <v>100.02</v>
      </c>
      <c r="I2479" s="201"/>
      <c r="J2479" s="201"/>
    </row>
    <row r="2480" spans="1:36" s="5" customFormat="1" ht="17.25" hidden="1" customHeight="1" outlineLevel="1" x14ac:dyDescent="0.25">
      <c r="A2480" s="4">
        <v>2842</v>
      </c>
      <c r="B2480" s="4" t="s">
        <v>16</v>
      </c>
      <c r="C2480" s="38" t="s">
        <v>2175</v>
      </c>
      <c r="D2480" s="4">
        <v>2022</v>
      </c>
      <c r="E2480" s="4" t="s">
        <v>13</v>
      </c>
      <c r="F2480" s="4">
        <v>290</v>
      </c>
      <c r="G2480" s="4">
        <v>30</v>
      </c>
      <c r="H2480" s="4">
        <f>0.332209*(1000)</f>
        <v>332.209</v>
      </c>
      <c r="I2480" s="201"/>
      <c r="J2480" s="201"/>
    </row>
    <row r="2481" spans="1:10" s="5" customFormat="1" ht="17.25" hidden="1" customHeight="1" outlineLevel="1" x14ac:dyDescent="0.25">
      <c r="A2481" s="4">
        <v>4117</v>
      </c>
      <c r="B2481" s="4" t="s">
        <v>16</v>
      </c>
      <c r="C2481" s="38" t="s">
        <v>2888</v>
      </c>
      <c r="D2481" s="4">
        <v>2022</v>
      </c>
      <c r="E2481" s="4" t="s">
        <v>13</v>
      </c>
      <c r="F2481" s="4">
        <v>318</v>
      </c>
      <c r="G2481" s="4">
        <v>300</v>
      </c>
      <c r="H2481" s="4">
        <f>0.90192827*(1000)</f>
        <v>901.92827</v>
      </c>
      <c r="I2481" s="201"/>
      <c r="J2481" s="201"/>
    </row>
    <row r="2482" spans="1:10" s="5" customFormat="1" ht="17.25" hidden="1" customHeight="1" outlineLevel="1" x14ac:dyDescent="0.25">
      <c r="A2482" s="4">
        <v>2786</v>
      </c>
      <c r="B2482" s="4" t="s">
        <v>16</v>
      </c>
      <c r="C2482" s="38" t="s">
        <v>2183</v>
      </c>
      <c r="D2482" s="4">
        <v>2022</v>
      </c>
      <c r="E2482" s="4" t="s">
        <v>13</v>
      </c>
      <c r="F2482" s="4">
        <v>13</v>
      </c>
      <c r="G2482" s="4">
        <v>60</v>
      </c>
      <c r="H2482" s="4">
        <f>0.11111753*(1000)</f>
        <v>111.11753</v>
      </c>
      <c r="I2482" s="201"/>
      <c r="J2482" s="201"/>
    </row>
    <row r="2483" spans="1:10" s="5" customFormat="1" ht="17.25" hidden="1" customHeight="1" outlineLevel="1" x14ac:dyDescent="0.25">
      <c r="A2483" s="4">
        <v>2861</v>
      </c>
      <c r="B2483" s="4" t="s">
        <v>16</v>
      </c>
      <c r="C2483" s="38" t="s">
        <v>2186</v>
      </c>
      <c r="D2483" s="4">
        <v>2022</v>
      </c>
      <c r="E2483" s="4" t="s">
        <v>13</v>
      </c>
      <c r="F2483" s="4">
        <v>12</v>
      </c>
      <c r="G2483" s="4">
        <v>100</v>
      </c>
      <c r="H2483" s="4">
        <f>0.108688*(1000)</f>
        <v>108.688</v>
      </c>
      <c r="I2483" s="201"/>
      <c r="J2483" s="201"/>
    </row>
    <row r="2484" spans="1:10" s="5" customFormat="1" ht="17.25" hidden="1" customHeight="1" outlineLevel="1" x14ac:dyDescent="0.25">
      <c r="A2484" s="4">
        <v>2910</v>
      </c>
      <c r="B2484" s="4" t="s">
        <v>16</v>
      </c>
      <c r="C2484" s="38" t="s">
        <v>2189</v>
      </c>
      <c r="D2484" s="4">
        <v>2022</v>
      </c>
      <c r="E2484" s="4" t="s">
        <v>13</v>
      </c>
      <c r="F2484" s="4">
        <v>4</v>
      </c>
      <c r="G2484" s="4">
        <v>100</v>
      </c>
      <c r="H2484" s="4">
        <f>0.04868335*(1000)</f>
        <v>48.683349999999997</v>
      </c>
      <c r="I2484" s="201"/>
      <c r="J2484" s="201"/>
    </row>
    <row r="2485" spans="1:10" s="5" customFormat="1" ht="17.25" hidden="1" customHeight="1" outlineLevel="1" x14ac:dyDescent="0.25">
      <c r="A2485" s="4">
        <v>2991</v>
      </c>
      <c r="B2485" s="4" t="s">
        <v>16</v>
      </c>
      <c r="C2485" s="38" t="s">
        <v>2889</v>
      </c>
      <c r="D2485" s="4">
        <v>2022</v>
      </c>
      <c r="E2485" s="4" t="s">
        <v>13</v>
      </c>
      <c r="F2485" s="4">
        <v>7</v>
      </c>
      <c r="G2485" s="4">
        <v>80</v>
      </c>
      <c r="H2485" s="4">
        <f>0.26934858*(1000)</f>
        <v>269.34858000000003</v>
      </c>
      <c r="I2485" s="201"/>
      <c r="J2485" s="201"/>
    </row>
    <row r="2486" spans="1:10" s="5" customFormat="1" ht="17.25" hidden="1" customHeight="1" outlineLevel="1" x14ac:dyDescent="0.25">
      <c r="A2486" s="4">
        <v>4224</v>
      </c>
      <c r="B2486" s="4" t="s">
        <v>16</v>
      </c>
      <c r="C2486" s="38" t="s">
        <v>2894</v>
      </c>
      <c r="D2486" s="4">
        <v>2022</v>
      </c>
      <c r="E2486" s="4" t="s">
        <v>13</v>
      </c>
      <c r="F2486" s="4">
        <v>291</v>
      </c>
      <c r="G2486" s="4">
        <v>99</v>
      </c>
      <c r="H2486" s="4">
        <f>0.6071339*(1000)</f>
        <v>607.13390000000004</v>
      </c>
      <c r="I2486" s="201"/>
      <c r="J2486" s="201"/>
    </row>
    <row r="2487" spans="1:10" s="5" customFormat="1" ht="17.25" hidden="1" customHeight="1" outlineLevel="1" x14ac:dyDescent="0.25">
      <c r="A2487" s="4">
        <v>2881</v>
      </c>
      <c r="B2487" s="4" t="s">
        <v>16</v>
      </c>
      <c r="C2487" s="38" t="s">
        <v>2897</v>
      </c>
      <c r="D2487" s="4">
        <v>2022</v>
      </c>
      <c r="E2487" s="4" t="s">
        <v>13</v>
      </c>
      <c r="F2487" s="4">
        <v>10</v>
      </c>
      <c r="G2487" s="4">
        <v>130</v>
      </c>
      <c r="H2487" s="4">
        <f>0.093885*(1000)</f>
        <v>93.884999999999991</v>
      </c>
      <c r="I2487" s="201"/>
      <c r="J2487" s="201"/>
    </row>
    <row r="2488" spans="1:10" s="5" customFormat="1" ht="17.25" hidden="1" customHeight="1" outlineLevel="1" x14ac:dyDescent="0.25">
      <c r="A2488" s="4">
        <v>2868</v>
      </c>
      <c r="B2488" s="4" t="s">
        <v>16</v>
      </c>
      <c r="C2488" s="38" t="s">
        <v>2244</v>
      </c>
      <c r="D2488" s="4">
        <v>2022</v>
      </c>
      <c r="E2488" s="4" t="s">
        <v>13</v>
      </c>
      <c r="F2488" s="4">
        <v>4</v>
      </c>
      <c r="G2488" s="4">
        <v>150</v>
      </c>
      <c r="H2488" s="4">
        <f>0.067804*(1000)</f>
        <v>67.804000000000002</v>
      </c>
      <c r="I2488" s="201"/>
      <c r="J2488" s="201"/>
    </row>
    <row r="2489" spans="1:10" s="5" customFormat="1" ht="17.25" hidden="1" customHeight="1" outlineLevel="1" x14ac:dyDescent="0.25">
      <c r="A2489" s="4">
        <v>455</v>
      </c>
      <c r="B2489" s="4" t="s">
        <v>16</v>
      </c>
      <c r="C2489" s="38" t="s">
        <v>2908</v>
      </c>
      <c r="D2489" s="4">
        <v>2022</v>
      </c>
      <c r="E2489" s="4" t="s">
        <v>13</v>
      </c>
      <c r="F2489" s="4">
        <v>1327</v>
      </c>
      <c r="G2489" s="4">
        <v>100</v>
      </c>
      <c r="H2489" s="4">
        <v>2595.2082799999998</v>
      </c>
      <c r="I2489" s="201"/>
      <c r="J2489" s="201"/>
    </row>
    <row r="2490" spans="1:10" s="5" customFormat="1" ht="17.25" hidden="1" customHeight="1" outlineLevel="1" x14ac:dyDescent="0.25">
      <c r="A2490" s="4">
        <v>456</v>
      </c>
      <c r="B2490" s="4" t="s">
        <v>16</v>
      </c>
      <c r="C2490" s="38" t="s">
        <v>2909</v>
      </c>
      <c r="D2490" s="4">
        <v>2022</v>
      </c>
      <c r="E2490" s="4" t="s">
        <v>13</v>
      </c>
      <c r="F2490" s="4">
        <v>8</v>
      </c>
      <c r="G2490" s="4">
        <v>15</v>
      </c>
      <c r="H2490" s="4">
        <v>122.08163999999999</v>
      </c>
      <c r="I2490" s="201"/>
      <c r="J2490" s="201"/>
    </row>
    <row r="2491" spans="1:10" s="5" customFormat="1" ht="17.25" hidden="1" customHeight="1" outlineLevel="1" x14ac:dyDescent="0.25">
      <c r="A2491" s="4">
        <v>462</v>
      </c>
      <c r="B2491" s="4" t="s">
        <v>16</v>
      </c>
      <c r="C2491" s="38" t="s">
        <v>2450</v>
      </c>
      <c r="D2491" s="4">
        <v>2022</v>
      </c>
      <c r="E2491" s="4" t="s">
        <v>13</v>
      </c>
      <c r="F2491" s="4">
        <v>2202</v>
      </c>
      <c r="G2491" s="4">
        <v>15</v>
      </c>
      <c r="H2491" s="4">
        <v>3981.9522999999999</v>
      </c>
      <c r="I2491" s="201"/>
      <c r="J2491" s="201"/>
    </row>
    <row r="2492" spans="1:10" s="5" customFormat="1" ht="17.25" hidden="1" customHeight="1" outlineLevel="1" x14ac:dyDescent="0.25">
      <c r="A2492" s="4">
        <v>464</v>
      </c>
      <c r="B2492" s="4" t="s">
        <v>16</v>
      </c>
      <c r="C2492" s="38" t="s">
        <v>2914</v>
      </c>
      <c r="D2492" s="4">
        <v>2022</v>
      </c>
      <c r="E2492" s="4" t="s">
        <v>13</v>
      </c>
      <c r="F2492" s="4">
        <v>7</v>
      </c>
      <c r="G2492" s="4">
        <v>150</v>
      </c>
      <c r="H2492" s="4">
        <v>182.83552</v>
      </c>
      <c r="I2492" s="201"/>
      <c r="J2492" s="201"/>
    </row>
    <row r="2493" spans="1:10" s="5" customFormat="1" ht="17.25" hidden="1" customHeight="1" outlineLevel="1" x14ac:dyDescent="0.25">
      <c r="A2493" s="4">
        <v>466</v>
      </c>
      <c r="B2493" s="4" t="s">
        <v>16</v>
      </c>
      <c r="C2493" s="38" t="s">
        <v>2932</v>
      </c>
      <c r="D2493" s="4">
        <v>2022</v>
      </c>
      <c r="E2493" s="4" t="s">
        <v>13</v>
      </c>
      <c r="F2493" s="4">
        <v>188</v>
      </c>
      <c r="G2493" s="4">
        <v>290</v>
      </c>
      <c r="H2493" s="4">
        <v>617.85864000000004</v>
      </c>
      <c r="I2493" s="201"/>
      <c r="J2493" s="201"/>
    </row>
    <row r="2494" spans="1:10" s="5" customFormat="1" ht="17.25" hidden="1" customHeight="1" outlineLevel="1" x14ac:dyDescent="0.25">
      <c r="A2494" s="4">
        <v>472</v>
      </c>
      <c r="B2494" s="4" t="s">
        <v>16</v>
      </c>
      <c r="C2494" s="38" t="s">
        <v>2916</v>
      </c>
      <c r="D2494" s="4">
        <v>2022</v>
      </c>
      <c r="E2494" s="4" t="s">
        <v>13</v>
      </c>
      <c r="F2494" s="4">
        <v>488</v>
      </c>
      <c r="G2494" s="4">
        <v>100</v>
      </c>
      <c r="H2494" s="4">
        <v>1169.20336</v>
      </c>
      <c r="I2494" s="201"/>
      <c r="J2494" s="201"/>
    </row>
    <row r="2495" spans="1:10" s="5" customFormat="1" ht="17.25" hidden="1" customHeight="1" outlineLevel="1" x14ac:dyDescent="0.25">
      <c r="A2495" s="4">
        <v>16</v>
      </c>
      <c r="B2495" s="4" t="s">
        <v>16</v>
      </c>
      <c r="C2495" s="38" t="s">
        <v>2622</v>
      </c>
      <c r="D2495" s="4">
        <v>2022</v>
      </c>
      <c r="E2495" s="4" t="s">
        <v>13</v>
      </c>
      <c r="F2495" s="4">
        <v>51</v>
      </c>
      <c r="G2495" s="4">
        <v>15</v>
      </c>
      <c r="H2495" s="4">
        <v>280</v>
      </c>
      <c r="I2495" s="201"/>
      <c r="J2495" s="201"/>
    </row>
    <row r="2496" spans="1:10" s="5" customFormat="1" ht="17.25" hidden="1" customHeight="1" outlineLevel="1" x14ac:dyDescent="0.25">
      <c r="A2496" s="4">
        <v>180</v>
      </c>
      <c r="B2496" s="4" t="s">
        <v>16</v>
      </c>
      <c r="C2496" s="38" t="s">
        <v>2920</v>
      </c>
      <c r="D2496" s="4">
        <v>2022</v>
      </c>
      <c r="E2496" s="4" t="s">
        <v>13</v>
      </c>
      <c r="F2496" s="4">
        <v>617</v>
      </c>
      <c r="G2496" s="4">
        <v>50</v>
      </c>
      <c r="H2496" s="4">
        <v>1349</v>
      </c>
      <c r="I2496" s="201"/>
      <c r="J2496" s="201"/>
    </row>
    <row r="2497" spans="1:10" s="5" customFormat="1" ht="17.25" hidden="1" customHeight="1" outlineLevel="1" x14ac:dyDescent="0.25">
      <c r="A2497" s="4">
        <v>17</v>
      </c>
      <c r="B2497" s="4" t="s">
        <v>16</v>
      </c>
      <c r="C2497" s="38" t="s">
        <v>2922</v>
      </c>
      <c r="D2497" s="4">
        <v>2022</v>
      </c>
      <c r="E2497" s="4" t="s">
        <v>13</v>
      </c>
      <c r="F2497" s="4">
        <v>694</v>
      </c>
      <c r="G2497" s="4">
        <v>265</v>
      </c>
      <c r="H2497" s="4">
        <v>1562</v>
      </c>
      <c r="I2497" s="201"/>
      <c r="J2497" s="201"/>
    </row>
    <row r="2498" spans="1:10" s="5" customFormat="1" ht="17.25" hidden="1" customHeight="1" outlineLevel="1" x14ac:dyDescent="0.25">
      <c r="A2498" s="4">
        <v>284</v>
      </c>
      <c r="B2498" s="4" t="s">
        <v>16</v>
      </c>
      <c r="C2498" s="38" t="s">
        <v>2923</v>
      </c>
      <c r="D2498" s="4">
        <v>2022</v>
      </c>
      <c r="E2498" s="4" t="s">
        <v>13</v>
      </c>
      <c r="F2498" s="4">
        <v>5</v>
      </c>
      <c r="G2498" s="4">
        <v>150</v>
      </c>
      <c r="H2498" s="4">
        <v>136</v>
      </c>
      <c r="I2498" s="201"/>
      <c r="J2498" s="201"/>
    </row>
    <row r="2499" spans="1:10" s="5" customFormat="1" ht="17.25" hidden="1" customHeight="1" outlineLevel="1" x14ac:dyDescent="0.25">
      <c r="A2499" s="4">
        <v>356</v>
      </c>
      <c r="B2499" s="4" t="s">
        <v>16</v>
      </c>
      <c r="C2499" s="38" t="s">
        <v>2924</v>
      </c>
      <c r="D2499" s="4">
        <v>2022</v>
      </c>
      <c r="E2499" s="4" t="s">
        <v>13</v>
      </c>
      <c r="F2499" s="4">
        <v>5707</v>
      </c>
      <c r="G2499" s="4">
        <v>25</v>
      </c>
      <c r="H2499" s="4">
        <v>7260</v>
      </c>
      <c r="I2499" s="201"/>
      <c r="J2499" s="201"/>
    </row>
    <row r="2500" spans="1:10" s="5" customFormat="1" ht="17.25" hidden="1" customHeight="1" outlineLevel="1" x14ac:dyDescent="0.25">
      <c r="A2500" s="4">
        <v>399</v>
      </c>
      <c r="B2500" s="4" t="s">
        <v>16</v>
      </c>
      <c r="C2500" s="38" t="s">
        <v>2925</v>
      </c>
      <c r="D2500" s="4">
        <v>2022</v>
      </c>
      <c r="E2500" s="4" t="s">
        <v>13</v>
      </c>
      <c r="F2500" s="4">
        <v>1903</v>
      </c>
      <c r="G2500" s="4">
        <v>150</v>
      </c>
      <c r="H2500" s="4">
        <v>3031</v>
      </c>
      <c r="I2500" s="201"/>
      <c r="J2500" s="201"/>
    </row>
    <row r="2501" spans="1:10" s="5" customFormat="1" ht="17.25" hidden="1" customHeight="1" outlineLevel="1" x14ac:dyDescent="0.25">
      <c r="A2501" s="4">
        <v>3093</v>
      </c>
      <c r="B2501" s="4" t="s">
        <v>16</v>
      </c>
      <c r="C2501" s="38" t="s">
        <v>9222</v>
      </c>
      <c r="D2501" s="4">
        <v>2023</v>
      </c>
      <c r="E2501" s="4" t="s">
        <v>13</v>
      </c>
      <c r="F2501" s="4">
        <v>13</v>
      </c>
      <c r="G2501" s="41">
        <v>150</v>
      </c>
      <c r="H2501" s="41">
        <v>128.63791000000001</v>
      </c>
      <c r="I2501" s="221"/>
      <c r="J2501" s="221"/>
    </row>
    <row r="2502" spans="1:10" s="5" customFormat="1" ht="17.25" hidden="1" customHeight="1" outlineLevel="1" x14ac:dyDescent="0.25">
      <c r="A2502" s="4">
        <v>3231</v>
      </c>
      <c r="B2502" s="4" t="s">
        <v>16</v>
      </c>
      <c r="C2502" s="38" t="s">
        <v>8478</v>
      </c>
      <c r="D2502" s="4">
        <v>2023</v>
      </c>
      <c r="E2502" s="4" t="s">
        <v>13</v>
      </c>
      <c r="F2502" s="4">
        <v>12</v>
      </c>
      <c r="G2502" s="41">
        <v>13</v>
      </c>
      <c r="H2502" s="41">
        <v>77.703940000000003</v>
      </c>
      <c r="I2502" s="221"/>
      <c r="J2502" s="221"/>
    </row>
    <row r="2503" spans="1:10" s="5" customFormat="1" ht="17.25" hidden="1" customHeight="1" outlineLevel="1" x14ac:dyDescent="0.25">
      <c r="A2503" s="4">
        <v>461</v>
      </c>
      <c r="B2503" s="4" t="s">
        <v>16</v>
      </c>
      <c r="C2503" s="38" t="s">
        <v>9223</v>
      </c>
      <c r="D2503" s="4">
        <v>2023</v>
      </c>
      <c r="E2503" s="4" t="s">
        <v>13</v>
      </c>
      <c r="F2503" s="4">
        <v>9</v>
      </c>
      <c r="G2503" s="41">
        <v>45</v>
      </c>
      <c r="H2503" s="41">
        <v>384.19499999999999</v>
      </c>
      <c r="I2503" s="221"/>
      <c r="J2503" s="221"/>
    </row>
    <row r="2504" spans="1:10" s="5" customFormat="1" ht="17.25" hidden="1" customHeight="1" outlineLevel="1" x14ac:dyDescent="0.25">
      <c r="A2504" s="4">
        <v>2972</v>
      </c>
      <c r="B2504" s="4" t="s">
        <v>16</v>
      </c>
      <c r="C2504" s="38" t="s">
        <v>9224</v>
      </c>
      <c r="D2504" s="4">
        <v>2023</v>
      </c>
      <c r="E2504" s="4" t="s">
        <v>13</v>
      </c>
      <c r="F2504" s="4">
        <v>135</v>
      </c>
      <c r="G2504" s="41">
        <v>150</v>
      </c>
      <c r="H2504" s="41">
        <v>1058.778</v>
      </c>
      <c r="I2504" s="221"/>
      <c r="J2504" s="221"/>
    </row>
    <row r="2505" spans="1:10" s="5" customFormat="1" ht="17.25" hidden="1" customHeight="1" outlineLevel="1" x14ac:dyDescent="0.25">
      <c r="A2505" s="4">
        <v>3235</v>
      </c>
      <c r="B2505" s="4" t="s">
        <v>16</v>
      </c>
      <c r="C2505" s="38" t="s">
        <v>9225</v>
      </c>
      <c r="D2505" s="4">
        <v>2023</v>
      </c>
      <c r="E2505" s="4" t="s">
        <v>13</v>
      </c>
      <c r="F2505" s="4">
        <v>5</v>
      </c>
      <c r="G2505" s="41">
        <v>15</v>
      </c>
      <c r="H2505" s="41">
        <v>17</v>
      </c>
      <c r="I2505" s="221"/>
      <c r="J2505" s="221"/>
    </row>
    <row r="2506" spans="1:10" s="5" customFormat="1" ht="17.25" hidden="1" customHeight="1" outlineLevel="1" x14ac:dyDescent="0.25">
      <c r="A2506" s="4">
        <v>4684</v>
      </c>
      <c r="B2506" s="4" t="s">
        <v>16</v>
      </c>
      <c r="C2506" s="38" t="s">
        <v>9226</v>
      </c>
      <c r="D2506" s="4">
        <v>2023</v>
      </c>
      <c r="E2506" s="4" t="s">
        <v>13</v>
      </c>
      <c r="F2506" s="4">
        <v>1356</v>
      </c>
      <c r="G2506" s="41">
        <v>150</v>
      </c>
      <c r="H2506" s="41">
        <v>3937.4839999999999</v>
      </c>
      <c r="I2506" s="221"/>
      <c r="J2506" s="221"/>
    </row>
    <row r="2507" spans="1:10" s="5" customFormat="1" ht="17.25" hidden="1" customHeight="1" outlineLevel="1" x14ac:dyDescent="0.25">
      <c r="A2507" s="4">
        <v>4685</v>
      </c>
      <c r="B2507" s="4" t="s">
        <v>16</v>
      </c>
      <c r="C2507" s="38" t="s">
        <v>9227</v>
      </c>
      <c r="D2507" s="4">
        <v>2023</v>
      </c>
      <c r="E2507" s="4" t="s">
        <v>13</v>
      </c>
      <c r="F2507" s="4">
        <v>580</v>
      </c>
      <c r="G2507" s="41">
        <v>150</v>
      </c>
      <c r="H2507" s="41">
        <v>2061.1320000000001</v>
      </c>
      <c r="I2507" s="221"/>
      <c r="J2507" s="221"/>
    </row>
    <row r="2508" spans="1:10" s="5" customFormat="1" ht="17.25" hidden="1" customHeight="1" outlineLevel="1" x14ac:dyDescent="0.25">
      <c r="A2508" s="4">
        <v>3120</v>
      </c>
      <c r="B2508" s="4" t="s">
        <v>16</v>
      </c>
      <c r="C2508" s="38" t="s">
        <v>9228</v>
      </c>
      <c r="D2508" s="4">
        <v>2023</v>
      </c>
      <c r="E2508" s="4" t="s">
        <v>13</v>
      </c>
      <c r="F2508" s="4">
        <v>13</v>
      </c>
      <c r="G2508" s="41">
        <v>150</v>
      </c>
      <c r="H2508" s="41">
        <v>253.94899999999998</v>
      </c>
      <c r="I2508" s="221"/>
      <c r="J2508" s="221"/>
    </row>
    <row r="2509" spans="1:10" s="5" customFormat="1" ht="17.25" hidden="1" customHeight="1" outlineLevel="1" x14ac:dyDescent="0.25">
      <c r="A2509" s="4">
        <v>3237</v>
      </c>
      <c r="B2509" s="4" t="s">
        <v>16</v>
      </c>
      <c r="C2509" s="38" t="s">
        <v>9229</v>
      </c>
      <c r="D2509" s="4">
        <v>2023</v>
      </c>
      <c r="E2509" s="4" t="s">
        <v>13</v>
      </c>
      <c r="F2509" s="4">
        <v>5</v>
      </c>
      <c r="G2509" s="41">
        <v>10</v>
      </c>
      <c r="H2509" s="41">
        <v>15.512</v>
      </c>
      <c r="I2509" s="221"/>
      <c r="J2509" s="221"/>
    </row>
    <row r="2510" spans="1:10" s="5" customFormat="1" ht="17.25" hidden="1" customHeight="1" outlineLevel="1" x14ac:dyDescent="0.25">
      <c r="A2510" s="4">
        <v>4637</v>
      </c>
      <c r="B2510" s="4" t="s">
        <v>16</v>
      </c>
      <c r="C2510" s="38" t="s">
        <v>9230</v>
      </c>
      <c r="D2510" s="4">
        <v>2023</v>
      </c>
      <c r="E2510" s="4" t="s">
        <v>13</v>
      </c>
      <c r="F2510" s="4">
        <v>181</v>
      </c>
      <c r="G2510" s="41">
        <v>147.5</v>
      </c>
      <c r="H2510" s="41">
        <v>700.04399999999998</v>
      </c>
      <c r="I2510" s="221"/>
      <c r="J2510" s="221"/>
    </row>
    <row r="2511" spans="1:10" s="5" customFormat="1" ht="17.25" hidden="1" customHeight="1" outlineLevel="1" x14ac:dyDescent="0.25">
      <c r="A2511" s="4">
        <v>4732</v>
      </c>
      <c r="B2511" s="4" t="s">
        <v>16</v>
      </c>
      <c r="C2511" s="38" t="s">
        <v>9231</v>
      </c>
      <c r="D2511" s="4">
        <v>2023</v>
      </c>
      <c r="E2511" s="4" t="s">
        <v>13</v>
      </c>
      <c r="F2511" s="4">
        <v>5</v>
      </c>
      <c r="G2511" s="41">
        <v>15</v>
      </c>
      <c r="H2511" s="41">
        <v>11.969000000000001</v>
      </c>
      <c r="I2511" s="221"/>
      <c r="J2511" s="221"/>
    </row>
    <row r="2512" spans="1:10" s="5" customFormat="1" ht="17.25" hidden="1" customHeight="1" outlineLevel="1" x14ac:dyDescent="0.25">
      <c r="A2512" s="4">
        <v>4694</v>
      </c>
      <c r="B2512" s="4" t="s">
        <v>16</v>
      </c>
      <c r="C2512" s="38" t="s">
        <v>9232</v>
      </c>
      <c r="D2512" s="4">
        <v>2023</v>
      </c>
      <c r="E2512" s="4" t="s">
        <v>13</v>
      </c>
      <c r="F2512" s="4">
        <v>15</v>
      </c>
      <c r="G2512" s="41">
        <v>421.4</v>
      </c>
      <c r="H2512" s="41">
        <v>113.297</v>
      </c>
      <c r="I2512" s="221"/>
      <c r="J2512" s="221"/>
    </row>
    <row r="2513" spans="1:10" s="5" customFormat="1" ht="17.25" hidden="1" customHeight="1" outlineLevel="1" x14ac:dyDescent="0.25">
      <c r="A2513" s="4">
        <v>4744</v>
      </c>
      <c r="B2513" s="4" t="s">
        <v>16</v>
      </c>
      <c r="C2513" s="38" t="s">
        <v>9233</v>
      </c>
      <c r="D2513" s="4">
        <v>2023</v>
      </c>
      <c r="E2513" s="4" t="s">
        <v>13</v>
      </c>
      <c r="F2513" s="4">
        <v>15</v>
      </c>
      <c r="G2513" s="41">
        <v>100</v>
      </c>
      <c r="H2513" s="41">
        <v>337.61900000000003</v>
      </c>
      <c r="I2513" s="221"/>
      <c r="J2513" s="221"/>
    </row>
    <row r="2514" spans="1:10" s="5" customFormat="1" ht="17.25" hidden="1" customHeight="1" outlineLevel="1" x14ac:dyDescent="0.25">
      <c r="A2514" s="4">
        <v>4754</v>
      </c>
      <c r="B2514" s="4" t="s">
        <v>16</v>
      </c>
      <c r="C2514" s="38" t="s">
        <v>9234</v>
      </c>
      <c r="D2514" s="4">
        <v>2023</v>
      </c>
      <c r="E2514" s="4" t="s">
        <v>13</v>
      </c>
      <c r="F2514" s="4">
        <v>8</v>
      </c>
      <c r="G2514" s="41">
        <v>100</v>
      </c>
      <c r="H2514" s="41">
        <v>212.2</v>
      </c>
      <c r="I2514" s="221"/>
      <c r="J2514" s="221"/>
    </row>
    <row r="2515" spans="1:10" s="5" customFormat="1" ht="17.25" hidden="1" customHeight="1" outlineLevel="1" x14ac:dyDescent="0.25">
      <c r="A2515" s="4">
        <v>3060</v>
      </c>
      <c r="B2515" s="4" t="s">
        <v>16</v>
      </c>
      <c r="C2515" s="38" t="s">
        <v>9235</v>
      </c>
      <c r="D2515" s="4">
        <v>2023</v>
      </c>
      <c r="E2515" s="4" t="s">
        <v>13</v>
      </c>
      <c r="F2515" s="4">
        <v>1897</v>
      </c>
      <c r="G2515" s="41">
        <v>50</v>
      </c>
      <c r="H2515" s="41">
        <v>4625.8310000000001</v>
      </c>
      <c r="I2515" s="221"/>
      <c r="J2515" s="221"/>
    </row>
    <row r="2516" spans="1:10" s="5" customFormat="1" ht="17.25" hidden="1" customHeight="1" outlineLevel="1" x14ac:dyDescent="0.25">
      <c r="A2516" s="4">
        <v>4788</v>
      </c>
      <c r="B2516" s="4" t="s">
        <v>16</v>
      </c>
      <c r="C2516" s="38" t="s">
        <v>9236</v>
      </c>
      <c r="D2516" s="4">
        <v>2023</v>
      </c>
      <c r="E2516" s="4" t="s">
        <v>13</v>
      </c>
      <c r="F2516" s="4">
        <v>5</v>
      </c>
      <c r="G2516" s="41">
        <v>15</v>
      </c>
      <c r="H2516" s="41">
        <v>35.556999999999995</v>
      </c>
      <c r="I2516" s="221"/>
      <c r="J2516" s="221"/>
    </row>
    <row r="2517" spans="1:10" s="5" customFormat="1" ht="17.25" hidden="1" customHeight="1" outlineLevel="1" x14ac:dyDescent="0.25">
      <c r="A2517" s="4">
        <v>3374</v>
      </c>
      <c r="B2517" s="4" t="s">
        <v>16</v>
      </c>
      <c r="C2517" s="38" t="s">
        <v>9132</v>
      </c>
      <c r="D2517" s="4">
        <v>2023</v>
      </c>
      <c r="E2517" s="4" t="s">
        <v>13</v>
      </c>
      <c r="F2517" s="4">
        <v>63</v>
      </c>
      <c r="G2517" s="41">
        <v>150</v>
      </c>
      <c r="H2517" s="41">
        <v>105.73122000000001</v>
      </c>
      <c r="I2517" s="221"/>
      <c r="J2517" s="221"/>
    </row>
    <row r="2518" spans="1:10" s="5" customFormat="1" ht="17.25" hidden="1" customHeight="1" outlineLevel="1" x14ac:dyDescent="0.25">
      <c r="A2518" s="4">
        <v>459</v>
      </c>
      <c r="B2518" s="4" t="s">
        <v>16</v>
      </c>
      <c r="C2518" s="38" t="s">
        <v>9133</v>
      </c>
      <c r="D2518" s="4">
        <v>2023</v>
      </c>
      <c r="E2518" s="4" t="s">
        <v>13</v>
      </c>
      <c r="F2518" s="4">
        <v>170</v>
      </c>
      <c r="G2518" s="41">
        <v>195</v>
      </c>
      <c r="H2518" s="41">
        <v>658.63589000000002</v>
      </c>
      <c r="I2518" s="221"/>
      <c r="J2518" s="221"/>
    </row>
    <row r="2519" spans="1:10" s="5" customFormat="1" ht="17.25" hidden="1" customHeight="1" outlineLevel="1" x14ac:dyDescent="0.25">
      <c r="A2519" s="4">
        <v>2982</v>
      </c>
      <c r="B2519" s="4" t="s">
        <v>16</v>
      </c>
      <c r="C2519" s="38" t="s">
        <v>9237</v>
      </c>
      <c r="D2519" s="4">
        <v>2023</v>
      </c>
      <c r="E2519" s="4" t="s">
        <v>13</v>
      </c>
      <c r="F2519" s="4">
        <v>714</v>
      </c>
      <c r="G2519" s="41">
        <v>150</v>
      </c>
      <c r="H2519" s="41">
        <v>1070.72858</v>
      </c>
      <c r="I2519" s="221"/>
      <c r="J2519" s="221"/>
    </row>
    <row r="2520" spans="1:10" s="5" customFormat="1" ht="17.25" hidden="1" customHeight="1" outlineLevel="1" x14ac:dyDescent="0.25">
      <c r="A2520" s="4">
        <v>5174</v>
      </c>
      <c r="B2520" s="4" t="s">
        <v>16</v>
      </c>
      <c r="C2520" s="38" t="s">
        <v>9144</v>
      </c>
      <c r="D2520" s="4">
        <v>2023</v>
      </c>
      <c r="E2520" s="4" t="s">
        <v>13</v>
      </c>
      <c r="F2520" s="4">
        <v>568</v>
      </c>
      <c r="G2520" s="41">
        <v>100</v>
      </c>
      <c r="H2520" s="41">
        <v>2023.3765199999998</v>
      </c>
      <c r="I2520" s="221"/>
      <c r="J2520" s="221"/>
    </row>
    <row r="2521" spans="1:10" s="5" customFormat="1" ht="17.25" hidden="1" customHeight="1" outlineLevel="1" x14ac:dyDescent="0.25">
      <c r="A2521" s="4">
        <v>5800</v>
      </c>
      <c r="B2521" s="4" t="s">
        <v>16</v>
      </c>
      <c r="C2521" s="38" t="s">
        <v>9149</v>
      </c>
      <c r="D2521" s="4">
        <v>2023</v>
      </c>
      <c r="E2521" s="4" t="s">
        <v>13</v>
      </c>
      <c r="F2521" s="4">
        <v>1037</v>
      </c>
      <c r="G2521" s="41">
        <v>100</v>
      </c>
      <c r="H2521" s="41">
        <v>1797.0589699999998</v>
      </c>
      <c r="I2521" s="221"/>
      <c r="J2521" s="221"/>
    </row>
    <row r="2522" spans="1:10" s="5" customFormat="1" ht="17.25" hidden="1" customHeight="1" outlineLevel="1" x14ac:dyDescent="0.25">
      <c r="A2522" s="4">
        <v>5012</v>
      </c>
      <c r="B2522" s="4" t="s">
        <v>16</v>
      </c>
      <c r="C2522" s="38" t="s">
        <v>9238</v>
      </c>
      <c r="D2522" s="4">
        <v>2023</v>
      </c>
      <c r="E2522" s="4" t="s">
        <v>13</v>
      </c>
      <c r="F2522" s="4">
        <v>15655.000000000002</v>
      </c>
      <c r="G2522" s="41">
        <v>800</v>
      </c>
      <c r="H2522" s="41">
        <v>27504.494004999997</v>
      </c>
      <c r="I2522" s="221"/>
      <c r="J2522" s="221"/>
    </row>
    <row r="2523" spans="1:10" s="5" customFormat="1" ht="17.25" hidden="1" customHeight="1" outlineLevel="1" x14ac:dyDescent="0.25">
      <c r="A2523" s="4">
        <v>2990</v>
      </c>
      <c r="B2523" s="4" t="s">
        <v>16</v>
      </c>
      <c r="C2523" s="38" t="s">
        <v>9195</v>
      </c>
      <c r="D2523" s="4">
        <v>2023</v>
      </c>
      <c r="E2523" s="4" t="s">
        <v>13</v>
      </c>
      <c r="F2523" s="4">
        <v>2435</v>
      </c>
      <c r="G2523" s="41">
        <v>150</v>
      </c>
      <c r="H2523" s="41">
        <v>6036</v>
      </c>
      <c r="I2523" s="221"/>
      <c r="J2523" s="221"/>
    </row>
    <row r="2524" spans="1:10" s="5" customFormat="1" ht="17.25" hidden="1" customHeight="1" outlineLevel="1" x14ac:dyDescent="0.25">
      <c r="A2524" s="4">
        <v>3415</v>
      </c>
      <c r="B2524" s="4" t="s">
        <v>16</v>
      </c>
      <c r="C2524" s="38" t="s">
        <v>9210</v>
      </c>
      <c r="D2524" s="4">
        <v>2023</v>
      </c>
      <c r="E2524" s="4" t="s">
        <v>13</v>
      </c>
      <c r="F2524" s="4">
        <v>1281</v>
      </c>
      <c r="G2524" s="41">
        <v>15</v>
      </c>
      <c r="H2524" s="41">
        <v>2199</v>
      </c>
      <c r="I2524" s="221"/>
      <c r="J2524" s="221"/>
    </row>
    <row r="2525" spans="1:10" s="5" customFormat="1" ht="17.25" hidden="1" customHeight="1" outlineLevel="1" x14ac:dyDescent="0.25">
      <c r="A2525" s="4">
        <v>4418</v>
      </c>
      <c r="B2525" s="4" t="s">
        <v>16</v>
      </c>
      <c r="C2525" s="38" t="s">
        <v>9239</v>
      </c>
      <c r="D2525" s="4">
        <v>2023</v>
      </c>
      <c r="E2525" s="4" t="s">
        <v>13</v>
      </c>
      <c r="F2525" s="4">
        <v>754</v>
      </c>
      <c r="G2525" s="41">
        <v>1000</v>
      </c>
      <c r="H2525" s="41">
        <v>1713</v>
      </c>
      <c r="I2525" s="221"/>
      <c r="J2525" s="221"/>
    </row>
    <row r="2526" spans="1:10" s="5" customFormat="1" ht="24.75" hidden="1" customHeight="1" outlineLevel="1" x14ac:dyDescent="0.25">
      <c r="A2526" s="42">
        <v>3835</v>
      </c>
      <c r="B2526" s="4" t="s">
        <v>16</v>
      </c>
      <c r="C2526" s="38" t="s">
        <v>282</v>
      </c>
      <c r="D2526" s="4">
        <v>2021</v>
      </c>
      <c r="E2526" s="4"/>
      <c r="F2526" s="4">
        <v>330</v>
      </c>
      <c r="G2526" s="41">
        <v>150</v>
      </c>
      <c r="H2526" s="41">
        <v>591.91088000000002</v>
      </c>
      <c r="I2526" s="221"/>
      <c r="J2526" s="221"/>
    </row>
    <row r="2527" spans="1:10" s="5" customFormat="1" ht="24.75" hidden="1" customHeight="1" outlineLevel="1" x14ac:dyDescent="0.25">
      <c r="A2527" s="42">
        <v>1190</v>
      </c>
      <c r="B2527" s="4" t="s">
        <v>16</v>
      </c>
      <c r="C2527" s="38" t="s">
        <v>207</v>
      </c>
      <c r="D2527" s="4">
        <v>2021</v>
      </c>
      <c r="E2527" s="4"/>
      <c r="F2527" s="4">
        <v>10</v>
      </c>
      <c r="G2527" s="41">
        <v>150</v>
      </c>
      <c r="H2527" s="41">
        <v>36.322960000000002</v>
      </c>
      <c r="I2527" s="221"/>
      <c r="J2527" s="221"/>
    </row>
    <row r="2528" spans="1:10" s="5" customFormat="1" ht="24.75" hidden="1" customHeight="1" outlineLevel="1" x14ac:dyDescent="0.25">
      <c r="A2528" s="42">
        <v>3741</v>
      </c>
      <c r="B2528" s="4" t="s">
        <v>16</v>
      </c>
      <c r="C2528" s="38" t="s">
        <v>209</v>
      </c>
      <c r="D2528" s="4">
        <v>2021</v>
      </c>
      <c r="E2528" s="4"/>
      <c r="F2528" s="4">
        <v>2590</v>
      </c>
      <c r="G2528" s="41">
        <v>15</v>
      </c>
      <c r="H2528" s="41">
        <v>4295.2990799999998</v>
      </c>
      <c r="I2528" s="221"/>
      <c r="J2528" s="221"/>
    </row>
    <row r="2529" spans="1:10" s="5" customFormat="1" ht="24.75" hidden="1" customHeight="1" outlineLevel="1" x14ac:dyDescent="0.25">
      <c r="A2529" s="42">
        <v>3745</v>
      </c>
      <c r="B2529" s="4" t="s">
        <v>16</v>
      </c>
      <c r="C2529" s="38" t="s">
        <v>210</v>
      </c>
      <c r="D2529" s="4">
        <v>2021</v>
      </c>
      <c r="E2529" s="4"/>
      <c r="F2529" s="4">
        <v>641</v>
      </c>
      <c r="G2529" s="41">
        <v>70</v>
      </c>
      <c r="H2529" s="41">
        <v>1093.77909</v>
      </c>
      <c r="I2529" s="221"/>
      <c r="J2529" s="221"/>
    </row>
    <row r="2530" spans="1:10" s="5" customFormat="1" ht="24.75" hidden="1" customHeight="1" outlineLevel="1" x14ac:dyDescent="0.25">
      <c r="A2530" s="41">
        <v>9684</v>
      </c>
      <c r="B2530" s="4" t="s">
        <v>16</v>
      </c>
      <c r="C2530" s="38" t="s">
        <v>211</v>
      </c>
      <c r="D2530" s="4">
        <v>2021</v>
      </c>
      <c r="E2530" s="4"/>
      <c r="F2530" s="4">
        <v>10</v>
      </c>
      <c r="G2530" s="41">
        <v>15</v>
      </c>
      <c r="H2530" s="41">
        <v>87.721540000000005</v>
      </c>
      <c r="I2530" s="221"/>
      <c r="J2530" s="221"/>
    </row>
    <row r="2531" spans="1:10" s="5" customFormat="1" ht="24.75" hidden="1" customHeight="1" outlineLevel="1" x14ac:dyDescent="0.25">
      <c r="A2531" s="41">
        <v>9095</v>
      </c>
      <c r="B2531" s="4" t="s">
        <v>16</v>
      </c>
      <c r="C2531" s="38" t="s">
        <v>283</v>
      </c>
      <c r="D2531" s="4">
        <v>2021</v>
      </c>
      <c r="E2531" s="4"/>
      <c r="F2531" s="4">
        <v>485</v>
      </c>
      <c r="G2531" s="41">
        <v>50</v>
      </c>
      <c r="H2531" s="41">
        <v>806.84177</v>
      </c>
      <c r="I2531" s="221"/>
      <c r="J2531" s="221"/>
    </row>
    <row r="2532" spans="1:10" s="5" customFormat="1" ht="24.75" hidden="1" customHeight="1" outlineLevel="1" x14ac:dyDescent="0.25">
      <c r="A2532" s="42">
        <v>3802</v>
      </c>
      <c r="B2532" s="4" t="s">
        <v>16</v>
      </c>
      <c r="C2532" s="38" t="s">
        <v>284</v>
      </c>
      <c r="D2532" s="4">
        <v>2021</v>
      </c>
      <c r="E2532" s="4"/>
      <c r="F2532" s="4">
        <v>9</v>
      </c>
      <c r="G2532" s="41">
        <v>135</v>
      </c>
      <c r="H2532" s="41">
        <v>130.607</v>
      </c>
      <c r="I2532" s="221"/>
      <c r="J2532" s="221"/>
    </row>
    <row r="2533" spans="1:10" s="5" customFormat="1" ht="24.75" hidden="1" customHeight="1" outlineLevel="1" x14ac:dyDescent="0.25">
      <c r="A2533" s="41">
        <v>9522</v>
      </c>
      <c r="B2533" s="4" t="s">
        <v>16</v>
      </c>
      <c r="C2533" s="38" t="s">
        <v>61</v>
      </c>
      <c r="D2533" s="4">
        <v>2021</v>
      </c>
      <c r="E2533" s="4"/>
      <c r="F2533" s="4">
        <v>96</v>
      </c>
      <c r="G2533" s="41">
        <v>15</v>
      </c>
      <c r="H2533" s="41">
        <v>371.49799999999999</v>
      </c>
      <c r="I2533" s="221"/>
      <c r="J2533" s="221"/>
    </row>
    <row r="2534" spans="1:10" s="5" customFormat="1" ht="24.75" hidden="1" customHeight="1" outlineLevel="1" x14ac:dyDescent="0.25">
      <c r="A2534" s="42">
        <v>1290</v>
      </c>
      <c r="B2534" s="4" t="s">
        <v>16</v>
      </c>
      <c r="C2534" s="38" t="s">
        <v>62</v>
      </c>
      <c r="D2534" s="4">
        <v>2021</v>
      </c>
      <c r="E2534" s="4"/>
      <c r="F2534" s="4">
        <v>6</v>
      </c>
      <c r="G2534" s="41">
        <v>15</v>
      </c>
      <c r="H2534" s="41">
        <v>167.37700000000001</v>
      </c>
      <c r="I2534" s="221"/>
      <c r="J2534" s="221"/>
    </row>
    <row r="2535" spans="1:10" s="5" customFormat="1" ht="24.75" hidden="1" customHeight="1" outlineLevel="1" x14ac:dyDescent="0.25">
      <c r="A2535" s="42">
        <v>1289</v>
      </c>
      <c r="B2535" s="4" t="s">
        <v>16</v>
      </c>
      <c r="C2535" s="38" t="s">
        <v>63</v>
      </c>
      <c r="D2535" s="4">
        <v>2021</v>
      </c>
      <c r="E2535" s="4"/>
      <c r="F2535" s="4">
        <v>8</v>
      </c>
      <c r="G2535" s="41">
        <v>10</v>
      </c>
      <c r="H2535" s="41">
        <v>151.97499999999999</v>
      </c>
      <c r="I2535" s="221"/>
      <c r="J2535" s="221"/>
    </row>
    <row r="2536" spans="1:10" s="5" customFormat="1" ht="24.75" hidden="1" customHeight="1" outlineLevel="1" x14ac:dyDescent="0.25">
      <c r="A2536" s="42">
        <v>1284</v>
      </c>
      <c r="B2536" s="4" t="s">
        <v>16</v>
      </c>
      <c r="C2536" s="38" t="s">
        <v>64</v>
      </c>
      <c r="D2536" s="4">
        <v>2021</v>
      </c>
      <c r="E2536" s="4"/>
      <c r="F2536" s="4">
        <v>713</v>
      </c>
      <c r="G2536" s="41">
        <v>15</v>
      </c>
      <c r="H2536" s="41">
        <v>1575.5740000000001</v>
      </c>
      <c r="I2536" s="221"/>
      <c r="J2536" s="221"/>
    </row>
    <row r="2537" spans="1:10" s="5" customFormat="1" ht="24.75" hidden="1" customHeight="1" outlineLevel="1" x14ac:dyDescent="0.25">
      <c r="A2537" s="41">
        <v>9733</v>
      </c>
      <c r="B2537" s="4" t="s">
        <v>16</v>
      </c>
      <c r="C2537" s="38" t="s">
        <v>66</v>
      </c>
      <c r="D2537" s="4">
        <v>2021</v>
      </c>
      <c r="E2537" s="4"/>
      <c r="F2537" s="4">
        <v>1011</v>
      </c>
      <c r="G2537" s="41">
        <v>15</v>
      </c>
      <c r="H2537" s="41">
        <v>1525.962</v>
      </c>
      <c r="I2537" s="221"/>
      <c r="J2537" s="221"/>
    </row>
    <row r="2538" spans="1:10" s="5" customFormat="1" ht="24.75" hidden="1" customHeight="1" outlineLevel="1" x14ac:dyDescent="0.25">
      <c r="A2538" s="42">
        <v>3837</v>
      </c>
      <c r="B2538" s="4" t="s">
        <v>16</v>
      </c>
      <c r="C2538" s="38" t="s">
        <v>285</v>
      </c>
      <c r="D2538" s="4">
        <v>2021</v>
      </c>
      <c r="E2538" s="4"/>
      <c r="F2538" s="4">
        <v>118</v>
      </c>
      <c r="G2538" s="41">
        <v>15</v>
      </c>
      <c r="H2538" s="41">
        <v>324.94873999999999</v>
      </c>
      <c r="I2538" s="221"/>
      <c r="J2538" s="221"/>
    </row>
    <row r="2539" spans="1:10" s="5" customFormat="1" ht="24.75" hidden="1" customHeight="1" outlineLevel="1" x14ac:dyDescent="0.25">
      <c r="A2539" s="41">
        <v>9680</v>
      </c>
      <c r="B2539" s="4" t="s">
        <v>16</v>
      </c>
      <c r="C2539" s="55" t="s">
        <v>67</v>
      </c>
      <c r="D2539" s="4">
        <v>2021</v>
      </c>
      <c r="E2539" s="4"/>
      <c r="F2539" s="4">
        <v>15</v>
      </c>
      <c r="G2539" s="41">
        <v>15</v>
      </c>
      <c r="H2539" s="41">
        <v>65.074590000000001</v>
      </c>
      <c r="I2539" s="221"/>
      <c r="J2539" s="221"/>
    </row>
    <row r="2540" spans="1:10" s="5" customFormat="1" ht="24.75" hidden="1" customHeight="1" outlineLevel="1" x14ac:dyDescent="0.25">
      <c r="A2540" s="41">
        <v>9685</v>
      </c>
      <c r="B2540" s="4" t="s">
        <v>16</v>
      </c>
      <c r="C2540" s="38" t="s">
        <v>220</v>
      </c>
      <c r="D2540" s="4">
        <v>2021</v>
      </c>
      <c r="E2540" s="4"/>
      <c r="F2540" s="4">
        <v>205</v>
      </c>
      <c r="G2540" s="41">
        <v>15</v>
      </c>
      <c r="H2540" s="41">
        <v>511.09795000000003</v>
      </c>
      <c r="I2540" s="221"/>
      <c r="J2540" s="221"/>
    </row>
    <row r="2541" spans="1:10" s="5" customFormat="1" ht="24.75" hidden="1" customHeight="1" outlineLevel="1" x14ac:dyDescent="0.25">
      <c r="A2541" s="42">
        <v>1285</v>
      </c>
      <c r="B2541" s="4" t="s">
        <v>16</v>
      </c>
      <c r="C2541" s="38" t="s">
        <v>223</v>
      </c>
      <c r="D2541" s="4">
        <v>2021</v>
      </c>
      <c r="E2541" s="4"/>
      <c r="F2541" s="4">
        <v>56</v>
      </c>
      <c r="G2541" s="41">
        <v>30</v>
      </c>
      <c r="H2541" s="41">
        <v>237.70169000000001</v>
      </c>
      <c r="I2541" s="221"/>
      <c r="J2541" s="221"/>
    </row>
    <row r="2542" spans="1:10" s="5" customFormat="1" ht="24.75" hidden="1" customHeight="1" outlineLevel="1" x14ac:dyDescent="0.25">
      <c r="A2542" s="42">
        <v>1277</v>
      </c>
      <c r="B2542" s="4" t="s">
        <v>16</v>
      </c>
      <c r="C2542" s="38" t="s">
        <v>224</v>
      </c>
      <c r="D2542" s="4">
        <v>2021</v>
      </c>
      <c r="E2542" s="4"/>
      <c r="F2542" s="4">
        <v>7</v>
      </c>
      <c r="G2542" s="41">
        <v>20</v>
      </c>
      <c r="H2542" s="41">
        <v>100.61454999999999</v>
      </c>
      <c r="I2542" s="221"/>
      <c r="J2542" s="221"/>
    </row>
    <row r="2543" spans="1:10" s="5" customFormat="1" ht="24.75" hidden="1" customHeight="1" outlineLevel="1" x14ac:dyDescent="0.25">
      <c r="A2543" s="41">
        <v>9738</v>
      </c>
      <c r="B2543" s="4" t="s">
        <v>16</v>
      </c>
      <c r="C2543" s="38" t="s">
        <v>228</v>
      </c>
      <c r="D2543" s="4">
        <v>2021</v>
      </c>
      <c r="E2543" s="4"/>
      <c r="F2543" s="4">
        <v>40</v>
      </c>
      <c r="G2543" s="41">
        <v>15</v>
      </c>
      <c r="H2543" s="41">
        <v>145.31984</v>
      </c>
      <c r="I2543" s="221"/>
      <c r="J2543" s="221"/>
    </row>
    <row r="2544" spans="1:10" s="5" customFormat="1" ht="24.75" hidden="1" customHeight="1" outlineLevel="1" x14ac:dyDescent="0.25">
      <c r="A2544" s="42">
        <v>3823</v>
      </c>
      <c r="B2544" s="4" t="s">
        <v>16</v>
      </c>
      <c r="C2544" s="38" t="s">
        <v>286</v>
      </c>
      <c r="D2544" s="4">
        <v>2021</v>
      </c>
      <c r="E2544" s="4"/>
      <c r="F2544" s="4">
        <v>596</v>
      </c>
      <c r="G2544" s="41">
        <v>150</v>
      </c>
      <c r="H2544" s="41">
        <v>1093.6300200000001</v>
      </c>
      <c r="I2544" s="221"/>
      <c r="J2544" s="221"/>
    </row>
    <row r="2545" spans="1:10" s="5" customFormat="1" ht="24.75" hidden="1" customHeight="1" outlineLevel="1" x14ac:dyDescent="0.25">
      <c r="A2545" s="42">
        <v>1291</v>
      </c>
      <c r="B2545" s="4" t="s">
        <v>16</v>
      </c>
      <c r="C2545" s="38" t="s">
        <v>231</v>
      </c>
      <c r="D2545" s="4">
        <v>2021</v>
      </c>
      <c r="E2545" s="4"/>
      <c r="F2545" s="4">
        <v>489</v>
      </c>
      <c r="G2545" s="41">
        <v>15</v>
      </c>
      <c r="H2545" s="41">
        <v>598.16855999999996</v>
      </c>
      <c r="I2545" s="221"/>
      <c r="J2545" s="221"/>
    </row>
    <row r="2546" spans="1:10" s="5" customFormat="1" ht="24.75" hidden="1" customHeight="1" outlineLevel="1" x14ac:dyDescent="0.25">
      <c r="A2546" s="42">
        <v>1299</v>
      </c>
      <c r="B2546" s="4" t="s">
        <v>16</v>
      </c>
      <c r="C2546" s="38" t="s">
        <v>236</v>
      </c>
      <c r="D2546" s="4">
        <v>2021</v>
      </c>
      <c r="E2546" s="4"/>
      <c r="F2546" s="4">
        <v>5</v>
      </c>
      <c r="G2546" s="41">
        <v>30</v>
      </c>
      <c r="H2546" s="41">
        <v>106.973</v>
      </c>
      <c r="I2546" s="221"/>
      <c r="J2546" s="221"/>
    </row>
    <row r="2547" spans="1:10" s="5" customFormat="1" ht="24.75" hidden="1" customHeight="1" outlineLevel="1" x14ac:dyDescent="0.25">
      <c r="A2547" s="42">
        <v>3801</v>
      </c>
      <c r="B2547" s="4" t="s">
        <v>16</v>
      </c>
      <c r="C2547" s="38" t="s">
        <v>239</v>
      </c>
      <c r="D2547" s="4">
        <v>2021</v>
      </c>
      <c r="E2547" s="4"/>
      <c r="F2547" s="4">
        <v>5</v>
      </c>
      <c r="G2547" s="41">
        <v>15</v>
      </c>
      <c r="H2547" s="41">
        <v>115.473</v>
      </c>
      <c r="I2547" s="221"/>
      <c r="J2547" s="221"/>
    </row>
    <row r="2548" spans="1:10" s="5" customFormat="1" ht="24.75" hidden="1" customHeight="1" outlineLevel="1" x14ac:dyDescent="0.25">
      <c r="A2548" s="42">
        <v>1181</v>
      </c>
      <c r="B2548" s="4" t="s">
        <v>16</v>
      </c>
      <c r="C2548" s="38" t="s">
        <v>246</v>
      </c>
      <c r="D2548" s="4">
        <v>2021</v>
      </c>
      <c r="E2548" s="4"/>
      <c r="F2548" s="4">
        <v>315</v>
      </c>
      <c r="G2548" s="41">
        <v>100</v>
      </c>
      <c r="H2548" s="41">
        <v>569.27800000000002</v>
      </c>
      <c r="I2548" s="221"/>
      <c r="J2548" s="221"/>
    </row>
    <row r="2549" spans="1:10" s="5" customFormat="1" ht="24.75" hidden="1" customHeight="1" outlineLevel="1" x14ac:dyDescent="0.25">
      <c r="A2549" s="41">
        <v>9734</v>
      </c>
      <c r="B2549" s="4" t="s">
        <v>16</v>
      </c>
      <c r="C2549" s="38" t="s">
        <v>247</v>
      </c>
      <c r="D2549" s="4">
        <v>2021</v>
      </c>
      <c r="E2549" s="4"/>
      <c r="F2549" s="4">
        <v>199</v>
      </c>
      <c r="G2549" s="41">
        <v>170</v>
      </c>
      <c r="H2549" s="41">
        <v>494.86200000000002</v>
      </c>
      <c r="I2549" s="221"/>
      <c r="J2549" s="221"/>
    </row>
    <row r="2550" spans="1:10" s="5" customFormat="1" ht="24.75" hidden="1" customHeight="1" outlineLevel="1" x14ac:dyDescent="0.25">
      <c r="A2550" s="41">
        <v>9528</v>
      </c>
      <c r="B2550" s="4" t="s">
        <v>16</v>
      </c>
      <c r="C2550" s="38" t="s">
        <v>287</v>
      </c>
      <c r="D2550" s="4">
        <v>2021</v>
      </c>
      <c r="E2550" s="4"/>
      <c r="F2550" s="4">
        <v>20</v>
      </c>
      <c r="G2550" s="41">
        <v>150</v>
      </c>
      <c r="H2550" s="41">
        <v>66.498000000000005</v>
      </c>
      <c r="I2550" s="221"/>
      <c r="J2550" s="221"/>
    </row>
    <row r="2551" spans="1:10" s="5" customFormat="1" ht="24.75" hidden="1" customHeight="1" outlineLevel="1" x14ac:dyDescent="0.25">
      <c r="A2551" s="41">
        <v>9681</v>
      </c>
      <c r="B2551" s="4" t="s">
        <v>16</v>
      </c>
      <c r="C2551" s="38" t="s">
        <v>250</v>
      </c>
      <c r="D2551" s="4">
        <v>2021</v>
      </c>
      <c r="E2551" s="4"/>
      <c r="F2551" s="4">
        <v>338</v>
      </c>
      <c r="G2551" s="41">
        <v>105</v>
      </c>
      <c r="H2551" s="41">
        <v>667.00900000000001</v>
      </c>
      <c r="I2551" s="221"/>
      <c r="J2551" s="221"/>
    </row>
    <row r="2552" spans="1:10" s="5" customFormat="1" ht="24.75" hidden="1" customHeight="1" outlineLevel="1" x14ac:dyDescent="0.25">
      <c r="A2552" s="42">
        <v>1170</v>
      </c>
      <c r="B2552" s="4" t="s">
        <v>16</v>
      </c>
      <c r="C2552" s="38" t="s">
        <v>251</v>
      </c>
      <c r="D2552" s="4">
        <v>2021</v>
      </c>
      <c r="E2552" s="4"/>
      <c r="F2552" s="4">
        <v>1179</v>
      </c>
      <c r="G2552" s="41">
        <v>60</v>
      </c>
      <c r="H2552" s="41">
        <v>1855.7139999999999</v>
      </c>
      <c r="I2552" s="221"/>
      <c r="J2552" s="221"/>
    </row>
    <row r="2553" spans="1:10" s="5" customFormat="1" ht="24.75" hidden="1" customHeight="1" outlineLevel="1" x14ac:dyDescent="0.25">
      <c r="A2553" s="41">
        <v>9740</v>
      </c>
      <c r="B2553" s="4" t="s">
        <v>16</v>
      </c>
      <c r="C2553" s="38" t="s">
        <v>252</v>
      </c>
      <c r="D2553" s="4">
        <v>2021</v>
      </c>
      <c r="E2553" s="4"/>
      <c r="F2553" s="4">
        <v>10</v>
      </c>
      <c r="G2553" s="41">
        <v>150</v>
      </c>
      <c r="H2553" s="41">
        <v>71.593999999999994</v>
      </c>
      <c r="I2553" s="221"/>
      <c r="J2553" s="221"/>
    </row>
    <row r="2554" spans="1:10" s="5" customFormat="1" ht="24.75" hidden="1" customHeight="1" outlineLevel="1" x14ac:dyDescent="0.25">
      <c r="A2554" s="41">
        <v>9682</v>
      </c>
      <c r="B2554" s="4" t="s">
        <v>16</v>
      </c>
      <c r="C2554" s="38" t="s">
        <v>86</v>
      </c>
      <c r="D2554" s="4">
        <v>2021</v>
      </c>
      <c r="E2554" s="4"/>
      <c r="F2554" s="4">
        <v>50</v>
      </c>
      <c r="G2554" s="41">
        <v>15</v>
      </c>
      <c r="H2554" s="41">
        <v>98.846999999999994</v>
      </c>
      <c r="I2554" s="221"/>
      <c r="J2554" s="221"/>
    </row>
    <row r="2555" spans="1:10" s="5" customFormat="1" ht="24.75" hidden="1" customHeight="1" outlineLevel="1" x14ac:dyDescent="0.25">
      <c r="A2555" s="41">
        <v>9686</v>
      </c>
      <c r="B2555" s="4" t="s">
        <v>16</v>
      </c>
      <c r="C2555" s="38" t="s">
        <v>253</v>
      </c>
      <c r="D2555" s="4">
        <v>2021</v>
      </c>
      <c r="E2555" s="4"/>
      <c r="F2555" s="4">
        <v>40</v>
      </c>
      <c r="G2555" s="41">
        <v>150</v>
      </c>
      <c r="H2555" s="41">
        <v>136.18700000000001</v>
      </c>
      <c r="I2555" s="221"/>
      <c r="J2555" s="221"/>
    </row>
    <row r="2556" spans="1:10" s="5" customFormat="1" ht="24.75" hidden="1" customHeight="1" outlineLevel="1" x14ac:dyDescent="0.25">
      <c r="A2556" s="41">
        <v>9736</v>
      </c>
      <c r="B2556" s="4" t="s">
        <v>16</v>
      </c>
      <c r="C2556" s="38" t="s">
        <v>254</v>
      </c>
      <c r="D2556" s="4">
        <v>2021</v>
      </c>
      <c r="E2556" s="4"/>
      <c r="F2556" s="4">
        <v>30</v>
      </c>
      <c r="G2556" s="41">
        <v>107</v>
      </c>
      <c r="H2556" s="41">
        <v>69.087000000000003</v>
      </c>
      <c r="I2556" s="221"/>
      <c r="J2556" s="221"/>
    </row>
    <row r="2557" spans="1:10" s="5" customFormat="1" ht="24.75" hidden="1" customHeight="1" outlineLevel="1" x14ac:dyDescent="0.25">
      <c r="A2557" s="41">
        <v>9361</v>
      </c>
      <c r="B2557" s="4" t="s">
        <v>16</v>
      </c>
      <c r="C2557" s="38" t="s">
        <v>258</v>
      </c>
      <c r="D2557" s="4">
        <v>2021</v>
      </c>
      <c r="E2557" s="4"/>
      <c r="F2557" s="4">
        <v>5</v>
      </c>
      <c r="G2557" s="41">
        <v>75</v>
      </c>
      <c r="H2557" s="41">
        <v>202.12299999999999</v>
      </c>
      <c r="I2557" s="221"/>
      <c r="J2557" s="221"/>
    </row>
    <row r="2558" spans="1:10" s="5" customFormat="1" ht="24.75" hidden="1" customHeight="1" outlineLevel="1" x14ac:dyDescent="0.25">
      <c r="A2558" s="42">
        <v>3733</v>
      </c>
      <c r="B2558" s="4" t="s">
        <v>16</v>
      </c>
      <c r="C2558" s="38" t="s">
        <v>288</v>
      </c>
      <c r="D2558" s="4">
        <v>2021</v>
      </c>
      <c r="E2558" s="4"/>
      <c r="F2558" s="4">
        <v>542</v>
      </c>
      <c r="G2558" s="41">
        <v>35</v>
      </c>
      <c r="H2558" s="41">
        <v>1038.825</v>
      </c>
      <c r="I2558" s="221"/>
      <c r="J2558" s="221"/>
    </row>
    <row r="2559" spans="1:10" s="5" customFormat="1" ht="24.75" hidden="1" customHeight="1" outlineLevel="1" x14ac:dyDescent="0.25">
      <c r="A2559" s="41">
        <v>9421</v>
      </c>
      <c r="B2559" s="4" t="s">
        <v>16</v>
      </c>
      <c r="C2559" s="38" t="s">
        <v>143</v>
      </c>
      <c r="D2559" s="4">
        <v>2021</v>
      </c>
      <c r="E2559" s="4"/>
      <c r="F2559" s="4">
        <v>15</v>
      </c>
      <c r="G2559" s="41">
        <v>15</v>
      </c>
      <c r="H2559" s="41">
        <v>162.03899999999999</v>
      </c>
      <c r="I2559" s="221"/>
      <c r="J2559" s="221"/>
    </row>
    <row r="2560" spans="1:10" s="5" customFormat="1" ht="24.75" hidden="1" customHeight="1" outlineLevel="1" x14ac:dyDescent="0.25">
      <c r="A2560" s="41">
        <v>9368</v>
      </c>
      <c r="B2560" s="4" t="s">
        <v>16</v>
      </c>
      <c r="C2560" s="38" t="s">
        <v>263</v>
      </c>
      <c r="D2560" s="4">
        <v>2021</v>
      </c>
      <c r="E2560" s="4"/>
      <c r="F2560" s="4">
        <v>795</v>
      </c>
      <c r="G2560" s="41">
        <v>150</v>
      </c>
      <c r="H2560" s="41">
        <v>1312.521</v>
      </c>
      <c r="I2560" s="221"/>
      <c r="J2560" s="221"/>
    </row>
    <row r="2561" spans="1:36" s="5" customFormat="1" ht="24.75" hidden="1" customHeight="1" outlineLevel="1" x14ac:dyDescent="0.25">
      <c r="A2561" s="42">
        <v>421</v>
      </c>
      <c r="B2561" s="4" t="s">
        <v>16</v>
      </c>
      <c r="C2561" s="38" t="s">
        <v>264</v>
      </c>
      <c r="D2561" s="4">
        <v>2021</v>
      </c>
      <c r="E2561" s="4"/>
      <c r="F2561" s="4">
        <v>205</v>
      </c>
      <c r="G2561" s="41">
        <v>149</v>
      </c>
      <c r="H2561" s="41">
        <v>291.892</v>
      </c>
      <c r="I2561" s="221"/>
      <c r="J2561" s="221"/>
    </row>
    <row r="2562" spans="1:36" s="5" customFormat="1" ht="24.75" hidden="1" customHeight="1" outlineLevel="1" x14ac:dyDescent="0.25">
      <c r="A2562" s="41">
        <v>9357</v>
      </c>
      <c r="B2562" s="4" t="s">
        <v>16</v>
      </c>
      <c r="C2562" s="38" t="s">
        <v>167</v>
      </c>
      <c r="D2562" s="4">
        <v>2021</v>
      </c>
      <c r="E2562" s="4"/>
      <c r="F2562" s="4">
        <v>5</v>
      </c>
      <c r="G2562" s="41">
        <v>20</v>
      </c>
      <c r="H2562" s="41">
        <v>116.215</v>
      </c>
      <c r="I2562" s="221"/>
      <c r="J2562" s="221"/>
    </row>
    <row r="2563" spans="1:36" s="5" customFormat="1" ht="24.75" hidden="1" customHeight="1" outlineLevel="1" x14ac:dyDescent="0.25">
      <c r="A2563" s="41">
        <v>9373</v>
      </c>
      <c r="B2563" s="4" t="s">
        <v>16</v>
      </c>
      <c r="C2563" s="38" t="s">
        <v>168</v>
      </c>
      <c r="D2563" s="4">
        <v>2021</v>
      </c>
      <c r="E2563" s="4"/>
      <c r="F2563" s="4">
        <v>590</v>
      </c>
      <c r="G2563" s="41">
        <v>25</v>
      </c>
      <c r="H2563" s="41">
        <v>1104.886</v>
      </c>
      <c r="I2563" s="221"/>
      <c r="J2563" s="221"/>
    </row>
    <row r="2564" spans="1:36" s="5" customFormat="1" ht="24.75" hidden="1" customHeight="1" outlineLevel="1" x14ac:dyDescent="0.25">
      <c r="A2564" s="41">
        <v>9359</v>
      </c>
      <c r="B2564" s="4" t="s">
        <v>16</v>
      </c>
      <c r="C2564" s="38" t="s">
        <v>172</v>
      </c>
      <c r="D2564" s="4">
        <v>2021</v>
      </c>
      <c r="E2564" s="4"/>
      <c r="F2564" s="4">
        <v>8</v>
      </c>
      <c r="G2564" s="41">
        <v>60</v>
      </c>
      <c r="H2564" s="41">
        <v>114.846</v>
      </c>
      <c r="I2564" s="221"/>
      <c r="J2564" s="221"/>
    </row>
    <row r="2565" spans="1:36" s="5" customFormat="1" ht="24.75" hidden="1" customHeight="1" outlineLevel="1" x14ac:dyDescent="0.25">
      <c r="A2565" s="42">
        <v>3714</v>
      </c>
      <c r="B2565" s="4" t="s">
        <v>16</v>
      </c>
      <c r="C2565" s="38" t="s">
        <v>268</v>
      </c>
      <c r="D2565" s="4">
        <v>2021</v>
      </c>
      <c r="E2565" s="4"/>
      <c r="F2565" s="4">
        <v>39</v>
      </c>
      <c r="G2565" s="41">
        <v>120</v>
      </c>
      <c r="H2565" s="41">
        <v>167.49600000000001</v>
      </c>
      <c r="I2565" s="221"/>
      <c r="J2565" s="221"/>
    </row>
    <row r="2566" spans="1:36" s="5" customFormat="1" ht="24.75" hidden="1" customHeight="1" outlineLevel="1" x14ac:dyDescent="0.25">
      <c r="A2566" s="41">
        <v>9572</v>
      </c>
      <c r="B2566" s="4" t="s">
        <v>16</v>
      </c>
      <c r="C2566" s="38" t="s">
        <v>181</v>
      </c>
      <c r="D2566" s="4">
        <v>2021</v>
      </c>
      <c r="E2566" s="4"/>
      <c r="F2566" s="4">
        <v>226</v>
      </c>
      <c r="G2566" s="41">
        <v>60</v>
      </c>
      <c r="H2566" s="41">
        <v>762.90800000000002</v>
      </c>
      <c r="I2566" s="221"/>
      <c r="J2566" s="221"/>
    </row>
    <row r="2567" spans="1:36" s="5" customFormat="1" ht="24.75" hidden="1" customHeight="1" outlineLevel="1" x14ac:dyDescent="0.25">
      <c r="A2567" s="41">
        <v>9362</v>
      </c>
      <c r="B2567" s="4" t="s">
        <v>16</v>
      </c>
      <c r="C2567" s="38" t="s">
        <v>272</v>
      </c>
      <c r="D2567" s="4">
        <v>2021</v>
      </c>
      <c r="E2567" s="4"/>
      <c r="F2567" s="4">
        <v>33</v>
      </c>
      <c r="G2567" s="41">
        <v>60</v>
      </c>
      <c r="H2567" s="41">
        <v>191.631</v>
      </c>
      <c r="I2567" s="221"/>
      <c r="J2567" s="221"/>
    </row>
    <row r="2568" spans="1:36" s="5" customFormat="1" ht="24.75" hidden="1" customHeight="1" outlineLevel="1" x14ac:dyDescent="0.25">
      <c r="A2568" s="41">
        <v>9356</v>
      </c>
      <c r="B2568" s="4" t="s">
        <v>16</v>
      </c>
      <c r="C2568" s="38" t="s">
        <v>182</v>
      </c>
      <c r="D2568" s="4">
        <v>2021</v>
      </c>
      <c r="E2568" s="4"/>
      <c r="F2568" s="4">
        <v>119</v>
      </c>
      <c r="G2568" s="41">
        <v>75</v>
      </c>
      <c r="H2568" s="41">
        <v>310.738</v>
      </c>
      <c r="I2568" s="221"/>
      <c r="J2568" s="221"/>
    </row>
    <row r="2569" spans="1:36" s="5" customFormat="1" ht="24.75" hidden="1" customHeight="1" outlineLevel="1" x14ac:dyDescent="0.25">
      <c r="A2569" s="175"/>
      <c r="B2569" s="182"/>
      <c r="C2569" s="183"/>
      <c r="D2569" s="184"/>
      <c r="E2569" s="178"/>
      <c r="F2569" s="178"/>
      <c r="G2569" s="156"/>
      <c r="H2569" s="156"/>
      <c r="I2569" s="217"/>
      <c r="J2569" s="217"/>
    </row>
    <row r="2570" spans="1:36" s="5" customFormat="1" ht="23.25" customHeight="1" collapsed="1" x14ac:dyDescent="0.25">
      <c r="A2570" s="4"/>
      <c r="B2570" s="321" t="s">
        <v>17</v>
      </c>
      <c r="C2570" s="329" t="s">
        <v>2092</v>
      </c>
      <c r="D2570" s="329"/>
      <c r="E2570" s="321" t="s">
        <v>12</v>
      </c>
      <c r="F2570" s="321"/>
      <c r="G2570" s="321"/>
      <c r="H2570" s="321"/>
      <c r="I2570" s="214"/>
      <c r="J2570" s="214"/>
    </row>
    <row r="2571" spans="1:36" s="9" customFormat="1" ht="9" customHeight="1" x14ac:dyDescent="0.25">
      <c r="A2571" s="50"/>
      <c r="B2571" s="322"/>
      <c r="C2571" s="350"/>
      <c r="D2571" s="350"/>
      <c r="E2571" s="322" t="s">
        <v>12</v>
      </c>
      <c r="F2571" s="322"/>
      <c r="G2571" s="322"/>
      <c r="H2571" s="322"/>
      <c r="I2571" s="215"/>
      <c r="J2571" s="215"/>
      <c r="K2571" s="5"/>
      <c r="L2571" s="5"/>
      <c r="M2571" s="5"/>
      <c r="N2571" s="5"/>
      <c r="O2571" s="5"/>
      <c r="P2571" s="5"/>
      <c r="Q2571" s="5"/>
      <c r="R2571" s="5"/>
      <c r="S2571" s="5"/>
      <c r="T2571" s="5"/>
      <c r="U2571" s="5"/>
      <c r="V2571" s="5"/>
      <c r="W2571" s="5"/>
      <c r="X2571" s="5"/>
      <c r="Y2571" s="5"/>
      <c r="Z2571" s="5"/>
      <c r="AA2571" s="5"/>
      <c r="AB2571" s="5"/>
      <c r="AC2571" s="5"/>
      <c r="AD2571" s="5"/>
      <c r="AE2571" s="5"/>
      <c r="AF2571" s="5"/>
      <c r="AG2571" s="5"/>
      <c r="AH2571" s="5"/>
      <c r="AI2571" s="5"/>
      <c r="AJ2571" s="5"/>
    </row>
    <row r="2572" spans="1:36" s="9" customFormat="1" ht="17.25" customHeight="1" x14ac:dyDescent="0.25">
      <c r="A2572" s="50"/>
      <c r="B2572" s="323"/>
      <c r="C2572" s="351"/>
      <c r="D2572" s="351"/>
      <c r="E2572" s="323"/>
      <c r="F2572" s="323"/>
      <c r="G2572" s="323"/>
      <c r="H2572" s="323"/>
      <c r="I2572" s="215"/>
      <c r="J2572" s="215"/>
      <c r="K2572" s="5"/>
      <c r="L2572" s="5"/>
      <c r="M2572" s="5"/>
      <c r="N2572" s="5"/>
      <c r="O2572" s="5"/>
      <c r="P2572" s="5"/>
      <c r="Q2572" s="5"/>
      <c r="R2572" s="5"/>
      <c r="S2572" s="5"/>
      <c r="T2572" s="5"/>
      <c r="U2572" s="5"/>
      <c r="V2572" s="5"/>
      <c r="W2572" s="5"/>
      <c r="X2572" s="5"/>
      <c r="Y2572" s="5"/>
      <c r="Z2572" s="5"/>
      <c r="AA2572" s="5"/>
      <c r="AB2572" s="5"/>
      <c r="AC2572" s="5"/>
      <c r="AD2572" s="5"/>
      <c r="AE2572" s="5"/>
      <c r="AF2572" s="5"/>
      <c r="AG2572" s="5"/>
      <c r="AH2572" s="5"/>
      <c r="AI2572" s="5"/>
      <c r="AJ2572" s="5"/>
    </row>
    <row r="2573" spans="1:36" s="9" customFormat="1" ht="17.25" customHeight="1" x14ac:dyDescent="0.25">
      <c r="A2573" s="50"/>
      <c r="B2573" s="7" t="s">
        <v>17</v>
      </c>
      <c r="C2573" s="8" t="s">
        <v>57</v>
      </c>
      <c r="D2573" s="7">
        <v>2021</v>
      </c>
      <c r="E2573" s="7" t="s">
        <v>12</v>
      </c>
      <c r="F2573" s="7">
        <f>SUMIF($D$2576:$D$2581,$D$2573,$F$2576:$F$2581)</f>
        <v>0</v>
      </c>
      <c r="G2573" s="7">
        <f>SUMIF($D$2576:$D$2581,$D$2573,$G$2576:$G$2581)</f>
        <v>0</v>
      </c>
      <c r="H2573" s="10">
        <f>SUMIF($D$2576:$D$2581,$D$2573,$H$2576:$H$2581)</f>
        <v>0</v>
      </c>
      <c r="I2573" s="5"/>
      <c r="J2573" s="5"/>
      <c r="K2573" s="5"/>
      <c r="L2573" s="5"/>
      <c r="M2573" s="5"/>
      <c r="N2573" s="5"/>
      <c r="O2573" s="5"/>
      <c r="P2573" s="5"/>
      <c r="Q2573" s="5"/>
      <c r="R2573" s="5"/>
      <c r="S2573" s="5"/>
      <c r="T2573" s="5"/>
      <c r="U2573" s="5"/>
      <c r="V2573" s="5"/>
      <c r="W2573" s="5"/>
      <c r="X2573" s="5"/>
      <c r="Y2573" s="5"/>
      <c r="Z2573" s="5"/>
      <c r="AA2573" s="5"/>
      <c r="AB2573" s="5"/>
      <c r="AC2573" s="5"/>
      <c r="AD2573" s="5"/>
      <c r="AE2573" s="5"/>
      <c r="AF2573" s="5"/>
      <c r="AG2573" s="5"/>
      <c r="AH2573" s="5"/>
      <c r="AI2573" s="5"/>
      <c r="AJ2573" s="5"/>
    </row>
    <row r="2574" spans="1:36" s="26" customFormat="1" ht="17.25" customHeight="1" x14ac:dyDescent="0.25">
      <c r="A2574" s="50"/>
      <c r="B2574" s="7" t="s">
        <v>17</v>
      </c>
      <c r="C2574" s="8" t="s">
        <v>57</v>
      </c>
      <c r="D2574" s="7">
        <v>2022</v>
      </c>
      <c r="E2574" s="7" t="s">
        <v>12</v>
      </c>
      <c r="F2574" s="7">
        <f>SUMIF($D$2576:$D$2581,$D$2574,$F$2576:$F$2581)</f>
        <v>2368</v>
      </c>
      <c r="G2574" s="7">
        <f>SUMIF($D$2576:$D$2581,$D$2574,$G$2576:$G$2581)</f>
        <v>1112</v>
      </c>
      <c r="H2574" s="10">
        <f>SUMIF($D$2576:$D$2581,$D$2574,$H$2576:$H$2581)</f>
        <v>4624.4576299999999</v>
      </c>
      <c r="I2574" s="205"/>
      <c r="J2574" s="205"/>
      <c r="K2574" s="5"/>
      <c r="L2574" s="5"/>
      <c r="M2574" s="5"/>
      <c r="N2574" s="5"/>
      <c r="O2574" s="5"/>
      <c r="P2574" s="5"/>
      <c r="Q2574" s="5"/>
      <c r="R2574" s="5"/>
      <c r="S2574" s="5"/>
      <c r="T2574" s="5"/>
      <c r="U2574" s="5"/>
      <c r="V2574" s="5"/>
      <c r="W2574" s="5"/>
      <c r="X2574" s="5"/>
      <c r="Y2574" s="5"/>
      <c r="Z2574" s="5"/>
      <c r="AA2574" s="5"/>
      <c r="AB2574" s="5"/>
      <c r="AC2574" s="5"/>
      <c r="AD2574" s="5"/>
      <c r="AE2574" s="5"/>
      <c r="AF2574" s="5"/>
      <c r="AG2574" s="5"/>
      <c r="AH2574" s="5"/>
      <c r="AI2574" s="5"/>
      <c r="AJ2574" s="5"/>
    </row>
    <row r="2575" spans="1:36" s="26" customFormat="1" ht="15.75" x14ac:dyDescent="0.25">
      <c r="A2575" s="50"/>
      <c r="B2575" s="7" t="s">
        <v>17</v>
      </c>
      <c r="C2575" s="8" t="s">
        <v>2811</v>
      </c>
      <c r="D2575" s="7">
        <v>2023</v>
      </c>
      <c r="E2575" s="7" t="s">
        <v>12</v>
      </c>
      <c r="F2575" s="7">
        <f>SUMIF($D$2576:$D$2581,$D$2575,$F$2576:$F$2581)</f>
        <v>0</v>
      </c>
      <c r="G2575" s="7">
        <f>SUMIF($D$2576:$D$2581,$D$2575,$G$2576:$G$2581)</f>
        <v>0</v>
      </c>
      <c r="H2575" s="10">
        <f ca="1">SUMIF($D$2576:$H$2581,$D$2575,$H$2576:$H$2581)</f>
        <v>0</v>
      </c>
      <c r="I2575" s="205"/>
      <c r="J2575" s="205"/>
      <c r="K2575" s="5"/>
      <c r="L2575" s="5"/>
      <c r="M2575" s="5"/>
      <c r="N2575" s="5"/>
      <c r="O2575" s="5"/>
      <c r="P2575" s="5"/>
      <c r="Q2575" s="5"/>
      <c r="R2575" s="5"/>
      <c r="S2575" s="5"/>
      <c r="T2575" s="5"/>
      <c r="U2575" s="5"/>
      <c r="V2575" s="5"/>
      <c r="W2575" s="5"/>
      <c r="X2575" s="5"/>
      <c r="Y2575" s="5"/>
      <c r="Z2575" s="5"/>
      <c r="AA2575" s="5"/>
      <c r="AB2575" s="5"/>
      <c r="AC2575" s="5"/>
      <c r="AD2575" s="5"/>
      <c r="AE2575" s="5"/>
      <c r="AF2575" s="5"/>
      <c r="AG2575" s="5"/>
      <c r="AH2575" s="5"/>
      <c r="AI2575" s="5"/>
      <c r="AJ2575" s="5"/>
    </row>
    <row r="2576" spans="1:36" s="5" customFormat="1" ht="42" hidden="1" customHeight="1" outlineLevel="1" x14ac:dyDescent="0.25">
      <c r="A2576" s="4">
        <v>2713</v>
      </c>
      <c r="B2576" s="4" t="s">
        <v>17</v>
      </c>
      <c r="C2576" s="38" t="s">
        <v>2815</v>
      </c>
      <c r="D2576" s="4">
        <v>2022</v>
      </c>
      <c r="E2576" s="4" t="s">
        <v>12</v>
      </c>
      <c r="F2576" s="4">
        <v>154</v>
      </c>
      <c r="G2576" s="4">
        <v>177</v>
      </c>
      <c r="H2576" s="4">
        <v>548.36799999999994</v>
      </c>
      <c r="I2576" s="201"/>
      <c r="J2576" s="201"/>
    </row>
    <row r="2577" spans="1:36" s="5" customFormat="1" ht="45" hidden="1" customHeight="1" outlineLevel="1" x14ac:dyDescent="0.25">
      <c r="A2577" s="4">
        <v>2804</v>
      </c>
      <c r="B2577" s="4" t="s">
        <v>17</v>
      </c>
      <c r="C2577" s="38" t="s">
        <v>2820</v>
      </c>
      <c r="D2577" s="4">
        <v>2022</v>
      </c>
      <c r="E2577" s="4" t="s">
        <v>12</v>
      </c>
      <c r="F2577" s="4">
        <v>334</v>
      </c>
      <c r="G2577" s="4">
        <v>435</v>
      </c>
      <c r="H2577" s="4">
        <v>824.62899999999991</v>
      </c>
      <c r="I2577" s="201"/>
      <c r="J2577" s="201"/>
    </row>
    <row r="2578" spans="1:36" s="5" customFormat="1" ht="56.25" hidden="1" customHeight="1" outlineLevel="1" x14ac:dyDescent="0.25">
      <c r="A2578" s="4">
        <v>3003</v>
      </c>
      <c r="B2578" s="4" t="s">
        <v>17</v>
      </c>
      <c r="C2578" s="38" t="s">
        <v>2829</v>
      </c>
      <c r="D2578" s="4">
        <v>2022</v>
      </c>
      <c r="E2578" s="4" t="s">
        <v>12</v>
      </c>
      <c r="F2578" s="4">
        <v>670</v>
      </c>
      <c r="G2578" s="4">
        <v>185</v>
      </c>
      <c r="H2578" s="4">
        <v>1022.591</v>
      </c>
      <c r="I2578" s="201"/>
      <c r="J2578" s="201"/>
    </row>
    <row r="2579" spans="1:36" s="5" customFormat="1" ht="21.75" hidden="1" customHeight="1" outlineLevel="1" x14ac:dyDescent="0.25">
      <c r="A2579" s="4">
        <v>549</v>
      </c>
      <c r="B2579" s="4" t="s">
        <v>17</v>
      </c>
      <c r="C2579" s="38" t="s">
        <v>2934</v>
      </c>
      <c r="D2579" s="4">
        <v>2022</v>
      </c>
      <c r="E2579" s="4" t="s">
        <v>12</v>
      </c>
      <c r="F2579" s="4">
        <v>1070</v>
      </c>
      <c r="G2579" s="4">
        <v>165</v>
      </c>
      <c r="H2579" s="4">
        <v>1720.1286299999999</v>
      </c>
      <c r="I2579" s="201"/>
      <c r="J2579" s="201"/>
    </row>
    <row r="2580" spans="1:36" s="5" customFormat="1" ht="21.75" hidden="1" customHeight="1" outlineLevel="1" x14ac:dyDescent="0.25">
      <c r="A2580" s="4">
        <v>5749</v>
      </c>
      <c r="B2580" s="4" t="s">
        <v>17</v>
      </c>
      <c r="C2580" s="38" t="s">
        <v>2935</v>
      </c>
      <c r="D2580" s="4">
        <v>2022</v>
      </c>
      <c r="E2580" s="4" t="s">
        <v>12</v>
      </c>
      <c r="F2580" s="4">
        <v>140</v>
      </c>
      <c r="G2580" s="4">
        <v>150</v>
      </c>
      <c r="H2580" s="4">
        <v>508.74099999999999</v>
      </c>
      <c r="I2580" s="201"/>
      <c r="J2580" s="201"/>
    </row>
    <row r="2581" spans="1:36" s="9" customFormat="1" ht="15.75" hidden="1" outlineLevel="1" x14ac:dyDescent="0.25">
      <c r="A2581" s="4"/>
      <c r="B2581" s="4" t="s">
        <v>17</v>
      </c>
      <c r="C2581" s="38"/>
      <c r="D2581" s="4">
        <v>2021</v>
      </c>
      <c r="E2581" s="4"/>
      <c r="F2581" s="4"/>
      <c r="G2581" s="4"/>
      <c r="H2581" s="4"/>
      <c r="I2581" s="201"/>
      <c r="J2581" s="201"/>
      <c r="K2581" s="5"/>
      <c r="L2581" s="5"/>
      <c r="M2581" s="5"/>
      <c r="N2581" s="5"/>
      <c r="O2581" s="5"/>
      <c r="P2581" s="5"/>
      <c r="Q2581" s="5"/>
      <c r="R2581" s="5"/>
      <c r="S2581" s="5"/>
      <c r="T2581" s="5"/>
      <c r="U2581" s="5"/>
      <c r="V2581" s="5"/>
      <c r="W2581" s="5"/>
      <c r="X2581" s="5"/>
      <c r="Y2581" s="5"/>
      <c r="Z2581" s="5"/>
      <c r="AA2581" s="5"/>
      <c r="AB2581" s="5"/>
      <c r="AC2581" s="5"/>
      <c r="AD2581" s="5"/>
      <c r="AE2581" s="5"/>
      <c r="AF2581" s="5"/>
      <c r="AG2581" s="5"/>
      <c r="AH2581" s="5"/>
      <c r="AI2581" s="5"/>
      <c r="AJ2581" s="5"/>
    </row>
    <row r="2582" spans="1:36" s="5" customFormat="1" ht="15.75" collapsed="1" x14ac:dyDescent="0.25">
      <c r="A2582" s="4"/>
      <c r="B2582" s="319" t="s">
        <v>18</v>
      </c>
      <c r="C2582" s="324" t="s">
        <v>2093</v>
      </c>
      <c r="D2582" s="324"/>
      <c r="E2582" s="319" t="s">
        <v>12</v>
      </c>
      <c r="F2582" s="319"/>
      <c r="G2582" s="319"/>
      <c r="H2582" s="319"/>
      <c r="I2582" s="218"/>
      <c r="J2582" s="218"/>
    </row>
    <row r="2583" spans="1:36" s="13" customFormat="1" ht="12" customHeight="1" x14ac:dyDescent="0.25">
      <c r="A2583" s="4"/>
      <c r="B2583" s="328"/>
      <c r="C2583" s="340"/>
      <c r="D2583" s="340"/>
      <c r="E2583" s="328" t="s">
        <v>12</v>
      </c>
      <c r="F2583" s="328"/>
      <c r="G2583" s="328"/>
      <c r="H2583" s="328"/>
      <c r="I2583" s="219"/>
      <c r="J2583" s="219"/>
      <c r="K2583" s="5"/>
      <c r="L2583" s="5"/>
      <c r="M2583" s="5"/>
      <c r="N2583" s="5"/>
      <c r="O2583" s="5"/>
      <c r="P2583" s="5"/>
      <c r="Q2583" s="5"/>
      <c r="R2583" s="5"/>
      <c r="S2583" s="5"/>
      <c r="T2583" s="5"/>
      <c r="U2583" s="5"/>
      <c r="V2583" s="5"/>
      <c r="W2583" s="5"/>
      <c r="X2583" s="5"/>
      <c r="Y2583" s="5"/>
      <c r="Z2583" s="5"/>
      <c r="AA2583" s="5"/>
      <c r="AB2583" s="5"/>
      <c r="AC2583" s="5"/>
      <c r="AD2583" s="5"/>
      <c r="AE2583" s="5"/>
      <c r="AF2583" s="5"/>
      <c r="AG2583" s="5"/>
      <c r="AH2583" s="5"/>
      <c r="AI2583" s="5"/>
      <c r="AJ2583" s="5"/>
    </row>
    <row r="2584" spans="1:36" s="13" customFormat="1" ht="17.25" customHeight="1" x14ac:dyDescent="0.25">
      <c r="A2584" s="4"/>
      <c r="B2584" s="320"/>
      <c r="C2584" s="341"/>
      <c r="D2584" s="341"/>
      <c r="E2584" s="320"/>
      <c r="F2584" s="320"/>
      <c r="G2584" s="320"/>
      <c r="H2584" s="320"/>
      <c r="I2584" s="219"/>
      <c r="J2584" s="219"/>
      <c r="K2584" s="5"/>
      <c r="L2584" s="5"/>
      <c r="M2584" s="5"/>
      <c r="N2584" s="5"/>
      <c r="O2584" s="5"/>
      <c r="P2584" s="5"/>
      <c r="Q2584" s="5"/>
      <c r="R2584" s="5"/>
      <c r="S2584" s="5"/>
      <c r="T2584" s="5"/>
      <c r="U2584" s="5"/>
      <c r="V2584" s="5"/>
      <c r="W2584" s="5"/>
      <c r="X2584" s="5"/>
      <c r="Y2584" s="5"/>
      <c r="Z2584" s="5"/>
      <c r="AA2584" s="5"/>
      <c r="AB2584" s="5"/>
      <c r="AC2584" s="5"/>
      <c r="AD2584" s="5"/>
      <c r="AE2584" s="5"/>
      <c r="AF2584" s="5"/>
      <c r="AG2584" s="5"/>
      <c r="AH2584" s="5"/>
      <c r="AI2584" s="5"/>
      <c r="AJ2584" s="5"/>
    </row>
    <row r="2585" spans="1:36" s="13" customFormat="1" ht="17.25" customHeight="1" x14ac:dyDescent="0.25">
      <c r="A2585" s="4"/>
      <c r="B2585" s="11" t="s">
        <v>18</v>
      </c>
      <c r="C2585" s="12" t="s">
        <v>57</v>
      </c>
      <c r="D2585" s="11">
        <v>2021</v>
      </c>
      <c r="E2585" s="11" t="s">
        <v>12</v>
      </c>
      <c r="F2585" s="11">
        <f>SUMIF($D$2588:$D$3267,$D$2585,$F$2588:$F$3267)</f>
        <v>54948</v>
      </c>
      <c r="G2585" s="14">
        <f>SUMIF($D$2588:$D$3267,$D$2585,$G$2588:$G$3267)</f>
        <v>9414.7599999999984</v>
      </c>
      <c r="H2585" s="14">
        <f>SUMIF($D$2588:$D$3267,$D$2585,$H$2588:$H$3267)</f>
        <v>81181.607677999957</v>
      </c>
      <c r="I2585" s="5"/>
      <c r="J2585" s="5"/>
      <c r="K2585" s="5"/>
      <c r="L2585" s="5"/>
      <c r="M2585" s="5"/>
      <c r="N2585" s="5"/>
      <c r="O2585" s="5"/>
      <c r="P2585" s="5"/>
      <c r="Q2585" s="5"/>
      <c r="R2585" s="5"/>
      <c r="S2585" s="5"/>
      <c r="T2585" s="5"/>
      <c r="U2585" s="5"/>
      <c r="V2585" s="5"/>
      <c r="W2585" s="5"/>
      <c r="X2585" s="5"/>
      <c r="Y2585" s="5"/>
      <c r="Z2585" s="5"/>
      <c r="AA2585" s="5"/>
      <c r="AB2585" s="5"/>
      <c r="AC2585" s="5"/>
      <c r="AD2585" s="5"/>
      <c r="AE2585" s="5"/>
      <c r="AF2585" s="5"/>
      <c r="AG2585" s="5"/>
      <c r="AH2585" s="5"/>
      <c r="AI2585" s="5"/>
      <c r="AJ2585" s="5"/>
    </row>
    <row r="2586" spans="1:36" s="26" customFormat="1" ht="17.25" customHeight="1" x14ac:dyDescent="0.25">
      <c r="A2586" s="4"/>
      <c r="B2586" s="11" t="s">
        <v>18</v>
      </c>
      <c r="C2586" s="12" t="s">
        <v>57</v>
      </c>
      <c r="D2586" s="11">
        <v>2022</v>
      </c>
      <c r="E2586" s="11" t="s">
        <v>12</v>
      </c>
      <c r="F2586" s="11">
        <f>SUMIF($D$2588:$D$3267,$D$2586,$F$2588:$F$3267)</f>
        <v>21760</v>
      </c>
      <c r="G2586" s="14">
        <f>SUMIF($D$2588:$D$3267,$D$2586,$G$2588:$G$3267)</f>
        <v>2702.9</v>
      </c>
      <c r="H2586" s="14">
        <f>SUMIF($D$2588:$D$3267,$D$2586,$H$2588:$H$3267)</f>
        <v>37885.572103559025</v>
      </c>
      <c r="I2586" s="220"/>
      <c r="J2586" s="220"/>
      <c r="K2586" s="5"/>
      <c r="L2586" s="5"/>
      <c r="M2586" s="5"/>
      <c r="N2586" s="5"/>
      <c r="O2586" s="5"/>
      <c r="P2586" s="5"/>
      <c r="Q2586" s="5"/>
      <c r="R2586" s="5"/>
      <c r="S2586" s="5"/>
      <c r="T2586" s="5"/>
      <c r="U2586" s="5"/>
      <c r="V2586" s="5"/>
      <c r="W2586" s="5"/>
      <c r="X2586" s="5"/>
      <c r="Y2586" s="5"/>
      <c r="Z2586" s="5"/>
      <c r="AA2586" s="5"/>
      <c r="AB2586" s="5"/>
      <c r="AC2586" s="5"/>
      <c r="AD2586" s="5"/>
      <c r="AE2586" s="5"/>
      <c r="AF2586" s="5"/>
      <c r="AG2586" s="5"/>
      <c r="AH2586" s="5"/>
      <c r="AI2586" s="5"/>
      <c r="AJ2586" s="5"/>
    </row>
    <row r="2587" spans="1:36" s="26" customFormat="1" ht="19.5" customHeight="1" x14ac:dyDescent="0.25">
      <c r="A2587" s="4"/>
      <c r="B2587" s="11" t="s">
        <v>18</v>
      </c>
      <c r="C2587" s="12" t="s">
        <v>57</v>
      </c>
      <c r="D2587" s="11">
        <v>2023</v>
      </c>
      <c r="E2587" s="11" t="s">
        <v>12</v>
      </c>
      <c r="F2587" s="11">
        <f>SUMIF($D$2588:$D$3267,$D$2587,$F$2588:$F$3267)</f>
        <v>12650</v>
      </c>
      <c r="G2587" s="14">
        <f>SUMIF($D$2588:$D$3267,$D$2587,$G$2588:$G$3267)</f>
        <v>1793.1000000000001</v>
      </c>
      <c r="H2587" s="14">
        <f ca="1">SUMIF($D$2588:$H$3267,$D$2587,$H$2588:$H$3267)</f>
        <v>25625.421099999992</v>
      </c>
      <c r="I2587" s="220"/>
      <c r="J2587" s="220"/>
      <c r="K2587" s="5"/>
      <c r="L2587" s="5"/>
      <c r="M2587" s="5"/>
      <c r="N2587" s="5"/>
      <c r="O2587" s="5"/>
      <c r="P2587" s="5"/>
      <c r="Q2587" s="5"/>
      <c r="R2587" s="5"/>
      <c r="S2587" s="5"/>
      <c r="T2587" s="5"/>
      <c r="U2587" s="5"/>
      <c r="V2587" s="5"/>
      <c r="W2587" s="5"/>
      <c r="X2587" s="5"/>
      <c r="Y2587" s="5"/>
      <c r="Z2587" s="5"/>
      <c r="AA2587" s="5"/>
      <c r="AB2587" s="5"/>
      <c r="AC2587" s="5"/>
      <c r="AD2587" s="5"/>
      <c r="AE2587" s="5"/>
      <c r="AF2587" s="5"/>
      <c r="AG2587" s="5"/>
      <c r="AH2587" s="5"/>
      <c r="AI2587" s="5"/>
      <c r="AJ2587" s="5"/>
    </row>
    <row r="2588" spans="1:36" s="5" customFormat="1" ht="24" hidden="1" customHeight="1" outlineLevel="1" x14ac:dyDescent="0.25">
      <c r="A2588" s="4">
        <v>4791</v>
      </c>
      <c r="B2588" s="4" t="s">
        <v>18</v>
      </c>
      <c r="C2588" s="38" t="s">
        <v>2844</v>
      </c>
      <c r="D2588" s="4">
        <v>2022</v>
      </c>
      <c r="E2588" s="4" t="s">
        <v>12</v>
      </c>
      <c r="F2588" s="4">
        <v>1216</v>
      </c>
      <c r="G2588" s="115">
        <v>15</v>
      </c>
      <c r="H2588" s="41">
        <v>1579</v>
      </c>
      <c r="I2588" s="221"/>
      <c r="J2588" s="221"/>
    </row>
    <row r="2589" spans="1:36" s="5" customFormat="1" ht="24" hidden="1" customHeight="1" outlineLevel="1" x14ac:dyDescent="0.25">
      <c r="A2589" s="4">
        <v>4793</v>
      </c>
      <c r="B2589" s="4" t="s">
        <v>18</v>
      </c>
      <c r="C2589" s="38" t="s">
        <v>2936</v>
      </c>
      <c r="D2589" s="4">
        <v>2022</v>
      </c>
      <c r="E2589" s="4" t="s">
        <v>12</v>
      </c>
      <c r="F2589" s="4">
        <v>330</v>
      </c>
      <c r="G2589" s="115">
        <v>15</v>
      </c>
      <c r="H2589" s="41">
        <v>718</v>
      </c>
      <c r="I2589" s="221"/>
      <c r="J2589" s="221"/>
    </row>
    <row r="2590" spans="1:36" s="5" customFormat="1" ht="24" hidden="1" customHeight="1" outlineLevel="1" x14ac:dyDescent="0.25">
      <c r="A2590" s="4">
        <v>4579</v>
      </c>
      <c r="B2590" s="4" t="s">
        <v>18</v>
      </c>
      <c r="C2590" s="38" t="s">
        <v>2937</v>
      </c>
      <c r="D2590" s="4">
        <v>2022</v>
      </c>
      <c r="E2590" s="4" t="s">
        <v>12</v>
      </c>
      <c r="F2590" s="4">
        <v>68</v>
      </c>
      <c r="G2590" s="115">
        <v>10</v>
      </c>
      <c r="H2590" s="41">
        <v>167</v>
      </c>
      <c r="I2590" s="221"/>
      <c r="J2590" s="221"/>
    </row>
    <row r="2591" spans="1:36" s="5" customFormat="1" ht="24" hidden="1" customHeight="1" outlineLevel="1" x14ac:dyDescent="0.25">
      <c r="A2591" s="4">
        <v>4581</v>
      </c>
      <c r="B2591" s="4" t="s">
        <v>18</v>
      </c>
      <c r="C2591" s="38" t="s">
        <v>2938</v>
      </c>
      <c r="D2591" s="4">
        <v>2022</v>
      </c>
      <c r="E2591" s="4" t="s">
        <v>12</v>
      </c>
      <c r="F2591" s="4">
        <v>125</v>
      </c>
      <c r="G2591" s="115">
        <v>10</v>
      </c>
      <c r="H2591" s="41">
        <v>233</v>
      </c>
      <c r="I2591" s="221"/>
      <c r="J2591" s="221"/>
    </row>
    <row r="2592" spans="1:36" s="5" customFormat="1" ht="24" hidden="1" customHeight="1" outlineLevel="1" x14ac:dyDescent="0.25">
      <c r="A2592" s="4">
        <v>4794</v>
      </c>
      <c r="B2592" s="4" t="s">
        <v>18</v>
      </c>
      <c r="C2592" s="38" t="s">
        <v>2939</v>
      </c>
      <c r="D2592" s="4">
        <v>2022</v>
      </c>
      <c r="E2592" s="4" t="s">
        <v>12</v>
      </c>
      <c r="F2592" s="4">
        <v>368</v>
      </c>
      <c r="G2592" s="115">
        <v>15</v>
      </c>
      <c r="H2592" s="41">
        <v>516</v>
      </c>
      <c r="I2592" s="221"/>
      <c r="J2592" s="221"/>
    </row>
    <row r="2593" spans="1:10" s="5" customFormat="1" ht="24" hidden="1" customHeight="1" outlineLevel="1" x14ac:dyDescent="0.25">
      <c r="A2593" s="4">
        <v>4795</v>
      </c>
      <c r="B2593" s="4" t="s">
        <v>18</v>
      </c>
      <c r="C2593" s="38" t="s">
        <v>2940</v>
      </c>
      <c r="D2593" s="4">
        <v>2022</v>
      </c>
      <c r="E2593" s="4" t="s">
        <v>12</v>
      </c>
      <c r="F2593" s="4">
        <v>172</v>
      </c>
      <c r="G2593" s="115">
        <v>15</v>
      </c>
      <c r="H2593" s="41">
        <v>281</v>
      </c>
      <c r="I2593" s="221"/>
      <c r="J2593" s="221"/>
    </row>
    <row r="2594" spans="1:10" s="5" customFormat="1" ht="24" hidden="1" customHeight="1" outlineLevel="1" x14ac:dyDescent="0.25">
      <c r="A2594" s="4">
        <v>4797</v>
      </c>
      <c r="B2594" s="4" t="s">
        <v>18</v>
      </c>
      <c r="C2594" s="38" t="s">
        <v>2941</v>
      </c>
      <c r="D2594" s="4">
        <v>2022</v>
      </c>
      <c r="E2594" s="4" t="s">
        <v>12</v>
      </c>
      <c r="F2594" s="4">
        <v>429</v>
      </c>
      <c r="G2594" s="115">
        <v>15</v>
      </c>
      <c r="H2594" s="41">
        <v>590</v>
      </c>
      <c r="I2594" s="221"/>
      <c r="J2594" s="221"/>
    </row>
    <row r="2595" spans="1:10" s="5" customFormat="1" ht="24" hidden="1" customHeight="1" outlineLevel="1" x14ac:dyDescent="0.25">
      <c r="A2595" s="4">
        <v>4827</v>
      </c>
      <c r="B2595" s="4" t="s">
        <v>18</v>
      </c>
      <c r="C2595" s="38" t="s">
        <v>2942</v>
      </c>
      <c r="D2595" s="4">
        <v>2022</v>
      </c>
      <c r="E2595" s="4" t="s">
        <v>12</v>
      </c>
      <c r="F2595" s="4">
        <v>243</v>
      </c>
      <c r="G2595" s="115">
        <v>15</v>
      </c>
      <c r="H2595" s="41">
        <v>467</v>
      </c>
      <c r="I2595" s="221"/>
      <c r="J2595" s="221"/>
    </row>
    <row r="2596" spans="1:10" s="5" customFormat="1" ht="24" hidden="1" customHeight="1" outlineLevel="1" x14ac:dyDescent="0.25">
      <c r="A2596" s="4">
        <v>4603</v>
      </c>
      <c r="B2596" s="4" t="s">
        <v>18</v>
      </c>
      <c r="C2596" s="38" t="s">
        <v>2846</v>
      </c>
      <c r="D2596" s="4">
        <v>2022</v>
      </c>
      <c r="E2596" s="4" t="s">
        <v>12</v>
      </c>
      <c r="F2596" s="4">
        <v>10</v>
      </c>
      <c r="G2596" s="115">
        <v>16</v>
      </c>
      <c r="H2596" s="41">
        <v>42</v>
      </c>
      <c r="I2596" s="221"/>
      <c r="J2596" s="221"/>
    </row>
    <row r="2597" spans="1:10" s="5" customFormat="1" ht="24" hidden="1" customHeight="1" outlineLevel="1" x14ac:dyDescent="0.25">
      <c r="A2597" s="4">
        <v>4604</v>
      </c>
      <c r="B2597" s="4" t="s">
        <v>18</v>
      </c>
      <c r="C2597" s="38" t="s">
        <v>2849</v>
      </c>
      <c r="D2597" s="4">
        <v>2022</v>
      </c>
      <c r="E2597" s="4" t="s">
        <v>12</v>
      </c>
      <c r="F2597" s="4">
        <v>8</v>
      </c>
      <c r="G2597" s="115">
        <v>25</v>
      </c>
      <c r="H2597" s="41">
        <v>32</v>
      </c>
      <c r="I2597" s="221"/>
      <c r="J2597" s="221"/>
    </row>
    <row r="2598" spans="1:10" s="5" customFormat="1" ht="24" hidden="1" customHeight="1" outlineLevel="1" x14ac:dyDescent="0.25">
      <c r="A2598" s="4">
        <v>4828</v>
      </c>
      <c r="B2598" s="4" t="s">
        <v>18</v>
      </c>
      <c r="C2598" s="38" t="s">
        <v>2943</v>
      </c>
      <c r="D2598" s="4">
        <v>2022</v>
      </c>
      <c r="E2598" s="4" t="s">
        <v>12</v>
      </c>
      <c r="F2598" s="4">
        <v>637</v>
      </c>
      <c r="G2598" s="115">
        <v>15</v>
      </c>
      <c r="H2598" s="41">
        <v>946</v>
      </c>
      <c r="I2598" s="221"/>
      <c r="J2598" s="221"/>
    </row>
    <row r="2599" spans="1:10" s="5" customFormat="1" ht="24" hidden="1" customHeight="1" outlineLevel="1" x14ac:dyDescent="0.25">
      <c r="A2599" s="4">
        <v>4852</v>
      </c>
      <c r="B2599" s="4" t="s">
        <v>18</v>
      </c>
      <c r="C2599" s="38" t="s">
        <v>2944</v>
      </c>
      <c r="D2599" s="4">
        <v>2022</v>
      </c>
      <c r="E2599" s="4" t="s">
        <v>12</v>
      </c>
      <c r="F2599" s="4">
        <v>210</v>
      </c>
      <c r="G2599" s="41">
        <v>10</v>
      </c>
      <c r="H2599" s="41">
        <v>425</v>
      </c>
      <c r="I2599" s="221"/>
      <c r="J2599" s="221"/>
    </row>
    <row r="2600" spans="1:10" s="5" customFormat="1" ht="24" hidden="1" customHeight="1" outlineLevel="1" x14ac:dyDescent="0.25">
      <c r="A2600" s="4">
        <v>4876</v>
      </c>
      <c r="B2600" s="4" t="s">
        <v>18</v>
      </c>
      <c r="C2600" s="38" t="s">
        <v>2945</v>
      </c>
      <c r="D2600" s="4">
        <v>2022</v>
      </c>
      <c r="E2600" s="4" t="s">
        <v>12</v>
      </c>
      <c r="F2600" s="4">
        <v>385</v>
      </c>
      <c r="G2600" s="41">
        <v>15</v>
      </c>
      <c r="H2600" s="41">
        <v>512</v>
      </c>
      <c r="I2600" s="221"/>
      <c r="J2600" s="221"/>
    </row>
    <row r="2601" spans="1:10" s="5" customFormat="1" ht="24" hidden="1" customHeight="1" outlineLevel="1" x14ac:dyDescent="0.25">
      <c r="A2601" s="4">
        <v>4877</v>
      </c>
      <c r="B2601" s="4" t="s">
        <v>18</v>
      </c>
      <c r="C2601" s="38" t="s">
        <v>2851</v>
      </c>
      <c r="D2601" s="4">
        <v>2022</v>
      </c>
      <c r="E2601" s="4" t="s">
        <v>12</v>
      </c>
      <c r="F2601" s="4">
        <v>5</v>
      </c>
      <c r="G2601" s="115">
        <v>40</v>
      </c>
      <c r="H2601" s="41">
        <v>51</v>
      </c>
      <c r="I2601" s="221"/>
      <c r="J2601" s="221"/>
    </row>
    <row r="2602" spans="1:10" s="5" customFormat="1" ht="24" hidden="1" customHeight="1" outlineLevel="1" x14ac:dyDescent="0.25">
      <c r="A2602" s="4">
        <v>4641</v>
      </c>
      <c r="B2602" s="4" t="s">
        <v>18</v>
      </c>
      <c r="C2602" s="38" t="s">
        <v>2946</v>
      </c>
      <c r="D2602" s="4">
        <v>2022</v>
      </c>
      <c r="E2602" s="4" t="s">
        <v>12</v>
      </c>
      <c r="F2602" s="4">
        <v>140</v>
      </c>
      <c r="G2602" s="115">
        <v>15</v>
      </c>
      <c r="H2602" s="41">
        <v>219</v>
      </c>
      <c r="I2602" s="221"/>
      <c r="J2602" s="221"/>
    </row>
    <row r="2603" spans="1:10" s="5" customFormat="1" ht="24" hidden="1" customHeight="1" outlineLevel="1" x14ac:dyDescent="0.25">
      <c r="A2603" s="4">
        <v>4615</v>
      </c>
      <c r="B2603" s="4" t="s">
        <v>18</v>
      </c>
      <c r="C2603" s="38" t="s">
        <v>2947</v>
      </c>
      <c r="D2603" s="4">
        <v>2022</v>
      </c>
      <c r="E2603" s="4" t="s">
        <v>12</v>
      </c>
      <c r="F2603" s="4">
        <v>93</v>
      </c>
      <c r="G2603" s="115">
        <v>15</v>
      </c>
      <c r="H2603" s="41">
        <v>164</v>
      </c>
      <c r="I2603" s="221"/>
      <c r="J2603" s="221"/>
    </row>
    <row r="2604" spans="1:10" s="5" customFormat="1" ht="24" hidden="1" customHeight="1" outlineLevel="1" x14ac:dyDescent="0.25">
      <c r="A2604" s="4">
        <v>4614</v>
      </c>
      <c r="B2604" s="4" t="s">
        <v>18</v>
      </c>
      <c r="C2604" s="38" t="s">
        <v>2948</v>
      </c>
      <c r="D2604" s="4">
        <v>2022</v>
      </c>
      <c r="E2604" s="4" t="s">
        <v>12</v>
      </c>
      <c r="F2604" s="4">
        <v>305</v>
      </c>
      <c r="G2604" s="115">
        <v>10</v>
      </c>
      <c r="H2604" s="41">
        <v>465</v>
      </c>
      <c r="I2604" s="221"/>
      <c r="J2604" s="221"/>
    </row>
    <row r="2605" spans="1:10" s="5" customFormat="1" ht="24" hidden="1" customHeight="1" outlineLevel="1" x14ac:dyDescent="0.25">
      <c r="A2605" s="4">
        <v>4898</v>
      </c>
      <c r="B2605" s="4" t="s">
        <v>18</v>
      </c>
      <c r="C2605" s="38" t="s">
        <v>2949</v>
      </c>
      <c r="D2605" s="4">
        <v>2022</v>
      </c>
      <c r="E2605" s="4" t="s">
        <v>12</v>
      </c>
      <c r="F2605" s="4">
        <v>284</v>
      </c>
      <c r="G2605" s="41">
        <v>15</v>
      </c>
      <c r="H2605" s="41">
        <v>753</v>
      </c>
      <c r="I2605" s="221"/>
      <c r="J2605" s="221"/>
    </row>
    <row r="2606" spans="1:10" s="5" customFormat="1" ht="24" hidden="1" customHeight="1" outlineLevel="1" x14ac:dyDescent="0.25">
      <c r="A2606" s="4">
        <v>4901</v>
      </c>
      <c r="B2606" s="4" t="s">
        <v>18</v>
      </c>
      <c r="C2606" s="38" t="s">
        <v>2950</v>
      </c>
      <c r="D2606" s="4">
        <v>2022</v>
      </c>
      <c r="E2606" s="4" t="s">
        <v>12</v>
      </c>
      <c r="F2606" s="4">
        <v>469</v>
      </c>
      <c r="G2606" s="115">
        <v>10</v>
      </c>
      <c r="H2606" s="41">
        <v>802</v>
      </c>
      <c r="I2606" s="221"/>
      <c r="J2606" s="221"/>
    </row>
    <row r="2607" spans="1:10" s="5" customFormat="1" ht="24" hidden="1" customHeight="1" outlineLevel="1" x14ac:dyDescent="0.25">
      <c r="A2607" s="4">
        <v>4904</v>
      </c>
      <c r="B2607" s="4" t="s">
        <v>18</v>
      </c>
      <c r="C2607" s="38" t="s">
        <v>2951</v>
      </c>
      <c r="D2607" s="4">
        <v>2022</v>
      </c>
      <c r="E2607" s="4" t="s">
        <v>12</v>
      </c>
      <c r="F2607" s="4">
        <v>179</v>
      </c>
      <c r="G2607" s="115">
        <v>10</v>
      </c>
      <c r="H2607" s="41">
        <v>474</v>
      </c>
      <c r="I2607" s="221"/>
      <c r="J2607" s="221"/>
    </row>
    <row r="2608" spans="1:10" s="5" customFormat="1" ht="24" hidden="1" customHeight="1" outlineLevel="1" x14ac:dyDescent="0.25">
      <c r="A2608" s="4">
        <v>4903</v>
      </c>
      <c r="B2608" s="4" t="s">
        <v>18</v>
      </c>
      <c r="C2608" s="38" t="s">
        <v>2952</v>
      </c>
      <c r="D2608" s="4">
        <v>2022</v>
      </c>
      <c r="E2608" s="4" t="s">
        <v>12</v>
      </c>
      <c r="F2608" s="4">
        <v>399</v>
      </c>
      <c r="G2608" s="115">
        <v>10</v>
      </c>
      <c r="H2608" s="41">
        <v>785</v>
      </c>
      <c r="I2608" s="221"/>
      <c r="J2608" s="221"/>
    </row>
    <row r="2609" spans="1:10" s="5" customFormat="1" ht="24" hidden="1" customHeight="1" outlineLevel="1" x14ac:dyDescent="0.25">
      <c r="A2609" s="4">
        <v>4570</v>
      </c>
      <c r="B2609" s="4" t="s">
        <v>18</v>
      </c>
      <c r="C2609" s="38" t="s">
        <v>2953</v>
      </c>
      <c r="D2609" s="4">
        <v>2022</v>
      </c>
      <c r="E2609" s="4" t="s">
        <v>12</v>
      </c>
      <c r="F2609" s="4">
        <v>40</v>
      </c>
      <c r="G2609" s="115">
        <v>139.4</v>
      </c>
      <c r="H2609" s="41">
        <v>135</v>
      </c>
      <c r="I2609" s="221"/>
      <c r="J2609" s="221"/>
    </row>
    <row r="2610" spans="1:10" s="5" customFormat="1" ht="24" hidden="1" customHeight="1" outlineLevel="1" x14ac:dyDescent="0.25">
      <c r="A2610" s="4">
        <v>4580</v>
      </c>
      <c r="B2610" s="4" t="s">
        <v>18</v>
      </c>
      <c r="C2610" s="38" t="s">
        <v>2954</v>
      </c>
      <c r="D2610" s="4">
        <v>2022</v>
      </c>
      <c r="E2610" s="4" t="s">
        <v>12</v>
      </c>
      <c r="F2610" s="4">
        <v>40</v>
      </c>
      <c r="G2610" s="115">
        <v>134.5</v>
      </c>
      <c r="H2610" s="41">
        <v>129</v>
      </c>
      <c r="I2610" s="221"/>
      <c r="J2610" s="221"/>
    </row>
    <row r="2611" spans="1:10" s="5" customFormat="1" ht="24" hidden="1" customHeight="1" outlineLevel="1" x14ac:dyDescent="0.25">
      <c r="A2611" s="4">
        <v>4899</v>
      </c>
      <c r="B2611" s="4" t="s">
        <v>18</v>
      </c>
      <c r="C2611" s="38" t="s">
        <v>2855</v>
      </c>
      <c r="D2611" s="4">
        <v>2022</v>
      </c>
      <c r="E2611" s="4" t="s">
        <v>12</v>
      </c>
      <c r="F2611" s="4">
        <v>352</v>
      </c>
      <c r="G2611" s="41">
        <v>42</v>
      </c>
      <c r="H2611" s="41">
        <v>545</v>
      </c>
      <c r="I2611" s="221"/>
      <c r="J2611" s="221"/>
    </row>
    <row r="2612" spans="1:10" s="5" customFormat="1" ht="24" hidden="1" customHeight="1" outlineLevel="1" x14ac:dyDescent="0.25">
      <c r="A2612" s="4">
        <v>4900</v>
      </c>
      <c r="B2612" s="4" t="s">
        <v>18</v>
      </c>
      <c r="C2612" s="38" t="s">
        <v>2955</v>
      </c>
      <c r="D2612" s="4">
        <v>2022</v>
      </c>
      <c r="E2612" s="4" t="s">
        <v>12</v>
      </c>
      <c r="F2612" s="4">
        <v>310</v>
      </c>
      <c r="G2612" s="115">
        <v>15</v>
      </c>
      <c r="H2612" s="41">
        <v>658</v>
      </c>
      <c r="I2612" s="221"/>
      <c r="J2612" s="221"/>
    </row>
    <row r="2613" spans="1:10" s="5" customFormat="1" ht="24" hidden="1" customHeight="1" outlineLevel="1" x14ac:dyDescent="0.25">
      <c r="A2613" s="4">
        <v>4902</v>
      </c>
      <c r="B2613" s="4" t="s">
        <v>18</v>
      </c>
      <c r="C2613" s="38" t="s">
        <v>2956</v>
      </c>
      <c r="D2613" s="4">
        <v>2022</v>
      </c>
      <c r="E2613" s="4" t="s">
        <v>12</v>
      </c>
      <c r="F2613" s="4">
        <v>243</v>
      </c>
      <c r="G2613" s="115">
        <v>10</v>
      </c>
      <c r="H2613" s="41">
        <v>531</v>
      </c>
      <c r="I2613" s="221"/>
      <c r="J2613" s="221"/>
    </row>
    <row r="2614" spans="1:10" s="5" customFormat="1" ht="24" hidden="1" customHeight="1" outlineLevel="1" x14ac:dyDescent="0.25">
      <c r="A2614" s="4">
        <v>4617</v>
      </c>
      <c r="B2614" s="4" t="s">
        <v>18</v>
      </c>
      <c r="C2614" s="38" t="s">
        <v>2957</v>
      </c>
      <c r="D2614" s="4">
        <v>2022</v>
      </c>
      <c r="E2614" s="4" t="s">
        <v>12</v>
      </c>
      <c r="F2614" s="4">
        <v>108</v>
      </c>
      <c r="G2614" s="115">
        <v>15</v>
      </c>
      <c r="H2614" s="41">
        <v>176</v>
      </c>
      <c r="I2614" s="221"/>
      <c r="J2614" s="221"/>
    </row>
    <row r="2615" spans="1:10" s="5" customFormat="1" ht="24" hidden="1" customHeight="1" outlineLevel="1" x14ac:dyDescent="0.25">
      <c r="A2615" s="4">
        <v>4701</v>
      </c>
      <c r="B2615" s="4" t="s">
        <v>18</v>
      </c>
      <c r="C2615" s="38" t="s">
        <v>2958</v>
      </c>
      <c r="D2615" s="4">
        <v>2022</v>
      </c>
      <c r="E2615" s="4" t="s">
        <v>12</v>
      </c>
      <c r="F2615" s="4">
        <v>45</v>
      </c>
      <c r="G2615" s="115">
        <v>15</v>
      </c>
      <c r="H2615" s="41">
        <v>77.98</v>
      </c>
      <c r="I2615" s="221"/>
      <c r="J2615" s="221"/>
    </row>
    <row r="2616" spans="1:10" s="5" customFormat="1" ht="24" hidden="1" customHeight="1" outlineLevel="1" x14ac:dyDescent="0.25">
      <c r="A2616" s="4">
        <v>4833</v>
      </c>
      <c r="B2616" s="4" t="s">
        <v>18</v>
      </c>
      <c r="C2616" s="38" t="s">
        <v>2959</v>
      </c>
      <c r="D2616" s="4">
        <v>2022</v>
      </c>
      <c r="E2616" s="4" t="s">
        <v>12</v>
      </c>
      <c r="F2616" s="4">
        <v>45</v>
      </c>
      <c r="G2616" s="115">
        <v>10</v>
      </c>
      <c r="H2616" s="41">
        <v>61</v>
      </c>
      <c r="I2616" s="221"/>
      <c r="J2616" s="221"/>
    </row>
    <row r="2617" spans="1:10" s="5" customFormat="1" ht="24" hidden="1" customHeight="1" outlineLevel="1" x14ac:dyDescent="0.25">
      <c r="A2617" s="4">
        <v>4834</v>
      </c>
      <c r="B2617" s="4" t="s">
        <v>18</v>
      </c>
      <c r="C2617" s="38" t="s">
        <v>2960</v>
      </c>
      <c r="D2617" s="4">
        <v>2022</v>
      </c>
      <c r="E2617" s="4" t="s">
        <v>12</v>
      </c>
      <c r="F2617" s="4">
        <v>45</v>
      </c>
      <c r="G2617" s="115">
        <v>15</v>
      </c>
      <c r="H2617" s="41">
        <v>61</v>
      </c>
      <c r="I2617" s="221"/>
      <c r="J2617" s="221"/>
    </row>
    <row r="2618" spans="1:10" s="5" customFormat="1" ht="24" hidden="1" customHeight="1" outlineLevel="1" x14ac:dyDescent="0.25">
      <c r="A2618" s="4">
        <v>4915</v>
      </c>
      <c r="B2618" s="4" t="s">
        <v>18</v>
      </c>
      <c r="C2618" s="38" t="s">
        <v>2961</v>
      </c>
      <c r="D2618" s="4">
        <v>2022</v>
      </c>
      <c r="E2618" s="4" t="s">
        <v>12</v>
      </c>
      <c r="F2618" s="4">
        <v>272</v>
      </c>
      <c r="G2618" s="115">
        <v>15</v>
      </c>
      <c r="H2618" s="41">
        <v>499</v>
      </c>
      <c r="I2618" s="221"/>
      <c r="J2618" s="221"/>
    </row>
    <row r="2619" spans="1:10" s="5" customFormat="1" ht="24" hidden="1" customHeight="1" outlineLevel="1" x14ac:dyDescent="0.25">
      <c r="A2619" s="4">
        <v>4747</v>
      </c>
      <c r="B2619" s="4" t="s">
        <v>18</v>
      </c>
      <c r="C2619" s="38" t="s">
        <v>2962</v>
      </c>
      <c r="D2619" s="4">
        <v>2022</v>
      </c>
      <c r="E2619" s="4" t="s">
        <v>12</v>
      </c>
      <c r="F2619" s="4">
        <v>30</v>
      </c>
      <c r="G2619" s="115">
        <v>15</v>
      </c>
      <c r="H2619" s="41">
        <v>102.76</v>
      </c>
      <c r="I2619" s="221"/>
      <c r="J2619" s="221"/>
    </row>
    <row r="2620" spans="1:10" s="5" customFormat="1" ht="24" hidden="1" customHeight="1" outlineLevel="1" x14ac:dyDescent="0.25">
      <c r="A2620" s="4">
        <v>4914</v>
      </c>
      <c r="B2620" s="4" t="s">
        <v>18</v>
      </c>
      <c r="C2620" s="38" t="s">
        <v>2963</v>
      </c>
      <c r="D2620" s="4">
        <v>2022</v>
      </c>
      <c r="E2620" s="4" t="s">
        <v>12</v>
      </c>
      <c r="F2620" s="4">
        <v>5</v>
      </c>
      <c r="G2620" s="115">
        <v>10</v>
      </c>
      <c r="H2620" s="41">
        <v>93</v>
      </c>
      <c r="I2620" s="221"/>
      <c r="J2620" s="221"/>
    </row>
    <row r="2621" spans="1:10" s="5" customFormat="1" ht="24" hidden="1" customHeight="1" outlineLevel="1" x14ac:dyDescent="0.25">
      <c r="A2621" s="4">
        <v>4589</v>
      </c>
      <c r="B2621" s="4" t="s">
        <v>18</v>
      </c>
      <c r="C2621" s="38" t="s">
        <v>2964</v>
      </c>
      <c r="D2621" s="4">
        <v>2022</v>
      </c>
      <c r="E2621" s="4" t="s">
        <v>12</v>
      </c>
      <c r="F2621" s="4">
        <v>25</v>
      </c>
      <c r="G2621" s="115">
        <v>20</v>
      </c>
      <c r="H2621" s="41">
        <v>81.809999999999988</v>
      </c>
      <c r="I2621" s="221"/>
      <c r="J2621" s="221"/>
    </row>
    <row r="2622" spans="1:10" s="5" customFormat="1" ht="24" hidden="1" customHeight="1" outlineLevel="1" x14ac:dyDescent="0.25">
      <c r="A2622" s="4">
        <v>4746</v>
      </c>
      <c r="B2622" s="4" t="s">
        <v>18</v>
      </c>
      <c r="C2622" s="38" t="s">
        <v>2965</v>
      </c>
      <c r="D2622" s="4">
        <v>2022</v>
      </c>
      <c r="E2622" s="4" t="s">
        <v>12</v>
      </c>
      <c r="F2622" s="4">
        <v>74</v>
      </c>
      <c r="G2622" s="115">
        <v>15</v>
      </c>
      <c r="H2622" s="41">
        <v>42.09</v>
      </c>
      <c r="I2622" s="221"/>
      <c r="J2622" s="221"/>
    </row>
    <row r="2623" spans="1:10" s="5" customFormat="1" ht="24" hidden="1" customHeight="1" outlineLevel="1" x14ac:dyDescent="0.25">
      <c r="A2623" s="4">
        <v>4855</v>
      </c>
      <c r="B2623" s="4" t="s">
        <v>18</v>
      </c>
      <c r="C2623" s="38" t="s">
        <v>2966</v>
      </c>
      <c r="D2623" s="4">
        <v>2022</v>
      </c>
      <c r="E2623" s="4" t="s">
        <v>12</v>
      </c>
      <c r="F2623" s="4">
        <v>45</v>
      </c>
      <c r="G2623" s="115">
        <v>5</v>
      </c>
      <c r="H2623" s="41">
        <v>81.309999999999988</v>
      </c>
      <c r="I2623" s="221"/>
      <c r="J2623" s="221"/>
    </row>
    <row r="2624" spans="1:10" s="5" customFormat="1" ht="24" hidden="1" customHeight="1" outlineLevel="1" x14ac:dyDescent="0.25">
      <c r="A2624" s="4">
        <v>4675</v>
      </c>
      <c r="B2624" s="4" t="s">
        <v>18</v>
      </c>
      <c r="C2624" s="38" t="s">
        <v>2967</v>
      </c>
      <c r="D2624" s="4">
        <v>2022</v>
      </c>
      <c r="E2624" s="4" t="s">
        <v>12</v>
      </c>
      <c r="F2624" s="4">
        <v>37</v>
      </c>
      <c r="G2624" s="115">
        <v>7.5</v>
      </c>
      <c r="H2624" s="41">
        <v>116.16</v>
      </c>
      <c r="I2624" s="221"/>
      <c r="J2624" s="221"/>
    </row>
    <row r="2625" spans="1:10" s="5" customFormat="1" ht="24" hidden="1" customHeight="1" outlineLevel="1" x14ac:dyDescent="0.25">
      <c r="A2625" s="4">
        <v>4676</v>
      </c>
      <c r="B2625" s="4" t="s">
        <v>18</v>
      </c>
      <c r="C2625" s="38" t="s">
        <v>2968</v>
      </c>
      <c r="D2625" s="4">
        <v>2022</v>
      </c>
      <c r="E2625" s="4" t="s">
        <v>12</v>
      </c>
      <c r="F2625" s="4">
        <v>57</v>
      </c>
      <c r="G2625" s="115">
        <v>15</v>
      </c>
      <c r="H2625" s="41">
        <v>108.45</v>
      </c>
      <c r="I2625" s="221"/>
      <c r="J2625" s="221"/>
    </row>
    <row r="2626" spans="1:10" s="5" customFormat="1" ht="24" hidden="1" customHeight="1" outlineLevel="1" x14ac:dyDescent="0.25">
      <c r="A2626" s="4">
        <v>4677</v>
      </c>
      <c r="B2626" s="4" t="s">
        <v>18</v>
      </c>
      <c r="C2626" s="38" t="s">
        <v>2969</v>
      </c>
      <c r="D2626" s="4">
        <v>2022</v>
      </c>
      <c r="E2626" s="4" t="s">
        <v>12</v>
      </c>
      <c r="F2626" s="4">
        <v>87</v>
      </c>
      <c r="G2626" s="115">
        <v>12</v>
      </c>
      <c r="H2626" s="41">
        <v>124.10300000000001</v>
      </c>
      <c r="I2626" s="221"/>
      <c r="J2626" s="221"/>
    </row>
    <row r="2627" spans="1:10" s="5" customFormat="1" ht="24" hidden="1" customHeight="1" outlineLevel="1" x14ac:dyDescent="0.25">
      <c r="A2627" s="4">
        <v>4879</v>
      </c>
      <c r="B2627" s="4" t="s">
        <v>18</v>
      </c>
      <c r="C2627" s="38" t="s">
        <v>2970</v>
      </c>
      <c r="D2627" s="4">
        <v>2022</v>
      </c>
      <c r="E2627" s="4" t="s">
        <v>12</v>
      </c>
      <c r="F2627" s="4">
        <v>57</v>
      </c>
      <c r="G2627" s="115">
        <v>15</v>
      </c>
      <c r="H2627" s="41">
        <v>91.626999999999995</v>
      </c>
      <c r="I2627" s="221"/>
      <c r="J2627" s="221"/>
    </row>
    <row r="2628" spans="1:10" s="5" customFormat="1" ht="24" hidden="1" customHeight="1" outlineLevel="1" x14ac:dyDescent="0.25">
      <c r="A2628" s="4">
        <v>4921</v>
      </c>
      <c r="B2628" s="4" t="s">
        <v>18</v>
      </c>
      <c r="C2628" s="38" t="s">
        <v>2971</v>
      </c>
      <c r="D2628" s="4">
        <v>2022</v>
      </c>
      <c r="E2628" s="4" t="s">
        <v>12</v>
      </c>
      <c r="F2628" s="4">
        <v>233</v>
      </c>
      <c r="G2628" s="115">
        <v>12</v>
      </c>
      <c r="H2628" s="41">
        <v>249.20999999999998</v>
      </c>
      <c r="I2628" s="221"/>
      <c r="J2628" s="221"/>
    </row>
    <row r="2629" spans="1:10" s="5" customFormat="1" ht="24" hidden="1" customHeight="1" outlineLevel="1" x14ac:dyDescent="0.25">
      <c r="A2629" s="4">
        <v>4856</v>
      </c>
      <c r="B2629" s="4" t="s">
        <v>18</v>
      </c>
      <c r="C2629" s="38" t="s">
        <v>2972</v>
      </c>
      <c r="D2629" s="4">
        <v>2022</v>
      </c>
      <c r="E2629" s="4" t="s">
        <v>12</v>
      </c>
      <c r="F2629" s="4">
        <v>55</v>
      </c>
      <c r="G2629" s="115">
        <v>15</v>
      </c>
      <c r="H2629" s="41">
        <v>145.69399999999999</v>
      </c>
      <c r="I2629" s="221"/>
      <c r="J2629" s="221"/>
    </row>
    <row r="2630" spans="1:10" s="5" customFormat="1" ht="24" hidden="1" customHeight="1" outlineLevel="1" x14ac:dyDescent="0.25">
      <c r="A2630" s="4">
        <v>4906</v>
      </c>
      <c r="B2630" s="4" t="s">
        <v>18</v>
      </c>
      <c r="C2630" s="38" t="s">
        <v>2973</v>
      </c>
      <c r="D2630" s="4">
        <v>2022</v>
      </c>
      <c r="E2630" s="4" t="s">
        <v>12</v>
      </c>
      <c r="F2630" s="4">
        <v>32</v>
      </c>
      <c r="G2630" s="115">
        <v>15</v>
      </c>
      <c r="H2630" s="41">
        <v>71.48</v>
      </c>
      <c r="I2630" s="221"/>
      <c r="J2630" s="221"/>
    </row>
    <row r="2631" spans="1:10" s="5" customFormat="1" ht="24" hidden="1" customHeight="1" outlineLevel="1" x14ac:dyDescent="0.25">
      <c r="A2631" s="4">
        <v>4761</v>
      </c>
      <c r="B2631" s="4" t="s">
        <v>18</v>
      </c>
      <c r="C2631" s="38" t="s">
        <v>2974</v>
      </c>
      <c r="D2631" s="4">
        <v>2022</v>
      </c>
      <c r="E2631" s="4" t="s">
        <v>12</v>
      </c>
      <c r="F2631" s="4">
        <v>180</v>
      </c>
      <c r="G2631" s="115">
        <v>5</v>
      </c>
      <c r="H2631" s="41">
        <v>156</v>
      </c>
      <c r="I2631" s="221"/>
      <c r="J2631" s="221"/>
    </row>
    <row r="2632" spans="1:10" s="5" customFormat="1" ht="24" hidden="1" customHeight="1" outlineLevel="1" x14ac:dyDescent="0.25">
      <c r="A2632" s="4">
        <v>4762</v>
      </c>
      <c r="B2632" s="4" t="s">
        <v>18</v>
      </c>
      <c r="C2632" s="38" t="s">
        <v>2975</v>
      </c>
      <c r="D2632" s="4">
        <v>2022</v>
      </c>
      <c r="E2632" s="4" t="s">
        <v>12</v>
      </c>
      <c r="F2632" s="4">
        <v>135</v>
      </c>
      <c r="G2632" s="115">
        <v>10</v>
      </c>
      <c r="H2632" s="41">
        <v>97.77</v>
      </c>
      <c r="I2632" s="221"/>
      <c r="J2632" s="221"/>
    </row>
    <row r="2633" spans="1:10" s="5" customFormat="1" ht="24" hidden="1" customHeight="1" outlineLevel="1" x14ac:dyDescent="0.25">
      <c r="A2633" s="4">
        <v>4763</v>
      </c>
      <c r="B2633" s="4" t="s">
        <v>18</v>
      </c>
      <c r="C2633" s="38" t="s">
        <v>2976</v>
      </c>
      <c r="D2633" s="4">
        <v>2022</v>
      </c>
      <c r="E2633" s="4" t="s">
        <v>12</v>
      </c>
      <c r="F2633" s="4">
        <v>52</v>
      </c>
      <c r="G2633" s="115">
        <v>10</v>
      </c>
      <c r="H2633" s="41">
        <v>59.322000000000003</v>
      </c>
      <c r="I2633" s="221"/>
      <c r="J2633" s="221"/>
    </row>
    <row r="2634" spans="1:10" s="5" customFormat="1" ht="24" hidden="1" customHeight="1" outlineLevel="1" x14ac:dyDescent="0.25">
      <c r="A2634" s="4">
        <v>4829</v>
      </c>
      <c r="B2634" s="4" t="s">
        <v>18</v>
      </c>
      <c r="C2634" s="38" t="s">
        <v>2977</v>
      </c>
      <c r="D2634" s="4">
        <v>2022</v>
      </c>
      <c r="E2634" s="4" t="s">
        <v>12</v>
      </c>
      <c r="F2634" s="4">
        <v>8</v>
      </c>
      <c r="G2634" s="115">
        <v>10</v>
      </c>
      <c r="H2634" s="41">
        <v>72.929999999999993</v>
      </c>
      <c r="I2634" s="221"/>
      <c r="J2634" s="221"/>
    </row>
    <row r="2635" spans="1:10" s="5" customFormat="1" ht="24" hidden="1" customHeight="1" outlineLevel="1" x14ac:dyDescent="0.25">
      <c r="A2635" s="4">
        <v>4920</v>
      </c>
      <c r="B2635" s="4" t="s">
        <v>18</v>
      </c>
      <c r="C2635" s="38" t="s">
        <v>2978</v>
      </c>
      <c r="D2635" s="4">
        <v>2022</v>
      </c>
      <c r="E2635" s="4" t="s">
        <v>12</v>
      </c>
      <c r="F2635" s="4">
        <v>685</v>
      </c>
      <c r="G2635" s="115">
        <v>15</v>
      </c>
      <c r="H2635" s="41">
        <v>1141.2809999999999</v>
      </c>
      <c r="I2635" s="221"/>
      <c r="J2635" s="221"/>
    </row>
    <row r="2636" spans="1:10" s="5" customFormat="1" ht="24" hidden="1" customHeight="1" outlineLevel="1" x14ac:dyDescent="0.25">
      <c r="A2636" s="4">
        <v>4928</v>
      </c>
      <c r="B2636" s="4" t="s">
        <v>18</v>
      </c>
      <c r="C2636" s="38" t="s">
        <v>2979</v>
      </c>
      <c r="D2636" s="4">
        <v>2022</v>
      </c>
      <c r="E2636" s="4" t="s">
        <v>12</v>
      </c>
      <c r="F2636" s="4">
        <v>155</v>
      </c>
      <c r="G2636" s="115">
        <v>15</v>
      </c>
      <c r="H2636" s="41">
        <v>492</v>
      </c>
      <c r="I2636" s="221"/>
      <c r="J2636" s="221"/>
    </row>
    <row r="2637" spans="1:10" s="5" customFormat="1" ht="24" hidden="1" customHeight="1" outlineLevel="1" x14ac:dyDescent="0.25">
      <c r="A2637" s="4">
        <v>4929</v>
      </c>
      <c r="B2637" s="4" t="s">
        <v>18</v>
      </c>
      <c r="C2637" s="38" t="s">
        <v>2980</v>
      </c>
      <c r="D2637" s="4">
        <v>2022</v>
      </c>
      <c r="E2637" s="4" t="s">
        <v>12</v>
      </c>
      <c r="F2637" s="4">
        <v>296</v>
      </c>
      <c r="G2637" s="115">
        <v>15</v>
      </c>
      <c r="H2637" s="41">
        <v>615</v>
      </c>
      <c r="I2637" s="221"/>
      <c r="J2637" s="221"/>
    </row>
    <row r="2638" spans="1:10" s="5" customFormat="1" ht="24" hidden="1" customHeight="1" outlineLevel="1" x14ac:dyDescent="0.25">
      <c r="A2638" s="4">
        <v>4932</v>
      </c>
      <c r="B2638" s="4" t="s">
        <v>18</v>
      </c>
      <c r="C2638" s="38" t="s">
        <v>2981</v>
      </c>
      <c r="D2638" s="4">
        <v>2022</v>
      </c>
      <c r="E2638" s="4" t="s">
        <v>12</v>
      </c>
      <c r="F2638" s="4">
        <v>28</v>
      </c>
      <c r="G2638" s="115">
        <v>15</v>
      </c>
      <c r="H2638" s="41">
        <v>42</v>
      </c>
      <c r="I2638" s="221"/>
      <c r="J2638" s="221"/>
    </row>
    <row r="2639" spans="1:10" s="5" customFormat="1" ht="24" hidden="1" customHeight="1" outlineLevel="1" x14ac:dyDescent="0.25">
      <c r="A2639" s="4">
        <v>4930</v>
      </c>
      <c r="B2639" s="4" t="s">
        <v>18</v>
      </c>
      <c r="C2639" s="38" t="s">
        <v>2982</v>
      </c>
      <c r="D2639" s="4">
        <v>2022</v>
      </c>
      <c r="E2639" s="4" t="s">
        <v>12</v>
      </c>
      <c r="F2639" s="4">
        <v>22</v>
      </c>
      <c r="G2639" s="115">
        <v>40</v>
      </c>
      <c r="H2639" s="41">
        <v>25</v>
      </c>
      <c r="I2639" s="221"/>
      <c r="J2639" s="221"/>
    </row>
    <row r="2640" spans="1:10" s="5" customFormat="1" ht="24" hidden="1" customHeight="1" outlineLevel="1" x14ac:dyDescent="0.25">
      <c r="A2640" s="4">
        <v>4944</v>
      </c>
      <c r="B2640" s="4" t="s">
        <v>18</v>
      </c>
      <c r="C2640" s="38" t="s">
        <v>2983</v>
      </c>
      <c r="D2640" s="4">
        <v>2022</v>
      </c>
      <c r="E2640" s="4" t="s">
        <v>12</v>
      </c>
      <c r="F2640" s="4">
        <v>169</v>
      </c>
      <c r="G2640" s="41">
        <v>25</v>
      </c>
      <c r="H2640" s="41">
        <v>388</v>
      </c>
      <c r="I2640" s="221"/>
      <c r="J2640" s="221"/>
    </row>
    <row r="2641" spans="1:10" s="5" customFormat="1" ht="24" hidden="1" customHeight="1" outlineLevel="1" x14ac:dyDescent="0.25">
      <c r="A2641" s="4">
        <v>4830</v>
      </c>
      <c r="B2641" s="4" t="s">
        <v>18</v>
      </c>
      <c r="C2641" s="38" t="s">
        <v>2984</v>
      </c>
      <c r="D2641" s="4">
        <v>2022</v>
      </c>
      <c r="E2641" s="4" t="s">
        <v>12</v>
      </c>
      <c r="F2641" s="4">
        <v>25</v>
      </c>
      <c r="G2641" s="115">
        <v>15</v>
      </c>
      <c r="H2641" s="41">
        <v>95</v>
      </c>
      <c r="I2641" s="221"/>
      <c r="J2641" s="221"/>
    </row>
    <row r="2642" spans="1:10" s="5" customFormat="1" ht="24" hidden="1" customHeight="1" outlineLevel="1" x14ac:dyDescent="0.25">
      <c r="A2642" s="4">
        <v>4931</v>
      </c>
      <c r="B2642" s="4" t="s">
        <v>18</v>
      </c>
      <c r="C2642" s="38" t="s">
        <v>2985</v>
      </c>
      <c r="D2642" s="4">
        <v>2022</v>
      </c>
      <c r="E2642" s="4" t="s">
        <v>12</v>
      </c>
      <c r="F2642" s="4">
        <v>22</v>
      </c>
      <c r="G2642" s="115">
        <v>35</v>
      </c>
      <c r="H2642" s="41">
        <v>25</v>
      </c>
      <c r="I2642" s="221"/>
      <c r="J2642" s="221"/>
    </row>
    <row r="2643" spans="1:10" s="5" customFormat="1" ht="24" hidden="1" customHeight="1" outlineLevel="1" x14ac:dyDescent="0.25">
      <c r="A2643" s="4">
        <v>4943</v>
      </c>
      <c r="B2643" s="4" t="s">
        <v>18</v>
      </c>
      <c r="C2643" s="38" t="s">
        <v>2986</v>
      </c>
      <c r="D2643" s="4">
        <v>2022</v>
      </c>
      <c r="E2643" s="4" t="s">
        <v>12</v>
      </c>
      <c r="F2643" s="4">
        <v>320</v>
      </c>
      <c r="G2643" s="115">
        <v>15</v>
      </c>
      <c r="H2643" s="41">
        <v>729</v>
      </c>
      <c r="I2643" s="221"/>
      <c r="J2643" s="221"/>
    </row>
    <row r="2644" spans="1:10" s="5" customFormat="1" ht="24" hidden="1" customHeight="1" outlineLevel="1" x14ac:dyDescent="0.25">
      <c r="A2644" s="4">
        <v>5021</v>
      </c>
      <c r="B2644" s="4" t="s">
        <v>18</v>
      </c>
      <c r="C2644" s="38" t="s">
        <v>2987</v>
      </c>
      <c r="D2644" s="4">
        <v>2022</v>
      </c>
      <c r="E2644" s="4" t="s">
        <v>12</v>
      </c>
      <c r="F2644" s="4">
        <v>18</v>
      </c>
      <c r="G2644" s="115">
        <v>50</v>
      </c>
      <c r="H2644" s="41">
        <v>131</v>
      </c>
      <c r="I2644" s="221"/>
      <c r="J2644" s="221"/>
    </row>
    <row r="2645" spans="1:10" s="5" customFormat="1" ht="24" hidden="1" customHeight="1" outlineLevel="1" x14ac:dyDescent="0.25">
      <c r="A2645" s="4">
        <v>5020</v>
      </c>
      <c r="B2645" s="4" t="s">
        <v>18</v>
      </c>
      <c r="C2645" s="38" t="s">
        <v>2988</v>
      </c>
      <c r="D2645" s="4">
        <v>2022</v>
      </c>
      <c r="E2645" s="4" t="s">
        <v>12</v>
      </c>
      <c r="F2645" s="4">
        <v>186</v>
      </c>
      <c r="G2645" s="115">
        <v>12</v>
      </c>
      <c r="H2645" s="41">
        <v>458</v>
      </c>
      <c r="I2645" s="221"/>
      <c r="J2645" s="221"/>
    </row>
    <row r="2646" spans="1:10" s="5" customFormat="1" ht="24" hidden="1" customHeight="1" outlineLevel="1" x14ac:dyDescent="0.25">
      <c r="A2646" s="4">
        <v>4916</v>
      </c>
      <c r="B2646" s="4" t="s">
        <v>18</v>
      </c>
      <c r="C2646" s="38" t="s">
        <v>2989</v>
      </c>
      <c r="D2646" s="4">
        <v>2022</v>
      </c>
      <c r="E2646" s="4" t="s">
        <v>12</v>
      </c>
      <c r="F2646" s="4">
        <v>34</v>
      </c>
      <c r="G2646" s="115">
        <v>15</v>
      </c>
      <c r="H2646" s="41">
        <v>129.80600000000001</v>
      </c>
      <c r="I2646" s="221"/>
      <c r="J2646" s="221"/>
    </row>
    <row r="2647" spans="1:10" s="5" customFormat="1" ht="24" hidden="1" customHeight="1" outlineLevel="1" x14ac:dyDescent="0.25">
      <c r="A2647" s="4">
        <v>4922</v>
      </c>
      <c r="B2647" s="4" t="s">
        <v>18</v>
      </c>
      <c r="C2647" s="38" t="s">
        <v>2990</v>
      </c>
      <c r="D2647" s="4">
        <v>2022</v>
      </c>
      <c r="E2647" s="4" t="s">
        <v>12</v>
      </c>
      <c r="F2647" s="4">
        <v>21</v>
      </c>
      <c r="G2647" s="115">
        <v>15</v>
      </c>
      <c r="H2647" s="41">
        <v>108.592</v>
      </c>
      <c r="I2647" s="221"/>
      <c r="J2647" s="221"/>
    </row>
    <row r="2648" spans="1:10" s="5" customFormat="1" ht="24" hidden="1" customHeight="1" outlineLevel="1" x14ac:dyDescent="0.25">
      <c r="A2648" s="4">
        <v>4923</v>
      </c>
      <c r="B2648" s="4" t="s">
        <v>18</v>
      </c>
      <c r="C2648" s="38" t="s">
        <v>2991</v>
      </c>
      <c r="D2648" s="4">
        <v>2022</v>
      </c>
      <c r="E2648" s="4" t="s">
        <v>12</v>
      </c>
      <c r="F2648" s="4">
        <v>25</v>
      </c>
      <c r="G2648" s="115">
        <v>15</v>
      </c>
      <c r="H2648" s="41">
        <v>90.387</v>
      </c>
      <c r="I2648" s="221"/>
      <c r="J2648" s="221"/>
    </row>
    <row r="2649" spans="1:10" s="5" customFormat="1" ht="24" hidden="1" customHeight="1" outlineLevel="1" x14ac:dyDescent="0.25">
      <c r="A2649" s="4">
        <v>4945</v>
      </c>
      <c r="B2649" s="4" t="s">
        <v>18</v>
      </c>
      <c r="C2649" s="38" t="s">
        <v>2992</v>
      </c>
      <c r="D2649" s="4">
        <v>2022</v>
      </c>
      <c r="E2649" s="4" t="s">
        <v>12</v>
      </c>
      <c r="F2649" s="4">
        <v>221</v>
      </c>
      <c r="G2649" s="115">
        <v>10</v>
      </c>
      <c r="H2649" s="41">
        <v>620</v>
      </c>
      <c r="I2649" s="221"/>
      <c r="J2649" s="221"/>
    </row>
    <row r="2650" spans="1:10" s="5" customFormat="1" ht="24" hidden="1" customHeight="1" outlineLevel="1" x14ac:dyDescent="0.25">
      <c r="A2650" s="4">
        <v>4857</v>
      </c>
      <c r="B2650" s="4" t="s">
        <v>18</v>
      </c>
      <c r="C2650" s="38" t="s">
        <v>2993</v>
      </c>
      <c r="D2650" s="4">
        <v>2022</v>
      </c>
      <c r="E2650" s="4" t="s">
        <v>12</v>
      </c>
      <c r="F2650" s="4">
        <v>55</v>
      </c>
      <c r="G2650" s="115">
        <v>15</v>
      </c>
      <c r="H2650" s="41">
        <v>78.495999999999995</v>
      </c>
      <c r="I2650" s="221"/>
      <c r="J2650" s="221"/>
    </row>
    <row r="2651" spans="1:10" s="5" customFormat="1" ht="24" hidden="1" customHeight="1" outlineLevel="1" x14ac:dyDescent="0.25">
      <c r="A2651" s="4">
        <v>4907</v>
      </c>
      <c r="B2651" s="4" t="s">
        <v>18</v>
      </c>
      <c r="C2651" s="38" t="s">
        <v>2994</v>
      </c>
      <c r="D2651" s="4">
        <v>2022</v>
      </c>
      <c r="E2651" s="4" t="s">
        <v>12</v>
      </c>
      <c r="F2651" s="4">
        <v>47</v>
      </c>
      <c r="G2651" s="115">
        <v>10</v>
      </c>
      <c r="H2651" s="41">
        <v>99.677000000000007</v>
      </c>
      <c r="I2651" s="221"/>
      <c r="J2651" s="221"/>
    </row>
    <row r="2652" spans="1:10" s="5" customFormat="1" ht="24" hidden="1" customHeight="1" outlineLevel="1" x14ac:dyDescent="0.25">
      <c r="A2652" s="4">
        <v>4905</v>
      </c>
      <c r="B2652" s="4" t="s">
        <v>18</v>
      </c>
      <c r="C2652" s="38" t="s">
        <v>2995</v>
      </c>
      <c r="D2652" s="4">
        <v>2022</v>
      </c>
      <c r="E2652" s="4" t="s">
        <v>12</v>
      </c>
      <c r="F2652" s="4">
        <v>55</v>
      </c>
      <c r="G2652" s="115">
        <v>15</v>
      </c>
      <c r="H2652" s="41">
        <v>206.697</v>
      </c>
      <c r="I2652" s="221"/>
      <c r="J2652" s="221"/>
    </row>
    <row r="2653" spans="1:10" s="5" customFormat="1" ht="24" hidden="1" customHeight="1" outlineLevel="1" x14ac:dyDescent="0.25">
      <c r="A2653" s="4">
        <v>4946</v>
      </c>
      <c r="B2653" s="4" t="s">
        <v>18</v>
      </c>
      <c r="C2653" s="38" t="s">
        <v>2996</v>
      </c>
      <c r="D2653" s="4">
        <v>2022</v>
      </c>
      <c r="E2653" s="4" t="s">
        <v>12</v>
      </c>
      <c r="F2653" s="4">
        <v>498</v>
      </c>
      <c r="G2653" s="115">
        <v>10</v>
      </c>
      <c r="H2653" s="41">
        <v>955.029</v>
      </c>
      <c r="I2653" s="221"/>
      <c r="J2653" s="221"/>
    </row>
    <row r="2654" spans="1:10" s="5" customFormat="1" ht="24" hidden="1" customHeight="1" outlineLevel="1" x14ac:dyDescent="0.25">
      <c r="A2654" s="4">
        <v>4880</v>
      </c>
      <c r="B2654" s="4" t="s">
        <v>18</v>
      </c>
      <c r="C2654" s="38" t="s">
        <v>2997</v>
      </c>
      <c r="D2654" s="4">
        <v>2022</v>
      </c>
      <c r="E2654" s="4" t="s">
        <v>12</v>
      </c>
      <c r="F2654" s="4">
        <v>45</v>
      </c>
      <c r="G2654" s="115">
        <v>15</v>
      </c>
      <c r="H2654" s="41">
        <v>64.36999999999999</v>
      </c>
      <c r="I2654" s="221"/>
      <c r="J2654" s="221"/>
    </row>
    <row r="2655" spans="1:10" s="5" customFormat="1" ht="24" hidden="1" customHeight="1" outlineLevel="1" x14ac:dyDescent="0.25">
      <c r="A2655" s="4">
        <v>4917</v>
      </c>
      <c r="B2655" s="4" t="s">
        <v>18</v>
      </c>
      <c r="C2655" s="38" t="s">
        <v>2998</v>
      </c>
      <c r="D2655" s="4">
        <v>2022</v>
      </c>
      <c r="E2655" s="4" t="s">
        <v>12</v>
      </c>
      <c r="F2655" s="4">
        <v>95</v>
      </c>
      <c r="G2655" s="115">
        <v>10</v>
      </c>
      <c r="H2655" s="41">
        <v>181.32899999999998</v>
      </c>
      <c r="I2655" s="221"/>
      <c r="J2655" s="221"/>
    </row>
    <row r="2656" spans="1:10" s="5" customFormat="1" ht="24" hidden="1" customHeight="1" outlineLevel="1" x14ac:dyDescent="0.25">
      <c r="A2656" s="4">
        <v>5050</v>
      </c>
      <c r="B2656" s="4" t="s">
        <v>18</v>
      </c>
      <c r="C2656" s="38" t="s">
        <v>2999</v>
      </c>
      <c r="D2656" s="4">
        <v>2022</v>
      </c>
      <c r="E2656" s="4" t="s">
        <v>12</v>
      </c>
      <c r="F2656" s="4">
        <v>408</v>
      </c>
      <c r="G2656" s="41">
        <v>20</v>
      </c>
      <c r="H2656" s="41">
        <v>667.88</v>
      </c>
      <c r="I2656" s="221"/>
      <c r="J2656" s="221"/>
    </row>
    <row r="2657" spans="1:10" s="5" customFormat="1" ht="24" hidden="1" customHeight="1" outlineLevel="1" x14ac:dyDescent="0.25">
      <c r="A2657" s="4">
        <v>5052</v>
      </c>
      <c r="B2657" s="4" t="s">
        <v>18</v>
      </c>
      <c r="C2657" s="38" t="s">
        <v>3000</v>
      </c>
      <c r="D2657" s="4">
        <v>2022</v>
      </c>
      <c r="E2657" s="4" t="s">
        <v>12</v>
      </c>
      <c r="F2657" s="4">
        <v>375</v>
      </c>
      <c r="G2657" s="115">
        <v>10</v>
      </c>
      <c r="H2657" s="41">
        <v>713.85</v>
      </c>
      <c r="I2657" s="221"/>
      <c r="J2657" s="221"/>
    </row>
    <row r="2658" spans="1:10" s="5" customFormat="1" ht="24" hidden="1" customHeight="1" outlineLevel="1" x14ac:dyDescent="0.25">
      <c r="A2658" s="4">
        <v>5055</v>
      </c>
      <c r="B2658" s="4" t="s">
        <v>18</v>
      </c>
      <c r="C2658" s="38" t="s">
        <v>3001</v>
      </c>
      <c r="D2658" s="4">
        <v>2022</v>
      </c>
      <c r="E2658" s="4" t="s">
        <v>12</v>
      </c>
      <c r="F2658" s="4">
        <v>238</v>
      </c>
      <c r="G2658" s="115">
        <v>10</v>
      </c>
      <c r="H2658" s="41">
        <v>537.95600000000002</v>
      </c>
      <c r="I2658" s="221"/>
      <c r="J2658" s="221"/>
    </row>
    <row r="2659" spans="1:10" s="5" customFormat="1" ht="24" hidden="1" customHeight="1" outlineLevel="1" x14ac:dyDescent="0.25">
      <c r="A2659" s="4">
        <v>4800</v>
      </c>
      <c r="B2659" s="4" t="s">
        <v>18</v>
      </c>
      <c r="C2659" s="38" t="s">
        <v>3002</v>
      </c>
      <c r="D2659" s="4">
        <v>2022</v>
      </c>
      <c r="E2659" s="4" t="s">
        <v>12</v>
      </c>
      <c r="F2659" s="4">
        <v>236</v>
      </c>
      <c r="G2659" s="115">
        <v>15</v>
      </c>
      <c r="H2659" s="41">
        <v>283.10300000000001</v>
      </c>
      <c r="I2659" s="221"/>
      <c r="J2659" s="221"/>
    </row>
    <row r="2660" spans="1:10" s="5" customFormat="1" ht="24" hidden="1" customHeight="1" outlineLevel="1" x14ac:dyDescent="0.25">
      <c r="A2660" s="4">
        <v>5054</v>
      </c>
      <c r="B2660" s="4" t="s">
        <v>18</v>
      </c>
      <c r="C2660" s="38" t="s">
        <v>3003</v>
      </c>
      <c r="D2660" s="4">
        <v>2022</v>
      </c>
      <c r="E2660" s="4" t="s">
        <v>12</v>
      </c>
      <c r="F2660" s="4">
        <v>227</v>
      </c>
      <c r="G2660" s="115">
        <v>15</v>
      </c>
      <c r="H2660" s="41">
        <v>447.786</v>
      </c>
      <c r="I2660" s="221"/>
      <c r="J2660" s="221"/>
    </row>
    <row r="2661" spans="1:10" s="5" customFormat="1" ht="24" hidden="1" customHeight="1" outlineLevel="1" x14ac:dyDescent="0.25">
      <c r="A2661" s="4">
        <v>4948</v>
      </c>
      <c r="B2661" s="4" t="s">
        <v>18</v>
      </c>
      <c r="C2661" s="38" t="s">
        <v>3004</v>
      </c>
      <c r="D2661" s="4">
        <v>2022</v>
      </c>
      <c r="E2661" s="4" t="s">
        <v>12</v>
      </c>
      <c r="F2661" s="4">
        <v>85</v>
      </c>
      <c r="G2661" s="115">
        <v>15</v>
      </c>
      <c r="H2661" s="41">
        <v>169.077</v>
      </c>
      <c r="I2661" s="221"/>
      <c r="J2661" s="221"/>
    </row>
    <row r="2662" spans="1:10" s="5" customFormat="1" ht="24" hidden="1" customHeight="1" outlineLevel="1" x14ac:dyDescent="0.25">
      <c r="A2662" s="4">
        <v>4674</v>
      </c>
      <c r="B2662" s="4" t="s">
        <v>18</v>
      </c>
      <c r="C2662" s="38" t="s">
        <v>3005</v>
      </c>
      <c r="D2662" s="4">
        <v>2022</v>
      </c>
      <c r="E2662" s="4" t="s">
        <v>12</v>
      </c>
      <c r="F2662" s="4">
        <v>15</v>
      </c>
      <c r="G2662" s="115">
        <v>45.5</v>
      </c>
      <c r="H2662" s="41">
        <v>67.745999999999995</v>
      </c>
      <c r="I2662" s="221"/>
      <c r="J2662" s="221"/>
    </row>
    <row r="2663" spans="1:10" s="5" customFormat="1" ht="24" hidden="1" customHeight="1" outlineLevel="1" x14ac:dyDescent="0.25">
      <c r="A2663" s="4">
        <v>4799</v>
      </c>
      <c r="B2663" s="4" t="s">
        <v>18</v>
      </c>
      <c r="C2663" s="38" t="s">
        <v>3006</v>
      </c>
      <c r="D2663" s="4">
        <v>2022</v>
      </c>
      <c r="E2663" s="4" t="s">
        <v>12</v>
      </c>
      <c r="F2663" s="4">
        <v>80</v>
      </c>
      <c r="G2663" s="115">
        <v>15</v>
      </c>
      <c r="H2663" s="41">
        <v>168.21299999999999</v>
      </c>
      <c r="I2663" s="221"/>
      <c r="J2663" s="221"/>
    </row>
    <row r="2664" spans="1:10" s="5" customFormat="1" ht="24" hidden="1" customHeight="1" outlineLevel="1" x14ac:dyDescent="0.25">
      <c r="A2664" s="4">
        <v>4854</v>
      </c>
      <c r="B2664" s="4" t="s">
        <v>18</v>
      </c>
      <c r="C2664" s="38" t="s">
        <v>3007</v>
      </c>
      <c r="D2664" s="4">
        <v>2022</v>
      </c>
      <c r="E2664" s="4" t="s">
        <v>12</v>
      </c>
      <c r="F2664" s="4">
        <v>17</v>
      </c>
      <c r="G2664" s="115">
        <v>5</v>
      </c>
      <c r="H2664" s="41">
        <v>70.061999999999998</v>
      </c>
      <c r="I2664" s="221"/>
      <c r="J2664" s="221"/>
    </row>
    <row r="2665" spans="1:10" s="5" customFormat="1" ht="24" hidden="1" customHeight="1" outlineLevel="1" x14ac:dyDescent="0.25">
      <c r="A2665" s="4">
        <v>5049</v>
      </c>
      <c r="B2665" s="4" t="s">
        <v>18</v>
      </c>
      <c r="C2665" s="38" t="s">
        <v>3008</v>
      </c>
      <c r="D2665" s="4">
        <v>2022</v>
      </c>
      <c r="E2665" s="4" t="s">
        <v>12</v>
      </c>
      <c r="F2665" s="4">
        <v>1541</v>
      </c>
      <c r="G2665" s="115">
        <v>15</v>
      </c>
      <c r="H2665" s="41">
        <v>1902</v>
      </c>
      <c r="I2665" s="221"/>
      <c r="J2665" s="221"/>
    </row>
    <row r="2666" spans="1:10" s="5" customFormat="1" ht="24" hidden="1" customHeight="1" outlineLevel="1" x14ac:dyDescent="0.25">
      <c r="A2666" s="4">
        <v>5051</v>
      </c>
      <c r="B2666" s="4" t="s">
        <v>18</v>
      </c>
      <c r="C2666" s="38" t="s">
        <v>3009</v>
      </c>
      <c r="D2666" s="4">
        <v>2022</v>
      </c>
      <c r="E2666" s="4" t="s">
        <v>12</v>
      </c>
      <c r="F2666" s="4">
        <v>465</v>
      </c>
      <c r="G2666" s="115">
        <v>15</v>
      </c>
      <c r="H2666" s="41">
        <v>759.077</v>
      </c>
      <c r="I2666" s="221"/>
      <c r="J2666" s="221"/>
    </row>
    <row r="2667" spans="1:10" s="5" customFormat="1" ht="24" hidden="1" customHeight="1" outlineLevel="1" x14ac:dyDescent="0.25">
      <c r="A2667" s="4">
        <v>4702</v>
      </c>
      <c r="B2667" s="4" t="s">
        <v>18</v>
      </c>
      <c r="C2667" s="38" t="s">
        <v>3010</v>
      </c>
      <c r="D2667" s="4">
        <v>2022</v>
      </c>
      <c r="E2667" s="4" t="s">
        <v>12</v>
      </c>
      <c r="F2667" s="4">
        <v>15</v>
      </c>
      <c r="G2667" s="115">
        <v>100</v>
      </c>
      <c r="H2667" s="41">
        <v>68.362000000000009</v>
      </c>
      <c r="I2667" s="221"/>
      <c r="J2667" s="221"/>
    </row>
    <row r="2668" spans="1:10" s="5" customFormat="1" ht="24" hidden="1" customHeight="1" outlineLevel="1" x14ac:dyDescent="0.25">
      <c r="A2668" s="4">
        <v>4826</v>
      </c>
      <c r="B2668" s="4" t="s">
        <v>18</v>
      </c>
      <c r="C2668" s="38" t="s">
        <v>3011</v>
      </c>
      <c r="D2668" s="4">
        <v>2022</v>
      </c>
      <c r="E2668" s="4" t="s">
        <v>12</v>
      </c>
      <c r="F2668" s="4">
        <v>43</v>
      </c>
      <c r="G2668" s="41">
        <v>50</v>
      </c>
      <c r="H2668" s="41">
        <v>53.606666666666797</v>
      </c>
      <c r="I2668" s="221"/>
      <c r="J2668" s="221"/>
    </row>
    <row r="2669" spans="1:10" s="5" customFormat="1" ht="24" hidden="1" customHeight="1" outlineLevel="1" x14ac:dyDescent="0.25">
      <c r="A2669" s="4">
        <v>4918</v>
      </c>
      <c r="B2669" s="4" t="s">
        <v>18</v>
      </c>
      <c r="C2669" s="38" t="s">
        <v>3012</v>
      </c>
      <c r="D2669" s="4">
        <v>2022</v>
      </c>
      <c r="E2669" s="4" t="s">
        <v>12</v>
      </c>
      <c r="F2669" s="4">
        <v>166</v>
      </c>
      <c r="G2669" s="115">
        <v>15</v>
      </c>
      <c r="H2669" s="41">
        <v>433.76864102564099</v>
      </c>
      <c r="I2669" s="221"/>
      <c r="J2669" s="221"/>
    </row>
    <row r="2670" spans="1:10" s="5" customFormat="1" ht="24" hidden="1" customHeight="1" outlineLevel="1" x14ac:dyDescent="0.25">
      <c r="A2670" s="4">
        <v>4919</v>
      </c>
      <c r="B2670" s="4" t="s">
        <v>18</v>
      </c>
      <c r="C2670" s="38" t="s">
        <v>3013</v>
      </c>
      <c r="D2670" s="4">
        <v>2022</v>
      </c>
      <c r="E2670" s="4" t="s">
        <v>12</v>
      </c>
      <c r="F2670" s="4">
        <v>350</v>
      </c>
      <c r="G2670" s="115">
        <v>10</v>
      </c>
      <c r="H2670" s="41">
        <v>555.13320158102772</v>
      </c>
      <c r="I2670" s="221"/>
      <c r="J2670" s="221"/>
    </row>
    <row r="2671" spans="1:10" s="5" customFormat="1" ht="24" hidden="1" customHeight="1" outlineLevel="1" x14ac:dyDescent="0.25">
      <c r="A2671" s="4">
        <v>5053</v>
      </c>
      <c r="B2671" s="4" t="s">
        <v>18</v>
      </c>
      <c r="C2671" s="38" t="s">
        <v>3014</v>
      </c>
      <c r="D2671" s="4">
        <v>2022</v>
      </c>
      <c r="E2671" s="4" t="s">
        <v>12</v>
      </c>
      <c r="F2671" s="4">
        <v>165</v>
      </c>
      <c r="G2671" s="115">
        <v>10</v>
      </c>
      <c r="H2671" s="41">
        <v>338.08971428571425</v>
      </c>
      <c r="I2671" s="221"/>
      <c r="J2671" s="221"/>
    </row>
    <row r="2672" spans="1:10" s="5" customFormat="1" ht="24" hidden="1" customHeight="1" outlineLevel="1" x14ac:dyDescent="0.25">
      <c r="A2672" s="4">
        <v>2063</v>
      </c>
      <c r="B2672" s="4" t="s">
        <v>18</v>
      </c>
      <c r="C2672" s="38" t="s">
        <v>3015</v>
      </c>
      <c r="D2672" s="4">
        <v>2022</v>
      </c>
      <c r="E2672" s="4" t="s">
        <v>12</v>
      </c>
      <c r="F2672" s="4">
        <v>55</v>
      </c>
      <c r="G2672" s="41">
        <v>45</v>
      </c>
      <c r="H2672" s="41">
        <v>80.617279999999994</v>
      </c>
      <c r="I2672" s="221"/>
      <c r="J2672" s="221"/>
    </row>
    <row r="2673" spans="1:10" s="5" customFormat="1" ht="24" hidden="1" customHeight="1" outlineLevel="1" x14ac:dyDescent="0.25">
      <c r="A2673" s="4">
        <v>2241</v>
      </c>
      <c r="B2673" s="4" t="s">
        <v>18</v>
      </c>
      <c r="C2673" s="38" t="s">
        <v>3016</v>
      </c>
      <c r="D2673" s="4">
        <v>2022</v>
      </c>
      <c r="E2673" s="4" t="s">
        <v>12</v>
      </c>
      <c r="F2673" s="4">
        <v>80</v>
      </c>
      <c r="G2673" s="41">
        <v>15</v>
      </c>
      <c r="H2673" s="41">
        <v>130.61676</v>
      </c>
      <c r="I2673" s="221"/>
      <c r="J2673" s="221"/>
    </row>
    <row r="2674" spans="1:10" s="5" customFormat="1" ht="24" hidden="1" customHeight="1" outlineLevel="1" x14ac:dyDescent="0.25">
      <c r="A2674" s="4">
        <v>2244</v>
      </c>
      <c r="B2674" s="4" t="s">
        <v>18</v>
      </c>
      <c r="C2674" s="38" t="s">
        <v>3017</v>
      </c>
      <c r="D2674" s="4">
        <v>2022</v>
      </c>
      <c r="E2674" s="4" t="s">
        <v>12</v>
      </c>
      <c r="F2674" s="4">
        <v>75</v>
      </c>
      <c r="G2674" s="41">
        <v>15</v>
      </c>
      <c r="H2674" s="41">
        <v>125.02402000000001</v>
      </c>
      <c r="I2674" s="221"/>
      <c r="J2674" s="221"/>
    </row>
    <row r="2675" spans="1:10" s="5" customFormat="1" ht="24" hidden="1" customHeight="1" outlineLevel="1" x14ac:dyDescent="0.25">
      <c r="A2675" s="4">
        <v>2245</v>
      </c>
      <c r="B2675" s="4" t="s">
        <v>18</v>
      </c>
      <c r="C2675" s="38" t="s">
        <v>3018</v>
      </c>
      <c r="D2675" s="4">
        <v>2022</v>
      </c>
      <c r="E2675" s="4" t="s">
        <v>12</v>
      </c>
      <c r="F2675" s="4">
        <v>30</v>
      </c>
      <c r="G2675" s="41">
        <v>10</v>
      </c>
      <c r="H2675" s="41">
        <v>79.739920000000012</v>
      </c>
      <c r="I2675" s="221"/>
      <c r="J2675" s="221"/>
    </row>
    <row r="2676" spans="1:10" s="5" customFormat="1" ht="24" hidden="1" customHeight="1" outlineLevel="1" x14ac:dyDescent="0.25">
      <c r="A2676" s="4">
        <v>2316</v>
      </c>
      <c r="B2676" s="4" t="s">
        <v>18</v>
      </c>
      <c r="C2676" s="38" t="s">
        <v>3019</v>
      </c>
      <c r="D2676" s="4">
        <v>2022</v>
      </c>
      <c r="E2676" s="4" t="s">
        <v>12</v>
      </c>
      <c r="F2676" s="4">
        <v>40</v>
      </c>
      <c r="G2676" s="41">
        <v>12</v>
      </c>
      <c r="H2676" s="41">
        <v>52.189419999999998</v>
      </c>
      <c r="I2676" s="221"/>
      <c r="J2676" s="221"/>
    </row>
    <row r="2677" spans="1:10" s="5" customFormat="1" ht="24" hidden="1" customHeight="1" outlineLevel="1" x14ac:dyDescent="0.25">
      <c r="A2677" s="4">
        <v>2318</v>
      </c>
      <c r="B2677" s="4" t="s">
        <v>18</v>
      </c>
      <c r="C2677" s="38" t="s">
        <v>3020</v>
      </c>
      <c r="D2677" s="4">
        <v>2022</v>
      </c>
      <c r="E2677" s="4" t="s">
        <v>12</v>
      </c>
      <c r="F2677" s="4">
        <v>40</v>
      </c>
      <c r="G2677" s="41">
        <v>15</v>
      </c>
      <c r="H2677" s="41">
        <v>66.668279999999996</v>
      </c>
      <c r="I2677" s="221"/>
      <c r="J2677" s="221"/>
    </row>
    <row r="2678" spans="1:10" s="5" customFormat="1" ht="24" hidden="1" customHeight="1" outlineLevel="1" x14ac:dyDescent="0.25">
      <c r="A2678" s="4">
        <v>2319</v>
      </c>
      <c r="B2678" s="4" t="s">
        <v>18</v>
      </c>
      <c r="C2678" s="38" t="s">
        <v>3021</v>
      </c>
      <c r="D2678" s="4">
        <v>2022</v>
      </c>
      <c r="E2678" s="4" t="s">
        <v>12</v>
      </c>
      <c r="F2678" s="4">
        <v>110</v>
      </c>
      <c r="G2678" s="41">
        <v>15</v>
      </c>
      <c r="H2678" s="41">
        <v>111.70699</v>
      </c>
      <c r="I2678" s="221"/>
      <c r="J2678" s="221"/>
    </row>
    <row r="2679" spans="1:10" s="5" customFormat="1" ht="24" hidden="1" customHeight="1" outlineLevel="1" x14ac:dyDescent="0.25">
      <c r="A2679" s="4">
        <v>2320</v>
      </c>
      <c r="B2679" s="4" t="s">
        <v>18</v>
      </c>
      <c r="C2679" s="38" t="s">
        <v>3022</v>
      </c>
      <c r="D2679" s="4">
        <v>2022</v>
      </c>
      <c r="E2679" s="4" t="s">
        <v>12</v>
      </c>
      <c r="F2679" s="4">
        <v>50</v>
      </c>
      <c r="G2679" s="41">
        <v>15</v>
      </c>
      <c r="H2679" s="41">
        <v>63.27769</v>
      </c>
      <c r="I2679" s="221"/>
      <c r="J2679" s="221"/>
    </row>
    <row r="2680" spans="1:10" s="5" customFormat="1" ht="24" hidden="1" customHeight="1" outlineLevel="1" x14ac:dyDescent="0.25">
      <c r="A2680" s="4">
        <v>2326</v>
      </c>
      <c r="B2680" s="4" t="s">
        <v>18</v>
      </c>
      <c r="C2680" s="38" t="s">
        <v>3023</v>
      </c>
      <c r="D2680" s="4">
        <v>2022</v>
      </c>
      <c r="E2680" s="4" t="s">
        <v>12</v>
      </c>
      <c r="F2680" s="4">
        <v>80</v>
      </c>
      <c r="G2680" s="41">
        <v>10</v>
      </c>
      <c r="H2680" s="41">
        <v>41.010570000000001</v>
      </c>
      <c r="I2680" s="221"/>
      <c r="J2680" s="221"/>
    </row>
    <row r="2681" spans="1:10" s="5" customFormat="1" ht="24" hidden="1" customHeight="1" outlineLevel="1" x14ac:dyDescent="0.25">
      <c r="A2681" s="4">
        <v>2366</v>
      </c>
      <c r="B2681" s="4" t="s">
        <v>18</v>
      </c>
      <c r="C2681" s="38" t="s">
        <v>3024</v>
      </c>
      <c r="D2681" s="4">
        <v>2022</v>
      </c>
      <c r="E2681" s="4" t="s">
        <v>12</v>
      </c>
      <c r="F2681" s="4">
        <v>50</v>
      </c>
      <c r="G2681" s="41">
        <v>49</v>
      </c>
      <c r="H2681" s="41">
        <v>79.952060000000003</v>
      </c>
      <c r="I2681" s="221"/>
      <c r="J2681" s="221"/>
    </row>
    <row r="2682" spans="1:10" s="5" customFormat="1" ht="24" hidden="1" customHeight="1" outlineLevel="1" x14ac:dyDescent="0.25">
      <c r="A2682" s="4">
        <v>2376</v>
      </c>
      <c r="B2682" s="4" t="s">
        <v>18</v>
      </c>
      <c r="C2682" s="38" t="s">
        <v>3025</v>
      </c>
      <c r="D2682" s="4">
        <v>2022</v>
      </c>
      <c r="E2682" s="4" t="s">
        <v>12</v>
      </c>
      <c r="F2682" s="4">
        <v>60</v>
      </c>
      <c r="G2682" s="41">
        <v>15</v>
      </c>
      <c r="H2682" s="41">
        <v>52.958709999999996</v>
      </c>
      <c r="I2682" s="221"/>
      <c r="J2682" s="221"/>
    </row>
    <row r="2683" spans="1:10" s="5" customFormat="1" ht="24" hidden="1" customHeight="1" outlineLevel="1" x14ac:dyDescent="0.25">
      <c r="A2683" s="4">
        <v>2377</v>
      </c>
      <c r="B2683" s="4" t="s">
        <v>18</v>
      </c>
      <c r="C2683" s="38" t="s">
        <v>3026</v>
      </c>
      <c r="D2683" s="4">
        <v>2022</v>
      </c>
      <c r="E2683" s="4" t="s">
        <v>12</v>
      </c>
      <c r="F2683" s="4">
        <v>25</v>
      </c>
      <c r="G2683" s="41">
        <v>3</v>
      </c>
      <c r="H2683" s="41">
        <v>44.639180000000003</v>
      </c>
      <c r="I2683" s="221"/>
      <c r="J2683" s="221"/>
    </row>
    <row r="2684" spans="1:10" s="5" customFormat="1" ht="24" hidden="1" customHeight="1" outlineLevel="1" x14ac:dyDescent="0.25">
      <c r="A2684" s="4">
        <v>2409</v>
      </c>
      <c r="B2684" s="4" t="s">
        <v>18</v>
      </c>
      <c r="C2684" s="38" t="s">
        <v>3027</v>
      </c>
      <c r="D2684" s="4">
        <v>2022</v>
      </c>
      <c r="E2684" s="4" t="s">
        <v>12</v>
      </c>
      <c r="F2684" s="4">
        <v>35</v>
      </c>
      <c r="G2684" s="41">
        <v>15</v>
      </c>
      <c r="H2684" s="41">
        <v>49.202649999999998</v>
      </c>
      <c r="I2684" s="221"/>
      <c r="J2684" s="221"/>
    </row>
    <row r="2685" spans="1:10" s="5" customFormat="1" ht="24" hidden="1" customHeight="1" outlineLevel="1" x14ac:dyDescent="0.25">
      <c r="A2685" s="4">
        <v>2374</v>
      </c>
      <c r="B2685" s="4" t="s">
        <v>18</v>
      </c>
      <c r="C2685" s="38" t="s">
        <v>3028</v>
      </c>
      <c r="D2685" s="4">
        <v>2022</v>
      </c>
      <c r="E2685" s="4" t="s">
        <v>12</v>
      </c>
      <c r="F2685" s="4">
        <v>30</v>
      </c>
      <c r="G2685" s="41">
        <v>15</v>
      </c>
      <c r="H2685" s="41">
        <v>26.091619999999999</v>
      </c>
      <c r="I2685" s="221"/>
      <c r="J2685" s="221"/>
    </row>
    <row r="2686" spans="1:10" s="5" customFormat="1" ht="24" hidden="1" customHeight="1" outlineLevel="1" x14ac:dyDescent="0.25">
      <c r="A2686" s="4">
        <v>2375</v>
      </c>
      <c r="B2686" s="4" t="s">
        <v>18</v>
      </c>
      <c r="C2686" s="38" t="s">
        <v>3029</v>
      </c>
      <c r="D2686" s="4">
        <v>2022</v>
      </c>
      <c r="E2686" s="4" t="s">
        <v>12</v>
      </c>
      <c r="F2686" s="4">
        <v>50</v>
      </c>
      <c r="G2686" s="41">
        <v>15</v>
      </c>
      <c r="H2686" s="41">
        <v>100.12885</v>
      </c>
      <c r="I2686" s="221"/>
      <c r="J2686" s="221"/>
    </row>
    <row r="2687" spans="1:10" s="5" customFormat="1" ht="24" hidden="1" customHeight="1" outlineLevel="1" x14ac:dyDescent="0.25">
      <c r="A2687" s="4">
        <v>2408</v>
      </c>
      <c r="B2687" s="4" t="s">
        <v>18</v>
      </c>
      <c r="C2687" s="38" t="s">
        <v>3030</v>
      </c>
      <c r="D2687" s="4">
        <v>2022</v>
      </c>
      <c r="E2687" s="4" t="s">
        <v>12</v>
      </c>
      <c r="F2687" s="4">
        <v>60</v>
      </c>
      <c r="G2687" s="41">
        <v>5</v>
      </c>
      <c r="H2687" s="41">
        <v>111.03931</v>
      </c>
      <c r="I2687" s="221"/>
      <c r="J2687" s="221"/>
    </row>
    <row r="2688" spans="1:10" s="5" customFormat="1" ht="24" hidden="1" customHeight="1" outlineLevel="1" x14ac:dyDescent="0.25">
      <c r="A2688" s="4">
        <v>1890</v>
      </c>
      <c r="B2688" s="4" t="s">
        <v>18</v>
      </c>
      <c r="C2688" s="38" t="s">
        <v>3031</v>
      </c>
      <c r="D2688" s="4">
        <v>2022</v>
      </c>
      <c r="E2688" s="4" t="s">
        <v>12</v>
      </c>
      <c r="F2688" s="4">
        <v>60</v>
      </c>
      <c r="G2688" s="41">
        <v>10</v>
      </c>
      <c r="H2688" s="41">
        <v>124.033</v>
      </c>
      <c r="I2688" s="221"/>
      <c r="J2688" s="221"/>
    </row>
    <row r="2689" spans="1:10" s="5" customFormat="1" ht="24" hidden="1" customHeight="1" outlineLevel="1" x14ac:dyDescent="0.25">
      <c r="A2689" s="4">
        <v>1937</v>
      </c>
      <c r="B2689" s="4" t="s">
        <v>18</v>
      </c>
      <c r="C2689" s="38" t="s">
        <v>3032</v>
      </c>
      <c r="D2689" s="4">
        <v>2022</v>
      </c>
      <c r="E2689" s="4" t="s">
        <v>12</v>
      </c>
      <c r="F2689" s="4">
        <v>90</v>
      </c>
      <c r="G2689" s="41">
        <v>40</v>
      </c>
      <c r="H2689" s="41">
        <v>194.35759999999999</v>
      </c>
      <c r="I2689" s="221"/>
      <c r="J2689" s="221"/>
    </row>
    <row r="2690" spans="1:10" s="5" customFormat="1" ht="24" hidden="1" customHeight="1" outlineLevel="1" x14ac:dyDescent="0.25">
      <c r="A2690" s="4">
        <v>2061</v>
      </c>
      <c r="B2690" s="4" t="s">
        <v>18</v>
      </c>
      <c r="C2690" s="38" t="s">
        <v>3033</v>
      </c>
      <c r="D2690" s="4">
        <v>2022</v>
      </c>
      <c r="E2690" s="4" t="s">
        <v>12</v>
      </c>
      <c r="F2690" s="4">
        <v>75</v>
      </c>
      <c r="G2690" s="41">
        <v>10</v>
      </c>
      <c r="H2690" s="41">
        <v>129.077</v>
      </c>
      <c r="I2690" s="221"/>
      <c r="J2690" s="221"/>
    </row>
    <row r="2691" spans="1:10" s="5" customFormat="1" ht="24" hidden="1" customHeight="1" outlineLevel="1" x14ac:dyDescent="0.25">
      <c r="A2691" s="4">
        <v>2072</v>
      </c>
      <c r="B2691" s="4" t="s">
        <v>18</v>
      </c>
      <c r="C2691" s="38" t="s">
        <v>3034</v>
      </c>
      <c r="D2691" s="4">
        <v>2022</v>
      </c>
      <c r="E2691" s="4" t="s">
        <v>12</v>
      </c>
      <c r="F2691" s="4">
        <v>70</v>
      </c>
      <c r="G2691" s="41">
        <v>15</v>
      </c>
      <c r="H2691" s="41">
        <v>141.245</v>
      </c>
      <c r="I2691" s="221"/>
      <c r="J2691" s="221"/>
    </row>
    <row r="2692" spans="1:10" s="5" customFormat="1" ht="24" hidden="1" customHeight="1" outlineLevel="1" x14ac:dyDescent="0.25">
      <c r="A2692" s="4">
        <v>2073</v>
      </c>
      <c r="B2692" s="4" t="s">
        <v>18</v>
      </c>
      <c r="C2692" s="38" t="s">
        <v>3035</v>
      </c>
      <c r="D2692" s="4">
        <v>2022</v>
      </c>
      <c r="E2692" s="4" t="s">
        <v>12</v>
      </c>
      <c r="F2692" s="4">
        <v>70</v>
      </c>
      <c r="G2692" s="41">
        <v>15</v>
      </c>
      <c r="H2692" s="41">
        <v>150.595</v>
      </c>
      <c r="I2692" s="221"/>
      <c r="J2692" s="221"/>
    </row>
    <row r="2693" spans="1:10" s="5" customFormat="1" ht="24" hidden="1" customHeight="1" outlineLevel="1" x14ac:dyDescent="0.25">
      <c r="A2693" s="4">
        <v>2249</v>
      </c>
      <c r="B2693" s="4" t="s">
        <v>18</v>
      </c>
      <c r="C2693" s="38" t="s">
        <v>3036</v>
      </c>
      <c r="D2693" s="4">
        <v>2022</v>
      </c>
      <c r="E2693" s="4" t="s">
        <v>12</v>
      </c>
      <c r="F2693" s="4">
        <v>60</v>
      </c>
      <c r="G2693" s="41">
        <v>15</v>
      </c>
      <c r="H2693" s="41">
        <v>108.244</v>
      </c>
      <c r="I2693" s="221"/>
      <c r="J2693" s="221"/>
    </row>
    <row r="2694" spans="1:10" s="5" customFormat="1" ht="24" hidden="1" customHeight="1" outlineLevel="1" x14ac:dyDescent="0.25">
      <c r="A2694" s="4">
        <v>2254</v>
      </c>
      <c r="B2694" s="4" t="s">
        <v>18</v>
      </c>
      <c r="C2694" s="38" t="s">
        <v>3037</v>
      </c>
      <c r="D2694" s="4">
        <v>2022</v>
      </c>
      <c r="E2694" s="4" t="s">
        <v>12</v>
      </c>
      <c r="F2694" s="4">
        <v>30</v>
      </c>
      <c r="G2694" s="41">
        <v>15</v>
      </c>
      <c r="H2694" s="41">
        <v>73.800000000000011</v>
      </c>
      <c r="I2694" s="221"/>
      <c r="J2694" s="221"/>
    </row>
    <row r="2695" spans="1:10" s="5" customFormat="1" ht="24" hidden="1" customHeight="1" outlineLevel="1" x14ac:dyDescent="0.25">
      <c r="A2695" s="4">
        <v>2317</v>
      </c>
      <c r="B2695" s="4" t="s">
        <v>18</v>
      </c>
      <c r="C2695" s="38" t="s">
        <v>3038</v>
      </c>
      <c r="D2695" s="4">
        <v>2022</v>
      </c>
      <c r="E2695" s="4" t="s">
        <v>12</v>
      </c>
      <c r="F2695" s="4">
        <v>30</v>
      </c>
      <c r="G2695" s="41">
        <v>15</v>
      </c>
      <c r="H2695" s="41">
        <v>56.411999999999999</v>
      </c>
      <c r="I2695" s="221"/>
      <c r="J2695" s="221"/>
    </row>
    <row r="2696" spans="1:10" s="5" customFormat="1" ht="24" hidden="1" customHeight="1" outlineLevel="1" x14ac:dyDescent="0.25">
      <c r="A2696" s="4">
        <v>2363</v>
      </c>
      <c r="B2696" s="4" t="s">
        <v>18</v>
      </c>
      <c r="C2696" s="38" t="s">
        <v>3039</v>
      </c>
      <c r="D2696" s="4">
        <v>2022</v>
      </c>
      <c r="E2696" s="4" t="s">
        <v>12</v>
      </c>
      <c r="F2696" s="4">
        <v>80</v>
      </c>
      <c r="G2696" s="41">
        <v>15</v>
      </c>
      <c r="H2696" s="41">
        <v>116.16500000000001</v>
      </c>
      <c r="I2696" s="221"/>
      <c r="J2696" s="221"/>
    </row>
    <row r="2697" spans="1:10" s="5" customFormat="1" ht="24" hidden="1" customHeight="1" outlineLevel="1" x14ac:dyDescent="0.25">
      <c r="A2697" s="4">
        <v>2406</v>
      </c>
      <c r="B2697" s="4" t="s">
        <v>18</v>
      </c>
      <c r="C2697" s="38" t="s">
        <v>3040</v>
      </c>
      <c r="D2697" s="4">
        <v>2022</v>
      </c>
      <c r="E2697" s="4" t="s">
        <v>12</v>
      </c>
      <c r="F2697" s="4">
        <v>90</v>
      </c>
      <c r="G2697" s="41">
        <v>30</v>
      </c>
      <c r="H2697" s="41">
        <v>131.18245000000002</v>
      </c>
      <c r="I2697" s="221"/>
      <c r="J2697" s="221"/>
    </row>
    <row r="2698" spans="1:10" s="5" customFormat="1" ht="24" hidden="1" customHeight="1" outlineLevel="1" x14ac:dyDescent="0.25">
      <c r="A2698" s="4">
        <v>2407</v>
      </c>
      <c r="B2698" s="4" t="s">
        <v>18</v>
      </c>
      <c r="C2698" s="38" t="s">
        <v>3041</v>
      </c>
      <c r="D2698" s="4">
        <v>2022</v>
      </c>
      <c r="E2698" s="4" t="s">
        <v>12</v>
      </c>
      <c r="F2698" s="4">
        <v>75</v>
      </c>
      <c r="G2698" s="41">
        <v>15</v>
      </c>
      <c r="H2698" s="41">
        <v>94.766000000000005</v>
      </c>
      <c r="I2698" s="221"/>
      <c r="J2698" s="221"/>
    </row>
    <row r="2699" spans="1:10" s="5" customFormat="1" ht="24" hidden="1" customHeight="1" outlineLevel="1" x14ac:dyDescent="0.25">
      <c r="A2699" s="4">
        <v>2411</v>
      </c>
      <c r="B2699" s="4" t="s">
        <v>18</v>
      </c>
      <c r="C2699" s="38" t="s">
        <v>3042</v>
      </c>
      <c r="D2699" s="4">
        <v>2022</v>
      </c>
      <c r="E2699" s="4" t="s">
        <v>12</v>
      </c>
      <c r="F2699" s="4">
        <v>220</v>
      </c>
      <c r="G2699" s="41">
        <v>15</v>
      </c>
      <c r="H2699" s="41">
        <v>371.09700000000004</v>
      </c>
      <c r="I2699" s="221"/>
      <c r="J2699" s="221"/>
    </row>
    <row r="2700" spans="1:10" s="5" customFormat="1" ht="24" hidden="1" customHeight="1" outlineLevel="1" x14ac:dyDescent="0.25">
      <c r="A2700" s="4">
        <v>2419</v>
      </c>
      <c r="B2700" s="4" t="s">
        <v>18</v>
      </c>
      <c r="C2700" s="38" t="s">
        <v>3043</v>
      </c>
      <c r="D2700" s="4">
        <v>2022</v>
      </c>
      <c r="E2700" s="4" t="s">
        <v>12</v>
      </c>
      <c r="F2700" s="4">
        <v>17</v>
      </c>
      <c r="G2700" s="41">
        <v>15</v>
      </c>
      <c r="H2700" s="41">
        <v>39.777000000000001</v>
      </c>
      <c r="I2700" s="221"/>
      <c r="J2700" s="221"/>
    </row>
    <row r="2701" spans="1:10" s="5" customFormat="1" ht="24" hidden="1" customHeight="1" outlineLevel="1" x14ac:dyDescent="0.25">
      <c r="A2701" s="4">
        <v>1865</v>
      </c>
      <c r="B2701" s="4" t="s">
        <v>18</v>
      </c>
      <c r="C2701" s="38" t="s">
        <v>3044</v>
      </c>
      <c r="D2701" s="4">
        <v>2022</v>
      </c>
      <c r="E2701" s="4" t="s">
        <v>12</v>
      </c>
      <c r="F2701" s="4">
        <v>30</v>
      </c>
      <c r="G2701" s="41">
        <v>15</v>
      </c>
      <c r="H2701" s="41">
        <v>83.056660000000008</v>
      </c>
      <c r="I2701" s="221"/>
      <c r="J2701" s="221"/>
    </row>
    <row r="2702" spans="1:10" s="5" customFormat="1" ht="24" hidden="1" customHeight="1" outlineLevel="1" x14ac:dyDescent="0.25">
      <c r="A2702" s="4">
        <v>2062</v>
      </c>
      <c r="B2702" s="4" t="s">
        <v>18</v>
      </c>
      <c r="C2702" s="38" t="s">
        <v>3045</v>
      </c>
      <c r="D2702" s="4">
        <v>2022</v>
      </c>
      <c r="E2702" s="4" t="s">
        <v>12</v>
      </c>
      <c r="F2702" s="4">
        <v>130</v>
      </c>
      <c r="G2702" s="41">
        <v>10</v>
      </c>
      <c r="H2702" s="41">
        <v>167.33600000000001</v>
      </c>
      <c r="I2702" s="221"/>
      <c r="J2702" s="221"/>
    </row>
    <row r="2703" spans="1:10" s="5" customFormat="1" ht="24" hidden="1" customHeight="1" outlineLevel="1" x14ac:dyDescent="0.25">
      <c r="A2703" s="4">
        <v>2250</v>
      </c>
      <c r="B2703" s="4" t="s">
        <v>18</v>
      </c>
      <c r="C2703" s="38" t="s">
        <v>3046</v>
      </c>
      <c r="D2703" s="4">
        <v>2022</v>
      </c>
      <c r="E2703" s="4" t="s">
        <v>12</v>
      </c>
      <c r="F2703" s="4">
        <v>70</v>
      </c>
      <c r="G2703" s="41">
        <v>10</v>
      </c>
      <c r="H2703" s="41">
        <v>138.02700000000002</v>
      </c>
      <c r="I2703" s="221"/>
      <c r="J2703" s="221"/>
    </row>
    <row r="2704" spans="1:10" s="5" customFormat="1" ht="24" hidden="1" customHeight="1" outlineLevel="1" x14ac:dyDescent="0.25">
      <c r="A2704" s="4">
        <v>2253</v>
      </c>
      <c r="B2704" s="4" t="s">
        <v>18</v>
      </c>
      <c r="C2704" s="38" t="s">
        <v>3047</v>
      </c>
      <c r="D2704" s="4">
        <v>2022</v>
      </c>
      <c r="E2704" s="4" t="s">
        <v>12</v>
      </c>
      <c r="F2704" s="4">
        <v>90</v>
      </c>
      <c r="G2704" s="41">
        <v>9</v>
      </c>
      <c r="H2704" s="41">
        <v>58.748000000000005</v>
      </c>
      <c r="I2704" s="221"/>
      <c r="J2704" s="221"/>
    </row>
    <row r="2705" spans="1:10" s="5" customFormat="1" ht="24" hidden="1" customHeight="1" outlineLevel="1" x14ac:dyDescent="0.25">
      <c r="A2705" s="4">
        <v>2362</v>
      </c>
      <c r="B2705" s="4" t="s">
        <v>18</v>
      </c>
      <c r="C2705" s="38" t="s">
        <v>3048</v>
      </c>
      <c r="D2705" s="4">
        <v>2022</v>
      </c>
      <c r="E2705" s="4" t="s">
        <v>12</v>
      </c>
      <c r="F2705" s="4">
        <v>20</v>
      </c>
      <c r="G2705" s="41">
        <v>15</v>
      </c>
      <c r="H2705" s="41">
        <v>38.120989999999999</v>
      </c>
      <c r="I2705" s="221"/>
      <c r="J2705" s="221"/>
    </row>
    <row r="2706" spans="1:10" s="5" customFormat="1" ht="24" hidden="1" customHeight="1" outlineLevel="1" x14ac:dyDescent="0.25">
      <c r="A2706" s="4">
        <v>2371</v>
      </c>
      <c r="B2706" s="4" t="s">
        <v>18</v>
      </c>
      <c r="C2706" s="38" t="s">
        <v>3049</v>
      </c>
      <c r="D2706" s="4">
        <v>2022</v>
      </c>
      <c r="E2706" s="4" t="s">
        <v>12</v>
      </c>
      <c r="F2706" s="4">
        <v>65</v>
      </c>
      <c r="G2706" s="41">
        <v>15</v>
      </c>
      <c r="H2706" s="41">
        <v>74.786630000000002</v>
      </c>
      <c r="I2706" s="221"/>
      <c r="J2706" s="221"/>
    </row>
    <row r="2707" spans="1:10" s="5" customFormat="1" ht="24" hidden="1" customHeight="1" outlineLevel="1" x14ac:dyDescent="0.25">
      <c r="A2707" s="4">
        <v>2373</v>
      </c>
      <c r="B2707" s="4" t="s">
        <v>18</v>
      </c>
      <c r="C2707" s="38" t="s">
        <v>3050</v>
      </c>
      <c r="D2707" s="4">
        <v>2022</v>
      </c>
      <c r="E2707" s="4" t="s">
        <v>12</v>
      </c>
      <c r="F2707" s="4">
        <v>40</v>
      </c>
      <c r="G2707" s="41">
        <v>15</v>
      </c>
      <c r="H2707" s="41">
        <v>82.483379999999997</v>
      </c>
      <c r="I2707" s="221"/>
      <c r="J2707" s="221"/>
    </row>
    <row r="2708" spans="1:10" s="5" customFormat="1" ht="24" hidden="1" customHeight="1" outlineLevel="1" x14ac:dyDescent="0.25">
      <c r="A2708" s="4">
        <v>2412</v>
      </c>
      <c r="B2708" s="4" t="s">
        <v>18</v>
      </c>
      <c r="C2708" s="38" t="s">
        <v>3051</v>
      </c>
      <c r="D2708" s="4">
        <v>2022</v>
      </c>
      <c r="E2708" s="4" t="s">
        <v>12</v>
      </c>
      <c r="F2708" s="4">
        <v>105</v>
      </c>
      <c r="G2708" s="41">
        <v>15</v>
      </c>
      <c r="H2708" s="41">
        <v>169.04400000000001</v>
      </c>
      <c r="I2708" s="221"/>
      <c r="J2708" s="221"/>
    </row>
    <row r="2709" spans="1:10" s="5" customFormat="1" ht="24" hidden="1" customHeight="1" outlineLevel="1" x14ac:dyDescent="0.25">
      <c r="A2709" s="4">
        <v>2413</v>
      </c>
      <c r="B2709" s="4" t="s">
        <v>18</v>
      </c>
      <c r="C2709" s="38" t="s">
        <v>3052</v>
      </c>
      <c r="D2709" s="4">
        <v>2022</v>
      </c>
      <c r="E2709" s="4" t="s">
        <v>12</v>
      </c>
      <c r="F2709" s="4">
        <v>40</v>
      </c>
      <c r="G2709" s="41">
        <v>10</v>
      </c>
      <c r="H2709" s="41">
        <v>60.134</v>
      </c>
      <c r="I2709" s="221"/>
      <c r="J2709" s="221"/>
    </row>
    <row r="2710" spans="1:10" s="5" customFormat="1" ht="24" hidden="1" customHeight="1" outlineLevel="1" x14ac:dyDescent="0.25">
      <c r="A2710" s="4">
        <v>2414</v>
      </c>
      <c r="B2710" s="4" t="s">
        <v>18</v>
      </c>
      <c r="C2710" s="38" t="s">
        <v>3053</v>
      </c>
      <c r="D2710" s="4">
        <v>2022</v>
      </c>
      <c r="E2710" s="4" t="s">
        <v>12</v>
      </c>
      <c r="F2710" s="4">
        <v>110</v>
      </c>
      <c r="G2710" s="41">
        <v>15</v>
      </c>
      <c r="H2710" s="41">
        <v>138.31560000000002</v>
      </c>
      <c r="I2710" s="221"/>
      <c r="J2710" s="221"/>
    </row>
    <row r="2711" spans="1:10" s="5" customFormat="1" ht="24" hidden="1" customHeight="1" outlineLevel="1" x14ac:dyDescent="0.25">
      <c r="A2711" s="4">
        <v>2456</v>
      </c>
      <c r="B2711" s="4" t="s">
        <v>18</v>
      </c>
      <c r="C2711" s="38" t="s">
        <v>3054</v>
      </c>
      <c r="D2711" s="4">
        <v>2022</v>
      </c>
      <c r="E2711" s="4" t="s">
        <v>12</v>
      </c>
      <c r="F2711" s="4">
        <v>16</v>
      </c>
      <c r="G2711" s="41">
        <v>15</v>
      </c>
      <c r="H2711" s="41">
        <v>38.71</v>
      </c>
      <c r="I2711" s="221"/>
      <c r="J2711" s="221"/>
    </row>
    <row r="2712" spans="1:10" s="5" customFormat="1" ht="24" hidden="1" customHeight="1" outlineLevel="1" x14ac:dyDescent="0.25">
      <c r="A2712" s="4">
        <v>2541</v>
      </c>
      <c r="B2712" s="4" t="s">
        <v>18</v>
      </c>
      <c r="C2712" s="38" t="s">
        <v>3055</v>
      </c>
      <c r="D2712" s="4">
        <v>2022</v>
      </c>
      <c r="E2712" s="4" t="s">
        <v>12</v>
      </c>
      <c r="F2712" s="4">
        <v>195</v>
      </c>
      <c r="G2712" s="41">
        <v>15</v>
      </c>
      <c r="H2712" s="41">
        <v>462.26256000000001</v>
      </c>
      <c r="I2712" s="221"/>
      <c r="J2712" s="221"/>
    </row>
    <row r="2713" spans="1:10" s="5" customFormat="1" ht="24" hidden="1" customHeight="1" outlineLevel="1" x14ac:dyDescent="0.25">
      <c r="A2713" s="4">
        <v>2544</v>
      </c>
      <c r="B2713" s="4" t="s">
        <v>18</v>
      </c>
      <c r="C2713" s="38" t="s">
        <v>3056</v>
      </c>
      <c r="D2713" s="4">
        <v>2022</v>
      </c>
      <c r="E2713" s="4" t="s">
        <v>12</v>
      </c>
      <c r="F2713" s="4">
        <v>5</v>
      </c>
      <c r="G2713" s="41">
        <v>15</v>
      </c>
      <c r="H2713" s="41">
        <v>54.652970000000003</v>
      </c>
      <c r="I2713" s="221"/>
      <c r="J2713" s="221"/>
    </row>
    <row r="2714" spans="1:10" s="5" customFormat="1" ht="24" hidden="1" customHeight="1" outlineLevel="1" x14ac:dyDescent="0.25">
      <c r="A2714" s="4">
        <v>2546</v>
      </c>
      <c r="B2714" s="4" t="s">
        <v>18</v>
      </c>
      <c r="C2714" s="38" t="s">
        <v>3057</v>
      </c>
      <c r="D2714" s="4">
        <v>2022</v>
      </c>
      <c r="E2714" s="4" t="s">
        <v>12</v>
      </c>
      <c r="F2714" s="4">
        <v>213</v>
      </c>
      <c r="G2714" s="41">
        <v>5</v>
      </c>
      <c r="H2714" s="41">
        <v>256.49699999999996</v>
      </c>
      <c r="I2714" s="221"/>
      <c r="J2714" s="221"/>
    </row>
    <row r="2715" spans="1:10" s="5" customFormat="1" ht="24" hidden="1" customHeight="1" outlineLevel="1" x14ac:dyDescent="0.25">
      <c r="A2715" s="4">
        <v>2547</v>
      </c>
      <c r="B2715" s="4" t="s">
        <v>18</v>
      </c>
      <c r="C2715" s="38" t="s">
        <v>3058</v>
      </c>
      <c r="D2715" s="4">
        <v>2022</v>
      </c>
      <c r="E2715" s="4" t="s">
        <v>12</v>
      </c>
      <c r="F2715" s="4">
        <v>237</v>
      </c>
      <c r="G2715" s="41">
        <v>15</v>
      </c>
      <c r="H2715" s="41">
        <v>491.28397000000001</v>
      </c>
      <c r="I2715" s="221"/>
      <c r="J2715" s="221"/>
    </row>
    <row r="2716" spans="1:10" s="5" customFormat="1" ht="24" hidden="1" customHeight="1" outlineLevel="1" x14ac:dyDescent="0.25">
      <c r="A2716" s="4">
        <v>2074</v>
      </c>
      <c r="B2716" s="4" t="s">
        <v>18</v>
      </c>
      <c r="C2716" s="38" t="s">
        <v>3059</v>
      </c>
      <c r="D2716" s="4">
        <v>2022</v>
      </c>
      <c r="E2716" s="4" t="s">
        <v>12</v>
      </c>
      <c r="F2716" s="4">
        <v>16</v>
      </c>
      <c r="G2716" s="41">
        <v>15</v>
      </c>
      <c r="H2716" s="41">
        <v>99.841999999999999</v>
      </c>
      <c r="I2716" s="221"/>
      <c r="J2716" s="221"/>
    </row>
    <row r="2717" spans="1:10" s="5" customFormat="1" ht="24" hidden="1" customHeight="1" outlineLevel="1" x14ac:dyDescent="0.25">
      <c r="A2717" s="4">
        <v>2169</v>
      </c>
      <c r="B2717" s="4" t="s">
        <v>18</v>
      </c>
      <c r="C2717" s="38" t="s">
        <v>3060</v>
      </c>
      <c r="D2717" s="4">
        <v>2022</v>
      </c>
      <c r="E2717" s="4" t="s">
        <v>12</v>
      </c>
      <c r="F2717" s="4">
        <v>156</v>
      </c>
      <c r="G2717" s="41">
        <v>60</v>
      </c>
      <c r="H2717" s="41">
        <v>291.45175</v>
      </c>
      <c r="I2717" s="221"/>
      <c r="J2717" s="221"/>
    </row>
    <row r="2718" spans="1:10" s="5" customFormat="1" ht="24" hidden="1" customHeight="1" outlineLevel="1" x14ac:dyDescent="0.25">
      <c r="A2718" s="4">
        <v>2322</v>
      </c>
      <c r="B2718" s="4" t="s">
        <v>18</v>
      </c>
      <c r="C2718" s="38" t="s">
        <v>3061</v>
      </c>
      <c r="D2718" s="4">
        <v>2022</v>
      </c>
      <c r="E2718" s="4" t="s">
        <v>12</v>
      </c>
      <c r="F2718" s="4">
        <v>50</v>
      </c>
      <c r="G2718" s="41">
        <v>15</v>
      </c>
      <c r="H2718" s="41">
        <v>136.084</v>
      </c>
      <c r="I2718" s="221"/>
      <c r="J2718" s="221"/>
    </row>
    <row r="2719" spans="1:10" s="5" customFormat="1" ht="24" hidden="1" customHeight="1" outlineLevel="1" x14ac:dyDescent="0.25">
      <c r="A2719" s="4">
        <v>2367</v>
      </c>
      <c r="B2719" s="4" t="s">
        <v>18</v>
      </c>
      <c r="C2719" s="38" t="s">
        <v>3062</v>
      </c>
      <c r="D2719" s="4">
        <v>2022</v>
      </c>
      <c r="E2719" s="4" t="s">
        <v>12</v>
      </c>
      <c r="F2719" s="4">
        <v>30</v>
      </c>
      <c r="G2719" s="41">
        <v>15</v>
      </c>
      <c r="H2719" s="41">
        <v>68.213999999999999</v>
      </c>
      <c r="I2719" s="221"/>
      <c r="J2719" s="221"/>
    </row>
    <row r="2720" spans="1:10" s="5" customFormat="1" ht="24" hidden="1" customHeight="1" outlineLevel="1" x14ac:dyDescent="0.25">
      <c r="A2720" s="4">
        <v>2368</v>
      </c>
      <c r="B2720" s="4" t="s">
        <v>18</v>
      </c>
      <c r="C2720" s="38" t="s">
        <v>3063</v>
      </c>
      <c r="D2720" s="4">
        <v>2022</v>
      </c>
      <c r="E2720" s="4" t="s">
        <v>12</v>
      </c>
      <c r="F2720" s="4">
        <v>30</v>
      </c>
      <c r="G2720" s="41">
        <v>30</v>
      </c>
      <c r="H2720" s="41">
        <v>55.555</v>
      </c>
      <c r="I2720" s="221"/>
      <c r="J2720" s="221"/>
    </row>
    <row r="2721" spans="1:10" s="5" customFormat="1" ht="24" hidden="1" customHeight="1" outlineLevel="1" x14ac:dyDescent="0.25">
      <c r="A2721" s="4">
        <v>2370</v>
      </c>
      <c r="B2721" s="4" t="s">
        <v>18</v>
      </c>
      <c r="C2721" s="38" t="s">
        <v>3064</v>
      </c>
      <c r="D2721" s="4">
        <v>2022</v>
      </c>
      <c r="E2721" s="4" t="s">
        <v>12</v>
      </c>
      <c r="F2721" s="4">
        <v>30</v>
      </c>
      <c r="G2721" s="41">
        <v>10</v>
      </c>
      <c r="H2721" s="41">
        <v>76.3857</v>
      </c>
      <c r="I2721" s="221"/>
      <c r="J2721" s="221"/>
    </row>
    <row r="2722" spans="1:10" s="5" customFormat="1" ht="24" hidden="1" customHeight="1" outlineLevel="1" x14ac:dyDescent="0.25">
      <c r="A2722" s="4">
        <v>2372</v>
      </c>
      <c r="B2722" s="4" t="s">
        <v>18</v>
      </c>
      <c r="C2722" s="38" t="s">
        <v>3065</v>
      </c>
      <c r="D2722" s="4">
        <v>2022</v>
      </c>
      <c r="E2722" s="4" t="s">
        <v>12</v>
      </c>
      <c r="F2722" s="4">
        <v>50</v>
      </c>
      <c r="G2722" s="41">
        <v>15</v>
      </c>
      <c r="H2722" s="41">
        <v>86.09559999999999</v>
      </c>
      <c r="I2722" s="221"/>
      <c r="J2722" s="221"/>
    </row>
    <row r="2723" spans="1:10" s="5" customFormat="1" ht="24" hidden="1" customHeight="1" outlineLevel="1" x14ac:dyDescent="0.25">
      <c r="A2723" s="4">
        <v>2405</v>
      </c>
      <c r="B2723" s="4" t="s">
        <v>18</v>
      </c>
      <c r="C2723" s="38" t="s">
        <v>3066</v>
      </c>
      <c r="D2723" s="4">
        <v>2022</v>
      </c>
      <c r="E2723" s="4" t="s">
        <v>12</v>
      </c>
      <c r="F2723" s="4">
        <v>85</v>
      </c>
      <c r="G2723" s="41">
        <v>10</v>
      </c>
      <c r="H2723" s="41">
        <v>90.411000000000001</v>
      </c>
      <c r="I2723" s="221"/>
      <c r="J2723" s="221"/>
    </row>
    <row r="2724" spans="1:10" s="5" customFormat="1" ht="24" hidden="1" customHeight="1" outlineLevel="1" x14ac:dyDescent="0.25">
      <c r="A2724" s="4">
        <v>2417</v>
      </c>
      <c r="B2724" s="4" t="s">
        <v>18</v>
      </c>
      <c r="C2724" s="38" t="s">
        <v>3067</v>
      </c>
      <c r="D2724" s="4">
        <v>2022</v>
      </c>
      <c r="E2724" s="4" t="s">
        <v>12</v>
      </c>
      <c r="F2724" s="4">
        <v>30</v>
      </c>
      <c r="G2724" s="41">
        <v>15</v>
      </c>
      <c r="H2724" s="41">
        <v>58.997909999999997</v>
      </c>
      <c r="I2724" s="221"/>
      <c r="J2724" s="221"/>
    </row>
    <row r="2725" spans="1:10" s="5" customFormat="1" ht="24" hidden="1" customHeight="1" outlineLevel="1" x14ac:dyDescent="0.25">
      <c r="A2725" s="4">
        <v>2418</v>
      </c>
      <c r="B2725" s="4" t="s">
        <v>18</v>
      </c>
      <c r="C2725" s="38" t="s">
        <v>3068</v>
      </c>
      <c r="D2725" s="4">
        <v>2022</v>
      </c>
      <c r="E2725" s="4" t="s">
        <v>12</v>
      </c>
      <c r="F2725" s="4">
        <v>30</v>
      </c>
      <c r="G2725" s="41">
        <v>15</v>
      </c>
      <c r="H2725" s="41">
        <v>59.40945</v>
      </c>
      <c r="I2725" s="221"/>
      <c r="J2725" s="221"/>
    </row>
    <row r="2726" spans="1:10" s="5" customFormat="1" ht="24" hidden="1" customHeight="1" outlineLevel="1" x14ac:dyDescent="0.25">
      <c r="A2726" s="4">
        <v>2428</v>
      </c>
      <c r="B2726" s="4" t="s">
        <v>18</v>
      </c>
      <c r="C2726" s="38" t="s">
        <v>3069</v>
      </c>
      <c r="D2726" s="4">
        <v>2022</v>
      </c>
      <c r="E2726" s="4" t="s">
        <v>12</v>
      </c>
      <c r="F2726" s="4">
        <v>500</v>
      </c>
      <c r="G2726" s="41">
        <v>15</v>
      </c>
      <c r="H2726" s="41">
        <v>451.58300000000003</v>
      </c>
      <c r="I2726" s="221"/>
      <c r="J2726" s="221"/>
    </row>
    <row r="2727" spans="1:10" s="5" customFormat="1" ht="24" hidden="1" customHeight="1" outlineLevel="1" x14ac:dyDescent="0.25">
      <c r="A2727" s="4">
        <v>2430</v>
      </c>
      <c r="B2727" s="4" t="s">
        <v>18</v>
      </c>
      <c r="C2727" s="38" t="s">
        <v>3070</v>
      </c>
      <c r="D2727" s="4">
        <v>2022</v>
      </c>
      <c r="E2727" s="4" t="s">
        <v>12</v>
      </c>
      <c r="F2727" s="4">
        <v>30</v>
      </c>
      <c r="G2727" s="41">
        <v>15</v>
      </c>
      <c r="H2727" s="41">
        <v>63.405459999999998</v>
      </c>
      <c r="I2727" s="221"/>
      <c r="J2727" s="221"/>
    </row>
    <row r="2728" spans="1:10" s="5" customFormat="1" ht="24" hidden="1" customHeight="1" outlineLevel="1" x14ac:dyDescent="0.25">
      <c r="A2728" s="4">
        <v>2455</v>
      </c>
      <c r="B2728" s="4" t="s">
        <v>18</v>
      </c>
      <c r="C2728" s="38" t="s">
        <v>3071</v>
      </c>
      <c r="D2728" s="4">
        <v>2022</v>
      </c>
      <c r="E2728" s="4" t="s">
        <v>12</v>
      </c>
      <c r="F2728" s="4">
        <v>60</v>
      </c>
      <c r="G2728" s="41">
        <v>15</v>
      </c>
      <c r="H2728" s="41">
        <v>124.90260000000001</v>
      </c>
      <c r="I2728" s="221"/>
      <c r="J2728" s="221"/>
    </row>
    <row r="2729" spans="1:10" s="5" customFormat="1" ht="24" hidden="1" customHeight="1" outlineLevel="1" x14ac:dyDescent="0.25">
      <c r="A2729" s="4">
        <v>2507</v>
      </c>
      <c r="B2729" s="4" t="s">
        <v>18</v>
      </c>
      <c r="C2729" s="38" t="s">
        <v>3072</v>
      </c>
      <c r="D2729" s="4">
        <v>2022</v>
      </c>
      <c r="E2729" s="4" t="s">
        <v>12</v>
      </c>
      <c r="F2729" s="4">
        <v>60</v>
      </c>
      <c r="G2729" s="41">
        <v>15</v>
      </c>
      <c r="H2729" s="41">
        <v>118.407</v>
      </c>
      <c r="I2729" s="221"/>
      <c r="J2729" s="221"/>
    </row>
    <row r="2730" spans="1:10" s="5" customFormat="1" ht="24" hidden="1" customHeight="1" outlineLevel="1" x14ac:dyDescent="0.25">
      <c r="A2730" s="4">
        <v>2508</v>
      </c>
      <c r="B2730" s="4" t="s">
        <v>18</v>
      </c>
      <c r="C2730" s="38" t="s">
        <v>3073</v>
      </c>
      <c r="D2730" s="4">
        <v>2022</v>
      </c>
      <c r="E2730" s="4" t="s">
        <v>12</v>
      </c>
      <c r="F2730" s="4">
        <v>70</v>
      </c>
      <c r="G2730" s="41">
        <v>15</v>
      </c>
      <c r="H2730" s="41">
        <v>77.15831</v>
      </c>
      <c r="I2730" s="221"/>
      <c r="J2730" s="221"/>
    </row>
    <row r="2731" spans="1:10" s="5" customFormat="1" ht="24" hidden="1" customHeight="1" outlineLevel="1" x14ac:dyDescent="0.25">
      <c r="A2731" s="4">
        <v>2509</v>
      </c>
      <c r="B2731" s="4" t="s">
        <v>18</v>
      </c>
      <c r="C2731" s="38" t="s">
        <v>3074</v>
      </c>
      <c r="D2731" s="4">
        <v>2022</v>
      </c>
      <c r="E2731" s="4" t="s">
        <v>12</v>
      </c>
      <c r="F2731" s="4">
        <v>50</v>
      </c>
      <c r="G2731" s="41">
        <v>6</v>
      </c>
      <c r="H2731" s="41">
        <v>130.75400000000002</v>
      </c>
      <c r="I2731" s="221"/>
      <c r="J2731" s="221"/>
    </row>
    <row r="2732" spans="1:10" s="5" customFormat="1" ht="24" hidden="1" customHeight="1" outlineLevel="1" x14ac:dyDescent="0.25">
      <c r="A2732" s="4">
        <v>2511</v>
      </c>
      <c r="B2732" s="4" t="s">
        <v>18</v>
      </c>
      <c r="C2732" s="38" t="s">
        <v>3075</v>
      </c>
      <c r="D2732" s="4">
        <v>2022</v>
      </c>
      <c r="E2732" s="4" t="s">
        <v>12</v>
      </c>
      <c r="F2732" s="4">
        <v>230</v>
      </c>
      <c r="G2732" s="41">
        <v>8</v>
      </c>
      <c r="H2732" s="41">
        <v>332.61600000000004</v>
      </c>
      <c r="I2732" s="221"/>
      <c r="J2732" s="221"/>
    </row>
    <row r="2733" spans="1:10" s="5" customFormat="1" ht="24" hidden="1" customHeight="1" outlineLevel="1" x14ac:dyDescent="0.25">
      <c r="A2733" s="4">
        <v>2512</v>
      </c>
      <c r="B2733" s="4" t="s">
        <v>18</v>
      </c>
      <c r="C2733" s="38" t="s">
        <v>3076</v>
      </c>
      <c r="D2733" s="4">
        <v>2022</v>
      </c>
      <c r="E2733" s="4" t="s">
        <v>12</v>
      </c>
      <c r="F2733" s="4">
        <v>310</v>
      </c>
      <c r="G2733" s="41">
        <v>10</v>
      </c>
      <c r="H2733" s="41">
        <v>39.220999999999997</v>
      </c>
      <c r="I2733" s="221"/>
      <c r="J2733" s="221"/>
    </row>
    <row r="2734" spans="1:10" s="5" customFormat="1" ht="24" hidden="1" customHeight="1" outlineLevel="1" x14ac:dyDescent="0.25">
      <c r="A2734" s="4">
        <v>2548</v>
      </c>
      <c r="B2734" s="4" t="s">
        <v>18</v>
      </c>
      <c r="C2734" s="38" t="s">
        <v>3077</v>
      </c>
      <c r="D2734" s="4">
        <v>2022</v>
      </c>
      <c r="E2734" s="4" t="s">
        <v>12</v>
      </c>
      <c r="F2734" s="4">
        <v>70</v>
      </c>
      <c r="G2734" s="41">
        <v>15</v>
      </c>
      <c r="H2734" s="41">
        <v>208.26998</v>
      </c>
      <c r="I2734" s="221"/>
      <c r="J2734" s="221"/>
    </row>
    <row r="2735" spans="1:10" s="5" customFormat="1" ht="24" hidden="1" customHeight="1" outlineLevel="1" x14ac:dyDescent="0.25">
      <c r="A2735" s="4">
        <v>2565</v>
      </c>
      <c r="B2735" s="4" t="s">
        <v>18</v>
      </c>
      <c r="C2735" s="38" t="s">
        <v>3078</v>
      </c>
      <c r="D2735" s="4">
        <v>2022</v>
      </c>
      <c r="E2735" s="4" t="s">
        <v>12</v>
      </c>
      <c r="F2735" s="4">
        <v>10</v>
      </c>
      <c r="G2735" s="41">
        <v>15</v>
      </c>
      <c r="H2735" s="41">
        <v>48.080999999999996</v>
      </c>
      <c r="I2735" s="221"/>
      <c r="J2735" s="221"/>
    </row>
    <row r="2736" spans="1:10" s="5" customFormat="1" ht="24" hidden="1" customHeight="1" outlineLevel="1" x14ac:dyDescent="0.25">
      <c r="A2736" s="4">
        <v>2566</v>
      </c>
      <c r="B2736" s="4" t="s">
        <v>18</v>
      </c>
      <c r="C2736" s="38" t="s">
        <v>3079</v>
      </c>
      <c r="D2736" s="4">
        <v>2022</v>
      </c>
      <c r="E2736" s="4" t="s">
        <v>12</v>
      </c>
      <c r="F2736" s="4">
        <v>310</v>
      </c>
      <c r="G2736" s="41">
        <v>5</v>
      </c>
      <c r="H2736" s="41">
        <v>749.91399999999999</v>
      </c>
      <c r="I2736" s="221"/>
      <c r="J2736" s="221"/>
    </row>
    <row r="2737" spans="1:10" s="5" customFormat="1" ht="24" hidden="1" customHeight="1" outlineLevel="1" x14ac:dyDescent="0.25">
      <c r="A2737" s="4">
        <v>2568</v>
      </c>
      <c r="B2737" s="4" t="s">
        <v>18</v>
      </c>
      <c r="C2737" s="38" t="s">
        <v>3080</v>
      </c>
      <c r="D2737" s="4">
        <v>2022</v>
      </c>
      <c r="E2737" s="4" t="s">
        <v>12</v>
      </c>
      <c r="F2737" s="4">
        <v>215</v>
      </c>
      <c r="G2737" s="41">
        <v>15</v>
      </c>
      <c r="H2737" s="41">
        <v>560.66999999999996</v>
      </c>
      <c r="I2737" s="221"/>
      <c r="J2737" s="221"/>
    </row>
    <row r="2738" spans="1:10" s="5" customFormat="1" ht="24" hidden="1" customHeight="1" outlineLevel="1" x14ac:dyDescent="0.25">
      <c r="A2738" s="41">
        <v>9565</v>
      </c>
      <c r="B2738" s="4" t="s">
        <v>18</v>
      </c>
      <c r="C2738" s="38" t="s">
        <v>289</v>
      </c>
      <c r="D2738" s="4">
        <v>2021</v>
      </c>
      <c r="E2738" s="4" t="s">
        <v>12</v>
      </c>
      <c r="F2738" s="4">
        <v>56</v>
      </c>
      <c r="G2738" s="4">
        <v>42</v>
      </c>
      <c r="H2738" s="4">
        <v>146</v>
      </c>
      <c r="I2738" s="201"/>
      <c r="J2738" s="201"/>
    </row>
    <row r="2739" spans="1:10" s="5" customFormat="1" ht="24" hidden="1" customHeight="1" outlineLevel="1" x14ac:dyDescent="0.25">
      <c r="A2739" s="41">
        <v>9795</v>
      </c>
      <c r="B2739" s="4" t="s">
        <v>18</v>
      </c>
      <c r="C2739" s="38" t="s">
        <v>290</v>
      </c>
      <c r="D2739" s="4">
        <v>2021</v>
      </c>
      <c r="E2739" s="4" t="s">
        <v>12</v>
      </c>
      <c r="F2739" s="4">
        <v>12</v>
      </c>
      <c r="G2739" s="4">
        <v>10</v>
      </c>
      <c r="H2739" s="4">
        <v>121</v>
      </c>
      <c r="I2739" s="201"/>
      <c r="J2739" s="201"/>
    </row>
    <row r="2740" spans="1:10" s="5" customFormat="1" ht="24" hidden="1" customHeight="1" outlineLevel="1" x14ac:dyDescent="0.25">
      <c r="A2740" s="42">
        <v>1282</v>
      </c>
      <c r="B2740" s="4" t="s">
        <v>18</v>
      </c>
      <c r="C2740" s="38" t="s">
        <v>291</v>
      </c>
      <c r="D2740" s="4">
        <v>2021</v>
      </c>
      <c r="E2740" s="4" t="s">
        <v>12</v>
      </c>
      <c r="F2740" s="4">
        <v>6</v>
      </c>
      <c r="G2740" s="4">
        <v>20</v>
      </c>
      <c r="H2740" s="4">
        <v>36</v>
      </c>
      <c r="I2740" s="201"/>
      <c r="J2740" s="201"/>
    </row>
    <row r="2741" spans="1:10" s="5" customFormat="1" ht="24" hidden="1" customHeight="1" outlineLevel="1" x14ac:dyDescent="0.25">
      <c r="A2741" s="41">
        <v>9778</v>
      </c>
      <c r="B2741" s="4" t="s">
        <v>18</v>
      </c>
      <c r="C2741" s="38" t="s">
        <v>292</v>
      </c>
      <c r="D2741" s="4">
        <v>2021</v>
      </c>
      <c r="E2741" s="4" t="s">
        <v>12</v>
      </c>
      <c r="F2741" s="4">
        <v>350</v>
      </c>
      <c r="G2741" s="4">
        <v>10</v>
      </c>
      <c r="H2741" s="4">
        <v>404</v>
      </c>
      <c r="I2741" s="201"/>
      <c r="J2741" s="201"/>
    </row>
    <row r="2742" spans="1:10" s="5" customFormat="1" ht="24" hidden="1" customHeight="1" outlineLevel="1" x14ac:dyDescent="0.25">
      <c r="A2742" s="41">
        <v>9770</v>
      </c>
      <c r="B2742" s="4" t="s">
        <v>18</v>
      </c>
      <c r="C2742" s="38" t="s">
        <v>293</v>
      </c>
      <c r="D2742" s="4">
        <v>2021</v>
      </c>
      <c r="E2742" s="4" t="s">
        <v>12</v>
      </c>
      <c r="F2742" s="4">
        <v>298</v>
      </c>
      <c r="G2742" s="4">
        <v>30</v>
      </c>
      <c r="H2742" s="4">
        <v>348</v>
      </c>
      <c r="I2742" s="201"/>
      <c r="J2742" s="201"/>
    </row>
    <row r="2743" spans="1:10" s="5" customFormat="1" ht="24" hidden="1" customHeight="1" outlineLevel="1" x14ac:dyDescent="0.25">
      <c r="A2743" s="41">
        <v>9775</v>
      </c>
      <c r="B2743" s="4" t="s">
        <v>18</v>
      </c>
      <c r="C2743" s="38" t="s">
        <v>294</v>
      </c>
      <c r="D2743" s="4">
        <v>2021</v>
      </c>
      <c r="E2743" s="4" t="s">
        <v>12</v>
      </c>
      <c r="F2743" s="4">
        <v>25</v>
      </c>
      <c r="G2743" s="4">
        <v>5</v>
      </c>
      <c r="H2743" s="4">
        <v>75</v>
      </c>
      <c r="I2743" s="201"/>
      <c r="J2743" s="201"/>
    </row>
    <row r="2744" spans="1:10" s="5" customFormat="1" ht="24" hidden="1" customHeight="1" outlineLevel="1" x14ac:dyDescent="0.25">
      <c r="A2744" s="42">
        <v>1392</v>
      </c>
      <c r="B2744" s="4" t="s">
        <v>18</v>
      </c>
      <c r="C2744" s="38" t="s">
        <v>295</v>
      </c>
      <c r="D2744" s="4">
        <v>2021</v>
      </c>
      <c r="E2744" s="4" t="s">
        <v>12</v>
      </c>
      <c r="F2744" s="4">
        <v>57</v>
      </c>
      <c r="G2744" s="4">
        <v>0.5</v>
      </c>
      <c r="H2744" s="4">
        <v>79</v>
      </c>
      <c r="I2744" s="201"/>
      <c r="J2744" s="201"/>
    </row>
    <row r="2745" spans="1:10" s="5" customFormat="1" ht="24" hidden="1" customHeight="1" outlineLevel="1" x14ac:dyDescent="0.25">
      <c r="A2745" s="42">
        <v>1384</v>
      </c>
      <c r="B2745" s="4" t="s">
        <v>18</v>
      </c>
      <c r="C2745" s="38" t="s">
        <v>296</v>
      </c>
      <c r="D2745" s="4">
        <v>2021</v>
      </c>
      <c r="E2745" s="4" t="s">
        <v>12</v>
      </c>
      <c r="F2745" s="4">
        <v>15</v>
      </c>
      <c r="G2745" s="4">
        <v>15</v>
      </c>
      <c r="H2745" s="4">
        <v>67</v>
      </c>
      <c r="I2745" s="201"/>
      <c r="J2745" s="201"/>
    </row>
    <row r="2746" spans="1:10" s="5" customFormat="1" ht="24" hidden="1" customHeight="1" outlineLevel="1" x14ac:dyDescent="0.25">
      <c r="A2746" s="42">
        <v>794</v>
      </c>
      <c r="B2746" s="4" t="s">
        <v>18</v>
      </c>
      <c r="C2746" s="38" t="s">
        <v>297</v>
      </c>
      <c r="D2746" s="4">
        <v>2021</v>
      </c>
      <c r="E2746" s="4" t="s">
        <v>12</v>
      </c>
      <c r="F2746" s="4">
        <v>77</v>
      </c>
      <c r="G2746" s="4">
        <v>15</v>
      </c>
      <c r="H2746" s="4">
        <v>122</v>
      </c>
      <c r="I2746" s="201"/>
      <c r="J2746" s="201"/>
    </row>
    <row r="2747" spans="1:10" s="5" customFormat="1" ht="24" hidden="1" customHeight="1" outlineLevel="1" x14ac:dyDescent="0.25">
      <c r="A2747" s="42">
        <v>1427</v>
      </c>
      <c r="B2747" s="4" t="s">
        <v>18</v>
      </c>
      <c r="C2747" s="38" t="s">
        <v>298</v>
      </c>
      <c r="D2747" s="4">
        <v>2021</v>
      </c>
      <c r="E2747" s="4" t="s">
        <v>12</v>
      </c>
      <c r="F2747" s="4">
        <v>30</v>
      </c>
      <c r="G2747" s="4">
        <v>9</v>
      </c>
      <c r="H2747" s="4">
        <v>186</v>
      </c>
      <c r="I2747" s="201"/>
      <c r="J2747" s="201"/>
    </row>
    <row r="2748" spans="1:10" s="5" customFormat="1" ht="24" hidden="1" customHeight="1" outlineLevel="1" x14ac:dyDescent="0.25">
      <c r="A2748" s="41">
        <v>9570</v>
      </c>
      <c r="B2748" s="4" t="s">
        <v>18</v>
      </c>
      <c r="C2748" s="38" t="s">
        <v>299</v>
      </c>
      <c r="D2748" s="4">
        <v>2021</v>
      </c>
      <c r="E2748" s="4" t="s">
        <v>12</v>
      </c>
      <c r="F2748" s="4">
        <v>28</v>
      </c>
      <c r="G2748" s="4">
        <v>15</v>
      </c>
      <c r="H2748" s="4">
        <v>105</v>
      </c>
      <c r="I2748" s="201"/>
      <c r="J2748" s="201"/>
    </row>
    <row r="2749" spans="1:10" s="5" customFormat="1" ht="24" hidden="1" customHeight="1" outlineLevel="1" x14ac:dyDescent="0.25">
      <c r="A2749" s="41">
        <v>9783</v>
      </c>
      <c r="B2749" s="4" t="s">
        <v>18</v>
      </c>
      <c r="C2749" s="38" t="s">
        <v>300</v>
      </c>
      <c r="D2749" s="4">
        <v>2021</v>
      </c>
      <c r="E2749" s="4" t="s">
        <v>12</v>
      </c>
      <c r="F2749" s="4">
        <v>25</v>
      </c>
      <c r="G2749" s="4">
        <v>15</v>
      </c>
      <c r="H2749" s="4">
        <v>123</v>
      </c>
      <c r="I2749" s="201"/>
      <c r="J2749" s="201"/>
    </row>
    <row r="2750" spans="1:10" s="5" customFormat="1" ht="24" hidden="1" customHeight="1" outlineLevel="1" x14ac:dyDescent="0.25">
      <c r="A2750" s="41">
        <v>9784</v>
      </c>
      <c r="B2750" s="4" t="s">
        <v>18</v>
      </c>
      <c r="C2750" s="38" t="s">
        <v>301</v>
      </c>
      <c r="D2750" s="4">
        <v>2021</v>
      </c>
      <c r="E2750" s="4" t="s">
        <v>12</v>
      </c>
      <c r="F2750" s="4">
        <v>22</v>
      </c>
      <c r="G2750" s="4">
        <v>21.06</v>
      </c>
      <c r="H2750" s="4">
        <v>99</v>
      </c>
      <c r="I2750" s="201"/>
      <c r="J2750" s="201"/>
    </row>
    <row r="2751" spans="1:10" s="5" customFormat="1" ht="24" hidden="1" customHeight="1" outlineLevel="1" x14ac:dyDescent="0.25">
      <c r="A2751" s="41">
        <v>9791</v>
      </c>
      <c r="B2751" s="4" t="s">
        <v>18</v>
      </c>
      <c r="C2751" s="38" t="s">
        <v>302</v>
      </c>
      <c r="D2751" s="4">
        <v>2021</v>
      </c>
      <c r="E2751" s="4" t="s">
        <v>12</v>
      </c>
      <c r="F2751" s="4">
        <v>108</v>
      </c>
      <c r="G2751" s="4">
        <v>15</v>
      </c>
      <c r="H2751" s="4">
        <v>210</v>
      </c>
      <c r="I2751" s="201"/>
      <c r="J2751" s="201"/>
    </row>
    <row r="2752" spans="1:10" s="5" customFormat="1" ht="24" hidden="1" customHeight="1" outlineLevel="1" x14ac:dyDescent="0.25">
      <c r="A2752" s="41">
        <v>9796</v>
      </c>
      <c r="B2752" s="4" t="s">
        <v>18</v>
      </c>
      <c r="C2752" s="38" t="s">
        <v>303</v>
      </c>
      <c r="D2752" s="4">
        <v>2021</v>
      </c>
      <c r="E2752" s="4" t="s">
        <v>12</v>
      </c>
      <c r="F2752" s="4">
        <v>172</v>
      </c>
      <c r="G2752" s="4">
        <v>15</v>
      </c>
      <c r="H2752" s="4">
        <v>283</v>
      </c>
      <c r="I2752" s="201"/>
      <c r="J2752" s="201"/>
    </row>
    <row r="2753" spans="1:10" s="5" customFormat="1" ht="24" hidden="1" customHeight="1" outlineLevel="1" x14ac:dyDescent="0.25">
      <c r="A2753" s="42">
        <v>1434</v>
      </c>
      <c r="B2753" s="4" t="s">
        <v>18</v>
      </c>
      <c r="C2753" s="38" t="s">
        <v>304</v>
      </c>
      <c r="D2753" s="4">
        <v>2021</v>
      </c>
      <c r="E2753" s="4" t="s">
        <v>12</v>
      </c>
      <c r="F2753" s="4">
        <v>217</v>
      </c>
      <c r="G2753" s="4">
        <v>15</v>
      </c>
      <c r="H2753" s="4">
        <v>266</v>
      </c>
      <c r="I2753" s="201"/>
      <c r="J2753" s="201"/>
    </row>
    <row r="2754" spans="1:10" s="5" customFormat="1" ht="24" hidden="1" customHeight="1" outlineLevel="1" x14ac:dyDescent="0.25">
      <c r="A2754" s="41">
        <v>9794</v>
      </c>
      <c r="B2754" s="4" t="s">
        <v>18</v>
      </c>
      <c r="C2754" s="38" t="s">
        <v>305</v>
      </c>
      <c r="D2754" s="4">
        <v>2021</v>
      </c>
      <c r="E2754" s="4" t="s">
        <v>12</v>
      </c>
      <c r="F2754" s="4">
        <v>18</v>
      </c>
      <c r="G2754" s="4">
        <v>10</v>
      </c>
      <c r="H2754" s="4">
        <v>55</v>
      </c>
      <c r="I2754" s="201"/>
      <c r="J2754" s="201"/>
    </row>
    <row r="2755" spans="1:10" s="5" customFormat="1" ht="24" hidden="1" customHeight="1" outlineLevel="1" x14ac:dyDescent="0.25">
      <c r="A2755" s="42">
        <v>1432</v>
      </c>
      <c r="B2755" s="4" t="s">
        <v>18</v>
      </c>
      <c r="C2755" s="38" t="s">
        <v>306</v>
      </c>
      <c r="D2755" s="4">
        <v>2021</v>
      </c>
      <c r="E2755" s="4" t="s">
        <v>12</v>
      </c>
      <c r="F2755" s="4">
        <v>424</v>
      </c>
      <c r="G2755" s="4">
        <v>15</v>
      </c>
      <c r="H2755" s="4">
        <v>576</v>
      </c>
      <c r="I2755" s="201"/>
      <c r="J2755" s="201"/>
    </row>
    <row r="2756" spans="1:10" s="5" customFormat="1" ht="24" hidden="1" customHeight="1" outlineLevel="1" x14ac:dyDescent="0.25">
      <c r="A2756" s="42">
        <v>1272</v>
      </c>
      <c r="B2756" s="4" t="s">
        <v>18</v>
      </c>
      <c r="C2756" s="38" t="s">
        <v>307</v>
      </c>
      <c r="D2756" s="4">
        <v>2021</v>
      </c>
      <c r="E2756" s="4" t="s">
        <v>12</v>
      </c>
      <c r="F2756" s="4">
        <v>76</v>
      </c>
      <c r="G2756" s="4">
        <v>100</v>
      </c>
      <c r="H2756" s="4">
        <v>212</v>
      </c>
      <c r="I2756" s="201"/>
      <c r="J2756" s="201"/>
    </row>
    <row r="2757" spans="1:10" s="5" customFormat="1" ht="24" hidden="1" customHeight="1" outlineLevel="1" x14ac:dyDescent="0.25">
      <c r="A2757" s="42">
        <v>1436</v>
      </c>
      <c r="B2757" s="4" t="s">
        <v>18</v>
      </c>
      <c r="C2757" s="38" t="s">
        <v>308</v>
      </c>
      <c r="D2757" s="4">
        <v>2021</v>
      </c>
      <c r="E2757" s="4" t="s">
        <v>12</v>
      </c>
      <c r="F2757" s="4">
        <v>380</v>
      </c>
      <c r="G2757" s="4">
        <v>15</v>
      </c>
      <c r="H2757" s="4">
        <v>362</v>
      </c>
      <c r="I2757" s="201"/>
      <c r="J2757" s="201"/>
    </row>
    <row r="2758" spans="1:10" s="5" customFormat="1" ht="24" hidden="1" customHeight="1" outlineLevel="1" x14ac:dyDescent="0.25">
      <c r="A2758" s="42">
        <v>1421</v>
      </c>
      <c r="B2758" s="4" t="s">
        <v>18</v>
      </c>
      <c r="C2758" s="38" t="s">
        <v>309</v>
      </c>
      <c r="D2758" s="4">
        <v>2021</v>
      </c>
      <c r="E2758" s="4" t="s">
        <v>12</v>
      </c>
      <c r="F2758" s="4">
        <v>20</v>
      </c>
      <c r="G2758" s="4">
        <v>15</v>
      </c>
      <c r="H2758" s="4">
        <v>104</v>
      </c>
      <c r="I2758" s="201"/>
      <c r="J2758" s="201"/>
    </row>
    <row r="2759" spans="1:10" s="5" customFormat="1" ht="24" hidden="1" customHeight="1" outlineLevel="1" x14ac:dyDescent="0.25">
      <c r="A2759" s="42">
        <v>1428</v>
      </c>
      <c r="B2759" s="4" t="s">
        <v>18</v>
      </c>
      <c r="C2759" s="38" t="s">
        <v>310</v>
      </c>
      <c r="D2759" s="4">
        <v>2021</v>
      </c>
      <c r="E2759" s="4" t="s">
        <v>12</v>
      </c>
      <c r="F2759" s="4">
        <v>175</v>
      </c>
      <c r="G2759" s="4">
        <v>30</v>
      </c>
      <c r="H2759" s="4">
        <v>208</v>
      </c>
      <c r="I2759" s="201"/>
      <c r="J2759" s="201"/>
    </row>
    <row r="2760" spans="1:10" s="5" customFormat="1" ht="24" hidden="1" customHeight="1" outlineLevel="1" x14ac:dyDescent="0.25">
      <c r="A2760" s="41">
        <v>9564</v>
      </c>
      <c r="B2760" s="4" t="s">
        <v>18</v>
      </c>
      <c r="C2760" s="38" t="s">
        <v>311</v>
      </c>
      <c r="D2760" s="4">
        <v>2021</v>
      </c>
      <c r="E2760" s="4" t="s">
        <v>12</v>
      </c>
      <c r="F2760" s="4">
        <v>185</v>
      </c>
      <c r="G2760" s="4">
        <v>15</v>
      </c>
      <c r="H2760" s="4">
        <v>401</v>
      </c>
      <c r="I2760" s="201"/>
      <c r="J2760" s="201"/>
    </row>
    <row r="2761" spans="1:10" s="5" customFormat="1" ht="24" hidden="1" customHeight="1" outlineLevel="1" x14ac:dyDescent="0.25">
      <c r="A2761" s="42">
        <v>1400</v>
      </c>
      <c r="B2761" s="4" t="s">
        <v>18</v>
      </c>
      <c r="C2761" s="38" t="s">
        <v>312</v>
      </c>
      <c r="D2761" s="4">
        <v>2021</v>
      </c>
      <c r="E2761" s="4" t="s">
        <v>12</v>
      </c>
      <c r="F2761" s="4">
        <v>150</v>
      </c>
      <c r="G2761" s="4">
        <v>15</v>
      </c>
      <c r="H2761" s="4">
        <v>154</v>
      </c>
      <c r="I2761" s="201"/>
      <c r="J2761" s="201"/>
    </row>
    <row r="2762" spans="1:10" s="5" customFormat="1" ht="24" hidden="1" customHeight="1" outlineLevel="1" x14ac:dyDescent="0.25">
      <c r="A2762" s="41">
        <v>9788</v>
      </c>
      <c r="B2762" s="4" t="s">
        <v>18</v>
      </c>
      <c r="C2762" s="38" t="s">
        <v>313</v>
      </c>
      <c r="D2762" s="4">
        <v>2021</v>
      </c>
      <c r="E2762" s="4" t="s">
        <v>12</v>
      </c>
      <c r="F2762" s="4">
        <v>48</v>
      </c>
      <c r="G2762" s="4">
        <v>15</v>
      </c>
      <c r="H2762" s="4">
        <v>111</v>
      </c>
      <c r="I2762" s="201"/>
      <c r="J2762" s="201"/>
    </row>
    <row r="2763" spans="1:10" s="5" customFormat="1" ht="24" hidden="1" customHeight="1" outlineLevel="1" x14ac:dyDescent="0.25">
      <c r="A2763" s="42">
        <v>1491</v>
      </c>
      <c r="B2763" s="4" t="s">
        <v>18</v>
      </c>
      <c r="C2763" s="38" t="s">
        <v>314</v>
      </c>
      <c r="D2763" s="4">
        <v>2021</v>
      </c>
      <c r="E2763" s="4" t="s">
        <v>12</v>
      </c>
      <c r="F2763" s="4">
        <v>120</v>
      </c>
      <c r="G2763" s="4">
        <v>15</v>
      </c>
      <c r="H2763" s="4">
        <v>183</v>
      </c>
      <c r="I2763" s="201"/>
      <c r="J2763" s="201"/>
    </row>
    <row r="2764" spans="1:10" s="5" customFormat="1" ht="24" hidden="1" customHeight="1" outlineLevel="1" x14ac:dyDescent="0.25">
      <c r="A2764" s="42">
        <v>832</v>
      </c>
      <c r="B2764" s="4" t="s">
        <v>18</v>
      </c>
      <c r="C2764" s="38" t="s">
        <v>315</v>
      </c>
      <c r="D2764" s="4">
        <v>2021</v>
      </c>
      <c r="E2764" s="4" t="s">
        <v>12</v>
      </c>
      <c r="F2764" s="4">
        <v>217</v>
      </c>
      <c r="G2764" s="4">
        <v>30</v>
      </c>
      <c r="H2764" s="4">
        <v>414</v>
      </c>
      <c r="I2764" s="201"/>
      <c r="J2764" s="201"/>
    </row>
    <row r="2765" spans="1:10" s="5" customFormat="1" ht="24" hidden="1" customHeight="1" outlineLevel="1" x14ac:dyDescent="0.25">
      <c r="A2765" s="42">
        <v>834</v>
      </c>
      <c r="B2765" s="4" t="s">
        <v>18</v>
      </c>
      <c r="C2765" s="38" t="s">
        <v>316</v>
      </c>
      <c r="D2765" s="4">
        <v>2021</v>
      </c>
      <c r="E2765" s="4" t="s">
        <v>12</v>
      </c>
      <c r="F2765" s="4">
        <v>131</v>
      </c>
      <c r="G2765" s="4">
        <v>84.3</v>
      </c>
      <c r="H2765" s="4">
        <v>265</v>
      </c>
      <c r="I2765" s="201"/>
      <c r="J2765" s="201"/>
    </row>
    <row r="2766" spans="1:10" s="5" customFormat="1" ht="24" hidden="1" customHeight="1" outlineLevel="1" x14ac:dyDescent="0.25">
      <c r="A2766" s="41">
        <v>9541</v>
      </c>
      <c r="B2766" s="4" t="s">
        <v>18</v>
      </c>
      <c r="C2766" s="38" t="s">
        <v>317</v>
      </c>
      <c r="D2766" s="4">
        <v>2021</v>
      </c>
      <c r="E2766" s="4" t="s">
        <v>12</v>
      </c>
      <c r="F2766" s="4">
        <v>53</v>
      </c>
      <c r="G2766" s="4">
        <v>15</v>
      </c>
      <c r="H2766" s="4">
        <v>217</v>
      </c>
      <c r="I2766" s="201"/>
      <c r="J2766" s="201"/>
    </row>
    <row r="2767" spans="1:10" s="5" customFormat="1" ht="24" hidden="1" customHeight="1" outlineLevel="1" x14ac:dyDescent="0.25">
      <c r="A2767" s="42">
        <v>1390</v>
      </c>
      <c r="B2767" s="4" t="s">
        <v>18</v>
      </c>
      <c r="C2767" s="38" t="s">
        <v>318</v>
      </c>
      <c r="D2767" s="4">
        <v>2021</v>
      </c>
      <c r="E2767" s="4" t="s">
        <v>12</v>
      </c>
      <c r="F2767" s="4">
        <v>90</v>
      </c>
      <c r="G2767" s="4">
        <v>50</v>
      </c>
      <c r="H2767" s="4">
        <v>262</v>
      </c>
      <c r="I2767" s="201"/>
      <c r="J2767" s="201"/>
    </row>
    <row r="2768" spans="1:10" s="5" customFormat="1" ht="24" hidden="1" customHeight="1" outlineLevel="1" x14ac:dyDescent="0.25">
      <c r="A2768" s="42">
        <v>789</v>
      </c>
      <c r="B2768" s="4" t="s">
        <v>18</v>
      </c>
      <c r="C2768" s="38" t="s">
        <v>319</v>
      </c>
      <c r="D2768" s="4">
        <v>2021</v>
      </c>
      <c r="E2768" s="4" t="s">
        <v>12</v>
      </c>
      <c r="F2768" s="4">
        <v>341</v>
      </c>
      <c r="G2768" s="4">
        <v>15</v>
      </c>
      <c r="H2768" s="4">
        <v>368</v>
      </c>
      <c r="I2768" s="201"/>
      <c r="J2768" s="201"/>
    </row>
    <row r="2769" spans="1:10" s="5" customFormat="1" ht="24" hidden="1" customHeight="1" outlineLevel="1" x14ac:dyDescent="0.25">
      <c r="A2769" s="42">
        <v>1388</v>
      </c>
      <c r="B2769" s="4" t="s">
        <v>18</v>
      </c>
      <c r="C2769" s="38" t="s">
        <v>320</v>
      </c>
      <c r="D2769" s="4">
        <v>2021</v>
      </c>
      <c r="E2769" s="4" t="s">
        <v>12</v>
      </c>
      <c r="F2769" s="4">
        <v>30</v>
      </c>
      <c r="G2769" s="4">
        <v>15</v>
      </c>
      <c r="H2769" s="4">
        <v>89</v>
      </c>
      <c r="I2769" s="201"/>
      <c r="J2769" s="201"/>
    </row>
    <row r="2770" spans="1:10" s="5" customFormat="1" ht="24" hidden="1" customHeight="1" outlineLevel="1" x14ac:dyDescent="0.25">
      <c r="A2770" s="42">
        <v>1395</v>
      </c>
      <c r="B2770" s="4" t="s">
        <v>18</v>
      </c>
      <c r="C2770" s="38" t="s">
        <v>321</v>
      </c>
      <c r="D2770" s="4">
        <v>2021</v>
      </c>
      <c r="E2770" s="4" t="s">
        <v>12</v>
      </c>
      <c r="F2770" s="4">
        <v>40</v>
      </c>
      <c r="G2770" s="4">
        <v>15</v>
      </c>
      <c r="H2770" s="4">
        <v>145</v>
      </c>
      <c r="I2770" s="201"/>
      <c r="J2770" s="201"/>
    </row>
    <row r="2771" spans="1:10" s="5" customFormat="1" ht="24" hidden="1" customHeight="1" outlineLevel="1" x14ac:dyDescent="0.25">
      <c r="A2771" s="42">
        <v>1273</v>
      </c>
      <c r="B2771" s="4" t="s">
        <v>18</v>
      </c>
      <c r="C2771" s="38" t="s">
        <v>322</v>
      </c>
      <c r="D2771" s="4">
        <v>2021</v>
      </c>
      <c r="E2771" s="4" t="s">
        <v>12</v>
      </c>
      <c r="F2771" s="4">
        <v>5</v>
      </c>
      <c r="G2771" s="4">
        <v>40</v>
      </c>
      <c r="H2771" s="4">
        <v>42</v>
      </c>
      <c r="I2771" s="201"/>
      <c r="J2771" s="201"/>
    </row>
    <row r="2772" spans="1:10" s="5" customFormat="1" ht="24" hidden="1" customHeight="1" outlineLevel="1" x14ac:dyDescent="0.25">
      <c r="A2772" s="42">
        <v>1362</v>
      </c>
      <c r="B2772" s="4" t="s">
        <v>18</v>
      </c>
      <c r="C2772" s="38" t="s">
        <v>323</v>
      </c>
      <c r="D2772" s="4">
        <v>2021</v>
      </c>
      <c r="E2772" s="4" t="s">
        <v>12</v>
      </c>
      <c r="F2772" s="4">
        <v>30</v>
      </c>
      <c r="G2772" s="4">
        <v>15</v>
      </c>
      <c r="H2772" s="4">
        <v>133</v>
      </c>
      <c r="I2772" s="201"/>
      <c r="J2772" s="201"/>
    </row>
    <row r="2773" spans="1:10" s="5" customFormat="1" ht="24" hidden="1" customHeight="1" outlineLevel="1" x14ac:dyDescent="0.25">
      <c r="A2773" s="42">
        <v>1405</v>
      </c>
      <c r="B2773" s="4" t="s">
        <v>18</v>
      </c>
      <c r="C2773" s="38" t="s">
        <v>324</v>
      </c>
      <c r="D2773" s="4">
        <v>2021</v>
      </c>
      <c r="E2773" s="4" t="s">
        <v>12</v>
      </c>
      <c r="F2773" s="4">
        <v>45</v>
      </c>
      <c r="G2773" s="4">
        <v>30</v>
      </c>
      <c r="H2773" s="4">
        <v>113</v>
      </c>
      <c r="I2773" s="201"/>
      <c r="J2773" s="201"/>
    </row>
    <row r="2774" spans="1:10" s="5" customFormat="1" ht="24" hidden="1" customHeight="1" outlineLevel="1" x14ac:dyDescent="0.25">
      <c r="A2774" s="42">
        <v>1418</v>
      </c>
      <c r="B2774" s="4" t="s">
        <v>18</v>
      </c>
      <c r="C2774" s="38" t="s">
        <v>325</v>
      </c>
      <c r="D2774" s="4">
        <v>2021</v>
      </c>
      <c r="E2774" s="4" t="s">
        <v>12</v>
      </c>
      <c r="F2774" s="4">
        <v>80</v>
      </c>
      <c r="G2774" s="4">
        <v>15</v>
      </c>
      <c r="H2774" s="4">
        <v>155</v>
      </c>
      <c r="I2774" s="201"/>
      <c r="J2774" s="201"/>
    </row>
    <row r="2775" spans="1:10" s="5" customFormat="1" ht="24" hidden="1" customHeight="1" outlineLevel="1" x14ac:dyDescent="0.25">
      <c r="A2775" s="42">
        <v>1430</v>
      </c>
      <c r="B2775" s="4" t="s">
        <v>18</v>
      </c>
      <c r="C2775" s="38" t="s">
        <v>326</v>
      </c>
      <c r="D2775" s="4">
        <v>2021</v>
      </c>
      <c r="E2775" s="4" t="s">
        <v>12</v>
      </c>
      <c r="F2775" s="4">
        <v>246</v>
      </c>
      <c r="G2775" s="4">
        <v>30</v>
      </c>
      <c r="H2775" s="4">
        <v>260</v>
      </c>
      <c r="I2775" s="201"/>
      <c r="J2775" s="201"/>
    </row>
    <row r="2776" spans="1:10" s="5" customFormat="1" ht="24" hidden="1" customHeight="1" outlineLevel="1" x14ac:dyDescent="0.25">
      <c r="A2776" s="42">
        <v>1396</v>
      </c>
      <c r="B2776" s="4" t="s">
        <v>18</v>
      </c>
      <c r="C2776" s="38" t="s">
        <v>327</v>
      </c>
      <c r="D2776" s="4">
        <v>2021</v>
      </c>
      <c r="E2776" s="4" t="s">
        <v>12</v>
      </c>
      <c r="F2776" s="4">
        <v>30</v>
      </c>
      <c r="G2776" s="4">
        <v>15</v>
      </c>
      <c r="H2776" s="4">
        <v>86</v>
      </c>
      <c r="I2776" s="201"/>
      <c r="J2776" s="201"/>
    </row>
    <row r="2777" spans="1:10" s="5" customFormat="1" ht="24" hidden="1" customHeight="1" outlineLevel="1" x14ac:dyDescent="0.25">
      <c r="A2777" s="41">
        <v>9789</v>
      </c>
      <c r="B2777" s="4" t="s">
        <v>18</v>
      </c>
      <c r="C2777" s="38" t="s">
        <v>328</v>
      </c>
      <c r="D2777" s="4">
        <v>2021</v>
      </c>
      <c r="E2777" s="4" t="s">
        <v>12</v>
      </c>
      <c r="F2777" s="4">
        <v>30</v>
      </c>
      <c r="G2777" s="4">
        <v>15</v>
      </c>
      <c r="H2777" s="4">
        <v>75</v>
      </c>
      <c r="I2777" s="201"/>
      <c r="J2777" s="201"/>
    </row>
    <row r="2778" spans="1:10" s="5" customFormat="1" ht="24" hidden="1" customHeight="1" outlineLevel="1" x14ac:dyDescent="0.25">
      <c r="A2778" s="41">
        <v>9263</v>
      </c>
      <c r="B2778" s="4" t="s">
        <v>18</v>
      </c>
      <c r="C2778" s="38" t="s">
        <v>329</v>
      </c>
      <c r="D2778" s="4">
        <v>2021</v>
      </c>
      <c r="E2778" s="4" t="s">
        <v>12</v>
      </c>
      <c r="F2778" s="4">
        <v>180</v>
      </c>
      <c r="G2778" s="4">
        <v>15</v>
      </c>
      <c r="H2778" s="4">
        <v>152</v>
      </c>
      <c r="I2778" s="201"/>
      <c r="J2778" s="201"/>
    </row>
    <row r="2779" spans="1:10" s="5" customFormat="1" ht="24" hidden="1" customHeight="1" outlineLevel="1" x14ac:dyDescent="0.25">
      <c r="A2779" s="41">
        <v>9262</v>
      </c>
      <c r="B2779" s="4" t="s">
        <v>18</v>
      </c>
      <c r="C2779" s="38" t="s">
        <v>330</v>
      </c>
      <c r="D2779" s="4">
        <v>2021</v>
      </c>
      <c r="E2779" s="4" t="s">
        <v>12</v>
      </c>
      <c r="F2779" s="4">
        <v>140</v>
      </c>
      <c r="G2779" s="4">
        <v>40</v>
      </c>
      <c r="H2779" s="4">
        <v>333</v>
      </c>
      <c r="I2779" s="201"/>
      <c r="J2779" s="201"/>
    </row>
    <row r="2780" spans="1:10" s="5" customFormat="1" ht="24" hidden="1" customHeight="1" outlineLevel="1" x14ac:dyDescent="0.25">
      <c r="A2780" s="42">
        <v>792</v>
      </c>
      <c r="B2780" s="4" t="s">
        <v>18</v>
      </c>
      <c r="C2780" s="38" t="s">
        <v>331</v>
      </c>
      <c r="D2780" s="4">
        <v>2021</v>
      </c>
      <c r="E2780" s="4" t="s">
        <v>12</v>
      </c>
      <c r="F2780" s="4">
        <v>217</v>
      </c>
      <c r="G2780" s="4">
        <v>15</v>
      </c>
      <c r="H2780" s="4">
        <v>235</v>
      </c>
      <c r="I2780" s="201"/>
      <c r="J2780" s="201"/>
    </row>
    <row r="2781" spans="1:10" s="5" customFormat="1" ht="24" hidden="1" customHeight="1" outlineLevel="1" x14ac:dyDescent="0.25">
      <c r="A2781" s="41">
        <v>9746</v>
      </c>
      <c r="B2781" s="4" t="s">
        <v>18</v>
      </c>
      <c r="C2781" s="38" t="s">
        <v>332</v>
      </c>
      <c r="D2781" s="4">
        <v>2021</v>
      </c>
      <c r="E2781" s="4" t="s">
        <v>12</v>
      </c>
      <c r="F2781" s="4">
        <v>120</v>
      </c>
      <c r="G2781" s="4">
        <v>15</v>
      </c>
      <c r="H2781" s="4">
        <v>276</v>
      </c>
      <c r="I2781" s="201"/>
      <c r="J2781" s="201"/>
    </row>
    <row r="2782" spans="1:10" s="5" customFormat="1" ht="24" hidden="1" customHeight="1" outlineLevel="1" x14ac:dyDescent="0.25">
      <c r="A2782" s="41">
        <v>9779</v>
      </c>
      <c r="B2782" s="4" t="s">
        <v>18</v>
      </c>
      <c r="C2782" s="38" t="s">
        <v>333</v>
      </c>
      <c r="D2782" s="4">
        <v>2021</v>
      </c>
      <c r="E2782" s="4" t="s">
        <v>12</v>
      </c>
      <c r="F2782" s="4">
        <v>35</v>
      </c>
      <c r="G2782" s="4">
        <v>5</v>
      </c>
      <c r="H2782" s="4">
        <v>53</v>
      </c>
      <c r="I2782" s="201"/>
      <c r="J2782" s="201"/>
    </row>
    <row r="2783" spans="1:10" s="5" customFormat="1" ht="24" hidden="1" customHeight="1" outlineLevel="1" x14ac:dyDescent="0.25">
      <c r="A2783" s="42">
        <v>1332</v>
      </c>
      <c r="B2783" s="4" t="s">
        <v>18</v>
      </c>
      <c r="C2783" s="35" t="s">
        <v>334</v>
      </c>
      <c r="D2783" s="4">
        <v>2021</v>
      </c>
      <c r="E2783" s="4" t="s">
        <v>12</v>
      </c>
      <c r="F2783" s="4">
        <v>25</v>
      </c>
      <c r="G2783" s="4">
        <v>5</v>
      </c>
      <c r="H2783" s="4">
        <v>111</v>
      </c>
      <c r="I2783" s="201"/>
      <c r="J2783" s="201"/>
    </row>
    <row r="2784" spans="1:10" s="5" customFormat="1" ht="24" hidden="1" customHeight="1" outlineLevel="1" x14ac:dyDescent="0.25">
      <c r="A2784" s="42">
        <v>1423</v>
      </c>
      <c r="B2784" s="4" t="s">
        <v>18</v>
      </c>
      <c r="C2784" s="38" t="s">
        <v>335</v>
      </c>
      <c r="D2784" s="4">
        <v>2021</v>
      </c>
      <c r="E2784" s="4" t="s">
        <v>12</v>
      </c>
      <c r="F2784" s="4">
        <v>35</v>
      </c>
      <c r="G2784" s="4">
        <v>15</v>
      </c>
      <c r="H2784" s="4">
        <v>82</v>
      </c>
      <c r="I2784" s="201"/>
      <c r="J2784" s="201"/>
    </row>
    <row r="2785" spans="1:10" s="5" customFormat="1" ht="24" hidden="1" customHeight="1" outlineLevel="1" x14ac:dyDescent="0.25">
      <c r="A2785" s="41">
        <v>9782</v>
      </c>
      <c r="B2785" s="4" t="s">
        <v>18</v>
      </c>
      <c r="C2785" s="38" t="s">
        <v>336</v>
      </c>
      <c r="D2785" s="4">
        <v>2021</v>
      </c>
      <c r="E2785" s="4" t="s">
        <v>12</v>
      </c>
      <c r="F2785" s="4">
        <v>320</v>
      </c>
      <c r="G2785" s="4">
        <v>15</v>
      </c>
      <c r="H2785" s="4">
        <v>428</v>
      </c>
      <c r="I2785" s="201"/>
      <c r="J2785" s="201"/>
    </row>
    <row r="2786" spans="1:10" s="5" customFormat="1" ht="24" hidden="1" customHeight="1" outlineLevel="1" x14ac:dyDescent="0.25">
      <c r="A2786" s="42">
        <v>1267</v>
      </c>
      <c r="B2786" s="4" t="s">
        <v>18</v>
      </c>
      <c r="C2786" s="38" t="s">
        <v>337</v>
      </c>
      <c r="D2786" s="4">
        <v>2021</v>
      </c>
      <c r="E2786" s="4" t="s">
        <v>12</v>
      </c>
      <c r="F2786" s="4">
        <v>16</v>
      </c>
      <c r="G2786" s="4">
        <v>15</v>
      </c>
      <c r="H2786" s="4">
        <v>80</v>
      </c>
      <c r="I2786" s="201"/>
      <c r="J2786" s="201"/>
    </row>
    <row r="2787" spans="1:10" s="5" customFormat="1" ht="24" hidden="1" customHeight="1" outlineLevel="1" x14ac:dyDescent="0.25">
      <c r="A2787" s="41">
        <v>9785</v>
      </c>
      <c r="B2787" s="4" t="s">
        <v>18</v>
      </c>
      <c r="C2787" s="38" t="s">
        <v>338</v>
      </c>
      <c r="D2787" s="4">
        <v>2021</v>
      </c>
      <c r="E2787" s="4" t="s">
        <v>12</v>
      </c>
      <c r="F2787" s="4">
        <v>35</v>
      </c>
      <c r="G2787" s="4">
        <v>15</v>
      </c>
      <c r="H2787" s="4">
        <v>86</v>
      </c>
      <c r="I2787" s="201"/>
      <c r="J2787" s="201"/>
    </row>
    <row r="2788" spans="1:10" s="5" customFormat="1" ht="24" hidden="1" customHeight="1" outlineLevel="1" x14ac:dyDescent="0.25">
      <c r="A2788" s="42">
        <v>830</v>
      </c>
      <c r="B2788" s="4" t="s">
        <v>18</v>
      </c>
      <c r="C2788" s="38" t="s">
        <v>339</v>
      </c>
      <c r="D2788" s="4">
        <v>2021</v>
      </c>
      <c r="E2788" s="4" t="s">
        <v>12</v>
      </c>
      <c r="F2788" s="4">
        <v>6</v>
      </c>
      <c r="G2788" s="4">
        <v>10</v>
      </c>
      <c r="H2788" s="4">
        <v>93</v>
      </c>
      <c r="I2788" s="201"/>
      <c r="J2788" s="201"/>
    </row>
    <row r="2789" spans="1:10" s="5" customFormat="1" ht="24" hidden="1" customHeight="1" outlineLevel="1" x14ac:dyDescent="0.25">
      <c r="A2789" s="41">
        <v>9780</v>
      </c>
      <c r="B2789" s="4" t="s">
        <v>18</v>
      </c>
      <c r="C2789" s="38" t="s">
        <v>340</v>
      </c>
      <c r="D2789" s="4">
        <v>2021</v>
      </c>
      <c r="E2789" s="4" t="s">
        <v>12</v>
      </c>
      <c r="F2789" s="4">
        <v>470</v>
      </c>
      <c r="G2789" s="4">
        <v>15</v>
      </c>
      <c r="H2789" s="4">
        <v>526</v>
      </c>
      <c r="I2789" s="201"/>
      <c r="J2789" s="201"/>
    </row>
    <row r="2790" spans="1:10" s="5" customFormat="1" ht="24" hidden="1" customHeight="1" outlineLevel="1" x14ac:dyDescent="0.25">
      <c r="A2790" s="42">
        <v>1391</v>
      </c>
      <c r="B2790" s="4" t="s">
        <v>18</v>
      </c>
      <c r="C2790" s="38" t="s">
        <v>341</v>
      </c>
      <c r="D2790" s="4">
        <v>2021</v>
      </c>
      <c r="E2790" s="4" t="s">
        <v>12</v>
      </c>
      <c r="F2790" s="4">
        <v>50</v>
      </c>
      <c r="G2790" s="4">
        <v>30</v>
      </c>
      <c r="H2790" s="4">
        <v>85</v>
      </c>
      <c r="I2790" s="201"/>
      <c r="J2790" s="201"/>
    </row>
    <row r="2791" spans="1:10" s="5" customFormat="1" ht="24" hidden="1" customHeight="1" outlineLevel="1" x14ac:dyDescent="0.25">
      <c r="A2791" s="41">
        <v>9568</v>
      </c>
      <c r="B2791" s="4" t="s">
        <v>18</v>
      </c>
      <c r="C2791" s="38" t="s">
        <v>342</v>
      </c>
      <c r="D2791" s="4">
        <v>2021</v>
      </c>
      <c r="E2791" s="4" t="s">
        <v>12</v>
      </c>
      <c r="F2791" s="4">
        <v>103</v>
      </c>
      <c r="G2791" s="4">
        <v>15</v>
      </c>
      <c r="H2791" s="4">
        <v>283</v>
      </c>
      <c r="I2791" s="201"/>
      <c r="J2791" s="201"/>
    </row>
    <row r="2792" spans="1:10" s="5" customFormat="1" ht="24" hidden="1" customHeight="1" outlineLevel="1" x14ac:dyDescent="0.25">
      <c r="A2792" s="41">
        <v>9790</v>
      </c>
      <c r="B2792" s="4" t="s">
        <v>18</v>
      </c>
      <c r="C2792" s="38" t="s">
        <v>343</v>
      </c>
      <c r="D2792" s="4">
        <v>2021</v>
      </c>
      <c r="E2792" s="4" t="s">
        <v>12</v>
      </c>
      <c r="F2792" s="4">
        <v>21</v>
      </c>
      <c r="G2792" s="4">
        <v>5</v>
      </c>
      <c r="H2792" s="4">
        <v>64</v>
      </c>
      <c r="I2792" s="201"/>
      <c r="J2792" s="201"/>
    </row>
    <row r="2793" spans="1:10" s="5" customFormat="1" ht="24" hidden="1" customHeight="1" outlineLevel="1" x14ac:dyDescent="0.25">
      <c r="A2793" s="42">
        <v>835</v>
      </c>
      <c r="B2793" s="4" t="s">
        <v>18</v>
      </c>
      <c r="C2793" s="38" t="s">
        <v>344</v>
      </c>
      <c r="D2793" s="4">
        <v>2021</v>
      </c>
      <c r="E2793" s="4" t="s">
        <v>12</v>
      </c>
      <c r="F2793" s="4">
        <v>76</v>
      </c>
      <c r="G2793" s="4">
        <v>15</v>
      </c>
      <c r="H2793" s="4">
        <v>220</v>
      </c>
      <c r="I2793" s="201"/>
      <c r="J2793" s="201"/>
    </row>
    <row r="2794" spans="1:10" s="5" customFormat="1" ht="24" hidden="1" customHeight="1" outlineLevel="1" x14ac:dyDescent="0.25">
      <c r="A2794" s="41">
        <v>9787</v>
      </c>
      <c r="B2794" s="4" t="s">
        <v>18</v>
      </c>
      <c r="C2794" s="38" t="s">
        <v>345</v>
      </c>
      <c r="D2794" s="4">
        <v>2021</v>
      </c>
      <c r="E2794" s="4" t="s">
        <v>12</v>
      </c>
      <c r="F2794" s="4">
        <v>115</v>
      </c>
      <c r="G2794" s="4">
        <v>15</v>
      </c>
      <c r="H2794" s="4">
        <v>252</v>
      </c>
      <c r="I2794" s="201"/>
      <c r="J2794" s="201"/>
    </row>
    <row r="2795" spans="1:10" s="5" customFormat="1" ht="24" hidden="1" customHeight="1" outlineLevel="1" x14ac:dyDescent="0.25">
      <c r="A2795" s="41">
        <v>9792</v>
      </c>
      <c r="B2795" s="4" t="s">
        <v>18</v>
      </c>
      <c r="C2795" s="38" t="s">
        <v>346</v>
      </c>
      <c r="D2795" s="4">
        <v>2021</v>
      </c>
      <c r="E2795" s="4" t="s">
        <v>12</v>
      </c>
      <c r="F2795" s="4">
        <v>82</v>
      </c>
      <c r="G2795" s="4">
        <v>6</v>
      </c>
      <c r="H2795" s="4">
        <v>169</v>
      </c>
      <c r="I2795" s="201"/>
      <c r="J2795" s="201"/>
    </row>
    <row r="2796" spans="1:10" s="5" customFormat="1" ht="24" hidden="1" customHeight="1" outlineLevel="1" x14ac:dyDescent="0.25">
      <c r="A2796" s="41">
        <v>9769</v>
      </c>
      <c r="B2796" s="4" t="s">
        <v>18</v>
      </c>
      <c r="C2796" s="38" t="s">
        <v>347</v>
      </c>
      <c r="D2796" s="4">
        <v>2021</v>
      </c>
      <c r="E2796" s="4" t="s">
        <v>12</v>
      </c>
      <c r="F2796" s="4">
        <v>30</v>
      </c>
      <c r="G2796" s="4">
        <v>15</v>
      </c>
      <c r="H2796" s="4">
        <v>71</v>
      </c>
      <c r="I2796" s="201"/>
      <c r="J2796" s="201"/>
    </row>
    <row r="2797" spans="1:10" s="5" customFormat="1" ht="24" hidden="1" customHeight="1" outlineLevel="1" x14ac:dyDescent="0.25">
      <c r="A2797" s="41">
        <v>9567</v>
      </c>
      <c r="B2797" s="4" t="s">
        <v>18</v>
      </c>
      <c r="C2797" s="38" t="s">
        <v>348</v>
      </c>
      <c r="D2797" s="4">
        <v>2021</v>
      </c>
      <c r="E2797" s="4" t="s">
        <v>12</v>
      </c>
      <c r="F2797" s="4">
        <v>280</v>
      </c>
      <c r="G2797" s="4">
        <v>15</v>
      </c>
      <c r="H2797" s="4">
        <v>428</v>
      </c>
      <c r="I2797" s="201"/>
      <c r="J2797" s="201"/>
    </row>
    <row r="2798" spans="1:10" s="5" customFormat="1" ht="24" hidden="1" customHeight="1" outlineLevel="1" x14ac:dyDescent="0.25">
      <c r="A2798" s="42">
        <v>3841</v>
      </c>
      <c r="B2798" s="4" t="s">
        <v>18</v>
      </c>
      <c r="C2798" s="38" t="s">
        <v>349</v>
      </c>
      <c r="D2798" s="4">
        <v>2021</v>
      </c>
      <c r="E2798" s="4" t="s">
        <v>12</v>
      </c>
      <c r="F2798" s="4">
        <v>150</v>
      </c>
      <c r="G2798" s="4">
        <v>15</v>
      </c>
      <c r="H2798" s="4">
        <v>245</v>
      </c>
      <c r="I2798" s="201"/>
      <c r="J2798" s="201"/>
    </row>
    <row r="2799" spans="1:10" s="5" customFormat="1" ht="24" hidden="1" customHeight="1" outlineLevel="1" x14ac:dyDescent="0.25">
      <c r="A2799" s="41">
        <v>9781</v>
      </c>
      <c r="B2799" s="4" t="s">
        <v>18</v>
      </c>
      <c r="C2799" s="38" t="s">
        <v>350</v>
      </c>
      <c r="D2799" s="4">
        <v>2021</v>
      </c>
      <c r="E2799" s="4" t="s">
        <v>12</v>
      </c>
      <c r="F2799" s="4">
        <v>70</v>
      </c>
      <c r="G2799" s="4">
        <v>15</v>
      </c>
      <c r="H2799" s="4">
        <v>201</v>
      </c>
      <c r="I2799" s="201"/>
      <c r="J2799" s="201"/>
    </row>
    <row r="2800" spans="1:10" s="5" customFormat="1" ht="24" hidden="1" customHeight="1" outlineLevel="1" x14ac:dyDescent="0.25">
      <c r="A2800" s="41">
        <v>9793</v>
      </c>
      <c r="B2800" s="4" t="s">
        <v>18</v>
      </c>
      <c r="C2800" s="38" t="s">
        <v>351</v>
      </c>
      <c r="D2800" s="4">
        <v>2021</v>
      </c>
      <c r="E2800" s="4" t="s">
        <v>12</v>
      </c>
      <c r="F2800" s="4">
        <v>255</v>
      </c>
      <c r="G2800" s="4">
        <v>15</v>
      </c>
      <c r="H2800" s="4">
        <v>546</v>
      </c>
      <c r="I2800" s="201"/>
      <c r="J2800" s="201"/>
    </row>
    <row r="2801" spans="1:10" s="5" customFormat="1" ht="24" hidden="1" customHeight="1" outlineLevel="1" x14ac:dyDescent="0.25">
      <c r="A2801" s="42">
        <v>1415</v>
      </c>
      <c r="B2801" s="4" t="s">
        <v>18</v>
      </c>
      <c r="C2801" s="38" t="s">
        <v>352</v>
      </c>
      <c r="D2801" s="4">
        <v>2021</v>
      </c>
      <c r="E2801" s="4" t="s">
        <v>12</v>
      </c>
      <c r="F2801" s="4">
        <v>75</v>
      </c>
      <c r="G2801" s="4">
        <v>15</v>
      </c>
      <c r="H2801" s="4">
        <v>134</v>
      </c>
      <c r="I2801" s="201"/>
      <c r="J2801" s="201"/>
    </row>
    <row r="2802" spans="1:10" s="5" customFormat="1" ht="24" hidden="1" customHeight="1" outlineLevel="1" x14ac:dyDescent="0.25">
      <c r="A2802" s="41">
        <v>10384</v>
      </c>
      <c r="B2802" s="4" t="s">
        <v>18</v>
      </c>
      <c r="C2802" s="38" t="s">
        <v>353</v>
      </c>
      <c r="D2802" s="4">
        <v>2021</v>
      </c>
      <c r="E2802" s="4" t="s">
        <v>12</v>
      </c>
      <c r="F2802" s="4">
        <v>6</v>
      </c>
      <c r="G2802" s="4">
        <v>40</v>
      </c>
      <c r="H2802" s="4">
        <v>13</v>
      </c>
      <c r="I2802" s="201"/>
      <c r="J2802" s="201"/>
    </row>
    <row r="2803" spans="1:10" s="5" customFormat="1" ht="24" hidden="1" customHeight="1" outlineLevel="1" x14ac:dyDescent="0.25">
      <c r="A2803" s="42">
        <v>1397</v>
      </c>
      <c r="B2803" s="4" t="s">
        <v>18</v>
      </c>
      <c r="C2803" s="38" t="s">
        <v>354</v>
      </c>
      <c r="D2803" s="4">
        <v>2021</v>
      </c>
      <c r="E2803" s="4" t="s">
        <v>12</v>
      </c>
      <c r="F2803" s="4">
        <v>40</v>
      </c>
      <c r="G2803" s="4">
        <v>15</v>
      </c>
      <c r="H2803" s="4">
        <v>86</v>
      </c>
      <c r="I2803" s="201"/>
      <c r="J2803" s="201"/>
    </row>
    <row r="2804" spans="1:10" s="5" customFormat="1" ht="24" hidden="1" customHeight="1" outlineLevel="1" x14ac:dyDescent="0.25">
      <c r="A2804" s="42">
        <v>1265</v>
      </c>
      <c r="B2804" s="4" t="s">
        <v>18</v>
      </c>
      <c r="C2804" s="38" t="s">
        <v>355</v>
      </c>
      <c r="D2804" s="4">
        <v>2021</v>
      </c>
      <c r="E2804" s="4" t="s">
        <v>12</v>
      </c>
      <c r="F2804" s="4">
        <v>6</v>
      </c>
      <c r="G2804" s="4">
        <v>15</v>
      </c>
      <c r="H2804" s="4">
        <v>54</v>
      </c>
      <c r="I2804" s="201"/>
      <c r="J2804" s="201"/>
    </row>
    <row r="2805" spans="1:10" s="5" customFormat="1" ht="24" hidden="1" customHeight="1" outlineLevel="1" x14ac:dyDescent="0.25">
      <c r="A2805" s="42">
        <v>829</v>
      </c>
      <c r="B2805" s="4" t="s">
        <v>18</v>
      </c>
      <c r="C2805" s="38" t="s">
        <v>356</v>
      </c>
      <c r="D2805" s="4">
        <v>2021</v>
      </c>
      <c r="E2805" s="4" t="s">
        <v>12</v>
      </c>
      <c r="F2805" s="4">
        <v>35</v>
      </c>
      <c r="G2805" s="4">
        <v>15</v>
      </c>
      <c r="H2805" s="4">
        <v>91</v>
      </c>
      <c r="I2805" s="201"/>
      <c r="J2805" s="201"/>
    </row>
    <row r="2806" spans="1:10" s="5" customFormat="1" ht="24" hidden="1" customHeight="1" outlineLevel="1" x14ac:dyDescent="0.25">
      <c r="A2806" s="41">
        <v>9699</v>
      </c>
      <c r="B2806" s="4" t="s">
        <v>18</v>
      </c>
      <c r="C2806" s="38" t="s">
        <v>357</v>
      </c>
      <c r="D2806" s="4">
        <v>2021</v>
      </c>
      <c r="E2806" s="4" t="s">
        <v>12</v>
      </c>
      <c r="F2806" s="4">
        <v>20</v>
      </c>
      <c r="G2806" s="4" t="s">
        <v>358</v>
      </c>
      <c r="H2806" s="4">
        <v>96</v>
      </c>
      <c r="I2806" s="201"/>
      <c r="J2806" s="201"/>
    </row>
    <row r="2807" spans="1:10" s="5" customFormat="1" ht="24" hidden="1" customHeight="1" outlineLevel="1" x14ac:dyDescent="0.25">
      <c r="A2807" s="42">
        <v>3804</v>
      </c>
      <c r="B2807" s="4" t="s">
        <v>18</v>
      </c>
      <c r="C2807" s="38" t="s">
        <v>359</v>
      </c>
      <c r="D2807" s="4">
        <v>2021</v>
      </c>
      <c r="E2807" s="4" t="s">
        <v>12</v>
      </c>
      <c r="F2807" s="4">
        <v>180</v>
      </c>
      <c r="G2807" s="4" t="s">
        <v>358</v>
      </c>
      <c r="H2807" s="4">
        <v>246</v>
      </c>
      <c r="I2807" s="201"/>
      <c r="J2807" s="201"/>
    </row>
    <row r="2808" spans="1:10" s="5" customFormat="1" ht="24" hidden="1" customHeight="1" outlineLevel="1" x14ac:dyDescent="0.25">
      <c r="A2808" s="42">
        <v>1257</v>
      </c>
      <c r="B2808" s="4" t="s">
        <v>18</v>
      </c>
      <c r="C2808" s="38" t="s">
        <v>360</v>
      </c>
      <c r="D2808" s="4">
        <v>2021</v>
      </c>
      <c r="E2808" s="4" t="s">
        <v>12</v>
      </c>
      <c r="F2808" s="4">
        <v>17</v>
      </c>
      <c r="G2808" s="4" t="s">
        <v>107</v>
      </c>
      <c r="H2808" s="4">
        <v>124</v>
      </c>
      <c r="I2808" s="201"/>
      <c r="J2808" s="201"/>
    </row>
    <row r="2809" spans="1:10" s="5" customFormat="1" ht="24" hidden="1" customHeight="1" outlineLevel="1" x14ac:dyDescent="0.25">
      <c r="A2809" s="41">
        <v>9703</v>
      </c>
      <c r="B2809" s="4" t="s">
        <v>18</v>
      </c>
      <c r="C2809" s="38" t="s">
        <v>361</v>
      </c>
      <c r="D2809" s="4">
        <v>2021</v>
      </c>
      <c r="E2809" s="4" t="s">
        <v>12</v>
      </c>
      <c r="F2809" s="4">
        <v>503</v>
      </c>
      <c r="G2809" s="4" t="s">
        <v>362</v>
      </c>
      <c r="H2809" s="4">
        <v>593</v>
      </c>
      <c r="I2809" s="201"/>
      <c r="J2809" s="201"/>
    </row>
    <row r="2810" spans="1:10" s="5" customFormat="1" ht="24" hidden="1" customHeight="1" outlineLevel="1" x14ac:dyDescent="0.25">
      <c r="A2810" s="42">
        <v>700</v>
      </c>
      <c r="B2810" s="4" t="s">
        <v>18</v>
      </c>
      <c r="C2810" s="38" t="s">
        <v>89</v>
      </c>
      <c r="D2810" s="4">
        <v>2021</v>
      </c>
      <c r="E2810" s="4" t="s">
        <v>12</v>
      </c>
      <c r="F2810" s="4">
        <v>20</v>
      </c>
      <c r="G2810" s="4" t="s">
        <v>363</v>
      </c>
      <c r="H2810" s="4">
        <v>67</v>
      </c>
      <c r="I2810" s="201"/>
      <c r="J2810" s="201"/>
    </row>
    <row r="2811" spans="1:10" s="5" customFormat="1" ht="24" hidden="1" customHeight="1" outlineLevel="1" x14ac:dyDescent="0.25">
      <c r="A2811" s="42">
        <v>1221</v>
      </c>
      <c r="B2811" s="4" t="s">
        <v>18</v>
      </c>
      <c r="C2811" s="38" t="s">
        <v>364</v>
      </c>
      <c r="D2811" s="4">
        <v>2021</v>
      </c>
      <c r="E2811" s="4" t="s">
        <v>12</v>
      </c>
      <c r="F2811" s="4">
        <v>112</v>
      </c>
      <c r="G2811" s="4" t="s">
        <v>358</v>
      </c>
      <c r="H2811" s="4">
        <v>137</v>
      </c>
      <c r="I2811" s="201"/>
      <c r="J2811" s="201"/>
    </row>
    <row r="2812" spans="1:10" s="5" customFormat="1" ht="24" hidden="1" customHeight="1" outlineLevel="1" x14ac:dyDescent="0.25">
      <c r="A2812" s="41">
        <v>9720</v>
      </c>
      <c r="B2812" s="4" t="s">
        <v>18</v>
      </c>
      <c r="C2812" s="38" t="s">
        <v>365</v>
      </c>
      <c r="D2812" s="4">
        <v>2021</v>
      </c>
      <c r="E2812" s="4" t="s">
        <v>12</v>
      </c>
      <c r="F2812" s="4">
        <v>38</v>
      </c>
      <c r="G2812" s="4" t="s">
        <v>366</v>
      </c>
      <c r="H2812" s="4">
        <v>76</v>
      </c>
      <c r="I2812" s="201"/>
      <c r="J2812" s="201"/>
    </row>
    <row r="2813" spans="1:10" s="5" customFormat="1" ht="24" hidden="1" customHeight="1" outlineLevel="1" x14ac:dyDescent="0.25">
      <c r="A2813" s="42">
        <v>3817</v>
      </c>
      <c r="B2813" s="4" t="s">
        <v>18</v>
      </c>
      <c r="C2813" s="38" t="s">
        <v>367</v>
      </c>
      <c r="D2813" s="4">
        <v>2021</v>
      </c>
      <c r="E2813" s="4" t="s">
        <v>12</v>
      </c>
      <c r="F2813" s="4">
        <v>657</v>
      </c>
      <c r="G2813" s="4" t="s">
        <v>358</v>
      </c>
      <c r="H2813" s="4">
        <v>816</v>
      </c>
      <c r="I2813" s="201"/>
      <c r="J2813" s="201"/>
    </row>
    <row r="2814" spans="1:10" s="5" customFormat="1" ht="24" hidden="1" customHeight="1" outlineLevel="1" x14ac:dyDescent="0.25">
      <c r="A2814" s="42">
        <v>3810</v>
      </c>
      <c r="B2814" s="4" t="s">
        <v>18</v>
      </c>
      <c r="C2814" s="38" t="s">
        <v>368</v>
      </c>
      <c r="D2814" s="4">
        <v>2021</v>
      </c>
      <c r="E2814" s="4" t="s">
        <v>12</v>
      </c>
      <c r="F2814" s="4">
        <v>70</v>
      </c>
      <c r="G2814" s="4" t="s">
        <v>362</v>
      </c>
      <c r="H2814" s="4">
        <v>142</v>
      </c>
      <c r="I2814" s="201"/>
      <c r="J2814" s="201"/>
    </row>
    <row r="2815" spans="1:10" s="5" customFormat="1" ht="24" hidden="1" customHeight="1" outlineLevel="1" x14ac:dyDescent="0.25">
      <c r="A2815" s="42">
        <v>3807</v>
      </c>
      <c r="B2815" s="4" t="s">
        <v>18</v>
      </c>
      <c r="C2815" s="38" t="s">
        <v>369</v>
      </c>
      <c r="D2815" s="4">
        <v>2021</v>
      </c>
      <c r="E2815" s="4" t="s">
        <v>12</v>
      </c>
      <c r="F2815" s="4">
        <v>40</v>
      </c>
      <c r="G2815" s="4" t="s">
        <v>362</v>
      </c>
      <c r="H2815" s="4">
        <v>132</v>
      </c>
      <c r="I2815" s="201"/>
      <c r="J2815" s="201"/>
    </row>
    <row r="2816" spans="1:10" s="5" customFormat="1" ht="24" hidden="1" customHeight="1" outlineLevel="1" x14ac:dyDescent="0.25">
      <c r="A2816" s="42">
        <v>3824</v>
      </c>
      <c r="B2816" s="4" t="s">
        <v>18</v>
      </c>
      <c r="C2816" s="38" t="s">
        <v>90</v>
      </c>
      <c r="D2816" s="4">
        <v>2021</v>
      </c>
      <c r="E2816" s="4" t="s">
        <v>12</v>
      </c>
      <c r="F2816" s="4">
        <v>18</v>
      </c>
      <c r="G2816" s="4" t="s">
        <v>358</v>
      </c>
      <c r="H2816" s="4">
        <v>110</v>
      </c>
      <c r="I2816" s="201"/>
      <c r="J2816" s="201"/>
    </row>
    <row r="2817" spans="1:10" s="5" customFormat="1" ht="24" hidden="1" customHeight="1" outlineLevel="1" x14ac:dyDescent="0.25">
      <c r="A2817" s="41">
        <v>9704</v>
      </c>
      <c r="B2817" s="4" t="s">
        <v>18</v>
      </c>
      <c r="C2817" s="38" t="s">
        <v>370</v>
      </c>
      <c r="D2817" s="4">
        <v>2021</v>
      </c>
      <c r="E2817" s="4" t="s">
        <v>12</v>
      </c>
      <c r="F2817" s="4">
        <v>321</v>
      </c>
      <c r="G2817" s="4" t="s">
        <v>362</v>
      </c>
      <c r="H2817" s="4">
        <v>331</v>
      </c>
      <c r="I2817" s="201"/>
      <c r="J2817" s="201"/>
    </row>
    <row r="2818" spans="1:10" s="5" customFormat="1" ht="24" hidden="1" customHeight="1" outlineLevel="1" x14ac:dyDescent="0.25">
      <c r="A2818" s="42">
        <v>1224</v>
      </c>
      <c r="B2818" s="4" t="s">
        <v>18</v>
      </c>
      <c r="C2818" s="38" t="s">
        <v>371</v>
      </c>
      <c r="D2818" s="4">
        <v>2021</v>
      </c>
      <c r="E2818" s="4" t="s">
        <v>12</v>
      </c>
      <c r="F2818" s="4">
        <v>280</v>
      </c>
      <c r="G2818" s="4" t="s">
        <v>358</v>
      </c>
      <c r="H2818" s="4">
        <v>165</v>
      </c>
      <c r="I2818" s="201"/>
      <c r="J2818" s="201"/>
    </row>
    <row r="2819" spans="1:10" s="5" customFormat="1" ht="24" hidden="1" customHeight="1" outlineLevel="1" x14ac:dyDescent="0.25">
      <c r="A2819" s="42">
        <v>1204</v>
      </c>
      <c r="B2819" s="4" t="s">
        <v>18</v>
      </c>
      <c r="C2819" s="38" t="s">
        <v>372</v>
      </c>
      <c r="D2819" s="4">
        <v>2021</v>
      </c>
      <c r="E2819" s="4" t="s">
        <v>12</v>
      </c>
      <c r="F2819" s="4">
        <v>244</v>
      </c>
      <c r="G2819" s="4" t="s">
        <v>358</v>
      </c>
      <c r="H2819" s="4">
        <v>474</v>
      </c>
      <c r="I2819" s="201"/>
      <c r="J2819" s="201"/>
    </row>
    <row r="2820" spans="1:10" s="5" customFormat="1" ht="24" hidden="1" customHeight="1" outlineLevel="1" x14ac:dyDescent="0.25">
      <c r="A2820" s="42">
        <v>4</v>
      </c>
      <c r="B2820" s="4" t="s">
        <v>18</v>
      </c>
      <c r="C2820" s="38" t="s">
        <v>373</v>
      </c>
      <c r="D2820" s="4">
        <v>2021</v>
      </c>
      <c r="E2820" s="4" t="s">
        <v>12</v>
      </c>
      <c r="F2820" s="4">
        <v>51</v>
      </c>
      <c r="G2820" s="4" t="s">
        <v>358</v>
      </c>
      <c r="H2820" s="4">
        <v>101</v>
      </c>
      <c r="I2820" s="201"/>
      <c r="J2820" s="201"/>
    </row>
    <row r="2821" spans="1:10" s="5" customFormat="1" ht="24" hidden="1" customHeight="1" outlineLevel="1" x14ac:dyDescent="0.25">
      <c r="A2821" s="42">
        <v>1217</v>
      </c>
      <c r="B2821" s="4" t="s">
        <v>18</v>
      </c>
      <c r="C2821" s="38" t="s">
        <v>374</v>
      </c>
      <c r="D2821" s="4">
        <v>2021</v>
      </c>
      <c r="E2821" s="4" t="s">
        <v>12</v>
      </c>
      <c r="F2821" s="4">
        <v>60</v>
      </c>
      <c r="G2821" s="4" t="s">
        <v>358</v>
      </c>
      <c r="H2821" s="4">
        <v>91</v>
      </c>
      <c r="I2821" s="201"/>
      <c r="J2821" s="201"/>
    </row>
    <row r="2822" spans="1:10" s="5" customFormat="1" ht="24" hidden="1" customHeight="1" outlineLevel="1" x14ac:dyDescent="0.25">
      <c r="A2822" s="41">
        <v>9707</v>
      </c>
      <c r="B2822" s="4" t="s">
        <v>18</v>
      </c>
      <c r="C2822" s="38" t="s">
        <v>375</v>
      </c>
      <c r="D2822" s="4">
        <v>2021</v>
      </c>
      <c r="E2822" s="4" t="s">
        <v>12</v>
      </c>
      <c r="F2822" s="4">
        <v>47</v>
      </c>
      <c r="G2822" s="4" t="s">
        <v>366</v>
      </c>
      <c r="H2822" s="4">
        <v>97</v>
      </c>
      <c r="I2822" s="201"/>
      <c r="J2822" s="201"/>
    </row>
    <row r="2823" spans="1:10" s="5" customFormat="1" ht="24" hidden="1" customHeight="1" outlineLevel="1" x14ac:dyDescent="0.25">
      <c r="A2823" s="42">
        <v>1250</v>
      </c>
      <c r="B2823" s="4" t="s">
        <v>18</v>
      </c>
      <c r="C2823" s="38" t="s">
        <v>91</v>
      </c>
      <c r="D2823" s="4">
        <v>2021</v>
      </c>
      <c r="E2823" s="4" t="s">
        <v>12</v>
      </c>
      <c r="F2823" s="4">
        <v>700</v>
      </c>
      <c r="G2823" s="4" t="s">
        <v>358</v>
      </c>
      <c r="H2823" s="4">
        <v>1009</v>
      </c>
      <c r="I2823" s="201"/>
      <c r="J2823" s="201"/>
    </row>
    <row r="2824" spans="1:10" s="5" customFormat="1" ht="24" hidden="1" customHeight="1" outlineLevel="1" x14ac:dyDescent="0.25">
      <c r="A2824" s="42">
        <v>1245</v>
      </c>
      <c r="B2824" s="4" t="s">
        <v>18</v>
      </c>
      <c r="C2824" s="38" t="s">
        <v>376</v>
      </c>
      <c r="D2824" s="4">
        <v>2021</v>
      </c>
      <c r="E2824" s="4" t="s">
        <v>12</v>
      </c>
      <c r="F2824" s="4">
        <v>270</v>
      </c>
      <c r="G2824" s="4" t="s">
        <v>358</v>
      </c>
      <c r="H2824" s="4">
        <v>366</v>
      </c>
      <c r="I2824" s="201"/>
      <c r="J2824" s="201"/>
    </row>
    <row r="2825" spans="1:10" s="5" customFormat="1" ht="24" hidden="1" customHeight="1" outlineLevel="1" x14ac:dyDescent="0.25">
      <c r="A2825" s="42">
        <v>1247</v>
      </c>
      <c r="B2825" s="4" t="s">
        <v>18</v>
      </c>
      <c r="C2825" s="38" t="s">
        <v>377</v>
      </c>
      <c r="D2825" s="4">
        <v>2021</v>
      </c>
      <c r="E2825" s="4" t="s">
        <v>12</v>
      </c>
      <c r="F2825" s="4">
        <v>167</v>
      </c>
      <c r="G2825" s="4" t="s">
        <v>358</v>
      </c>
      <c r="H2825" s="4">
        <v>293</v>
      </c>
      <c r="I2825" s="201"/>
      <c r="J2825" s="201"/>
    </row>
    <row r="2826" spans="1:10" s="5" customFormat="1" ht="24" hidden="1" customHeight="1" outlineLevel="1" x14ac:dyDescent="0.25">
      <c r="A2826" s="41">
        <v>9093</v>
      </c>
      <c r="B2826" s="4" t="s">
        <v>18</v>
      </c>
      <c r="C2826" s="38" t="s">
        <v>378</v>
      </c>
      <c r="D2826" s="4">
        <v>2021</v>
      </c>
      <c r="E2826" s="4" t="s">
        <v>12</v>
      </c>
      <c r="F2826" s="4">
        <v>440</v>
      </c>
      <c r="G2826" s="4" t="s">
        <v>363</v>
      </c>
      <c r="H2826" s="4">
        <v>271</v>
      </c>
      <c r="I2826" s="201"/>
      <c r="J2826" s="201"/>
    </row>
    <row r="2827" spans="1:10" s="5" customFormat="1" ht="24" hidden="1" customHeight="1" outlineLevel="1" x14ac:dyDescent="0.25">
      <c r="A2827" s="41">
        <v>9710</v>
      </c>
      <c r="B2827" s="4" t="s">
        <v>18</v>
      </c>
      <c r="C2827" s="38" t="s">
        <v>379</v>
      </c>
      <c r="D2827" s="4">
        <v>2021</v>
      </c>
      <c r="E2827" s="4" t="s">
        <v>12</v>
      </c>
      <c r="F2827" s="4">
        <v>318</v>
      </c>
      <c r="G2827" s="4" t="s">
        <v>358</v>
      </c>
      <c r="H2827" s="4">
        <v>482</v>
      </c>
      <c r="I2827" s="201"/>
      <c r="J2827" s="201"/>
    </row>
    <row r="2828" spans="1:10" s="5" customFormat="1" ht="24" hidden="1" customHeight="1" outlineLevel="1" x14ac:dyDescent="0.25">
      <c r="A2828" s="41">
        <v>9728</v>
      </c>
      <c r="B2828" s="4" t="s">
        <v>18</v>
      </c>
      <c r="C2828" s="38" t="s">
        <v>93</v>
      </c>
      <c r="D2828" s="4">
        <v>2021</v>
      </c>
      <c r="E2828" s="4" t="s">
        <v>12</v>
      </c>
      <c r="F2828" s="4">
        <v>15</v>
      </c>
      <c r="G2828" s="4" t="s">
        <v>363</v>
      </c>
      <c r="H2828" s="4">
        <v>89</v>
      </c>
      <c r="I2828" s="201"/>
      <c r="J2828" s="201"/>
    </row>
    <row r="2829" spans="1:10" s="5" customFormat="1" ht="24" hidden="1" customHeight="1" outlineLevel="1" x14ac:dyDescent="0.25">
      <c r="A2829" s="42">
        <v>1228</v>
      </c>
      <c r="B2829" s="4" t="s">
        <v>18</v>
      </c>
      <c r="C2829" s="38" t="s">
        <v>380</v>
      </c>
      <c r="D2829" s="4">
        <v>2021</v>
      </c>
      <c r="E2829" s="4" t="s">
        <v>12</v>
      </c>
      <c r="F2829" s="4">
        <v>477</v>
      </c>
      <c r="G2829" s="4" t="s">
        <v>358</v>
      </c>
      <c r="H2829" s="4">
        <v>504</v>
      </c>
      <c r="I2829" s="201"/>
      <c r="J2829" s="201"/>
    </row>
    <row r="2830" spans="1:10" s="5" customFormat="1" ht="24" hidden="1" customHeight="1" outlineLevel="1" x14ac:dyDescent="0.25">
      <c r="A2830" s="41">
        <v>9727</v>
      </c>
      <c r="B2830" s="4" t="s">
        <v>18</v>
      </c>
      <c r="C2830" s="38" t="s">
        <v>95</v>
      </c>
      <c r="D2830" s="4">
        <v>2021</v>
      </c>
      <c r="E2830" s="4" t="s">
        <v>12</v>
      </c>
      <c r="F2830" s="4">
        <v>5</v>
      </c>
      <c r="G2830" s="4">
        <v>45</v>
      </c>
      <c r="H2830" s="4">
        <v>51</v>
      </c>
      <c r="I2830" s="201"/>
      <c r="J2830" s="201"/>
    </row>
    <row r="2831" spans="1:10" s="5" customFormat="1" ht="24" hidden="1" customHeight="1" outlineLevel="1" x14ac:dyDescent="0.25">
      <c r="A2831" s="41">
        <v>9718</v>
      </c>
      <c r="B2831" s="4" t="s">
        <v>18</v>
      </c>
      <c r="C2831" s="38" t="s">
        <v>381</v>
      </c>
      <c r="D2831" s="4">
        <v>2021</v>
      </c>
      <c r="E2831" s="4" t="s">
        <v>12</v>
      </c>
      <c r="F2831" s="4">
        <v>99</v>
      </c>
      <c r="G2831" s="4" t="s">
        <v>366</v>
      </c>
      <c r="H2831" s="4">
        <v>215</v>
      </c>
      <c r="I2831" s="201"/>
      <c r="J2831" s="201"/>
    </row>
    <row r="2832" spans="1:10" s="5" customFormat="1" ht="24" hidden="1" customHeight="1" outlineLevel="1" x14ac:dyDescent="0.25">
      <c r="A2832" s="42">
        <v>3811</v>
      </c>
      <c r="B2832" s="4" t="s">
        <v>18</v>
      </c>
      <c r="C2832" s="38" t="s">
        <v>382</v>
      </c>
      <c r="D2832" s="4">
        <v>2021</v>
      </c>
      <c r="E2832" s="4" t="s">
        <v>12</v>
      </c>
      <c r="F2832" s="4">
        <v>309</v>
      </c>
      <c r="G2832" s="4" t="s">
        <v>358</v>
      </c>
      <c r="H2832" s="4">
        <v>504</v>
      </c>
      <c r="I2832" s="201"/>
      <c r="J2832" s="201"/>
    </row>
    <row r="2833" spans="1:10" s="5" customFormat="1" ht="24" hidden="1" customHeight="1" outlineLevel="1" x14ac:dyDescent="0.25">
      <c r="A2833" s="42">
        <v>3826</v>
      </c>
      <c r="B2833" s="4" t="s">
        <v>18</v>
      </c>
      <c r="C2833" s="38" t="s">
        <v>383</v>
      </c>
      <c r="D2833" s="4">
        <v>2021</v>
      </c>
      <c r="E2833" s="4" t="s">
        <v>12</v>
      </c>
      <c r="F2833" s="4">
        <v>25</v>
      </c>
      <c r="G2833" s="4" t="s">
        <v>358</v>
      </c>
      <c r="H2833" s="4">
        <v>102</v>
      </c>
      <c r="I2833" s="201"/>
      <c r="J2833" s="201"/>
    </row>
    <row r="2834" spans="1:10" s="5" customFormat="1" ht="24" hidden="1" customHeight="1" outlineLevel="1" x14ac:dyDescent="0.25">
      <c r="A2834" s="42">
        <v>1281</v>
      </c>
      <c r="B2834" s="4" t="s">
        <v>18</v>
      </c>
      <c r="C2834" s="38" t="s">
        <v>96</v>
      </c>
      <c r="D2834" s="4">
        <v>2021</v>
      </c>
      <c r="E2834" s="4" t="s">
        <v>12</v>
      </c>
      <c r="F2834" s="4">
        <v>32</v>
      </c>
      <c r="G2834" s="4" t="s">
        <v>384</v>
      </c>
      <c r="H2834" s="4">
        <v>107</v>
      </c>
      <c r="I2834" s="201"/>
      <c r="J2834" s="201"/>
    </row>
    <row r="2835" spans="1:10" s="5" customFormat="1" ht="24" hidden="1" customHeight="1" outlineLevel="1" x14ac:dyDescent="0.25">
      <c r="A2835" s="41">
        <v>9705</v>
      </c>
      <c r="B2835" s="4" t="s">
        <v>18</v>
      </c>
      <c r="C2835" s="38" t="s">
        <v>385</v>
      </c>
      <c r="D2835" s="4">
        <v>2021</v>
      </c>
      <c r="E2835" s="4" t="s">
        <v>12</v>
      </c>
      <c r="F2835" s="4">
        <v>139</v>
      </c>
      <c r="G2835" s="4" t="s">
        <v>366</v>
      </c>
      <c r="H2835" s="4">
        <v>110</v>
      </c>
      <c r="I2835" s="201"/>
      <c r="J2835" s="201"/>
    </row>
    <row r="2836" spans="1:10" s="5" customFormat="1" ht="24" hidden="1" customHeight="1" outlineLevel="1" x14ac:dyDescent="0.25">
      <c r="A2836" s="42">
        <v>1242</v>
      </c>
      <c r="B2836" s="4" t="s">
        <v>18</v>
      </c>
      <c r="C2836" s="38" t="s">
        <v>386</v>
      </c>
      <c r="D2836" s="4">
        <v>2021</v>
      </c>
      <c r="E2836" s="4" t="s">
        <v>12</v>
      </c>
      <c r="F2836" s="4">
        <v>40</v>
      </c>
      <c r="G2836" s="4" t="s">
        <v>358</v>
      </c>
      <c r="H2836" s="4">
        <v>74</v>
      </c>
      <c r="I2836" s="201"/>
      <c r="J2836" s="201"/>
    </row>
    <row r="2837" spans="1:10" s="5" customFormat="1" ht="24" hidden="1" customHeight="1" outlineLevel="1" x14ac:dyDescent="0.25">
      <c r="A2837" s="42">
        <v>1197</v>
      </c>
      <c r="B2837" s="4" t="s">
        <v>18</v>
      </c>
      <c r="C2837" s="38" t="s">
        <v>387</v>
      </c>
      <c r="D2837" s="4">
        <v>2021</v>
      </c>
      <c r="E2837" s="4" t="s">
        <v>12</v>
      </c>
      <c r="F2837" s="4">
        <v>1326</v>
      </c>
      <c r="G2837" s="4" t="s">
        <v>358</v>
      </c>
      <c r="H2837" s="4">
        <v>1579</v>
      </c>
      <c r="I2837" s="201"/>
      <c r="J2837" s="201"/>
    </row>
    <row r="2838" spans="1:10" s="5" customFormat="1" ht="24" hidden="1" customHeight="1" outlineLevel="1" x14ac:dyDescent="0.25">
      <c r="A2838" s="41">
        <v>9706</v>
      </c>
      <c r="B2838" s="4" t="s">
        <v>18</v>
      </c>
      <c r="C2838" s="38" t="s">
        <v>388</v>
      </c>
      <c r="D2838" s="4">
        <v>2021</v>
      </c>
      <c r="E2838" s="4" t="s">
        <v>12</v>
      </c>
      <c r="F2838" s="4">
        <v>586</v>
      </c>
      <c r="G2838" s="4" t="s">
        <v>358</v>
      </c>
      <c r="H2838" s="4">
        <v>930</v>
      </c>
      <c r="I2838" s="201"/>
      <c r="J2838" s="201"/>
    </row>
    <row r="2839" spans="1:10" s="5" customFormat="1" ht="24" hidden="1" customHeight="1" outlineLevel="1" x14ac:dyDescent="0.25">
      <c r="A2839" s="42">
        <v>1259</v>
      </c>
      <c r="B2839" s="4" t="s">
        <v>18</v>
      </c>
      <c r="C2839" s="38" t="s">
        <v>389</v>
      </c>
      <c r="D2839" s="4">
        <v>2021</v>
      </c>
      <c r="E2839" s="4" t="s">
        <v>12</v>
      </c>
      <c r="F2839" s="4">
        <v>292</v>
      </c>
      <c r="G2839" s="4">
        <v>30</v>
      </c>
      <c r="H2839" s="4">
        <v>396</v>
      </c>
      <c r="I2839" s="201"/>
      <c r="J2839" s="201"/>
    </row>
    <row r="2840" spans="1:10" s="5" customFormat="1" ht="24" hidden="1" customHeight="1" outlineLevel="1" x14ac:dyDescent="0.25">
      <c r="A2840" s="42">
        <v>1246</v>
      </c>
      <c r="B2840" s="4" t="s">
        <v>18</v>
      </c>
      <c r="C2840" s="38" t="s">
        <v>390</v>
      </c>
      <c r="D2840" s="4">
        <v>2021</v>
      </c>
      <c r="E2840" s="4" t="s">
        <v>12</v>
      </c>
      <c r="F2840" s="4">
        <v>140</v>
      </c>
      <c r="G2840" s="4" t="s">
        <v>358</v>
      </c>
      <c r="H2840" s="4">
        <v>221</v>
      </c>
      <c r="I2840" s="201"/>
      <c r="J2840" s="201"/>
    </row>
    <row r="2841" spans="1:10" s="5" customFormat="1" ht="24" hidden="1" customHeight="1" outlineLevel="1" x14ac:dyDescent="0.25">
      <c r="A2841" s="42">
        <v>1262</v>
      </c>
      <c r="B2841" s="4" t="s">
        <v>18</v>
      </c>
      <c r="C2841" s="38" t="s">
        <v>391</v>
      </c>
      <c r="D2841" s="4">
        <v>2021</v>
      </c>
      <c r="E2841" s="4" t="s">
        <v>12</v>
      </c>
      <c r="F2841" s="4">
        <v>178</v>
      </c>
      <c r="G2841" s="4">
        <v>30</v>
      </c>
      <c r="H2841" s="4">
        <v>308</v>
      </c>
      <c r="I2841" s="201"/>
      <c r="J2841" s="201"/>
    </row>
    <row r="2842" spans="1:10" s="5" customFormat="1" ht="24" hidden="1" customHeight="1" outlineLevel="1" x14ac:dyDescent="0.25">
      <c r="A2842" s="42">
        <v>1229</v>
      </c>
      <c r="B2842" s="4" t="s">
        <v>18</v>
      </c>
      <c r="C2842" s="38" t="s">
        <v>392</v>
      </c>
      <c r="D2842" s="4">
        <v>2021</v>
      </c>
      <c r="E2842" s="4" t="s">
        <v>12</v>
      </c>
      <c r="F2842" s="4">
        <v>611</v>
      </c>
      <c r="G2842" s="4" t="s">
        <v>358</v>
      </c>
      <c r="H2842" s="4">
        <v>837</v>
      </c>
      <c r="I2842" s="201"/>
      <c r="J2842" s="201"/>
    </row>
    <row r="2843" spans="1:10" s="5" customFormat="1" ht="24" hidden="1" customHeight="1" outlineLevel="1" x14ac:dyDescent="0.25">
      <c r="A2843" s="42">
        <v>3825</v>
      </c>
      <c r="B2843" s="4" t="s">
        <v>18</v>
      </c>
      <c r="C2843" s="38" t="s">
        <v>98</v>
      </c>
      <c r="D2843" s="4">
        <v>2021</v>
      </c>
      <c r="E2843" s="4" t="s">
        <v>12</v>
      </c>
      <c r="F2843" s="4">
        <v>15</v>
      </c>
      <c r="G2843" s="4" t="s">
        <v>393</v>
      </c>
      <c r="H2843" s="4">
        <v>43</v>
      </c>
      <c r="I2843" s="201"/>
      <c r="J2843" s="201"/>
    </row>
    <row r="2844" spans="1:10" s="5" customFormat="1" ht="24" hidden="1" customHeight="1" outlineLevel="1" x14ac:dyDescent="0.25">
      <c r="A2844" s="42">
        <v>1213</v>
      </c>
      <c r="B2844" s="4" t="s">
        <v>18</v>
      </c>
      <c r="C2844" s="38" t="s">
        <v>394</v>
      </c>
      <c r="D2844" s="4">
        <v>2021</v>
      </c>
      <c r="E2844" s="4" t="s">
        <v>12</v>
      </c>
      <c r="F2844" s="4">
        <v>35</v>
      </c>
      <c r="G2844" s="4" t="s">
        <v>358</v>
      </c>
      <c r="H2844" s="4">
        <v>67</v>
      </c>
      <c r="I2844" s="201"/>
      <c r="J2844" s="201"/>
    </row>
    <row r="2845" spans="1:10" s="5" customFormat="1" ht="24" hidden="1" customHeight="1" outlineLevel="1" x14ac:dyDescent="0.25">
      <c r="A2845" s="42">
        <v>1216</v>
      </c>
      <c r="B2845" s="4" t="s">
        <v>18</v>
      </c>
      <c r="C2845" s="38" t="s">
        <v>395</v>
      </c>
      <c r="D2845" s="4">
        <v>2021</v>
      </c>
      <c r="E2845" s="4" t="s">
        <v>12</v>
      </c>
      <c r="F2845" s="4">
        <v>100</v>
      </c>
      <c r="G2845" s="4" t="s">
        <v>358</v>
      </c>
      <c r="H2845" s="4">
        <v>130</v>
      </c>
      <c r="I2845" s="201"/>
      <c r="J2845" s="201"/>
    </row>
    <row r="2846" spans="1:10" s="5" customFormat="1" ht="24" hidden="1" customHeight="1" outlineLevel="1" x14ac:dyDescent="0.25">
      <c r="A2846" s="41">
        <v>9712</v>
      </c>
      <c r="B2846" s="4" t="s">
        <v>18</v>
      </c>
      <c r="C2846" s="38" t="s">
        <v>396</v>
      </c>
      <c r="D2846" s="4">
        <v>2021</v>
      </c>
      <c r="E2846" s="4" t="s">
        <v>12</v>
      </c>
      <c r="F2846" s="4">
        <v>301</v>
      </c>
      <c r="G2846" s="4" t="s">
        <v>358</v>
      </c>
      <c r="H2846" s="4">
        <v>531</v>
      </c>
      <c r="I2846" s="201"/>
      <c r="J2846" s="201"/>
    </row>
    <row r="2847" spans="1:10" s="5" customFormat="1" ht="24" hidden="1" customHeight="1" outlineLevel="1" x14ac:dyDescent="0.25">
      <c r="A2847" s="42">
        <v>1385</v>
      </c>
      <c r="B2847" s="4" t="s">
        <v>18</v>
      </c>
      <c r="C2847" s="38" t="s">
        <v>397</v>
      </c>
      <c r="D2847" s="4">
        <v>2021</v>
      </c>
      <c r="E2847" s="4" t="s">
        <v>12</v>
      </c>
      <c r="F2847" s="4">
        <v>210</v>
      </c>
      <c r="G2847" s="4" t="s">
        <v>358</v>
      </c>
      <c r="H2847" s="4">
        <v>82</v>
      </c>
      <c r="I2847" s="201"/>
      <c r="J2847" s="201"/>
    </row>
    <row r="2848" spans="1:10" s="5" customFormat="1" ht="24" hidden="1" customHeight="1" outlineLevel="1" x14ac:dyDescent="0.25">
      <c r="A2848" s="42">
        <v>3808</v>
      </c>
      <c r="B2848" s="4" t="s">
        <v>18</v>
      </c>
      <c r="C2848" s="38" t="s">
        <v>398</v>
      </c>
      <c r="D2848" s="4">
        <v>2021</v>
      </c>
      <c r="E2848" s="4" t="s">
        <v>12</v>
      </c>
      <c r="F2848" s="4">
        <v>303</v>
      </c>
      <c r="G2848" s="4" t="s">
        <v>358</v>
      </c>
      <c r="H2848" s="4">
        <v>391</v>
      </c>
      <c r="I2848" s="201"/>
      <c r="J2848" s="201"/>
    </row>
    <row r="2849" spans="1:10" s="5" customFormat="1" ht="24" hidden="1" customHeight="1" outlineLevel="1" x14ac:dyDescent="0.25">
      <c r="A2849" s="42">
        <v>1234</v>
      </c>
      <c r="B2849" s="4" t="s">
        <v>18</v>
      </c>
      <c r="C2849" s="38" t="s">
        <v>399</v>
      </c>
      <c r="D2849" s="4">
        <v>2021</v>
      </c>
      <c r="E2849" s="4" t="s">
        <v>12</v>
      </c>
      <c r="F2849" s="4">
        <v>100</v>
      </c>
      <c r="G2849" s="4" t="s">
        <v>400</v>
      </c>
      <c r="H2849" s="4">
        <v>157</v>
      </c>
      <c r="I2849" s="201"/>
      <c r="J2849" s="201"/>
    </row>
    <row r="2850" spans="1:10" s="5" customFormat="1" ht="24" hidden="1" customHeight="1" outlineLevel="1" x14ac:dyDescent="0.25">
      <c r="A2850" s="41">
        <v>9689</v>
      </c>
      <c r="B2850" s="4" t="s">
        <v>18</v>
      </c>
      <c r="C2850" s="38" t="s">
        <v>401</v>
      </c>
      <c r="D2850" s="4">
        <v>2021</v>
      </c>
      <c r="E2850" s="4" t="s">
        <v>12</v>
      </c>
      <c r="F2850" s="4">
        <v>20</v>
      </c>
      <c r="G2850" s="4" t="s">
        <v>366</v>
      </c>
      <c r="H2850" s="4">
        <v>66</v>
      </c>
      <c r="I2850" s="201"/>
      <c r="J2850" s="201"/>
    </row>
    <row r="2851" spans="1:10" s="5" customFormat="1" ht="24" hidden="1" customHeight="1" outlineLevel="1" x14ac:dyDescent="0.25">
      <c r="A2851" s="41">
        <v>9694</v>
      </c>
      <c r="B2851" s="4" t="s">
        <v>18</v>
      </c>
      <c r="C2851" s="38" t="s">
        <v>402</v>
      </c>
      <c r="D2851" s="4">
        <v>2021</v>
      </c>
      <c r="E2851" s="4" t="s">
        <v>12</v>
      </c>
      <c r="F2851" s="4">
        <v>156</v>
      </c>
      <c r="G2851" s="4" t="s">
        <v>358</v>
      </c>
      <c r="H2851" s="4">
        <v>129</v>
      </c>
      <c r="I2851" s="201"/>
      <c r="J2851" s="201"/>
    </row>
    <row r="2852" spans="1:10" s="5" customFormat="1" ht="24" hidden="1" customHeight="1" outlineLevel="1" x14ac:dyDescent="0.25">
      <c r="A2852" s="42">
        <v>1210</v>
      </c>
      <c r="B2852" s="4" t="s">
        <v>18</v>
      </c>
      <c r="C2852" s="38" t="s">
        <v>403</v>
      </c>
      <c r="D2852" s="4">
        <v>2021</v>
      </c>
      <c r="E2852" s="4" t="s">
        <v>12</v>
      </c>
      <c r="F2852" s="4">
        <v>247</v>
      </c>
      <c r="G2852" s="4" t="s">
        <v>358</v>
      </c>
      <c r="H2852" s="4">
        <v>286</v>
      </c>
      <c r="I2852" s="201"/>
      <c r="J2852" s="201"/>
    </row>
    <row r="2853" spans="1:10" s="5" customFormat="1" ht="24" hidden="1" customHeight="1" outlineLevel="1" x14ac:dyDescent="0.25">
      <c r="A2853" s="41">
        <v>9776</v>
      </c>
      <c r="B2853" s="4" t="s">
        <v>18</v>
      </c>
      <c r="C2853" s="38" t="s">
        <v>404</v>
      </c>
      <c r="D2853" s="4">
        <v>2021</v>
      </c>
      <c r="E2853" s="4" t="s">
        <v>12</v>
      </c>
      <c r="F2853" s="4">
        <v>17</v>
      </c>
      <c r="G2853" s="4" t="s">
        <v>358</v>
      </c>
      <c r="H2853" s="4">
        <v>69</v>
      </c>
      <c r="I2853" s="201"/>
      <c r="J2853" s="201"/>
    </row>
    <row r="2854" spans="1:10" s="5" customFormat="1" ht="24" hidden="1" customHeight="1" outlineLevel="1" x14ac:dyDescent="0.25">
      <c r="A2854" s="41">
        <v>9702</v>
      </c>
      <c r="B2854" s="4" t="s">
        <v>18</v>
      </c>
      <c r="C2854" s="38" t="s">
        <v>405</v>
      </c>
      <c r="D2854" s="4">
        <v>2021</v>
      </c>
      <c r="E2854" s="4" t="s">
        <v>12</v>
      </c>
      <c r="F2854" s="4">
        <v>50</v>
      </c>
      <c r="G2854" s="4" t="s">
        <v>358</v>
      </c>
      <c r="H2854" s="4">
        <v>94</v>
      </c>
      <c r="I2854" s="201"/>
      <c r="J2854" s="201"/>
    </row>
    <row r="2855" spans="1:10" s="5" customFormat="1" ht="24" hidden="1" customHeight="1" outlineLevel="1" x14ac:dyDescent="0.25">
      <c r="A2855" s="41">
        <v>9719</v>
      </c>
      <c r="B2855" s="4" t="s">
        <v>18</v>
      </c>
      <c r="C2855" s="38" t="s">
        <v>406</v>
      </c>
      <c r="D2855" s="4">
        <v>2021</v>
      </c>
      <c r="E2855" s="4" t="s">
        <v>12</v>
      </c>
      <c r="F2855" s="4">
        <v>116</v>
      </c>
      <c r="G2855" s="4" t="s">
        <v>358</v>
      </c>
      <c r="H2855" s="4">
        <v>153</v>
      </c>
      <c r="I2855" s="201"/>
      <c r="J2855" s="201"/>
    </row>
    <row r="2856" spans="1:10" s="5" customFormat="1" ht="24" hidden="1" customHeight="1" outlineLevel="1" x14ac:dyDescent="0.25">
      <c r="A2856" s="42">
        <v>1239</v>
      </c>
      <c r="B2856" s="4" t="s">
        <v>18</v>
      </c>
      <c r="C2856" s="38" t="s">
        <v>407</v>
      </c>
      <c r="D2856" s="4">
        <v>2021</v>
      </c>
      <c r="E2856" s="4" t="s">
        <v>12</v>
      </c>
      <c r="F2856" s="4">
        <v>241</v>
      </c>
      <c r="G2856" s="4" t="s">
        <v>358</v>
      </c>
      <c r="H2856" s="4">
        <v>391</v>
      </c>
      <c r="I2856" s="201"/>
      <c r="J2856" s="201"/>
    </row>
    <row r="2857" spans="1:10" s="5" customFormat="1" ht="24" hidden="1" customHeight="1" outlineLevel="1" x14ac:dyDescent="0.25">
      <c r="A2857" s="42">
        <v>1261</v>
      </c>
      <c r="B2857" s="4" t="s">
        <v>18</v>
      </c>
      <c r="C2857" s="38" t="s">
        <v>100</v>
      </c>
      <c r="D2857" s="4">
        <v>2021</v>
      </c>
      <c r="E2857" s="4" t="s">
        <v>12</v>
      </c>
      <c r="F2857" s="4">
        <v>65</v>
      </c>
      <c r="G2857" s="4" t="s">
        <v>358</v>
      </c>
      <c r="H2857" s="4">
        <v>96</v>
      </c>
      <c r="I2857" s="201"/>
      <c r="J2857" s="201"/>
    </row>
    <row r="2858" spans="1:10" s="5" customFormat="1" ht="24" hidden="1" customHeight="1" outlineLevel="1" x14ac:dyDescent="0.25">
      <c r="A2858" s="42">
        <v>1198</v>
      </c>
      <c r="B2858" s="4" t="s">
        <v>18</v>
      </c>
      <c r="C2858" s="38" t="s">
        <v>408</v>
      </c>
      <c r="D2858" s="4">
        <v>2021</v>
      </c>
      <c r="E2858" s="4" t="s">
        <v>12</v>
      </c>
      <c r="F2858" s="4">
        <v>205</v>
      </c>
      <c r="G2858" s="4" t="s">
        <v>358</v>
      </c>
      <c r="H2858" s="4">
        <v>391</v>
      </c>
      <c r="I2858" s="201"/>
      <c r="J2858" s="201"/>
    </row>
    <row r="2859" spans="1:10" s="5" customFormat="1" ht="24" hidden="1" customHeight="1" outlineLevel="1" x14ac:dyDescent="0.25">
      <c r="A2859" s="42">
        <v>3829</v>
      </c>
      <c r="B2859" s="4" t="s">
        <v>18</v>
      </c>
      <c r="C2859" s="38" t="s">
        <v>102</v>
      </c>
      <c r="D2859" s="4">
        <v>2021</v>
      </c>
      <c r="E2859" s="4" t="s">
        <v>12</v>
      </c>
      <c r="F2859" s="4">
        <v>15</v>
      </c>
      <c r="G2859" s="4">
        <v>40</v>
      </c>
      <c r="H2859" s="4">
        <v>108</v>
      </c>
      <c r="I2859" s="201"/>
      <c r="J2859" s="201"/>
    </row>
    <row r="2860" spans="1:10" s="5" customFormat="1" ht="24" hidden="1" customHeight="1" outlineLevel="1" x14ac:dyDescent="0.25">
      <c r="A2860" s="41">
        <v>9800</v>
      </c>
      <c r="B2860" s="4" t="s">
        <v>18</v>
      </c>
      <c r="C2860" s="38" t="s">
        <v>409</v>
      </c>
      <c r="D2860" s="4">
        <v>2021</v>
      </c>
      <c r="E2860" s="4" t="s">
        <v>12</v>
      </c>
      <c r="F2860" s="4">
        <v>256</v>
      </c>
      <c r="G2860" s="4" t="s">
        <v>358</v>
      </c>
      <c r="H2860" s="4">
        <v>350</v>
      </c>
      <c r="I2860" s="201"/>
      <c r="J2860" s="201"/>
    </row>
    <row r="2861" spans="1:10" s="5" customFormat="1" ht="24" hidden="1" customHeight="1" outlineLevel="1" x14ac:dyDescent="0.25">
      <c r="A2861" s="41">
        <v>9725</v>
      </c>
      <c r="B2861" s="4" t="s">
        <v>18</v>
      </c>
      <c r="C2861" s="38" t="s">
        <v>105</v>
      </c>
      <c r="D2861" s="4">
        <v>2021</v>
      </c>
      <c r="E2861" s="4" t="s">
        <v>12</v>
      </c>
      <c r="F2861" s="4">
        <v>584</v>
      </c>
      <c r="G2861" s="4" t="s">
        <v>358</v>
      </c>
      <c r="H2861" s="4">
        <v>734</v>
      </c>
      <c r="I2861" s="201"/>
      <c r="J2861" s="201"/>
    </row>
    <row r="2862" spans="1:10" s="5" customFormat="1" ht="24" hidden="1" customHeight="1" outlineLevel="1" x14ac:dyDescent="0.25">
      <c r="A2862" s="42">
        <v>1227</v>
      </c>
      <c r="B2862" s="4" t="s">
        <v>18</v>
      </c>
      <c r="C2862" s="38" t="s">
        <v>410</v>
      </c>
      <c r="D2862" s="4">
        <v>2021</v>
      </c>
      <c r="E2862" s="4" t="s">
        <v>12</v>
      </c>
      <c r="F2862" s="4">
        <v>380</v>
      </c>
      <c r="G2862" s="4" t="s">
        <v>358</v>
      </c>
      <c r="H2862" s="4">
        <v>474</v>
      </c>
      <c r="I2862" s="201"/>
      <c r="J2862" s="201"/>
    </row>
    <row r="2863" spans="1:10" s="5" customFormat="1" ht="24" hidden="1" customHeight="1" outlineLevel="1" x14ac:dyDescent="0.25">
      <c r="A2863" s="41">
        <v>9697</v>
      </c>
      <c r="B2863" s="4" t="s">
        <v>18</v>
      </c>
      <c r="C2863" s="38" t="s">
        <v>411</v>
      </c>
      <c r="D2863" s="4">
        <v>2021</v>
      </c>
      <c r="E2863" s="4" t="s">
        <v>12</v>
      </c>
      <c r="F2863" s="4">
        <v>225</v>
      </c>
      <c r="G2863" s="4" t="s">
        <v>358</v>
      </c>
      <c r="H2863" s="4">
        <v>408</v>
      </c>
      <c r="I2863" s="201"/>
      <c r="J2863" s="201"/>
    </row>
    <row r="2864" spans="1:10" s="5" customFormat="1" ht="24" hidden="1" customHeight="1" outlineLevel="1" x14ac:dyDescent="0.25">
      <c r="A2864" s="41">
        <v>9700</v>
      </c>
      <c r="B2864" s="4" t="s">
        <v>18</v>
      </c>
      <c r="C2864" s="38" t="s">
        <v>412</v>
      </c>
      <c r="D2864" s="4">
        <v>2021</v>
      </c>
      <c r="E2864" s="4" t="s">
        <v>12</v>
      </c>
      <c r="F2864" s="4">
        <v>224</v>
      </c>
      <c r="G2864" s="4" t="s">
        <v>358</v>
      </c>
      <c r="H2864" s="4">
        <v>497</v>
      </c>
      <c r="I2864" s="201"/>
      <c r="J2864" s="201"/>
    </row>
    <row r="2865" spans="1:10" s="5" customFormat="1" ht="24" hidden="1" customHeight="1" outlineLevel="1" x14ac:dyDescent="0.25">
      <c r="A2865" s="41">
        <v>9722</v>
      </c>
      <c r="B2865" s="4" t="s">
        <v>18</v>
      </c>
      <c r="C2865" s="38" t="s">
        <v>106</v>
      </c>
      <c r="D2865" s="4">
        <v>2021</v>
      </c>
      <c r="E2865" s="4" t="s">
        <v>12</v>
      </c>
      <c r="F2865" s="4">
        <v>5</v>
      </c>
      <c r="G2865" s="4" t="s">
        <v>107</v>
      </c>
      <c r="H2865" s="4">
        <v>82</v>
      </c>
      <c r="I2865" s="201"/>
      <c r="J2865" s="201"/>
    </row>
    <row r="2866" spans="1:10" s="5" customFormat="1" ht="24" hidden="1" customHeight="1" outlineLevel="1" x14ac:dyDescent="0.25">
      <c r="A2866" s="41">
        <v>9094</v>
      </c>
      <c r="B2866" s="4" t="s">
        <v>18</v>
      </c>
      <c r="C2866" s="38" t="s">
        <v>108</v>
      </c>
      <c r="D2866" s="4">
        <v>2021</v>
      </c>
      <c r="E2866" s="4" t="s">
        <v>12</v>
      </c>
      <c r="F2866" s="4">
        <v>5</v>
      </c>
      <c r="G2866" s="4" t="s">
        <v>109</v>
      </c>
      <c r="H2866" s="4">
        <v>70</v>
      </c>
      <c r="I2866" s="201"/>
      <c r="J2866" s="201"/>
    </row>
    <row r="2867" spans="1:10" s="5" customFormat="1" ht="24" hidden="1" customHeight="1" outlineLevel="1" x14ac:dyDescent="0.25">
      <c r="A2867" s="41">
        <v>9709</v>
      </c>
      <c r="B2867" s="4" t="s">
        <v>18</v>
      </c>
      <c r="C2867" s="38" t="s">
        <v>413</v>
      </c>
      <c r="D2867" s="4">
        <v>2021</v>
      </c>
      <c r="E2867" s="4" t="s">
        <v>12</v>
      </c>
      <c r="F2867" s="4">
        <v>105</v>
      </c>
      <c r="G2867" s="4" t="s">
        <v>358</v>
      </c>
      <c r="H2867" s="4">
        <v>185</v>
      </c>
      <c r="I2867" s="201"/>
      <c r="J2867" s="201"/>
    </row>
    <row r="2868" spans="1:10" s="5" customFormat="1" ht="24" hidden="1" customHeight="1" outlineLevel="1" x14ac:dyDescent="0.25">
      <c r="A2868" s="41">
        <v>9713</v>
      </c>
      <c r="B2868" s="4" t="s">
        <v>18</v>
      </c>
      <c r="C2868" s="38" t="s">
        <v>414</v>
      </c>
      <c r="D2868" s="4">
        <v>2021</v>
      </c>
      <c r="E2868" s="4" t="s">
        <v>12</v>
      </c>
      <c r="F2868" s="4">
        <v>347</v>
      </c>
      <c r="G2868" s="4" t="s">
        <v>358</v>
      </c>
      <c r="H2868" s="4">
        <v>532</v>
      </c>
      <c r="I2868" s="201"/>
      <c r="J2868" s="201"/>
    </row>
    <row r="2869" spans="1:10" s="5" customFormat="1" ht="24" hidden="1" customHeight="1" outlineLevel="1" x14ac:dyDescent="0.25">
      <c r="A2869" s="41">
        <v>9708</v>
      </c>
      <c r="B2869" s="4" t="s">
        <v>18</v>
      </c>
      <c r="C2869" s="38" t="s">
        <v>415</v>
      </c>
      <c r="D2869" s="4">
        <v>2021</v>
      </c>
      <c r="E2869" s="4" t="s">
        <v>12</v>
      </c>
      <c r="F2869" s="4">
        <v>130</v>
      </c>
      <c r="G2869" s="4" t="s">
        <v>366</v>
      </c>
      <c r="H2869" s="4">
        <v>74</v>
      </c>
      <c r="I2869" s="201"/>
      <c r="J2869" s="201"/>
    </row>
    <row r="2870" spans="1:10" s="5" customFormat="1" ht="24" hidden="1" customHeight="1" outlineLevel="1" x14ac:dyDescent="0.25">
      <c r="A2870" s="41">
        <v>9701</v>
      </c>
      <c r="B2870" s="4" t="s">
        <v>18</v>
      </c>
      <c r="C2870" s="38" t="s">
        <v>416</v>
      </c>
      <c r="D2870" s="4">
        <v>2021</v>
      </c>
      <c r="E2870" s="4" t="s">
        <v>12</v>
      </c>
      <c r="F2870" s="4">
        <v>192</v>
      </c>
      <c r="G2870" s="4" t="s">
        <v>358</v>
      </c>
      <c r="H2870" s="4">
        <v>206</v>
      </c>
      <c r="I2870" s="201"/>
      <c r="J2870" s="201"/>
    </row>
    <row r="2871" spans="1:10" s="5" customFormat="1" ht="24" hidden="1" customHeight="1" outlineLevel="1" x14ac:dyDescent="0.25">
      <c r="A2871" s="41">
        <v>9726</v>
      </c>
      <c r="B2871" s="4" t="s">
        <v>18</v>
      </c>
      <c r="C2871" s="38" t="s">
        <v>417</v>
      </c>
      <c r="D2871" s="4">
        <v>2021</v>
      </c>
      <c r="E2871" s="4" t="s">
        <v>12</v>
      </c>
      <c r="F2871" s="4">
        <v>26</v>
      </c>
      <c r="G2871" s="4" t="s">
        <v>393</v>
      </c>
      <c r="H2871" s="4">
        <v>65</v>
      </c>
      <c r="I2871" s="201"/>
      <c r="J2871" s="201"/>
    </row>
    <row r="2872" spans="1:10" s="5" customFormat="1" ht="24" hidden="1" customHeight="1" outlineLevel="1" x14ac:dyDescent="0.25">
      <c r="A2872" s="42">
        <v>1205</v>
      </c>
      <c r="B2872" s="4" t="s">
        <v>18</v>
      </c>
      <c r="C2872" s="38" t="s">
        <v>418</v>
      </c>
      <c r="D2872" s="4">
        <v>2021</v>
      </c>
      <c r="E2872" s="4" t="s">
        <v>12</v>
      </c>
      <c r="F2872" s="4">
        <v>561</v>
      </c>
      <c r="G2872" s="4" t="s">
        <v>358</v>
      </c>
      <c r="H2872" s="4">
        <v>783</v>
      </c>
      <c r="I2872" s="201"/>
      <c r="J2872" s="201"/>
    </row>
    <row r="2873" spans="1:10" s="5" customFormat="1" ht="24" hidden="1" customHeight="1" outlineLevel="1" x14ac:dyDescent="0.25">
      <c r="A2873" s="42">
        <v>1225</v>
      </c>
      <c r="B2873" s="4" t="s">
        <v>18</v>
      </c>
      <c r="C2873" s="38" t="s">
        <v>419</v>
      </c>
      <c r="D2873" s="4">
        <v>2021</v>
      </c>
      <c r="E2873" s="4" t="s">
        <v>12</v>
      </c>
      <c r="F2873" s="4">
        <v>277</v>
      </c>
      <c r="G2873" s="4" t="s">
        <v>358</v>
      </c>
      <c r="H2873" s="4">
        <v>485</v>
      </c>
      <c r="I2873" s="201"/>
      <c r="J2873" s="201"/>
    </row>
    <row r="2874" spans="1:10" s="5" customFormat="1" ht="24" hidden="1" customHeight="1" outlineLevel="1" x14ac:dyDescent="0.25">
      <c r="A2874" s="42">
        <v>760</v>
      </c>
      <c r="B2874" s="4" t="s">
        <v>18</v>
      </c>
      <c r="C2874" s="38" t="s">
        <v>420</v>
      </c>
      <c r="D2874" s="4">
        <v>2021</v>
      </c>
      <c r="E2874" s="4" t="s">
        <v>12</v>
      </c>
      <c r="F2874" s="4">
        <v>13</v>
      </c>
      <c r="G2874" s="4">
        <v>25</v>
      </c>
      <c r="H2874" s="4">
        <v>153.68600000000001</v>
      </c>
      <c r="I2874" s="201"/>
      <c r="J2874" s="201"/>
    </row>
    <row r="2875" spans="1:10" s="5" customFormat="1" ht="24" hidden="1" customHeight="1" outlineLevel="1" x14ac:dyDescent="0.25">
      <c r="A2875" s="42">
        <v>736</v>
      </c>
      <c r="B2875" s="4" t="s">
        <v>18</v>
      </c>
      <c r="C2875" s="38" t="s">
        <v>421</v>
      </c>
      <c r="D2875" s="4">
        <v>2021</v>
      </c>
      <c r="E2875" s="4" t="s">
        <v>12</v>
      </c>
      <c r="F2875" s="4">
        <v>203</v>
      </c>
      <c r="G2875" s="4">
        <v>15</v>
      </c>
      <c r="H2875" s="4">
        <v>309.64699999999999</v>
      </c>
      <c r="I2875" s="201"/>
      <c r="J2875" s="201"/>
    </row>
    <row r="2876" spans="1:10" s="5" customFormat="1" ht="24" hidden="1" customHeight="1" outlineLevel="1" x14ac:dyDescent="0.25">
      <c r="A2876" s="41">
        <v>9465</v>
      </c>
      <c r="B2876" s="4" t="s">
        <v>18</v>
      </c>
      <c r="C2876" s="38" t="s">
        <v>422</v>
      </c>
      <c r="D2876" s="4">
        <v>2021</v>
      </c>
      <c r="E2876" s="4" t="s">
        <v>12</v>
      </c>
      <c r="F2876" s="4">
        <v>40</v>
      </c>
      <c r="G2876" s="4">
        <v>15</v>
      </c>
      <c r="H2876" s="4">
        <v>100.774</v>
      </c>
      <c r="I2876" s="201"/>
      <c r="J2876" s="201"/>
    </row>
    <row r="2877" spans="1:10" s="5" customFormat="1" ht="24" hidden="1" customHeight="1" outlineLevel="1" x14ac:dyDescent="0.25">
      <c r="A2877" s="41">
        <v>9477</v>
      </c>
      <c r="B2877" s="4" t="s">
        <v>18</v>
      </c>
      <c r="C2877" s="38" t="s">
        <v>423</v>
      </c>
      <c r="D2877" s="4">
        <v>2021</v>
      </c>
      <c r="E2877" s="4" t="s">
        <v>12</v>
      </c>
      <c r="F2877" s="4">
        <v>990</v>
      </c>
      <c r="G2877" s="4">
        <v>30</v>
      </c>
      <c r="H2877" s="4">
        <v>1079.586</v>
      </c>
      <c r="I2877" s="201"/>
      <c r="J2877" s="201"/>
    </row>
    <row r="2878" spans="1:10" s="5" customFormat="1" ht="24" hidden="1" customHeight="1" outlineLevel="1" x14ac:dyDescent="0.25">
      <c r="A2878" s="41">
        <v>9507</v>
      </c>
      <c r="B2878" s="4" t="s">
        <v>18</v>
      </c>
      <c r="C2878" s="38" t="s">
        <v>424</v>
      </c>
      <c r="D2878" s="4">
        <v>2021</v>
      </c>
      <c r="E2878" s="4" t="s">
        <v>12</v>
      </c>
      <c r="F2878" s="4">
        <v>10</v>
      </c>
      <c r="G2878" s="4">
        <v>10</v>
      </c>
      <c r="H2878" s="4">
        <v>76.349000000000004</v>
      </c>
      <c r="I2878" s="201"/>
      <c r="J2878" s="201"/>
    </row>
    <row r="2879" spans="1:10" s="5" customFormat="1" ht="24" hidden="1" customHeight="1" outlineLevel="1" x14ac:dyDescent="0.25">
      <c r="A2879" s="41">
        <v>9520</v>
      </c>
      <c r="B2879" s="4" t="s">
        <v>18</v>
      </c>
      <c r="C2879" s="38" t="s">
        <v>425</v>
      </c>
      <c r="D2879" s="4">
        <v>2021</v>
      </c>
      <c r="E2879" s="4" t="s">
        <v>12</v>
      </c>
      <c r="F2879" s="4">
        <v>10</v>
      </c>
      <c r="G2879" s="4">
        <v>50</v>
      </c>
      <c r="H2879" s="4">
        <v>60.868000000000002</v>
      </c>
      <c r="I2879" s="201"/>
      <c r="J2879" s="201"/>
    </row>
    <row r="2880" spans="1:10" s="5" customFormat="1" ht="24" hidden="1" customHeight="1" outlineLevel="1" x14ac:dyDescent="0.25">
      <c r="A2880" s="41">
        <v>9519</v>
      </c>
      <c r="B2880" s="4" t="s">
        <v>18</v>
      </c>
      <c r="C2880" s="38" t="s">
        <v>426</v>
      </c>
      <c r="D2880" s="4">
        <v>2021</v>
      </c>
      <c r="E2880" s="4" t="s">
        <v>12</v>
      </c>
      <c r="F2880" s="4">
        <v>10</v>
      </c>
      <c r="G2880" s="4">
        <v>15</v>
      </c>
      <c r="H2880" s="4">
        <v>87.656000000000006</v>
      </c>
      <c r="I2880" s="201"/>
      <c r="J2880" s="201"/>
    </row>
    <row r="2881" spans="1:10" s="5" customFormat="1" ht="24" hidden="1" customHeight="1" outlineLevel="1" x14ac:dyDescent="0.25">
      <c r="A2881" s="41">
        <v>9457</v>
      </c>
      <c r="B2881" s="4" t="s">
        <v>18</v>
      </c>
      <c r="C2881" s="38" t="s">
        <v>427</v>
      </c>
      <c r="D2881" s="4">
        <v>2021</v>
      </c>
      <c r="E2881" s="4" t="s">
        <v>12</v>
      </c>
      <c r="F2881" s="4">
        <v>47</v>
      </c>
      <c r="G2881" s="4">
        <v>15</v>
      </c>
      <c r="H2881" s="4">
        <v>116.73</v>
      </c>
      <c r="I2881" s="201"/>
      <c r="J2881" s="201"/>
    </row>
    <row r="2882" spans="1:10" s="5" customFormat="1" ht="24" hidden="1" customHeight="1" outlineLevel="1" x14ac:dyDescent="0.25">
      <c r="A2882" s="41">
        <v>9464</v>
      </c>
      <c r="B2882" s="4" t="s">
        <v>18</v>
      </c>
      <c r="C2882" s="38" t="s">
        <v>428</v>
      </c>
      <c r="D2882" s="4">
        <v>2021</v>
      </c>
      <c r="E2882" s="4" t="s">
        <v>12</v>
      </c>
      <c r="F2882" s="4">
        <v>125</v>
      </c>
      <c r="G2882" s="4">
        <v>100</v>
      </c>
      <c r="H2882" s="4">
        <v>227.95</v>
      </c>
      <c r="I2882" s="201"/>
      <c r="J2882" s="201"/>
    </row>
    <row r="2883" spans="1:10" s="5" customFormat="1" ht="24" hidden="1" customHeight="1" outlineLevel="1" x14ac:dyDescent="0.25">
      <c r="A2883" s="41">
        <v>9467</v>
      </c>
      <c r="B2883" s="4" t="s">
        <v>18</v>
      </c>
      <c r="C2883" s="38" t="s">
        <v>429</v>
      </c>
      <c r="D2883" s="4">
        <v>2021</v>
      </c>
      <c r="E2883" s="4" t="s">
        <v>12</v>
      </c>
      <c r="F2883" s="4">
        <v>170</v>
      </c>
      <c r="G2883" s="4">
        <v>15</v>
      </c>
      <c r="H2883" s="4">
        <v>149.49700000000001</v>
      </c>
      <c r="I2883" s="201"/>
      <c r="J2883" s="201"/>
    </row>
    <row r="2884" spans="1:10" s="5" customFormat="1" ht="24" hidden="1" customHeight="1" outlineLevel="1" x14ac:dyDescent="0.25">
      <c r="A2884" s="41">
        <v>9470</v>
      </c>
      <c r="B2884" s="4" t="s">
        <v>18</v>
      </c>
      <c r="C2884" s="38" t="s">
        <v>430</v>
      </c>
      <c r="D2884" s="4">
        <v>2021</v>
      </c>
      <c r="E2884" s="4" t="s">
        <v>12</v>
      </c>
      <c r="F2884" s="4">
        <v>100</v>
      </c>
      <c r="G2884" s="4">
        <v>15</v>
      </c>
      <c r="H2884" s="4">
        <v>144.62700000000001</v>
      </c>
      <c r="I2884" s="201"/>
      <c r="J2884" s="201"/>
    </row>
    <row r="2885" spans="1:10" s="5" customFormat="1" ht="24" hidden="1" customHeight="1" outlineLevel="1" x14ac:dyDescent="0.25">
      <c r="A2885" s="4">
        <v>3</v>
      </c>
      <c r="B2885" s="4" t="s">
        <v>18</v>
      </c>
      <c r="C2885" s="38" t="s">
        <v>431</v>
      </c>
      <c r="D2885" s="4">
        <v>2021</v>
      </c>
      <c r="E2885" s="4" t="s">
        <v>12</v>
      </c>
      <c r="F2885" s="4">
        <v>170</v>
      </c>
      <c r="G2885" s="4">
        <v>15</v>
      </c>
      <c r="H2885" s="4">
        <v>215.91399999999999</v>
      </c>
      <c r="I2885" s="201"/>
      <c r="J2885" s="201"/>
    </row>
    <row r="2886" spans="1:10" s="5" customFormat="1" ht="24" hidden="1" customHeight="1" outlineLevel="1" x14ac:dyDescent="0.25">
      <c r="A2886" s="41">
        <v>9515</v>
      </c>
      <c r="B2886" s="4" t="s">
        <v>18</v>
      </c>
      <c r="C2886" s="38" t="s">
        <v>432</v>
      </c>
      <c r="D2886" s="4">
        <v>2021</v>
      </c>
      <c r="E2886" s="4" t="s">
        <v>12</v>
      </c>
      <c r="F2886" s="4">
        <v>10</v>
      </c>
      <c r="G2886" s="4">
        <v>15</v>
      </c>
      <c r="H2886" s="4">
        <v>72.613</v>
      </c>
      <c r="I2886" s="201"/>
      <c r="J2886" s="201"/>
    </row>
    <row r="2887" spans="1:10" s="5" customFormat="1" ht="24" hidden="1" customHeight="1" outlineLevel="1" x14ac:dyDescent="0.25">
      <c r="A2887" s="41">
        <v>9516</v>
      </c>
      <c r="B2887" s="4" t="s">
        <v>18</v>
      </c>
      <c r="C2887" s="38" t="s">
        <v>433</v>
      </c>
      <c r="D2887" s="4">
        <v>2021</v>
      </c>
      <c r="E2887" s="4" t="s">
        <v>12</v>
      </c>
      <c r="F2887" s="4">
        <v>5</v>
      </c>
      <c r="G2887" s="4">
        <v>120</v>
      </c>
      <c r="H2887" s="4">
        <v>56.134999999999998</v>
      </c>
      <c r="I2887" s="201"/>
      <c r="J2887" s="201"/>
    </row>
    <row r="2888" spans="1:10" s="5" customFormat="1" ht="24" hidden="1" customHeight="1" outlineLevel="1" x14ac:dyDescent="0.25">
      <c r="A2888" s="41">
        <v>9463</v>
      </c>
      <c r="B2888" s="4" t="s">
        <v>18</v>
      </c>
      <c r="C2888" s="38" t="s">
        <v>434</v>
      </c>
      <c r="D2888" s="4">
        <v>2021</v>
      </c>
      <c r="E2888" s="4" t="s">
        <v>12</v>
      </c>
      <c r="F2888" s="4">
        <v>130</v>
      </c>
      <c r="G2888" s="4">
        <v>15</v>
      </c>
      <c r="H2888" s="4">
        <v>193.703</v>
      </c>
      <c r="I2888" s="201"/>
      <c r="J2888" s="201"/>
    </row>
    <row r="2889" spans="1:10" s="5" customFormat="1" ht="24" hidden="1" customHeight="1" outlineLevel="1" x14ac:dyDescent="0.25">
      <c r="A2889" s="41">
        <v>9461</v>
      </c>
      <c r="B2889" s="4" t="s">
        <v>18</v>
      </c>
      <c r="C2889" s="38" t="s">
        <v>435</v>
      </c>
      <c r="D2889" s="4">
        <v>2021</v>
      </c>
      <c r="E2889" s="4" t="s">
        <v>12</v>
      </c>
      <c r="F2889" s="4">
        <v>100</v>
      </c>
      <c r="G2889" s="4">
        <v>15</v>
      </c>
      <c r="H2889" s="4">
        <v>204.346</v>
      </c>
      <c r="I2889" s="201"/>
      <c r="J2889" s="201"/>
    </row>
    <row r="2890" spans="1:10" s="5" customFormat="1" ht="24" hidden="1" customHeight="1" outlineLevel="1" x14ac:dyDescent="0.25">
      <c r="A2890" s="41">
        <v>9496</v>
      </c>
      <c r="B2890" s="4" t="s">
        <v>18</v>
      </c>
      <c r="C2890" s="38" t="s">
        <v>436</v>
      </c>
      <c r="D2890" s="4">
        <v>2021</v>
      </c>
      <c r="E2890" s="4" t="s">
        <v>12</v>
      </c>
      <c r="F2890" s="4">
        <v>30</v>
      </c>
      <c r="G2890" s="4">
        <v>15</v>
      </c>
      <c r="H2890" s="4">
        <v>82.022999999999996</v>
      </c>
      <c r="I2890" s="201"/>
      <c r="J2890" s="201"/>
    </row>
    <row r="2891" spans="1:10" s="5" customFormat="1" ht="24" hidden="1" customHeight="1" outlineLevel="1" x14ac:dyDescent="0.25">
      <c r="A2891" s="41">
        <v>9462</v>
      </c>
      <c r="B2891" s="4" t="s">
        <v>18</v>
      </c>
      <c r="C2891" s="38" t="s">
        <v>437</v>
      </c>
      <c r="D2891" s="4">
        <v>2021</v>
      </c>
      <c r="E2891" s="4" t="s">
        <v>12</v>
      </c>
      <c r="F2891" s="4">
        <v>60</v>
      </c>
      <c r="G2891" s="4">
        <v>15</v>
      </c>
      <c r="H2891" s="4">
        <v>91.489000000000004</v>
      </c>
      <c r="I2891" s="201"/>
      <c r="J2891" s="201"/>
    </row>
    <row r="2892" spans="1:10" s="5" customFormat="1" ht="24" hidden="1" customHeight="1" outlineLevel="1" x14ac:dyDescent="0.25">
      <c r="A2892" s="41">
        <v>9473</v>
      </c>
      <c r="B2892" s="4" t="s">
        <v>18</v>
      </c>
      <c r="C2892" s="38" t="s">
        <v>438</v>
      </c>
      <c r="D2892" s="4">
        <v>2021</v>
      </c>
      <c r="E2892" s="4" t="s">
        <v>12</v>
      </c>
      <c r="F2892" s="4">
        <v>360</v>
      </c>
      <c r="G2892" s="4">
        <v>15</v>
      </c>
      <c r="H2892" s="4">
        <v>422.01100000000002</v>
      </c>
      <c r="I2892" s="201"/>
      <c r="J2892" s="201"/>
    </row>
    <row r="2893" spans="1:10" s="5" customFormat="1" ht="24" hidden="1" customHeight="1" outlineLevel="1" x14ac:dyDescent="0.25">
      <c r="A2893" s="41">
        <v>9472</v>
      </c>
      <c r="B2893" s="4" t="s">
        <v>18</v>
      </c>
      <c r="C2893" s="38" t="s">
        <v>439</v>
      </c>
      <c r="D2893" s="4">
        <v>2021</v>
      </c>
      <c r="E2893" s="4" t="s">
        <v>12</v>
      </c>
      <c r="F2893" s="4">
        <v>55</v>
      </c>
      <c r="G2893" s="4">
        <v>15</v>
      </c>
      <c r="H2893" s="4">
        <v>85.796999999999997</v>
      </c>
      <c r="I2893" s="201"/>
      <c r="J2893" s="201"/>
    </row>
    <row r="2894" spans="1:10" s="5" customFormat="1" ht="24" hidden="1" customHeight="1" outlineLevel="1" x14ac:dyDescent="0.25">
      <c r="A2894" s="41">
        <v>9474</v>
      </c>
      <c r="B2894" s="4" t="s">
        <v>18</v>
      </c>
      <c r="C2894" s="38" t="s">
        <v>440</v>
      </c>
      <c r="D2894" s="4">
        <v>2021</v>
      </c>
      <c r="E2894" s="4" t="s">
        <v>12</v>
      </c>
      <c r="F2894" s="4">
        <v>310</v>
      </c>
      <c r="G2894" s="4">
        <v>15</v>
      </c>
      <c r="H2894" s="4">
        <v>362.63299999999998</v>
      </c>
      <c r="I2894" s="201"/>
      <c r="J2894" s="201"/>
    </row>
    <row r="2895" spans="1:10" s="5" customFormat="1" ht="24" hidden="1" customHeight="1" outlineLevel="1" x14ac:dyDescent="0.25">
      <c r="A2895" s="41">
        <v>9505</v>
      </c>
      <c r="B2895" s="4" t="s">
        <v>18</v>
      </c>
      <c r="C2895" s="38" t="s">
        <v>441</v>
      </c>
      <c r="D2895" s="4">
        <v>2021</v>
      </c>
      <c r="E2895" s="4" t="s">
        <v>12</v>
      </c>
      <c r="F2895" s="4">
        <v>14</v>
      </c>
      <c r="G2895" s="4">
        <v>15</v>
      </c>
      <c r="H2895" s="4">
        <v>73.537000000000006</v>
      </c>
      <c r="I2895" s="201"/>
      <c r="J2895" s="201"/>
    </row>
    <row r="2896" spans="1:10" s="5" customFormat="1" ht="24" hidden="1" customHeight="1" outlineLevel="1" x14ac:dyDescent="0.25">
      <c r="A2896" s="41">
        <v>9460</v>
      </c>
      <c r="B2896" s="4" t="s">
        <v>18</v>
      </c>
      <c r="C2896" s="35" t="s">
        <v>442</v>
      </c>
      <c r="D2896" s="4">
        <v>2021</v>
      </c>
      <c r="E2896" s="4" t="s">
        <v>12</v>
      </c>
      <c r="F2896" s="4">
        <v>50</v>
      </c>
      <c r="G2896" s="4">
        <v>15</v>
      </c>
      <c r="H2896" s="4">
        <v>93.593999999999994</v>
      </c>
      <c r="I2896" s="201"/>
      <c r="J2896" s="201"/>
    </row>
    <row r="2897" spans="1:10" s="5" customFormat="1" ht="24" hidden="1" customHeight="1" outlineLevel="1" x14ac:dyDescent="0.25">
      <c r="A2897" s="4">
        <v>10901</v>
      </c>
      <c r="B2897" s="4" t="s">
        <v>18</v>
      </c>
      <c r="C2897" s="35" t="s">
        <v>443</v>
      </c>
      <c r="D2897" s="4">
        <v>2021</v>
      </c>
      <c r="E2897" s="4" t="s">
        <v>12</v>
      </c>
      <c r="F2897" s="4">
        <v>120</v>
      </c>
      <c r="G2897" s="4">
        <v>15</v>
      </c>
      <c r="H2897" s="4">
        <v>161.36099999999999</v>
      </c>
      <c r="I2897" s="201"/>
      <c r="J2897" s="201"/>
    </row>
    <row r="2898" spans="1:10" s="5" customFormat="1" ht="24" hidden="1" customHeight="1" outlineLevel="1" x14ac:dyDescent="0.25">
      <c r="A2898" s="41">
        <v>9469</v>
      </c>
      <c r="B2898" s="4" t="s">
        <v>18</v>
      </c>
      <c r="C2898" s="35" t="s">
        <v>444</v>
      </c>
      <c r="D2898" s="4">
        <v>2021</v>
      </c>
      <c r="E2898" s="4" t="s">
        <v>12</v>
      </c>
      <c r="F2898" s="4">
        <v>75</v>
      </c>
      <c r="G2898" s="4">
        <v>15</v>
      </c>
      <c r="H2898" s="4">
        <v>134.70599999999999</v>
      </c>
      <c r="I2898" s="201"/>
      <c r="J2898" s="201"/>
    </row>
    <row r="2899" spans="1:10" s="5" customFormat="1" ht="24" hidden="1" customHeight="1" outlineLevel="1" x14ac:dyDescent="0.25">
      <c r="A2899" s="41">
        <v>9459</v>
      </c>
      <c r="B2899" s="4" t="s">
        <v>18</v>
      </c>
      <c r="C2899" s="35" t="s">
        <v>445</v>
      </c>
      <c r="D2899" s="4">
        <v>2021</v>
      </c>
      <c r="E2899" s="4" t="s">
        <v>12</v>
      </c>
      <c r="F2899" s="4">
        <v>85</v>
      </c>
      <c r="G2899" s="4">
        <v>15</v>
      </c>
      <c r="H2899" s="4">
        <v>158.35599999999999</v>
      </c>
      <c r="I2899" s="201"/>
      <c r="J2899" s="201"/>
    </row>
    <row r="2900" spans="1:10" s="5" customFormat="1" ht="24" hidden="1" customHeight="1" outlineLevel="1" x14ac:dyDescent="0.25">
      <c r="A2900" s="41">
        <v>9497</v>
      </c>
      <c r="B2900" s="4" t="s">
        <v>18</v>
      </c>
      <c r="C2900" s="38" t="s">
        <v>446</v>
      </c>
      <c r="D2900" s="4">
        <v>2021</v>
      </c>
      <c r="E2900" s="4" t="s">
        <v>12</v>
      </c>
      <c r="F2900" s="4">
        <v>312</v>
      </c>
      <c r="G2900" s="4">
        <v>45</v>
      </c>
      <c r="H2900" s="4">
        <v>386.99</v>
      </c>
      <c r="I2900" s="201"/>
      <c r="J2900" s="201"/>
    </row>
    <row r="2901" spans="1:10" s="5" customFormat="1" ht="24" hidden="1" customHeight="1" outlineLevel="1" x14ac:dyDescent="0.25">
      <c r="A2901" s="42">
        <v>735</v>
      </c>
      <c r="B2901" s="4" t="s">
        <v>18</v>
      </c>
      <c r="C2901" s="38" t="s">
        <v>447</v>
      </c>
      <c r="D2901" s="4">
        <v>2021</v>
      </c>
      <c r="E2901" s="4" t="s">
        <v>12</v>
      </c>
      <c r="F2901" s="4">
        <v>5</v>
      </c>
      <c r="G2901" s="4">
        <v>100</v>
      </c>
      <c r="H2901" s="4">
        <v>61.618000000000002</v>
      </c>
      <c r="I2901" s="201"/>
      <c r="J2901" s="201"/>
    </row>
    <row r="2902" spans="1:10" s="5" customFormat="1" ht="24" hidden="1" customHeight="1" outlineLevel="1" x14ac:dyDescent="0.25">
      <c r="A2902" s="41">
        <v>9471</v>
      </c>
      <c r="B2902" s="4" t="s">
        <v>18</v>
      </c>
      <c r="C2902" s="38" t="s">
        <v>448</v>
      </c>
      <c r="D2902" s="4">
        <v>2021</v>
      </c>
      <c r="E2902" s="4" t="s">
        <v>12</v>
      </c>
      <c r="F2902" s="4">
        <v>160</v>
      </c>
      <c r="G2902" s="4">
        <v>7.5</v>
      </c>
      <c r="H2902" s="4">
        <v>160.88</v>
      </c>
      <c r="I2902" s="201"/>
      <c r="J2902" s="201"/>
    </row>
    <row r="2903" spans="1:10" s="5" customFormat="1" ht="24" hidden="1" customHeight="1" outlineLevel="1" x14ac:dyDescent="0.25">
      <c r="A2903" s="42">
        <v>690</v>
      </c>
      <c r="B2903" s="4" t="s">
        <v>18</v>
      </c>
      <c r="C2903" s="38" t="s">
        <v>449</v>
      </c>
      <c r="D2903" s="4">
        <v>2021</v>
      </c>
      <c r="E2903" s="4" t="s">
        <v>12</v>
      </c>
      <c r="F2903" s="4">
        <v>66</v>
      </c>
      <c r="G2903" s="4">
        <v>15</v>
      </c>
      <c r="H2903" s="4">
        <v>112.30800000000001</v>
      </c>
      <c r="I2903" s="201"/>
      <c r="J2903" s="201"/>
    </row>
    <row r="2904" spans="1:10" s="5" customFormat="1" ht="24" hidden="1" customHeight="1" outlineLevel="1" x14ac:dyDescent="0.25">
      <c r="A2904" s="41">
        <v>9503</v>
      </c>
      <c r="B2904" s="4" t="s">
        <v>18</v>
      </c>
      <c r="C2904" s="38" t="s">
        <v>450</v>
      </c>
      <c r="D2904" s="4">
        <v>2021</v>
      </c>
      <c r="E2904" s="4" t="s">
        <v>12</v>
      </c>
      <c r="F2904" s="4">
        <v>135</v>
      </c>
      <c r="G2904" s="4">
        <v>100</v>
      </c>
      <c r="H2904" s="4">
        <v>177.47</v>
      </c>
      <c r="I2904" s="201"/>
      <c r="J2904" s="201"/>
    </row>
    <row r="2905" spans="1:10" s="5" customFormat="1" ht="24" hidden="1" customHeight="1" outlineLevel="1" x14ac:dyDescent="0.25">
      <c r="A2905" s="41">
        <v>9468</v>
      </c>
      <c r="B2905" s="4" t="s">
        <v>18</v>
      </c>
      <c r="C2905" s="38" t="s">
        <v>451</v>
      </c>
      <c r="D2905" s="4">
        <v>2021</v>
      </c>
      <c r="E2905" s="4" t="s">
        <v>12</v>
      </c>
      <c r="F2905" s="4">
        <v>30</v>
      </c>
      <c r="G2905" s="4">
        <v>15</v>
      </c>
      <c r="H2905" s="4">
        <v>80.103999999999999</v>
      </c>
      <c r="I2905" s="201"/>
      <c r="J2905" s="201"/>
    </row>
    <row r="2906" spans="1:10" s="5" customFormat="1" ht="24" hidden="1" customHeight="1" outlineLevel="1" x14ac:dyDescent="0.25">
      <c r="A2906" s="41">
        <v>9502</v>
      </c>
      <c r="B2906" s="4" t="s">
        <v>18</v>
      </c>
      <c r="C2906" s="38" t="s">
        <v>452</v>
      </c>
      <c r="D2906" s="4">
        <v>2021</v>
      </c>
      <c r="E2906" s="4" t="s">
        <v>12</v>
      </c>
      <c r="F2906" s="4">
        <v>29</v>
      </c>
      <c r="G2906" s="4">
        <v>15</v>
      </c>
      <c r="H2906" s="4">
        <v>198.166</v>
      </c>
      <c r="I2906" s="201"/>
      <c r="J2906" s="201"/>
    </row>
    <row r="2907" spans="1:10" s="5" customFormat="1" ht="24" hidden="1" customHeight="1" outlineLevel="1" x14ac:dyDescent="0.25">
      <c r="A2907" s="41">
        <v>9495</v>
      </c>
      <c r="B2907" s="4" t="s">
        <v>18</v>
      </c>
      <c r="C2907" s="38" t="s">
        <v>453</v>
      </c>
      <c r="D2907" s="4">
        <v>2021</v>
      </c>
      <c r="E2907" s="4" t="s">
        <v>12</v>
      </c>
      <c r="F2907" s="4">
        <v>11</v>
      </c>
      <c r="G2907" s="4">
        <v>15</v>
      </c>
      <c r="H2907" s="4">
        <v>176.50399999999999</v>
      </c>
      <c r="I2907" s="201"/>
      <c r="J2907" s="201"/>
    </row>
    <row r="2908" spans="1:10" s="5" customFormat="1" ht="24" hidden="1" customHeight="1" outlineLevel="1" x14ac:dyDescent="0.25">
      <c r="A2908" s="41">
        <v>9499</v>
      </c>
      <c r="B2908" s="4" t="s">
        <v>18</v>
      </c>
      <c r="C2908" s="38" t="s">
        <v>454</v>
      </c>
      <c r="D2908" s="4">
        <v>2021</v>
      </c>
      <c r="E2908" s="4" t="s">
        <v>12</v>
      </c>
      <c r="F2908" s="4">
        <v>22</v>
      </c>
      <c r="G2908" s="4">
        <v>15</v>
      </c>
      <c r="H2908" s="4">
        <v>159.58600000000001</v>
      </c>
      <c r="I2908" s="201"/>
      <c r="J2908" s="201"/>
    </row>
    <row r="2909" spans="1:10" s="5" customFormat="1" ht="24" hidden="1" customHeight="1" outlineLevel="1" x14ac:dyDescent="0.25">
      <c r="A2909" s="41">
        <v>9500</v>
      </c>
      <c r="B2909" s="4" t="s">
        <v>18</v>
      </c>
      <c r="C2909" s="38" t="s">
        <v>455</v>
      </c>
      <c r="D2909" s="4">
        <v>2021</v>
      </c>
      <c r="E2909" s="4" t="s">
        <v>12</v>
      </c>
      <c r="F2909" s="4">
        <v>5</v>
      </c>
      <c r="G2909" s="4">
        <v>15</v>
      </c>
      <c r="H2909" s="4">
        <v>112.509</v>
      </c>
      <c r="I2909" s="201"/>
      <c r="J2909" s="201"/>
    </row>
    <row r="2910" spans="1:10" s="5" customFormat="1" ht="24" hidden="1" customHeight="1" outlineLevel="1" x14ac:dyDescent="0.25">
      <c r="A2910" s="41">
        <v>9478</v>
      </c>
      <c r="B2910" s="4" t="s">
        <v>18</v>
      </c>
      <c r="C2910" s="38" t="s">
        <v>456</v>
      </c>
      <c r="D2910" s="4">
        <v>2021</v>
      </c>
      <c r="E2910" s="4" t="s">
        <v>12</v>
      </c>
      <c r="F2910" s="4">
        <v>875</v>
      </c>
      <c r="G2910" s="4">
        <v>15</v>
      </c>
      <c r="H2910" s="4">
        <v>983.21600000000001</v>
      </c>
      <c r="I2910" s="201"/>
      <c r="J2910" s="201"/>
    </row>
    <row r="2911" spans="1:10" s="5" customFormat="1" ht="24" hidden="1" customHeight="1" outlineLevel="1" x14ac:dyDescent="0.25">
      <c r="A2911" s="41">
        <v>9498</v>
      </c>
      <c r="B2911" s="4" t="s">
        <v>18</v>
      </c>
      <c r="C2911" s="38" t="s">
        <v>457</v>
      </c>
      <c r="D2911" s="4">
        <v>2021</v>
      </c>
      <c r="E2911" s="4" t="s">
        <v>12</v>
      </c>
      <c r="F2911" s="4">
        <v>126</v>
      </c>
      <c r="G2911" s="4">
        <v>155</v>
      </c>
      <c r="H2911" s="4">
        <v>332.79599999999999</v>
      </c>
      <c r="I2911" s="201"/>
      <c r="J2911" s="201"/>
    </row>
    <row r="2912" spans="1:10" s="5" customFormat="1" ht="24" hidden="1" customHeight="1" outlineLevel="1" x14ac:dyDescent="0.25">
      <c r="A2912" s="41">
        <v>9524</v>
      </c>
      <c r="B2912" s="4" t="s">
        <v>18</v>
      </c>
      <c r="C2912" s="38" t="s">
        <v>458</v>
      </c>
      <c r="D2912" s="4">
        <v>2021</v>
      </c>
      <c r="E2912" s="4" t="s">
        <v>12</v>
      </c>
      <c r="F2912" s="4">
        <v>14</v>
      </c>
      <c r="G2912" s="4">
        <v>10</v>
      </c>
      <c r="H2912" s="4">
        <v>146.83000000000001</v>
      </c>
      <c r="I2912" s="201"/>
      <c r="J2912" s="201"/>
    </row>
    <row r="2913" spans="1:10" s="5" customFormat="1" ht="24" hidden="1" customHeight="1" outlineLevel="1" x14ac:dyDescent="0.25">
      <c r="A2913" s="42">
        <v>362</v>
      </c>
      <c r="B2913" s="4" t="s">
        <v>18</v>
      </c>
      <c r="C2913" s="38" t="s">
        <v>459</v>
      </c>
      <c r="D2913" s="4">
        <v>2021</v>
      </c>
      <c r="E2913" s="4" t="s">
        <v>12</v>
      </c>
      <c r="F2913" s="4">
        <v>30</v>
      </c>
      <c r="G2913" s="4">
        <v>15</v>
      </c>
      <c r="H2913" s="4">
        <v>50</v>
      </c>
      <c r="I2913" s="201"/>
      <c r="J2913" s="201"/>
    </row>
    <row r="2914" spans="1:10" s="5" customFormat="1" ht="24" hidden="1" customHeight="1" outlineLevel="1" x14ac:dyDescent="0.25">
      <c r="A2914" s="41">
        <v>9433</v>
      </c>
      <c r="B2914" s="4" t="s">
        <v>18</v>
      </c>
      <c r="C2914" s="38" t="s">
        <v>460</v>
      </c>
      <c r="D2914" s="4">
        <v>2021</v>
      </c>
      <c r="E2914" s="4" t="s">
        <v>12</v>
      </c>
      <c r="F2914" s="4">
        <v>97</v>
      </c>
      <c r="G2914" s="4">
        <v>15</v>
      </c>
      <c r="H2914" s="4">
        <v>115</v>
      </c>
      <c r="I2914" s="201"/>
      <c r="J2914" s="201"/>
    </row>
    <row r="2915" spans="1:10" s="5" customFormat="1" ht="24" hidden="1" customHeight="1" outlineLevel="1" x14ac:dyDescent="0.25">
      <c r="A2915" s="41">
        <v>9321</v>
      </c>
      <c r="B2915" s="4" t="s">
        <v>18</v>
      </c>
      <c r="C2915" s="38" t="s">
        <v>461</v>
      </c>
      <c r="D2915" s="4">
        <v>2021</v>
      </c>
      <c r="E2915" s="4" t="s">
        <v>12</v>
      </c>
      <c r="F2915" s="4">
        <v>55</v>
      </c>
      <c r="G2915" s="4">
        <v>15</v>
      </c>
      <c r="H2915" s="4">
        <v>90</v>
      </c>
      <c r="I2915" s="201"/>
      <c r="J2915" s="201"/>
    </row>
    <row r="2916" spans="1:10" s="5" customFormat="1" ht="24" hidden="1" customHeight="1" outlineLevel="1" x14ac:dyDescent="0.25">
      <c r="A2916" s="42">
        <v>1124</v>
      </c>
      <c r="B2916" s="4" t="s">
        <v>18</v>
      </c>
      <c r="C2916" s="38" t="s">
        <v>462</v>
      </c>
      <c r="D2916" s="4">
        <v>2021</v>
      </c>
      <c r="E2916" s="4" t="s">
        <v>12</v>
      </c>
      <c r="F2916" s="4">
        <v>85</v>
      </c>
      <c r="G2916" s="4">
        <v>150</v>
      </c>
      <c r="H2916" s="4">
        <v>118</v>
      </c>
      <c r="I2916" s="201"/>
      <c r="J2916" s="201"/>
    </row>
    <row r="2917" spans="1:10" s="5" customFormat="1" ht="24" hidden="1" customHeight="1" outlineLevel="1" x14ac:dyDescent="0.25">
      <c r="A2917" s="41">
        <v>9076</v>
      </c>
      <c r="B2917" s="4" t="s">
        <v>18</v>
      </c>
      <c r="C2917" s="38" t="s">
        <v>463</v>
      </c>
      <c r="D2917" s="4">
        <v>2021</v>
      </c>
      <c r="E2917" s="4" t="s">
        <v>12</v>
      </c>
      <c r="F2917" s="4">
        <v>90</v>
      </c>
      <c r="G2917" s="4">
        <v>15</v>
      </c>
      <c r="H2917" s="4">
        <v>124</v>
      </c>
      <c r="I2917" s="201"/>
      <c r="J2917" s="201"/>
    </row>
    <row r="2918" spans="1:10" s="5" customFormat="1" ht="24" hidden="1" customHeight="1" outlineLevel="1" x14ac:dyDescent="0.25">
      <c r="A2918" s="41">
        <v>9283</v>
      </c>
      <c r="B2918" s="4" t="s">
        <v>18</v>
      </c>
      <c r="C2918" s="38" t="s">
        <v>464</v>
      </c>
      <c r="D2918" s="4">
        <v>2021</v>
      </c>
      <c r="E2918" s="4" t="s">
        <v>12</v>
      </c>
      <c r="F2918" s="4">
        <v>208</v>
      </c>
      <c r="G2918" s="4">
        <v>67</v>
      </c>
      <c r="H2918" s="4">
        <v>300</v>
      </c>
      <c r="I2918" s="201"/>
      <c r="J2918" s="201"/>
    </row>
    <row r="2919" spans="1:10" s="5" customFormat="1" ht="24" hidden="1" customHeight="1" outlineLevel="1" x14ac:dyDescent="0.25">
      <c r="A2919" s="41">
        <v>9087</v>
      </c>
      <c r="B2919" s="4" t="s">
        <v>18</v>
      </c>
      <c r="C2919" s="38" t="s">
        <v>465</v>
      </c>
      <c r="D2919" s="4">
        <v>2021</v>
      </c>
      <c r="E2919" s="4" t="s">
        <v>12</v>
      </c>
      <c r="F2919" s="4">
        <v>76</v>
      </c>
      <c r="G2919" s="4">
        <v>15</v>
      </c>
      <c r="H2919" s="4">
        <v>120</v>
      </c>
      <c r="I2919" s="201"/>
      <c r="J2919" s="201"/>
    </row>
    <row r="2920" spans="1:10" s="5" customFormat="1" ht="24" hidden="1" customHeight="1" outlineLevel="1" x14ac:dyDescent="0.25">
      <c r="A2920" s="41">
        <v>9300</v>
      </c>
      <c r="B2920" s="4" t="s">
        <v>18</v>
      </c>
      <c r="C2920" s="38" t="s">
        <v>466</v>
      </c>
      <c r="D2920" s="4">
        <v>2021</v>
      </c>
      <c r="E2920" s="4" t="s">
        <v>12</v>
      </c>
      <c r="F2920" s="4">
        <v>85</v>
      </c>
      <c r="G2920" s="4">
        <v>15</v>
      </c>
      <c r="H2920" s="4">
        <v>79</v>
      </c>
      <c r="I2920" s="201"/>
      <c r="J2920" s="201"/>
    </row>
    <row r="2921" spans="1:10" s="5" customFormat="1" ht="24" hidden="1" customHeight="1" outlineLevel="1" x14ac:dyDescent="0.25">
      <c r="A2921" s="42">
        <v>541</v>
      </c>
      <c r="B2921" s="4" t="s">
        <v>18</v>
      </c>
      <c r="C2921" s="38" t="s">
        <v>467</v>
      </c>
      <c r="D2921" s="4">
        <v>2021</v>
      </c>
      <c r="E2921" s="4" t="s">
        <v>12</v>
      </c>
      <c r="F2921" s="4">
        <v>254</v>
      </c>
      <c r="G2921" s="4">
        <v>15</v>
      </c>
      <c r="H2921" s="4">
        <v>407</v>
      </c>
      <c r="I2921" s="201"/>
      <c r="J2921" s="201"/>
    </row>
    <row r="2922" spans="1:10" s="5" customFormat="1" ht="24" hidden="1" customHeight="1" outlineLevel="1" x14ac:dyDescent="0.25">
      <c r="A2922" s="42">
        <v>543</v>
      </c>
      <c r="B2922" s="4" t="s">
        <v>18</v>
      </c>
      <c r="C2922" s="38" t="s">
        <v>468</v>
      </c>
      <c r="D2922" s="4">
        <v>2021</v>
      </c>
      <c r="E2922" s="4" t="s">
        <v>12</v>
      </c>
      <c r="F2922" s="4">
        <v>200</v>
      </c>
      <c r="G2922" s="4">
        <v>40</v>
      </c>
      <c r="H2922" s="4">
        <v>80</v>
      </c>
      <c r="I2922" s="201"/>
      <c r="J2922" s="201"/>
    </row>
    <row r="2923" spans="1:10" s="5" customFormat="1" ht="24" hidden="1" customHeight="1" outlineLevel="1" x14ac:dyDescent="0.25">
      <c r="A2923" s="41">
        <v>9285</v>
      </c>
      <c r="B2923" s="4" t="s">
        <v>18</v>
      </c>
      <c r="C2923" s="38" t="s">
        <v>469</v>
      </c>
      <c r="D2923" s="4">
        <v>2021</v>
      </c>
      <c r="E2923" s="4" t="s">
        <v>12</v>
      </c>
      <c r="F2923" s="4">
        <v>208</v>
      </c>
      <c r="G2923" s="4">
        <v>50</v>
      </c>
      <c r="H2923" s="4">
        <v>247</v>
      </c>
      <c r="I2923" s="201"/>
      <c r="J2923" s="201"/>
    </row>
    <row r="2924" spans="1:10" s="5" customFormat="1" ht="24" hidden="1" customHeight="1" outlineLevel="1" x14ac:dyDescent="0.25">
      <c r="A2924" s="41">
        <v>9318</v>
      </c>
      <c r="B2924" s="4" t="s">
        <v>18</v>
      </c>
      <c r="C2924" s="38" t="s">
        <v>470</v>
      </c>
      <c r="D2924" s="4">
        <v>2021</v>
      </c>
      <c r="E2924" s="4" t="s">
        <v>12</v>
      </c>
      <c r="F2924" s="4">
        <v>145</v>
      </c>
      <c r="G2924" s="4">
        <v>15</v>
      </c>
      <c r="H2924" s="4">
        <v>131</v>
      </c>
      <c r="I2924" s="201"/>
      <c r="J2924" s="201"/>
    </row>
    <row r="2925" spans="1:10" s="5" customFormat="1" ht="24" hidden="1" customHeight="1" outlineLevel="1" x14ac:dyDescent="0.25">
      <c r="A2925" s="41">
        <v>9284</v>
      </c>
      <c r="B2925" s="4" t="s">
        <v>18</v>
      </c>
      <c r="C2925" s="38" t="s">
        <v>471</v>
      </c>
      <c r="D2925" s="4">
        <v>2021</v>
      </c>
      <c r="E2925" s="4" t="s">
        <v>12</v>
      </c>
      <c r="F2925" s="4">
        <v>85</v>
      </c>
      <c r="G2925" s="4">
        <v>5</v>
      </c>
      <c r="H2925" s="4">
        <v>141</v>
      </c>
      <c r="I2925" s="201"/>
      <c r="J2925" s="201"/>
    </row>
    <row r="2926" spans="1:10" s="5" customFormat="1" ht="24" hidden="1" customHeight="1" outlineLevel="1" x14ac:dyDescent="0.25">
      <c r="A2926" s="41">
        <v>9378</v>
      </c>
      <c r="B2926" s="4" t="s">
        <v>18</v>
      </c>
      <c r="C2926" s="38" t="s">
        <v>472</v>
      </c>
      <c r="D2926" s="4">
        <v>2021</v>
      </c>
      <c r="E2926" s="4" t="s">
        <v>12</v>
      </c>
      <c r="F2926" s="4">
        <v>30</v>
      </c>
      <c r="G2926" s="4">
        <v>8</v>
      </c>
      <c r="H2926" s="4">
        <v>72</v>
      </c>
      <c r="I2926" s="201"/>
      <c r="J2926" s="201"/>
    </row>
    <row r="2927" spans="1:10" s="5" customFormat="1" ht="24" hidden="1" customHeight="1" outlineLevel="1" x14ac:dyDescent="0.25">
      <c r="A2927" s="41">
        <v>9393</v>
      </c>
      <c r="B2927" s="4" t="s">
        <v>18</v>
      </c>
      <c r="C2927" s="38" t="s">
        <v>473</v>
      </c>
      <c r="D2927" s="4">
        <v>2021</v>
      </c>
      <c r="E2927" s="4" t="s">
        <v>12</v>
      </c>
      <c r="F2927" s="4">
        <v>159</v>
      </c>
      <c r="G2927" s="4">
        <v>30</v>
      </c>
      <c r="H2927" s="4">
        <v>344</v>
      </c>
      <c r="I2927" s="201"/>
      <c r="J2927" s="201"/>
    </row>
    <row r="2928" spans="1:10" s="5" customFormat="1" ht="24" hidden="1" customHeight="1" outlineLevel="1" x14ac:dyDescent="0.25">
      <c r="A2928" s="41">
        <v>9290</v>
      </c>
      <c r="B2928" s="4" t="s">
        <v>18</v>
      </c>
      <c r="C2928" s="38" t="s">
        <v>474</v>
      </c>
      <c r="D2928" s="4">
        <v>2021</v>
      </c>
      <c r="E2928" s="4" t="s">
        <v>12</v>
      </c>
      <c r="F2928" s="4">
        <v>115</v>
      </c>
      <c r="G2928" s="4">
        <v>30</v>
      </c>
      <c r="H2928" s="4">
        <v>157</v>
      </c>
      <c r="I2928" s="201"/>
      <c r="J2928" s="201"/>
    </row>
    <row r="2929" spans="1:10" s="5" customFormat="1" ht="24" hidden="1" customHeight="1" outlineLevel="1" x14ac:dyDescent="0.25">
      <c r="A2929" s="41">
        <v>9282</v>
      </c>
      <c r="B2929" s="4" t="s">
        <v>18</v>
      </c>
      <c r="C2929" s="38" t="s">
        <v>475</v>
      </c>
      <c r="D2929" s="4">
        <v>2021</v>
      </c>
      <c r="E2929" s="4" t="s">
        <v>12</v>
      </c>
      <c r="F2929" s="4">
        <v>302</v>
      </c>
      <c r="G2929" s="4">
        <v>4</v>
      </c>
      <c r="H2929" s="4">
        <v>445</v>
      </c>
      <c r="I2929" s="201"/>
      <c r="J2929" s="201"/>
    </row>
    <row r="2930" spans="1:10" s="5" customFormat="1" ht="24" hidden="1" customHeight="1" outlineLevel="1" x14ac:dyDescent="0.25">
      <c r="A2930" s="4">
        <v>10900</v>
      </c>
      <c r="B2930" s="4" t="s">
        <v>18</v>
      </c>
      <c r="C2930" s="38" t="s">
        <v>476</v>
      </c>
      <c r="D2930" s="4">
        <v>2021</v>
      </c>
      <c r="E2930" s="4" t="s">
        <v>12</v>
      </c>
      <c r="F2930" s="4">
        <v>100</v>
      </c>
      <c r="G2930" s="4">
        <v>15</v>
      </c>
      <c r="H2930" s="4">
        <v>110</v>
      </c>
      <c r="I2930" s="201"/>
      <c r="J2930" s="201"/>
    </row>
    <row r="2931" spans="1:10" s="5" customFormat="1" ht="24" hidden="1" customHeight="1" outlineLevel="1" x14ac:dyDescent="0.25">
      <c r="A2931" s="41">
        <v>9898</v>
      </c>
      <c r="B2931" s="4" t="s">
        <v>18</v>
      </c>
      <c r="C2931" s="38" t="s">
        <v>477</v>
      </c>
      <c r="D2931" s="4">
        <v>2021</v>
      </c>
      <c r="E2931" s="4" t="s">
        <v>12</v>
      </c>
      <c r="F2931" s="4">
        <v>176</v>
      </c>
      <c r="G2931" s="4">
        <v>15</v>
      </c>
      <c r="H2931" s="4">
        <v>335</v>
      </c>
      <c r="I2931" s="201"/>
      <c r="J2931" s="201"/>
    </row>
    <row r="2932" spans="1:10" s="5" customFormat="1" ht="24" hidden="1" customHeight="1" outlineLevel="1" x14ac:dyDescent="0.25">
      <c r="A2932" s="42">
        <v>3757</v>
      </c>
      <c r="B2932" s="4" t="s">
        <v>18</v>
      </c>
      <c r="C2932" s="38" t="s">
        <v>478</v>
      </c>
      <c r="D2932" s="4">
        <v>2021</v>
      </c>
      <c r="E2932" s="4" t="s">
        <v>12</v>
      </c>
      <c r="F2932" s="4">
        <v>12</v>
      </c>
      <c r="G2932" s="4">
        <v>5</v>
      </c>
      <c r="H2932" s="4">
        <v>57</v>
      </c>
      <c r="I2932" s="201"/>
      <c r="J2932" s="201"/>
    </row>
    <row r="2933" spans="1:10" s="5" customFormat="1" ht="24" hidden="1" customHeight="1" outlineLevel="1" x14ac:dyDescent="0.25">
      <c r="A2933" s="41">
        <v>9884</v>
      </c>
      <c r="B2933" s="4" t="s">
        <v>18</v>
      </c>
      <c r="C2933" s="38" t="s">
        <v>479</v>
      </c>
      <c r="D2933" s="4">
        <v>2021</v>
      </c>
      <c r="E2933" s="4" t="s">
        <v>12</v>
      </c>
      <c r="F2933" s="4">
        <v>322</v>
      </c>
      <c r="G2933" s="4">
        <v>30</v>
      </c>
      <c r="H2933" s="4">
        <v>438</v>
      </c>
      <c r="I2933" s="201"/>
      <c r="J2933" s="201"/>
    </row>
    <row r="2934" spans="1:10" s="5" customFormat="1" ht="24" hidden="1" customHeight="1" outlineLevel="1" x14ac:dyDescent="0.25">
      <c r="A2934" s="41">
        <v>9480</v>
      </c>
      <c r="B2934" s="4" t="s">
        <v>18</v>
      </c>
      <c r="C2934" s="38" t="s">
        <v>480</v>
      </c>
      <c r="D2934" s="4">
        <v>2021</v>
      </c>
      <c r="E2934" s="4" t="s">
        <v>12</v>
      </c>
      <c r="F2934" s="4">
        <v>30</v>
      </c>
      <c r="G2934" s="4">
        <v>15</v>
      </c>
      <c r="H2934" s="4">
        <v>36</v>
      </c>
      <c r="I2934" s="201"/>
      <c r="J2934" s="201"/>
    </row>
    <row r="2935" spans="1:10" s="5" customFormat="1" ht="24" hidden="1" customHeight="1" outlineLevel="1" x14ac:dyDescent="0.25">
      <c r="A2935" s="41">
        <v>9409</v>
      </c>
      <c r="B2935" s="4" t="s">
        <v>18</v>
      </c>
      <c r="C2935" s="38" t="s">
        <v>481</v>
      </c>
      <c r="D2935" s="4">
        <v>2021</v>
      </c>
      <c r="E2935" s="4" t="s">
        <v>12</v>
      </c>
      <c r="F2935" s="4">
        <v>120</v>
      </c>
      <c r="G2935" s="4">
        <v>15</v>
      </c>
      <c r="H2935" s="4">
        <v>125</v>
      </c>
      <c r="I2935" s="201"/>
      <c r="J2935" s="201"/>
    </row>
    <row r="2936" spans="1:10" s="5" customFormat="1" ht="24" hidden="1" customHeight="1" outlineLevel="1" x14ac:dyDescent="0.25">
      <c r="A2936" s="41">
        <v>9090</v>
      </c>
      <c r="B2936" s="4" t="s">
        <v>18</v>
      </c>
      <c r="C2936" s="38" t="s">
        <v>482</v>
      </c>
      <c r="D2936" s="4">
        <v>2021</v>
      </c>
      <c r="E2936" s="4" t="s">
        <v>12</v>
      </c>
      <c r="F2936" s="4">
        <v>40</v>
      </c>
      <c r="G2936" s="4">
        <v>15</v>
      </c>
      <c r="H2936" s="4">
        <v>56</v>
      </c>
      <c r="I2936" s="201"/>
      <c r="J2936" s="201"/>
    </row>
    <row r="2937" spans="1:10" s="5" customFormat="1" ht="24" hidden="1" customHeight="1" outlineLevel="1" x14ac:dyDescent="0.25">
      <c r="A2937" s="41">
        <v>9662</v>
      </c>
      <c r="B2937" s="4" t="s">
        <v>18</v>
      </c>
      <c r="C2937" s="38" t="s">
        <v>483</v>
      </c>
      <c r="D2937" s="4">
        <v>2021</v>
      </c>
      <c r="E2937" s="4" t="s">
        <v>12</v>
      </c>
      <c r="F2937" s="4">
        <v>137</v>
      </c>
      <c r="G2937" s="4">
        <v>15</v>
      </c>
      <c r="H2937" s="4">
        <v>193</v>
      </c>
      <c r="I2937" s="201"/>
      <c r="J2937" s="201"/>
    </row>
    <row r="2938" spans="1:10" s="5" customFormat="1" ht="24" hidden="1" customHeight="1" outlineLevel="1" x14ac:dyDescent="0.25">
      <c r="A2938" s="41">
        <v>9317</v>
      </c>
      <c r="B2938" s="4" t="s">
        <v>18</v>
      </c>
      <c r="C2938" s="38" t="s">
        <v>484</v>
      </c>
      <c r="D2938" s="4">
        <v>2021</v>
      </c>
      <c r="E2938" s="4" t="s">
        <v>12</v>
      </c>
      <c r="F2938" s="4">
        <v>35</v>
      </c>
      <c r="G2938" s="4">
        <v>5</v>
      </c>
      <c r="H2938" s="4">
        <v>75</v>
      </c>
      <c r="I2938" s="201"/>
      <c r="J2938" s="201"/>
    </row>
    <row r="2939" spans="1:10" s="5" customFormat="1" ht="24" hidden="1" customHeight="1" outlineLevel="1" x14ac:dyDescent="0.25">
      <c r="A2939" s="41">
        <v>9656</v>
      </c>
      <c r="B2939" s="4" t="s">
        <v>18</v>
      </c>
      <c r="C2939" s="38" t="s">
        <v>485</v>
      </c>
      <c r="D2939" s="4">
        <v>2021</v>
      </c>
      <c r="E2939" s="4" t="s">
        <v>12</v>
      </c>
      <c r="F2939" s="4">
        <v>10</v>
      </c>
      <c r="G2939" s="4">
        <v>140</v>
      </c>
      <c r="H2939" s="4">
        <v>27</v>
      </c>
      <c r="I2939" s="201"/>
      <c r="J2939" s="201"/>
    </row>
    <row r="2940" spans="1:10" s="5" customFormat="1" ht="24" hidden="1" customHeight="1" outlineLevel="1" x14ac:dyDescent="0.25">
      <c r="A2940" s="41">
        <v>9412</v>
      </c>
      <c r="B2940" s="4" t="s">
        <v>18</v>
      </c>
      <c r="C2940" s="38" t="s">
        <v>486</v>
      </c>
      <c r="D2940" s="4">
        <v>2021</v>
      </c>
      <c r="E2940" s="4" t="s">
        <v>12</v>
      </c>
      <c r="F2940" s="4">
        <v>283</v>
      </c>
      <c r="G2940" s="4">
        <v>30</v>
      </c>
      <c r="H2940" s="4">
        <v>428</v>
      </c>
      <c r="I2940" s="201"/>
      <c r="J2940" s="201"/>
    </row>
    <row r="2941" spans="1:10" s="5" customFormat="1" ht="24" hidden="1" customHeight="1" outlineLevel="1" x14ac:dyDescent="0.25">
      <c r="A2941" s="42">
        <v>360</v>
      </c>
      <c r="B2941" s="4" t="s">
        <v>18</v>
      </c>
      <c r="C2941" s="38" t="s">
        <v>487</v>
      </c>
      <c r="D2941" s="4">
        <v>2021</v>
      </c>
      <c r="E2941" s="4" t="s">
        <v>12</v>
      </c>
      <c r="F2941" s="4">
        <v>50</v>
      </c>
      <c r="G2941" s="4">
        <v>2</v>
      </c>
      <c r="H2941" s="4">
        <v>124</v>
      </c>
      <c r="I2941" s="201"/>
      <c r="J2941" s="201"/>
    </row>
    <row r="2942" spans="1:10" s="5" customFormat="1" ht="24" hidden="1" customHeight="1" outlineLevel="1" x14ac:dyDescent="0.25">
      <c r="A2942" s="41">
        <v>9438</v>
      </c>
      <c r="B2942" s="4" t="s">
        <v>18</v>
      </c>
      <c r="C2942" s="38" t="s">
        <v>488</v>
      </c>
      <c r="D2942" s="4">
        <v>2021</v>
      </c>
      <c r="E2942" s="4" t="s">
        <v>12</v>
      </c>
      <c r="F2942" s="4">
        <v>90</v>
      </c>
      <c r="G2942" s="4">
        <v>15</v>
      </c>
      <c r="H2942" s="4">
        <v>175</v>
      </c>
      <c r="I2942" s="201"/>
      <c r="J2942" s="201"/>
    </row>
    <row r="2943" spans="1:10" s="5" customFormat="1" ht="24" hidden="1" customHeight="1" outlineLevel="1" x14ac:dyDescent="0.25">
      <c r="A2943" s="41">
        <v>9310</v>
      </c>
      <c r="B2943" s="4" t="s">
        <v>18</v>
      </c>
      <c r="C2943" s="38" t="s">
        <v>489</v>
      </c>
      <c r="D2943" s="4">
        <v>2021</v>
      </c>
      <c r="E2943" s="4" t="s">
        <v>12</v>
      </c>
      <c r="F2943" s="4">
        <v>45</v>
      </c>
      <c r="G2943" s="4">
        <v>5</v>
      </c>
      <c r="H2943" s="4">
        <v>82</v>
      </c>
      <c r="I2943" s="201"/>
      <c r="J2943" s="201"/>
    </row>
    <row r="2944" spans="1:10" s="5" customFormat="1" ht="24" hidden="1" customHeight="1" outlineLevel="1" x14ac:dyDescent="0.25">
      <c r="A2944" s="41">
        <v>9665</v>
      </c>
      <c r="B2944" s="4" t="s">
        <v>18</v>
      </c>
      <c r="C2944" s="38" t="s">
        <v>490</v>
      </c>
      <c r="D2944" s="4">
        <v>2021</v>
      </c>
      <c r="E2944" s="4" t="s">
        <v>12</v>
      </c>
      <c r="F2944" s="4">
        <v>5</v>
      </c>
      <c r="G2944" s="4">
        <v>100</v>
      </c>
      <c r="H2944" s="4">
        <v>42</v>
      </c>
      <c r="I2944" s="201"/>
      <c r="J2944" s="201"/>
    </row>
    <row r="2945" spans="1:10" s="5" customFormat="1" ht="24" hidden="1" customHeight="1" outlineLevel="1" x14ac:dyDescent="0.25">
      <c r="A2945" s="41">
        <v>9099</v>
      </c>
      <c r="B2945" s="4" t="s">
        <v>18</v>
      </c>
      <c r="C2945" s="38" t="s">
        <v>491</v>
      </c>
      <c r="D2945" s="4">
        <v>2021</v>
      </c>
      <c r="E2945" s="4" t="s">
        <v>12</v>
      </c>
      <c r="F2945" s="4">
        <v>62</v>
      </c>
      <c r="G2945" s="4">
        <v>15</v>
      </c>
      <c r="H2945" s="4">
        <v>169</v>
      </c>
      <c r="I2945" s="201"/>
      <c r="J2945" s="201"/>
    </row>
    <row r="2946" spans="1:10" s="5" customFormat="1" ht="24" hidden="1" customHeight="1" outlineLevel="1" x14ac:dyDescent="0.25">
      <c r="A2946" s="41">
        <v>9417</v>
      </c>
      <c r="B2946" s="4" t="s">
        <v>18</v>
      </c>
      <c r="C2946" s="38" t="s">
        <v>492</v>
      </c>
      <c r="D2946" s="4">
        <v>2021</v>
      </c>
      <c r="E2946" s="4" t="s">
        <v>12</v>
      </c>
      <c r="F2946" s="4">
        <v>246</v>
      </c>
      <c r="G2946" s="4">
        <v>35</v>
      </c>
      <c r="H2946" s="4">
        <v>420</v>
      </c>
      <c r="I2946" s="201"/>
      <c r="J2946" s="201"/>
    </row>
    <row r="2947" spans="1:10" s="5" customFormat="1" ht="24" hidden="1" customHeight="1" outlineLevel="1" x14ac:dyDescent="0.25">
      <c r="A2947" s="41">
        <v>9882</v>
      </c>
      <c r="B2947" s="4" t="s">
        <v>18</v>
      </c>
      <c r="C2947" s="38" t="s">
        <v>493</v>
      </c>
      <c r="D2947" s="4">
        <v>2021</v>
      </c>
      <c r="E2947" s="4" t="s">
        <v>12</v>
      </c>
      <c r="F2947" s="4">
        <v>84</v>
      </c>
      <c r="G2947" s="4">
        <v>14</v>
      </c>
      <c r="H2947" s="4">
        <v>181</v>
      </c>
      <c r="I2947" s="201"/>
      <c r="J2947" s="201"/>
    </row>
    <row r="2948" spans="1:10" s="5" customFormat="1" ht="24" hidden="1" customHeight="1" outlineLevel="1" x14ac:dyDescent="0.25">
      <c r="A2948" s="41">
        <v>9602</v>
      </c>
      <c r="B2948" s="4" t="s">
        <v>18</v>
      </c>
      <c r="C2948" s="38" t="s">
        <v>494</v>
      </c>
      <c r="D2948" s="4">
        <v>2021</v>
      </c>
      <c r="E2948" s="4" t="s">
        <v>12</v>
      </c>
      <c r="F2948" s="4">
        <v>14</v>
      </c>
      <c r="G2948" s="4">
        <v>15</v>
      </c>
      <c r="H2948" s="4">
        <v>57</v>
      </c>
      <c r="I2948" s="201"/>
      <c r="J2948" s="201"/>
    </row>
    <row r="2949" spans="1:10" s="5" customFormat="1" ht="24" hidden="1" customHeight="1" outlineLevel="1" x14ac:dyDescent="0.25">
      <c r="A2949" s="41">
        <v>9392</v>
      </c>
      <c r="B2949" s="4" t="s">
        <v>18</v>
      </c>
      <c r="C2949" s="38" t="s">
        <v>495</v>
      </c>
      <c r="D2949" s="4">
        <v>2021</v>
      </c>
      <c r="E2949" s="4" t="s">
        <v>12</v>
      </c>
      <c r="F2949" s="4">
        <v>30</v>
      </c>
      <c r="G2949" s="4">
        <v>15</v>
      </c>
      <c r="H2949" s="4">
        <v>35</v>
      </c>
      <c r="I2949" s="201"/>
      <c r="J2949" s="201"/>
    </row>
    <row r="2950" spans="1:10" s="5" customFormat="1" ht="24" hidden="1" customHeight="1" outlineLevel="1" x14ac:dyDescent="0.25">
      <c r="A2950" s="41">
        <v>9332</v>
      </c>
      <c r="B2950" s="4" t="s">
        <v>18</v>
      </c>
      <c r="C2950" s="38" t="s">
        <v>496</v>
      </c>
      <c r="D2950" s="4">
        <v>2021</v>
      </c>
      <c r="E2950" s="4" t="s">
        <v>12</v>
      </c>
      <c r="F2950" s="4">
        <v>105</v>
      </c>
      <c r="G2950" s="4">
        <v>14</v>
      </c>
      <c r="H2950" s="4">
        <v>76</v>
      </c>
      <c r="I2950" s="201"/>
      <c r="J2950" s="201"/>
    </row>
    <row r="2951" spans="1:10" s="5" customFormat="1" ht="24" hidden="1" customHeight="1" outlineLevel="1" x14ac:dyDescent="0.25">
      <c r="A2951" s="41">
        <v>9086</v>
      </c>
      <c r="B2951" s="4" t="s">
        <v>18</v>
      </c>
      <c r="C2951" s="38" t="s">
        <v>497</v>
      </c>
      <c r="D2951" s="4">
        <v>2021</v>
      </c>
      <c r="E2951" s="4" t="s">
        <v>12</v>
      </c>
      <c r="F2951" s="4">
        <v>150</v>
      </c>
      <c r="G2951" s="4">
        <v>30</v>
      </c>
      <c r="H2951" s="4">
        <v>140</v>
      </c>
      <c r="I2951" s="201"/>
      <c r="J2951" s="201"/>
    </row>
    <row r="2952" spans="1:10" s="5" customFormat="1" ht="24" hidden="1" customHeight="1" outlineLevel="1" x14ac:dyDescent="0.25">
      <c r="A2952" s="41">
        <v>9323</v>
      </c>
      <c r="B2952" s="4" t="s">
        <v>18</v>
      </c>
      <c r="C2952" s="38" t="s">
        <v>498</v>
      </c>
      <c r="D2952" s="4">
        <v>2021</v>
      </c>
      <c r="E2952" s="4" t="s">
        <v>12</v>
      </c>
      <c r="F2952" s="4">
        <v>75</v>
      </c>
      <c r="G2952" s="4">
        <v>15</v>
      </c>
      <c r="H2952" s="4">
        <v>71</v>
      </c>
      <c r="I2952" s="201"/>
      <c r="J2952" s="201"/>
    </row>
    <row r="2953" spans="1:10" s="5" customFormat="1" ht="24" hidden="1" customHeight="1" outlineLevel="1" x14ac:dyDescent="0.25">
      <c r="A2953" s="41">
        <v>9397</v>
      </c>
      <c r="B2953" s="4" t="s">
        <v>18</v>
      </c>
      <c r="C2953" s="38" t="s">
        <v>499</v>
      </c>
      <c r="D2953" s="4">
        <v>2021</v>
      </c>
      <c r="E2953" s="4" t="s">
        <v>12</v>
      </c>
      <c r="F2953" s="4">
        <v>70</v>
      </c>
      <c r="G2953" s="4">
        <v>15</v>
      </c>
      <c r="H2953" s="4">
        <v>64</v>
      </c>
      <c r="I2953" s="201"/>
      <c r="J2953" s="201"/>
    </row>
    <row r="2954" spans="1:10" s="5" customFormat="1" ht="24" hidden="1" customHeight="1" outlineLevel="1" x14ac:dyDescent="0.25">
      <c r="A2954" s="41">
        <v>9674</v>
      </c>
      <c r="B2954" s="4" t="s">
        <v>18</v>
      </c>
      <c r="C2954" s="38" t="s">
        <v>500</v>
      </c>
      <c r="D2954" s="4">
        <v>2021</v>
      </c>
      <c r="E2954" s="4" t="s">
        <v>12</v>
      </c>
      <c r="F2954" s="4">
        <v>30</v>
      </c>
      <c r="G2954" s="4">
        <v>50</v>
      </c>
      <c r="H2954" s="4">
        <v>69</v>
      </c>
      <c r="I2954" s="201"/>
      <c r="J2954" s="201"/>
    </row>
    <row r="2955" spans="1:10" s="5" customFormat="1" ht="24" hidden="1" customHeight="1" outlineLevel="1" x14ac:dyDescent="0.25">
      <c r="A2955" s="42">
        <v>351</v>
      </c>
      <c r="B2955" s="4" t="s">
        <v>18</v>
      </c>
      <c r="C2955" s="38" t="s">
        <v>501</v>
      </c>
      <c r="D2955" s="4">
        <v>2021</v>
      </c>
      <c r="E2955" s="4" t="s">
        <v>12</v>
      </c>
      <c r="F2955" s="4">
        <v>25</v>
      </c>
      <c r="G2955" s="4">
        <v>15</v>
      </c>
      <c r="H2955" s="4">
        <v>63</v>
      </c>
      <c r="I2955" s="201"/>
      <c r="J2955" s="201"/>
    </row>
    <row r="2956" spans="1:10" s="5" customFormat="1" ht="24" hidden="1" customHeight="1" outlineLevel="1" x14ac:dyDescent="0.25">
      <c r="A2956" s="41">
        <v>9331</v>
      </c>
      <c r="B2956" s="4" t="s">
        <v>18</v>
      </c>
      <c r="C2956" s="38" t="s">
        <v>502</v>
      </c>
      <c r="D2956" s="4">
        <v>2021</v>
      </c>
      <c r="E2956" s="4" t="s">
        <v>12</v>
      </c>
      <c r="F2956" s="4">
        <v>65</v>
      </c>
      <c r="G2956" s="4">
        <v>25</v>
      </c>
      <c r="H2956" s="4">
        <v>78</v>
      </c>
      <c r="I2956" s="201"/>
      <c r="J2956" s="201"/>
    </row>
    <row r="2957" spans="1:10" s="5" customFormat="1" ht="24" hidden="1" customHeight="1" outlineLevel="1" x14ac:dyDescent="0.25">
      <c r="A2957" s="41">
        <v>9270</v>
      </c>
      <c r="B2957" s="4" t="s">
        <v>18</v>
      </c>
      <c r="C2957" s="38" t="s">
        <v>503</v>
      </c>
      <c r="D2957" s="4">
        <v>2021</v>
      </c>
      <c r="E2957" s="4" t="s">
        <v>12</v>
      </c>
      <c r="F2957" s="4">
        <v>100</v>
      </c>
      <c r="G2957" s="4">
        <v>30</v>
      </c>
      <c r="H2957" s="4">
        <v>48</v>
      </c>
      <c r="I2957" s="201"/>
      <c r="J2957" s="201"/>
    </row>
    <row r="2958" spans="1:10" s="5" customFormat="1" ht="24" hidden="1" customHeight="1" outlineLevel="1" x14ac:dyDescent="0.25">
      <c r="A2958" s="42">
        <v>526</v>
      </c>
      <c r="B2958" s="4" t="s">
        <v>18</v>
      </c>
      <c r="C2958" s="38" t="s">
        <v>504</v>
      </c>
      <c r="D2958" s="4">
        <v>2021</v>
      </c>
      <c r="E2958" s="4" t="s">
        <v>12</v>
      </c>
      <c r="F2958" s="4">
        <v>30</v>
      </c>
      <c r="G2958" s="4">
        <v>15</v>
      </c>
      <c r="H2958" s="4">
        <v>63</v>
      </c>
      <c r="I2958" s="201"/>
      <c r="J2958" s="201"/>
    </row>
    <row r="2959" spans="1:10" s="5" customFormat="1" ht="24" hidden="1" customHeight="1" outlineLevel="1" x14ac:dyDescent="0.25">
      <c r="A2959" s="42">
        <v>603</v>
      </c>
      <c r="B2959" s="4" t="s">
        <v>18</v>
      </c>
      <c r="C2959" s="38" t="s">
        <v>505</v>
      </c>
      <c r="D2959" s="4">
        <v>2021</v>
      </c>
      <c r="E2959" s="4" t="s">
        <v>12</v>
      </c>
      <c r="F2959" s="4">
        <v>35</v>
      </c>
      <c r="G2959" s="4">
        <v>15</v>
      </c>
      <c r="H2959" s="4">
        <v>48</v>
      </c>
      <c r="I2959" s="201"/>
      <c r="J2959" s="201"/>
    </row>
    <row r="2960" spans="1:10" s="5" customFormat="1" ht="24" hidden="1" customHeight="1" outlineLevel="1" x14ac:dyDescent="0.25">
      <c r="A2960" s="41">
        <v>9653</v>
      </c>
      <c r="B2960" s="4" t="s">
        <v>18</v>
      </c>
      <c r="C2960" s="38" t="s">
        <v>506</v>
      </c>
      <c r="D2960" s="4">
        <v>2021</v>
      </c>
      <c r="E2960" s="4" t="s">
        <v>12</v>
      </c>
      <c r="F2960" s="4">
        <v>10</v>
      </c>
      <c r="G2960" s="4">
        <v>150</v>
      </c>
      <c r="H2960" s="4">
        <v>32</v>
      </c>
      <c r="I2960" s="201"/>
      <c r="J2960" s="201"/>
    </row>
    <row r="2961" spans="1:10" s="5" customFormat="1" ht="24" hidden="1" customHeight="1" outlineLevel="1" x14ac:dyDescent="0.25">
      <c r="A2961" s="41">
        <v>9296</v>
      </c>
      <c r="B2961" s="4" t="s">
        <v>18</v>
      </c>
      <c r="C2961" s="38" t="s">
        <v>507</v>
      </c>
      <c r="D2961" s="4">
        <v>2021</v>
      </c>
      <c r="E2961" s="4" t="s">
        <v>12</v>
      </c>
      <c r="F2961" s="4">
        <v>170</v>
      </c>
      <c r="G2961" s="4">
        <v>15</v>
      </c>
      <c r="H2961" s="4">
        <v>173</v>
      </c>
      <c r="I2961" s="201"/>
      <c r="J2961" s="201"/>
    </row>
    <row r="2962" spans="1:10" s="5" customFormat="1" ht="24" hidden="1" customHeight="1" outlineLevel="1" x14ac:dyDescent="0.25">
      <c r="A2962" s="41">
        <v>9413</v>
      </c>
      <c r="B2962" s="4" t="s">
        <v>18</v>
      </c>
      <c r="C2962" s="38" t="s">
        <v>508</v>
      </c>
      <c r="D2962" s="4">
        <v>2021</v>
      </c>
      <c r="E2962" s="4" t="s">
        <v>12</v>
      </c>
      <c r="F2962" s="4">
        <v>160</v>
      </c>
      <c r="G2962" s="4">
        <v>150</v>
      </c>
      <c r="H2962" s="4">
        <v>62</v>
      </c>
      <c r="I2962" s="201"/>
      <c r="J2962" s="201"/>
    </row>
    <row r="2963" spans="1:10" s="5" customFormat="1" ht="24" hidden="1" customHeight="1" outlineLevel="1" x14ac:dyDescent="0.25">
      <c r="A2963" s="41">
        <v>9320</v>
      </c>
      <c r="B2963" s="4" t="s">
        <v>18</v>
      </c>
      <c r="C2963" s="38" t="s">
        <v>509</v>
      </c>
      <c r="D2963" s="4">
        <v>2021</v>
      </c>
      <c r="E2963" s="4" t="s">
        <v>12</v>
      </c>
      <c r="F2963" s="4">
        <v>45</v>
      </c>
      <c r="G2963" s="4">
        <v>15</v>
      </c>
      <c r="H2963" s="4">
        <v>55</v>
      </c>
      <c r="I2963" s="201"/>
      <c r="J2963" s="201"/>
    </row>
    <row r="2964" spans="1:10" s="5" customFormat="1" ht="24" hidden="1" customHeight="1" outlineLevel="1" x14ac:dyDescent="0.25">
      <c r="A2964" s="41">
        <v>9411</v>
      </c>
      <c r="B2964" s="4" t="s">
        <v>18</v>
      </c>
      <c r="C2964" s="38" t="s">
        <v>510</v>
      </c>
      <c r="D2964" s="4">
        <v>2021</v>
      </c>
      <c r="E2964" s="4" t="s">
        <v>12</v>
      </c>
      <c r="F2964" s="4">
        <v>100</v>
      </c>
      <c r="G2964" s="4">
        <v>15</v>
      </c>
      <c r="H2964" s="4">
        <v>96</v>
      </c>
      <c r="I2964" s="201"/>
      <c r="J2964" s="201"/>
    </row>
    <row r="2965" spans="1:10" s="5" customFormat="1" ht="24" hidden="1" customHeight="1" outlineLevel="1" x14ac:dyDescent="0.25">
      <c r="A2965" s="41">
        <v>9416</v>
      </c>
      <c r="B2965" s="4" t="s">
        <v>18</v>
      </c>
      <c r="C2965" s="38" t="s">
        <v>511</v>
      </c>
      <c r="D2965" s="4">
        <v>2021</v>
      </c>
      <c r="E2965" s="4" t="s">
        <v>12</v>
      </c>
      <c r="F2965" s="4">
        <v>30</v>
      </c>
      <c r="G2965" s="4">
        <v>20</v>
      </c>
      <c r="H2965" s="4">
        <v>55</v>
      </c>
      <c r="I2965" s="201"/>
      <c r="J2965" s="201"/>
    </row>
    <row r="2966" spans="1:10" s="5" customFormat="1" ht="24" hidden="1" customHeight="1" outlineLevel="1" x14ac:dyDescent="0.25">
      <c r="A2966" s="41">
        <v>9405</v>
      </c>
      <c r="B2966" s="4" t="s">
        <v>18</v>
      </c>
      <c r="C2966" s="38" t="s">
        <v>512</v>
      </c>
      <c r="D2966" s="4">
        <v>2021</v>
      </c>
      <c r="E2966" s="4" t="s">
        <v>12</v>
      </c>
      <c r="F2966" s="4">
        <v>30</v>
      </c>
      <c r="G2966" s="4">
        <v>15</v>
      </c>
      <c r="H2966" s="4">
        <v>36</v>
      </c>
      <c r="I2966" s="201"/>
      <c r="J2966" s="201"/>
    </row>
    <row r="2967" spans="1:10" s="5" customFormat="1" ht="24" hidden="1" customHeight="1" outlineLevel="1" x14ac:dyDescent="0.25">
      <c r="A2967" s="41">
        <v>9327</v>
      </c>
      <c r="B2967" s="4" t="s">
        <v>18</v>
      </c>
      <c r="C2967" s="38" t="s">
        <v>513</v>
      </c>
      <c r="D2967" s="4">
        <v>2021</v>
      </c>
      <c r="E2967" s="4" t="s">
        <v>12</v>
      </c>
      <c r="F2967" s="4">
        <v>60</v>
      </c>
      <c r="G2967" s="4">
        <v>15</v>
      </c>
      <c r="H2967" s="4">
        <v>57</v>
      </c>
      <c r="I2967" s="201"/>
      <c r="J2967" s="201"/>
    </row>
    <row r="2968" spans="1:10" s="5" customFormat="1" ht="24" hidden="1" customHeight="1" outlineLevel="1" x14ac:dyDescent="0.25">
      <c r="A2968" s="41">
        <v>9293</v>
      </c>
      <c r="B2968" s="4" t="s">
        <v>18</v>
      </c>
      <c r="C2968" s="38" t="s">
        <v>514</v>
      </c>
      <c r="D2968" s="4">
        <v>2021</v>
      </c>
      <c r="E2968" s="4" t="s">
        <v>12</v>
      </c>
      <c r="F2968" s="4">
        <v>30</v>
      </c>
      <c r="G2968" s="4">
        <v>15</v>
      </c>
      <c r="H2968" s="4">
        <v>39</v>
      </c>
      <c r="I2968" s="201"/>
      <c r="J2968" s="201"/>
    </row>
    <row r="2969" spans="1:10" s="5" customFormat="1" ht="24" hidden="1" customHeight="1" outlineLevel="1" x14ac:dyDescent="0.25">
      <c r="A2969" s="41">
        <v>9453</v>
      </c>
      <c r="B2969" s="4" t="s">
        <v>18</v>
      </c>
      <c r="C2969" s="38" t="s">
        <v>515</v>
      </c>
      <c r="D2969" s="4">
        <v>2021</v>
      </c>
      <c r="E2969" s="4" t="s">
        <v>12</v>
      </c>
      <c r="F2969" s="4">
        <v>5</v>
      </c>
      <c r="G2969" s="4">
        <v>20</v>
      </c>
      <c r="H2969" s="4">
        <v>34</v>
      </c>
      <c r="I2969" s="201"/>
      <c r="J2969" s="201"/>
    </row>
    <row r="2970" spans="1:10" s="5" customFormat="1" ht="24" hidden="1" customHeight="1" outlineLevel="1" x14ac:dyDescent="0.25">
      <c r="A2970" s="41">
        <v>9080</v>
      </c>
      <c r="B2970" s="4" t="s">
        <v>18</v>
      </c>
      <c r="C2970" s="38" t="s">
        <v>516</v>
      </c>
      <c r="D2970" s="4">
        <v>2021</v>
      </c>
      <c r="E2970" s="4" t="s">
        <v>12</v>
      </c>
      <c r="F2970" s="4">
        <v>176</v>
      </c>
      <c r="G2970" s="4">
        <v>15</v>
      </c>
      <c r="H2970" s="4">
        <v>304</v>
      </c>
      <c r="I2970" s="201"/>
      <c r="J2970" s="201"/>
    </row>
    <row r="2971" spans="1:10" s="5" customFormat="1" ht="24" hidden="1" customHeight="1" outlineLevel="1" x14ac:dyDescent="0.25">
      <c r="A2971" s="41">
        <v>9353</v>
      </c>
      <c r="B2971" s="4" t="s">
        <v>18</v>
      </c>
      <c r="C2971" s="38" t="s">
        <v>517</v>
      </c>
      <c r="D2971" s="4">
        <v>2021</v>
      </c>
      <c r="E2971" s="4" t="s">
        <v>12</v>
      </c>
      <c r="F2971" s="4">
        <v>300</v>
      </c>
      <c r="G2971" s="4">
        <v>30</v>
      </c>
      <c r="H2971" s="4">
        <v>125</v>
      </c>
      <c r="I2971" s="201"/>
      <c r="J2971" s="201"/>
    </row>
    <row r="2972" spans="1:10" s="5" customFormat="1" ht="24" hidden="1" customHeight="1" outlineLevel="1" x14ac:dyDescent="0.25">
      <c r="A2972" s="41">
        <v>9379</v>
      </c>
      <c r="B2972" s="4" t="s">
        <v>18</v>
      </c>
      <c r="C2972" s="38" t="s">
        <v>518</v>
      </c>
      <c r="D2972" s="4">
        <v>2021</v>
      </c>
      <c r="E2972" s="4" t="s">
        <v>12</v>
      </c>
      <c r="F2972" s="4">
        <v>40</v>
      </c>
      <c r="G2972" s="4">
        <v>10</v>
      </c>
      <c r="H2972" s="4">
        <v>54</v>
      </c>
      <c r="I2972" s="201"/>
      <c r="J2972" s="201"/>
    </row>
    <row r="2973" spans="1:10" s="5" customFormat="1" ht="24" hidden="1" customHeight="1" outlineLevel="1" x14ac:dyDescent="0.25">
      <c r="A2973" s="41">
        <v>9649</v>
      </c>
      <c r="B2973" s="4" t="s">
        <v>18</v>
      </c>
      <c r="C2973" s="38" t="s">
        <v>519</v>
      </c>
      <c r="D2973" s="4">
        <v>2021</v>
      </c>
      <c r="E2973" s="4" t="s">
        <v>12</v>
      </c>
      <c r="F2973" s="4">
        <v>10</v>
      </c>
      <c r="G2973" s="4">
        <v>15</v>
      </c>
      <c r="H2973" s="4">
        <v>29</v>
      </c>
      <c r="I2973" s="201"/>
      <c r="J2973" s="201"/>
    </row>
    <row r="2974" spans="1:10" s="5" customFormat="1" ht="24" hidden="1" customHeight="1" outlineLevel="1" x14ac:dyDescent="0.25">
      <c r="A2974" s="42">
        <v>909</v>
      </c>
      <c r="B2974" s="4" t="s">
        <v>18</v>
      </c>
      <c r="C2974" s="38" t="s">
        <v>520</v>
      </c>
      <c r="D2974" s="4">
        <v>2021</v>
      </c>
      <c r="E2974" s="4" t="s">
        <v>12</v>
      </c>
      <c r="F2974" s="4">
        <v>5</v>
      </c>
      <c r="G2974" s="4">
        <v>15</v>
      </c>
      <c r="H2974" s="4">
        <v>43</v>
      </c>
      <c r="I2974" s="201"/>
      <c r="J2974" s="201"/>
    </row>
    <row r="2975" spans="1:10" s="5" customFormat="1" ht="24" hidden="1" customHeight="1" outlineLevel="1" x14ac:dyDescent="0.25">
      <c r="A2975" s="42">
        <v>3699</v>
      </c>
      <c r="B2975" s="4" t="s">
        <v>18</v>
      </c>
      <c r="C2975" s="38" t="s">
        <v>521</v>
      </c>
      <c r="D2975" s="4">
        <v>2021</v>
      </c>
      <c r="E2975" s="4" t="s">
        <v>12</v>
      </c>
      <c r="F2975" s="4">
        <v>137</v>
      </c>
      <c r="G2975" s="4">
        <v>15</v>
      </c>
      <c r="H2975" s="4">
        <v>419</v>
      </c>
      <c r="I2975" s="201"/>
      <c r="J2975" s="201"/>
    </row>
    <row r="2976" spans="1:10" s="5" customFormat="1" ht="24" hidden="1" customHeight="1" outlineLevel="1" x14ac:dyDescent="0.25">
      <c r="A2976" s="42">
        <v>920</v>
      </c>
      <c r="B2976" s="4" t="s">
        <v>18</v>
      </c>
      <c r="C2976" s="38" t="s">
        <v>522</v>
      </c>
      <c r="D2976" s="4">
        <v>2021</v>
      </c>
      <c r="E2976" s="4" t="s">
        <v>12</v>
      </c>
      <c r="F2976" s="4">
        <v>78</v>
      </c>
      <c r="G2976" s="4">
        <v>15</v>
      </c>
      <c r="H2976" s="4">
        <v>180</v>
      </c>
      <c r="I2976" s="201"/>
      <c r="J2976" s="201"/>
    </row>
    <row r="2977" spans="1:10" s="5" customFormat="1" ht="24" hidden="1" customHeight="1" outlineLevel="1" x14ac:dyDescent="0.25">
      <c r="A2977" s="41">
        <v>9426</v>
      </c>
      <c r="B2977" s="4" t="s">
        <v>18</v>
      </c>
      <c r="C2977" s="38" t="s">
        <v>523</v>
      </c>
      <c r="D2977" s="4">
        <v>2021</v>
      </c>
      <c r="E2977" s="4" t="s">
        <v>12</v>
      </c>
      <c r="F2977" s="4">
        <v>316</v>
      </c>
      <c r="G2977" s="4">
        <v>14</v>
      </c>
      <c r="H2977" s="4">
        <v>559</v>
      </c>
      <c r="I2977" s="201"/>
      <c r="J2977" s="201"/>
    </row>
    <row r="2978" spans="1:10" s="5" customFormat="1" ht="24" hidden="1" customHeight="1" outlineLevel="1" x14ac:dyDescent="0.25">
      <c r="A2978" s="42">
        <v>3750</v>
      </c>
      <c r="B2978" s="4" t="s">
        <v>18</v>
      </c>
      <c r="C2978" s="38" t="s">
        <v>524</v>
      </c>
      <c r="D2978" s="4">
        <v>2021</v>
      </c>
      <c r="E2978" s="4" t="s">
        <v>12</v>
      </c>
      <c r="F2978" s="4">
        <v>15</v>
      </c>
      <c r="G2978" s="4">
        <v>15</v>
      </c>
      <c r="H2978" s="4">
        <v>38</v>
      </c>
      <c r="I2978" s="201"/>
      <c r="J2978" s="201"/>
    </row>
    <row r="2979" spans="1:10" s="5" customFormat="1" ht="24" hidden="1" customHeight="1" outlineLevel="1" x14ac:dyDescent="0.25">
      <c r="A2979" s="41">
        <v>9590</v>
      </c>
      <c r="B2979" s="4" t="s">
        <v>18</v>
      </c>
      <c r="C2979" s="38" t="s">
        <v>525</v>
      </c>
      <c r="D2979" s="4">
        <v>2021</v>
      </c>
      <c r="E2979" s="4" t="s">
        <v>12</v>
      </c>
      <c r="F2979" s="4">
        <v>32</v>
      </c>
      <c r="G2979" s="4">
        <v>15</v>
      </c>
      <c r="H2979" s="4">
        <v>96</v>
      </c>
      <c r="I2979" s="201"/>
      <c r="J2979" s="201"/>
    </row>
    <row r="2980" spans="1:10" s="5" customFormat="1" ht="24" hidden="1" customHeight="1" outlineLevel="1" x14ac:dyDescent="0.25">
      <c r="A2980" s="41">
        <v>9644</v>
      </c>
      <c r="B2980" s="4" t="s">
        <v>18</v>
      </c>
      <c r="C2980" s="38" t="s">
        <v>526</v>
      </c>
      <c r="D2980" s="4">
        <v>2021</v>
      </c>
      <c r="E2980" s="4" t="s">
        <v>12</v>
      </c>
      <c r="F2980" s="4">
        <v>29</v>
      </c>
      <c r="G2980" s="4">
        <v>100</v>
      </c>
      <c r="H2980" s="4">
        <v>53</v>
      </c>
      <c r="I2980" s="201"/>
      <c r="J2980" s="201"/>
    </row>
    <row r="2981" spans="1:10" s="5" customFormat="1" ht="24" hidden="1" customHeight="1" outlineLevel="1" x14ac:dyDescent="0.25">
      <c r="A2981" s="41">
        <v>9425</v>
      </c>
      <c r="B2981" s="4" t="s">
        <v>18</v>
      </c>
      <c r="C2981" s="38" t="s">
        <v>527</v>
      </c>
      <c r="D2981" s="4">
        <v>2021</v>
      </c>
      <c r="E2981" s="4" t="s">
        <v>12</v>
      </c>
      <c r="F2981" s="4">
        <v>60</v>
      </c>
      <c r="G2981" s="4">
        <v>30</v>
      </c>
      <c r="H2981" s="4">
        <v>80</v>
      </c>
      <c r="I2981" s="201"/>
      <c r="J2981" s="201"/>
    </row>
    <row r="2982" spans="1:10" s="5" customFormat="1" ht="24" hidden="1" customHeight="1" outlineLevel="1" x14ac:dyDescent="0.25">
      <c r="A2982" s="41">
        <v>9642</v>
      </c>
      <c r="B2982" s="4" t="s">
        <v>18</v>
      </c>
      <c r="C2982" s="22" t="s">
        <v>739</v>
      </c>
      <c r="D2982" s="4">
        <v>2021</v>
      </c>
      <c r="E2982" s="4" t="s">
        <v>12</v>
      </c>
      <c r="F2982" s="4">
        <v>20</v>
      </c>
      <c r="G2982" s="4">
        <v>100</v>
      </c>
      <c r="H2982" s="4">
        <v>44</v>
      </c>
      <c r="I2982" s="201"/>
      <c r="J2982" s="201"/>
    </row>
    <row r="2983" spans="1:10" s="5" customFormat="1" ht="24" hidden="1" customHeight="1" outlineLevel="1" x14ac:dyDescent="0.25">
      <c r="A2983" s="41">
        <v>9596</v>
      </c>
      <c r="B2983" s="4" t="s">
        <v>18</v>
      </c>
      <c r="C2983" s="38" t="s">
        <v>528</v>
      </c>
      <c r="D2983" s="4">
        <v>2021</v>
      </c>
      <c r="E2983" s="4" t="s">
        <v>12</v>
      </c>
      <c r="F2983" s="4">
        <v>10</v>
      </c>
      <c r="G2983" s="4">
        <v>60</v>
      </c>
      <c r="H2983" s="4">
        <v>52</v>
      </c>
      <c r="I2983" s="201"/>
      <c r="J2983" s="201"/>
    </row>
    <row r="2984" spans="1:10" s="5" customFormat="1" ht="24" hidden="1" customHeight="1" outlineLevel="1" x14ac:dyDescent="0.25">
      <c r="A2984" s="41">
        <v>9092</v>
      </c>
      <c r="B2984" s="4" t="s">
        <v>18</v>
      </c>
      <c r="C2984" s="38" t="s">
        <v>529</v>
      </c>
      <c r="D2984" s="4">
        <v>2021</v>
      </c>
      <c r="E2984" s="4" t="s">
        <v>12</v>
      </c>
      <c r="F2984" s="4">
        <v>385</v>
      </c>
      <c r="G2984" s="4">
        <v>14</v>
      </c>
      <c r="H2984" s="4">
        <v>275</v>
      </c>
      <c r="I2984" s="201"/>
      <c r="J2984" s="201"/>
    </row>
    <row r="2985" spans="1:10" s="5" customFormat="1" ht="24" hidden="1" customHeight="1" outlineLevel="1" x14ac:dyDescent="0.25">
      <c r="A2985" s="42">
        <v>1132</v>
      </c>
      <c r="B2985" s="4" t="s">
        <v>18</v>
      </c>
      <c r="C2985" s="38" t="s">
        <v>530</v>
      </c>
      <c r="D2985" s="4">
        <v>2021</v>
      </c>
      <c r="E2985" s="4" t="s">
        <v>12</v>
      </c>
      <c r="F2985" s="4">
        <v>30</v>
      </c>
      <c r="G2985" s="4">
        <v>145</v>
      </c>
      <c r="H2985" s="4">
        <v>45</v>
      </c>
      <c r="I2985" s="201"/>
      <c r="J2985" s="201"/>
    </row>
    <row r="2986" spans="1:10" s="5" customFormat="1" ht="24" hidden="1" customHeight="1" outlineLevel="1" x14ac:dyDescent="0.25">
      <c r="A2986" s="41">
        <v>9380</v>
      </c>
      <c r="B2986" s="4" t="s">
        <v>18</v>
      </c>
      <c r="C2986" s="38" t="s">
        <v>531</v>
      </c>
      <c r="D2986" s="4">
        <v>2021</v>
      </c>
      <c r="E2986" s="4" t="s">
        <v>12</v>
      </c>
      <c r="F2986" s="4">
        <v>60</v>
      </c>
      <c r="G2986" s="4">
        <v>15</v>
      </c>
      <c r="H2986" s="4">
        <v>55</v>
      </c>
      <c r="I2986" s="201"/>
      <c r="J2986" s="201"/>
    </row>
    <row r="2987" spans="1:10" s="5" customFormat="1" ht="24" hidden="1" customHeight="1" outlineLevel="1" x14ac:dyDescent="0.25">
      <c r="A2987" s="41">
        <v>9085</v>
      </c>
      <c r="B2987" s="4" t="s">
        <v>18</v>
      </c>
      <c r="C2987" s="38" t="s">
        <v>532</v>
      </c>
      <c r="D2987" s="4">
        <v>2021</v>
      </c>
      <c r="E2987" s="4" t="s">
        <v>12</v>
      </c>
      <c r="F2987" s="4">
        <v>130</v>
      </c>
      <c r="G2987" s="4">
        <v>15</v>
      </c>
      <c r="H2987" s="4">
        <v>105</v>
      </c>
      <c r="I2987" s="201"/>
      <c r="J2987" s="201"/>
    </row>
    <row r="2988" spans="1:10" s="5" customFormat="1" ht="24" hidden="1" customHeight="1" outlineLevel="1" x14ac:dyDescent="0.25">
      <c r="A2988" s="41">
        <v>9673</v>
      </c>
      <c r="B2988" s="4" t="s">
        <v>18</v>
      </c>
      <c r="C2988" s="38" t="s">
        <v>533</v>
      </c>
      <c r="D2988" s="4">
        <v>2021</v>
      </c>
      <c r="E2988" s="4" t="s">
        <v>12</v>
      </c>
      <c r="F2988" s="4">
        <v>10</v>
      </c>
      <c r="G2988" s="4">
        <v>50</v>
      </c>
      <c r="H2988" s="4">
        <v>37</v>
      </c>
      <c r="I2988" s="201"/>
      <c r="J2988" s="201"/>
    </row>
    <row r="2989" spans="1:10" s="5" customFormat="1" ht="24" hidden="1" customHeight="1" outlineLevel="1" x14ac:dyDescent="0.25">
      <c r="A2989" s="41">
        <v>9578</v>
      </c>
      <c r="B2989" s="4" t="s">
        <v>18</v>
      </c>
      <c r="C2989" s="38" t="s">
        <v>534</v>
      </c>
      <c r="D2989" s="4">
        <v>2021</v>
      </c>
      <c r="E2989" s="4" t="s">
        <v>12</v>
      </c>
      <c r="F2989" s="4">
        <v>350</v>
      </c>
      <c r="G2989" s="4">
        <v>15</v>
      </c>
      <c r="H2989" s="4">
        <v>114</v>
      </c>
      <c r="I2989" s="201"/>
      <c r="J2989" s="201"/>
    </row>
    <row r="2990" spans="1:10" s="5" customFormat="1" ht="24" hidden="1" customHeight="1" outlineLevel="1" x14ac:dyDescent="0.25">
      <c r="A2990" s="42">
        <v>373</v>
      </c>
      <c r="B2990" s="4" t="s">
        <v>18</v>
      </c>
      <c r="C2990" s="38" t="s">
        <v>535</v>
      </c>
      <c r="D2990" s="4">
        <v>2021</v>
      </c>
      <c r="E2990" s="4" t="s">
        <v>12</v>
      </c>
      <c r="F2990" s="4">
        <v>25</v>
      </c>
      <c r="G2990" s="4">
        <v>15</v>
      </c>
      <c r="H2990" s="4">
        <v>21</v>
      </c>
      <c r="I2990" s="201"/>
      <c r="J2990" s="201"/>
    </row>
    <row r="2991" spans="1:10" s="5" customFormat="1" ht="24" hidden="1" customHeight="1" outlineLevel="1" x14ac:dyDescent="0.25">
      <c r="A2991" s="41">
        <v>9576</v>
      </c>
      <c r="B2991" s="4" t="s">
        <v>18</v>
      </c>
      <c r="C2991" s="38" t="s">
        <v>536</v>
      </c>
      <c r="D2991" s="4">
        <v>2021</v>
      </c>
      <c r="E2991" s="4" t="s">
        <v>12</v>
      </c>
      <c r="F2991" s="4">
        <v>879</v>
      </c>
      <c r="G2991" s="4">
        <v>390</v>
      </c>
      <c r="H2991" s="4">
        <v>1286</v>
      </c>
      <c r="I2991" s="201"/>
      <c r="J2991" s="201"/>
    </row>
    <row r="2992" spans="1:10" s="5" customFormat="1" ht="24" hidden="1" customHeight="1" outlineLevel="1" x14ac:dyDescent="0.25">
      <c r="A2992" s="42">
        <v>374</v>
      </c>
      <c r="B2992" s="4" t="s">
        <v>18</v>
      </c>
      <c r="C2992" s="38" t="s">
        <v>537</v>
      </c>
      <c r="D2992" s="4">
        <v>2021</v>
      </c>
      <c r="E2992" s="4" t="s">
        <v>12</v>
      </c>
      <c r="F2992" s="4">
        <v>55</v>
      </c>
      <c r="G2992" s="4">
        <v>15</v>
      </c>
      <c r="H2992" s="4">
        <v>105</v>
      </c>
      <c r="I2992" s="201"/>
      <c r="J2992" s="201"/>
    </row>
    <row r="2993" spans="1:10" s="5" customFormat="1" ht="24" hidden="1" customHeight="1" outlineLevel="1" x14ac:dyDescent="0.25">
      <c r="A2993" s="41">
        <v>9278</v>
      </c>
      <c r="B2993" s="4" t="s">
        <v>18</v>
      </c>
      <c r="C2993" s="38" t="s">
        <v>538</v>
      </c>
      <c r="D2993" s="4">
        <v>2021</v>
      </c>
      <c r="E2993" s="4" t="s">
        <v>12</v>
      </c>
      <c r="F2993" s="4">
        <v>80</v>
      </c>
      <c r="G2993" s="4">
        <v>15</v>
      </c>
      <c r="H2993" s="4">
        <v>34</v>
      </c>
      <c r="I2993" s="201"/>
      <c r="J2993" s="201"/>
    </row>
    <row r="2994" spans="1:10" s="5" customFormat="1" ht="24" hidden="1" customHeight="1" outlineLevel="1" x14ac:dyDescent="0.25">
      <c r="A2994" s="41">
        <v>9657</v>
      </c>
      <c r="B2994" s="4" t="s">
        <v>18</v>
      </c>
      <c r="C2994" s="38" t="s">
        <v>539</v>
      </c>
      <c r="D2994" s="4">
        <v>2021</v>
      </c>
      <c r="E2994" s="4" t="s">
        <v>12</v>
      </c>
      <c r="F2994" s="4">
        <v>20</v>
      </c>
      <c r="G2994" s="4">
        <v>15</v>
      </c>
      <c r="H2994" s="4">
        <v>64</v>
      </c>
      <c r="I2994" s="201"/>
      <c r="J2994" s="201"/>
    </row>
    <row r="2995" spans="1:10" s="5" customFormat="1" ht="24" hidden="1" customHeight="1" outlineLevel="1" x14ac:dyDescent="0.25">
      <c r="A2995" s="41">
        <v>9381</v>
      </c>
      <c r="B2995" s="4" t="s">
        <v>18</v>
      </c>
      <c r="C2995" s="38" t="s">
        <v>540</v>
      </c>
      <c r="D2995" s="4">
        <v>2021</v>
      </c>
      <c r="E2995" s="4" t="s">
        <v>12</v>
      </c>
      <c r="F2995" s="4">
        <v>20</v>
      </c>
      <c r="G2995" s="4">
        <v>8</v>
      </c>
      <c r="H2995" s="4">
        <v>34</v>
      </c>
      <c r="I2995" s="201"/>
      <c r="J2995" s="201"/>
    </row>
    <row r="2996" spans="1:10" s="5" customFormat="1" ht="24" hidden="1" customHeight="1" outlineLevel="1" x14ac:dyDescent="0.25">
      <c r="A2996" s="41">
        <v>9594</v>
      </c>
      <c r="B2996" s="4" t="s">
        <v>18</v>
      </c>
      <c r="C2996" s="38" t="s">
        <v>541</v>
      </c>
      <c r="D2996" s="4">
        <v>2021</v>
      </c>
      <c r="E2996" s="4" t="s">
        <v>12</v>
      </c>
      <c r="F2996" s="4">
        <v>30</v>
      </c>
      <c r="G2996" s="4">
        <v>15</v>
      </c>
      <c r="H2996" s="4">
        <v>46</v>
      </c>
      <c r="I2996" s="201"/>
      <c r="J2996" s="201"/>
    </row>
    <row r="2997" spans="1:10" s="5" customFormat="1" ht="24" hidden="1" customHeight="1" outlineLevel="1" x14ac:dyDescent="0.25">
      <c r="A2997" s="41">
        <v>9592</v>
      </c>
      <c r="B2997" s="4" t="s">
        <v>18</v>
      </c>
      <c r="C2997" s="38" t="s">
        <v>542</v>
      </c>
      <c r="D2997" s="4">
        <v>2021</v>
      </c>
      <c r="E2997" s="4" t="s">
        <v>12</v>
      </c>
      <c r="F2997" s="4">
        <v>362</v>
      </c>
      <c r="G2997" s="4">
        <v>90</v>
      </c>
      <c r="H2997" s="4">
        <v>478</v>
      </c>
      <c r="I2997" s="201"/>
      <c r="J2997" s="201"/>
    </row>
    <row r="2998" spans="1:10" s="5" customFormat="1" ht="24" hidden="1" customHeight="1" outlineLevel="1" x14ac:dyDescent="0.25">
      <c r="A2998" s="41">
        <v>9303</v>
      </c>
      <c r="B2998" s="4" t="s">
        <v>18</v>
      </c>
      <c r="C2998" s="38" t="s">
        <v>543</v>
      </c>
      <c r="D2998" s="4">
        <v>2021</v>
      </c>
      <c r="E2998" s="4" t="s">
        <v>12</v>
      </c>
      <c r="F2998" s="4">
        <v>90</v>
      </c>
      <c r="G2998" s="4">
        <v>15</v>
      </c>
      <c r="H2998" s="4">
        <v>99</v>
      </c>
      <c r="I2998" s="201"/>
      <c r="J2998" s="201"/>
    </row>
    <row r="2999" spans="1:10" s="5" customFormat="1" ht="24" hidden="1" customHeight="1" outlineLevel="1" x14ac:dyDescent="0.25">
      <c r="A2999" s="41">
        <v>9608</v>
      </c>
      <c r="B2999" s="4" t="s">
        <v>18</v>
      </c>
      <c r="C2999" s="38" t="s">
        <v>544</v>
      </c>
      <c r="D2999" s="4">
        <v>2021</v>
      </c>
      <c r="E2999" s="4" t="s">
        <v>12</v>
      </c>
      <c r="F2999" s="4">
        <v>23</v>
      </c>
      <c r="G2999" s="4">
        <v>15</v>
      </c>
      <c r="H2999" s="4">
        <v>73</v>
      </c>
      <c r="I2999" s="201"/>
      <c r="J2999" s="201"/>
    </row>
    <row r="3000" spans="1:10" s="5" customFormat="1" ht="24" hidden="1" customHeight="1" outlineLevel="1" x14ac:dyDescent="0.25">
      <c r="A3000" s="41">
        <v>9305</v>
      </c>
      <c r="B3000" s="4" t="s">
        <v>18</v>
      </c>
      <c r="C3000" s="38" t="s">
        <v>545</v>
      </c>
      <c r="D3000" s="4">
        <v>2021</v>
      </c>
      <c r="E3000" s="4" t="s">
        <v>12</v>
      </c>
      <c r="F3000" s="4">
        <v>116</v>
      </c>
      <c r="G3000" s="4">
        <v>15</v>
      </c>
      <c r="H3000" s="4">
        <v>109</v>
      </c>
      <c r="I3000" s="201"/>
      <c r="J3000" s="201"/>
    </row>
    <row r="3001" spans="1:10" s="5" customFormat="1" ht="24" hidden="1" customHeight="1" outlineLevel="1" x14ac:dyDescent="0.25">
      <c r="A3001" s="41">
        <v>9083</v>
      </c>
      <c r="B3001" s="4" t="s">
        <v>18</v>
      </c>
      <c r="C3001" s="38" t="s">
        <v>546</v>
      </c>
      <c r="D3001" s="4">
        <v>2021</v>
      </c>
      <c r="E3001" s="4" t="s">
        <v>12</v>
      </c>
      <c r="F3001" s="4">
        <v>40</v>
      </c>
      <c r="G3001" s="4">
        <v>5</v>
      </c>
      <c r="H3001" s="4">
        <v>51</v>
      </c>
      <c r="I3001" s="201"/>
      <c r="J3001" s="201"/>
    </row>
    <row r="3002" spans="1:10" s="5" customFormat="1" ht="24" hidden="1" customHeight="1" outlineLevel="1" x14ac:dyDescent="0.25">
      <c r="A3002" s="41">
        <v>9307</v>
      </c>
      <c r="B3002" s="4" t="s">
        <v>18</v>
      </c>
      <c r="C3002" s="38" t="s">
        <v>547</v>
      </c>
      <c r="D3002" s="4">
        <v>2021</v>
      </c>
      <c r="E3002" s="4" t="s">
        <v>12</v>
      </c>
      <c r="F3002" s="4">
        <v>54</v>
      </c>
      <c r="G3002" s="4">
        <v>7</v>
      </c>
      <c r="H3002" s="4">
        <v>55</v>
      </c>
      <c r="I3002" s="201"/>
      <c r="J3002" s="201"/>
    </row>
    <row r="3003" spans="1:10" s="5" customFormat="1" ht="24" hidden="1" customHeight="1" outlineLevel="1" x14ac:dyDescent="0.25">
      <c r="A3003" s="41">
        <v>9584</v>
      </c>
      <c r="B3003" s="4" t="s">
        <v>18</v>
      </c>
      <c r="C3003" s="38" t="s">
        <v>548</v>
      </c>
      <c r="D3003" s="4">
        <v>2021</v>
      </c>
      <c r="E3003" s="4" t="s">
        <v>12</v>
      </c>
      <c r="F3003" s="4">
        <v>50</v>
      </c>
      <c r="G3003" s="4">
        <v>14</v>
      </c>
      <c r="H3003" s="4">
        <v>43</v>
      </c>
      <c r="I3003" s="201"/>
      <c r="J3003" s="201"/>
    </row>
    <row r="3004" spans="1:10" s="5" customFormat="1" ht="24" hidden="1" customHeight="1" outlineLevel="1" x14ac:dyDescent="0.25">
      <c r="A3004" s="41">
        <v>9329</v>
      </c>
      <c r="B3004" s="4" t="s">
        <v>18</v>
      </c>
      <c r="C3004" s="38" t="s">
        <v>549</v>
      </c>
      <c r="D3004" s="4">
        <v>2021</v>
      </c>
      <c r="E3004" s="4" t="s">
        <v>12</v>
      </c>
      <c r="F3004" s="4">
        <v>130</v>
      </c>
      <c r="G3004" s="4">
        <v>15</v>
      </c>
      <c r="H3004" s="4">
        <v>74</v>
      </c>
      <c r="I3004" s="201"/>
      <c r="J3004" s="201"/>
    </row>
    <row r="3005" spans="1:10" s="5" customFormat="1" ht="24" hidden="1" customHeight="1" outlineLevel="1" x14ac:dyDescent="0.25">
      <c r="A3005" s="41">
        <v>9084</v>
      </c>
      <c r="B3005" s="4" t="s">
        <v>18</v>
      </c>
      <c r="C3005" s="38" t="s">
        <v>550</v>
      </c>
      <c r="D3005" s="4">
        <v>2021</v>
      </c>
      <c r="E3005" s="4" t="s">
        <v>12</v>
      </c>
      <c r="F3005" s="4">
        <v>85</v>
      </c>
      <c r="G3005" s="4">
        <v>14</v>
      </c>
      <c r="H3005" s="4">
        <v>84</v>
      </c>
      <c r="I3005" s="201"/>
      <c r="J3005" s="201"/>
    </row>
    <row r="3006" spans="1:10" s="5" customFormat="1" ht="24" hidden="1" customHeight="1" outlineLevel="1" x14ac:dyDescent="0.25">
      <c r="A3006" s="41">
        <v>9582</v>
      </c>
      <c r="B3006" s="4" t="s">
        <v>18</v>
      </c>
      <c r="C3006" s="38" t="s">
        <v>551</v>
      </c>
      <c r="D3006" s="4">
        <v>2021</v>
      </c>
      <c r="E3006" s="4" t="s">
        <v>12</v>
      </c>
      <c r="F3006" s="4">
        <v>21</v>
      </c>
      <c r="G3006" s="4">
        <v>14</v>
      </c>
      <c r="H3006" s="4">
        <v>37</v>
      </c>
      <c r="I3006" s="201"/>
      <c r="J3006" s="201"/>
    </row>
    <row r="3007" spans="1:10" s="5" customFormat="1" ht="24" hidden="1" customHeight="1" outlineLevel="1" x14ac:dyDescent="0.25">
      <c r="A3007" s="41">
        <v>9593</v>
      </c>
      <c r="B3007" s="4" t="s">
        <v>18</v>
      </c>
      <c r="C3007" s="38" t="s">
        <v>552</v>
      </c>
      <c r="D3007" s="4">
        <v>2021</v>
      </c>
      <c r="E3007" s="4" t="s">
        <v>12</v>
      </c>
      <c r="F3007" s="4">
        <v>30</v>
      </c>
      <c r="G3007" s="4">
        <v>15</v>
      </c>
      <c r="H3007" s="4">
        <v>34</v>
      </c>
      <c r="I3007" s="201"/>
      <c r="J3007" s="201"/>
    </row>
    <row r="3008" spans="1:10" s="5" customFormat="1" ht="24" hidden="1" customHeight="1" outlineLevel="1" x14ac:dyDescent="0.25">
      <c r="A3008" s="41">
        <v>9587</v>
      </c>
      <c r="B3008" s="4" t="s">
        <v>18</v>
      </c>
      <c r="C3008" s="38" t="s">
        <v>553</v>
      </c>
      <c r="D3008" s="4">
        <v>2021</v>
      </c>
      <c r="E3008" s="4" t="s">
        <v>12</v>
      </c>
      <c r="F3008" s="4">
        <v>4</v>
      </c>
      <c r="G3008" s="4">
        <v>1</v>
      </c>
      <c r="H3008" s="4">
        <v>71</v>
      </c>
      <c r="I3008" s="201"/>
      <c r="J3008" s="201"/>
    </row>
    <row r="3009" spans="1:10" s="5" customFormat="1" ht="24" hidden="1" customHeight="1" outlineLevel="1" x14ac:dyDescent="0.25">
      <c r="A3009" s="41">
        <v>9288</v>
      </c>
      <c r="B3009" s="4" t="s">
        <v>18</v>
      </c>
      <c r="C3009" s="38" t="s">
        <v>554</v>
      </c>
      <c r="D3009" s="4">
        <v>2021</v>
      </c>
      <c r="E3009" s="4" t="s">
        <v>12</v>
      </c>
      <c r="F3009" s="4">
        <v>225</v>
      </c>
      <c r="G3009" s="4">
        <v>10</v>
      </c>
      <c r="H3009" s="4">
        <v>306</v>
      </c>
      <c r="I3009" s="201"/>
      <c r="J3009" s="201"/>
    </row>
    <row r="3010" spans="1:10" s="5" customFormat="1" ht="24" hidden="1" customHeight="1" outlineLevel="1" x14ac:dyDescent="0.25">
      <c r="A3010" s="41">
        <v>9655</v>
      </c>
      <c r="B3010" s="4" t="s">
        <v>18</v>
      </c>
      <c r="C3010" s="38" t="s">
        <v>555</v>
      </c>
      <c r="D3010" s="4">
        <v>2021</v>
      </c>
      <c r="E3010" s="4" t="s">
        <v>12</v>
      </c>
      <c r="F3010" s="4">
        <v>225</v>
      </c>
      <c r="G3010" s="4">
        <v>100</v>
      </c>
      <c r="H3010" s="4">
        <v>198</v>
      </c>
      <c r="I3010" s="201"/>
      <c r="J3010" s="201"/>
    </row>
    <row r="3011" spans="1:10" s="5" customFormat="1" ht="24" hidden="1" customHeight="1" outlineLevel="1" x14ac:dyDescent="0.25">
      <c r="A3011" s="41">
        <v>9597</v>
      </c>
      <c r="B3011" s="4" t="s">
        <v>18</v>
      </c>
      <c r="C3011" s="38" t="s">
        <v>556</v>
      </c>
      <c r="D3011" s="4">
        <v>2021</v>
      </c>
      <c r="E3011" s="4" t="s">
        <v>12</v>
      </c>
      <c r="F3011" s="4">
        <v>30</v>
      </c>
      <c r="G3011" s="4">
        <v>150</v>
      </c>
      <c r="H3011" s="4">
        <v>37</v>
      </c>
      <c r="I3011" s="201"/>
      <c r="J3011" s="201"/>
    </row>
    <row r="3012" spans="1:10" s="5" customFormat="1" ht="24" hidden="1" customHeight="1" outlineLevel="1" x14ac:dyDescent="0.25">
      <c r="A3012" s="42">
        <v>1130</v>
      </c>
      <c r="B3012" s="4" t="s">
        <v>18</v>
      </c>
      <c r="C3012" s="38" t="s">
        <v>557</v>
      </c>
      <c r="D3012" s="4">
        <v>2021</v>
      </c>
      <c r="E3012" s="4" t="s">
        <v>12</v>
      </c>
      <c r="F3012" s="4">
        <v>45</v>
      </c>
      <c r="G3012" s="4">
        <v>110</v>
      </c>
      <c r="H3012" s="4">
        <v>42</v>
      </c>
      <c r="I3012" s="201"/>
      <c r="J3012" s="201"/>
    </row>
    <row r="3013" spans="1:10" s="5" customFormat="1" ht="24" hidden="1" customHeight="1" outlineLevel="1" x14ac:dyDescent="0.25">
      <c r="A3013" s="41">
        <v>9606</v>
      </c>
      <c r="B3013" s="4" t="s">
        <v>18</v>
      </c>
      <c r="C3013" s="38" t="s">
        <v>558</v>
      </c>
      <c r="D3013" s="4">
        <v>2021</v>
      </c>
      <c r="E3013" s="4" t="s">
        <v>12</v>
      </c>
      <c r="F3013" s="4">
        <v>5</v>
      </c>
      <c r="G3013" s="4">
        <v>15</v>
      </c>
      <c r="H3013" s="4">
        <v>35</v>
      </c>
      <c r="I3013" s="201"/>
      <c r="J3013" s="201"/>
    </row>
    <row r="3014" spans="1:10" s="5" customFormat="1" ht="24" hidden="1" customHeight="1" outlineLevel="1" x14ac:dyDescent="0.25">
      <c r="A3014" s="41">
        <v>9586</v>
      </c>
      <c r="B3014" s="4" t="s">
        <v>18</v>
      </c>
      <c r="C3014" s="38" t="s">
        <v>559</v>
      </c>
      <c r="D3014" s="4">
        <v>2021</v>
      </c>
      <c r="E3014" s="4" t="s">
        <v>12</v>
      </c>
      <c r="F3014" s="4">
        <v>252</v>
      </c>
      <c r="G3014" s="4">
        <v>45</v>
      </c>
      <c r="H3014" s="4">
        <v>203</v>
      </c>
      <c r="I3014" s="201"/>
      <c r="J3014" s="201"/>
    </row>
    <row r="3015" spans="1:10" s="5" customFormat="1" ht="24" hidden="1" customHeight="1" outlineLevel="1" x14ac:dyDescent="0.25">
      <c r="A3015" s="41">
        <v>9667</v>
      </c>
      <c r="B3015" s="4" t="s">
        <v>18</v>
      </c>
      <c r="C3015" s="38" t="s">
        <v>560</v>
      </c>
      <c r="D3015" s="4">
        <v>2021</v>
      </c>
      <c r="E3015" s="4" t="s">
        <v>12</v>
      </c>
      <c r="F3015" s="4">
        <v>15</v>
      </c>
      <c r="G3015" s="4">
        <v>70</v>
      </c>
      <c r="H3015" s="4">
        <v>76</v>
      </c>
      <c r="I3015" s="201"/>
      <c r="J3015" s="201"/>
    </row>
    <row r="3016" spans="1:10" s="5" customFormat="1" ht="24" hidden="1" customHeight="1" outlineLevel="1" x14ac:dyDescent="0.25">
      <c r="A3016" s="42">
        <v>1147</v>
      </c>
      <c r="B3016" s="4" t="s">
        <v>18</v>
      </c>
      <c r="C3016" s="38" t="s">
        <v>561</v>
      </c>
      <c r="D3016" s="4">
        <v>2021</v>
      </c>
      <c r="E3016" s="4" t="s">
        <v>12</v>
      </c>
      <c r="F3016" s="4">
        <v>15</v>
      </c>
      <c r="G3016" s="4">
        <v>104</v>
      </c>
      <c r="H3016" s="4">
        <v>41</v>
      </c>
      <c r="I3016" s="201"/>
      <c r="J3016" s="201"/>
    </row>
    <row r="3017" spans="1:10" s="5" customFormat="1" ht="24" hidden="1" customHeight="1" outlineLevel="1" x14ac:dyDescent="0.25">
      <c r="A3017" s="41">
        <v>9651</v>
      </c>
      <c r="B3017" s="4" t="s">
        <v>18</v>
      </c>
      <c r="C3017" s="38" t="s">
        <v>562</v>
      </c>
      <c r="D3017" s="4">
        <v>2021</v>
      </c>
      <c r="E3017" s="4" t="s">
        <v>12</v>
      </c>
      <c r="F3017" s="4">
        <v>10</v>
      </c>
      <c r="G3017" s="4">
        <v>5</v>
      </c>
      <c r="H3017" s="4">
        <v>33</v>
      </c>
      <c r="I3017" s="201"/>
      <c r="J3017" s="201"/>
    </row>
    <row r="3018" spans="1:10" s="5" customFormat="1" ht="24" hidden="1" customHeight="1" outlineLevel="1" x14ac:dyDescent="0.25">
      <c r="A3018" s="41">
        <v>9375</v>
      </c>
      <c r="B3018" s="4" t="s">
        <v>18</v>
      </c>
      <c r="C3018" s="38" t="s">
        <v>563</v>
      </c>
      <c r="D3018" s="4">
        <v>2021</v>
      </c>
      <c r="E3018" s="4" t="s">
        <v>12</v>
      </c>
      <c r="F3018" s="4">
        <v>25</v>
      </c>
      <c r="G3018" s="4">
        <v>5</v>
      </c>
      <c r="H3018" s="4">
        <v>30</v>
      </c>
      <c r="I3018" s="201"/>
      <c r="J3018" s="201"/>
    </row>
    <row r="3019" spans="1:10" s="5" customFormat="1" ht="24" hidden="1" customHeight="1" outlineLevel="1" x14ac:dyDescent="0.25">
      <c r="A3019" s="41">
        <v>9428</v>
      </c>
      <c r="B3019" s="4" t="s">
        <v>18</v>
      </c>
      <c r="C3019" s="38" t="s">
        <v>564</v>
      </c>
      <c r="D3019" s="4">
        <v>2021</v>
      </c>
      <c r="E3019" s="4" t="s">
        <v>12</v>
      </c>
      <c r="F3019" s="4">
        <v>155</v>
      </c>
      <c r="G3019" s="4">
        <v>150</v>
      </c>
      <c r="H3019" s="4">
        <v>148</v>
      </c>
      <c r="I3019" s="201"/>
      <c r="J3019" s="201"/>
    </row>
    <row r="3020" spans="1:10" s="5" customFormat="1" ht="24" hidden="1" customHeight="1" outlineLevel="1" x14ac:dyDescent="0.25">
      <c r="A3020" s="42">
        <v>3883</v>
      </c>
      <c r="B3020" s="4" t="s">
        <v>18</v>
      </c>
      <c r="C3020" s="38" t="s">
        <v>565</v>
      </c>
      <c r="D3020" s="4">
        <v>2021</v>
      </c>
      <c r="E3020" s="4" t="s">
        <v>12</v>
      </c>
      <c r="F3020" s="4">
        <v>33</v>
      </c>
      <c r="G3020" s="4">
        <v>15</v>
      </c>
      <c r="H3020" s="4">
        <v>124.5214</v>
      </c>
      <c r="I3020" s="201"/>
      <c r="J3020" s="201"/>
    </row>
    <row r="3021" spans="1:10" s="5" customFormat="1" ht="24" hidden="1" customHeight="1" outlineLevel="1" x14ac:dyDescent="0.25">
      <c r="A3021" s="41">
        <v>9714</v>
      </c>
      <c r="B3021" s="4" t="s">
        <v>18</v>
      </c>
      <c r="C3021" s="38" t="s">
        <v>566</v>
      </c>
      <c r="D3021" s="4">
        <v>2021</v>
      </c>
      <c r="E3021" s="4" t="s">
        <v>12</v>
      </c>
      <c r="F3021" s="4">
        <v>6</v>
      </c>
      <c r="G3021" s="4">
        <v>15</v>
      </c>
      <c r="H3021" s="4">
        <v>141.51003</v>
      </c>
      <c r="I3021" s="201"/>
      <c r="J3021" s="201"/>
    </row>
    <row r="3022" spans="1:10" s="5" customFormat="1" ht="24" hidden="1" customHeight="1" outlineLevel="1" x14ac:dyDescent="0.25">
      <c r="A3022" s="41">
        <v>9863</v>
      </c>
      <c r="B3022" s="4" t="s">
        <v>18</v>
      </c>
      <c r="C3022" s="38" t="s">
        <v>567</v>
      </c>
      <c r="D3022" s="4">
        <v>2021</v>
      </c>
      <c r="E3022" s="4" t="s">
        <v>12</v>
      </c>
      <c r="F3022" s="4">
        <v>60</v>
      </c>
      <c r="G3022" s="4">
        <v>15</v>
      </c>
      <c r="H3022" s="4">
        <v>163.07760999999999</v>
      </c>
      <c r="I3022" s="201"/>
      <c r="J3022" s="201"/>
    </row>
    <row r="3023" spans="1:10" s="5" customFormat="1" ht="24" hidden="1" customHeight="1" outlineLevel="1" x14ac:dyDescent="0.25">
      <c r="A3023" s="41">
        <v>9811</v>
      </c>
      <c r="B3023" s="4" t="s">
        <v>18</v>
      </c>
      <c r="C3023" s="38" t="s">
        <v>568</v>
      </c>
      <c r="D3023" s="4">
        <v>2021</v>
      </c>
      <c r="E3023" s="4" t="s">
        <v>12</v>
      </c>
      <c r="F3023" s="4">
        <v>80</v>
      </c>
      <c r="G3023" s="4">
        <v>15</v>
      </c>
      <c r="H3023" s="4">
        <v>155.86415</v>
      </c>
      <c r="I3023" s="201"/>
      <c r="J3023" s="201"/>
    </row>
    <row r="3024" spans="1:10" s="5" customFormat="1" ht="24" hidden="1" customHeight="1" outlineLevel="1" x14ac:dyDescent="0.25">
      <c r="A3024" s="41">
        <v>9829</v>
      </c>
      <c r="B3024" s="4" t="s">
        <v>18</v>
      </c>
      <c r="C3024" s="38" t="s">
        <v>569</v>
      </c>
      <c r="D3024" s="4">
        <v>2021</v>
      </c>
      <c r="E3024" s="4" t="s">
        <v>12</v>
      </c>
      <c r="F3024" s="4">
        <v>100</v>
      </c>
      <c r="G3024" s="4">
        <v>8</v>
      </c>
      <c r="H3024" s="4">
        <v>103.056</v>
      </c>
      <c r="I3024" s="201"/>
      <c r="J3024" s="201"/>
    </row>
    <row r="3025" spans="1:10" s="5" customFormat="1" ht="24" hidden="1" customHeight="1" outlineLevel="1" x14ac:dyDescent="0.25">
      <c r="A3025" s="41">
        <v>9845</v>
      </c>
      <c r="B3025" s="4" t="s">
        <v>18</v>
      </c>
      <c r="C3025" s="38" t="s">
        <v>570</v>
      </c>
      <c r="D3025" s="4">
        <v>2021</v>
      </c>
      <c r="E3025" s="4" t="s">
        <v>12</v>
      </c>
      <c r="F3025" s="4">
        <v>60</v>
      </c>
      <c r="G3025" s="4">
        <v>15</v>
      </c>
      <c r="H3025" s="4">
        <v>115.29628</v>
      </c>
      <c r="I3025" s="201"/>
      <c r="J3025" s="201"/>
    </row>
    <row r="3026" spans="1:10" s="5" customFormat="1" ht="24" hidden="1" customHeight="1" outlineLevel="1" x14ac:dyDescent="0.25">
      <c r="A3026" s="41">
        <v>9805</v>
      </c>
      <c r="B3026" s="4" t="s">
        <v>18</v>
      </c>
      <c r="C3026" s="38" t="s">
        <v>571</v>
      </c>
      <c r="D3026" s="4">
        <v>2021</v>
      </c>
      <c r="E3026" s="4" t="s">
        <v>12</v>
      </c>
      <c r="F3026" s="4">
        <v>80</v>
      </c>
      <c r="G3026" s="4">
        <v>15</v>
      </c>
      <c r="H3026" s="4">
        <v>119.78367</v>
      </c>
      <c r="I3026" s="201"/>
      <c r="J3026" s="201"/>
    </row>
    <row r="3027" spans="1:10" s="5" customFormat="1" ht="24" hidden="1" customHeight="1" outlineLevel="1" x14ac:dyDescent="0.25">
      <c r="A3027" s="41">
        <v>9848</v>
      </c>
      <c r="B3027" s="4" t="s">
        <v>18</v>
      </c>
      <c r="C3027" s="38" t="s">
        <v>572</v>
      </c>
      <c r="D3027" s="4">
        <v>2021</v>
      </c>
      <c r="E3027" s="4" t="s">
        <v>12</v>
      </c>
      <c r="F3027" s="4">
        <v>60</v>
      </c>
      <c r="G3027" s="4">
        <v>15</v>
      </c>
      <c r="H3027" s="4">
        <v>109.9451</v>
      </c>
      <c r="I3027" s="201"/>
      <c r="J3027" s="201"/>
    </row>
    <row r="3028" spans="1:10" s="5" customFormat="1" ht="24" hidden="1" customHeight="1" outlineLevel="1" x14ac:dyDescent="0.25">
      <c r="A3028" s="41">
        <v>9821</v>
      </c>
      <c r="B3028" s="4" t="s">
        <v>18</v>
      </c>
      <c r="C3028" s="38" t="s">
        <v>573</v>
      </c>
      <c r="D3028" s="4">
        <v>2021</v>
      </c>
      <c r="E3028" s="4" t="s">
        <v>12</v>
      </c>
      <c r="F3028" s="4">
        <v>180</v>
      </c>
      <c r="G3028" s="4">
        <v>22</v>
      </c>
      <c r="H3028" s="4">
        <v>167.40890999999999</v>
      </c>
      <c r="I3028" s="201"/>
      <c r="J3028" s="201"/>
    </row>
    <row r="3029" spans="1:10" s="5" customFormat="1" ht="24" hidden="1" customHeight="1" outlineLevel="1" x14ac:dyDescent="0.25">
      <c r="A3029" s="42">
        <v>1360</v>
      </c>
      <c r="B3029" s="4" t="s">
        <v>18</v>
      </c>
      <c r="C3029" s="38" t="s">
        <v>574</v>
      </c>
      <c r="D3029" s="4">
        <v>2021</v>
      </c>
      <c r="E3029" s="4" t="s">
        <v>12</v>
      </c>
      <c r="F3029" s="4">
        <v>350</v>
      </c>
      <c r="G3029" s="4">
        <v>30</v>
      </c>
      <c r="H3029" s="4">
        <v>232.52203</v>
      </c>
      <c r="I3029" s="201"/>
      <c r="J3029" s="201"/>
    </row>
    <row r="3030" spans="1:10" s="5" customFormat="1" ht="24" hidden="1" customHeight="1" outlineLevel="1" x14ac:dyDescent="0.25">
      <c r="A3030" s="42">
        <v>1482</v>
      </c>
      <c r="B3030" s="4" t="s">
        <v>18</v>
      </c>
      <c r="C3030" s="38" t="s">
        <v>575</v>
      </c>
      <c r="D3030" s="4">
        <v>2021</v>
      </c>
      <c r="E3030" s="4" t="s">
        <v>12</v>
      </c>
      <c r="F3030" s="4">
        <v>100</v>
      </c>
      <c r="G3030" s="4">
        <v>15</v>
      </c>
      <c r="H3030" s="4">
        <v>90.38073</v>
      </c>
      <c r="I3030" s="201"/>
      <c r="J3030" s="201"/>
    </row>
    <row r="3031" spans="1:10" s="5" customFormat="1" ht="24" hidden="1" customHeight="1" outlineLevel="1" x14ac:dyDescent="0.25">
      <c r="A3031" s="41">
        <v>9798</v>
      </c>
      <c r="B3031" s="4" t="s">
        <v>18</v>
      </c>
      <c r="C3031" s="38" t="s">
        <v>576</v>
      </c>
      <c r="D3031" s="4">
        <v>2021</v>
      </c>
      <c r="E3031" s="4" t="s">
        <v>12</v>
      </c>
      <c r="F3031" s="4">
        <v>130</v>
      </c>
      <c r="G3031" s="4">
        <v>15</v>
      </c>
      <c r="H3031" s="4">
        <v>151.46764999999999</v>
      </c>
      <c r="I3031" s="201"/>
      <c r="J3031" s="201"/>
    </row>
    <row r="3032" spans="1:10" s="5" customFormat="1" ht="24" hidden="1" customHeight="1" outlineLevel="1" x14ac:dyDescent="0.25">
      <c r="A3032" s="41">
        <v>9851</v>
      </c>
      <c r="B3032" s="4" t="s">
        <v>18</v>
      </c>
      <c r="C3032" s="38" t="s">
        <v>577</v>
      </c>
      <c r="D3032" s="4">
        <v>2021</v>
      </c>
      <c r="E3032" s="4" t="s">
        <v>12</v>
      </c>
      <c r="F3032" s="4">
        <v>30</v>
      </c>
      <c r="G3032" s="4">
        <v>8</v>
      </c>
      <c r="H3032" s="4">
        <v>91.181190000000001</v>
      </c>
      <c r="I3032" s="201"/>
      <c r="J3032" s="201"/>
    </row>
    <row r="3033" spans="1:10" s="5" customFormat="1" ht="24" hidden="1" customHeight="1" outlineLevel="1" x14ac:dyDescent="0.25">
      <c r="A3033" s="41">
        <v>9842</v>
      </c>
      <c r="B3033" s="4" t="s">
        <v>18</v>
      </c>
      <c r="C3033" s="38" t="s">
        <v>578</v>
      </c>
      <c r="D3033" s="4">
        <v>2021</v>
      </c>
      <c r="E3033" s="4" t="s">
        <v>12</v>
      </c>
      <c r="F3033" s="4">
        <v>100</v>
      </c>
      <c r="G3033" s="4">
        <v>15</v>
      </c>
      <c r="H3033" s="4">
        <v>100.06368000000001</v>
      </c>
      <c r="I3033" s="201"/>
      <c r="J3033" s="201"/>
    </row>
    <row r="3034" spans="1:10" s="5" customFormat="1" ht="24" hidden="1" customHeight="1" outlineLevel="1" x14ac:dyDescent="0.25">
      <c r="A3034" s="41">
        <v>9810</v>
      </c>
      <c r="B3034" s="4" t="s">
        <v>18</v>
      </c>
      <c r="C3034" s="38" t="s">
        <v>579</v>
      </c>
      <c r="D3034" s="4">
        <v>2021</v>
      </c>
      <c r="E3034" s="4" t="s">
        <v>12</v>
      </c>
      <c r="F3034" s="4">
        <v>180</v>
      </c>
      <c r="G3034" s="4">
        <v>29</v>
      </c>
      <c r="H3034" s="4">
        <v>210.72644</v>
      </c>
      <c r="I3034" s="201"/>
      <c r="J3034" s="201"/>
    </row>
    <row r="3035" spans="1:10" s="5" customFormat="1" ht="24" hidden="1" customHeight="1" outlineLevel="1" x14ac:dyDescent="0.25">
      <c r="A3035" s="42">
        <v>1518</v>
      </c>
      <c r="B3035" s="4" t="s">
        <v>18</v>
      </c>
      <c r="C3035" s="38" t="s">
        <v>580</v>
      </c>
      <c r="D3035" s="4">
        <v>2021</v>
      </c>
      <c r="E3035" s="4" t="s">
        <v>12</v>
      </c>
      <c r="F3035" s="4">
        <v>360</v>
      </c>
      <c r="G3035" s="4">
        <v>15</v>
      </c>
      <c r="H3035" s="4">
        <v>487.22561999999999</v>
      </c>
      <c r="I3035" s="201"/>
      <c r="J3035" s="201"/>
    </row>
    <row r="3036" spans="1:10" s="5" customFormat="1" ht="24" hidden="1" customHeight="1" outlineLevel="1" x14ac:dyDescent="0.25">
      <c r="A3036" s="41">
        <v>9816</v>
      </c>
      <c r="B3036" s="4" t="s">
        <v>18</v>
      </c>
      <c r="C3036" s="38" t="s">
        <v>581</v>
      </c>
      <c r="D3036" s="4">
        <v>2021</v>
      </c>
      <c r="E3036" s="4" t="s">
        <v>12</v>
      </c>
      <c r="F3036" s="4">
        <v>150</v>
      </c>
      <c r="G3036" s="4">
        <v>15</v>
      </c>
      <c r="H3036" s="4">
        <v>104.86706</v>
      </c>
      <c r="I3036" s="201"/>
      <c r="J3036" s="201"/>
    </row>
    <row r="3037" spans="1:10" s="5" customFormat="1" ht="24" hidden="1" customHeight="1" outlineLevel="1" x14ac:dyDescent="0.25">
      <c r="A3037" s="41">
        <v>9835</v>
      </c>
      <c r="B3037" s="4" t="s">
        <v>18</v>
      </c>
      <c r="C3037" s="38" t="s">
        <v>582</v>
      </c>
      <c r="D3037" s="4">
        <v>2021</v>
      </c>
      <c r="E3037" s="4" t="s">
        <v>12</v>
      </c>
      <c r="F3037" s="4">
        <v>250</v>
      </c>
      <c r="G3037" s="4">
        <v>15</v>
      </c>
      <c r="H3037" s="4">
        <v>262.64254</v>
      </c>
      <c r="I3037" s="201"/>
      <c r="J3037" s="201"/>
    </row>
    <row r="3038" spans="1:10" s="5" customFormat="1" ht="24" hidden="1" customHeight="1" outlineLevel="1" x14ac:dyDescent="0.25">
      <c r="A3038" s="41">
        <v>9732</v>
      </c>
      <c r="B3038" s="4" t="s">
        <v>18</v>
      </c>
      <c r="C3038" s="38" t="s">
        <v>583</v>
      </c>
      <c r="D3038" s="4">
        <v>2021</v>
      </c>
      <c r="E3038" s="4" t="s">
        <v>12</v>
      </c>
      <c r="F3038" s="4">
        <v>30</v>
      </c>
      <c r="G3038" s="4">
        <v>150</v>
      </c>
      <c r="H3038" s="4">
        <v>72.806120000000007</v>
      </c>
      <c r="I3038" s="201"/>
      <c r="J3038" s="201"/>
    </row>
    <row r="3039" spans="1:10" s="5" customFormat="1" ht="24" hidden="1" customHeight="1" outlineLevel="1" x14ac:dyDescent="0.25">
      <c r="A3039" s="41">
        <v>9832</v>
      </c>
      <c r="B3039" s="4" t="s">
        <v>18</v>
      </c>
      <c r="C3039" s="38" t="s">
        <v>584</v>
      </c>
      <c r="D3039" s="4">
        <v>2021</v>
      </c>
      <c r="E3039" s="4" t="s">
        <v>12</v>
      </c>
      <c r="F3039" s="4">
        <v>80</v>
      </c>
      <c r="G3039" s="4">
        <v>15</v>
      </c>
      <c r="H3039" s="4">
        <v>129.79141000000001</v>
      </c>
      <c r="I3039" s="201"/>
      <c r="J3039" s="201"/>
    </row>
    <row r="3040" spans="1:10" s="5" customFormat="1" ht="24" hidden="1" customHeight="1" outlineLevel="1" x14ac:dyDescent="0.25">
      <c r="A3040" s="42">
        <v>1454</v>
      </c>
      <c r="B3040" s="4" t="s">
        <v>18</v>
      </c>
      <c r="C3040" s="38" t="s">
        <v>585</v>
      </c>
      <c r="D3040" s="4">
        <v>2021</v>
      </c>
      <c r="E3040" s="4" t="s">
        <v>12</v>
      </c>
      <c r="F3040" s="4">
        <v>75</v>
      </c>
      <c r="G3040" s="4">
        <v>15</v>
      </c>
      <c r="H3040" s="4">
        <v>127.32725000000001</v>
      </c>
      <c r="I3040" s="201"/>
      <c r="J3040" s="201"/>
    </row>
    <row r="3041" spans="1:10" s="5" customFormat="1" ht="24" hidden="1" customHeight="1" outlineLevel="1" x14ac:dyDescent="0.25">
      <c r="A3041" s="41">
        <v>9854</v>
      </c>
      <c r="B3041" s="4" t="s">
        <v>18</v>
      </c>
      <c r="C3041" s="38" t="s">
        <v>586</v>
      </c>
      <c r="D3041" s="4">
        <v>2021</v>
      </c>
      <c r="E3041" s="4" t="s">
        <v>12</v>
      </c>
      <c r="F3041" s="4">
        <v>150</v>
      </c>
      <c r="G3041" s="4">
        <v>15</v>
      </c>
      <c r="H3041" s="4">
        <v>132.79984999999999</v>
      </c>
      <c r="I3041" s="201"/>
      <c r="J3041" s="201"/>
    </row>
    <row r="3042" spans="1:10" s="5" customFormat="1" ht="24" hidden="1" customHeight="1" outlineLevel="1" x14ac:dyDescent="0.25">
      <c r="A3042" s="42">
        <v>1476</v>
      </c>
      <c r="B3042" s="4" t="s">
        <v>18</v>
      </c>
      <c r="C3042" s="38" t="s">
        <v>587</v>
      </c>
      <c r="D3042" s="4">
        <v>2021</v>
      </c>
      <c r="E3042" s="4" t="s">
        <v>12</v>
      </c>
      <c r="F3042" s="4">
        <v>100</v>
      </c>
      <c r="G3042" s="4">
        <v>15</v>
      </c>
      <c r="H3042" s="4">
        <v>139.93108000000001</v>
      </c>
      <c r="I3042" s="201"/>
      <c r="J3042" s="201"/>
    </row>
    <row r="3043" spans="1:10" s="5" customFormat="1" ht="24" hidden="1" customHeight="1" outlineLevel="1" x14ac:dyDescent="0.25">
      <c r="A3043" s="41">
        <v>9831</v>
      </c>
      <c r="B3043" s="4" t="s">
        <v>18</v>
      </c>
      <c r="C3043" s="38" t="s">
        <v>588</v>
      </c>
      <c r="D3043" s="4">
        <v>2021</v>
      </c>
      <c r="E3043" s="4" t="s">
        <v>12</v>
      </c>
      <c r="F3043" s="4">
        <v>190</v>
      </c>
      <c r="G3043" s="4">
        <v>15</v>
      </c>
      <c r="H3043" s="4">
        <v>195.15574000000001</v>
      </c>
      <c r="I3043" s="201"/>
      <c r="J3043" s="201"/>
    </row>
    <row r="3044" spans="1:10" s="5" customFormat="1" ht="24" hidden="1" customHeight="1" outlineLevel="1" x14ac:dyDescent="0.25">
      <c r="A3044" s="41">
        <v>9096</v>
      </c>
      <c r="B3044" s="4" t="s">
        <v>18</v>
      </c>
      <c r="C3044" s="38" t="s">
        <v>589</v>
      </c>
      <c r="D3044" s="4">
        <v>2021</v>
      </c>
      <c r="E3044" s="4" t="s">
        <v>12</v>
      </c>
      <c r="F3044" s="4">
        <v>148</v>
      </c>
      <c r="G3044" s="4">
        <v>60</v>
      </c>
      <c r="H3044" s="4">
        <v>226.90029000000001</v>
      </c>
      <c r="I3044" s="201"/>
      <c r="J3044" s="201"/>
    </row>
    <row r="3045" spans="1:10" s="5" customFormat="1" ht="24" hidden="1" customHeight="1" outlineLevel="1" x14ac:dyDescent="0.25">
      <c r="A3045" s="42">
        <v>3881</v>
      </c>
      <c r="B3045" s="4" t="s">
        <v>18</v>
      </c>
      <c r="C3045" s="38" t="s">
        <v>590</v>
      </c>
      <c r="D3045" s="4">
        <v>2021</v>
      </c>
      <c r="E3045" s="4" t="s">
        <v>12</v>
      </c>
      <c r="F3045" s="4">
        <v>30</v>
      </c>
      <c r="G3045" s="4">
        <v>1.4</v>
      </c>
      <c r="H3045" s="4">
        <v>62.575769999999999</v>
      </c>
      <c r="I3045" s="201"/>
      <c r="J3045" s="201"/>
    </row>
    <row r="3046" spans="1:10" s="5" customFormat="1" ht="24" hidden="1" customHeight="1" outlineLevel="1" x14ac:dyDescent="0.25">
      <c r="A3046" s="41">
        <v>9475</v>
      </c>
      <c r="B3046" s="4" t="s">
        <v>18</v>
      </c>
      <c r="C3046" s="38" t="s">
        <v>591</v>
      </c>
      <c r="D3046" s="4">
        <v>2021</v>
      </c>
      <c r="E3046" s="4" t="s">
        <v>12</v>
      </c>
      <c r="F3046" s="4">
        <v>160</v>
      </c>
      <c r="G3046" s="4">
        <v>7</v>
      </c>
      <c r="H3046" s="4">
        <v>241.8826</v>
      </c>
      <c r="I3046" s="201"/>
      <c r="J3046" s="201"/>
    </row>
    <row r="3047" spans="1:10" s="5" customFormat="1" ht="24" hidden="1" customHeight="1" outlineLevel="1" x14ac:dyDescent="0.25">
      <c r="A3047" s="42">
        <v>3887</v>
      </c>
      <c r="B3047" s="4" t="s">
        <v>18</v>
      </c>
      <c r="C3047" s="38" t="s">
        <v>592</v>
      </c>
      <c r="D3047" s="4">
        <v>2021</v>
      </c>
      <c r="E3047" s="4" t="s">
        <v>12</v>
      </c>
      <c r="F3047" s="4">
        <v>230</v>
      </c>
      <c r="G3047" s="4">
        <v>10</v>
      </c>
      <c r="H3047" s="4">
        <v>252.43436</v>
      </c>
      <c r="I3047" s="201"/>
      <c r="J3047" s="201"/>
    </row>
    <row r="3048" spans="1:10" s="5" customFormat="1" ht="24" hidden="1" customHeight="1" outlineLevel="1" x14ac:dyDescent="0.25">
      <c r="A3048" s="41">
        <v>9476</v>
      </c>
      <c r="B3048" s="4" t="s">
        <v>18</v>
      </c>
      <c r="C3048" s="38" t="s">
        <v>593</v>
      </c>
      <c r="D3048" s="4">
        <v>2021</v>
      </c>
      <c r="E3048" s="4" t="s">
        <v>12</v>
      </c>
      <c r="F3048" s="4">
        <v>160</v>
      </c>
      <c r="G3048" s="4">
        <v>15</v>
      </c>
      <c r="H3048" s="4">
        <v>199.47807</v>
      </c>
      <c r="I3048" s="201"/>
      <c r="J3048" s="201"/>
    </row>
    <row r="3049" spans="1:10" s="5" customFormat="1" ht="24" hidden="1" customHeight="1" outlineLevel="1" x14ac:dyDescent="0.25">
      <c r="A3049" s="42">
        <v>1478</v>
      </c>
      <c r="B3049" s="4" t="s">
        <v>18</v>
      </c>
      <c r="C3049" s="38" t="s">
        <v>594</v>
      </c>
      <c r="D3049" s="4">
        <v>2021</v>
      </c>
      <c r="E3049" s="4" t="s">
        <v>12</v>
      </c>
      <c r="F3049" s="4">
        <v>30</v>
      </c>
      <c r="G3049" s="4">
        <v>5</v>
      </c>
      <c r="H3049" s="4">
        <v>86.566820000000007</v>
      </c>
      <c r="I3049" s="201"/>
      <c r="J3049" s="201"/>
    </row>
    <row r="3050" spans="1:10" s="5" customFormat="1" ht="24" hidden="1" customHeight="1" outlineLevel="1" x14ac:dyDescent="0.25">
      <c r="A3050" s="42">
        <v>1465</v>
      </c>
      <c r="B3050" s="4" t="s">
        <v>18</v>
      </c>
      <c r="C3050" s="38" t="s">
        <v>595</v>
      </c>
      <c r="D3050" s="4">
        <v>2021</v>
      </c>
      <c r="E3050" s="4" t="s">
        <v>12</v>
      </c>
      <c r="F3050" s="4">
        <v>20</v>
      </c>
      <c r="G3050" s="4">
        <v>15</v>
      </c>
      <c r="H3050" s="4">
        <v>66.948920000000001</v>
      </c>
      <c r="I3050" s="201"/>
      <c r="J3050" s="201"/>
    </row>
    <row r="3051" spans="1:10" s="5" customFormat="1" ht="24" hidden="1" customHeight="1" outlineLevel="1" x14ac:dyDescent="0.25">
      <c r="A3051" s="41">
        <v>9511</v>
      </c>
      <c r="B3051" s="4" t="s">
        <v>18</v>
      </c>
      <c r="C3051" s="38" t="s">
        <v>596</v>
      </c>
      <c r="D3051" s="4">
        <v>2021</v>
      </c>
      <c r="E3051" s="4" t="s">
        <v>12</v>
      </c>
      <c r="F3051" s="4">
        <v>5</v>
      </c>
      <c r="G3051" s="4">
        <v>15</v>
      </c>
      <c r="H3051" s="4">
        <v>38.22092</v>
      </c>
      <c r="I3051" s="201"/>
      <c r="J3051" s="201"/>
    </row>
    <row r="3052" spans="1:10" s="5" customFormat="1" ht="24" hidden="1" customHeight="1" outlineLevel="1" x14ac:dyDescent="0.25">
      <c r="A3052" s="41">
        <v>9860</v>
      </c>
      <c r="B3052" s="4" t="s">
        <v>18</v>
      </c>
      <c r="C3052" s="38" t="s">
        <v>597</v>
      </c>
      <c r="D3052" s="4">
        <v>2021</v>
      </c>
      <c r="E3052" s="4" t="s">
        <v>12</v>
      </c>
      <c r="F3052" s="4">
        <v>30</v>
      </c>
      <c r="G3052" s="4">
        <v>15</v>
      </c>
      <c r="H3052" s="4">
        <v>98.825609999999998</v>
      </c>
      <c r="I3052" s="201"/>
      <c r="J3052" s="201"/>
    </row>
    <row r="3053" spans="1:10" s="5" customFormat="1" ht="24" hidden="1" customHeight="1" outlineLevel="1" x14ac:dyDescent="0.25">
      <c r="A3053" s="41">
        <v>9830</v>
      </c>
      <c r="B3053" s="4" t="s">
        <v>18</v>
      </c>
      <c r="C3053" s="38" t="s">
        <v>598</v>
      </c>
      <c r="D3053" s="4">
        <v>2021</v>
      </c>
      <c r="E3053" s="4" t="s">
        <v>12</v>
      </c>
      <c r="F3053" s="4">
        <v>45</v>
      </c>
      <c r="G3053" s="4">
        <v>15</v>
      </c>
      <c r="H3053" s="4">
        <v>104.75371</v>
      </c>
      <c r="I3053" s="201"/>
      <c r="J3053" s="201"/>
    </row>
    <row r="3054" spans="1:10" s="5" customFormat="1" ht="24" hidden="1" customHeight="1" outlineLevel="1" x14ac:dyDescent="0.25">
      <c r="A3054" s="42">
        <v>1505</v>
      </c>
      <c r="B3054" s="4" t="s">
        <v>18</v>
      </c>
      <c r="C3054" s="38" t="s">
        <v>599</v>
      </c>
      <c r="D3054" s="4">
        <v>2021</v>
      </c>
      <c r="E3054" s="4" t="s">
        <v>12</v>
      </c>
      <c r="F3054" s="4">
        <v>436</v>
      </c>
      <c r="G3054" s="4">
        <v>15</v>
      </c>
      <c r="H3054" s="4">
        <v>507.37144999999998</v>
      </c>
      <c r="I3054" s="201"/>
      <c r="J3054" s="201"/>
    </row>
    <row r="3055" spans="1:10" s="5" customFormat="1" ht="24" hidden="1" customHeight="1" outlineLevel="1" x14ac:dyDescent="0.25">
      <c r="A3055" s="41">
        <v>9773</v>
      </c>
      <c r="B3055" s="4" t="s">
        <v>18</v>
      </c>
      <c r="C3055" s="38" t="s">
        <v>600</v>
      </c>
      <c r="D3055" s="4">
        <v>2021</v>
      </c>
      <c r="E3055" s="4" t="s">
        <v>12</v>
      </c>
      <c r="F3055" s="4">
        <v>164</v>
      </c>
      <c r="G3055" s="4">
        <v>5</v>
      </c>
      <c r="H3055" s="4">
        <v>414.48545999999999</v>
      </c>
      <c r="I3055" s="201"/>
      <c r="J3055" s="201"/>
    </row>
    <row r="3056" spans="1:10" s="5" customFormat="1" ht="24" hidden="1" customHeight="1" outlineLevel="1" x14ac:dyDescent="0.25">
      <c r="A3056" s="42">
        <v>1502</v>
      </c>
      <c r="B3056" s="4" t="s">
        <v>18</v>
      </c>
      <c r="C3056" s="38" t="s">
        <v>601</v>
      </c>
      <c r="D3056" s="4">
        <v>2021</v>
      </c>
      <c r="E3056" s="4" t="s">
        <v>12</v>
      </c>
      <c r="F3056" s="4">
        <v>140</v>
      </c>
      <c r="G3056" s="4">
        <v>15</v>
      </c>
      <c r="H3056" s="4">
        <v>143.57565</v>
      </c>
      <c r="I3056" s="201"/>
      <c r="J3056" s="201"/>
    </row>
    <row r="3057" spans="1:10" s="5" customFormat="1" ht="24" hidden="1" customHeight="1" outlineLevel="1" x14ac:dyDescent="0.25">
      <c r="A3057" s="42">
        <v>1503</v>
      </c>
      <c r="B3057" s="4" t="s">
        <v>18</v>
      </c>
      <c r="C3057" s="38" t="s">
        <v>602</v>
      </c>
      <c r="D3057" s="4">
        <v>2021</v>
      </c>
      <c r="E3057" s="4" t="s">
        <v>12</v>
      </c>
      <c r="F3057" s="4">
        <v>80</v>
      </c>
      <c r="G3057" s="4">
        <v>30</v>
      </c>
      <c r="H3057" s="4">
        <v>129.21652</v>
      </c>
      <c r="I3057" s="201"/>
      <c r="J3057" s="201"/>
    </row>
    <row r="3058" spans="1:10" s="5" customFormat="1" ht="24" hidden="1" customHeight="1" outlineLevel="1" x14ac:dyDescent="0.25">
      <c r="A3058" s="42">
        <v>3879</v>
      </c>
      <c r="B3058" s="4" t="s">
        <v>18</v>
      </c>
      <c r="C3058" s="38" t="s">
        <v>603</v>
      </c>
      <c r="D3058" s="4">
        <v>2021</v>
      </c>
      <c r="E3058" s="4" t="s">
        <v>12</v>
      </c>
      <c r="F3058" s="4">
        <v>5</v>
      </c>
      <c r="G3058" s="4">
        <v>40</v>
      </c>
      <c r="H3058" s="4">
        <v>54.829329999999999</v>
      </c>
      <c r="I3058" s="201"/>
      <c r="J3058" s="201"/>
    </row>
    <row r="3059" spans="1:10" s="5" customFormat="1" ht="24" hidden="1" customHeight="1" outlineLevel="1" x14ac:dyDescent="0.25">
      <c r="A3059" s="41">
        <v>9855</v>
      </c>
      <c r="B3059" s="4" t="s">
        <v>18</v>
      </c>
      <c r="C3059" s="61" t="s">
        <v>604</v>
      </c>
      <c r="D3059" s="4">
        <v>2021</v>
      </c>
      <c r="E3059" s="4" t="s">
        <v>12</v>
      </c>
      <c r="F3059" s="4">
        <v>30</v>
      </c>
      <c r="G3059" s="4">
        <v>15</v>
      </c>
      <c r="H3059" s="4">
        <v>88.058520000000001</v>
      </c>
      <c r="I3059" s="201"/>
      <c r="J3059" s="201"/>
    </row>
    <row r="3060" spans="1:10" s="5" customFormat="1" ht="24" hidden="1" customHeight="1" outlineLevel="1" x14ac:dyDescent="0.25">
      <c r="A3060" s="42">
        <v>1490</v>
      </c>
      <c r="B3060" s="4" t="s">
        <v>18</v>
      </c>
      <c r="C3060" s="38" t="s">
        <v>605</v>
      </c>
      <c r="D3060" s="4">
        <v>2021</v>
      </c>
      <c r="E3060" s="4" t="s">
        <v>12</v>
      </c>
      <c r="F3060" s="4">
        <v>30</v>
      </c>
      <c r="G3060" s="4">
        <v>15</v>
      </c>
      <c r="H3060" s="4">
        <v>18.920280000000002</v>
      </c>
      <c r="I3060" s="201"/>
      <c r="J3060" s="201"/>
    </row>
    <row r="3061" spans="1:10" s="5" customFormat="1" ht="24" hidden="1" customHeight="1" outlineLevel="1" x14ac:dyDescent="0.25">
      <c r="A3061" s="41">
        <v>9862</v>
      </c>
      <c r="B3061" s="4" t="s">
        <v>18</v>
      </c>
      <c r="C3061" s="61" t="s">
        <v>606</v>
      </c>
      <c r="D3061" s="4">
        <v>2021</v>
      </c>
      <c r="E3061" s="4" t="s">
        <v>12</v>
      </c>
      <c r="F3061" s="4">
        <v>50</v>
      </c>
      <c r="G3061" s="4">
        <v>15</v>
      </c>
      <c r="H3061" s="4">
        <v>66.222560000000001</v>
      </c>
      <c r="I3061" s="201"/>
      <c r="J3061" s="201"/>
    </row>
    <row r="3062" spans="1:10" s="5" customFormat="1" ht="24" hidden="1" customHeight="1" outlineLevel="1" x14ac:dyDescent="0.25">
      <c r="A3062" s="42">
        <v>1121</v>
      </c>
      <c r="B3062" s="4" t="s">
        <v>18</v>
      </c>
      <c r="C3062" s="38" t="s">
        <v>607</v>
      </c>
      <c r="D3062" s="4">
        <v>2021</v>
      </c>
      <c r="E3062" s="4" t="s">
        <v>12</v>
      </c>
      <c r="F3062" s="4">
        <v>20</v>
      </c>
      <c r="G3062" s="4">
        <v>25</v>
      </c>
      <c r="H3062" s="4">
        <v>85.354339999999993</v>
      </c>
      <c r="I3062" s="201"/>
      <c r="J3062" s="201"/>
    </row>
    <row r="3063" spans="1:10" s="5" customFormat="1" ht="24" hidden="1" customHeight="1" outlineLevel="1" x14ac:dyDescent="0.25">
      <c r="A3063" s="41">
        <v>9494</v>
      </c>
      <c r="B3063" s="4" t="s">
        <v>18</v>
      </c>
      <c r="C3063" s="38" t="s">
        <v>608</v>
      </c>
      <c r="D3063" s="4">
        <v>2021</v>
      </c>
      <c r="E3063" s="4" t="s">
        <v>12</v>
      </c>
      <c r="F3063" s="4">
        <v>40</v>
      </c>
      <c r="G3063" s="4">
        <v>8</v>
      </c>
      <c r="H3063" s="4">
        <v>87.018929999999997</v>
      </c>
      <c r="I3063" s="201"/>
      <c r="J3063" s="201"/>
    </row>
    <row r="3064" spans="1:10" s="5" customFormat="1" ht="24" hidden="1" customHeight="1" outlineLevel="1" x14ac:dyDescent="0.25">
      <c r="A3064" s="42">
        <v>9833</v>
      </c>
      <c r="B3064" s="4" t="s">
        <v>18</v>
      </c>
      <c r="C3064" s="38" t="s">
        <v>609</v>
      </c>
      <c r="D3064" s="4">
        <v>2021</v>
      </c>
      <c r="E3064" s="4" t="s">
        <v>12</v>
      </c>
      <c r="F3064" s="4">
        <v>30</v>
      </c>
      <c r="G3064" s="4">
        <v>15</v>
      </c>
      <c r="H3064" s="4">
        <v>30.558050000000001</v>
      </c>
      <c r="I3064" s="201"/>
      <c r="J3064" s="201"/>
    </row>
    <row r="3065" spans="1:10" s="5" customFormat="1" ht="24" hidden="1" customHeight="1" outlineLevel="1" x14ac:dyDescent="0.25">
      <c r="A3065" s="41">
        <v>9814</v>
      </c>
      <c r="B3065" s="4" t="s">
        <v>18</v>
      </c>
      <c r="C3065" s="38" t="s">
        <v>610</v>
      </c>
      <c r="D3065" s="4">
        <v>2021</v>
      </c>
      <c r="E3065" s="4" t="s">
        <v>12</v>
      </c>
      <c r="F3065" s="4">
        <v>410</v>
      </c>
      <c r="G3065" s="4">
        <v>15</v>
      </c>
      <c r="H3065" s="4">
        <v>40.265500000000003</v>
      </c>
      <c r="I3065" s="201"/>
      <c r="J3065" s="201"/>
    </row>
    <row r="3066" spans="1:10" s="5" customFormat="1" ht="24" hidden="1" customHeight="1" outlineLevel="1" x14ac:dyDescent="0.25">
      <c r="A3066" s="41">
        <v>9813</v>
      </c>
      <c r="B3066" s="4" t="s">
        <v>18</v>
      </c>
      <c r="C3066" s="38" t="s">
        <v>611</v>
      </c>
      <c r="D3066" s="4">
        <v>2021</v>
      </c>
      <c r="E3066" s="4" t="s">
        <v>12</v>
      </c>
      <c r="F3066" s="4">
        <v>80</v>
      </c>
      <c r="G3066" s="4">
        <v>15</v>
      </c>
      <c r="H3066" s="4">
        <v>91.351380000000006</v>
      </c>
      <c r="I3066" s="201"/>
      <c r="J3066" s="201"/>
    </row>
    <row r="3067" spans="1:10" s="5" customFormat="1" ht="24" hidden="1" customHeight="1" outlineLevel="1" x14ac:dyDescent="0.25">
      <c r="A3067" s="41">
        <v>9820</v>
      </c>
      <c r="B3067" s="4" t="s">
        <v>18</v>
      </c>
      <c r="C3067" s="38" t="s">
        <v>612</v>
      </c>
      <c r="D3067" s="4">
        <v>2021</v>
      </c>
      <c r="E3067" s="4" t="s">
        <v>12</v>
      </c>
      <c r="F3067" s="4">
        <v>25</v>
      </c>
      <c r="G3067" s="4">
        <v>15</v>
      </c>
      <c r="H3067" s="4">
        <v>25.133120000000002</v>
      </c>
      <c r="I3067" s="201"/>
      <c r="J3067" s="201"/>
    </row>
    <row r="3068" spans="1:10" s="5" customFormat="1" ht="24" hidden="1" customHeight="1" outlineLevel="1" x14ac:dyDescent="0.25">
      <c r="A3068" s="41">
        <v>9837</v>
      </c>
      <c r="B3068" s="4" t="s">
        <v>18</v>
      </c>
      <c r="C3068" s="38" t="s">
        <v>613</v>
      </c>
      <c r="D3068" s="4">
        <v>2021</v>
      </c>
      <c r="E3068" s="4" t="s">
        <v>12</v>
      </c>
      <c r="F3068" s="4">
        <v>30</v>
      </c>
      <c r="G3068" s="4">
        <v>15</v>
      </c>
      <c r="H3068" s="4">
        <v>27.88355</v>
      </c>
      <c r="I3068" s="201"/>
      <c r="J3068" s="201"/>
    </row>
    <row r="3069" spans="1:10" s="5" customFormat="1" ht="24" hidden="1" customHeight="1" outlineLevel="1" x14ac:dyDescent="0.25">
      <c r="A3069" s="41">
        <v>9822</v>
      </c>
      <c r="B3069" s="4" t="s">
        <v>18</v>
      </c>
      <c r="C3069" s="38" t="s">
        <v>614</v>
      </c>
      <c r="D3069" s="4">
        <v>2021</v>
      </c>
      <c r="E3069" s="4" t="s">
        <v>12</v>
      </c>
      <c r="F3069" s="4">
        <v>60</v>
      </c>
      <c r="G3069" s="4">
        <v>15</v>
      </c>
      <c r="H3069" s="4">
        <v>158.43727000000001</v>
      </c>
      <c r="I3069" s="201"/>
      <c r="J3069" s="201"/>
    </row>
    <row r="3070" spans="1:10" s="5" customFormat="1" ht="24" hidden="1" customHeight="1" outlineLevel="1" x14ac:dyDescent="0.25">
      <c r="A3070" s="41">
        <v>9098</v>
      </c>
      <c r="B3070" s="4" t="s">
        <v>18</v>
      </c>
      <c r="C3070" s="38" t="s">
        <v>615</v>
      </c>
      <c r="D3070" s="4">
        <v>2021</v>
      </c>
      <c r="E3070" s="4" t="s">
        <v>12</v>
      </c>
      <c r="F3070" s="4">
        <v>55</v>
      </c>
      <c r="G3070" s="4">
        <v>15</v>
      </c>
      <c r="H3070" s="4">
        <v>32.779859999999999</v>
      </c>
      <c r="I3070" s="201"/>
      <c r="J3070" s="201"/>
    </row>
    <row r="3071" spans="1:10" s="5" customFormat="1" ht="24" hidden="1" customHeight="1" outlineLevel="1" x14ac:dyDescent="0.25">
      <c r="A3071" s="41">
        <v>9809</v>
      </c>
      <c r="B3071" s="4" t="s">
        <v>18</v>
      </c>
      <c r="C3071" s="38" t="s">
        <v>616</v>
      </c>
      <c r="D3071" s="4">
        <v>2021</v>
      </c>
      <c r="E3071" s="4" t="s">
        <v>12</v>
      </c>
      <c r="F3071" s="4">
        <v>30</v>
      </c>
      <c r="G3071" s="4">
        <v>10</v>
      </c>
      <c r="H3071" s="4">
        <v>46.228839999999998</v>
      </c>
      <c r="I3071" s="201"/>
      <c r="J3071" s="201"/>
    </row>
    <row r="3072" spans="1:10" s="5" customFormat="1" ht="24" hidden="1" customHeight="1" outlineLevel="1" x14ac:dyDescent="0.25">
      <c r="A3072" s="41">
        <v>9867</v>
      </c>
      <c r="B3072" s="4" t="s">
        <v>18</v>
      </c>
      <c r="C3072" s="38" t="s">
        <v>617</v>
      </c>
      <c r="D3072" s="4">
        <v>2021</v>
      </c>
      <c r="E3072" s="4" t="s">
        <v>12</v>
      </c>
      <c r="F3072" s="4">
        <v>100</v>
      </c>
      <c r="G3072" s="4">
        <v>33</v>
      </c>
      <c r="H3072" s="4">
        <v>90.593630000000005</v>
      </c>
      <c r="I3072" s="201"/>
      <c r="J3072" s="201"/>
    </row>
    <row r="3073" spans="1:10" s="5" customFormat="1" ht="24" hidden="1" customHeight="1" outlineLevel="1" x14ac:dyDescent="0.25">
      <c r="A3073" s="41">
        <v>9834</v>
      </c>
      <c r="B3073" s="4" t="s">
        <v>18</v>
      </c>
      <c r="C3073" s="38" t="s">
        <v>618</v>
      </c>
      <c r="D3073" s="4">
        <v>2021</v>
      </c>
      <c r="E3073" s="4" t="s">
        <v>12</v>
      </c>
      <c r="F3073" s="4">
        <v>80</v>
      </c>
      <c r="G3073" s="4">
        <v>15</v>
      </c>
      <c r="H3073" s="4">
        <v>100.05513999999999</v>
      </c>
      <c r="I3073" s="201"/>
      <c r="J3073" s="201"/>
    </row>
    <row r="3074" spans="1:10" s="5" customFormat="1" ht="24" hidden="1" customHeight="1" outlineLevel="1" x14ac:dyDescent="0.25">
      <c r="A3074" s="41">
        <v>9852</v>
      </c>
      <c r="B3074" s="4" t="s">
        <v>18</v>
      </c>
      <c r="C3074" s="38" t="s">
        <v>619</v>
      </c>
      <c r="D3074" s="4">
        <v>2021</v>
      </c>
      <c r="E3074" s="4" t="s">
        <v>12</v>
      </c>
      <c r="F3074" s="4">
        <v>140</v>
      </c>
      <c r="G3074" s="4">
        <v>15</v>
      </c>
      <c r="H3074" s="4">
        <v>123.70686000000001</v>
      </c>
      <c r="I3074" s="201"/>
      <c r="J3074" s="201"/>
    </row>
    <row r="3075" spans="1:10" s="5" customFormat="1" ht="24" hidden="1" customHeight="1" outlineLevel="1" x14ac:dyDescent="0.25">
      <c r="A3075" s="41">
        <v>9804</v>
      </c>
      <c r="B3075" s="4" t="s">
        <v>18</v>
      </c>
      <c r="C3075" s="38" t="s">
        <v>620</v>
      </c>
      <c r="D3075" s="4">
        <v>2021</v>
      </c>
      <c r="E3075" s="4" t="s">
        <v>12</v>
      </c>
      <c r="F3075" s="4">
        <v>70</v>
      </c>
      <c r="G3075" s="4">
        <v>30</v>
      </c>
      <c r="H3075" s="4">
        <v>60.712949999999999</v>
      </c>
      <c r="I3075" s="201"/>
      <c r="J3075" s="201"/>
    </row>
    <row r="3076" spans="1:10" s="5" customFormat="1" ht="24" hidden="1" customHeight="1" outlineLevel="1" x14ac:dyDescent="0.25">
      <c r="A3076" s="41">
        <v>9802</v>
      </c>
      <c r="B3076" s="4" t="s">
        <v>18</v>
      </c>
      <c r="C3076" s="38" t="s">
        <v>621</v>
      </c>
      <c r="D3076" s="4">
        <v>2021</v>
      </c>
      <c r="E3076" s="4" t="s">
        <v>12</v>
      </c>
      <c r="F3076" s="4">
        <v>200</v>
      </c>
      <c r="G3076" s="4">
        <v>15</v>
      </c>
      <c r="H3076" s="4">
        <v>164.87682000000001</v>
      </c>
      <c r="I3076" s="201"/>
      <c r="J3076" s="201"/>
    </row>
    <row r="3077" spans="1:10" s="5" customFormat="1" ht="24" hidden="1" customHeight="1" outlineLevel="1" x14ac:dyDescent="0.25">
      <c r="A3077" s="41">
        <v>9483</v>
      </c>
      <c r="B3077" s="4" t="s">
        <v>18</v>
      </c>
      <c r="C3077" s="38" t="s">
        <v>622</v>
      </c>
      <c r="D3077" s="4">
        <v>2021</v>
      </c>
      <c r="E3077" s="4" t="s">
        <v>12</v>
      </c>
      <c r="F3077" s="4">
        <v>30</v>
      </c>
      <c r="G3077" s="4">
        <v>15</v>
      </c>
      <c r="H3077" s="4">
        <v>45.380519999999997</v>
      </c>
      <c r="I3077" s="201"/>
      <c r="J3077" s="201"/>
    </row>
    <row r="3078" spans="1:10" s="5" customFormat="1" ht="24" hidden="1" customHeight="1" outlineLevel="1" x14ac:dyDescent="0.25">
      <c r="A3078" s="41">
        <v>9808</v>
      </c>
      <c r="B3078" s="4" t="s">
        <v>18</v>
      </c>
      <c r="C3078" s="38" t="s">
        <v>623</v>
      </c>
      <c r="D3078" s="4">
        <v>2021</v>
      </c>
      <c r="E3078" s="4" t="s">
        <v>12</v>
      </c>
      <c r="F3078" s="4">
        <v>80</v>
      </c>
      <c r="G3078" s="4">
        <v>15</v>
      </c>
      <c r="H3078" s="4">
        <v>68.584450000000004</v>
      </c>
      <c r="I3078" s="201"/>
      <c r="J3078" s="201"/>
    </row>
    <row r="3079" spans="1:10" s="5" customFormat="1" ht="24" hidden="1" customHeight="1" outlineLevel="1" x14ac:dyDescent="0.25">
      <c r="A3079" s="41">
        <v>9772</v>
      </c>
      <c r="B3079" s="4" t="s">
        <v>18</v>
      </c>
      <c r="C3079" s="38" t="s">
        <v>624</v>
      </c>
      <c r="D3079" s="4">
        <v>2021</v>
      </c>
      <c r="E3079" s="4" t="s">
        <v>12</v>
      </c>
      <c r="F3079" s="4">
        <v>797</v>
      </c>
      <c r="G3079" s="4">
        <v>15</v>
      </c>
      <c r="H3079" s="4">
        <v>932.04075</v>
      </c>
      <c r="I3079" s="201"/>
      <c r="J3079" s="201"/>
    </row>
    <row r="3080" spans="1:10" s="5" customFormat="1" ht="24" hidden="1" customHeight="1" outlineLevel="1" x14ac:dyDescent="0.25">
      <c r="A3080" s="41">
        <v>9870</v>
      </c>
      <c r="B3080" s="4" t="s">
        <v>18</v>
      </c>
      <c r="C3080" s="38" t="s">
        <v>625</v>
      </c>
      <c r="D3080" s="4">
        <v>2021</v>
      </c>
      <c r="E3080" s="4" t="s">
        <v>12</v>
      </c>
      <c r="F3080" s="4">
        <v>278</v>
      </c>
      <c r="G3080" s="4">
        <v>10</v>
      </c>
      <c r="H3080" s="4">
        <v>465.15955000000002</v>
      </c>
      <c r="I3080" s="201"/>
      <c r="J3080" s="201"/>
    </row>
    <row r="3081" spans="1:10" s="5" customFormat="1" ht="24" hidden="1" customHeight="1" outlineLevel="1" x14ac:dyDescent="0.25">
      <c r="A3081" s="41">
        <v>9826</v>
      </c>
      <c r="B3081" s="4" t="s">
        <v>18</v>
      </c>
      <c r="C3081" s="38" t="s">
        <v>626</v>
      </c>
      <c r="D3081" s="4">
        <v>2021</v>
      </c>
      <c r="E3081" s="4" t="s">
        <v>12</v>
      </c>
      <c r="F3081" s="4">
        <v>137</v>
      </c>
      <c r="G3081" s="4">
        <v>80</v>
      </c>
      <c r="H3081" s="4">
        <v>302.85971999999998</v>
      </c>
      <c r="I3081" s="201"/>
      <c r="J3081" s="201"/>
    </row>
    <row r="3082" spans="1:10" s="5" customFormat="1" ht="24" hidden="1" customHeight="1" outlineLevel="1" x14ac:dyDescent="0.25">
      <c r="A3082" s="41">
        <v>9819</v>
      </c>
      <c r="B3082" s="4" t="s">
        <v>18</v>
      </c>
      <c r="C3082" s="38" t="s">
        <v>627</v>
      </c>
      <c r="D3082" s="4">
        <v>2021</v>
      </c>
      <c r="E3082" s="4" t="s">
        <v>12</v>
      </c>
      <c r="F3082" s="4">
        <v>25</v>
      </c>
      <c r="G3082" s="4">
        <v>5</v>
      </c>
      <c r="H3082" s="4">
        <v>92.143590000000003</v>
      </c>
      <c r="I3082" s="201"/>
      <c r="J3082" s="201"/>
    </row>
    <row r="3083" spans="1:10" s="5" customFormat="1" ht="24" hidden="1" customHeight="1" outlineLevel="1" x14ac:dyDescent="0.25">
      <c r="A3083" s="42">
        <v>726</v>
      </c>
      <c r="B3083" s="4" t="s">
        <v>18</v>
      </c>
      <c r="C3083" s="38" t="s">
        <v>628</v>
      </c>
      <c r="D3083" s="4">
        <v>2021</v>
      </c>
      <c r="E3083" s="4" t="s">
        <v>12</v>
      </c>
      <c r="F3083" s="4">
        <v>25</v>
      </c>
      <c r="G3083" s="4">
        <v>15</v>
      </c>
      <c r="H3083" s="4">
        <v>43.527830000000002</v>
      </c>
      <c r="I3083" s="201"/>
      <c r="J3083" s="201"/>
    </row>
    <row r="3084" spans="1:10" s="5" customFormat="1" ht="24" hidden="1" customHeight="1" outlineLevel="1" x14ac:dyDescent="0.25">
      <c r="A3084" s="42">
        <v>9844</v>
      </c>
      <c r="B3084" s="4" t="s">
        <v>18</v>
      </c>
      <c r="C3084" s="38" t="s">
        <v>629</v>
      </c>
      <c r="D3084" s="4">
        <v>2021</v>
      </c>
      <c r="E3084" s="4" t="s">
        <v>12</v>
      </c>
      <c r="F3084" s="4">
        <v>30</v>
      </c>
      <c r="G3084" s="4">
        <v>15</v>
      </c>
      <c r="H3084" s="4">
        <v>12.928660000000001</v>
      </c>
      <c r="I3084" s="201"/>
      <c r="J3084" s="201"/>
    </row>
    <row r="3085" spans="1:10" s="5" customFormat="1" ht="24" hidden="1" customHeight="1" outlineLevel="1" x14ac:dyDescent="0.25">
      <c r="A3085" s="41">
        <v>9843</v>
      </c>
      <c r="B3085" s="4" t="s">
        <v>18</v>
      </c>
      <c r="C3085" s="38" t="s">
        <v>630</v>
      </c>
      <c r="D3085" s="4">
        <v>2021</v>
      </c>
      <c r="E3085" s="4" t="s">
        <v>12</v>
      </c>
      <c r="F3085" s="4">
        <v>252</v>
      </c>
      <c r="G3085" s="4">
        <v>15</v>
      </c>
      <c r="H3085" s="4">
        <v>455.06044000000003</v>
      </c>
      <c r="I3085" s="201"/>
      <c r="J3085" s="201"/>
    </row>
    <row r="3086" spans="1:10" s="5" customFormat="1" ht="24" hidden="1" customHeight="1" outlineLevel="1" x14ac:dyDescent="0.25">
      <c r="A3086" s="41">
        <v>9801</v>
      </c>
      <c r="B3086" s="4" t="s">
        <v>18</v>
      </c>
      <c r="C3086" s="38" t="s">
        <v>631</v>
      </c>
      <c r="D3086" s="4">
        <v>2021</v>
      </c>
      <c r="E3086" s="4" t="s">
        <v>12</v>
      </c>
      <c r="F3086" s="4">
        <v>367</v>
      </c>
      <c r="G3086" s="4">
        <v>15</v>
      </c>
      <c r="H3086" s="4">
        <v>593.21896000000004</v>
      </c>
      <c r="I3086" s="201"/>
      <c r="J3086" s="201"/>
    </row>
    <row r="3087" spans="1:10" s="5" customFormat="1" ht="24" hidden="1" customHeight="1" outlineLevel="1" x14ac:dyDescent="0.25">
      <c r="A3087" s="41">
        <v>9493</v>
      </c>
      <c r="B3087" s="4" t="s">
        <v>18</v>
      </c>
      <c r="C3087" s="38" t="s">
        <v>632</v>
      </c>
      <c r="D3087" s="4">
        <v>2021</v>
      </c>
      <c r="E3087" s="4" t="s">
        <v>12</v>
      </c>
      <c r="F3087" s="4">
        <v>80</v>
      </c>
      <c r="G3087" s="4">
        <v>60</v>
      </c>
      <c r="H3087" s="4">
        <v>166.57001</v>
      </c>
      <c r="I3087" s="201"/>
      <c r="J3087" s="201"/>
    </row>
    <row r="3088" spans="1:10" s="5" customFormat="1" ht="24" hidden="1" customHeight="1" outlineLevel="1" x14ac:dyDescent="0.25">
      <c r="A3088" s="41">
        <v>9849</v>
      </c>
      <c r="B3088" s="4" t="s">
        <v>18</v>
      </c>
      <c r="C3088" s="38" t="s">
        <v>633</v>
      </c>
      <c r="D3088" s="4">
        <v>2021</v>
      </c>
      <c r="E3088" s="4" t="s">
        <v>12</v>
      </c>
      <c r="F3088" s="4">
        <v>30</v>
      </c>
      <c r="G3088" s="4">
        <v>15</v>
      </c>
      <c r="H3088" s="4">
        <v>97.529989999999998</v>
      </c>
      <c r="I3088" s="201"/>
      <c r="J3088" s="201"/>
    </row>
    <row r="3089" spans="1:10" s="5" customFormat="1" ht="24" hidden="1" customHeight="1" outlineLevel="1" x14ac:dyDescent="0.25">
      <c r="A3089" s="41">
        <v>9807</v>
      </c>
      <c r="B3089" s="4" t="s">
        <v>18</v>
      </c>
      <c r="C3089" s="38" t="s">
        <v>634</v>
      </c>
      <c r="D3089" s="4">
        <v>2021</v>
      </c>
      <c r="E3089" s="4" t="s">
        <v>12</v>
      </c>
      <c r="F3089" s="4">
        <v>120</v>
      </c>
      <c r="G3089" s="4">
        <v>30</v>
      </c>
      <c r="H3089" s="4">
        <v>159.09326999999999</v>
      </c>
      <c r="I3089" s="201"/>
      <c r="J3089" s="201"/>
    </row>
    <row r="3090" spans="1:10" s="5" customFormat="1" ht="24" hidden="1" customHeight="1" outlineLevel="1" x14ac:dyDescent="0.25">
      <c r="A3090" s="41">
        <v>9817</v>
      </c>
      <c r="B3090" s="4" t="s">
        <v>18</v>
      </c>
      <c r="C3090" s="38" t="s">
        <v>635</v>
      </c>
      <c r="D3090" s="4">
        <v>2021</v>
      </c>
      <c r="E3090" s="4" t="s">
        <v>12</v>
      </c>
      <c r="F3090" s="4">
        <v>40</v>
      </c>
      <c r="G3090" s="4">
        <v>10</v>
      </c>
      <c r="H3090" s="4">
        <v>139.40110000000001</v>
      </c>
      <c r="I3090" s="201"/>
      <c r="J3090" s="201"/>
    </row>
    <row r="3091" spans="1:10" s="5" customFormat="1" ht="24" hidden="1" customHeight="1" outlineLevel="1" x14ac:dyDescent="0.25">
      <c r="A3091" s="41">
        <v>9828</v>
      </c>
      <c r="B3091" s="4" t="s">
        <v>18</v>
      </c>
      <c r="C3091" s="38" t="s">
        <v>636</v>
      </c>
      <c r="D3091" s="4">
        <v>2021</v>
      </c>
      <c r="E3091" s="4" t="s">
        <v>12</v>
      </c>
      <c r="F3091" s="4">
        <v>65</v>
      </c>
      <c r="G3091" s="4">
        <v>15</v>
      </c>
      <c r="H3091" s="4">
        <v>123.21812</v>
      </c>
      <c r="I3091" s="201"/>
      <c r="J3091" s="201"/>
    </row>
    <row r="3092" spans="1:10" s="5" customFormat="1" ht="24" hidden="1" customHeight="1" outlineLevel="1" x14ac:dyDescent="0.25">
      <c r="A3092" s="42">
        <v>9799</v>
      </c>
      <c r="B3092" s="4" t="s">
        <v>18</v>
      </c>
      <c r="C3092" s="38" t="s">
        <v>637</v>
      </c>
      <c r="D3092" s="4">
        <v>2021</v>
      </c>
      <c r="E3092" s="4" t="s">
        <v>12</v>
      </c>
      <c r="F3092" s="4">
        <v>170</v>
      </c>
      <c r="G3092" s="4">
        <v>15</v>
      </c>
      <c r="H3092" s="4">
        <v>99.564250000000001</v>
      </c>
      <c r="I3092" s="201"/>
      <c r="J3092" s="201"/>
    </row>
    <row r="3093" spans="1:10" s="5" customFormat="1" ht="24" hidden="1" customHeight="1" outlineLevel="1" x14ac:dyDescent="0.25">
      <c r="A3093" s="42">
        <v>9818</v>
      </c>
      <c r="B3093" s="4" t="s">
        <v>18</v>
      </c>
      <c r="C3093" s="38" t="s">
        <v>638</v>
      </c>
      <c r="D3093" s="4">
        <v>2021</v>
      </c>
      <c r="E3093" s="4" t="s">
        <v>12</v>
      </c>
      <c r="F3093" s="4">
        <v>50</v>
      </c>
      <c r="G3093" s="4">
        <v>15</v>
      </c>
      <c r="H3093" s="4">
        <v>82.782510000000002</v>
      </c>
      <c r="I3093" s="201"/>
      <c r="J3093" s="201"/>
    </row>
    <row r="3094" spans="1:10" s="5" customFormat="1" ht="24" hidden="1" customHeight="1" outlineLevel="1" x14ac:dyDescent="0.25">
      <c r="A3094" s="41">
        <v>9865</v>
      </c>
      <c r="B3094" s="4" t="s">
        <v>18</v>
      </c>
      <c r="C3094" s="38" t="s">
        <v>639</v>
      </c>
      <c r="D3094" s="4">
        <v>2021</v>
      </c>
      <c r="E3094" s="4" t="s">
        <v>12</v>
      </c>
      <c r="F3094" s="4">
        <v>100</v>
      </c>
      <c r="G3094" s="4">
        <v>15</v>
      </c>
      <c r="H3094" s="4">
        <v>140.92005</v>
      </c>
      <c r="I3094" s="201"/>
      <c r="J3094" s="201"/>
    </row>
    <row r="3095" spans="1:10" s="5" customFormat="1" ht="24" hidden="1" customHeight="1" outlineLevel="1" x14ac:dyDescent="0.25">
      <c r="A3095" s="41">
        <v>9841</v>
      </c>
      <c r="B3095" s="4" t="s">
        <v>18</v>
      </c>
      <c r="C3095" s="38" t="s">
        <v>640</v>
      </c>
      <c r="D3095" s="4">
        <v>2021</v>
      </c>
      <c r="E3095" s="4" t="s">
        <v>12</v>
      </c>
      <c r="F3095" s="4">
        <v>223</v>
      </c>
      <c r="G3095" s="4">
        <v>15</v>
      </c>
      <c r="H3095" s="4">
        <v>369.84964000000002</v>
      </c>
      <c r="I3095" s="201"/>
      <c r="J3095" s="201"/>
    </row>
    <row r="3096" spans="1:10" s="5" customFormat="1" ht="24" hidden="1" customHeight="1" outlineLevel="1" x14ac:dyDescent="0.25">
      <c r="A3096" s="41">
        <v>9850</v>
      </c>
      <c r="B3096" s="4" t="s">
        <v>18</v>
      </c>
      <c r="C3096" s="38" t="s">
        <v>641</v>
      </c>
      <c r="D3096" s="4">
        <v>2021</v>
      </c>
      <c r="E3096" s="4" t="s">
        <v>12</v>
      </c>
      <c r="F3096" s="4">
        <v>30</v>
      </c>
      <c r="G3096" s="4">
        <v>45</v>
      </c>
      <c r="H3096" s="4">
        <v>146.23423</v>
      </c>
      <c r="I3096" s="201"/>
      <c r="J3096" s="201"/>
    </row>
    <row r="3097" spans="1:10" s="5" customFormat="1" ht="24" hidden="1" customHeight="1" outlineLevel="1" x14ac:dyDescent="0.25">
      <c r="A3097" s="41">
        <v>9856</v>
      </c>
      <c r="B3097" s="4" t="s">
        <v>18</v>
      </c>
      <c r="C3097" s="38" t="s">
        <v>642</v>
      </c>
      <c r="D3097" s="4">
        <v>2021</v>
      </c>
      <c r="E3097" s="4" t="s">
        <v>12</v>
      </c>
      <c r="F3097" s="4">
        <v>40</v>
      </c>
      <c r="G3097" s="4">
        <v>30</v>
      </c>
      <c r="H3097" s="4">
        <v>70.646060000000006</v>
      </c>
      <c r="I3097" s="201"/>
      <c r="J3097" s="201"/>
    </row>
    <row r="3098" spans="1:10" s="5" customFormat="1" ht="24" hidden="1" customHeight="1" outlineLevel="1" x14ac:dyDescent="0.25">
      <c r="A3098" s="41">
        <v>9868</v>
      </c>
      <c r="B3098" s="4" t="s">
        <v>18</v>
      </c>
      <c r="C3098" s="38" t="s">
        <v>643</v>
      </c>
      <c r="D3098" s="4">
        <v>2021</v>
      </c>
      <c r="E3098" s="4" t="s">
        <v>12</v>
      </c>
      <c r="F3098" s="4">
        <v>90</v>
      </c>
      <c r="G3098" s="4">
        <v>30</v>
      </c>
      <c r="H3098" s="4">
        <v>138.43224000000001</v>
      </c>
      <c r="I3098" s="201"/>
      <c r="J3098" s="201"/>
    </row>
    <row r="3099" spans="1:10" s="5" customFormat="1" ht="24" hidden="1" customHeight="1" outlineLevel="1" x14ac:dyDescent="0.25">
      <c r="A3099" s="41">
        <v>9759</v>
      </c>
      <c r="B3099" s="4" t="s">
        <v>18</v>
      </c>
      <c r="C3099" s="38" t="s">
        <v>644</v>
      </c>
      <c r="D3099" s="4">
        <v>2021</v>
      </c>
      <c r="E3099" s="4" t="s">
        <v>12</v>
      </c>
      <c r="F3099" s="4">
        <v>60</v>
      </c>
      <c r="G3099" s="4">
        <v>10</v>
      </c>
      <c r="H3099" s="4">
        <v>78.046999999999997</v>
      </c>
      <c r="I3099" s="201"/>
      <c r="J3099" s="201"/>
    </row>
    <row r="3100" spans="1:10" s="5" customFormat="1" ht="24" hidden="1" customHeight="1" outlineLevel="1" x14ac:dyDescent="0.25">
      <c r="A3100" s="41">
        <v>9758</v>
      </c>
      <c r="B3100" s="4" t="s">
        <v>18</v>
      </c>
      <c r="C3100" s="38" t="s">
        <v>645</v>
      </c>
      <c r="D3100" s="4">
        <v>2021</v>
      </c>
      <c r="E3100" s="4" t="s">
        <v>12</v>
      </c>
      <c r="F3100" s="4">
        <v>40</v>
      </c>
      <c r="G3100" s="4">
        <v>15</v>
      </c>
      <c r="H3100" s="4">
        <v>69.237219999999994</v>
      </c>
      <c r="I3100" s="201"/>
      <c r="J3100" s="201"/>
    </row>
    <row r="3101" spans="1:10" s="5" customFormat="1" ht="24" hidden="1" customHeight="1" outlineLevel="1" x14ac:dyDescent="0.25">
      <c r="A3101" s="41">
        <v>9517</v>
      </c>
      <c r="B3101" s="4" t="s">
        <v>18</v>
      </c>
      <c r="C3101" s="38" t="s">
        <v>646</v>
      </c>
      <c r="D3101" s="4">
        <v>2021</v>
      </c>
      <c r="E3101" s="4" t="s">
        <v>12</v>
      </c>
      <c r="F3101" s="4">
        <v>431</v>
      </c>
      <c r="G3101" s="4">
        <v>105</v>
      </c>
      <c r="H3101" s="4">
        <v>436.17964000000001</v>
      </c>
      <c r="I3101" s="201"/>
      <c r="J3101" s="201"/>
    </row>
    <row r="3102" spans="1:10" s="5" customFormat="1" ht="24" hidden="1" customHeight="1" outlineLevel="1" x14ac:dyDescent="0.25">
      <c r="A3102" s="41">
        <v>9527</v>
      </c>
      <c r="B3102" s="4" t="s">
        <v>18</v>
      </c>
      <c r="C3102" s="38" t="s">
        <v>647</v>
      </c>
      <c r="D3102" s="4">
        <v>2021</v>
      </c>
      <c r="E3102" s="4" t="s">
        <v>12</v>
      </c>
      <c r="F3102" s="4">
        <v>37</v>
      </c>
      <c r="G3102" s="4">
        <v>15</v>
      </c>
      <c r="H3102" s="4">
        <v>124.25194</v>
      </c>
      <c r="I3102" s="201"/>
      <c r="J3102" s="201"/>
    </row>
    <row r="3103" spans="1:10" s="5" customFormat="1" ht="24" hidden="1" customHeight="1" outlineLevel="1" x14ac:dyDescent="0.25">
      <c r="A3103" s="41">
        <v>9840</v>
      </c>
      <c r="B3103" s="4" t="s">
        <v>18</v>
      </c>
      <c r="C3103" s="38" t="s">
        <v>648</v>
      </c>
      <c r="D3103" s="4">
        <v>2021</v>
      </c>
      <c r="E3103" s="4" t="s">
        <v>12</v>
      </c>
      <c r="F3103" s="4">
        <v>30</v>
      </c>
      <c r="G3103" s="4">
        <v>20</v>
      </c>
      <c r="H3103" s="4">
        <v>41.455959999999997</v>
      </c>
      <c r="I3103" s="201"/>
      <c r="J3103" s="201"/>
    </row>
    <row r="3104" spans="1:10" s="5" customFormat="1" ht="24" hidden="1" customHeight="1" outlineLevel="1" x14ac:dyDescent="0.25">
      <c r="A3104" s="41">
        <v>9754</v>
      </c>
      <c r="B3104" s="4" t="s">
        <v>18</v>
      </c>
      <c r="C3104" s="38" t="s">
        <v>649</v>
      </c>
      <c r="D3104" s="4">
        <v>2021</v>
      </c>
      <c r="E3104" s="4" t="s">
        <v>12</v>
      </c>
      <c r="F3104" s="4">
        <v>70</v>
      </c>
      <c r="G3104" s="4">
        <v>15</v>
      </c>
      <c r="H3104" s="4">
        <v>94.334530000000001</v>
      </c>
      <c r="I3104" s="201"/>
      <c r="J3104" s="201"/>
    </row>
    <row r="3105" spans="1:10" s="5" customFormat="1" ht="24" hidden="1" customHeight="1" outlineLevel="1" x14ac:dyDescent="0.25">
      <c r="A3105" s="41">
        <v>9750</v>
      </c>
      <c r="B3105" s="4" t="s">
        <v>18</v>
      </c>
      <c r="C3105" s="38" t="s">
        <v>650</v>
      </c>
      <c r="D3105" s="4">
        <v>2021</v>
      </c>
      <c r="E3105" s="4" t="s">
        <v>12</v>
      </c>
      <c r="F3105" s="4">
        <v>65</v>
      </c>
      <c r="G3105" s="4">
        <v>15</v>
      </c>
      <c r="H3105" s="4">
        <v>85.463220000000007</v>
      </c>
      <c r="I3105" s="201"/>
      <c r="J3105" s="201"/>
    </row>
    <row r="3106" spans="1:10" s="5" customFormat="1" ht="24" hidden="1" customHeight="1" outlineLevel="1" x14ac:dyDescent="0.25">
      <c r="A3106" s="42">
        <v>969</v>
      </c>
      <c r="B3106" s="4" t="s">
        <v>18</v>
      </c>
      <c r="C3106" s="38" t="s">
        <v>651</v>
      </c>
      <c r="D3106" s="4">
        <v>2021</v>
      </c>
      <c r="E3106" s="4" t="s">
        <v>12</v>
      </c>
      <c r="F3106" s="4">
        <v>3</v>
      </c>
      <c r="G3106" s="4">
        <v>15</v>
      </c>
      <c r="H3106" s="4">
        <v>140.13737</v>
      </c>
      <c r="I3106" s="201"/>
      <c r="J3106" s="201"/>
    </row>
    <row r="3107" spans="1:10" s="5" customFormat="1" ht="24" hidden="1" customHeight="1" outlineLevel="1" x14ac:dyDescent="0.25">
      <c r="A3107" s="41">
        <v>9622</v>
      </c>
      <c r="B3107" s="4" t="s">
        <v>18</v>
      </c>
      <c r="C3107" s="38" t="s">
        <v>652</v>
      </c>
      <c r="D3107" s="4">
        <v>2021</v>
      </c>
      <c r="E3107" s="4" t="s">
        <v>12</v>
      </c>
      <c r="F3107" s="4">
        <v>5</v>
      </c>
      <c r="G3107" s="4">
        <v>1</v>
      </c>
      <c r="H3107" s="4">
        <v>44.097499999999997</v>
      </c>
      <c r="I3107" s="201"/>
      <c r="J3107" s="201"/>
    </row>
    <row r="3108" spans="1:10" s="5" customFormat="1" ht="24" hidden="1" customHeight="1" outlineLevel="1" x14ac:dyDescent="0.25">
      <c r="A3108" s="41">
        <v>9627</v>
      </c>
      <c r="B3108" s="4" t="s">
        <v>18</v>
      </c>
      <c r="C3108" s="38" t="s">
        <v>653</v>
      </c>
      <c r="D3108" s="4">
        <v>2021</v>
      </c>
      <c r="E3108" s="4" t="s">
        <v>12</v>
      </c>
      <c r="F3108" s="4">
        <v>162</v>
      </c>
      <c r="G3108" s="4">
        <v>150</v>
      </c>
      <c r="H3108" s="4">
        <v>341.02643</v>
      </c>
      <c r="I3108" s="201"/>
      <c r="J3108" s="201"/>
    </row>
    <row r="3109" spans="1:10" s="5" customFormat="1" ht="24" hidden="1" customHeight="1" outlineLevel="1" x14ac:dyDescent="0.25">
      <c r="A3109" s="42">
        <v>9853</v>
      </c>
      <c r="B3109" s="4" t="s">
        <v>18</v>
      </c>
      <c r="C3109" s="38" t="s">
        <v>654</v>
      </c>
      <c r="D3109" s="4">
        <v>2021</v>
      </c>
      <c r="E3109" s="4" t="s">
        <v>12</v>
      </c>
      <c r="F3109" s="4">
        <v>55</v>
      </c>
      <c r="G3109" s="4">
        <v>30</v>
      </c>
      <c r="H3109" s="4">
        <v>96.436179999999993</v>
      </c>
      <c r="I3109" s="201"/>
      <c r="J3109" s="201"/>
    </row>
    <row r="3110" spans="1:10" s="5" customFormat="1" ht="24" hidden="1" customHeight="1" outlineLevel="1" x14ac:dyDescent="0.25">
      <c r="A3110" s="41">
        <v>9858</v>
      </c>
      <c r="B3110" s="4" t="s">
        <v>18</v>
      </c>
      <c r="C3110" s="38" t="s">
        <v>655</v>
      </c>
      <c r="D3110" s="4">
        <v>2021</v>
      </c>
      <c r="E3110" s="4" t="s">
        <v>12</v>
      </c>
      <c r="F3110" s="4">
        <v>165</v>
      </c>
      <c r="G3110" s="4">
        <v>14</v>
      </c>
      <c r="H3110" s="4">
        <v>152.95061000000001</v>
      </c>
      <c r="I3110" s="201"/>
      <c r="J3110" s="201"/>
    </row>
    <row r="3111" spans="1:10" s="5" customFormat="1" ht="24" hidden="1" customHeight="1" outlineLevel="1" x14ac:dyDescent="0.25">
      <c r="A3111" s="42">
        <v>1358</v>
      </c>
      <c r="B3111" s="4" t="s">
        <v>18</v>
      </c>
      <c r="C3111" s="38" t="s">
        <v>656</v>
      </c>
      <c r="D3111" s="4">
        <v>2021</v>
      </c>
      <c r="E3111" s="4" t="s">
        <v>12</v>
      </c>
      <c r="F3111" s="4">
        <v>75</v>
      </c>
      <c r="G3111" s="4">
        <v>15</v>
      </c>
      <c r="H3111" s="4">
        <v>75.788939999999997</v>
      </c>
      <c r="I3111" s="201"/>
      <c r="J3111" s="201"/>
    </row>
    <row r="3112" spans="1:10" s="5" customFormat="1" ht="24" hidden="1" customHeight="1" outlineLevel="1" x14ac:dyDescent="0.25">
      <c r="A3112" s="41">
        <v>9621</v>
      </c>
      <c r="B3112" s="4" t="s">
        <v>18</v>
      </c>
      <c r="C3112" s="38" t="s">
        <v>657</v>
      </c>
      <c r="D3112" s="4">
        <v>2021</v>
      </c>
      <c r="E3112" s="4" t="s">
        <v>12</v>
      </c>
      <c r="F3112" s="4">
        <v>38</v>
      </c>
      <c r="G3112" s="4">
        <v>15</v>
      </c>
      <c r="H3112" s="4">
        <v>115.37439000000001</v>
      </c>
      <c r="I3112" s="201"/>
      <c r="J3112" s="201"/>
    </row>
    <row r="3113" spans="1:10" s="5" customFormat="1" ht="24" hidden="1" customHeight="1" outlineLevel="1" x14ac:dyDescent="0.25">
      <c r="A3113" s="41">
        <v>9839</v>
      </c>
      <c r="B3113" s="4" t="s">
        <v>18</v>
      </c>
      <c r="C3113" s="38" t="s">
        <v>658</v>
      </c>
      <c r="D3113" s="4">
        <v>2021</v>
      </c>
      <c r="E3113" s="4" t="s">
        <v>12</v>
      </c>
      <c r="F3113" s="4">
        <v>132</v>
      </c>
      <c r="G3113" s="4">
        <v>15</v>
      </c>
      <c r="H3113" s="4">
        <v>297.20033999999998</v>
      </c>
      <c r="I3113" s="201"/>
      <c r="J3113" s="201"/>
    </row>
    <row r="3114" spans="1:10" s="5" customFormat="1" ht="24" hidden="1" customHeight="1" outlineLevel="1" x14ac:dyDescent="0.25">
      <c r="A3114" s="41">
        <v>9617</v>
      </c>
      <c r="B3114" s="4" t="s">
        <v>18</v>
      </c>
      <c r="C3114" s="38" t="s">
        <v>659</v>
      </c>
      <c r="D3114" s="4">
        <v>2021</v>
      </c>
      <c r="E3114" s="4" t="s">
        <v>12</v>
      </c>
      <c r="F3114" s="4">
        <v>38</v>
      </c>
      <c r="G3114" s="4">
        <v>15</v>
      </c>
      <c r="H3114" s="4">
        <v>43.39217</v>
      </c>
      <c r="I3114" s="201"/>
      <c r="J3114" s="201"/>
    </row>
    <row r="3115" spans="1:10" s="5" customFormat="1" ht="24" hidden="1" customHeight="1" outlineLevel="1" x14ac:dyDescent="0.25">
      <c r="A3115" s="41">
        <v>9620</v>
      </c>
      <c r="B3115" s="4" t="s">
        <v>18</v>
      </c>
      <c r="C3115" s="38" t="s">
        <v>660</v>
      </c>
      <c r="D3115" s="4">
        <v>2021</v>
      </c>
      <c r="E3115" s="4" t="s">
        <v>12</v>
      </c>
      <c r="F3115" s="4">
        <v>5</v>
      </c>
      <c r="G3115" s="4">
        <v>15</v>
      </c>
      <c r="H3115" s="4">
        <v>41.63006</v>
      </c>
      <c r="I3115" s="201"/>
      <c r="J3115" s="201"/>
    </row>
    <row r="3116" spans="1:10" s="5" customFormat="1" ht="24" hidden="1" customHeight="1" outlineLevel="1" x14ac:dyDescent="0.25">
      <c r="A3116" s="41">
        <v>9484</v>
      </c>
      <c r="B3116" s="4" t="s">
        <v>18</v>
      </c>
      <c r="C3116" s="38" t="s">
        <v>661</v>
      </c>
      <c r="D3116" s="4">
        <v>2021</v>
      </c>
      <c r="E3116" s="4" t="s">
        <v>12</v>
      </c>
      <c r="F3116" s="4">
        <v>223</v>
      </c>
      <c r="G3116" s="4">
        <v>15</v>
      </c>
      <c r="H3116" s="4">
        <v>472.13198</v>
      </c>
      <c r="I3116" s="201"/>
      <c r="J3116" s="201"/>
    </row>
    <row r="3117" spans="1:10" s="5" customFormat="1" ht="24" hidden="1" customHeight="1" outlineLevel="1" x14ac:dyDescent="0.25">
      <c r="A3117" s="41">
        <v>9529</v>
      </c>
      <c r="B3117" s="4" t="s">
        <v>18</v>
      </c>
      <c r="C3117" s="38" t="s">
        <v>662</v>
      </c>
      <c r="D3117" s="4">
        <v>2021</v>
      </c>
      <c r="E3117" s="4" t="s">
        <v>12</v>
      </c>
      <c r="F3117" s="4">
        <v>300</v>
      </c>
      <c r="G3117" s="4">
        <v>30</v>
      </c>
      <c r="H3117" s="4">
        <v>110.54195</v>
      </c>
      <c r="I3117" s="201"/>
      <c r="J3117" s="201"/>
    </row>
    <row r="3118" spans="1:10" s="5" customFormat="1" ht="24" hidden="1" customHeight="1" outlineLevel="1" x14ac:dyDescent="0.25">
      <c r="A3118" s="41">
        <v>9827</v>
      </c>
      <c r="B3118" s="4" t="s">
        <v>18</v>
      </c>
      <c r="C3118" s="38" t="s">
        <v>663</v>
      </c>
      <c r="D3118" s="4">
        <v>2021</v>
      </c>
      <c r="E3118" s="4" t="s">
        <v>12</v>
      </c>
      <c r="F3118" s="4">
        <v>50</v>
      </c>
      <c r="G3118" s="4">
        <v>50</v>
      </c>
      <c r="H3118" s="4">
        <v>83.956569999999999</v>
      </c>
      <c r="I3118" s="201"/>
      <c r="J3118" s="201"/>
    </row>
    <row r="3119" spans="1:10" s="5" customFormat="1" ht="24" hidden="1" customHeight="1" outlineLevel="1" x14ac:dyDescent="0.25">
      <c r="A3119" s="41">
        <v>9486</v>
      </c>
      <c r="B3119" s="4" t="s">
        <v>18</v>
      </c>
      <c r="C3119" s="38" t="s">
        <v>664</v>
      </c>
      <c r="D3119" s="4">
        <v>2021</v>
      </c>
      <c r="E3119" s="4" t="s">
        <v>12</v>
      </c>
      <c r="F3119" s="4">
        <v>5</v>
      </c>
      <c r="G3119" s="4">
        <v>15</v>
      </c>
      <c r="H3119" s="4">
        <v>53.215229999999998</v>
      </c>
      <c r="I3119" s="201"/>
      <c r="J3119" s="201"/>
    </row>
    <row r="3120" spans="1:10" s="5" customFormat="1" ht="24" hidden="1" customHeight="1" outlineLevel="1" x14ac:dyDescent="0.25">
      <c r="A3120" s="41">
        <v>9767</v>
      </c>
      <c r="B3120" s="4" t="s">
        <v>18</v>
      </c>
      <c r="C3120" s="38" t="s">
        <v>665</v>
      </c>
      <c r="D3120" s="4">
        <v>2021</v>
      </c>
      <c r="E3120" s="4" t="s">
        <v>12</v>
      </c>
      <c r="F3120" s="4">
        <v>30</v>
      </c>
      <c r="G3120" s="4">
        <v>15</v>
      </c>
      <c r="H3120" s="4">
        <v>73.856999999999999</v>
      </c>
      <c r="I3120" s="201"/>
      <c r="J3120" s="201"/>
    </row>
    <row r="3121" spans="1:10" s="5" customFormat="1" ht="24" hidden="1" customHeight="1" outlineLevel="1" x14ac:dyDescent="0.25">
      <c r="A3121" s="41">
        <v>9765</v>
      </c>
      <c r="B3121" s="4" t="s">
        <v>18</v>
      </c>
      <c r="C3121" s="38" t="s">
        <v>666</v>
      </c>
      <c r="D3121" s="4">
        <v>2021</v>
      </c>
      <c r="E3121" s="4" t="s">
        <v>12</v>
      </c>
      <c r="F3121" s="4">
        <v>65</v>
      </c>
      <c r="G3121" s="4">
        <v>15</v>
      </c>
      <c r="H3121" s="4">
        <v>80.188090000000003</v>
      </c>
      <c r="I3121" s="201"/>
      <c r="J3121" s="201"/>
    </row>
    <row r="3122" spans="1:10" s="5" customFormat="1" ht="24" hidden="1" customHeight="1" outlineLevel="1" x14ac:dyDescent="0.25">
      <c r="A3122" s="41">
        <v>9761</v>
      </c>
      <c r="B3122" s="4" t="s">
        <v>18</v>
      </c>
      <c r="C3122" s="38" t="s">
        <v>667</v>
      </c>
      <c r="D3122" s="4">
        <v>2021</v>
      </c>
      <c r="E3122" s="4" t="s">
        <v>12</v>
      </c>
      <c r="F3122" s="4">
        <v>150</v>
      </c>
      <c r="G3122" s="4">
        <v>15</v>
      </c>
      <c r="H3122" s="4">
        <v>141.34809000000001</v>
      </c>
      <c r="I3122" s="201"/>
      <c r="J3122" s="201"/>
    </row>
    <row r="3123" spans="1:10" s="5" customFormat="1" ht="24" hidden="1" customHeight="1" outlineLevel="1" x14ac:dyDescent="0.25">
      <c r="A3123" s="42">
        <v>1346</v>
      </c>
      <c r="B3123" s="4" t="s">
        <v>18</v>
      </c>
      <c r="C3123" s="38" t="s">
        <v>668</v>
      </c>
      <c r="D3123" s="4">
        <v>2021</v>
      </c>
      <c r="E3123" s="4" t="s">
        <v>12</v>
      </c>
      <c r="F3123" s="4">
        <v>60</v>
      </c>
      <c r="G3123" s="4">
        <v>15</v>
      </c>
      <c r="H3123" s="4">
        <v>89.751450000000006</v>
      </c>
      <c r="I3123" s="201"/>
      <c r="J3123" s="201"/>
    </row>
    <row r="3124" spans="1:10" s="5" customFormat="1" ht="24" hidden="1" customHeight="1" outlineLevel="1" x14ac:dyDescent="0.25">
      <c r="A3124" s="42">
        <v>1347</v>
      </c>
      <c r="B3124" s="4" t="s">
        <v>18</v>
      </c>
      <c r="C3124" s="38" t="s">
        <v>669</v>
      </c>
      <c r="D3124" s="4">
        <v>2021</v>
      </c>
      <c r="E3124" s="4" t="s">
        <v>12</v>
      </c>
      <c r="F3124" s="4">
        <v>100</v>
      </c>
      <c r="G3124" s="4">
        <v>15</v>
      </c>
      <c r="H3124" s="4">
        <v>142.41451000000001</v>
      </c>
      <c r="I3124" s="201"/>
      <c r="J3124" s="201"/>
    </row>
    <row r="3125" spans="1:10" s="5" customFormat="1" ht="24" hidden="1" customHeight="1" outlineLevel="1" x14ac:dyDescent="0.25">
      <c r="A3125" s="42">
        <v>1340</v>
      </c>
      <c r="B3125" s="4" t="s">
        <v>18</v>
      </c>
      <c r="C3125" s="38" t="s">
        <v>670</v>
      </c>
      <c r="D3125" s="4">
        <v>2021</v>
      </c>
      <c r="E3125" s="4" t="s">
        <v>12</v>
      </c>
      <c r="F3125" s="4">
        <v>30</v>
      </c>
      <c r="G3125" s="4">
        <v>15</v>
      </c>
      <c r="H3125" s="4">
        <v>61.087040000000002</v>
      </c>
      <c r="I3125" s="201"/>
      <c r="J3125" s="201"/>
    </row>
    <row r="3126" spans="1:10" s="5" customFormat="1" ht="24" hidden="1" customHeight="1" outlineLevel="1" x14ac:dyDescent="0.25">
      <c r="A3126" s="42">
        <v>781</v>
      </c>
      <c r="B3126" s="4" t="s">
        <v>18</v>
      </c>
      <c r="C3126" s="38" t="s">
        <v>671</v>
      </c>
      <c r="D3126" s="4">
        <v>2021</v>
      </c>
      <c r="E3126" s="4" t="s">
        <v>12</v>
      </c>
      <c r="F3126" s="4">
        <v>51</v>
      </c>
      <c r="G3126" s="4">
        <v>15</v>
      </c>
      <c r="H3126" s="4">
        <v>176.80512999999999</v>
      </c>
      <c r="I3126" s="201"/>
      <c r="J3126" s="201"/>
    </row>
    <row r="3127" spans="1:10" s="5" customFormat="1" ht="24" hidden="1" customHeight="1" outlineLevel="1" x14ac:dyDescent="0.25">
      <c r="A3127" s="42">
        <v>1521</v>
      </c>
      <c r="B3127" s="4" t="s">
        <v>18</v>
      </c>
      <c r="C3127" s="38" t="s">
        <v>672</v>
      </c>
      <c r="D3127" s="4">
        <v>2021</v>
      </c>
      <c r="E3127" s="4" t="s">
        <v>12</v>
      </c>
      <c r="F3127" s="4">
        <v>20</v>
      </c>
      <c r="G3127" s="4">
        <v>15</v>
      </c>
      <c r="H3127" s="4">
        <v>70.152789999999996</v>
      </c>
      <c r="I3127" s="201"/>
      <c r="J3127" s="201"/>
    </row>
    <row r="3128" spans="1:10" s="5" customFormat="1" ht="24" hidden="1" customHeight="1" outlineLevel="1" x14ac:dyDescent="0.25">
      <c r="A3128" s="42">
        <v>1489</v>
      </c>
      <c r="B3128" s="4" t="s">
        <v>18</v>
      </c>
      <c r="C3128" s="38" t="s">
        <v>673</v>
      </c>
      <c r="D3128" s="4">
        <v>2021</v>
      </c>
      <c r="E3128" s="4" t="s">
        <v>12</v>
      </c>
      <c r="F3128" s="4">
        <v>253</v>
      </c>
      <c r="G3128" s="4">
        <v>15</v>
      </c>
      <c r="H3128" s="4">
        <v>477.41198000000003</v>
      </c>
      <c r="I3128" s="201"/>
      <c r="J3128" s="201"/>
    </row>
    <row r="3129" spans="1:10" s="5" customFormat="1" ht="24" hidden="1" customHeight="1" outlineLevel="1" x14ac:dyDescent="0.25">
      <c r="A3129" s="41">
        <v>9869</v>
      </c>
      <c r="B3129" s="4" t="s">
        <v>18</v>
      </c>
      <c r="C3129" s="38" t="s">
        <v>674</v>
      </c>
      <c r="D3129" s="4">
        <v>2021</v>
      </c>
      <c r="E3129" s="4" t="s">
        <v>12</v>
      </c>
      <c r="F3129" s="4">
        <v>100</v>
      </c>
      <c r="G3129" s="4">
        <v>15</v>
      </c>
      <c r="H3129" s="4">
        <v>160.73772</v>
      </c>
      <c r="I3129" s="201"/>
      <c r="J3129" s="201"/>
    </row>
    <row r="3130" spans="1:10" s="5" customFormat="1" ht="24" hidden="1" customHeight="1" outlineLevel="1" x14ac:dyDescent="0.25">
      <c r="A3130" s="41">
        <v>9748</v>
      </c>
      <c r="B3130" s="4" t="s">
        <v>18</v>
      </c>
      <c r="C3130" s="38" t="s">
        <v>675</v>
      </c>
      <c r="D3130" s="4">
        <v>2021</v>
      </c>
      <c r="E3130" s="4" t="s">
        <v>12</v>
      </c>
      <c r="F3130" s="4">
        <v>80</v>
      </c>
      <c r="G3130" s="4">
        <v>15</v>
      </c>
      <c r="H3130" s="4">
        <v>115.24428</v>
      </c>
      <c r="I3130" s="201"/>
      <c r="J3130" s="201"/>
    </row>
    <row r="3131" spans="1:10" s="5" customFormat="1" ht="24" hidden="1" customHeight="1" outlineLevel="1" x14ac:dyDescent="0.25">
      <c r="A3131" s="41">
        <v>9447</v>
      </c>
      <c r="B3131" s="4" t="s">
        <v>18</v>
      </c>
      <c r="C3131" s="38" t="s">
        <v>676</v>
      </c>
      <c r="D3131" s="4">
        <v>2021</v>
      </c>
      <c r="E3131" s="4" t="s">
        <v>12</v>
      </c>
      <c r="F3131" s="4">
        <v>70</v>
      </c>
      <c r="G3131" s="4">
        <v>10</v>
      </c>
      <c r="H3131" s="4">
        <v>131.59376</v>
      </c>
      <c r="I3131" s="201"/>
      <c r="J3131" s="201"/>
    </row>
    <row r="3132" spans="1:10" s="5" customFormat="1" ht="24" hidden="1" customHeight="1" outlineLevel="1" x14ac:dyDescent="0.25">
      <c r="A3132" s="42">
        <v>1355</v>
      </c>
      <c r="B3132" s="4" t="s">
        <v>18</v>
      </c>
      <c r="C3132" s="38" t="s">
        <v>677</v>
      </c>
      <c r="D3132" s="4">
        <v>2021</v>
      </c>
      <c r="E3132" s="4" t="s">
        <v>12</v>
      </c>
      <c r="F3132" s="4">
        <v>60</v>
      </c>
      <c r="G3132" s="4">
        <v>15</v>
      </c>
      <c r="H3132" s="4">
        <v>123.34695000000001</v>
      </c>
      <c r="I3132" s="201"/>
      <c r="J3132" s="201"/>
    </row>
    <row r="3133" spans="1:10" s="5" customFormat="1" ht="24" hidden="1" customHeight="1" outlineLevel="1" x14ac:dyDescent="0.25">
      <c r="A3133" s="41">
        <v>9456</v>
      </c>
      <c r="B3133" s="4" t="s">
        <v>18</v>
      </c>
      <c r="C3133" s="38" t="s">
        <v>678</v>
      </c>
      <c r="D3133" s="4">
        <v>2021</v>
      </c>
      <c r="E3133" s="4" t="s">
        <v>12</v>
      </c>
      <c r="F3133" s="4">
        <v>90</v>
      </c>
      <c r="G3133" s="4">
        <v>15</v>
      </c>
      <c r="H3133" s="4">
        <v>192.17934</v>
      </c>
      <c r="I3133" s="201"/>
      <c r="J3133" s="201"/>
    </row>
    <row r="3134" spans="1:10" s="5" customFormat="1" ht="24" hidden="1" customHeight="1" outlineLevel="1" x14ac:dyDescent="0.25">
      <c r="A3134" s="41">
        <v>9512</v>
      </c>
      <c r="B3134" s="4" t="s">
        <v>18</v>
      </c>
      <c r="C3134" s="38" t="s">
        <v>679</v>
      </c>
      <c r="D3134" s="4">
        <v>2021</v>
      </c>
      <c r="E3134" s="4" t="s">
        <v>12</v>
      </c>
      <c r="F3134" s="4">
        <v>256</v>
      </c>
      <c r="G3134" s="4">
        <v>15</v>
      </c>
      <c r="H3134" s="4">
        <v>350.25900999999999</v>
      </c>
      <c r="I3134" s="201"/>
      <c r="J3134" s="201"/>
    </row>
    <row r="3135" spans="1:10" s="5" customFormat="1" ht="24" hidden="1" customHeight="1" outlineLevel="1" x14ac:dyDescent="0.25">
      <c r="A3135" s="42">
        <v>1356</v>
      </c>
      <c r="B3135" s="4" t="s">
        <v>18</v>
      </c>
      <c r="C3135" s="38" t="s">
        <v>680</v>
      </c>
      <c r="D3135" s="4">
        <v>2021</v>
      </c>
      <c r="E3135" s="4" t="s">
        <v>12</v>
      </c>
      <c r="F3135" s="4">
        <v>85</v>
      </c>
      <c r="G3135" s="4">
        <v>15</v>
      </c>
      <c r="H3135" s="4">
        <v>119.98927</v>
      </c>
      <c r="I3135" s="201"/>
      <c r="J3135" s="201"/>
    </row>
    <row r="3136" spans="1:10" s="5" customFormat="1" ht="24" hidden="1" customHeight="1" outlineLevel="1" x14ac:dyDescent="0.25">
      <c r="A3136" s="41">
        <v>9766</v>
      </c>
      <c r="B3136" s="4" t="s">
        <v>18</v>
      </c>
      <c r="C3136" s="38" t="s">
        <v>681</v>
      </c>
      <c r="D3136" s="4">
        <v>2021</v>
      </c>
      <c r="E3136" s="4" t="s">
        <v>12</v>
      </c>
      <c r="F3136" s="4">
        <v>60</v>
      </c>
      <c r="G3136" s="4">
        <v>15</v>
      </c>
      <c r="H3136" s="4">
        <v>91.161439999999999</v>
      </c>
      <c r="I3136" s="201"/>
      <c r="J3136" s="201"/>
    </row>
    <row r="3137" spans="1:10" s="5" customFormat="1" ht="24" hidden="1" customHeight="1" outlineLevel="1" x14ac:dyDescent="0.25">
      <c r="A3137" s="42">
        <v>1341</v>
      </c>
      <c r="B3137" s="4" t="s">
        <v>18</v>
      </c>
      <c r="C3137" s="38" t="s">
        <v>682</v>
      </c>
      <c r="D3137" s="4">
        <v>2021</v>
      </c>
      <c r="E3137" s="4" t="s">
        <v>12</v>
      </c>
      <c r="F3137" s="4">
        <v>85</v>
      </c>
      <c r="G3137" s="4">
        <v>29</v>
      </c>
      <c r="H3137" s="4">
        <v>114.23748999999999</v>
      </c>
      <c r="I3137" s="201"/>
      <c r="J3137" s="201"/>
    </row>
    <row r="3138" spans="1:10" s="5" customFormat="1" ht="24" hidden="1" customHeight="1" outlineLevel="1" x14ac:dyDescent="0.25">
      <c r="A3138" s="42">
        <v>1348</v>
      </c>
      <c r="B3138" s="4" t="s">
        <v>18</v>
      </c>
      <c r="C3138" s="38" t="s">
        <v>683</v>
      </c>
      <c r="D3138" s="4">
        <v>2021</v>
      </c>
      <c r="E3138" s="4" t="s">
        <v>12</v>
      </c>
      <c r="F3138" s="4">
        <v>140</v>
      </c>
      <c r="G3138" s="4">
        <v>24</v>
      </c>
      <c r="H3138" s="4">
        <v>156.03694999999999</v>
      </c>
      <c r="I3138" s="201"/>
      <c r="J3138" s="201"/>
    </row>
    <row r="3139" spans="1:10" s="5" customFormat="1" ht="24" hidden="1" customHeight="1" outlineLevel="1" x14ac:dyDescent="0.25">
      <c r="A3139" s="41">
        <v>9873</v>
      </c>
      <c r="B3139" s="4" t="s">
        <v>18</v>
      </c>
      <c r="C3139" s="38" t="s">
        <v>684</v>
      </c>
      <c r="D3139" s="4">
        <v>2021</v>
      </c>
      <c r="E3139" s="4" t="s">
        <v>12</v>
      </c>
      <c r="F3139" s="4">
        <v>239</v>
      </c>
      <c r="G3139" s="4">
        <v>10</v>
      </c>
      <c r="H3139" s="4">
        <v>397.15627999999998</v>
      </c>
      <c r="I3139" s="201"/>
      <c r="J3139" s="201"/>
    </row>
    <row r="3140" spans="1:10" s="5" customFormat="1" ht="24" hidden="1" customHeight="1" outlineLevel="1" x14ac:dyDescent="0.25">
      <c r="A3140" s="42">
        <v>1339</v>
      </c>
      <c r="B3140" s="4" t="s">
        <v>18</v>
      </c>
      <c r="C3140" s="38" t="s">
        <v>685</v>
      </c>
      <c r="D3140" s="4">
        <v>2021</v>
      </c>
      <c r="E3140" s="4" t="s">
        <v>12</v>
      </c>
      <c r="F3140" s="4">
        <v>60</v>
      </c>
      <c r="G3140" s="4">
        <v>10</v>
      </c>
      <c r="H3140" s="4">
        <v>67.381299999999996</v>
      </c>
      <c r="I3140" s="201"/>
      <c r="J3140" s="201"/>
    </row>
    <row r="3141" spans="1:10" s="5" customFormat="1" ht="24" hidden="1" customHeight="1" outlineLevel="1" x14ac:dyDescent="0.25">
      <c r="A3141" s="41">
        <v>9752</v>
      </c>
      <c r="B3141" s="4" t="s">
        <v>18</v>
      </c>
      <c r="C3141" s="38" t="s">
        <v>686</v>
      </c>
      <c r="D3141" s="4">
        <v>2021</v>
      </c>
      <c r="E3141" s="4" t="s">
        <v>12</v>
      </c>
      <c r="F3141" s="4">
        <v>30</v>
      </c>
      <c r="G3141" s="4">
        <v>5</v>
      </c>
      <c r="H3141" s="4">
        <v>36.614179999999998</v>
      </c>
      <c r="I3141" s="201"/>
      <c r="J3141" s="201"/>
    </row>
    <row r="3142" spans="1:10" s="5" customFormat="1" ht="24" hidden="1" customHeight="1" outlineLevel="1" x14ac:dyDescent="0.25">
      <c r="A3142" s="41">
        <v>9491</v>
      </c>
      <c r="B3142" s="4" t="s">
        <v>18</v>
      </c>
      <c r="C3142" s="38" t="s">
        <v>687</v>
      </c>
      <c r="D3142" s="4">
        <v>2021</v>
      </c>
      <c r="E3142" s="4" t="s">
        <v>12</v>
      </c>
      <c r="F3142" s="4">
        <v>30</v>
      </c>
      <c r="G3142" s="4">
        <v>10</v>
      </c>
      <c r="H3142" s="4">
        <v>159.68848</v>
      </c>
      <c r="I3142" s="201"/>
      <c r="J3142" s="201"/>
    </row>
    <row r="3143" spans="1:10" s="5" customFormat="1" ht="24" hidden="1" customHeight="1" outlineLevel="1" x14ac:dyDescent="0.25">
      <c r="A3143" s="42">
        <v>722</v>
      </c>
      <c r="B3143" s="4" t="s">
        <v>18</v>
      </c>
      <c r="C3143" s="38" t="s">
        <v>688</v>
      </c>
      <c r="D3143" s="4">
        <v>2021</v>
      </c>
      <c r="E3143" s="4" t="s">
        <v>12</v>
      </c>
      <c r="F3143" s="4">
        <v>30</v>
      </c>
      <c r="G3143" s="4">
        <v>15</v>
      </c>
      <c r="H3143" s="4">
        <v>28.879370000000002</v>
      </c>
      <c r="I3143" s="201"/>
      <c r="J3143" s="201"/>
    </row>
    <row r="3144" spans="1:10" s="5" customFormat="1" ht="24" hidden="1" customHeight="1" outlineLevel="1" x14ac:dyDescent="0.25">
      <c r="A3144" s="41">
        <v>9269</v>
      </c>
      <c r="B3144" s="4" t="s">
        <v>18</v>
      </c>
      <c r="C3144" s="38" t="s">
        <v>689</v>
      </c>
      <c r="D3144" s="4">
        <v>2021</v>
      </c>
      <c r="E3144" s="4" t="s">
        <v>12</v>
      </c>
      <c r="F3144" s="4">
        <v>180</v>
      </c>
      <c r="G3144" s="4">
        <v>15</v>
      </c>
      <c r="H3144" s="4">
        <v>113.03068</v>
      </c>
      <c r="I3144" s="201"/>
      <c r="J3144" s="201"/>
    </row>
    <row r="3145" spans="1:10" s="5" customFormat="1" ht="24" hidden="1" customHeight="1" outlineLevel="1" x14ac:dyDescent="0.25">
      <c r="A3145" s="41">
        <v>9753</v>
      </c>
      <c r="B3145" s="4" t="s">
        <v>18</v>
      </c>
      <c r="C3145" s="38" t="s">
        <v>690</v>
      </c>
      <c r="D3145" s="4">
        <v>2021</v>
      </c>
      <c r="E3145" s="4" t="s">
        <v>12</v>
      </c>
      <c r="F3145" s="4">
        <v>85</v>
      </c>
      <c r="G3145" s="4">
        <v>10</v>
      </c>
      <c r="H3145" s="4">
        <v>102.84502000000001</v>
      </c>
      <c r="I3145" s="201"/>
      <c r="J3145" s="201"/>
    </row>
    <row r="3146" spans="1:10" s="5" customFormat="1" ht="24" hidden="1" customHeight="1" outlineLevel="1" x14ac:dyDescent="0.25">
      <c r="A3146" s="41">
        <v>9762</v>
      </c>
      <c r="B3146" s="4" t="s">
        <v>18</v>
      </c>
      <c r="C3146" s="38" t="s">
        <v>691</v>
      </c>
      <c r="D3146" s="4">
        <v>2021</v>
      </c>
      <c r="E3146" s="4" t="s">
        <v>12</v>
      </c>
      <c r="F3146" s="4">
        <v>90</v>
      </c>
      <c r="G3146" s="4">
        <v>14</v>
      </c>
      <c r="H3146" s="4">
        <v>101.32062999999999</v>
      </c>
      <c r="I3146" s="201"/>
      <c r="J3146" s="201"/>
    </row>
    <row r="3147" spans="1:10" s="5" customFormat="1" ht="24" hidden="1" customHeight="1" outlineLevel="1" x14ac:dyDescent="0.25">
      <c r="A3147" s="41">
        <v>9755</v>
      </c>
      <c r="B3147" s="4" t="s">
        <v>18</v>
      </c>
      <c r="C3147" s="38" t="s">
        <v>692</v>
      </c>
      <c r="D3147" s="4">
        <v>2021</v>
      </c>
      <c r="E3147" s="4" t="s">
        <v>12</v>
      </c>
      <c r="F3147" s="4">
        <v>130</v>
      </c>
      <c r="G3147" s="4">
        <v>15</v>
      </c>
      <c r="H3147" s="4">
        <v>151.89248000000001</v>
      </c>
      <c r="I3147" s="201"/>
      <c r="J3147" s="201"/>
    </row>
    <row r="3148" spans="1:10" s="5" customFormat="1" ht="24" hidden="1" customHeight="1" outlineLevel="1" x14ac:dyDescent="0.25">
      <c r="A3148" s="41">
        <v>9756</v>
      </c>
      <c r="B3148" s="4" t="s">
        <v>18</v>
      </c>
      <c r="C3148" s="38" t="s">
        <v>693</v>
      </c>
      <c r="D3148" s="4">
        <v>2021</v>
      </c>
      <c r="E3148" s="4" t="s">
        <v>12</v>
      </c>
      <c r="F3148" s="4">
        <v>283</v>
      </c>
      <c r="G3148" s="4">
        <v>15</v>
      </c>
      <c r="H3148" s="4">
        <v>489.16971000000001</v>
      </c>
      <c r="I3148" s="201"/>
      <c r="J3148" s="201"/>
    </row>
    <row r="3149" spans="1:10" s="5" customFormat="1" ht="24" hidden="1" customHeight="1" outlineLevel="1" x14ac:dyDescent="0.25">
      <c r="A3149" s="41">
        <v>9876</v>
      </c>
      <c r="B3149" s="4" t="s">
        <v>18</v>
      </c>
      <c r="C3149" s="38" t="s">
        <v>694</v>
      </c>
      <c r="D3149" s="4">
        <v>2021</v>
      </c>
      <c r="E3149" s="4" t="s">
        <v>12</v>
      </c>
      <c r="F3149" s="4">
        <v>868</v>
      </c>
      <c r="G3149" s="4">
        <v>15</v>
      </c>
      <c r="H3149" s="4">
        <v>1860.1391100000001</v>
      </c>
      <c r="I3149" s="201"/>
      <c r="J3149" s="201"/>
    </row>
    <row r="3150" spans="1:10" s="5" customFormat="1" ht="24" hidden="1" customHeight="1" outlineLevel="1" x14ac:dyDescent="0.25">
      <c r="A3150" s="41">
        <v>9763</v>
      </c>
      <c r="B3150" s="4" t="s">
        <v>18</v>
      </c>
      <c r="C3150" s="38" t="s">
        <v>695</v>
      </c>
      <c r="D3150" s="4">
        <v>2021</v>
      </c>
      <c r="E3150" s="4" t="s">
        <v>12</v>
      </c>
      <c r="F3150" s="4">
        <v>194</v>
      </c>
      <c r="G3150" s="4">
        <v>30</v>
      </c>
      <c r="H3150" s="4">
        <v>283.66816999999998</v>
      </c>
      <c r="I3150" s="201"/>
      <c r="J3150" s="201"/>
    </row>
    <row r="3151" spans="1:10" s="5" customFormat="1" ht="24" hidden="1" customHeight="1" outlineLevel="1" x14ac:dyDescent="0.25">
      <c r="A3151" s="41">
        <v>9448</v>
      </c>
      <c r="B3151" s="4" t="s">
        <v>18</v>
      </c>
      <c r="C3151" s="38" t="s">
        <v>696</v>
      </c>
      <c r="D3151" s="4">
        <v>2021</v>
      </c>
      <c r="E3151" s="4" t="s">
        <v>12</v>
      </c>
      <c r="F3151" s="4">
        <v>5</v>
      </c>
      <c r="G3151" s="4">
        <v>15</v>
      </c>
      <c r="H3151" s="4">
        <v>156.78088</v>
      </c>
      <c r="I3151" s="201"/>
      <c r="J3151" s="201"/>
    </row>
    <row r="3152" spans="1:10" s="5" customFormat="1" ht="24" hidden="1" customHeight="1" outlineLevel="1" x14ac:dyDescent="0.25">
      <c r="A3152" s="42">
        <v>1487</v>
      </c>
      <c r="B3152" s="4" t="s">
        <v>18</v>
      </c>
      <c r="C3152" s="38" t="s">
        <v>697</v>
      </c>
      <c r="D3152" s="4">
        <v>2021</v>
      </c>
      <c r="E3152" s="4" t="s">
        <v>12</v>
      </c>
      <c r="F3152" s="4">
        <v>196</v>
      </c>
      <c r="G3152" s="4">
        <v>15</v>
      </c>
      <c r="H3152" s="4">
        <v>291.77053999999998</v>
      </c>
      <c r="I3152" s="201"/>
      <c r="J3152" s="201"/>
    </row>
    <row r="3153" spans="1:10" s="5" customFormat="1" ht="24" hidden="1" customHeight="1" outlineLevel="1" x14ac:dyDescent="0.25">
      <c r="A3153" s="41">
        <v>9836</v>
      </c>
      <c r="B3153" s="4" t="s">
        <v>18</v>
      </c>
      <c r="C3153" s="38" t="s">
        <v>698</v>
      </c>
      <c r="D3153" s="4">
        <v>2021</v>
      </c>
      <c r="E3153" s="4" t="s">
        <v>12</v>
      </c>
      <c r="F3153" s="4">
        <v>162</v>
      </c>
      <c r="G3153" s="4">
        <v>29</v>
      </c>
      <c r="H3153" s="4">
        <v>282.45461</v>
      </c>
      <c r="I3153" s="201"/>
      <c r="J3153" s="201"/>
    </row>
    <row r="3154" spans="1:10" s="5" customFormat="1" ht="24" hidden="1" customHeight="1" outlineLevel="1" x14ac:dyDescent="0.25">
      <c r="A3154" s="41">
        <v>9859</v>
      </c>
      <c r="B3154" s="4" t="s">
        <v>18</v>
      </c>
      <c r="C3154" s="38" t="s">
        <v>699</v>
      </c>
      <c r="D3154" s="4">
        <v>2021</v>
      </c>
      <c r="E3154" s="4" t="s">
        <v>12</v>
      </c>
      <c r="F3154" s="4">
        <v>114</v>
      </c>
      <c r="G3154" s="4">
        <v>7</v>
      </c>
      <c r="H3154" s="4">
        <v>165.20024000000001</v>
      </c>
      <c r="I3154" s="201"/>
      <c r="J3154" s="201"/>
    </row>
    <row r="3155" spans="1:10" s="5" customFormat="1" ht="24" hidden="1" customHeight="1" outlineLevel="1" x14ac:dyDescent="0.25">
      <c r="A3155" s="41">
        <v>9847</v>
      </c>
      <c r="B3155" s="4" t="s">
        <v>18</v>
      </c>
      <c r="C3155" s="38" t="s">
        <v>700</v>
      </c>
      <c r="D3155" s="4">
        <v>2021</v>
      </c>
      <c r="E3155" s="4" t="s">
        <v>12</v>
      </c>
      <c r="F3155" s="4">
        <v>125</v>
      </c>
      <c r="G3155" s="4">
        <v>15</v>
      </c>
      <c r="H3155" s="4">
        <v>221.41701</v>
      </c>
      <c r="I3155" s="201"/>
      <c r="J3155" s="201"/>
    </row>
    <row r="3156" spans="1:10" s="5" customFormat="1" ht="24" hidden="1" customHeight="1" outlineLevel="1" x14ac:dyDescent="0.25">
      <c r="A3156" s="41">
        <v>9815</v>
      </c>
      <c r="B3156" s="4" t="s">
        <v>18</v>
      </c>
      <c r="C3156" s="38" t="s">
        <v>701</v>
      </c>
      <c r="D3156" s="4">
        <v>2021</v>
      </c>
      <c r="E3156" s="4" t="s">
        <v>12</v>
      </c>
      <c r="F3156" s="4">
        <v>202</v>
      </c>
      <c r="G3156" s="4">
        <v>15</v>
      </c>
      <c r="H3156" s="4">
        <v>287.60156000000001</v>
      </c>
      <c r="I3156" s="201"/>
      <c r="J3156" s="201"/>
    </row>
    <row r="3157" spans="1:10" s="5" customFormat="1" ht="24" hidden="1" customHeight="1" outlineLevel="1" x14ac:dyDescent="0.25">
      <c r="A3157" s="42">
        <v>9581</v>
      </c>
      <c r="B3157" s="4" t="s">
        <v>18</v>
      </c>
      <c r="C3157" s="38" t="s">
        <v>702</v>
      </c>
      <c r="D3157" s="4">
        <v>2021</v>
      </c>
      <c r="E3157" s="4" t="s">
        <v>12</v>
      </c>
      <c r="F3157" s="4">
        <v>3</v>
      </c>
      <c r="G3157" s="4">
        <v>15</v>
      </c>
      <c r="H3157" s="4">
        <v>43.139879999999998</v>
      </c>
      <c r="I3157" s="201"/>
      <c r="J3157" s="201"/>
    </row>
    <row r="3158" spans="1:10" s="5" customFormat="1" ht="24" hidden="1" customHeight="1" outlineLevel="1" x14ac:dyDescent="0.25">
      <c r="A3158" s="41">
        <v>9825</v>
      </c>
      <c r="B3158" s="4" t="s">
        <v>18</v>
      </c>
      <c r="C3158" s="38" t="s">
        <v>703</v>
      </c>
      <c r="D3158" s="4">
        <v>2021</v>
      </c>
      <c r="E3158" s="4" t="s">
        <v>12</v>
      </c>
      <c r="F3158" s="4">
        <v>70</v>
      </c>
      <c r="G3158" s="4">
        <v>15</v>
      </c>
      <c r="H3158" s="4">
        <v>133.73886999999999</v>
      </c>
      <c r="I3158" s="201"/>
      <c r="J3158" s="201"/>
    </row>
    <row r="3159" spans="1:10" s="5" customFormat="1" ht="24" hidden="1" customHeight="1" outlineLevel="1" x14ac:dyDescent="0.25">
      <c r="A3159" s="41">
        <v>9715</v>
      </c>
      <c r="B3159" s="4" t="s">
        <v>18</v>
      </c>
      <c r="C3159" s="61" t="s">
        <v>704</v>
      </c>
      <c r="D3159" s="4">
        <v>2021</v>
      </c>
      <c r="E3159" s="4" t="s">
        <v>12</v>
      </c>
      <c r="F3159" s="4">
        <v>180</v>
      </c>
      <c r="G3159" s="4">
        <v>15</v>
      </c>
      <c r="H3159" s="4">
        <v>253.58369999999999</v>
      </c>
      <c r="I3159" s="201"/>
      <c r="J3159" s="201"/>
    </row>
    <row r="3160" spans="1:10" s="5" customFormat="1" ht="24" hidden="1" customHeight="1" outlineLevel="1" x14ac:dyDescent="0.25">
      <c r="A3160" s="41">
        <v>9871</v>
      </c>
      <c r="B3160" s="4" t="s">
        <v>18</v>
      </c>
      <c r="C3160" s="38" t="s">
        <v>705</v>
      </c>
      <c r="D3160" s="4">
        <v>2021</v>
      </c>
      <c r="E3160" s="4" t="s">
        <v>12</v>
      </c>
      <c r="F3160" s="4">
        <v>100</v>
      </c>
      <c r="G3160" s="4">
        <v>15</v>
      </c>
      <c r="H3160" s="4">
        <v>192.09135000000001</v>
      </c>
      <c r="I3160" s="201"/>
      <c r="J3160" s="201"/>
    </row>
    <row r="3161" spans="1:10" s="5" customFormat="1" ht="24" hidden="1" customHeight="1" outlineLevel="1" x14ac:dyDescent="0.25">
      <c r="A3161" s="42">
        <v>1516</v>
      </c>
      <c r="B3161" s="4" t="s">
        <v>18</v>
      </c>
      <c r="C3161" s="38" t="s">
        <v>706</v>
      </c>
      <c r="D3161" s="4">
        <v>2021</v>
      </c>
      <c r="E3161" s="4" t="s">
        <v>12</v>
      </c>
      <c r="F3161" s="4">
        <v>384</v>
      </c>
      <c r="G3161" s="4">
        <v>15</v>
      </c>
      <c r="H3161" s="4">
        <v>531.68168000000003</v>
      </c>
      <c r="I3161" s="201"/>
      <c r="J3161" s="201"/>
    </row>
    <row r="3162" spans="1:10" s="5" customFormat="1" ht="24" hidden="1" customHeight="1" outlineLevel="1" x14ac:dyDescent="0.25">
      <c r="A3162" s="41">
        <v>9857</v>
      </c>
      <c r="B3162" s="4" t="s">
        <v>18</v>
      </c>
      <c r="C3162" s="38" t="s">
        <v>707</v>
      </c>
      <c r="D3162" s="4">
        <v>2021</v>
      </c>
      <c r="E3162" s="4" t="s">
        <v>12</v>
      </c>
      <c r="F3162" s="4">
        <v>160</v>
      </c>
      <c r="G3162" s="4">
        <v>15</v>
      </c>
      <c r="H3162" s="4">
        <v>164.72433000000001</v>
      </c>
      <c r="I3162" s="201"/>
      <c r="J3162" s="201"/>
    </row>
    <row r="3163" spans="1:10" s="5" customFormat="1" ht="24" hidden="1" customHeight="1" outlineLevel="1" x14ac:dyDescent="0.25">
      <c r="A3163" s="41">
        <v>9824</v>
      </c>
      <c r="B3163" s="4" t="s">
        <v>18</v>
      </c>
      <c r="C3163" s="38" t="s">
        <v>708</v>
      </c>
      <c r="D3163" s="4">
        <v>2021</v>
      </c>
      <c r="E3163" s="4" t="s">
        <v>12</v>
      </c>
      <c r="F3163" s="4">
        <v>30</v>
      </c>
      <c r="G3163" s="4">
        <v>15</v>
      </c>
      <c r="H3163" s="4">
        <v>49.721457999999998</v>
      </c>
      <c r="I3163" s="201"/>
      <c r="J3163" s="201"/>
    </row>
    <row r="3164" spans="1:10" s="5" customFormat="1" ht="24" hidden="1" customHeight="1" outlineLevel="1" x14ac:dyDescent="0.25">
      <c r="A3164" s="42">
        <v>9823</v>
      </c>
      <c r="B3164" s="4" t="s">
        <v>18</v>
      </c>
      <c r="C3164" s="38" t="s">
        <v>709</v>
      </c>
      <c r="D3164" s="4">
        <v>2021</v>
      </c>
      <c r="E3164" s="4" t="s">
        <v>12</v>
      </c>
      <c r="F3164" s="4">
        <v>40</v>
      </c>
      <c r="G3164" s="4">
        <v>24</v>
      </c>
      <c r="H3164" s="4">
        <v>51.271850000000001</v>
      </c>
      <c r="I3164" s="201"/>
      <c r="J3164" s="201"/>
    </row>
    <row r="3165" spans="1:10" s="5" customFormat="1" ht="24" hidden="1" customHeight="1" outlineLevel="1" x14ac:dyDescent="0.25">
      <c r="A3165" s="42">
        <v>1458</v>
      </c>
      <c r="B3165" s="4" t="s">
        <v>18</v>
      </c>
      <c r="C3165" s="38" t="s">
        <v>710</v>
      </c>
      <c r="D3165" s="4">
        <v>2021</v>
      </c>
      <c r="E3165" s="4" t="s">
        <v>12</v>
      </c>
      <c r="F3165" s="4">
        <v>30</v>
      </c>
      <c r="G3165" s="4">
        <v>10</v>
      </c>
      <c r="H3165" s="4">
        <v>40.193959999999997</v>
      </c>
      <c r="I3165" s="201"/>
      <c r="J3165" s="201"/>
    </row>
    <row r="3166" spans="1:10" s="5" customFormat="1" ht="24" hidden="1" customHeight="1" outlineLevel="1" x14ac:dyDescent="0.25">
      <c r="A3166" s="42">
        <v>9764</v>
      </c>
      <c r="B3166" s="4" t="s">
        <v>18</v>
      </c>
      <c r="C3166" s="38" t="s">
        <v>711</v>
      </c>
      <c r="D3166" s="4">
        <v>2021</v>
      </c>
      <c r="E3166" s="4" t="s">
        <v>12</v>
      </c>
      <c r="F3166" s="4">
        <v>85</v>
      </c>
      <c r="G3166" s="4">
        <v>15</v>
      </c>
      <c r="H3166" s="4">
        <v>114.75641</v>
      </c>
      <c r="I3166" s="201"/>
      <c r="J3166" s="201"/>
    </row>
    <row r="3167" spans="1:10" s="5" customFormat="1" ht="24" hidden="1" customHeight="1" outlineLevel="1" x14ac:dyDescent="0.25">
      <c r="A3167" s="41">
        <v>9751</v>
      </c>
      <c r="B3167" s="4" t="s">
        <v>18</v>
      </c>
      <c r="C3167" s="38" t="s">
        <v>712</v>
      </c>
      <c r="D3167" s="4">
        <v>2021</v>
      </c>
      <c r="E3167" s="4" t="s">
        <v>12</v>
      </c>
      <c r="F3167" s="4">
        <v>100</v>
      </c>
      <c r="G3167" s="4">
        <v>12</v>
      </c>
      <c r="H3167" s="4">
        <v>75.21114</v>
      </c>
      <c r="I3167" s="201"/>
      <c r="J3167" s="201"/>
    </row>
    <row r="3168" spans="1:10" s="5" customFormat="1" ht="24" hidden="1" customHeight="1" outlineLevel="1" x14ac:dyDescent="0.25">
      <c r="A3168" s="41">
        <v>9760</v>
      </c>
      <c r="B3168" s="4" t="s">
        <v>18</v>
      </c>
      <c r="C3168" s="38" t="s">
        <v>713</v>
      </c>
      <c r="D3168" s="4">
        <v>2021</v>
      </c>
      <c r="E3168" s="4" t="s">
        <v>12</v>
      </c>
      <c r="F3168" s="4">
        <v>35</v>
      </c>
      <c r="G3168" s="4">
        <v>30</v>
      </c>
      <c r="H3168" s="4">
        <v>73.574330000000003</v>
      </c>
      <c r="I3168" s="201"/>
      <c r="J3168" s="201"/>
    </row>
    <row r="3169" spans="1:10" s="5" customFormat="1" ht="24" hidden="1" customHeight="1" outlineLevel="1" x14ac:dyDescent="0.25">
      <c r="A3169" s="41">
        <v>9872</v>
      </c>
      <c r="B3169" s="4" t="s">
        <v>18</v>
      </c>
      <c r="C3169" s="38" t="s">
        <v>714</v>
      </c>
      <c r="D3169" s="4">
        <v>2021</v>
      </c>
      <c r="E3169" s="4" t="s">
        <v>12</v>
      </c>
      <c r="F3169" s="4">
        <v>102</v>
      </c>
      <c r="G3169" s="4">
        <v>15</v>
      </c>
      <c r="H3169" s="4">
        <v>276.12</v>
      </c>
      <c r="I3169" s="201"/>
      <c r="J3169" s="201"/>
    </row>
    <row r="3170" spans="1:10" s="5" customFormat="1" ht="24" hidden="1" customHeight="1" outlineLevel="1" x14ac:dyDescent="0.25">
      <c r="A3170" s="41">
        <v>9749</v>
      </c>
      <c r="B3170" s="4" t="s">
        <v>18</v>
      </c>
      <c r="C3170" s="38" t="s">
        <v>715</v>
      </c>
      <c r="D3170" s="4">
        <v>2021</v>
      </c>
      <c r="E3170" s="4" t="s">
        <v>12</v>
      </c>
      <c r="F3170" s="4">
        <v>30</v>
      </c>
      <c r="G3170" s="4">
        <v>15</v>
      </c>
      <c r="H3170" s="4">
        <v>44.851390000000002</v>
      </c>
      <c r="I3170" s="201"/>
      <c r="J3170" s="201"/>
    </row>
    <row r="3171" spans="1:10" s="5" customFormat="1" ht="24" hidden="1" customHeight="1" outlineLevel="1" x14ac:dyDescent="0.25">
      <c r="A3171" s="4">
        <v>434</v>
      </c>
      <c r="B3171" s="4" t="s">
        <v>18</v>
      </c>
      <c r="C3171" s="38" t="s">
        <v>9241</v>
      </c>
      <c r="D3171" s="4">
        <v>2023</v>
      </c>
      <c r="E3171" s="4" t="s">
        <v>12</v>
      </c>
      <c r="F3171" s="4">
        <v>48</v>
      </c>
      <c r="G3171" s="41">
        <v>10</v>
      </c>
      <c r="H3171" s="41">
        <v>99</v>
      </c>
      <c r="I3171" s="221"/>
      <c r="J3171" s="221"/>
    </row>
    <row r="3172" spans="1:10" s="5" customFormat="1" ht="24" hidden="1" customHeight="1" outlineLevel="1" x14ac:dyDescent="0.25">
      <c r="A3172" s="4">
        <v>702</v>
      </c>
      <c r="B3172" s="4" t="s">
        <v>18</v>
      </c>
      <c r="C3172" s="38" t="s">
        <v>9242</v>
      </c>
      <c r="D3172" s="4">
        <v>2023</v>
      </c>
      <c r="E3172" s="4" t="s">
        <v>12</v>
      </c>
      <c r="F3172" s="4">
        <v>23</v>
      </c>
      <c r="G3172" s="41">
        <v>5</v>
      </c>
      <c r="H3172" s="41">
        <v>72.14</v>
      </c>
      <c r="I3172" s="221"/>
      <c r="J3172" s="221"/>
    </row>
    <row r="3173" spans="1:10" s="5" customFormat="1" ht="24" hidden="1" customHeight="1" outlineLevel="1" x14ac:dyDescent="0.25">
      <c r="A3173" s="4">
        <v>3358</v>
      </c>
      <c r="B3173" s="4" t="s">
        <v>18</v>
      </c>
      <c r="C3173" s="38" t="s">
        <v>9243</v>
      </c>
      <c r="D3173" s="4">
        <v>2023</v>
      </c>
      <c r="E3173" s="4" t="s">
        <v>12</v>
      </c>
      <c r="F3173" s="4">
        <v>25</v>
      </c>
      <c r="G3173" s="41">
        <v>15</v>
      </c>
      <c r="H3173" s="41">
        <v>79.10499999999999</v>
      </c>
      <c r="I3173" s="221"/>
      <c r="J3173" s="221"/>
    </row>
    <row r="3174" spans="1:10" s="5" customFormat="1" ht="24" hidden="1" customHeight="1" outlineLevel="1" x14ac:dyDescent="0.25">
      <c r="A3174" s="4">
        <v>800</v>
      </c>
      <c r="B3174" s="4" t="s">
        <v>18</v>
      </c>
      <c r="C3174" s="38" t="s">
        <v>9244</v>
      </c>
      <c r="D3174" s="4">
        <v>2023</v>
      </c>
      <c r="E3174" s="4" t="s">
        <v>12</v>
      </c>
      <c r="F3174" s="4">
        <v>60</v>
      </c>
      <c r="G3174" s="41">
        <v>15</v>
      </c>
      <c r="H3174" s="41">
        <v>108.59099999999999</v>
      </c>
      <c r="I3174" s="221"/>
      <c r="J3174" s="221"/>
    </row>
    <row r="3175" spans="1:10" s="5" customFormat="1" ht="24" hidden="1" customHeight="1" outlineLevel="1" x14ac:dyDescent="0.25">
      <c r="A3175" s="4">
        <v>3660</v>
      </c>
      <c r="B3175" s="4" t="s">
        <v>18</v>
      </c>
      <c r="C3175" s="38" t="s">
        <v>9245</v>
      </c>
      <c r="D3175" s="4">
        <v>2023</v>
      </c>
      <c r="E3175" s="4" t="s">
        <v>12</v>
      </c>
      <c r="F3175" s="4">
        <v>95</v>
      </c>
      <c r="G3175" s="41">
        <v>15</v>
      </c>
      <c r="H3175" s="41">
        <v>119.02799999999999</v>
      </c>
      <c r="I3175" s="221"/>
      <c r="J3175" s="221"/>
    </row>
    <row r="3176" spans="1:10" s="5" customFormat="1" ht="24" hidden="1" customHeight="1" outlineLevel="1" x14ac:dyDescent="0.25">
      <c r="A3176" s="4">
        <v>3893</v>
      </c>
      <c r="B3176" s="4" t="s">
        <v>18</v>
      </c>
      <c r="C3176" s="38" t="s">
        <v>9246</v>
      </c>
      <c r="D3176" s="4">
        <v>2023</v>
      </c>
      <c r="E3176" s="4" t="s">
        <v>12</v>
      </c>
      <c r="F3176" s="4">
        <v>70</v>
      </c>
      <c r="G3176" s="41">
        <v>10</v>
      </c>
      <c r="H3176" s="41">
        <v>102.512</v>
      </c>
      <c r="I3176" s="221"/>
      <c r="J3176" s="221"/>
    </row>
    <row r="3177" spans="1:10" s="5" customFormat="1" ht="24" hidden="1" customHeight="1" outlineLevel="1" x14ac:dyDescent="0.25">
      <c r="A3177" s="4">
        <v>903</v>
      </c>
      <c r="B3177" s="4" t="s">
        <v>18</v>
      </c>
      <c r="C3177" s="38" t="s">
        <v>9247</v>
      </c>
      <c r="D3177" s="4">
        <v>2023</v>
      </c>
      <c r="E3177" s="4" t="s">
        <v>12</v>
      </c>
      <c r="F3177" s="4">
        <v>259</v>
      </c>
      <c r="G3177" s="41">
        <v>10</v>
      </c>
      <c r="H3177" s="41">
        <v>629.4</v>
      </c>
      <c r="I3177" s="221"/>
      <c r="J3177" s="221"/>
    </row>
    <row r="3178" spans="1:10" s="5" customFormat="1" ht="24" hidden="1" customHeight="1" outlineLevel="1" x14ac:dyDescent="0.25">
      <c r="A3178" s="4">
        <v>3272</v>
      </c>
      <c r="B3178" s="4" t="s">
        <v>18</v>
      </c>
      <c r="C3178" s="38" t="s">
        <v>9248</v>
      </c>
      <c r="D3178" s="4">
        <v>2023</v>
      </c>
      <c r="E3178" s="4" t="s">
        <v>12</v>
      </c>
      <c r="F3178" s="4">
        <v>220</v>
      </c>
      <c r="G3178" s="41">
        <v>7.5</v>
      </c>
      <c r="H3178" s="41">
        <v>474.262</v>
      </c>
      <c r="I3178" s="221"/>
      <c r="J3178" s="221"/>
    </row>
    <row r="3179" spans="1:10" s="5" customFormat="1" ht="24" hidden="1" customHeight="1" outlineLevel="1" x14ac:dyDescent="0.25">
      <c r="A3179" s="4">
        <v>806</v>
      </c>
      <c r="B3179" s="4" t="s">
        <v>18</v>
      </c>
      <c r="C3179" s="38" t="s">
        <v>9249</v>
      </c>
      <c r="D3179" s="4">
        <v>2023</v>
      </c>
      <c r="E3179" s="4" t="s">
        <v>12</v>
      </c>
      <c r="F3179" s="4">
        <v>164</v>
      </c>
      <c r="G3179" s="41">
        <v>30</v>
      </c>
      <c r="H3179" s="41">
        <v>265.28499999999997</v>
      </c>
      <c r="I3179" s="221"/>
      <c r="J3179" s="221"/>
    </row>
    <row r="3180" spans="1:10" s="5" customFormat="1" ht="24" hidden="1" customHeight="1" outlineLevel="1" x14ac:dyDescent="0.25">
      <c r="A3180" s="4">
        <v>4582</v>
      </c>
      <c r="B3180" s="4" t="s">
        <v>18</v>
      </c>
      <c r="C3180" s="38" t="s">
        <v>9250</v>
      </c>
      <c r="D3180" s="4">
        <v>2023</v>
      </c>
      <c r="E3180" s="4" t="s">
        <v>12</v>
      </c>
      <c r="F3180" s="4">
        <v>74</v>
      </c>
      <c r="G3180" s="41">
        <v>14.4</v>
      </c>
      <c r="H3180" s="41">
        <v>91.372</v>
      </c>
      <c r="I3180" s="221"/>
      <c r="J3180" s="221"/>
    </row>
    <row r="3181" spans="1:10" s="5" customFormat="1" ht="24" hidden="1" customHeight="1" outlineLevel="1" x14ac:dyDescent="0.25">
      <c r="A3181" s="4">
        <v>3931</v>
      </c>
      <c r="B3181" s="4" t="s">
        <v>18</v>
      </c>
      <c r="C3181" s="38" t="s">
        <v>9251</v>
      </c>
      <c r="D3181" s="4">
        <v>2023</v>
      </c>
      <c r="E3181" s="4" t="s">
        <v>12</v>
      </c>
      <c r="F3181" s="4">
        <v>86</v>
      </c>
      <c r="G3181" s="41">
        <v>5</v>
      </c>
      <c r="H3181" s="41">
        <v>103.926</v>
      </c>
      <c r="I3181" s="221"/>
      <c r="J3181" s="221"/>
    </row>
    <row r="3182" spans="1:10" s="5" customFormat="1" ht="24" hidden="1" customHeight="1" outlineLevel="1" x14ac:dyDescent="0.25">
      <c r="A3182" s="4">
        <v>3934</v>
      </c>
      <c r="B3182" s="4" t="s">
        <v>18</v>
      </c>
      <c r="C3182" s="38" t="s">
        <v>9252</v>
      </c>
      <c r="D3182" s="4">
        <v>2023</v>
      </c>
      <c r="E3182" s="4" t="s">
        <v>12</v>
      </c>
      <c r="F3182" s="4">
        <v>36</v>
      </c>
      <c r="G3182" s="41">
        <v>5</v>
      </c>
      <c r="H3182" s="41">
        <v>56.569000000000003</v>
      </c>
      <c r="I3182" s="221"/>
      <c r="J3182" s="221"/>
    </row>
    <row r="3183" spans="1:10" s="5" customFormat="1" ht="24" hidden="1" customHeight="1" outlineLevel="1" x14ac:dyDescent="0.25">
      <c r="A3183" s="4">
        <v>3900</v>
      </c>
      <c r="B3183" s="4" t="s">
        <v>18</v>
      </c>
      <c r="C3183" s="38" t="s">
        <v>9253</v>
      </c>
      <c r="D3183" s="4">
        <v>2023</v>
      </c>
      <c r="E3183" s="4" t="s">
        <v>12</v>
      </c>
      <c r="F3183" s="4">
        <v>76</v>
      </c>
      <c r="G3183" s="41">
        <v>7.5</v>
      </c>
      <c r="H3183" s="41">
        <v>86.958999999999989</v>
      </c>
      <c r="I3183" s="221"/>
      <c r="J3183" s="221"/>
    </row>
    <row r="3184" spans="1:10" s="5" customFormat="1" ht="24" hidden="1" customHeight="1" outlineLevel="1" x14ac:dyDescent="0.25">
      <c r="A3184" s="4">
        <v>4670</v>
      </c>
      <c r="B3184" s="4" t="s">
        <v>18</v>
      </c>
      <c r="C3184" s="38" t="s">
        <v>9254</v>
      </c>
      <c r="D3184" s="4">
        <v>2023</v>
      </c>
      <c r="E3184" s="4" t="s">
        <v>12</v>
      </c>
      <c r="F3184" s="4">
        <v>101</v>
      </c>
      <c r="G3184" s="41">
        <v>100</v>
      </c>
      <c r="H3184" s="41">
        <v>192.65799999999999</v>
      </c>
      <c r="I3184" s="221"/>
      <c r="J3184" s="221"/>
    </row>
    <row r="3185" spans="1:10" s="5" customFormat="1" ht="24" hidden="1" customHeight="1" outlineLevel="1" x14ac:dyDescent="0.25">
      <c r="A3185" s="4">
        <v>587</v>
      </c>
      <c r="B3185" s="4" t="s">
        <v>18</v>
      </c>
      <c r="C3185" s="38" t="s">
        <v>9255</v>
      </c>
      <c r="D3185" s="4">
        <v>2023</v>
      </c>
      <c r="E3185" s="4" t="s">
        <v>12</v>
      </c>
      <c r="F3185" s="4">
        <v>364</v>
      </c>
      <c r="G3185" s="41">
        <v>15</v>
      </c>
      <c r="H3185" s="41">
        <v>592.24699999999996</v>
      </c>
      <c r="I3185" s="221"/>
      <c r="J3185" s="221"/>
    </row>
    <row r="3186" spans="1:10" s="5" customFormat="1" ht="24" hidden="1" customHeight="1" outlineLevel="1" x14ac:dyDescent="0.25">
      <c r="A3186" s="4">
        <v>927</v>
      </c>
      <c r="B3186" s="4" t="s">
        <v>18</v>
      </c>
      <c r="C3186" s="38" t="s">
        <v>9256</v>
      </c>
      <c r="D3186" s="4">
        <v>2023</v>
      </c>
      <c r="E3186" s="4" t="s">
        <v>12</v>
      </c>
      <c r="F3186" s="4">
        <v>234</v>
      </c>
      <c r="G3186" s="41">
        <v>10</v>
      </c>
      <c r="H3186" s="41">
        <v>544.34400000000005</v>
      </c>
      <c r="I3186" s="221"/>
      <c r="J3186" s="221"/>
    </row>
    <row r="3187" spans="1:10" s="5" customFormat="1" ht="24" hidden="1" customHeight="1" outlineLevel="1" x14ac:dyDescent="0.25">
      <c r="A3187" s="4">
        <v>450</v>
      </c>
      <c r="B3187" s="4" t="s">
        <v>18</v>
      </c>
      <c r="C3187" s="38" t="s">
        <v>9257</v>
      </c>
      <c r="D3187" s="4">
        <v>2023</v>
      </c>
      <c r="E3187" s="4" t="s">
        <v>12</v>
      </c>
      <c r="F3187" s="4">
        <v>100</v>
      </c>
      <c r="G3187" s="41">
        <v>5</v>
      </c>
      <c r="H3187" s="41">
        <v>150.06200000000001</v>
      </c>
      <c r="I3187" s="221"/>
      <c r="J3187" s="221"/>
    </row>
    <row r="3188" spans="1:10" s="5" customFormat="1" ht="24" hidden="1" customHeight="1" outlineLevel="1" x14ac:dyDescent="0.25">
      <c r="A3188" s="4">
        <v>452</v>
      </c>
      <c r="B3188" s="4" t="s">
        <v>18</v>
      </c>
      <c r="C3188" s="38" t="s">
        <v>9258</v>
      </c>
      <c r="D3188" s="4">
        <v>2023</v>
      </c>
      <c r="E3188" s="4" t="s">
        <v>12</v>
      </c>
      <c r="F3188" s="4">
        <v>30</v>
      </c>
      <c r="G3188" s="41">
        <v>10</v>
      </c>
      <c r="H3188" s="41">
        <v>97.12700000000001</v>
      </c>
      <c r="I3188" s="221"/>
      <c r="J3188" s="221"/>
    </row>
    <row r="3189" spans="1:10" s="5" customFormat="1" ht="24" hidden="1" customHeight="1" outlineLevel="1" x14ac:dyDescent="0.25">
      <c r="A3189" s="4">
        <v>920</v>
      </c>
      <c r="B3189" s="4" t="s">
        <v>18</v>
      </c>
      <c r="C3189" s="38" t="s">
        <v>9259</v>
      </c>
      <c r="D3189" s="4">
        <v>2023</v>
      </c>
      <c r="E3189" s="4" t="s">
        <v>12</v>
      </c>
      <c r="F3189" s="4">
        <v>401</v>
      </c>
      <c r="G3189" s="41">
        <v>15</v>
      </c>
      <c r="H3189" s="41">
        <v>837.20899999999995</v>
      </c>
      <c r="I3189" s="221"/>
      <c r="J3189" s="221"/>
    </row>
    <row r="3190" spans="1:10" s="5" customFormat="1" ht="24" hidden="1" customHeight="1" outlineLevel="1" x14ac:dyDescent="0.25">
      <c r="A3190" s="4">
        <v>4661</v>
      </c>
      <c r="B3190" s="4" t="s">
        <v>18</v>
      </c>
      <c r="C3190" s="38" t="s">
        <v>9260</v>
      </c>
      <c r="D3190" s="4">
        <v>2023</v>
      </c>
      <c r="E3190" s="4" t="s">
        <v>12</v>
      </c>
      <c r="F3190" s="4">
        <v>20</v>
      </c>
      <c r="G3190" s="41">
        <v>15</v>
      </c>
      <c r="H3190" s="41">
        <v>71.140999999999991</v>
      </c>
      <c r="I3190" s="221"/>
      <c r="J3190" s="221"/>
    </row>
    <row r="3191" spans="1:10" s="5" customFormat="1" ht="24" hidden="1" customHeight="1" outlineLevel="1" x14ac:dyDescent="0.25">
      <c r="A3191" s="4">
        <v>904</v>
      </c>
      <c r="B3191" s="4" t="s">
        <v>18</v>
      </c>
      <c r="C3191" s="38" t="s">
        <v>9261</v>
      </c>
      <c r="D3191" s="4">
        <v>2023</v>
      </c>
      <c r="E3191" s="4" t="s">
        <v>12</v>
      </c>
      <c r="F3191" s="4">
        <v>246</v>
      </c>
      <c r="G3191" s="41">
        <v>15</v>
      </c>
      <c r="H3191" s="41">
        <v>586.28</v>
      </c>
      <c r="I3191" s="221"/>
      <c r="J3191" s="221"/>
    </row>
    <row r="3192" spans="1:10" s="5" customFormat="1" ht="24" hidden="1" customHeight="1" outlineLevel="1" x14ac:dyDescent="0.25">
      <c r="A3192" s="4">
        <v>3235</v>
      </c>
      <c r="B3192" s="4" t="s">
        <v>18</v>
      </c>
      <c r="C3192" s="38" t="s">
        <v>9225</v>
      </c>
      <c r="D3192" s="4">
        <v>2023</v>
      </c>
      <c r="E3192" s="4" t="s">
        <v>12</v>
      </c>
      <c r="F3192" s="4">
        <v>30</v>
      </c>
      <c r="G3192" s="41">
        <v>15</v>
      </c>
      <c r="H3192" s="41">
        <v>159.31</v>
      </c>
      <c r="I3192" s="221"/>
      <c r="J3192" s="221"/>
    </row>
    <row r="3193" spans="1:10" s="5" customFormat="1" ht="24" hidden="1" customHeight="1" outlineLevel="1" x14ac:dyDescent="0.25">
      <c r="A3193" s="4">
        <v>691</v>
      </c>
      <c r="B3193" s="4" t="s">
        <v>18</v>
      </c>
      <c r="C3193" s="38" t="s">
        <v>9262</v>
      </c>
      <c r="D3193" s="4">
        <v>2023</v>
      </c>
      <c r="E3193" s="4" t="s">
        <v>12</v>
      </c>
      <c r="F3193" s="4">
        <v>388</v>
      </c>
      <c r="G3193" s="41">
        <v>15</v>
      </c>
      <c r="H3193" s="41">
        <v>798.65099999999995</v>
      </c>
      <c r="I3193" s="221"/>
      <c r="J3193" s="221"/>
    </row>
    <row r="3194" spans="1:10" s="5" customFormat="1" ht="24" hidden="1" customHeight="1" outlineLevel="1" x14ac:dyDescent="0.25">
      <c r="A3194" s="4">
        <v>961</v>
      </c>
      <c r="B3194" s="4" t="s">
        <v>18</v>
      </c>
      <c r="C3194" s="38" t="s">
        <v>9263</v>
      </c>
      <c r="D3194" s="4">
        <v>2023</v>
      </c>
      <c r="E3194" s="4" t="s">
        <v>12</v>
      </c>
      <c r="F3194" s="4">
        <v>292</v>
      </c>
      <c r="G3194" s="41">
        <v>15</v>
      </c>
      <c r="H3194" s="41">
        <v>691.9</v>
      </c>
      <c r="I3194" s="221"/>
      <c r="J3194" s="221"/>
    </row>
    <row r="3195" spans="1:10" s="5" customFormat="1" ht="24" hidden="1" customHeight="1" outlineLevel="1" x14ac:dyDescent="0.25">
      <c r="A3195" s="4">
        <v>1280</v>
      </c>
      <c r="B3195" s="4" t="s">
        <v>18</v>
      </c>
      <c r="C3195" s="38" t="s">
        <v>9264</v>
      </c>
      <c r="D3195" s="4">
        <v>2023</v>
      </c>
      <c r="E3195" s="4" t="s">
        <v>12</v>
      </c>
      <c r="F3195" s="4">
        <v>166</v>
      </c>
      <c r="G3195" s="41">
        <v>5</v>
      </c>
      <c r="H3195" s="41">
        <v>377.94100000000003</v>
      </c>
      <c r="I3195" s="221"/>
      <c r="J3195" s="221"/>
    </row>
    <row r="3196" spans="1:10" s="5" customFormat="1" ht="24" hidden="1" customHeight="1" outlineLevel="1" x14ac:dyDescent="0.25">
      <c r="A3196" s="4">
        <v>3265</v>
      </c>
      <c r="B3196" s="4" t="s">
        <v>18</v>
      </c>
      <c r="C3196" s="38" t="s">
        <v>9265</v>
      </c>
      <c r="D3196" s="4">
        <v>2023</v>
      </c>
      <c r="E3196" s="4" t="s">
        <v>12</v>
      </c>
      <c r="F3196" s="4">
        <v>204</v>
      </c>
      <c r="G3196" s="41">
        <v>45</v>
      </c>
      <c r="H3196" s="41">
        <v>526.65600000000006</v>
      </c>
      <c r="I3196" s="221"/>
      <c r="J3196" s="221"/>
    </row>
    <row r="3197" spans="1:10" s="5" customFormat="1" ht="24" hidden="1" customHeight="1" outlineLevel="1" x14ac:dyDescent="0.25">
      <c r="A3197" s="4">
        <v>4617</v>
      </c>
      <c r="B3197" s="4" t="s">
        <v>18</v>
      </c>
      <c r="C3197" s="38" t="s">
        <v>9266</v>
      </c>
      <c r="D3197" s="4">
        <v>2023</v>
      </c>
      <c r="E3197" s="4" t="s">
        <v>12</v>
      </c>
      <c r="F3197" s="4">
        <v>25</v>
      </c>
      <c r="G3197" s="41">
        <v>15</v>
      </c>
      <c r="H3197" s="41">
        <v>66.844999999999999</v>
      </c>
      <c r="I3197" s="221"/>
      <c r="J3197" s="221"/>
    </row>
    <row r="3198" spans="1:10" s="5" customFormat="1" ht="24" hidden="1" customHeight="1" outlineLevel="1" x14ac:dyDescent="0.25">
      <c r="A3198" s="4">
        <v>500</v>
      </c>
      <c r="B3198" s="4" t="s">
        <v>18</v>
      </c>
      <c r="C3198" s="38" t="s">
        <v>9267</v>
      </c>
      <c r="D3198" s="4">
        <v>2023</v>
      </c>
      <c r="E3198" s="4" t="s">
        <v>12</v>
      </c>
      <c r="F3198" s="4">
        <v>120</v>
      </c>
      <c r="G3198" s="41">
        <v>10</v>
      </c>
      <c r="H3198" s="41">
        <v>254.43199999999999</v>
      </c>
      <c r="I3198" s="221"/>
      <c r="J3198" s="221"/>
    </row>
    <row r="3199" spans="1:10" s="5" customFormat="1" ht="24" hidden="1" customHeight="1" outlineLevel="1" x14ac:dyDescent="0.25">
      <c r="A3199" s="4">
        <v>518</v>
      </c>
      <c r="B3199" s="4" t="s">
        <v>18</v>
      </c>
      <c r="C3199" s="38" t="s">
        <v>9268</v>
      </c>
      <c r="D3199" s="4">
        <v>2023</v>
      </c>
      <c r="E3199" s="4" t="s">
        <v>12</v>
      </c>
      <c r="F3199" s="4">
        <v>100</v>
      </c>
      <c r="G3199" s="41">
        <v>15</v>
      </c>
      <c r="H3199" s="41">
        <v>243.71100000000001</v>
      </c>
      <c r="I3199" s="221"/>
      <c r="J3199" s="221"/>
    </row>
    <row r="3200" spans="1:10" s="5" customFormat="1" ht="24" hidden="1" customHeight="1" outlineLevel="1" x14ac:dyDescent="0.25">
      <c r="A3200" s="4">
        <v>643</v>
      </c>
      <c r="B3200" s="4" t="s">
        <v>18</v>
      </c>
      <c r="C3200" s="38" t="s">
        <v>9269</v>
      </c>
      <c r="D3200" s="4">
        <v>2023</v>
      </c>
      <c r="E3200" s="4" t="s">
        <v>12</v>
      </c>
      <c r="F3200" s="4">
        <v>200</v>
      </c>
      <c r="G3200" s="41">
        <v>15</v>
      </c>
      <c r="H3200" s="41">
        <v>439.803</v>
      </c>
      <c r="I3200" s="221"/>
      <c r="J3200" s="221"/>
    </row>
    <row r="3201" spans="1:10" s="5" customFormat="1" ht="24" hidden="1" customHeight="1" outlineLevel="1" x14ac:dyDescent="0.25">
      <c r="A3201" s="4">
        <v>3837</v>
      </c>
      <c r="B3201" s="4" t="s">
        <v>18</v>
      </c>
      <c r="C3201" s="38" t="s">
        <v>9270</v>
      </c>
      <c r="D3201" s="4">
        <v>2023</v>
      </c>
      <c r="E3201" s="4" t="s">
        <v>12</v>
      </c>
      <c r="F3201" s="4">
        <v>175</v>
      </c>
      <c r="G3201" s="41">
        <v>15</v>
      </c>
      <c r="H3201" s="41">
        <v>239.51600000000002</v>
      </c>
      <c r="I3201" s="221"/>
      <c r="J3201" s="221"/>
    </row>
    <row r="3202" spans="1:10" s="5" customFormat="1" ht="24" hidden="1" customHeight="1" outlineLevel="1" x14ac:dyDescent="0.25">
      <c r="A3202" s="4">
        <v>3846</v>
      </c>
      <c r="B3202" s="4" t="s">
        <v>18</v>
      </c>
      <c r="C3202" s="38" t="s">
        <v>9271</v>
      </c>
      <c r="D3202" s="4">
        <v>2023</v>
      </c>
      <c r="E3202" s="4" t="s">
        <v>12</v>
      </c>
      <c r="F3202" s="4">
        <v>10</v>
      </c>
      <c r="G3202" s="41">
        <v>15</v>
      </c>
      <c r="H3202" s="41">
        <v>59.707000000000001</v>
      </c>
      <c r="I3202" s="221"/>
      <c r="J3202" s="221"/>
    </row>
    <row r="3203" spans="1:10" s="5" customFormat="1" ht="24" hidden="1" customHeight="1" outlineLevel="1" x14ac:dyDescent="0.25">
      <c r="A3203" s="4">
        <v>931</v>
      </c>
      <c r="B3203" s="4" t="s">
        <v>18</v>
      </c>
      <c r="C3203" s="38" t="s">
        <v>9272</v>
      </c>
      <c r="D3203" s="4">
        <v>2023</v>
      </c>
      <c r="E3203" s="4" t="s">
        <v>12</v>
      </c>
      <c r="F3203" s="4">
        <v>105</v>
      </c>
      <c r="G3203" s="41">
        <v>10</v>
      </c>
      <c r="H3203" s="41">
        <v>222.191</v>
      </c>
      <c r="I3203" s="221"/>
      <c r="J3203" s="221"/>
    </row>
    <row r="3204" spans="1:10" s="5" customFormat="1" ht="24" hidden="1" customHeight="1" outlineLevel="1" x14ac:dyDescent="0.25">
      <c r="A3204" s="4">
        <v>838</v>
      </c>
      <c r="B3204" s="4" t="s">
        <v>18</v>
      </c>
      <c r="C3204" s="38" t="s">
        <v>9273</v>
      </c>
      <c r="D3204" s="4">
        <v>2023</v>
      </c>
      <c r="E3204" s="4" t="s">
        <v>12</v>
      </c>
      <c r="F3204" s="4">
        <v>205</v>
      </c>
      <c r="G3204" s="41">
        <v>10</v>
      </c>
      <c r="H3204" s="41">
        <v>421.66700000000003</v>
      </c>
      <c r="I3204" s="221"/>
      <c r="J3204" s="221"/>
    </row>
    <row r="3205" spans="1:10" s="5" customFormat="1" ht="24" hidden="1" customHeight="1" outlineLevel="1" x14ac:dyDescent="0.25">
      <c r="A3205" s="4">
        <v>3980</v>
      </c>
      <c r="B3205" s="4" t="s">
        <v>18</v>
      </c>
      <c r="C3205" s="38" t="s">
        <v>9274</v>
      </c>
      <c r="D3205" s="4">
        <v>2023</v>
      </c>
      <c r="E3205" s="4" t="s">
        <v>12</v>
      </c>
      <c r="F3205" s="4">
        <v>105</v>
      </c>
      <c r="G3205" s="41">
        <v>15</v>
      </c>
      <c r="H3205" s="41">
        <v>198.63800000000001</v>
      </c>
      <c r="I3205" s="221"/>
      <c r="J3205" s="221"/>
    </row>
    <row r="3206" spans="1:10" s="5" customFormat="1" ht="24" hidden="1" customHeight="1" outlineLevel="1" x14ac:dyDescent="0.25">
      <c r="A3206" s="4">
        <v>730</v>
      </c>
      <c r="B3206" s="4" t="s">
        <v>18</v>
      </c>
      <c r="C3206" s="38" t="s">
        <v>9275</v>
      </c>
      <c r="D3206" s="4">
        <v>2023</v>
      </c>
      <c r="E3206" s="4" t="s">
        <v>12</v>
      </c>
      <c r="F3206" s="4">
        <v>206</v>
      </c>
      <c r="G3206" s="41">
        <v>15</v>
      </c>
      <c r="H3206" s="41">
        <v>494.95299999999997</v>
      </c>
      <c r="I3206" s="221"/>
      <c r="J3206" s="221"/>
    </row>
    <row r="3207" spans="1:10" s="5" customFormat="1" ht="24" hidden="1" customHeight="1" outlineLevel="1" x14ac:dyDescent="0.25">
      <c r="A3207" s="4">
        <v>420</v>
      </c>
      <c r="B3207" s="4" t="s">
        <v>18</v>
      </c>
      <c r="C3207" s="38" t="s">
        <v>9276</v>
      </c>
      <c r="D3207" s="4">
        <v>2023</v>
      </c>
      <c r="E3207" s="4" t="s">
        <v>12</v>
      </c>
      <c r="F3207" s="4">
        <v>365</v>
      </c>
      <c r="G3207" s="41">
        <v>15</v>
      </c>
      <c r="H3207" s="41">
        <v>373.97699999999998</v>
      </c>
      <c r="I3207" s="221"/>
      <c r="J3207" s="221"/>
    </row>
    <row r="3208" spans="1:10" s="5" customFormat="1" ht="24" hidden="1" customHeight="1" outlineLevel="1" x14ac:dyDescent="0.25">
      <c r="A3208" s="4">
        <v>437</v>
      </c>
      <c r="B3208" s="4" t="s">
        <v>18</v>
      </c>
      <c r="C3208" s="38" t="s">
        <v>9277</v>
      </c>
      <c r="D3208" s="4">
        <v>2023</v>
      </c>
      <c r="E3208" s="4" t="s">
        <v>12</v>
      </c>
      <c r="F3208" s="4">
        <v>160</v>
      </c>
      <c r="G3208" s="41">
        <v>10</v>
      </c>
      <c r="H3208" s="41">
        <v>84.154999999999987</v>
      </c>
      <c r="I3208" s="221"/>
      <c r="J3208" s="221"/>
    </row>
    <row r="3209" spans="1:10" s="5" customFormat="1" ht="24" hidden="1" customHeight="1" outlineLevel="1" x14ac:dyDescent="0.25">
      <c r="A3209" s="4">
        <v>1140</v>
      </c>
      <c r="B3209" s="4" t="s">
        <v>18</v>
      </c>
      <c r="C3209" s="38" t="s">
        <v>9278</v>
      </c>
      <c r="D3209" s="4">
        <v>2023</v>
      </c>
      <c r="E3209" s="4" t="s">
        <v>12</v>
      </c>
      <c r="F3209" s="4">
        <v>80</v>
      </c>
      <c r="G3209" s="41">
        <v>15</v>
      </c>
      <c r="H3209" s="41">
        <v>123.97800000000001</v>
      </c>
      <c r="I3209" s="221"/>
      <c r="J3209" s="221"/>
    </row>
    <row r="3210" spans="1:10" s="5" customFormat="1" ht="24" hidden="1" customHeight="1" outlineLevel="1" x14ac:dyDescent="0.25">
      <c r="A3210" s="4">
        <v>4660</v>
      </c>
      <c r="B3210" s="4" t="s">
        <v>18</v>
      </c>
      <c r="C3210" s="38" t="s">
        <v>9279</v>
      </c>
      <c r="D3210" s="4">
        <v>2023</v>
      </c>
      <c r="E3210" s="4" t="s">
        <v>12</v>
      </c>
      <c r="F3210" s="4">
        <v>40</v>
      </c>
      <c r="G3210" s="41">
        <v>15</v>
      </c>
      <c r="H3210" s="41">
        <v>81.173000000000002</v>
      </c>
      <c r="I3210" s="221"/>
      <c r="J3210" s="221"/>
    </row>
    <row r="3211" spans="1:10" s="5" customFormat="1" ht="24" hidden="1" customHeight="1" outlineLevel="1" x14ac:dyDescent="0.25">
      <c r="A3211" s="4">
        <v>4614</v>
      </c>
      <c r="B3211" s="4" t="s">
        <v>18</v>
      </c>
      <c r="C3211" s="38" t="s">
        <v>9065</v>
      </c>
      <c r="D3211" s="4">
        <v>2023</v>
      </c>
      <c r="E3211" s="4" t="s">
        <v>12</v>
      </c>
      <c r="F3211" s="4">
        <v>26</v>
      </c>
      <c r="G3211" s="41">
        <v>150</v>
      </c>
      <c r="H3211" s="41">
        <v>61.663999999999994</v>
      </c>
      <c r="I3211" s="221"/>
      <c r="J3211" s="221"/>
    </row>
    <row r="3212" spans="1:10" s="5" customFormat="1" ht="24" hidden="1" customHeight="1" outlineLevel="1" x14ac:dyDescent="0.25">
      <c r="A3212" s="4">
        <v>2994</v>
      </c>
      <c r="B3212" s="4" t="s">
        <v>18</v>
      </c>
      <c r="C3212" s="38" t="s">
        <v>9280</v>
      </c>
      <c r="D3212" s="4">
        <v>2023</v>
      </c>
      <c r="E3212" s="4" t="s">
        <v>12</v>
      </c>
      <c r="F3212" s="4">
        <v>117</v>
      </c>
      <c r="G3212" s="41">
        <v>100</v>
      </c>
      <c r="H3212" s="41">
        <v>221.185</v>
      </c>
      <c r="I3212" s="221"/>
      <c r="J3212" s="221"/>
    </row>
    <row r="3213" spans="1:10" s="5" customFormat="1" ht="24" hidden="1" customHeight="1" outlineLevel="1" x14ac:dyDescent="0.25">
      <c r="A3213" s="4">
        <v>3183</v>
      </c>
      <c r="B3213" s="4" t="s">
        <v>18</v>
      </c>
      <c r="C3213" s="38" t="s">
        <v>9281</v>
      </c>
      <c r="D3213" s="4">
        <v>2023</v>
      </c>
      <c r="E3213" s="4" t="s">
        <v>12</v>
      </c>
      <c r="F3213" s="4">
        <v>5</v>
      </c>
      <c r="G3213" s="41">
        <v>15</v>
      </c>
      <c r="H3213" s="41">
        <v>62.516000000000005</v>
      </c>
      <c r="I3213" s="221"/>
      <c r="J3213" s="221"/>
    </row>
    <row r="3214" spans="1:10" s="5" customFormat="1" ht="24" hidden="1" customHeight="1" outlineLevel="1" x14ac:dyDescent="0.25">
      <c r="A3214" s="4">
        <v>3943</v>
      </c>
      <c r="B3214" s="4" t="s">
        <v>18</v>
      </c>
      <c r="C3214" s="38" t="s">
        <v>9282</v>
      </c>
      <c r="D3214" s="4">
        <v>2023</v>
      </c>
      <c r="E3214" s="4" t="s">
        <v>12</v>
      </c>
      <c r="F3214" s="4">
        <v>20</v>
      </c>
      <c r="G3214" s="41">
        <v>12</v>
      </c>
      <c r="H3214" s="41">
        <v>80.290999999999997</v>
      </c>
      <c r="I3214" s="221"/>
      <c r="J3214" s="221"/>
    </row>
    <row r="3215" spans="1:10" s="5" customFormat="1" ht="24" hidden="1" customHeight="1" outlineLevel="1" x14ac:dyDescent="0.25">
      <c r="A3215" s="4">
        <v>3268</v>
      </c>
      <c r="B3215" s="4" t="s">
        <v>18</v>
      </c>
      <c r="C3215" s="38" t="s">
        <v>9283</v>
      </c>
      <c r="D3215" s="4">
        <v>2023</v>
      </c>
      <c r="E3215" s="4" t="s">
        <v>12</v>
      </c>
      <c r="F3215" s="4">
        <v>45</v>
      </c>
      <c r="G3215" s="41">
        <v>7.5</v>
      </c>
      <c r="H3215" s="41">
        <v>117.08300000000001</v>
      </c>
      <c r="I3215" s="221"/>
      <c r="J3215" s="221"/>
    </row>
    <row r="3216" spans="1:10" s="5" customFormat="1" ht="24" hidden="1" customHeight="1" outlineLevel="1" x14ac:dyDescent="0.25">
      <c r="A3216" s="4">
        <v>3259</v>
      </c>
      <c r="B3216" s="4" t="s">
        <v>18</v>
      </c>
      <c r="C3216" s="38" t="s">
        <v>9284</v>
      </c>
      <c r="D3216" s="4">
        <v>2023</v>
      </c>
      <c r="E3216" s="4" t="s">
        <v>12</v>
      </c>
      <c r="F3216" s="4">
        <v>33</v>
      </c>
      <c r="G3216" s="41">
        <v>7.5</v>
      </c>
      <c r="H3216" s="41">
        <v>88.716999999999999</v>
      </c>
      <c r="I3216" s="221"/>
      <c r="J3216" s="221"/>
    </row>
    <row r="3217" spans="1:10" s="5" customFormat="1" ht="24" hidden="1" customHeight="1" outlineLevel="1" x14ac:dyDescent="0.25">
      <c r="A3217" s="4">
        <v>1298</v>
      </c>
      <c r="B3217" s="4" t="s">
        <v>18</v>
      </c>
      <c r="C3217" s="38" t="s">
        <v>9285</v>
      </c>
      <c r="D3217" s="4">
        <v>2023</v>
      </c>
      <c r="E3217" s="4" t="s">
        <v>12</v>
      </c>
      <c r="F3217" s="4">
        <v>36</v>
      </c>
      <c r="G3217" s="41">
        <v>15</v>
      </c>
      <c r="H3217" s="41">
        <v>109.96400000000001</v>
      </c>
      <c r="I3217" s="221"/>
      <c r="J3217" s="221"/>
    </row>
    <row r="3218" spans="1:10" s="5" customFormat="1" ht="24" hidden="1" customHeight="1" outlineLevel="1" x14ac:dyDescent="0.25">
      <c r="A3218" s="4">
        <v>1307</v>
      </c>
      <c r="B3218" s="4" t="s">
        <v>18</v>
      </c>
      <c r="C3218" s="38" t="s">
        <v>9286</v>
      </c>
      <c r="D3218" s="4">
        <v>2023</v>
      </c>
      <c r="E3218" s="4" t="s">
        <v>12</v>
      </c>
      <c r="F3218" s="4">
        <v>25</v>
      </c>
      <c r="G3218" s="41">
        <v>15</v>
      </c>
      <c r="H3218" s="41">
        <v>83.963999999999999</v>
      </c>
      <c r="I3218" s="221"/>
      <c r="J3218" s="221"/>
    </row>
    <row r="3219" spans="1:10" s="5" customFormat="1" ht="24" hidden="1" customHeight="1" outlineLevel="1" x14ac:dyDescent="0.25">
      <c r="A3219" s="4">
        <v>1018</v>
      </c>
      <c r="B3219" s="4" t="s">
        <v>18</v>
      </c>
      <c r="C3219" s="38" t="s">
        <v>9287</v>
      </c>
      <c r="D3219" s="4">
        <v>2023</v>
      </c>
      <c r="E3219" s="4" t="s">
        <v>12</v>
      </c>
      <c r="F3219" s="4">
        <v>180</v>
      </c>
      <c r="G3219" s="41">
        <v>14</v>
      </c>
      <c r="H3219" s="41">
        <v>299.048</v>
      </c>
      <c r="I3219" s="221"/>
      <c r="J3219" s="221"/>
    </row>
    <row r="3220" spans="1:10" s="5" customFormat="1" ht="24" hidden="1" customHeight="1" outlineLevel="1" x14ac:dyDescent="0.25">
      <c r="A3220" s="4">
        <v>3264</v>
      </c>
      <c r="B3220" s="4" t="s">
        <v>18</v>
      </c>
      <c r="C3220" s="38" t="s">
        <v>9288</v>
      </c>
      <c r="D3220" s="4">
        <v>2023</v>
      </c>
      <c r="E3220" s="4" t="s">
        <v>12</v>
      </c>
      <c r="F3220" s="4">
        <v>65</v>
      </c>
      <c r="G3220" s="41">
        <v>15</v>
      </c>
      <c r="H3220" s="41">
        <v>90.546000000000006</v>
      </c>
      <c r="I3220" s="221"/>
      <c r="J3220" s="221"/>
    </row>
    <row r="3221" spans="1:10" s="5" customFormat="1" ht="24" hidden="1" customHeight="1" outlineLevel="1" x14ac:dyDescent="0.25">
      <c r="A3221" s="4">
        <v>1557</v>
      </c>
      <c r="B3221" s="4" t="s">
        <v>18</v>
      </c>
      <c r="C3221" s="38" t="s">
        <v>9289</v>
      </c>
      <c r="D3221" s="4">
        <v>2023</v>
      </c>
      <c r="E3221" s="4" t="s">
        <v>12</v>
      </c>
      <c r="F3221" s="4">
        <v>303</v>
      </c>
      <c r="G3221" s="41">
        <v>7</v>
      </c>
      <c r="H3221" s="41">
        <v>685.19799999999998</v>
      </c>
      <c r="I3221" s="221"/>
      <c r="J3221" s="221"/>
    </row>
    <row r="3222" spans="1:10" s="5" customFormat="1" ht="24" hidden="1" customHeight="1" outlineLevel="1" x14ac:dyDescent="0.25">
      <c r="A3222" s="4">
        <v>3237</v>
      </c>
      <c r="B3222" s="4" t="s">
        <v>18</v>
      </c>
      <c r="C3222" s="38" t="s">
        <v>9229</v>
      </c>
      <c r="D3222" s="4">
        <v>2023</v>
      </c>
      <c r="E3222" s="4" t="s">
        <v>12</v>
      </c>
      <c r="F3222" s="4">
        <v>33</v>
      </c>
      <c r="G3222" s="41">
        <v>10</v>
      </c>
      <c r="H3222" s="41">
        <v>138.66500000000002</v>
      </c>
      <c r="I3222" s="221"/>
      <c r="J3222" s="221"/>
    </row>
    <row r="3223" spans="1:10" s="5" customFormat="1" ht="24" hidden="1" customHeight="1" outlineLevel="1" x14ac:dyDescent="0.25">
      <c r="A3223" s="4">
        <v>3215</v>
      </c>
      <c r="B3223" s="4" t="s">
        <v>18</v>
      </c>
      <c r="C3223" s="38" t="s">
        <v>9290</v>
      </c>
      <c r="D3223" s="4">
        <v>2023</v>
      </c>
      <c r="E3223" s="4" t="s">
        <v>12</v>
      </c>
      <c r="F3223" s="4">
        <v>248</v>
      </c>
      <c r="G3223" s="41">
        <v>5</v>
      </c>
      <c r="H3223" s="41">
        <v>149.21100000000001</v>
      </c>
      <c r="I3223" s="221"/>
      <c r="J3223" s="221"/>
    </row>
    <row r="3224" spans="1:10" s="5" customFormat="1" ht="24" hidden="1" customHeight="1" outlineLevel="1" x14ac:dyDescent="0.25">
      <c r="A3224" s="4">
        <v>1242</v>
      </c>
      <c r="B3224" s="4" t="s">
        <v>18</v>
      </c>
      <c r="C3224" s="38" t="s">
        <v>9291</v>
      </c>
      <c r="D3224" s="4">
        <v>2023</v>
      </c>
      <c r="E3224" s="4" t="s">
        <v>12</v>
      </c>
      <c r="F3224" s="4">
        <v>80</v>
      </c>
      <c r="G3224" s="41">
        <v>15</v>
      </c>
      <c r="H3224" s="41">
        <v>118.33799999999999</v>
      </c>
      <c r="I3224" s="221"/>
      <c r="J3224" s="221"/>
    </row>
    <row r="3225" spans="1:10" s="5" customFormat="1" ht="24" hidden="1" customHeight="1" outlineLevel="1" x14ac:dyDescent="0.25">
      <c r="A3225" s="4">
        <v>413</v>
      </c>
      <c r="B3225" s="4" t="s">
        <v>18</v>
      </c>
      <c r="C3225" s="38" t="s">
        <v>9066</v>
      </c>
      <c r="D3225" s="4">
        <v>2023</v>
      </c>
      <c r="E3225" s="4" t="s">
        <v>12</v>
      </c>
      <c r="F3225" s="4">
        <v>15</v>
      </c>
      <c r="G3225" s="41">
        <v>15</v>
      </c>
      <c r="H3225" s="41">
        <v>90.194999999999993</v>
      </c>
      <c r="I3225" s="221"/>
      <c r="J3225" s="221"/>
    </row>
    <row r="3226" spans="1:10" s="5" customFormat="1" ht="24" hidden="1" customHeight="1" outlineLevel="1" x14ac:dyDescent="0.25">
      <c r="A3226" s="4">
        <v>733</v>
      </c>
      <c r="B3226" s="4" t="s">
        <v>18</v>
      </c>
      <c r="C3226" s="38" t="s">
        <v>9292</v>
      </c>
      <c r="D3226" s="4">
        <v>2023</v>
      </c>
      <c r="E3226" s="4" t="s">
        <v>12</v>
      </c>
      <c r="F3226" s="4">
        <v>160</v>
      </c>
      <c r="G3226" s="41">
        <v>15</v>
      </c>
      <c r="H3226" s="41">
        <v>270.375</v>
      </c>
      <c r="I3226" s="221"/>
      <c r="J3226" s="221"/>
    </row>
    <row r="3227" spans="1:10" s="5" customFormat="1" ht="24" hidden="1" customHeight="1" outlineLevel="1" x14ac:dyDescent="0.25">
      <c r="A3227" s="4">
        <v>580</v>
      </c>
      <c r="B3227" s="4" t="s">
        <v>18</v>
      </c>
      <c r="C3227" s="38" t="s">
        <v>9293</v>
      </c>
      <c r="D3227" s="4">
        <v>2023</v>
      </c>
      <c r="E3227" s="4" t="s">
        <v>12</v>
      </c>
      <c r="F3227" s="4">
        <v>135</v>
      </c>
      <c r="G3227" s="41">
        <v>10</v>
      </c>
      <c r="H3227" s="41">
        <v>225.637</v>
      </c>
      <c r="I3227" s="221"/>
      <c r="J3227" s="221"/>
    </row>
    <row r="3228" spans="1:10" s="5" customFormat="1" ht="24" hidden="1" customHeight="1" outlineLevel="1" x14ac:dyDescent="0.25">
      <c r="A3228" s="4">
        <v>4732</v>
      </c>
      <c r="B3228" s="4" t="s">
        <v>18</v>
      </c>
      <c r="C3228" s="38" t="s">
        <v>9231</v>
      </c>
      <c r="D3228" s="4">
        <v>2023</v>
      </c>
      <c r="E3228" s="4" t="s">
        <v>12</v>
      </c>
      <c r="F3228" s="4">
        <v>25</v>
      </c>
      <c r="G3228" s="41">
        <v>15</v>
      </c>
      <c r="H3228" s="41">
        <v>129.77000000000001</v>
      </c>
      <c r="I3228" s="221"/>
      <c r="J3228" s="221"/>
    </row>
    <row r="3229" spans="1:10" s="5" customFormat="1" ht="24" hidden="1" customHeight="1" outlineLevel="1" x14ac:dyDescent="0.25">
      <c r="A3229" s="4">
        <v>3287</v>
      </c>
      <c r="B3229" s="4" t="s">
        <v>18</v>
      </c>
      <c r="C3229" s="38" t="s">
        <v>9294</v>
      </c>
      <c r="D3229" s="4">
        <v>2023</v>
      </c>
      <c r="E3229" s="4" t="s">
        <v>12</v>
      </c>
      <c r="F3229" s="4">
        <v>269</v>
      </c>
      <c r="G3229" s="41">
        <v>10</v>
      </c>
      <c r="H3229" s="41">
        <v>593.26499999999999</v>
      </c>
      <c r="I3229" s="221"/>
      <c r="J3229" s="221"/>
    </row>
    <row r="3230" spans="1:10" s="5" customFormat="1" ht="24" hidden="1" customHeight="1" outlineLevel="1" x14ac:dyDescent="0.25">
      <c r="A3230" s="4">
        <v>1000</v>
      </c>
      <c r="B3230" s="4" t="s">
        <v>18</v>
      </c>
      <c r="C3230" s="38" t="s">
        <v>9295</v>
      </c>
      <c r="D3230" s="4">
        <v>2023</v>
      </c>
      <c r="E3230" s="4" t="s">
        <v>12</v>
      </c>
      <c r="F3230" s="4">
        <v>115</v>
      </c>
      <c r="G3230" s="41">
        <v>15</v>
      </c>
      <c r="H3230" s="41">
        <v>139.35900000000001</v>
      </c>
      <c r="I3230" s="221"/>
      <c r="J3230" s="221"/>
    </row>
    <row r="3231" spans="1:10" s="5" customFormat="1" ht="24" hidden="1" customHeight="1" outlineLevel="1" x14ac:dyDescent="0.25">
      <c r="A3231" s="4">
        <v>2854</v>
      </c>
      <c r="B3231" s="4" t="s">
        <v>18</v>
      </c>
      <c r="C3231" s="38" t="s">
        <v>9296</v>
      </c>
      <c r="D3231" s="4">
        <v>2023</v>
      </c>
      <c r="E3231" s="4" t="s">
        <v>12</v>
      </c>
      <c r="F3231" s="4">
        <v>118</v>
      </c>
      <c r="G3231" s="41">
        <v>15</v>
      </c>
      <c r="H3231" s="41">
        <v>381.46300000000002</v>
      </c>
      <c r="I3231" s="221"/>
      <c r="J3231" s="221"/>
    </row>
    <row r="3232" spans="1:10" s="5" customFormat="1" ht="24" hidden="1" customHeight="1" outlineLevel="1" x14ac:dyDescent="0.25">
      <c r="A3232" s="4">
        <v>1812</v>
      </c>
      <c r="B3232" s="4" t="s">
        <v>18</v>
      </c>
      <c r="C3232" s="38" t="s">
        <v>9297</v>
      </c>
      <c r="D3232" s="4">
        <v>2023</v>
      </c>
      <c r="E3232" s="4" t="s">
        <v>12</v>
      </c>
      <c r="F3232" s="4">
        <v>45</v>
      </c>
      <c r="G3232" s="41">
        <v>15</v>
      </c>
      <c r="H3232" s="41">
        <v>85.742999999999995</v>
      </c>
      <c r="I3232" s="221"/>
      <c r="J3232" s="221"/>
    </row>
    <row r="3233" spans="1:10" s="5" customFormat="1" ht="24" hidden="1" customHeight="1" outlineLevel="1" x14ac:dyDescent="0.25">
      <c r="A3233" s="4">
        <v>1729</v>
      </c>
      <c r="B3233" s="4" t="s">
        <v>18</v>
      </c>
      <c r="C3233" s="38" t="s">
        <v>9298</v>
      </c>
      <c r="D3233" s="4">
        <v>2023</v>
      </c>
      <c r="E3233" s="4" t="s">
        <v>12</v>
      </c>
      <c r="F3233" s="4">
        <v>265</v>
      </c>
      <c r="G3233" s="41">
        <v>2</v>
      </c>
      <c r="H3233" s="41">
        <v>640.83000000000004</v>
      </c>
      <c r="I3233" s="221"/>
      <c r="J3233" s="221"/>
    </row>
    <row r="3234" spans="1:10" s="5" customFormat="1" ht="24" hidden="1" customHeight="1" outlineLevel="1" x14ac:dyDescent="0.25">
      <c r="A3234" s="4">
        <v>3092</v>
      </c>
      <c r="B3234" s="4" t="s">
        <v>18</v>
      </c>
      <c r="C3234" s="38" t="s">
        <v>9299</v>
      </c>
      <c r="D3234" s="4">
        <v>2023</v>
      </c>
      <c r="E3234" s="4" t="s">
        <v>12</v>
      </c>
      <c r="F3234" s="4">
        <v>15</v>
      </c>
      <c r="G3234" s="41">
        <v>40</v>
      </c>
      <c r="H3234" s="41">
        <v>175.10600000000002</v>
      </c>
      <c r="I3234" s="221"/>
      <c r="J3234" s="221"/>
    </row>
    <row r="3235" spans="1:10" s="5" customFormat="1" ht="24" hidden="1" customHeight="1" outlineLevel="1" x14ac:dyDescent="0.25">
      <c r="A3235" s="4">
        <v>3023</v>
      </c>
      <c r="B3235" s="4" t="s">
        <v>18</v>
      </c>
      <c r="C3235" s="38" t="s">
        <v>9300</v>
      </c>
      <c r="D3235" s="4">
        <v>2023</v>
      </c>
      <c r="E3235" s="4" t="s">
        <v>12</v>
      </c>
      <c r="F3235" s="4">
        <v>120</v>
      </c>
      <c r="G3235" s="41">
        <v>30</v>
      </c>
      <c r="H3235" s="41">
        <v>182.39600000000002</v>
      </c>
      <c r="I3235" s="221"/>
      <c r="J3235" s="221"/>
    </row>
    <row r="3236" spans="1:10" s="5" customFormat="1" ht="24" hidden="1" customHeight="1" outlineLevel="1" x14ac:dyDescent="0.25">
      <c r="A3236" s="4">
        <v>1167</v>
      </c>
      <c r="B3236" s="4" t="s">
        <v>18</v>
      </c>
      <c r="C3236" s="38" t="s">
        <v>9301</v>
      </c>
      <c r="D3236" s="4">
        <v>2023</v>
      </c>
      <c r="E3236" s="4" t="s">
        <v>12</v>
      </c>
      <c r="F3236" s="4">
        <v>160</v>
      </c>
      <c r="G3236" s="41">
        <v>10</v>
      </c>
      <c r="H3236" s="41">
        <v>194.673</v>
      </c>
      <c r="I3236" s="221"/>
      <c r="J3236" s="221"/>
    </row>
    <row r="3237" spans="1:10" s="5" customFormat="1" ht="24" hidden="1" customHeight="1" outlineLevel="1" x14ac:dyDescent="0.25">
      <c r="A3237" s="4">
        <v>574</v>
      </c>
      <c r="B3237" s="4" t="s">
        <v>18</v>
      </c>
      <c r="C3237" s="38" t="s">
        <v>9302</v>
      </c>
      <c r="D3237" s="4">
        <v>2023</v>
      </c>
      <c r="E3237" s="4" t="s">
        <v>12</v>
      </c>
      <c r="F3237" s="4">
        <v>120</v>
      </c>
      <c r="G3237" s="41">
        <v>10</v>
      </c>
      <c r="H3237" s="41">
        <v>179.53299999999999</v>
      </c>
      <c r="I3237" s="221"/>
      <c r="J3237" s="221"/>
    </row>
    <row r="3238" spans="1:10" s="5" customFormat="1" ht="24" hidden="1" customHeight="1" outlineLevel="1" x14ac:dyDescent="0.25">
      <c r="A3238" s="4">
        <v>1145</v>
      </c>
      <c r="B3238" s="4" t="s">
        <v>18</v>
      </c>
      <c r="C3238" s="38" t="s">
        <v>9303</v>
      </c>
      <c r="D3238" s="4">
        <v>2023</v>
      </c>
      <c r="E3238" s="4" t="s">
        <v>12</v>
      </c>
      <c r="F3238" s="4">
        <v>160</v>
      </c>
      <c r="G3238" s="41">
        <v>15</v>
      </c>
      <c r="H3238" s="41">
        <v>109.738</v>
      </c>
      <c r="I3238" s="221"/>
      <c r="J3238" s="221"/>
    </row>
    <row r="3239" spans="1:10" s="5" customFormat="1" ht="24" hidden="1" customHeight="1" outlineLevel="1" x14ac:dyDescent="0.25">
      <c r="A3239" s="4">
        <v>941</v>
      </c>
      <c r="B3239" s="4" t="s">
        <v>18</v>
      </c>
      <c r="C3239" s="38" t="s">
        <v>9304</v>
      </c>
      <c r="D3239" s="4">
        <v>2023</v>
      </c>
      <c r="E3239" s="4" t="s">
        <v>12</v>
      </c>
      <c r="F3239" s="4">
        <v>120</v>
      </c>
      <c r="G3239" s="41">
        <v>15</v>
      </c>
      <c r="H3239" s="41">
        <v>164.20599999999999</v>
      </c>
      <c r="I3239" s="221"/>
      <c r="J3239" s="221"/>
    </row>
    <row r="3240" spans="1:10" s="5" customFormat="1" ht="24" hidden="1" customHeight="1" outlineLevel="1" x14ac:dyDescent="0.25">
      <c r="A3240" s="4">
        <v>2851</v>
      </c>
      <c r="B3240" s="4" t="s">
        <v>18</v>
      </c>
      <c r="C3240" s="38" t="s">
        <v>9305</v>
      </c>
      <c r="D3240" s="4">
        <v>2023</v>
      </c>
      <c r="E3240" s="4" t="s">
        <v>12</v>
      </c>
      <c r="F3240" s="4">
        <v>136</v>
      </c>
      <c r="G3240" s="41">
        <v>15</v>
      </c>
      <c r="H3240" s="41">
        <v>309.53399999999999</v>
      </c>
      <c r="I3240" s="221"/>
      <c r="J3240" s="221"/>
    </row>
    <row r="3241" spans="1:10" s="5" customFormat="1" ht="24" hidden="1" customHeight="1" outlineLevel="1" x14ac:dyDescent="0.25">
      <c r="A3241" s="4">
        <v>3288</v>
      </c>
      <c r="B3241" s="4" t="s">
        <v>18</v>
      </c>
      <c r="C3241" s="38" t="s">
        <v>9306</v>
      </c>
      <c r="D3241" s="4">
        <v>2023</v>
      </c>
      <c r="E3241" s="4" t="s">
        <v>12</v>
      </c>
      <c r="F3241" s="4">
        <v>418</v>
      </c>
      <c r="G3241" s="41">
        <v>15</v>
      </c>
      <c r="H3241" s="41">
        <v>745.06299999999999</v>
      </c>
      <c r="I3241" s="221"/>
      <c r="J3241" s="221"/>
    </row>
    <row r="3242" spans="1:10" s="5" customFormat="1" ht="24" hidden="1" customHeight="1" outlineLevel="1" x14ac:dyDescent="0.25">
      <c r="A3242" s="4">
        <v>4755</v>
      </c>
      <c r="B3242" s="4" t="s">
        <v>18</v>
      </c>
      <c r="C3242" s="38" t="s">
        <v>9307</v>
      </c>
      <c r="D3242" s="4">
        <v>2023</v>
      </c>
      <c r="E3242" s="4" t="s">
        <v>12</v>
      </c>
      <c r="F3242" s="4">
        <v>363</v>
      </c>
      <c r="G3242" s="41">
        <v>15</v>
      </c>
      <c r="H3242" s="41">
        <v>908.50400000000002</v>
      </c>
      <c r="I3242" s="221"/>
      <c r="J3242" s="221"/>
    </row>
    <row r="3243" spans="1:10" s="5" customFormat="1" ht="24" hidden="1" customHeight="1" outlineLevel="1" x14ac:dyDescent="0.25">
      <c r="A3243" s="4">
        <v>1602</v>
      </c>
      <c r="B3243" s="4" t="s">
        <v>18</v>
      </c>
      <c r="C3243" s="38" t="s">
        <v>9308</v>
      </c>
      <c r="D3243" s="4">
        <v>2023</v>
      </c>
      <c r="E3243" s="4" t="s">
        <v>12</v>
      </c>
      <c r="F3243" s="4">
        <v>137</v>
      </c>
      <c r="G3243" s="41">
        <v>5</v>
      </c>
      <c r="H3243" s="41">
        <v>362.99949999999995</v>
      </c>
      <c r="I3243" s="221"/>
      <c r="J3243" s="221"/>
    </row>
    <row r="3244" spans="1:10" s="5" customFormat="1" ht="24" hidden="1" customHeight="1" outlineLevel="1" x14ac:dyDescent="0.25">
      <c r="A3244" s="4">
        <v>4745</v>
      </c>
      <c r="B3244" s="4" t="s">
        <v>18</v>
      </c>
      <c r="C3244" s="38" t="s">
        <v>9309</v>
      </c>
      <c r="D3244" s="4">
        <v>2023</v>
      </c>
      <c r="E3244" s="4" t="s">
        <v>12</v>
      </c>
      <c r="F3244" s="4">
        <v>178</v>
      </c>
      <c r="G3244" s="41">
        <v>9</v>
      </c>
      <c r="H3244" s="41">
        <v>446.6026</v>
      </c>
      <c r="I3244" s="221"/>
      <c r="J3244" s="221"/>
    </row>
    <row r="3245" spans="1:10" s="5" customFormat="1" ht="24" hidden="1" customHeight="1" outlineLevel="1" x14ac:dyDescent="0.25">
      <c r="A3245" s="4">
        <v>1693</v>
      </c>
      <c r="B3245" s="4" t="s">
        <v>18</v>
      </c>
      <c r="C3245" s="38" t="s">
        <v>9310</v>
      </c>
      <c r="D3245" s="4">
        <v>2023</v>
      </c>
      <c r="E3245" s="4" t="s">
        <v>12</v>
      </c>
      <c r="F3245" s="4">
        <v>382</v>
      </c>
      <c r="G3245" s="41">
        <v>15</v>
      </c>
      <c r="H3245" s="41">
        <v>693.21399999999994</v>
      </c>
      <c r="I3245" s="221"/>
      <c r="J3245" s="221"/>
    </row>
    <row r="3246" spans="1:10" s="5" customFormat="1" ht="24" hidden="1" customHeight="1" outlineLevel="1" x14ac:dyDescent="0.25">
      <c r="A3246" s="4">
        <v>2056</v>
      </c>
      <c r="B3246" s="4" t="s">
        <v>18</v>
      </c>
      <c r="C3246" s="38" t="s">
        <v>9311</v>
      </c>
      <c r="D3246" s="4">
        <v>2023</v>
      </c>
      <c r="E3246" s="4" t="s">
        <v>12</v>
      </c>
      <c r="F3246" s="4">
        <v>122</v>
      </c>
      <c r="G3246" s="41">
        <v>8</v>
      </c>
      <c r="H3246" s="41">
        <v>351.28900000000004</v>
      </c>
      <c r="I3246" s="221"/>
      <c r="J3246" s="221"/>
    </row>
    <row r="3247" spans="1:10" s="5" customFormat="1" ht="24" hidden="1" customHeight="1" outlineLevel="1" x14ac:dyDescent="0.25">
      <c r="A3247" s="4">
        <v>3277</v>
      </c>
      <c r="B3247" s="4" t="s">
        <v>18</v>
      </c>
      <c r="C3247" s="38" t="s">
        <v>9312</v>
      </c>
      <c r="D3247" s="4">
        <v>2023</v>
      </c>
      <c r="E3247" s="4" t="s">
        <v>12</v>
      </c>
      <c r="F3247" s="4">
        <v>25</v>
      </c>
      <c r="G3247" s="41">
        <v>10</v>
      </c>
      <c r="H3247" s="41">
        <v>92.335999999999999</v>
      </c>
      <c r="I3247" s="221"/>
      <c r="J3247" s="221"/>
    </row>
    <row r="3248" spans="1:10" s="5" customFormat="1" ht="24" hidden="1" customHeight="1" outlineLevel="1" x14ac:dyDescent="0.25">
      <c r="A3248" s="4">
        <v>4754</v>
      </c>
      <c r="B3248" s="4" t="s">
        <v>18</v>
      </c>
      <c r="C3248" s="38" t="s">
        <v>9234</v>
      </c>
      <c r="D3248" s="4">
        <v>2023</v>
      </c>
      <c r="E3248" s="4" t="s">
        <v>12</v>
      </c>
      <c r="F3248" s="4">
        <v>81</v>
      </c>
      <c r="G3248" s="41">
        <v>100</v>
      </c>
      <c r="H3248" s="41">
        <v>179.554</v>
      </c>
      <c r="I3248" s="221"/>
      <c r="J3248" s="221"/>
    </row>
    <row r="3249" spans="1:10" s="5" customFormat="1" ht="24" hidden="1" customHeight="1" outlineLevel="1" x14ac:dyDescent="0.25">
      <c r="A3249" s="4">
        <v>3060</v>
      </c>
      <c r="B3249" s="4" t="s">
        <v>18</v>
      </c>
      <c r="C3249" s="38" t="s">
        <v>9235</v>
      </c>
      <c r="D3249" s="4">
        <v>2023</v>
      </c>
      <c r="E3249" s="4" t="s">
        <v>12</v>
      </c>
      <c r="F3249" s="4">
        <v>467</v>
      </c>
      <c r="G3249" s="41">
        <v>50</v>
      </c>
      <c r="H3249" s="41">
        <v>715.46199999999999</v>
      </c>
      <c r="I3249" s="221"/>
      <c r="J3249" s="221"/>
    </row>
    <row r="3250" spans="1:10" s="5" customFormat="1" ht="24" hidden="1" customHeight="1" outlineLevel="1" x14ac:dyDescent="0.25">
      <c r="A3250" s="4">
        <v>3310</v>
      </c>
      <c r="B3250" s="4" t="s">
        <v>18</v>
      </c>
      <c r="C3250" s="38" t="s">
        <v>9313</v>
      </c>
      <c r="D3250" s="4">
        <v>2023</v>
      </c>
      <c r="E3250" s="4" t="s">
        <v>12</v>
      </c>
      <c r="F3250" s="4">
        <v>35</v>
      </c>
      <c r="G3250" s="41">
        <v>15</v>
      </c>
      <c r="H3250" s="41">
        <v>142.69200000000001</v>
      </c>
      <c r="I3250" s="221"/>
      <c r="J3250" s="221"/>
    </row>
    <row r="3251" spans="1:10" s="5" customFormat="1" ht="24" hidden="1" customHeight="1" outlineLevel="1" x14ac:dyDescent="0.25">
      <c r="A3251" s="4">
        <v>4770</v>
      </c>
      <c r="B3251" s="4" t="s">
        <v>18</v>
      </c>
      <c r="C3251" s="38" t="s">
        <v>9314</v>
      </c>
      <c r="D3251" s="4">
        <v>2023</v>
      </c>
      <c r="E3251" s="4" t="s">
        <v>12</v>
      </c>
      <c r="F3251" s="4">
        <v>143</v>
      </c>
      <c r="G3251" s="41">
        <v>17</v>
      </c>
      <c r="H3251" s="41">
        <v>399.80399999999997</v>
      </c>
      <c r="I3251" s="221"/>
      <c r="J3251" s="221"/>
    </row>
    <row r="3252" spans="1:10" s="5" customFormat="1" ht="24" hidden="1" customHeight="1" outlineLevel="1" x14ac:dyDescent="0.25">
      <c r="A3252" s="4">
        <v>3309</v>
      </c>
      <c r="B3252" s="4" t="s">
        <v>18</v>
      </c>
      <c r="C3252" s="38" t="s">
        <v>9315</v>
      </c>
      <c r="D3252" s="4">
        <v>2023</v>
      </c>
      <c r="E3252" s="4" t="s">
        <v>12</v>
      </c>
      <c r="F3252" s="4">
        <v>15</v>
      </c>
      <c r="G3252" s="41">
        <v>10</v>
      </c>
      <c r="H3252" s="41">
        <v>85.03</v>
      </c>
      <c r="I3252" s="221"/>
      <c r="J3252" s="221"/>
    </row>
    <row r="3253" spans="1:10" s="5" customFormat="1" ht="24" hidden="1" customHeight="1" outlineLevel="1" x14ac:dyDescent="0.25">
      <c r="A3253" s="4">
        <v>3036</v>
      </c>
      <c r="B3253" s="4" t="s">
        <v>18</v>
      </c>
      <c r="C3253" s="38" t="s">
        <v>9068</v>
      </c>
      <c r="D3253" s="4">
        <v>2023</v>
      </c>
      <c r="E3253" s="4" t="s">
        <v>12</v>
      </c>
      <c r="F3253" s="4">
        <v>480</v>
      </c>
      <c r="G3253" s="41">
        <v>109.7</v>
      </c>
      <c r="H3253" s="41">
        <v>824.21900000000005</v>
      </c>
      <c r="I3253" s="221"/>
      <c r="J3253" s="221"/>
    </row>
    <row r="3254" spans="1:10" s="5" customFormat="1" ht="24" hidden="1" customHeight="1" outlineLevel="1" x14ac:dyDescent="0.25">
      <c r="A3254" s="4">
        <v>4742</v>
      </c>
      <c r="B3254" s="4" t="s">
        <v>18</v>
      </c>
      <c r="C3254" s="38" t="s">
        <v>9316</v>
      </c>
      <c r="D3254" s="4">
        <v>2023</v>
      </c>
      <c r="E3254" s="4" t="s">
        <v>12</v>
      </c>
      <c r="F3254" s="4">
        <v>30</v>
      </c>
      <c r="G3254" s="41">
        <v>7.5</v>
      </c>
      <c r="H3254" s="41">
        <v>116.801</v>
      </c>
      <c r="I3254" s="221"/>
      <c r="J3254" s="221"/>
    </row>
    <row r="3255" spans="1:10" s="5" customFormat="1" ht="24" hidden="1" customHeight="1" outlineLevel="1" x14ac:dyDescent="0.25">
      <c r="A3255" s="4">
        <v>4788</v>
      </c>
      <c r="B3255" s="4" t="s">
        <v>18</v>
      </c>
      <c r="C3255" s="38" t="s">
        <v>9236</v>
      </c>
      <c r="D3255" s="4">
        <v>2023</v>
      </c>
      <c r="E3255" s="4" t="s">
        <v>12</v>
      </c>
      <c r="F3255" s="4">
        <v>5</v>
      </c>
      <c r="G3255" s="41">
        <v>15</v>
      </c>
      <c r="H3255" s="41">
        <v>86.268000000000001</v>
      </c>
      <c r="I3255" s="221"/>
      <c r="J3255" s="221"/>
    </row>
    <row r="3256" spans="1:10" s="5" customFormat="1" ht="24" hidden="1" customHeight="1" outlineLevel="1" x14ac:dyDescent="0.25">
      <c r="A3256" s="4">
        <v>962</v>
      </c>
      <c r="B3256" s="4" t="s">
        <v>18</v>
      </c>
      <c r="C3256" s="38" t="s">
        <v>9317</v>
      </c>
      <c r="D3256" s="4">
        <v>2023</v>
      </c>
      <c r="E3256" s="4" t="s">
        <v>12</v>
      </c>
      <c r="F3256" s="4">
        <v>150</v>
      </c>
      <c r="G3256" s="41">
        <v>10</v>
      </c>
      <c r="H3256" s="41">
        <v>188.054</v>
      </c>
      <c r="I3256" s="221"/>
      <c r="J3256" s="221"/>
    </row>
    <row r="3257" spans="1:10" s="5" customFormat="1" ht="24" hidden="1" customHeight="1" outlineLevel="1" x14ac:dyDescent="0.25">
      <c r="A3257" s="4">
        <v>919</v>
      </c>
      <c r="B3257" s="4" t="s">
        <v>18</v>
      </c>
      <c r="C3257" s="38" t="s">
        <v>9318</v>
      </c>
      <c r="D3257" s="4">
        <v>2023</v>
      </c>
      <c r="E3257" s="4" t="s">
        <v>12</v>
      </c>
      <c r="F3257" s="4">
        <v>200</v>
      </c>
      <c r="G3257" s="41">
        <v>15</v>
      </c>
      <c r="H3257" s="41">
        <v>222.95499999999998</v>
      </c>
      <c r="I3257" s="221"/>
      <c r="J3257" s="221"/>
    </row>
    <row r="3258" spans="1:10" s="5" customFormat="1" ht="24" hidden="1" customHeight="1" outlineLevel="1" x14ac:dyDescent="0.25">
      <c r="A3258" s="4">
        <v>2874</v>
      </c>
      <c r="B3258" s="4" t="s">
        <v>18</v>
      </c>
      <c r="C3258" s="38" t="s">
        <v>9319</v>
      </c>
      <c r="D3258" s="4">
        <v>2023</v>
      </c>
      <c r="E3258" s="4" t="s">
        <v>12</v>
      </c>
      <c r="F3258" s="4">
        <v>50</v>
      </c>
      <c r="G3258" s="41">
        <v>15</v>
      </c>
      <c r="H3258" s="41">
        <v>144.65700000000001</v>
      </c>
      <c r="I3258" s="221"/>
      <c r="J3258" s="221"/>
    </row>
    <row r="3259" spans="1:10" s="5" customFormat="1" ht="24" hidden="1" customHeight="1" outlineLevel="1" x14ac:dyDescent="0.25">
      <c r="A3259" s="4">
        <v>2222</v>
      </c>
      <c r="B3259" s="4" t="s">
        <v>18</v>
      </c>
      <c r="C3259" s="38" t="s">
        <v>9320</v>
      </c>
      <c r="D3259" s="4">
        <v>2023</v>
      </c>
      <c r="E3259" s="4" t="s">
        <v>12</v>
      </c>
      <c r="F3259" s="4">
        <v>40</v>
      </c>
      <c r="G3259" s="41">
        <v>15</v>
      </c>
      <c r="H3259" s="41">
        <v>115.941</v>
      </c>
      <c r="I3259" s="221"/>
      <c r="J3259" s="221"/>
    </row>
    <row r="3260" spans="1:10" s="5" customFormat="1" ht="24" hidden="1" customHeight="1" outlineLevel="1" x14ac:dyDescent="0.25">
      <c r="A3260" s="4">
        <v>2258</v>
      </c>
      <c r="B3260" s="4" t="s">
        <v>18</v>
      </c>
      <c r="C3260" s="38" t="s">
        <v>9321</v>
      </c>
      <c r="D3260" s="4">
        <v>2023</v>
      </c>
      <c r="E3260" s="4" t="s">
        <v>12</v>
      </c>
      <c r="F3260" s="4">
        <v>40</v>
      </c>
      <c r="G3260" s="41">
        <v>10</v>
      </c>
      <c r="H3260" s="41">
        <v>119.749</v>
      </c>
      <c r="I3260" s="221"/>
      <c r="J3260" s="221"/>
    </row>
    <row r="3261" spans="1:10" s="5" customFormat="1" ht="24" hidden="1" customHeight="1" outlineLevel="1" x14ac:dyDescent="0.25">
      <c r="A3261" s="4">
        <v>2881</v>
      </c>
      <c r="B3261" s="4" t="s">
        <v>18</v>
      </c>
      <c r="C3261" s="38" t="s">
        <v>9322</v>
      </c>
      <c r="D3261" s="4">
        <v>2023</v>
      </c>
      <c r="E3261" s="4" t="s">
        <v>12</v>
      </c>
      <c r="F3261" s="4">
        <v>40</v>
      </c>
      <c r="G3261" s="41">
        <v>15</v>
      </c>
      <c r="H3261" s="41">
        <v>114.09399999999999</v>
      </c>
      <c r="I3261" s="221"/>
      <c r="J3261" s="221"/>
    </row>
    <row r="3262" spans="1:10" s="5" customFormat="1" ht="24" hidden="1" customHeight="1" outlineLevel="1" x14ac:dyDescent="0.25">
      <c r="A3262" s="4">
        <v>4789</v>
      </c>
      <c r="B3262" s="4" t="s">
        <v>18</v>
      </c>
      <c r="C3262" s="38" t="s">
        <v>9323</v>
      </c>
      <c r="D3262" s="4">
        <v>2023</v>
      </c>
      <c r="E3262" s="4" t="s">
        <v>12</v>
      </c>
      <c r="F3262" s="4">
        <v>252</v>
      </c>
      <c r="G3262" s="41">
        <v>5</v>
      </c>
      <c r="H3262" s="41">
        <v>768.58600000000001</v>
      </c>
      <c r="I3262" s="221"/>
      <c r="J3262" s="221"/>
    </row>
    <row r="3263" spans="1:10" s="5" customFormat="1" ht="24" hidden="1" customHeight="1" outlineLevel="1" x14ac:dyDescent="0.25">
      <c r="A3263" s="4">
        <v>3328</v>
      </c>
      <c r="B3263" s="4" t="s">
        <v>18</v>
      </c>
      <c r="C3263" s="38" t="s">
        <v>9069</v>
      </c>
      <c r="D3263" s="4">
        <v>2023</v>
      </c>
      <c r="E3263" s="4" t="s">
        <v>12</v>
      </c>
      <c r="F3263" s="4">
        <v>15</v>
      </c>
      <c r="G3263" s="41">
        <v>15</v>
      </c>
      <c r="H3263" s="41">
        <v>122.117</v>
      </c>
      <c r="I3263" s="221"/>
      <c r="J3263" s="221"/>
    </row>
    <row r="3264" spans="1:10" s="5" customFormat="1" ht="24" hidden="1" customHeight="1" outlineLevel="1" x14ac:dyDescent="0.25">
      <c r="A3264" s="4">
        <v>4733</v>
      </c>
      <c r="B3264" s="4" t="s">
        <v>18</v>
      </c>
      <c r="C3264" s="38" t="s">
        <v>9324</v>
      </c>
      <c r="D3264" s="4">
        <v>2023</v>
      </c>
      <c r="E3264" s="4" t="s">
        <v>12</v>
      </c>
      <c r="F3264" s="4">
        <v>35</v>
      </c>
      <c r="G3264" s="41">
        <v>7.5</v>
      </c>
      <c r="H3264" s="41">
        <v>125.496</v>
      </c>
      <c r="I3264" s="221"/>
      <c r="J3264" s="221"/>
    </row>
    <row r="3265" spans="1:36" s="5" customFormat="1" ht="24" hidden="1" customHeight="1" outlineLevel="1" x14ac:dyDescent="0.25">
      <c r="A3265" s="4">
        <v>3315</v>
      </c>
      <c r="B3265" s="4" t="s">
        <v>18</v>
      </c>
      <c r="C3265" s="38" t="s">
        <v>9325</v>
      </c>
      <c r="D3265" s="4">
        <v>2023</v>
      </c>
      <c r="E3265" s="4" t="s">
        <v>12</v>
      </c>
      <c r="F3265" s="4">
        <v>30</v>
      </c>
      <c r="G3265" s="41">
        <v>15</v>
      </c>
      <c r="H3265" s="41">
        <v>97.3</v>
      </c>
      <c r="I3265" s="221"/>
      <c r="J3265" s="221"/>
    </row>
    <row r="3266" spans="1:36" s="5" customFormat="1" ht="24" hidden="1" customHeight="1" outlineLevel="1" x14ac:dyDescent="0.25">
      <c r="A3266" s="4">
        <v>4422</v>
      </c>
      <c r="B3266" s="4" t="s">
        <v>18</v>
      </c>
      <c r="C3266" s="38" t="s">
        <v>8822</v>
      </c>
      <c r="D3266" s="4">
        <v>2023</v>
      </c>
      <c r="E3266" s="4" t="s">
        <v>12</v>
      </c>
      <c r="F3266" s="4">
        <v>15</v>
      </c>
      <c r="G3266" s="41">
        <v>15</v>
      </c>
      <c r="H3266" s="41">
        <v>60</v>
      </c>
      <c r="I3266" s="221"/>
      <c r="J3266" s="221"/>
    </row>
    <row r="3267" spans="1:36" s="5" customFormat="1" ht="17.25" hidden="1" customHeight="1" outlineLevel="1" x14ac:dyDescent="0.25">
      <c r="A3267" s="4"/>
      <c r="B3267" s="4"/>
      <c r="C3267" s="38"/>
      <c r="D3267" s="4"/>
      <c r="E3267" s="4"/>
      <c r="F3267" s="4"/>
      <c r="G3267" s="4"/>
      <c r="H3267" s="4"/>
      <c r="I3267" s="201"/>
      <c r="J3267" s="201"/>
    </row>
    <row r="3268" spans="1:36" s="5" customFormat="1" ht="15.75" collapsed="1" x14ac:dyDescent="0.25">
      <c r="A3268" s="4"/>
      <c r="B3268" s="319" t="s">
        <v>18</v>
      </c>
      <c r="C3268" s="324" t="s">
        <v>2093</v>
      </c>
      <c r="D3268" s="324"/>
      <c r="E3268" s="319" t="s">
        <v>13</v>
      </c>
      <c r="F3268" s="324"/>
      <c r="G3268" s="324"/>
      <c r="H3268" s="319"/>
      <c r="I3268" s="218"/>
      <c r="J3268" s="218"/>
    </row>
    <row r="3269" spans="1:36" s="5" customFormat="1" ht="18.75" customHeight="1" x14ac:dyDescent="0.25">
      <c r="A3269" s="4"/>
      <c r="B3269" s="328"/>
      <c r="C3269" s="340"/>
      <c r="D3269" s="340"/>
      <c r="E3269" s="328"/>
      <c r="F3269" s="340"/>
      <c r="G3269" s="340"/>
      <c r="H3269" s="328"/>
      <c r="I3269" s="219"/>
      <c r="J3269" s="219"/>
    </row>
    <row r="3270" spans="1:36" s="5" customFormat="1" ht="10.5" customHeight="1" x14ac:dyDescent="0.25">
      <c r="A3270" s="4"/>
      <c r="B3270" s="328"/>
      <c r="C3270" s="340"/>
      <c r="D3270" s="340"/>
      <c r="E3270" s="328" t="s">
        <v>13</v>
      </c>
      <c r="F3270" s="340"/>
      <c r="G3270" s="340"/>
      <c r="H3270" s="320"/>
      <c r="I3270" s="219"/>
      <c r="J3270" s="219"/>
    </row>
    <row r="3271" spans="1:36" s="5" customFormat="1" ht="18.75" hidden="1" customHeight="1" x14ac:dyDescent="0.25">
      <c r="A3271" s="4"/>
      <c r="B3271" s="320"/>
      <c r="C3271" s="341"/>
      <c r="D3271" s="341"/>
      <c r="E3271" s="320"/>
      <c r="F3271" s="341"/>
      <c r="G3271" s="341"/>
      <c r="H3271" s="173"/>
      <c r="I3271" s="218"/>
      <c r="J3271" s="218"/>
    </row>
    <row r="3272" spans="1:36" s="5" customFormat="1" ht="18.75" customHeight="1" x14ac:dyDescent="0.25">
      <c r="A3272" s="4"/>
      <c r="B3272" s="11" t="s">
        <v>18</v>
      </c>
      <c r="C3272" s="12" t="s">
        <v>57</v>
      </c>
      <c r="D3272" s="11">
        <v>2021</v>
      </c>
      <c r="E3272" s="11" t="s">
        <v>13</v>
      </c>
      <c r="F3272" s="11">
        <f>SUMIF($D$3275:$D$3407,$D$3272,$F$3275:$F$3407)</f>
        <v>22679</v>
      </c>
      <c r="G3272" s="14">
        <f>SUMIF($D$3275:$D$3407,$D$3272,$G$3275:$G$3407)</f>
        <v>8674.65</v>
      </c>
      <c r="H3272" s="14">
        <f>SUMIF($D$3275:$D$3407,$D$3272,$H$3275:$H$3407)</f>
        <v>47541.423420000014</v>
      </c>
    </row>
    <row r="3273" spans="1:36" s="26" customFormat="1" ht="18.75" customHeight="1" x14ac:dyDescent="0.25">
      <c r="A3273" s="4"/>
      <c r="B3273" s="11" t="s">
        <v>18</v>
      </c>
      <c r="C3273" s="12" t="s">
        <v>57</v>
      </c>
      <c r="D3273" s="11">
        <v>2022</v>
      </c>
      <c r="E3273" s="11" t="s">
        <v>13</v>
      </c>
      <c r="F3273" s="11">
        <f>SUMIF($D$3275:$D$3407,$D$3273,$F$3275:$F$3407)</f>
        <v>2397</v>
      </c>
      <c r="G3273" s="14">
        <f>SUMIF($D$3275:$D$3407,$D$3273,$G$3275:$G$3407)</f>
        <v>1647.9</v>
      </c>
      <c r="H3273" s="14">
        <f>SUMIF($D$3275:$D$3407,$D$3273,$H$3275:$H$3407)</f>
        <v>6283.2349900000008</v>
      </c>
      <c r="I3273" s="220"/>
      <c r="J3273" s="220"/>
      <c r="K3273" s="5"/>
      <c r="L3273" s="5"/>
      <c r="M3273" s="5"/>
      <c r="N3273" s="5"/>
      <c r="O3273" s="5"/>
      <c r="P3273" s="5"/>
      <c r="Q3273" s="5"/>
      <c r="R3273" s="5"/>
      <c r="S3273" s="5"/>
      <c r="T3273" s="5"/>
      <c r="U3273" s="5"/>
      <c r="V3273" s="5"/>
      <c r="W3273" s="5"/>
      <c r="X3273" s="5"/>
      <c r="Y3273" s="5"/>
      <c r="Z3273" s="5"/>
      <c r="AA3273" s="5"/>
      <c r="AB3273" s="5"/>
      <c r="AC3273" s="5"/>
      <c r="AD3273" s="5"/>
      <c r="AE3273" s="5"/>
      <c r="AF3273" s="5"/>
      <c r="AG3273" s="5"/>
      <c r="AH3273" s="5"/>
      <c r="AI3273" s="5"/>
      <c r="AJ3273" s="5"/>
    </row>
    <row r="3274" spans="1:36" s="5" customFormat="1" ht="19.5" customHeight="1" x14ac:dyDescent="0.25">
      <c r="A3274" s="4"/>
      <c r="B3274" s="11" t="s">
        <v>18</v>
      </c>
      <c r="C3274" s="12" t="s">
        <v>2811</v>
      </c>
      <c r="D3274" s="11">
        <v>2023</v>
      </c>
      <c r="E3274" s="11" t="s">
        <v>13</v>
      </c>
      <c r="F3274" s="11">
        <f>SUMIF($D$3275:$D$3407,$D$3274,$F$3275:$F$3407)</f>
        <v>1507</v>
      </c>
      <c r="G3274" s="14">
        <f>SUMIF($D$3275:$D$3407,$D$3274,$G$3275:$G$3407)</f>
        <v>370</v>
      </c>
      <c r="H3274" s="14">
        <f>SUMIF($D$3275:$D$3407,$D$3274,$H$3275:$H$3407)</f>
        <v>2675.6509999999998</v>
      </c>
      <c r="I3274" s="220"/>
      <c r="J3274" s="220"/>
    </row>
    <row r="3275" spans="1:36" s="5" customFormat="1" ht="18.75" hidden="1" customHeight="1" outlineLevel="1" x14ac:dyDescent="0.25">
      <c r="A3275" s="4">
        <v>4570</v>
      </c>
      <c r="B3275" s="4" t="s">
        <v>18</v>
      </c>
      <c r="C3275" s="38" t="s">
        <v>2953</v>
      </c>
      <c r="D3275" s="4">
        <v>2022</v>
      </c>
      <c r="E3275" s="4" t="s">
        <v>13</v>
      </c>
      <c r="F3275" s="4">
        <v>50</v>
      </c>
      <c r="G3275" s="115">
        <v>139.4</v>
      </c>
      <c r="H3275" s="41">
        <v>255</v>
      </c>
      <c r="I3275" s="221"/>
      <c r="J3275" s="221"/>
    </row>
    <row r="3276" spans="1:36" s="5" customFormat="1" ht="18.75" hidden="1" customHeight="1" outlineLevel="1" x14ac:dyDescent="0.25">
      <c r="A3276" s="4">
        <v>4580</v>
      </c>
      <c r="B3276" s="4" t="s">
        <v>18</v>
      </c>
      <c r="C3276" s="38" t="s">
        <v>2954</v>
      </c>
      <c r="D3276" s="4">
        <v>2022</v>
      </c>
      <c r="E3276" s="4" t="s">
        <v>13</v>
      </c>
      <c r="F3276" s="4">
        <v>40</v>
      </c>
      <c r="G3276" s="115">
        <v>134.5</v>
      </c>
      <c r="H3276" s="41">
        <v>244</v>
      </c>
      <c r="I3276" s="221"/>
      <c r="J3276" s="221"/>
    </row>
    <row r="3277" spans="1:36" s="5" customFormat="1" ht="18.75" hidden="1" customHeight="1" outlineLevel="1" x14ac:dyDescent="0.25">
      <c r="A3277" s="4">
        <v>4589</v>
      </c>
      <c r="B3277" s="4" t="s">
        <v>18</v>
      </c>
      <c r="C3277" s="38" t="s">
        <v>2964</v>
      </c>
      <c r="D3277" s="4">
        <v>2022</v>
      </c>
      <c r="E3277" s="4" t="s">
        <v>13</v>
      </c>
      <c r="F3277" s="4">
        <v>155</v>
      </c>
      <c r="G3277" s="115">
        <v>20</v>
      </c>
      <c r="H3277" s="41">
        <v>238</v>
      </c>
      <c r="I3277" s="221"/>
      <c r="J3277" s="221"/>
    </row>
    <row r="3278" spans="1:36" s="5" customFormat="1" ht="18.75" hidden="1" customHeight="1" outlineLevel="1" x14ac:dyDescent="0.25">
      <c r="A3278" s="4">
        <v>4829</v>
      </c>
      <c r="B3278" s="4" t="s">
        <v>18</v>
      </c>
      <c r="C3278" s="38" t="s">
        <v>2977</v>
      </c>
      <c r="D3278" s="4">
        <v>2022</v>
      </c>
      <c r="E3278" s="4" t="s">
        <v>13</v>
      </c>
      <c r="F3278" s="4">
        <v>86</v>
      </c>
      <c r="G3278" s="115">
        <v>10</v>
      </c>
      <c r="H3278" s="41">
        <v>234.99</v>
      </c>
      <c r="I3278" s="221"/>
      <c r="J3278" s="221"/>
    </row>
    <row r="3279" spans="1:36" s="5" customFormat="1" ht="18.75" hidden="1" customHeight="1" outlineLevel="1" x14ac:dyDescent="0.25">
      <c r="A3279" s="4">
        <v>4944</v>
      </c>
      <c r="B3279" s="4" t="s">
        <v>18</v>
      </c>
      <c r="C3279" s="38" t="s">
        <v>2983</v>
      </c>
      <c r="D3279" s="4">
        <v>2022</v>
      </c>
      <c r="E3279" s="4" t="s">
        <v>13</v>
      </c>
      <c r="F3279" s="4">
        <v>185</v>
      </c>
      <c r="G3279" s="41">
        <v>25</v>
      </c>
      <c r="H3279" s="41">
        <v>512</v>
      </c>
      <c r="I3279" s="221"/>
      <c r="J3279" s="221"/>
    </row>
    <row r="3280" spans="1:36" s="5" customFormat="1" ht="18.75" hidden="1" customHeight="1" outlineLevel="1" x14ac:dyDescent="0.25">
      <c r="A3280" s="4">
        <v>4702</v>
      </c>
      <c r="B3280" s="4" t="s">
        <v>18</v>
      </c>
      <c r="C3280" s="38" t="s">
        <v>3010</v>
      </c>
      <c r="D3280" s="4">
        <v>2022</v>
      </c>
      <c r="E3280" s="4" t="s">
        <v>13</v>
      </c>
      <c r="F3280" s="4">
        <v>14</v>
      </c>
      <c r="G3280" s="115">
        <v>100</v>
      </c>
      <c r="H3280" s="41">
        <v>76.906999999999996</v>
      </c>
      <c r="I3280" s="221"/>
      <c r="J3280" s="221"/>
    </row>
    <row r="3281" spans="1:10" s="5" customFormat="1" ht="18.75" hidden="1" customHeight="1" outlineLevel="1" x14ac:dyDescent="0.25">
      <c r="A3281" s="4">
        <v>2009</v>
      </c>
      <c r="B3281" s="4" t="s">
        <v>18</v>
      </c>
      <c r="C3281" s="38" t="s">
        <v>3083</v>
      </c>
      <c r="D3281" s="4">
        <v>2022</v>
      </c>
      <c r="E3281" s="4" t="s">
        <v>13</v>
      </c>
      <c r="F3281" s="4">
        <v>15</v>
      </c>
      <c r="G3281" s="41">
        <v>150</v>
      </c>
      <c r="H3281" s="41">
        <v>24.145</v>
      </c>
      <c r="I3281" s="221"/>
      <c r="J3281" s="221"/>
    </row>
    <row r="3282" spans="1:10" s="5" customFormat="1" ht="18.75" hidden="1" customHeight="1" outlineLevel="1" x14ac:dyDescent="0.25">
      <c r="A3282" s="4">
        <v>2007</v>
      </c>
      <c r="B3282" s="4" t="s">
        <v>18</v>
      </c>
      <c r="C3282" s="38" t="s">
        <v>3085</v>
      </c>
      <c r="D3282" s="4">
        <v>2022</v>
      </c>
      <c r="E3282" s="4" t="s">
        <v>13</v>
      </c>
      <c r="F3282" s="4">
        <v>807</v>
      </c>
      <c r="G3282" s="41">
        <v>15</v>
      </c>
      <c r="H3282" s="41">
        <v>1523.692</v>
      </c>
      <c r="I3282" s="221"/>
      <c r="J3282" s="221"/>
    </row>
    <row r="3283" spans="1:10" s="5" customFormat="1" ht="18.75" hidden="1" customHeight="1" outlineLevel="1" x14ac:dyDescent="0.25">
      <c r="A3283" s="4">
        <v>2253</v>
      </c>
      <c r="B3283" s="4" t="s">
        <v>18</v>
      </c>
      <c r="C3283" s="38" t="s">
        <v>3047</v>
      </c>
      <c r="D3283" s="4">
        <v>2022</v>
      </c>
      <c r="E3283" s="4" t="s">
        <v>13</v>
      </c>
      <c r="F3283" s="4">
        <v>10</v>
      </c>
      <c r="G3283" s="41">
        <v>9</v>
      </c>
      <c r="H3283" s="41">
        <v>12.103859999999999</v>
      </c>
      <c r="I3283" s="221"/>
      <c r="J3283" s="221"/>
    </row>
    <row r="3284" spans="1:10" s="5" customFormat="1" ht="18.75" hidden="1" customHeight="1" outlineLevel="1" x14ac:dyDescent="0.25">
      <c r="A3284" s="4">
        <v>2416</v>
      </c>
      <c r="B3284" s="4" t="s">
        <v>18</v>
      </c>
      <c r="C3284" s="38" t="s">
        <v>3092</v>
      </c>
      <c r="D3284" s="4">
        <v>2022</v>
      </c>
      <c r="E3284" s="4" t="s">
        <v>13</v>
      </c>
      <c r="F3284" s="4">
        <v>5</v>
      </c>
      <c r="G3284" s="41">
        <v>150</v>
      </c>
      <c r="H3284" s="41">
        <v>11.020999999999999</v>
      </c>
      <c r="I3284" s="221"/>
      <c r="J3284" s="221"/>
    </row>
    <row r="3285" spans="1:10" s="5" customFormat="1" ht="18.75" hidden="1" customHeight="1" outlineLevel="1" x14ac:dyDescent="0.25">
      <c r="A3285" s="4">
        <v>2543</v>
      </c>
      <c r="B3285" s="4" t="s">
        <v>18</v>
      </c>
      <c r="C3285" s="38" t="s">
        <v>3093</v>
      </c>
      <c r="D3285" s="4">
        <v>2022</v>
      </c>
      <c r="E3285" s="4" t="s">
        <v>13</v>
      </c>
      <c r="F3285" s="4">
        <v>8</v>
      </c>
      <c r="G3285" s="41">
        <v>150</v>
      </c>
      <c r="H3285" s="41">
        <v>146.529</v>
      </c>
      <c r="I3285" s="221"/>
      <c r="J3285" s="221"/>
    </row>
    <row r="3286" spans="1:10" s="5" customFormat="1" ht="18.75" hidden="1" customHeight="1" outlineLevel="1" x14ac:dyDescent="0.25">
      <c r="A3286" s="4">
        <v>2544</v>
      </c>
      <c r="B3286" s="4" t="s">
        <v>18</v>
      </c>
      <c r="C3286" s="38" t="s">
        <v>3056</v>
      </c>
      <c r="D3286" s="4">
        <v>2022</v>
      </c>
      <c r="E3286" s="4" t="s">
        <v>13</v>
      </c>
      <c r="F3286" s="4">
        <v>397</v>
      </c>
      <c r="G3286" s="41">
        <v>15</v>
      </c>
      <c r="H3286" s="41">
        <v>1131.2159999999999</v>
      </c>
      <c r="I3286" s="221"/>
      <c r="J3286" s="221"/>
    </row>
    <row r="3287" spans="1:10" s="5" customFormat="1" ht="18.75" hidden="1" customHeight="1" outlineLevel="1" x14ac:dyDescent="0.25">
      <c r="A3287" s="4">
        <v>2068</v>
      </c>
      <c r="B3287" s="4" t="s">
        <v>18</v>
      </c>
      <c r="C3287" s="38" t="s">
        <v>3094</v>
      </c>
      <c r="D3287" s="4">
        <v>2022</v>
      </c>
      <c r="E3287" s="4" t="s">
        <v>13</v>
      </c>
      <c r="F3287" s="4">
        <v>15</v>
      </c>
      <c r="G3287" s="41">
        <v>135</v>
      </c>
      <c r="H3287" s="41">
        <v>27.672630000000002</v>
      </c>
      <c r="I3287" s="221"/>
      <c r="J3287" s="221"/>
    </row>
    <row r="3288" spans="1:10" s="5" customFormat="1" ht="18.75" hidden="1" customHeight="1" outlineLevel="1" x14ac:dyDescent="0.25">
      <c r="A3288" s="4">
        <v>2069</v>
      </c>
      <c r="B3288" s="4" t="s">
        <v>18</v>
      </c>
      <c r="C3288" s="38" t="s">
        <v>3095</v>
      </c>
      <c r="D3288" s="4">
        <v>2022</v>
      </c>
      <c r="E3288" s="4" t="s">
        <v>13</v>
      </c>
      <c r="F3288" s="4">
        <v>15</v>
      </c>
      <c r="G3288" s="41">
        <v>80</v>
      </c>
      <c r="H3288" s="41">
        <v>30.045999999999999</v>
      </c>
      <c r="I3288" s="221"/>
      <c r="J3288" s="221"/>
    </row>
    <row r="3289" spans="1:10" s="5" customFormat="1" ht="18.75" hidden="1" customHeight="1" outlineLevel="1" x14ac:dyDescent="0.25">
      <c r="A3289" s="4">
        <v>2431</v>
      </c>
      <c r="B3289" s="4" t="s">
        <v>18</v>
      </c>
      <c r="C3289" s="38" t="s">
        <v>3096</v>
      </c>
      <c r="D3289" s="4">
        <v>2022</v>
      </c>
      <c r="E3289" s="4" t="s">
        <v>13</v>
      </c>
      <c r="F3289" s="4">
        <v>20</v>
      </c>
      <c r="G3289" s="41">
        <v>150</v>
      </c>
      <c r="H3289" s="41">
        <v>45.910800000000002</v>
      </c>
      <c r="I3289" s="221"/>
      <c r="J3289" s="221"/>
    </row>
    <row r="3290" spans="1:10" s="5" customFormat="1" ht="18.75" hidden="1" customHeight="1" outlineLevel="1" x14ac:dyDescent="0.25">
      <c r="A3290" s="4">
        <v>2510</v>
      </c>
      <c r="B3290" s="4" t="s">
        <v>18</v>
      </c>
      <c r="C3290" s="38" t="s">
        <v>3097</v>
      </c>
      <c r="D3290" s="4">
        <v>2022</v>
      </c>
      <c r="E3290" s="4" t="s">
        <v>13</v>
      </c>
      <c r="F3290" s="4">
        <v>20</v>
      </c>
      <c r="G3290" s="41">
        <v>200</v>
      </c>
      <c r="H3290" s="41">
        <v>23.405700000000003</v>
      </c>
      <c r="I3290" s="221"/>
      <c r="J3290" s="221"/>
    </row>
    <row r="3291" spans="1:10" s="5" customFormat="1" ht="18.75" hidden="1" customHeight="1" outlineLevel="1" x14ac:dyDescent="0.25">
      <c r="A3291" s="4">
        <v>2565</v>
      </c>
      <c r="B3291" s="4" t="s">
        <v>18</v>
      </c>
      <c r="C3291" s="38" t="s">
        <v>3078</v>
      </c>
      <c r="D3291" s="4">
        <v>2022</v>
      </c>
      <c r="E3291" s="4" t="s">
        <v>13</v>
      </c>
      <c r="F3291" s="4">
        <v>177</v>
      </c>
      <c r="G3291" s="41">
        <v>15</v>
      </c>
      <c r="H3291" s="41">
        <v>433.125</v>
      </c>
      <c r="I3291" s="221"/>
      <c r="J3291" s="221"/>
    </row>
    <row r="3292" spans="1:10" s="5" customFormat="1" ht="18.75" hidden="1" customHeight="1" outlineLevel="1" x14ac:dyDescent="0.25">
      <c r="A3292" s="4">
        <v>2567</v>
      </c>
      <c r="B3292" s="4" t="s">
        <v>18</v>
      </c>
      <c r="C3292" s="38" t="s">
        <v>3098</v>
      </c>
      <c r="D3292" s="4">
        <v>2022</v>
      </c>
      <c r="E3292" s="4" t="s">
        <v>13</v>
      </c>
      <c r="F3292" s="4">
        <v>378</v>
      </c>
      <c r="G3292" s="41">
        <v>150</v>
      </c>
      <c r="H3292" s="41">
        <v>1313.471</v>
      </c>
      <c r="I3292" s="221"/>
      <c r="J3292" s="221"/>
    </row>
    <row r="3293" spans="1:10" s="5" customFormat="1" ht="24.75" hidden="1" customHeight="1" outlineLevel="1" x14ac:dyDescent="0.25">
      <c r="A3293" s="41">
        <v>9741</v>
      </c>
      <c r="B3293" s="4" t="s">
        <v>18</v>
      </c>
      <c r="C3293" s="38" t="s">
        <v>716</v>
      </c>
      <c r="D3293" s="4">
        <v>2021</v>
      </c>
      <c r="E3293" s="4" t="s">
        <v>13</v>
      </c>
      <c r="F3293" s="4">
        <v>34</v>
      </c>
      <c r="G3293" s="4">
        <v>50</v>
      </c>
      <c r="H3293" s="4">
        <v>273</v>
      </c>
      <c r="I3293" s="201"/>
      <c r="J3293" s="201"/>
    </row>
    <row r="3294" spans="1:10" s="5" customFormat="1" ht="24.75" hidden="1" customHeight="1" outlineLevel="1" x14ac:dyDescent="0.25">
      <c r="A3294" s="41">
        <v>9743</v>
      </c>
      <c r="B3294" s="4" t="s">
        <v>18</v>
      </c>
      <c r="C3294" s="38" t="s">
        <v>717</v>
      </c>
      <c r="D3294" s="4">
        <v>2021</v>
      </c>
      <c r="E3294" s="4" t="s">
        <v>13</v>
      </c>
      <c r="F3294" s="4">
        <v>6</v>
      </c>
      <c r="G3294" s="4">
        <v>15</v>
      </c>
      <c r="H3294" s="4">
        <v>51</v>
      </c>
      <c r="I3294" s="201"/>
      <c r="J3294" s="201"/>
    </row>
    <row r="3295" spans="1:10" s="5" customFormat="1" ht="24.75" hidden="1" customHeight="1" outlineLevel="1" x14ac:dyDescent="0.25">
      <c r="A3295" s="41">
        <v>9744</v>
      </c>
      <c r="B3295" s="4" t="s">
        <v>18</v>
      </c>
      <c r="C3295" s="38" t="s">
        <v>718</v>
      </c>
      <c r="D3295" s="4">
        <v>2021</v>
      </c>
      <c r="E3295" s="4" t="s">
        <v>13</v>
      </c>
      <c r="F3295" s="4">
        <v>40</v>
      </c>
      <c r="G3295" s="4">
        <v>3</v>
      </c>
      <c r="H3295" s="4">
        <v>194</v>
      </c>
      <c r="I3295" s="201"/>
      <c r="J3295" s="201"/>
    </row>
    <row r="3296" spans="1:10" s="5" customFormat="1" ht="24.75" hidden="1" customHeight="1" outlineLevel="1" x14ac:dyDescent="0.25">
      <c r="A3296" s="42">
        <v>1304</v>
      </c>
      <c r="B3296" s="4" t="s">
        <v>18</v>
      </c>
      <c r="C3296" s="38" t="s">
        <v>719</v>
      </c>
      <c r="D3296" s="4">
        <v>2021</v>
      </c>
      <c r="E3296" s="4" t="s">
        <v>13</v>
      </c>
      <c r="F3296" s="4">
        <v>10</v>
      </c>
      <c r="G3296" s="4">
        <v>150</v>
      </c>
      <c r="H3296" s="4">
        <v>70</v>
      </c>
      <c r="I3296" s="201"/>
      <c r="J3296" s="201"/>
    </row>
    <row r="3297" spans="1:10" s="5" customFormat="1" ht="24.75" hidden="1" customHeight="1" outlineLevel="1" x14ac:dyDescent="0.25">
      <c r="A3297" s="42">
        <v>1272</v>
      </c>
      <c r="B3297" s="4" t="s">
        <v>18</v>
      </c>
      <c r="C3297" s="38" t="s">
        <v>307</v>
      </c>
      <c r="D3297" s="4">
        <v>2021</v>
      </c>
      <c r="E3297" s="4" t="s">
        <v>13</v>
      </c>
      <c r="F3297" s="4">
        <v>20</v>
      </c>
      <c r="G3297" s="4">
        <v>100</v>
      </c>
      <c r="H3297" s="4">
        <v>176</v>
      </c>
      <c r="I3297" s="201"/>
      <c r="J3297" s="201"/>
    </row>
    <row r="3298" spans="1:10" s="5" customFormat="1" ht="24.75" hidden="1" customHeight="1" outlineLevel="1" x14ac:dyDescent="0.25">
      <c r="A3298" s="42">
        <v>3838</v>
      </c>
      <c r="B3298" s="4" t="s">
        <v>18</v>
      </c>
      <c r="C3298" s="38" t="s">
        <v>720</v>
      </c>
      <c r="D3298" s="4">
        <v>2021</v>
      </c>
      <c r="E3298" s="4" t="s">
        <v>13</v>
      </c>
      <c r="F3298" s="4">
        <v>2</v>
      </c>
      <c r="G3298" s="4">
        <v>60.75</v>
      </c>
      <c r="H3298" s="4">
        <v>53</v>
      </c>
      <c r="I3298" s="201"/>
      <c r="J3298" s="201"/>
    </row>
    <row r="3299" spans="1:10" s="5" customFormat="1" ht="24.75" hidden="1" customHeight="1" outlineLevel="1" x14ac:dyDescent="0.25">
      <c r="A3299" s="42">
        <v>1273</v>
      </c>
      <c r="B3299" s="4" t="s">
        <v>18</v>
      </c>
      <c r="C3299" s="38" t="s">
        <v>322</v>
      </c>
      <c r="D3299" s="4">
        <v>2021</v>
      </c>
      <c r="E3299" s="4" t="s">
        <v>13</v>
      </c>
      <c r="F3299" s="4">
        <v>15</v>
      </c>
      <c r="G3299" s="4">
        <v>40</v>
      </c>
      <c r="H3299" s="4">
        <v>107</v>
      </c>
      <c r="I3299" s="201"/>
      <c r="J3299" s="201"/>
    </row>
    <row r="3300" spans="1:10" s="5" customFormat="1" ht="24.75" hidden="1" customHeight="1" outlineLevel="1" x14ac:dyDescent="0.25">
      <c r="A3300" s="41">
        <v>9745</v>
      </c>
      <c r="B3300" s="4" t="s">
        <v>18</v>
      </c>
      <c r="C3300" s="38" t="s">
        <v>721</v>
      </c>
      <c r="D3300" s="4">
        <v>2021</v>
      </c>
      <c r="E3300" s="4" t="s">
        <v>13</v>
      </c>
      <c r="F3300" s="4">
        <v>31</v>
      </c>
      <c r="G3300" s="4">
        <v>15</v>
      </c>
      <c r="H3300" s="4">
        <v>181</v>
      </c>
      <c r="I3300" s="201"/>
      <c r="J3300" s="201"/>
    </row>
    <row r="3301" spans="1:10" s="5" customFormat="1" ht="24.75" hidden="1" customHeight="1" outlineLevel="1" x14ac:dyDescent="0.25">
      <c r="A3301" s="41">
        <v>9746</v>
      </c>
      <c r="B3301" s="4" t="s">
        <v>18</v>
      </c>
      <c r="C3301" s="38" t="s">
        <v>332</v>
      </c>
      <c r="D3301" s="4">
        <v>2021</v>
      </c>
      <c r="E3301" s="4" t="s">
        <v>13</v>
      </c>
      <c r="F3301" s="4">
        <v>6</v>
      </c>
      <c r="G3301" s="4">
        <v>15</v>
      </c>
      <c r="H3301" s="4">
        <v>55</v>
      </c>
      <c r="I3301" s="201"/>
      <c r="J3301" s="201"/>
    </row>
    <row r="3302" spans="1:10" s="5" customFormat="1" ht="24.75" hidden="1" customHeight="1" outlineLevel="1" x14ac:dyDescent="0.25">
      <c r="A3302" s="41">
        <v>9742</v>
      </c>
      <c r="B3302" s="4" t="s">
        <v>18</v>
      </c>
      <c r="C3302" s="38" t="s">
        <v>722</v>
      </c>
      <c r="D3302" s="4">
        <v>2021</v>
      </c>
      <c r="E3302" s="4" t="s">
        <v>13</v>
      </c>
      <c r="F3302" s="4">
        <v>10</v>
      </c>
      <c r="G3302" s="4">
        <v>20</v>
      </c>
      <c r="H3302" s="4">
        <v>85</v>
      </c>
      <c r="I3302" s="201"/>
      <c r="J3302" s="201"/>
    </row>
    <row r="3303" spans="1:10" s="5" customFormat="1" ht="24.75" hidden="1" customHeight="1" outlineLevel="1" x14ac:dyDescent="0.25">
      <c r="A3303" s="42">
        <v>1124</v>
      </c>
      <c r="B3303" s="4" t="s">
        <v>18</v>
      </c>
      <c r="C3303" s="38" t="s">
        <v>462</v>
      </c>
      <c r="D3303" s="4">
        <v>2021</v>
      </c>
      <c r="E3303" s="4" t="s">
        <v>13</v>
      </c>
      <c r="F3303" s="4">
        <v>200</v>
      </c>
      <c r="G3303" s="4">
        <v>150</v>
      </c>
      <c r="H3303" s="4">
        <v>278</v>
      </c>
      <c r="I3303" s="201"/>
      <c r="J3303" s="201"/>
    </row>
    <row r="3304" spans="1:10" s="5" customFormat="1" ht="24.75" hidden="1" customHeight="1" outlineLevel="1" x14ac:dyDescent="0.25">
      <c r="A3304" s="41">
        <v>9609</v>
      </c>
      <c r="B3304" s="4" t="s">
        <v>18</v>
      </c>
      <c r="C3304" s="38" t="s">
        <v>724</v>
      </c>
      <c r="D3304" s="4">
        <v>2021</v>
      </c>
      <c r="E3304" s="4" t="s">
        <v>13</v>
      </c>
      <c r="F3304" s="4">
        <v>12</v>
      </c>
      <c r="G3304" s="4">
        <v>25</v>
      </c>
      <c r="H3304" s="4">
        <v>89</v>
      </c>
      <c r="I3304" s="201"/>
      <c r="J3304" s="201"/>
    </row>
    <row r="3305" spans="1:10" s="5" customFormat="1" ht="24.75" hidden="1" customHeight="1" outlineLevel="1" x14ac:dyDescent="0.25">
      <c r="A3305" s="41">
        <v>9668</v>
      </c>
      <c r="B3305" s="4" t="s">
        <v>18</v>
      </c>
      <c r="C3305" s="38" t="s">
        <v>725</v>
      </c>
      <c r="D3305" s="4">
        <v>2021</v>
      </c>
      <c r="E3305" s="4" t="s">
        <v>13</v>
      </c>
      <c r="F3305" s="4">
        <v>352</v>
      </c>
      <c r="G3305" s="4">
        <v>100</v>
      </c>
      <c r="H3305" s="4">
        <v>604</v>
      </c>
      <c r="I3305" s="201"/>
      <c r="J3305" s="201"/>
    </row>
    <row r="3306" spans="1:10" s="5" customFormat="1" ht="94.5" hidden="1" outlineLevel="1" x14ac:dyDescent="0.25">
      <c r="A3306" s="42">
        <v>3757</v>
      </c>
      <c r="B3306" s="4" t="s">
        <v>18</v>
      </c>
      <c r="C3306" s="38" t="s">
        <v>478</v>
      </c>
      <c r="D3306" s="4">
        <v>2021</v>
      </c>
      <c r="E3306" s="4" t="s">
        <v>13</v>
      </c>
      <c r="F3306" s="4">
        <v>8</v>
      </c>
      <c r="G3306" s="4">
        <v>5</v>
      </c>
      <c r="H3306" s="4">
        <v>88</v>
      </c>
      <c r="I3306" s="201"/>
      <c r="J3306" s="201"/>
    </row>
    <row r="3307" spans="1:10" s="5" customFormat="1" ht="24.75" hidden="1" customHeight="1" outlineLevel="1" x14ac:dyDescent="0.25">
      <c r="A3307" s="42">
        <v>1142</v>
      </c>
      <c r="B3307" s="4" t="s">
        <v>18</v>
      </c>
      <c r="C3307" s="38" t="s">
        <v>726</v>
      </c>
      <c r="D3307" s="4">
        <v>2021</v>
      </c>
      <c r="E3307" s="4" t="s">
        <v>13</v>
      </c>
      <c r="F3307" s="4">
        <v>7</v>
      </c>
      <c r="G3307" s="4">
        <v>150</v>
      </c>
      <c r="H3307" s="4">
        <v>87</v>
      </c>
      <c r="I3307" s="201"/>
      <c r="J3307" s="201"/>
    </row>
    <row r="3308" spans="1:10" s="5" customFormat="1" ht="24.75" hidden="1" customHeight="1" outlineLevel="1" x14ac:dyDescent="0.25">
      <c r="A3308" s="41">
        <v>9662</v>
      </c>
      <c r="B3308" s="4" t="s">
        <v>18</v>
      </c>
      <c r="C3308" s="38" t="s">
        <v>483</v>
      </c>
      <c r="D3308" s="4">
        <v>2021</v>
      </c>
      <c r="E3308" s="4" t="s">
        <v>13</v>
      </c>
      <c r="F3308" s="4">
        <v>10</v>
      </c>
      <c r="G3308" s="4">
        <v>15</v>
      </c>
      <c r="H3308" s="4">
        <v>159</v>
      </c>
      <c r="I3308" s="201"/>
      <c r="J3308" s="201"/>
    </row>
    <row r="3309" spans="1:10" s="5" customFormat="1" ht="24.75" hidden="1" customHeight="1" outlineLevel="1" x14ac:dyDescent="0.25">
      <c r="A3309" s="41">
        <v>9656</v>
      </c>
      <c r="B3309" s="4" t="s">
        <v>18</v>
      </c>
      <c r="C3309" s="38" t="s">
        <v>485</v>
      </c>
      <c r="D3309" s="4">
        <v>2021</v>
      </c>
      <c r="E3309" s="4" t="s">
        <v>13</v>
      </c>
      <c r="F3309" s="4">
        <v>10</v>
      </c>
      <c r="G3309" s="4">
        <v>140</v>
      </c>
      <c r="H3309" s="4">
        <v>81</v>
      </c>
      <c r="I3309" s="201"/>
      <c r="J3309" s="201"/>
    </row>
    <row r="3310" spans="1:10" s="5" customFormat="1" ht="24.75" hidden="1" customHeight="1" outlineLevel="1" x14ac:dyDescent="0.25">
      <c r="A3310" s="41">
        <v>9665</v>
      </c>
      <c r="B3310" s="4" t="s">
        <v>18</v>
      </c>
      <c r="C3310" s="38" t="s">
        <v>490</v>
      </c>
      <c r="D3310" s="4">
        <v>2021</v>
      </c>
      <c r="E3310" s="4" t="s">
        <v>13</v>
      </c>
      <c r="F3310" s="4">
        <v>7</v>
      </c>
      <c r="G3310" s="4">
        <v>100</v>
      </c>
      <c r="H3310" s="4">
        <v>79</v>
      </c>
      <c r="I3310" s="201"/>
      <c r="J3310" s="201"/>
    </row>
    <row r="3311" spans="1:10" s="5" customFormat="1" ht="24.75" hidden="1" customHeight="1" outlineLevel="1" x14ac:dyDescent="0.25">
      <c r="A3311" s="42">
        <v>913</v>
      </c>
      <c r="B3311" s="4" t="s">
        <v>18</v>
      </c>
      <c r="C3311" s="38" t="s">
        <v>727</v>
      </c>
      <c r="D3311" s="4">
        <v>2021</v>
      </c>
      <c r="E3311" s="4" t="s">
        <v>13</v>
      </c>
      <c r="F3311" s="4">
        <v>10</v>
      </c>
      <c r="G3311" s="4">
        <v>50</v>
      </c>
      <c r="H3311" s="4">
        <v>123</v>
      </c>
      <c r="I3311" s="201"/>
      <c r="J3311" s="201"/>
    </row>
    <row r="3312" spans="1:10" s="5" customFormat="1" ht="24.75" hidden="1" customHeight="1" outlineLevel="1" x14ac:dyDescent="0.25">
      <c r="A3312" s="42">
        <v>3796</v>
      </c>
      <c r="B3312" s="4" t="s">
        <v>18</v>
      </c>
      <c r="C3312" s="38" t="s">
        <v>728</v>
      </c>
      <c r="D3312" s="4">
        <v>2021</v>
      </c>
      <c r="E3312" s="4" t="s">
        <v>13</v>
      </c>
      <c r="F3312" s="4">
        <v>613</v>
      </c>
      <c r="G3312" s="4">
        <v>150</v>
      </c>
      <c r="H3312" s="4">
        <v>1291</v>
      </c>
      <c r="I3312" s="201"/>
      <c r="J3312" s="201"/>
    </row>
    <row r="3313" spans="1:10" s="5" customFormat="1" ht="24.75" hidden="1" customHeight="1" outlineLevel="1" x14ac:dyDescent="0.25">
      <c r="A3313" s="42">
        <v>1143</v>
      </c>
      <c r="B3313" s="4" t="s">
        <v>18</v>
      </c>
      <c r="C3313" s="38" t="s">
        <v>729</v>
      </c>
      <c r="D3313" s="4">
        <v>2021</v>
      </c>
      <c r="E3313" s="4" t="s">
        <v>13</v>
      </c>
      <c r="F3313" s="4">
        <v>401</v>
      </c>
      <c r="G3313" s="4">
        <v>290</v>
      </c>
      <c r="H3313" s="4">
        <v>1238</v>
      </c>
      <c r="I3313" s="201"/>
      <c r="J3313" s="201"/>
    </row>
    <row r="3314" spans="1:10" s="5" customFormat="1" ht="24.75" hidden="1" customHeight="1" outlineLevel="1" x14ac:dyDescent="0.25">
      <c r="A3314" s="41">
        <v>9674</v>
      </c>
      <c r="B3314" s="4" t="s">
        <v>18</v>
      </c>
      <c r="C3314" s="38" t="s">
        <v>500</v>
      </c>
      <c r="D3314" s="4">
        <v>2021</v>
      </c>
      <c r="E3314" s="4" t="s">
        <v>13</v>
      </c>
      <c r="F3314" s="4">
        <v>10</v>
      </c>
      <c r="G3314" s="4">
        <v>50</v>
      </c>
      <c r="H3314" s="4">
        <v>36</v>
      </c>
      <c r="I3314" s="201"/>
      <c r="J3314" s="201"/>
    </row>
    <row r="3315" spans="1:10" s="5" customFormat="1" ht="24.75" hidden="1" customHeight="1" outlineLevel="1" x14ac:dyDescent="0.25">
      <c r="A3315" s="41">
        <v>9663</v>
      </c>
      <c r="B3315" s="4" t="s">
        <v>18</v>
      </c>
      <c r="C3315" s="38" t="s">
        <v>730</v>
      </c>
      <c r="D3315" s="4">
        <v>2021</v>
      </c>
      <c r="E3315" s="4" t="s">
        <v>13</v>
      </c>
      <c r="F3315" s="4">
        <v>22</v>
      </c>
      <c r="G3315" s="4">
        <v>100</v>
      </c>
      <c r="H3315" s="4">
        <v>106</v>
      </c>
      <c r="I3315" s="201"/>
      <c r="J3315" s="201"/>
    </row>
    <row r="3316" spans="1:10" s="5" customFormat="1" ht="24.75" hidden="1" customHeight="1" outlineLevel="1" x14ac:dyDescent="0.25">
      <c r="A3316" s="42">
        <v>1148</v>
      </c>
      <c r="B3316" s="4" t="s">
        <v>18</v>
      </c>
      <c r="C3316" s="38" t="s">
        <v>731</v>
      </c>
      <c r="D3316" s="4">
        <v>2021</v>
      </c>
      <c r="E3316" s="4" t="s">
        <v>13</v>
      </c>
      <c r="F3316" s="4">
        <v>39</v>
      </c>
      <c r="G3316" s="4">
        <v>150</v>
      </c>
      <c r="H3316" s="4">
        <v>207</v>
      </c>
      <c r="I3316" s="201"/>
      <c r="J3316" s="201"/>
    </row>
    <row r="3317" spans="1:10" s="5" customFormat="1" ht="24.75" hidden="1" customHeight="1" outlineLevel="1" x14ac:dyDescent="0.25">
      <c r="A3317" s="41">
        <v>9664</v>
      </c>
      <c r="B3317" s="4" t="s">
        <v>18</v>
      </c>
      <c r="C3317" s="38" t="s">
        <v>732</v>
      </c>
      <c r="D3317" s="4">
        <v>2021</v>
      </c>
      <c r="E3317" s="4" t="s">
        <v>13</v>
      </c>
      <c r="F3317" s="4">
        <v>25</v>
      </c>
      <c r="G3317" s="4">
        <v>150</v>
      </c>
      <c r="H3317" s="4">
        <v>201</v>
      </c>
      <c r="I3317" s="201"/>
      <c r="J3317" s="201"/>
    </row>
    <row r="3318" spans="1:10" s="5" customFormat="1" ht="24.75" hidden="1" customHeight="1" outlineLevel="1" x14ac:dyDescent="0.25">
      <c r="A3318" s="41">
        <v>9653</v>
      </c>
      <c r="B3318" s="4" t="s">
        <v>18</v>
      </c>
      <c r="C3318" s="38" t="s">
        <v>506</v>
      </c>
      <c r="D3318" s="4">
        <v>2021</v>
      </c>
      <c r="E3318" s="4" t="s">
        <v>13</v>
      </c>
      <c r="F3318" s="4">
        <v>85</v>
      </c>
      <c r="G3318" s="4">
        <v>150</v>
      </c>
      <c r="H3318" s="4">
        <v>120</v>
      </c>
      <c r="I3318" s="201"/>
      <c r="J3318" s="201"/>
    </row>
    <row r="3319" spans="1:10" s="5" customFormat="1" ht="24.75" hidden="1" customHeight="1" outlineLevel="1" x14ac:dyDescent="0.25">
      <c r="A3319" s="41">
        <v>9601</v>
      </c>
      <c r="B3319" s="4" t="s">
        <v>18</v>
      </c>
      <c r="C3319" s="38" t="s">
        <v>733</v>
      </c>
      <c r="D3319" s="4">
        <v>2021</v>
      </c>
      <c r="E3319" s="4" t="s">
        <v>13</v>
      </c>
      <c r="F3319" s="4">
        <v>945</v>
      </c>
      <c r="G3319" s="4">
        <v>537</v>
      </c>
      <c r="H3319" s="4">
        <v>1525</v>
      </c>
      <c r="I3319" s="201"/>
      <c r="J3319" s="201"/>
    </row>
    <row r="3320" spans="1:10" s="5" customFormat="1" ht="24.75" hidden="1" customHeight="1" outlineLevel="1" x14ac:dyDescent="0.25">
      <c r="A3320" s="41">
        <v>9453</v>
      </c>
      <c r="B3320" s="4" t="s">
        <v>18</v>
      </c>
      <c r="C3320" s="38" t="s">
        <v>515</v>
      </c>
      <c r="D3320" s="4">
        <v>2021</v>
      </c>
      <c r="E3320" s="4" t="s">
        <v>13</v>
      </c>
      <c r="F3320" s="4">
        <v>727</v>
      </c>
      <c r="G3320" s="4">
        <v>20</v>
      </c>
      <c r="H3320" s="4">
        <v>1533</v>
      </c>
      <c r="I3320" s="201"/>
      <c r="J3320" s="201"/>
    </row>
    <row r="3321" spans="1:10" s="5" customFormat="1" ht="24.75" hidden="1" customHeight="1" outlineLevel="1" x14ac:dyDescent="0.25">
      <c r="A3321" s="42">
        <v>3797</v>
      </c>
      <c r="B3321" s="4" t="s">
        <v>18</v>
      </c>
      <c r="C3321" s="38" t="s">
        <v>735</v>
      </c>
      <c r="D3321" s="4">
        <v>2021</v>
      </c>
      <c r="E3321" s="4" t="s">
        <v>13</v>
      </c>
      <c r="F3321" s="4">
        <v>83</v>
      </c>
      <c r="G3321" s="4">
        <v>149</v>
      </c>
      <c r="H3321" s="4">
        <v>353</v>
      </c>
      <c r="I3321" s="201"/>
      <c r="J3321" s="201"/>
    </row>
    <row r="3322" spans="1:10" s="5" customFormat="1" ht="24.75" hidden="1" customHeight="1" outlineLevel="1" x14ac:dyDescent="0.25">
      <c r="A3322" s="41">
        <v>9613</v>
      </c>
      <c r="B3322" s="4" t="s">
        <v>18</v>
      </c>
      <c r="C3322" s="38" t="s">
        <v>736</v>
      </c>
      <c r="D3322" s="4">
        <v>2021</v>
      </c>
      <c r="E3322" s="4" t="s">
        <v>13</v>
      </c>
      <c r="F3322" s="4">
        <v>15</v>
      </c>
      <c r="G3322" s="4">
        <v>20</v>
      </c>
      <c r="H3322" s="4">
        <v>145</v>
      </c>
      <c r="I3322" s="201"/>
      <c r="J3322" s="201"/>
    </row>
    <row r="3323" spans="1:10" s="5" customFormat="1" ht="24.75" hidden="1" customHeight="1" outlineLevel="1" x14ac:dyDescent="0.25">
      <c r="A3323" s="42">
        <v>920</v>
      </c>
      <c r="B3323" s="4" t="s">
        <v>18</v>
      </c>
      <c r="C3323" s="38" t="s">
        <v>522</v>
      </c>
      <c r="D3323" s="4">
        <v>2021</v>
      </c>
      <c r="E3323" s="4" t="s">
        <v>13</v>
      </c>
      <c r="F3323" s="4">
        <v>18</v>
      </c>
      <c r="G3323" s="4">
        <v>15</v>
      </c>
      <c r="H3323" s="4">
        <v>197</v>
      </c>
      <c r="I3323" s="201"/>
      <c r="J3323" s="201"/>
    </row>
    <row r="3324" spans="1:10" s="5" customFormat="1" ht="24.75" hidden="1" customHeight="1" outlineLevel="1" x14ac:dyDescent="0.25">
      <c r="A3324" s="41">
        <v>9605</v>
      </c>
      <c r="B3324" s="4" t="s">
        <v>18</v>
      </c>
      <c r="C3324" s="38" t="s">
        <v>737</v>
      </c>
      <c r="D3324" s="4">
        <v>2021</v>
      </c>
      <c r="E3324" s="4" t="s">
        <v>13</v>
      </c>
      <c r="F3324" s="4">
        <v>679</v>
      </c>
      <c r="G3324" s="4">
        <v>72</v>
      </c>
      <c r="H3324" s="4">
        <v>1223</v>
      </c>
      <c r="I3324" s="201"/>
      <c r="J3324" s="201"/>
    </row>
    <row r="3325" spans="1:10" s="5" customFormat="1" ht="24.75" hidden="1" customHeight="1" outlineLevel="1" x14ac:dyDescent="0.25">
      <c r="A3325" s="42">
        <v>3750</v>
      </c>
      <c r="B3325" s="4" t="s">
        <v>18</v>
      </c>
      <c r="C3325" s="38" t="s">
        <v>524</v>
      </c>
      <c r="D3325" s="4">
        <v>2021</v>
      </c>
      <c r="E3325" s="4" t="s">
        <v>13</v>
      </c>
      <c r="F3325" s="4">
        <v>287</v>
      </c>
      <c r="G3325" s="4">
        <v>15</v>
      </c>
      <c r="H3325" s="4">
        <v>838</v>
      </c>
      <c r="I3325" s="201"/>
      <c r="J3325" s="201"/>
    </row>
    <row r="3326" spans="1:10" s="5" customFormat="1" ht="24.75" hidden="1" customHeight="1" outlineLevel="1" x14ac:dyDescent="0.25">
      <c r="A3326" s="41">
        <v>9590</v>
      </c>
      <c r="B3326" s="4" t="s">
        <v>18</v>
      </c>
      <c r="C3326" s="38" t="s">
        <v>525</v>
      </c>
      <c r="D3326" s="4">
        <v>2021</v>
      </c>
      <c r="E3326" s="4" t="s">
        <v>13</v>
      </c>
      <c r="F3326" s="4">
        <v>386</v>
      </c>
      <c r="G3326" s="4">
        <v>15</v>
      </c>
      <c r="H3326" s="4">
        <v>591</v>
      </c>
      <c r="I3326" s="201"/>
      <c r="J3326" s="201"/>
    </row>
    <row r="3327" spans="1:10" s="5" customFormat="1" ht="24.75" hidden="1" customHeight="1" outlineLevel="1" x14ac:dyDescent="0.25">
      <c r="A3327" s="41">
        <v>9644</v>
      </c>
      <c r="B3327" s="4" t="s">
        <v>18</v>
      </c>
      <c r="C3327" s="38" t="s">
        <v>526</v>
      </c>
      <c r="D3327" s="4">
        <v>2021</v>
      </c>
      <c r="E3327" s="4" t="s">
        <v>13</v>
      </c>
      <c r="F3327" s="4">
        <v>473</v>
      </c>
      <c r="G3327" s="4">
        <v>100</v>
      </c>
      <c r="H3327" s="4">
        <v>913</v>
      </c>
      <c r="I3327" s="201"/>
      <c r="J3327" s="201"/>
    </row>
    <row r="3328" spans="1:10" s="5" customFormat="1" ht="24.75" hidden="1" customHeight="1" outlineLevel="1" x14ac:dyDescent="0.25">
      <c r="A3328" s="42">
        <v>1129</v>
      </c>
      <c r="B3328" s="4" t="s">
        <v>18</v>
      </c>
      <c r="C3328" s="38" t="s">
        <v>738</v>
      </c>
      <c r="D3328" s="4">
        <v>2021</v>
      </c>
      <c r="E3328" s="4" t="s">
        <v>13</v>
      </c>
      <c r="F3328" s="4">
        <v>382</v>
      </c>
      <c r="G3328" s="4">
        <v>150</v>
      </c>
      <c r="H3328" s="4">
        <v>944</v>
      </c>
      <c r="I3328" s="201"/>
      <c r="J3328" s="201"/>
    </row>
    <row r="3329" spans="1:10" s="5" customFormat="1" ht="24.75" hidden="1" customHeight="1" outlineLevel="1" x14ac:dyDescent="0.25">
      <c r="A3329" s="41">
        <v>9642</v>
      </c>
      <c r="B3329" s="4" t="s">
        <v>18</v>
      </c>
      <c r="C3329" s="22" t="s">
        <v>739</v>
      </c>
      <c r="D3329" s="4">
        <v>2021</v>
      </c>
      <c r="E3329" s="4" t="s">
        <v>13</v>
      </c>
      <c r="F3329" s="4">
        <v>10</v>
      </c>
      <c r="G3329" s="4">
        <v>100</v>
      </c>
      <c r="H3329" s="4">
        <v>89</v>
      </c>
      <c r="I3329" s="201"/>
      <c r="J3329" s="201"/>
    </row>
    <row r="3330" spans="1:10" s="5" customFormat="1" ht="24.75" hidden="1" customHeight="1" outlineLevel="1" x14ac:dyDescent="0.25">
      <c r="A3330" s="41">
        <v>9596</v>
      </c>
      <c r="B3330" s="4" t="s">
        <v>18</v>
      </c>
      <c r="C3330" s="38" t="s">
        <v>528</v>
      </c>
      <c r="D3330" s="4">
        <v>2021</v>
      </c>
      <c r="E3330" s="4" t="s">
        <v>13</v>
      </c>
      <c r="F3330" s="4">
        <v>10</v>
      </c>
      <c r="G3330" s="4">
        <v>60</v>
      </c>
      <c r="H3330" s="4">
        <v>112</v>
      </c>
      <c r="I3330" s="201"/>
      <c r="J3330" s="201"/>
    </row>
    <row r="3331" spans="1:10" s="5" customFormat="1" ht="24.75" hidden="1" customHeight="1" outlineLevel="1" x14ac:dyDescent="0.25">
      <c r="A3331" s="42">
        <v>1132</v>
      </c>
      <c r="B3331" s="4" t="s">
        <v>18</v>
      </c>
      <c r="C3331" s="38" t="s">
        <v>530</v>
      </c>
      <c r="D3331" s="4">
        <v>2021</v>
      </c>
      <c r="E3331" s="4" t="s">
        <v>13</v>
      </c>
      <c r="F3331" s="4">
        <v>20</v>
      </c>
      <c r="G3331" s="4">
        <v>145</v>
      </c>
      <c r="H3331" s="4">
        <v>70</v>
      </c>
      <c r="I3331" s="201"/>
      <c r="J3331" s="201"/>
    </row>
    <row r="3332" spans="1:10" s="5" customFormat="1" ht="24.75" hidden="1" customHeight="1" outlineLevel="1" x14ac:dyDescent="0.25">
      <c r="A3332" s="41">
        <v>9673</v>
      </c>
      <c r="B3332" s="4" t="s">
        <v>18</v>
      </c>
      <c r="C3332" s="38" t="s">
        <v>533</v>
      </c>
      <c r="D3332" s="4">
        <v>2021</v>
      </c>
      <c r="E3332" s="4" t="s">
        <v>13</v>
      </c>
      <c r="F3332" s="4">
        <v>63</v>
      </c>
      <c r="G3332" s="4">
        <v>50</v>
      </c>
      <c r="H3332" s="4">
        <v>74</v>
      </c>
      <c r="I3332" s="201"/>
      <c r="J3332" s="201"/>
    </row>
    <row r="3333" spans="1:10" s="5" customFormat="1" ht="24.75" hidden="1" customHeight="1" outlineLevel="1" x14ac:dyDescent="0.25">
      <c r="A3333" s="41">
        <v>9576</v>
      </c>
      <c r="B3333" s="4" t="s">
        <v>18</v>
      </c>
      <c r="C3333" s="38" t="s">
        <v>536</v>
      </c>
      <c r="D3333" s="4">
        <v>2021</v>
      </c>
      <c r="E3333" s="4" t="s">
        <v>13</v>
      </c>
      <c r="F3333" s="4">
        <v>2350</v>
      </c>
      <c r="G3333" s="4">
        <v>390</v>
      </c>
      <c r="H3333" s="4">
        <v>3340</v>
      </c>
      <c r="I3333" s="201"/>
      <c r="J3333" s="201"/>
    </row>
    <row r="3334" spans="1:10" s="5" customFormat="1" ht="24.75" hidden="1" customHeight="1" outlineLevel="1" x14ac:dyDescent="0.25">
      <c r="A3334" s="41">
        <v>9657</v>
      </c>
      <c r="B3334" s="4" t="s">
        <v>18</v>
      </c>
      <c r="C3334" s="38" t="s">
        <v>539</v>
      </c>
      <c r="D3334" s="4">
        <v>2021</v>
      </c>
      <c r="E3334" s="4" t="s">
        <v>13</v>
      </c>
      <c r="F3334" s="4">
        <v>55</v>
      </c>
      <c r="G3334" s="4">
        <v>15</v>
      </c>
      <c r="H3334" s="4">
        <v>131</v>
      </c>
      <c r="I3334" s="201"/>
      <c r="J3334" s="201"/>
    </row>
    <row r="3335" spans="1:10" s="5" customFormat="1" ht="24.75" hidden="1" customHeight="1" outlineLevel="1" x14ac:dyDescent="0.25">
      <c r="A3335" s="41">
        <v>9612</v>
      </c>
      <c r="B3335" s="4" t="s">
        <v>18</v>
      </c>
      <c r="C3335" s="38" t="s">
        <v>740</v>
      </c>
      <c r="D3335" s="4">
        <v>2021</v>
      </c>
      <c r="E3335" s="4" t="s">
        <v>13</v>
      </c>
      <c r="F3335" s="4">
        <v>4</v>
      </c>
      <c r="G3335" s="4">
        <v>224</v>
      </c>
      <c r="H3335" s="4">
        <v>109</v>
      </c>
      <c r="I3335" s="201"/>
      <c r="J3335" s="201"/>
    </row>
    <row r="3336" spans="1:10" s="5" customFormat="1" ht="24.75" hidden="1" customHeight="1" outlineLevel="1" x14ac:dyDescent="0.25">
      <c r="A3336" s="41">
        <v>9592</v>
      </c>
      <c r="B3336" s="4" t="s">
        <v>18</v>
      </c>
      <c r="C3336" s="38" t="s">
        <v>542</v>
      </c>
      <c r="D3336" s="4">
        <v>2021</v>
      </c>
      <c r="E3336" s="4" t="s">
        <v>13</v>
      </c>
      <c r="F3336" s="4">
        <v>310</v>
      </c>
      <c r="G3336" s="4">
        <v>90</v>
      </c>
      <c r="H3336" s="4">
        <v>706</v>
      </c>
      <c r="I3336" s="201"/>
      <c r="J3336" s="201"/>
    </row>
    <row r="3337" spans="1:10" s="5" customFormat="1" ht="24.75" hidden="1" customHeight="1" outlineLevel="1" x14ac:dyDescent="0.25">
      <c r="A3337" s="41">
        <v>9608</v>
      </c>
      <c r="B3337" s="4" t="s">
        <v>18</v>
      </c>
      <c r="C3337" s="38" t="s">
        <v>544</v>
      </c>
      <c r="D3337" s="4">
        <v>2021</v>
      </c>
      <c r="E3337" s="4" t="s">
        <v>13</v>
      </c>
      <c r="F3337" s="4">
        <v>1216</v>
      </c>
      <c r="G3337" s="4">
        <v>15</v>
      </c>
      <c r="H3337" s="4">
        <v>2493</v>
      </c>
      <c r="I3337" s="201"/>
      <c r="J3337" s="201"/>
    </row>
    <row r="3338" spans="1:10" s="5" customFormat="1" ht="24.75" hidden="1" customHeight="1" outlineLevel="1" x14ac:dyDescent="0.25">
      <c r="A3338" s="41">
        <v>9584</v>
      </c>
      <c r="B3338" s="4" t="s">
        <v>18</v>
      </c>
      <c r="C3338" s="38" t="s">
        <v>548</v>
      </c>
      <c r="D3338" s="4">
        <v>2021</v>
      </c>
      <c r="E3338" s="4" t="s">
        <v>13</v>
      </c>
      <c r="F3338" s="4">
        <v>1029</v>
      </c>
      <c r="G3338" s="4">
        <v>14</v>
      </c>
      <c r="H3338" s="4">
        <v>1553</v>
      </c>
      <c r="I3338" s="201"/>
      <c r="J3338" s="201"/>
    </row>
    <row r="3339" spans="1:10" s="5" customFormat="1" ht="24.75" hidden="1" customHeight="1" outlineLevel="1" x14ac:dyDescent="0.25">
      <c r="A3339" s="41">
        <v>9582</v>
      </c>
      <c r="B3339" s="4" t="s">
        <v>18</v>
      </c>
      <c r="C3339" s="38" t="s">
        <v>551</v>
      </c>
      <c r="D3339" s="4">
        <v>2021</v>
      </c>
      <c r="E3339" s="4" t="s">
        <v>13</v>
      </c>
      <c r="F3339" s="4">
        <v>65</v>
      </c>
      <c r="G3339" s="4">
        <v>14</v>
      </c>
      <c r="H3339" s="4">
        <v>293</v>
      </c>
      <c r="I3339" s="201"/>
      <c r="J3339" s="201"/>
    </row>
    <row r="3340" spans="1:10" s="5" customFormat="1" ht="24.75" hidden="1" customHeight="1" outlineLevel="1" x14ac:dyDescent="0.25">
      <c r="A3340" s="41">
        <v>9593</v>
      </c>
      <c r="B3340" s="4" t="s">
        <v>18</v>
      </c>
      <c r="C3340" s="38" t="s">
        <v>552</v>
      </c>
      <c r="D3340" s="4">
        <v>2021</v>
      </c>
      <c r="E3340" s="4" t="s">
        <v>13</v>
      </c>
      <c r="F3340" s="4">
        <v>30</v>
      </c>
      <c r="G3340" s="4">
        <v>15</v>
      </c>
      <c r="H3340" s="4">
        <v>63</v>
      </c>
      <c r="I3340" s="201"/>
      <c r="J3340" s="201"/>
    </row>
    <row r="3341" spans="1:10" s="5" customFormat="1" ht="24.75" hidden="1" customHeight="1" outlineLevel="1" x14ac:dyDescent="0.25">
      <c r="A3341" s="41">
        <v>9597</v>
      </c>
      <c r="B3341" s="4" t="s">
        <v>18</v>
      </c>
      <c r="C3341" s="38" t="s">
        <v>556</v>
      </c>
      <c r="D3341" s="4">
        <v>2021</v>
      </c>
      <c r="E3341" s="4" t="s">
        <v>13</v>
      </c>
      <c r="F3341" s="4">
        <v>30</v>
      </c>
      <c r="G3341" s="4">
        <v>150</v>
      </c>
      <c r="H3341" s="4">
        <v>61</v>
      </c>
      <c r="I3341" s="201"/>
      <c r="J3341" s="201"/>
    </row>
    <row r="3342" spans="1:10" s="5" customFormat="1" ht="24.75" hidden="1" customHeight="1" outlineLevel="1" x14ac:dyDescent="0.25">
      <c r="A3342" s="42">
        <v>1130</v>
      </c>
      <c r="B3342" s="4" t="s">
        <v>18</v>
      </c>
      <c r="C3342" s="38" t="s">
        <v>557</v>
      </c>
      <c r="D3342" s="4">
        <v>2021</v>
      </c>
      <c r="E3342" s="4" t="s">
        <v>13</v>
      </c>
      <c r="F3342" s="4">
        <v>30</v>
      </c>
      <c r="G3342" s="4">
        <v>110</v>
      </c>
      <c r="H3342" s="4">
        <v>59</v>
      </c>
      <c r="I3342" s="201"/>
      <c r="J3342" s="201"/>
    </row>
    <row r="3343" spans="1:10" s="5" customFormat="1" ht="24.75" hidden="1" customHeight="1" outlineLevel="1" x14ac:dyDescent="0.25">
      <c r="A3343" s="41">
        <v>9606</v>
      </c>
      <c r="B3343" s="4" t="s">
        <v>18</v>
      </c>
      <c r="C3343" s="38" t="s">
        <v>558</v>
      </c>
      <c r="D3343" s="4">
        <v>2021</v>
      </c>
      <c r="E3343" s="4" t="s">
        <v>13</v>
      </c>
      <c r="F3343" s="4">
        <v>3447</v>
      </c>
      <c r="G3343" s="4">
        <v>15</v>
      </c>
      <c r="H3343" s="4">
        <v>4909</v>
      </c>
      <c r="I3343" s="201"/>
      <c r="J3343" s="201"/>
    </row>
    <row r="3344" spans="1:10" s="5" customFormat="1" ht="24.75" hidden="1" customHeight="1" outlineLevel="1" x14ac:dyDescent="0.25">
      <c r="A3344" s="41">
        <v>9586</v>
      </c>
      <c r="B3344" s="4" t="s">
        <v>18</v>
      </c>
      <c r="C3344" s="38" t="s">
        <v>559</v>
      </c>
      <c r="D3344" s="4">
        <v>2021</v>
      </c>
      <c r="E3344" s="4" t="s">
        <v>13</v>
      </c>
      <c r="F3344" s="4">
        <v>332</v>
      </c>
      <c r="G3344" s="4">
        <v>45</v>
      </c>
      <c r="H3344" s="4">
        <v>982</v>
      </c>
      <c r="I3344" s="201"/>
      <c r="J3344" s="201"/>
    </row>
    <row r="3345" spans="1:10" s="5" customFormat="1" ht="24.75" hidden="1" customHeight="1" outlineLevel="1" x14ac:dyDescent="0.25">
      <c r="A3345" s="42">
        <v>1147</v>
      </c>
      <c r="B3345" s="4" t="s">
        <v>18</v>
      </c>
      <c r="C3345" s="38" t="s">
        <v>561</v>
      </c>
      <c r="D3345" s="4">
        <v>2021</v>
      </c>
      <c r="E3345" s="4" t="s">
        <v>13</v>
      </c>
      <c r="F3345" s="4">
        <v>125</v>
      </c>
      <c r="G3345" s="4">
        <v>104</v>
      </c>
      <c r="H3345" s="4">
        <v>290</v>
      </c>
      <c r="I3345" s="201"/>
      <c r="J3345" s="201"/>
    </row>
    <row r="3346" spans="1:10" s="5" customFormat="1" ht="24.75" hidden="1" customHeight="1" outlineLevel="1" x14ac:dyDescent="0.25">
      <c r="A3346" s="41">
        <v>9651</v>
      </c>
      <c r="B3346" s="4" t="s">
        <v>18</v>
      </c>
      <c r="C3346" s="38" t="s">
        <v>562</v>
      </c>
      <c r="D3346" s="4">
        <v>2021</v>
      </c>
      <c r="E3346" s="4" t="s">
        <v>13</v>
      </c>
      <c r="F3346" s="4">
        <v>15</v>
      </c>
      <c r="G3346" s="4">
        <v>5</v>
      </c>
      <c r="H3346" s="4">
        <v>123</v>
      </c>
      <c r="I3346" s="201"/>
      <c r="J3346" s="201"/>
    </row>
    <row r="3347" spans="1:10" s="5" customFormat="1" ht="24.75" hidden="1" customHeight="1" outlineLevel="1" x14ac:dyDescent="0.25">
      <c r="A3347" s="41">
        <v>9454</v>
      </c>
      <c r="B3347" s="4" t="s">
        <v>18</v>
      </c>
      <c r="C3347" s="38" t="s">
        <v>741</v>
      </c>
      <c r="D3347" s="4">
        <v>2021</v>
      </c>
      <c r="E3347" s="4" t="s">
        <v>13</v>
      </c>
      <c r="F3347" s="4">
        <v>200</v>
      </c>
      <c r="G3347" s="4">
        <v>63</v>
      </c>
      <c r="H3347" s="4">
        <v>256</v>
      </c>
      <c r="I3347" s="201"/>
      <c r="J3347" s="201"/>
    </row>
    <row r="3348" spans="1:10" s="5" customFormat="1" ht="24.75" hidden="1" customHeight="1" outlineLevel="1" x14ac:dyDescent="0.25">
      <c r="A3348" s="41">
        <v>9632</v>
      </c>
      <c r="B3348" s="4" t="s">
        <v>18</v>
      </c>
      <c r="C3348" s="38" t="s">
        <v>742</v>
      </c>
      <c r="D3348" s="4">
        <v>2021</v>
      </c>
      <c r="E3348" s="4" t="s">
        <v>13</v>
      </c>
      <c r="F3348" s="4">
        <v>559</v>
      </c>
      <c r="G3348" s="4">
        <v>60</v>
      </c>
      <c r="H3348" s="4">
        <v>1720</v>
      </c>
      <c r="I3348" s="201"/>
      <c r="J3348" s="201"/>
    </row>
    <row r="3349" spans="1:10" s="5" customFormat="1" ht="24.75" hidden="1" customHeight="1" outlineLevel="1" x14ac:dyDescent="0.25">
      <c r="A3349" s="41">
        <v>9671</v>
      </c>
      <c r="B3349" s="4" t="s">
        <v>18</v>
      </c>
      <c r="C3349" s="38" t="s">
        <v>743</v>
      </c>
      <c r="D3349" s="4">
        <v>2021</v>
      </c>
      <c r="E3349" s="4" t="s">
        <v>13</v>
      </c>
      <c r="F3349" s="4">
        <v>30</v>
      </c>
      <c r="G3349" s="4">
        <v>150</v>
      </c>
      <c r="H3349" s="4">
        <v>36</v>
      </c>
      <c r="I3349" s="201"/>
      <c r="J3349" s="201"/>
    </row>
    <row r="3350" spans="1:10" s="5" customFormat="1" ht="24.75" hidden="1" customHeight="1" outlineLevel="1" x14ac:dyDescent="0.25">
      <c r="A3350" s="41">
        <v>9588</v>
      </c>
      <c r="B3350" s="4" t="s">
        <v>18</v>
      </c>
      <c r="C3350" s="38" t="s">
        <v>744</v>
      </c>
      <c r="D3350" s="4">
        <v>2021</v>
      </c>
      <c r="E3350" s="4" t="s">
        <v>13</v>
      </c>
      <c r="F3350" s="4">
        <v>7</v>
      </c>
      <c r="G3350" s="4">
        <v>30</v>
      </c>
      <c r="H3350" s="4">
        <v>98</v>
      </c>
      <c r="I3350" s="201"/>
      <c r="J3350" s="201"/>
    </row>
    <row r="3351" spans="1:10" s="5" customFormat="1" ht="24.75" hidden="1" customHeight="1" outlineLevel="1" x14ac:dyDescent="0.25">
      <c r="A3351" s="41">
        <v>9583</v>
      </c>
      <c r="B3351" s="4" t="s">
        <v>18</v>
      </c>
      <c r="C3351" s="38" t="s">
        <v>745</v>
      </c>
      <c r="D3351" s="4">
        <v>2021</v>
      </c>
      <c r="E3351" s="4" t="s">
        <v>13</v>
      </c>
      <c r="F3351" s="4">
        <v>20</v>
      </c>
      <c r="G3351" s="4">
        <v>150</v>
      </c>
      <c r="H3351" s="4">
        <v>45</v>
      </c>
      <c r="I3351" s="201"/>
      <c r="J3351" s="201"/>
    </row>
    <row r="3352" spans="1:10" s="5" customFormat="1" ht="24.75" hidden="1" customHeight="1" outlineLevel="1" x14ac:dyDescent="0.25">
      <c r="A3352" s="41">
        <v>9652</v>
      </c>
      <c r="B3352" s="4" t="s">
        <v>18</v>
      </c>
      <c r="C3352" s="38" t="s">
        <v>746</v>
      </c>
      <c r="D3352" s="4">
        <v>2021</v>
      </c>
      <c r="E3352" s="4" t="s">
        <v>13</v>
      </c>
      <c r="F3352" s="4">
        <v>40</v>
      </c>
      <c r="G3352" s="4">
        <v>145</v>
      </c>
      <c r="H3352" s="4">
        <v>76</v>
      </c>
      <c r="I3352" s="201"/>
      <c r="J3352" s="201"/>
    </row>
    <row r="3353" spans="1:10" s="5" customFormat="1" ht="24.75" hidden="1" customHeight="1" outlineLevel="1" x14ac:dyDescent="0.25">
      <c r="A3353" s="41">
        <v>9645</v>
      </c>
      <c r="B3353" s="4" t="s">
        <v>18</v>
      </c>
      <c r="C3353" s="38" t="s">
        <v>747</v>
      </c>
      <c r="D3353" s="4">
        <v>2021</v>
      </c>
      <c r="E3353" s="4" t="s">
        <v>13</v>
      </c>
      <c r="F3353" s="4">
        <v>60</v>
      </c>
      <c r="G3353" s="4">
        <v>150</v>
      </c>
      <c r="H3353" s="4">
        <v>104</v>
      </c>
      <c r="I3353" s="201"/>
      <c r="J3353" s="201"/>
    </row>
    <row r="3354" spans="1:10" s="5" customFormat="1" ht="24.75" hidden="1" customHeight="1" outlineLevel="1" x14ac:dyDescent="0.25">
      <c r="A3354" s="41">
        <v>9595</v>
      </c>
      <c r="B3354" s="4" t="s">
        <v>18</v>
      </c>
      <c r="C3354" s="38" t="s">
        <v>748</v>
      </c>
      <c r="D3354" s="4">
        <v>2021</v>
      </c>
      <c r="E3354" s="4" t="s">
        <v>13</v>
      </c>
      <c r="F3354" s="4">
        <v>527</v>
      </c>
      <c r="G3354" s="4">
        <v>285</v>
      </c>
      <c r="H3354" s="4">
        <v>1506</v>
      </c>
      <c r="I3354" s="201"/>
      <c r="J3354" s="201"/>
    </row>
    <row r="3355" spans="1:10" s="5" customFormat="1" ht="24.75" hidden="1" customHeight="1" outlineLevel="1" x14ac:dyDescent="0.25">
      <c r="A3355" s="41">
        <v>9672</v>
      </c>
      <c r="B3355" s="4" t="s">
        <v>18</v>
      </c>
      <c r="C3355" s="38" t="s">
        <v>749</v>
      </c>
      <c r="D3355" s="4">
        <v>2021</v>
      </c>
      <c r="E3355" s="4" t="s">
        <v>13</v>
      </c>
      <c r="F3355" s="4">
        <v>105</v>
      </c>
      <c r="G3355" s="4">
        <v>70</v>
      </c>
      <c r="H3355" s="4">
        <v>347</v>
      </c>
      <c r="I3355" s="201"/>
      <c r="J3355" s="201"/>
    </row>
    <row r="3356" spans="1:10" s="5" customFormat="1" ht="24.75" hidden="1" customHeight="1" outlineLevel="1" x14ac:dyDescent="0.25">
      <c r="A3356" s="41">
        <v>9611</v>
      </c>
      <c r="B3356" s="4" t="s">
        <v>18</v>
      </c>
      <c r="C3356" s="38" t="s">
        <v>751</v>
      </c>
      <c r="D3356" s="4">
        <v>2021</v>
      </c>
      <c r="E3356" s="4" t="s">
        <v>13</v>
      </c>
      <c r="F3356" s="4">
        <v>30</v>
      </c>
      <c r="G3356" s="4">
        <v>15</v>
      </c>
      <c r="H3356" s="4">
        <v>61</v>
      </c>
      <c r="I3356" s="201"/>
      <c r="J3356" s="201"/>
    </row>
    <row r="3357" spans="1:10" s="5" customFormat="1" ht="24.75" hidden="1" customHeight="1" outlineLevel="1" x14ac:dyDescent="0.25">
      <c r="A3357" s="41">
        <v>9604</v>
      </c>
      <c r="B3357" s="4" t="s">
        <v>18</v>
      </c>
      <c r="C3357" s="38" t="s">
        <v>752</v>
      </c>
      <c r="D3357" s="4">
        <v>2021</v>
      </c>
      <c r="E3357" s="4" t="s">
        <v>13</v>
      </c>
      <c r="F3357" s="4">
        <v>20</v>
      </c>
      <c r="G3357" s="4">
        <v>15</v>
      </c>
      <c r="H3357" s="4">
        <v>104</v>
      </c>
      <c r="I3357" s="201"/>
      <c r="J3357" s="201"/>
    </row>
    <row r="3358" spans="1:10" s="5" customFormat="1" ht="24.75" hidden="1" customHeight="1" outlineLevel="1" x14ac:dyDescent="0.25">
      <c r="A3358" s="41">
        <v>9666</v>
      </c>
      <c r="B3358" s="4" t="s">
        <v>18</v>
      </c>
      <c r="C3358" s="38" t="s">
        <v>753</v>
      </c>
      <c r="D3358" s="4">
        <v>2021</v>
      </c>
      <c r="E3358" s="4" t="s">
        <v>13</v>
      </c>
      <c r="F3358" s="4">
        <v>10</v>
      </c>
      <c r="G3358" s="4">
        <v>90</v>
      </c>
      <c r="H3358" s="4">
        <v>145</v>
      </c>
      <c r="I3358" s="201"/>
      <c r="J3358" s="201"/>
    </row>
    <row r="3359" spans="1:10" s="5" customFormat="1" ht="24.75" hidden="1" customHeight="1" outlineLevel="1" x14ac:dyDescent="0.25">
      <c r="A3359" s="41">
        <v>9771</v>
      </c>
      <c r="B3359" s="4" t="s">
        <v>18</v>
      </c>
      <c r="C3359" s="38" t="s">
        <v>754</v>
      </c>
      <c r="D3359" s="4">
        <v>2021</v>
      </c>
      <c r="E3359" s="4" t="s">
        <v>13</v>
      </c>
      <c r="F3359" s="4">
        <v>187</v>
      </c>
      <c r="G3359" s="4">
        <v>10</v>
      </c>
      <c r="H3359" s="4">
        <v>333.04962999999998</v>
      </c>
      <c r="I3359" s="201"/>
      <c r="J3359" s="201"/>
    </row>
    <row r="3360" spans="1:10" s="5" customFormat="1" ht="24.75" hidden="1" customHeight="1" outlineLevel="1" x14ac:dyDescent="0.25">
      <c r="A3360" s="41">
        <v>9523</v>
      </c>
      <c r="B3360" s="4" t="s">
        <v>18</v>
      </c>
      <c r="C3360" s="61" t="s">
        <v>755</v>
      </c>
      <c r="D3360" s="4">
        <v>2021</v>
      </c>
      <c r="E3360" s="4" t="s">
        <v>13</v>
      </c>
      <c r="F3360" s="4">
        <v>288</v>
      </c>
      <c r="G3360" s="4">
        <v>100</v>
      </c>
      <c r="H3360" s="4">
        <v>1359.52081</v>
      </c>
      <c r="I3360" s="201"/>
      <c r="J3360" s="201"/>
    </row>
    <row r="3361" spans="1:10" s="5" customFormat="1" ht="24.75" hidden="1" customHeight="1" outlineLevel="1" x14ac:dyDescent="0.25">
      <c r="A3361" s="41">
        <v>9624</v>
      </c>
      <c r="B3361" s="4" t="s">
        <v>18</v>
      </c>
      <c r="C3361" s="38" t="s">
        <v>756</v>
      </c>
      <c r="D3361" s="4">
        <v>2021</v>
      </c>
      <c r="E3361" s="4" t="s">
        <v>13</v>
      </c>
      <c r="F3361" s="4">
        <v>180</v>
      </c>
      <c r="G3361" s="4">
        <v>100</v>
      </c>
      <c r="H3361" s="4">
        <v>195.33134000000001</v>
      </c>
      <c r="I3361" s="201"/>
      <c r="J3361" s="201"/>
    </row>
    <row r="3362" spans="1:10" s="5" customFormat="1" ht="24.75" hidden="1" customHeight="1" outlineLevel="1" x14ac:dyDescent="0.25">
      <c r="A3362" s="41">
        <v>9846</v>
      </c>
      <c r="B3362" s="4" t="s">
        <v>18</v>
      </c>
      <c r="C3362" s="38" t="s">
        <v>757</v>
      </c>
      <c r="D3362" s="4">
        <v>2021</v>
      </c>
      <c r="E3362" s="4" t="s">
        <v>13</v>
      </c>
      <c r="F3362" s="4">
        <v>100</v>
      </c>
      <c r="G3362" s="4">
        <v>15</v>
      </c>
      <c r="H3362" s="4">
        <v>150.96399</v>
      </c>
      <c r="I3362" s="201"/>
      <c r="J3362" s="201"/>
    </row>
    <row r="3363" spans="1:10" s="5" customFormat="1" ht="24.75" hidden="1" customHeight="1" outlineLevel="1" x14ac:dyDescent="0.25">
      <c r="A3363" s="41">
        <v>9640</v>
      </c>
      <c r="B3363" s="4" t="s">
        <v>18</v>
      </c>
      <c r="C3363" s="61" t="s">
        <v>758</v>
      </c>
      <c r="D3363" s="4">
        <v>2021</v>
      </c>
      <c r="E3363" s="4" t="s">
        <v>13</v>
      </c>
      <c r="F3363" s="4">
        <v>50</v>
      </c>
      <c r="G3363" s="4">
        <v>15</v>
      </c>
      <c r="H3363" s="4">
        <v>520.84402</v>
      </c>
      <c r="I3363" s="201"/>
      <c r="J3363" s="201"/>
    </row>
    <row r="3364" spans="1:10" s="5" customFormat="1" ht="24.75" hidden="1" customHeight="1" outlineLevel="1" x14ac:dyDescent="0.25">
      <c r="A3364" s="41">
        <v>9631</v>
      </c>
      <c r="B3364" s="4" t="s">
        <v>18</v>
      </c>
      <c r="C3364" s="38" t="s">
        <v>760</v>
      </c>
      <c r="D3364" s="4">
        <v>2021</v>
      </c>
      <c r="E3364" s="4" t="s">
        <v>13</v>
      </c>
      <c r="F3364" s="4">
        <v>40</v>
      </c>
      <c r="G3364" s="4">
        <v>150</v>
      </c>
      <c r="H3364" s="4">
        <v>58.1873</v>
      </c>
      <c r="I3364" s="201"/>
      <c r="J3364" s="201"/>
    </row>
    <row r="3365" spans="1:10" s="5" customFormat="1" ht="24.75" hidden="1" customHeight="1" outlineLevel="1" x14ac:dyDescent="0.25">
      <c r="A3365" s="42">
        <v>3877</v>
      </c>
      <c r="B3365" s="4" t="s">
        <v>18</v>
      </c>
      <c r="C3365" s="38" t="s">
        <v>761</v>
      </c>
      <c r="D3365" s="4">
        <v>2021</v>
      </c>
      <c r="E3365" s="4" t="s">
        <v>13</v>
      </c>
      <c r="F3365" s="4">
        <v>9</v>
      </c>
      <c r="G3365" s="4">
        <v>50</v>
      </c>
      <c r="H3365" s="4">
        <v>49.842329999999997</v>
      </c>
      <c r="I3365" s="201"/>
      <c r="J3365" s="201"/>
    </row>
    <row r="3366" spans="1:10" s="5" customFormat="1" ht="24.75" hidden="1" customHeight="1" outlineLevel="1" x14ac:dyDescent="0.25">
      <c r="A3366" s="42">
        <v>764</v>
      </c>
      <c r="B3366" s="4" t="s">
        <v>18</v>
      </c>
      <c r="C3366" s="38" t="s">
        <v>762</v>
      </c>
      <c r="D3366" s="4">
        <v>2021</v>
      </c>
      <c r="E3366" s="4" t="s">
        <v>13</v>
      </c>
      <c r="F3366" s="4">
        <v>3</v>
      </c>
      <c r="G3366" s="4">
        <v>95</v>
      </c>
      <c r="H3366" s="4">
        <v>50.465499999999999</v>
      </c>
      <c r="I3366" s="201"/>
      <c r="J3366" s="201"/>
    </row>
    <row r="3367" spans="1:10" s="5" customFormat="1" ht="24.75" hidden="1" customHeight="1" outlineLevel="1" x14ac:dyDescent="0.25">
      <c r="A3367" s="42">
        <v>3881</v>
      </c>
      <c r="B3367" s="4" t="s">
        <v>18</v>
      </c>
      <c r="C3367" s="38" t="s">
        <v>590</v>
      </c>
      <c r="D3367" s="4">
        <v>2021</v>
      </c>
      <c r="E3367" s="4" t="s">
        <v>13</v>
      </c>
      <c r="F3367" s="4">
        <v>40</v>
      </c>
      <c r="G3367" s="4">
        <v>1.4</v>
      </c>
      <c r="H3367" s="4">
        <v>120.14547</v>
      </c>
      <c r="I3367" s="201"/>
      <c r="J3367" s="201"/>
    </row>
    <row r="3368" spans="1:10" s="5" customFormat="1" ht="24.75" hidden="1" customHeight="1" outlineLevel="1" x14ac:dyDescent="0.25">
      <c r="A3368" s="41">
        <v>9634</v>
      </c>
      <c r="B3368" s="4" t="s">
        <v>18</v>
      </c>
      <c r="C3368" s="38" t="s">
        <v>763</v>
      </c>
      <c r="D3368" s="4">
        <v>2021</v>
      </c>
      <c r="E3368" s="4" t="s">
        <v>13</v>
      </c>
      <c r="F3368" s="4">
        <v>45</v>
      </c>
      <c r="G3368" s="4">
        <v>15</v>
      </c>
      <c r="H3368" s="4">
        <v>179.17115000000001</v>
      </c>
      <c r="I3368" s="201"/>
      <c r="J3368" s="201"/>
    </row>
    <row r="3369" spans="1:10" s="5" customFormat="1" ht="24.75" hidden="1" customHeight="1" outlineLevel="1" x14ac:dyDescent="0.25">
      <c r="A3369" s="41">
        <v>9630</v>
      </c>
      <c r="B3369" s="4" t="s">
        <v>18</v>
      </c>
      <c r="C3369" s="38" t="s">
        <v>764</v>
      </c>
      <c r="D3369" s="4">
        <v>2021</v>
      </c>
      <c r="E3369" s="4" t="s">
        <v>13</v>
      </c>
      <c r="F3369" s="4">
        <v>120</v>
      </c>
      <c r="G3369" s="4">
        <v>100</v>
      </c>
      <c r="H3369" s="4">
        <v>156.59897000000001</v>
      </c>
      <c r="I3369" s="201"/>
      <c r="J3369" s="201"/>
    </row>
    <row r="3370" spans="1:10" s="5" customFormat="1" ht="24.75" hidden="1" customHeight="1" outlineLevel="1" x14ac:dyDescent="0.25">
      <c r="A3370" s="41">
        <v>9511</v>
      </c>
      <c r="B3370" s="4" t="s">
        <v>18</v>
      </c>
      <c r="C3370" s="38" t="s">
        <v>596</v>
      </c>
      <c r="D3370" s="4">
        <v>2021</v>
      </c>
      <c r="E3370" s="4" t="s">
        <v>13</v>
      </c>
      <c r="F3370" s="4">
        <v>48</v>
      </c>
      <c r="G3370" s="4">
        <v>15</v>
      </c>
      <c r="H3370" s="4">
        <v>149.62369000000001</v>
      </c>
      <c r="I3370" s="201"/>
      <c r="J3370" s="201"/>
    </row>
    <row r="3371" spans="1:10" s="5" customFormat="1" ht="24.75" hidden="1" customHeight="1" outlineLevel="1" x14ac:dyDescent="0.25">
      <c r="A3371" s="41">
        <v>9490</v>
      </c>
      <c r="B3371" s="4" t="s">
        <v>18</v>
      </c>
      <c r="C3371" s="38" t="s">
        <v>765</v>
      </c>
      <c r="D3371" s="4">
        <v>2021</v>
      </c>
      <c r="E3371" s="4" t="s">
        <v>13</v>
      </c>
      <c r="F3371" s="4">
        <v>26</v>
      </c>
      <c r="G3371" s="4">
        <v>150</v>
      </c>
      <c r="H3371" s="4">
        <v>129.94582</v>
      </c>
      <c r="I3371" s="201"/>
      <c r="J3371" s="201"/>
    </row>
    <row r="3372" spans="1:10" s="5" customFormat="1" ht="24.75" hidden="1" customHeight="1" outlineLevel="1" x14ac:dyDescent="0.25">
      <c r="A3372" s="42">
        <v>3880</v>
      </c>
      <c r="B3372" s="4" t="s">
        <v>18</v>
      </c>
      <c r="C3372" s="38" t="s">
        <v>766</v>
      </c>
      <c r="D3372" s="4">
        <v>2021</v>
      </c>
      <c r="E3372" s="4" t="s">
        <v>13</v>
      </c>
      <c r="F3372" s="4">
        <v>10</v>
      </c>
      <c r="G3372" s="4">
        <v>105</v>
      </c>
      <c r="H3372" s="4">
        <v>43.695369999999997</v>
      </c>
      <c r="I3372" s="201"/>
      <c r="J3372" s="201"/>
    </row>
    <row r="3373" spans="1:10" s="5" customFormat="1" ht="24.75" hidden="1" customHeight="1" outlineLevel="1" x14ac:dyDescent="0.25">
      <c r="A3373" s="41">
        <v>9487</v>
      </c>
      <c r="B3373" s="4" t="s">
        <v>18</v>
      </c>
      <c r="C3373" s="38" t="s">
        <v>767</v>
      </c>
      <c r="D3373" s="4">
        <v>2021</v>
      </c>
      <c r="E3373" s="4" t="s">
        <v>13</v>
      </c>
      <c r="F3373" s="4">
        <v>14</v>
      </c>
      <c r="G3373" s="4">
        <v>45</v>
      </c>
      <c r="H3373" s="4">
        <v>113.9406</v>
      </c>
      <c r="I3373" s="201"/>
      <c r="J3373" s="201"/>
    </row>
    <row r="3374" spans="1:10" s="5" customFormat="1" ht="24.75" hidden="1" customHeight="1" outlineLevel="1" x14ac:dyDescent="0.25">
      <c r="A3374" s="41">
        <v>9678</v>
      </c>
      <c r="B3374" s="4" t="s">
        <v>18</v>
      </c>
      <c r="C3374" s="38" t="s">
        <v>768</v>
      </c>
      <c r="D3374" s="4">
        <v>2021</v>
      </c>
      <c r="E3374" s="4" t="s">
        <v>13</v>
      </c>
      <c r="F3374" s="4">
        <v>15</v>
      </c>
      <c r="G3374" s="4">
        <v>46</v>
      </c>
      <c r="H3374" s="4">
        <v>220.95017000000001</v>
      </c>
      <c r="I3374" s="201"/>
      <c r="J3374" s="201"/>
    </row>
    <row r="3375" spans="1:10" s="5" customFormat="1" ht="24.75" hidden="1" customHeight="1" outlineLevel="1" x14ac:dyDescent="0.25">
      <c r="A3375" s="42">
        <v>728</v>
      </c>
      <c r="B3375" s="4" t="s">
        <v>18</v>
      </c>
      <c r="C3375" s="38" t="s">
        <v>769</v>
      </c>
      <c r="D3375" s="4">
        <v>2021</v>
      </c>
      <c r="E3375" s="4" t="s">
        <v>13</v>
      </c>
      <c r="F3375" s="4">
        <v>17</v>
      </c>
      <c r="G3375" s="4">
        <v>10</v>
      </c>
      <c r="H3375" s="4">
        <v>165.61770000000001</v>
      </c>
      <c r="I3375" s="201"/>
      <c r="J3375" s="201"/>
    </row>
    <row r="3376" spans="1:10" s="5" customFormat="1" ht="24.75" hidden="1" customHeight="1" outlineLevel="1" x14ac:dyDescent="0.25">
      <c r="A3376" s="42">
        <v>3879</v>
      </c>
      <c r="B3376" s="4" t="s">
        <v>18</v>
      </c>
      <c r="C3376" s="38" t="s">
        <v>603</v>
      </c>
      <c r="D3376" s="4">
        <v>2021</v>
      </c>
      <c r="E3376" s="4" t="s">
        <v>13</v>
      </c>
      <c r="F3376" s="4">
        <v>20</v>
      </c>
      <c r="G3376" s="4">
        <v>40</v>
      </c>
      <c r="H3376" s="4">
        <v>86.560329999999993</v>
      </c>
      <c r="I3376" s="201"/>
      <c r="J3376" s="201"/>
    </row>
    <row r="3377" spans="1:10" s="5" customFormat="1" ht="24.75" hidden="1" customHeight="1" outlineLevel="1" x14ac:dyDescent="0.25">
      <c r="A3377" s="41">
        <v>9494</v>
      </c>
      <c r="B3377" s="4" t="s">
        <v>18</v>
      </c>
      <c r="C3377" s="38" t="s">
        <v>608</v>
      </c>
      <c r="D3377" s="4">
        <v>2021</v>
      </c>
      <c r="E3377" s="4" t="s">
        <v>13</v>
      </c>
      <c r="F3377" s="4">
        <v>20</v>
      </c>
      <c r="G3377" s="4">
        <v>8</v>
      </c>
      <c r="H3377" s="4">
        <v>57.98189</v>
      </c>
      <c r="I3377" s="201"/>
      <c r="J3377" s="201"/>
    </row>
    <row r="3378" spans="1:10" s="5" customFormat="1" ht="24.75" hidden="1" customHeight="1" outlineLevel="1" x14ac:dyDescent="0.25">
      <c r="A3378" s="41">
        <v>9628</v>
      </c>
      <c r="B3378" s="4" t="s">
        <v>18</v>
      </c>
      <c r="C3378" s="61" t="s">
        <v>771</v>
      </c>
      <c r="D3378" s="4">
        <v>2021</v>
      </c>
      <c r="E3378" s="4" t="s">
        <v>13</v>
      </c>
      <c r="F3378" s="4">
        <v>30</v>
      </c>
      <c r="G3378" s="4">
        <v>100</v>
      </c>
      <c r="H3378" s="4">
        <v>39.177309999999999</v>
      </c>
      <c r="I3378" s="201"/>
      <c r="J3378" s="201"/>
    </row>
    <row r="3379" spans="1:10" s="5" customFormat="1" ht="24.75" hidden="1" customHeight="1" outlineLevel="1" x14ac:dyDescent="0.25">
      <c r="A3379" s="41">
        <v>9483</v>
      </c>
      <c r="B3379" s="4" t="s">
        <v>18</v>
      </c>
      <c r="C3379" s="38" t="s">
        <v>772</v>
      </c>
      <c r="D3379" s="4">
        <v>2021</v>
      </c>
      <c r="E3379" s="4" t="s">
        <v>13</v>
      </c>
      <c r="F3379" s="4">
        <v>90</v>
      </c>
      <c r="G3379" s="4">
        <v>15</v>
      </c>
      <c r="H3379" s="4">
        <v>125.02838</v>
      </c>
      <c r="I3379" s="201"/>
      <c r="J3379" s="201"/>
    </row>
    <row r="3380" spans="1:10" s="5" customFormat="1" ht="24.75" hidden="1" customHeight="1" outlineLevel="1" x14ac:dyDescent="0.25">
      <c r="A3380" s="41">
        <v>9623</v>
      </c>
      <c r="B3380" s="4" t="s">
        <v>18</v>
      </c>
      <c r="C3380" s="38" t="s">
        <v>773</v>
      </c>
      <c r="D3380" s="4">
        <v>2021</v>
      </c>
      <c r="E3380" s="4" t="s">
        <v>13</v>
      </c>
      <c r="F3380" s="4">
        <v>471</v>
      </c>
      <c r="G3380" s="4">
        <v>9.5</v>
      </c>
      <c r="H3380" s="4">
        <v>892.77390000000003</v>
      </c>
      <c r="I3380" s="201"/>
      <c r="J3380" s="201"/>
    </row>
    <row r="3381" spans="1:10" s="5" customFormat="1" ht="24.75" hidden="1" customHeight="1" outlineLevel="1" x14ac:dyDescent="0.25">
      <c r="A3381" s="42">
        <v>726</v>
      </c>
      <c r="B3381" s="4" t="s">
        <v>18</v>
      </c>
      <c r="C3381" s="38" t="s">
        <v>774</v>
      </c>
      <c r="D3381" s="4">
        <v>2021</v>
      </c>
      <c r="E3381" s="4" t="s">
        <v>13</v>
      </c>
      <c r="F3381" s="4">
        <v>20</v>
      </c>
      <c r="G3381" s="4">
        <v>15</v>
      </c>
      <c r="H3381" s="4">
        <v>93.115110000000001</v>
      </c>
      <c r="I3381" s="201"/>
      <c r="J3381" s="201"/>
    </row>
    <row r="3382" spans="1:10" s="5" customFormat="1" ht="24.75" hidden="1" customHeight="1" outlineLevel="1" x14ac:dyDescent="0.25">
      <c r="A3382" s="41">
        <v>9512</v>
      </c>
      <c r="B3382" s="4" t="s">
        <v>18</v>
      </c>
      <c r="C3382" s="38" t="s">
        <v>679</v>
      </c>
      <c r="D3382" s="4">
        <v>2021</v>
      </c>
      <c r="E3382" s="4" t="s">
        <v>13</v>
      </c>
      <c r="F3382" s="4">
        <v>531</v>
      </c>
      <c r="G3382" s="4">
        <v>15</v>
      </c>
      <c r="H3382" s="4">
        <v>1058.16212</v>
      </c>
      <c r="I3382" s="201"/>
      <c r="J3382" s="201"/>
    </row>
    <row r="3383" spans="1:10" s="5" customFormat="1" ht="24.75" hidden="1" customHeight="1" outlineLevel="1" x14ac:dyDescent="0.25">
      <c r="A3383" s="41">
        <v>9517</v>
      </c>
      <c r="B3383" s="4" t="s">
        <v>18</v>
      </c>
      <c r="C3383" s="38" t="s">
        <v>646</v>
      </c>
      <c r="D3383" s="4">
        <v>2021</v>
      </c>
      <c r="E3383" s="4" t="s">
        <v>13</v>
      </c>
      <c r="F3383" s="4">
        <v>117</v>
      </c>
      <c r="G3383" s="4">
        <v>105</v>
      </c>
      <c r="H3383" s="4">
        <v>301.22345000000001</v>
      </c>
      <c r="I3383" s="201"/>
      <c r="J3383" s="201"/>
    </row>
    <row r="3384" spans="1:10" s="5" customFormat="1" ht="24.75" hidden="1" customHeight="1" outlineLevel="1" x14ac:dyDescent="0.25">
      <c r="A3384" s="41">
        <v>9627</v>
      </c>
      <c r="B3384" s="4" t="s">
        <v>18</v>
      </c>
      <c r="C3384" s="38" t="s">
        <v>653</v>
      </c>
      <c r="D3384" s="4">
        <v>2021</v>
      </c>
      <c r="E3384" s="4" t="s">
        <v>13</v>
      </c>
      <c r="F3384" s="4">
        <v>150</v>
      </c>
      <c r="G3384" s="4">
        <v>150</v>
      </c>
      <c r="H3384" s="4">
        <v>302.98597000000001</v>
      </c>
      <c r="I3384" s="201"/>
      <c r="J3384" s="201"/>
    </row>
    <row r="3385" spans="1:10" s="5" customFormat="1" ht="24.75" hidden="1" customHeight="1" outlineLevel="1" x14ac:dyDescent="0.25">
      <c r="A3385" s="41">
        <v>9619</v>
      </c>
      <c r="B3385" s="4" t="s">
        <v>18</v>
      </c>
      <c r="C3385" s="38" t="s">
        <v>777</v>
      </c>
      <c r="D3385" s="4">
        <v>2021</v>
      </c>
      <c r="E3385" s="4" t="s">
        <v>13</v>
      </c>
      <c r="F3385" s="4">
        <v>11</v>
      </c>
      <c r="G3385" s="4">
        <v>150</v>
      </c>
      <c r="H3385" s="4">
        <v>106.3329</v>
      </c>
      <c r="I3385" s="201"/>
      <c r="J3385" s="201"/>
    </row>
    <row r="3386" spans="1:10" s="5" customFormat="1" ht="24.75" hidden="1" customHeight="1" outlineLevel="1" x14ac:dyDescent="0.25">
      <c r="A3386" s="41">
        <v>9484</v>
      </c>
      <c r="B3386" s="4" t="s">
        <v>18</v>
      </c>
      <c r="C3386" s="38" t="s">
        <v>661</v>
      </c>
      <c r="D3386" s="4">
        <v>2021</v>
      </c>
      <c r="E3386" s="4" t="s">
        <v>13</v>
      </c>
      <c r="F3386" s="4">
        <v>115</v>
      </c>
      <c r="G3386" s="4">
        <v>15</v>
      </c>
      <c r="H3386" s="4">
        <v>252.42639</v>
      </c>
      <c r="I3386" s="201"/>
      <c r="J3386" s="201"/>
    </row>
    <row r="3387" spans="1:10" s="5" customFormat="1" ht="24.75" hidden="1" customHeight="1" outlineLevel="1" x14ac:dyDescent="0.25">
      <c r="A3387" s="41">
        <v>9518</v>
      </c>
      <c r="B3387" s="4" t="s">
        <v>18</v>
      </c>
      <c r="C3387" s="61" t="s">
        <v>778</v>
      </c>
      <c r="D3387" s="4">
        <v>2021</v>
      </c>
      <c r="E3387" s="4" t="s">
        <v>13</v>
      </c>
      <c r="F3387" s="4">
        <v>30</v>
      </c>
      <c r="G3387" s="4">
        <v>150</v>
      </c>
      <c r="H3387" s="4">
        <v>160.11350999999999</v>
      </c>
      <c r="I3387" s="201"/>
      <c r="J3387" s="201"/>
    </row>
    <row r="3388" spans="1:10" s="5" customFormat="1" ht="24.75" hidden="1" customHeight="1" outlineLevel="1" x14ac:dyDescent="0.25">
      <c r="A3388" s="42">
        <v>3882</v>
      </c>
      <c r="B3388" s="4" t="s">
        <v>18</v>
      </c>
      <c r="C3388" s="38" t="s">
        <v>779</v>
      </c>
      <c r="D3388" s="4">
        <v>2021</v>
      </c>
      <c r="E3388" s="4" t="s">
        <v>13</v>
      </c>
      <c r="F3388" s="4">
        <v>103</v>
      </c>
      <c r="G3388" s="4">
        <v>45</v>
      </c>
      <c r="H3388" s="4">
        <v>232.56639999999999</v>
      </c>
      <c r="I3388" s="201"/>
      <c r="J3388" s="201"/>
    </row>
    <row r="3389" spans="1:10" s="5" customFormat="1" ht="24.75" hidden="1" customHeight="1" outlineLevel="1" x14ac:dyDescent="0.25">
      <c r="A3389" s="42">
        <v>3740</v>
      </c>
      <c r="B3389" s="4" t="s">
        <v>18</v>
      </c>
      <c r="C3389" s="38" t="s">
        <v>780</v>
      </c>
      <c r="D3389" s="4">
        <v>2021</v>
      </c>
      <c r="E3389" s="4" t="s">
        <v>13</v>
      </c>
      <c r="F3389" s="4">
        <v>10</v>
      </c>
      <c r="G3389" s="4">
        <v>99</v>
      </c>
      <c r="H3389" s="4">
        <v>79.018289999999993</v>
      </c>
      <c r="I3389" s="201"/>
      <c r="J3389" s="201"/>
    </row>
    <row r="3390" spans="1:10" s="5" customFormat="1" ht="24.75" hidden="1" customHeight="1" outlineLevel="1" x14ac:dyDescent="0.25">
      <c r="A3390" s="41">
        <v>9447</v>
      </c>
      <c r="B3390" s="4" t="s">
        <v>18</v>
      </c>
      <c r="C3390" s="38" t="s">
        <v>676</v>
      </c>
      <c r="D3390" s="4">
        <v>2021</v>
      </c>
      <c r="E3390" s="4" t="s">
        <v>13</v>
      </c>
      <c r="F3390" s="4">
        <v>30</v>
      </c>
      <c r="G3390" s="4">
        <v>10</v>
      </c>
      <c r="H3390" s="4">
        <v>102.55503</v>
      </c>
      <c r="I3390" s="201"/>
      <c r="J3390" s="201"/>
    </row>
    <row r="3391" spans="1:10" s="5" customFormat="1" ht="24.75" hidden="1" customHeight="1" outlineLevel="1" x14ac:dyDescent="0.25">
      <c r="A3391" s="41">
        <v>9456</v>
      </c>
      <c r="B3391" s="4" t="s">
        <v>18</v>
      </c>
      <c r="C3391" s="38" t="s">
        <v>678</v>
      </c>
      <c r="D3391" s="4">
        <v>2021</v>
      </c>
      <c r="E3391" s="4" t="s">
        <v>13</v>
      </c>
      <c r="F3391" s="4">
        <v>15</v>
      </c>
      <c r="G3391" s="4">
        <v>15</v>
      </c>
      <c r="H3391" s="4">
        <v>34.720910000000003</v>
      </c>
      <c r="I3391" s="201"/>
      <c r="J3391" s="201"/>
    </row>
    <row r="3392" spans="1:10" s="5" customFormat="1" ht="24.75" hidden="1" customHeight="1" outlineLevel="1" x14ac:dyDescent="0.25">
      <c r="A3392" s="41">
        <v>9089</v>
      </c>
      <c r="B3392" s="4" t="s">
        <v>18</v>
      </c>
      <c r="C3392" s="38" t="s">
        <v>781</v>
      </c>
      <c r="D3392" s="4">
        <v>2021</v>
      </c>
      <c r="E3392" s="4" t="s">
        <v>13</v>
      </c>
      <c r="F3392" s="4">
        <v>3</v>
      </c>
      <c r="G3392" s="4">
        <v>15</v>
      </c>
      <c r="H3392" s="4">
        <v>223.79179999999999</v>
      </c>
      <c r="I3392" s="201"/>
      <c r="J3392" s="201"/>
    </row>
    <row r="3393" spans="1:10" s="5" customFormat="1" ht="24.75" hidden="1" customHeight="1" outlineLevel="1" x14ac:dyDescent="0.25">
      <c r="A3393" s="41">
        <v>9488</v>
      </c>
      <c r="B3393" s="4" t="s">
        <v>18</v>
      </c>
      <c r="C3393" s="38" t="s">
        <v>782</v>
      </c>
      <c r="D3393" s="4">
        <v>2021</v>
      </c>
      <c r="E3393" s="4" t="s">
        <v>13</v>
      </c>
      <c r="F3393" s="4">
        <v>32</v>
      </c>
      <c r="G3393" s="4">
        <v>150</v>
      </c>
      <c r="H3393" s="4">
        <v>237.22846999999999</v>
      </c>
      <c r="I3393" s="201"/>
      <c r="J3393" s="201"/>
    </row>
    <row r="3394" spans="1:10" s="5" customFormat="1" ht="24.75" hidden="1" customHeight="1" outlineLevel="1" x14ac:dyDescent="0.25">
      <c r="A3394" s="42">
        <v>663</v>
      </c>
      <c r="B3394" s="4" t="s">
        <v>18</v>
      </c>
      <c r="C3394" s="38" t="s">
        <v>783</v>
      </c>
      <c r="D3394" s="4">
        <v>2021</v>
      </c>
      <c r="E3394" s="4" t="s">
        <v>13</v>
      </c>
      <c r="F3394" s="4">
        <v>70</v>
      </c>
      <c r="G3394" s="4">
        <v>15</v>
      </c>
      <c r="H3394" s="4">
        <v>75.659509999999997</v>
      </c>
      <c r="I3394" s="201"/>
      <c r="J3394" s="201"/>
    </row>
    <row r="3395" spans="1:10" s="5" customFormat="1" ht="24.75" hidden="1" customHeight="1" outlineLevel="1" x14ac:dyDescent="0.25">
      <c r="A3395" s="41">
        <v>9873</v>
      </c>
      <c r="B3395" s="4" t="s">
        <v>18</v>
      </c>
      <c r="C3395" s="38" t="s">
        <v>684</v>
      </c>
      <c r="D3395" s="4">
        <v>2021</v>
      </c>
      <c r="E3395" s="4" t="s">
        <v>13</v>
      </c>
      <c r="F3395" s="4">
        <v>287</v>
      </c>
      <c r="G3395" s="4">
        <v>10</v>
      </c>
      <c r="H3395" s="4">
        <v>424.85665999999998</v>
      </c>
      <c r="I3395" s="201"/>
      <c r="J3395" s="201"/>
    </row>
    <row r="3396" spans="1:10" s="5" customFormat="1" ht="24.75" hidden="1" customHeight="1" outlineLevel="1" x14ac:dyDescent="0.25">
      <c r="A3396" s="41">
        <v>9532</v>
      </c>
      <c r="B3396" s="4" t="s">
        <v>18</v>
      </c>
      <c r="C3396" s="38" t="s">
        <v>784</v>
      </c>
      <c r="D3396" s="4">
        <v>2021</v>
      </c>
      <c r="E3396" s="4" t="s">
        <v>13</v>
      </c>
      <c r="F3396" s="4">
        <v>406</v>
      </c>
      <c r="G3396" s="4">
        <v>15</v>
      </c>
      <c r="H3396" s="4">
        <v>711.58798999999999</v>
      </c>
      <c r="I3396" s="201"/>
      <c r="J3396" s="201"/>
    </row>
    <row r="3397" spans="1:10" s="5" customFormat="1" ht="24.75" hidden="1" customHeight="1" outlineLevel="1" x14ac:dyDescent="0.25">
      <c r="A3397" s="41">
        <v>9616</v>
      </c>
      <c r="B3397" s="4" t="s">
        <v>18</v>
      </c>
      <c r="C3397" s="38" t="s">
        <v>785</v>
      </c>
      <c r="D3397" s="4">
        <v>2021</v>
      </c>
      <c r="E3397" s="4" t="s">
        <v>13</v>
      </c>
      <c r="F3397" s="4">
        <v>145</v>
      </c>
      <c r="G3397" s="4">
        <v>150</v>
      </c>
      <c r="H3397" s="4">
        <v>683.33082999999999</v>
      </c>
      <c r="I3397" s="201"/>
      <c r="J3397" s="201"/>
    </row>
    <row r="3398" spans="1:10" s="5" customFormat="1" ht="24.75" hidden="1" customHeight="1" outlineLevel="1" x14ac:dyDescent="0.25">
      <c r="A3398" s="41">
        <v>9446</v>
      </c>
      <c r="B3398" s="4" t="s">
        <v>18</v>
      </c>
      <c r="C3398" s="38" t="s">
        <v>786</v>
      </c>
      <c r="D3398" s="4">
        <v>2021</v>
      </c>
      <c r="E3398" s="4" t="s">
        <v>13</v>
      </c>
      <c r="F3398" s="4">
        <v>40</v>
      </c>
      <c r="G3398" s="4">
        <v>150</v>
      </c>
      <c r="H3398" s="4">
        <v>87.893780000000007</v>
      </c>
      <c r="I3398" s="201"/>
      <c r="J3398" s="201"/>
    </row>
    <row r="3399" spans="1:10" s="5" customFormat="1" ht="24.75" hidden="1" customHeight="1" outlineLevel="1" x14ac:dyDescent="0.25">
      <c r="A3399" s="41">
        <v>9491</v>
      </c>
      <c r="B3399" s="4" t="s">
        <v>18</v>
      </c>
      <c r="C3399" s="38" t="s">
        <v>687</v>
      </c>
      <c r="D3399" s="4">
        <v>2021</v>
      </c>
      <c r="E3399" s="4" t="s">
        <v>13</v>
      </c>
      <c r="F3399" s="4">
        <v>321</v>
      </c>
      <c r="G3399" s="4">
        <v>10</v>
      </c>
      <c r="H3399" s="4">
        <v>580.43293000000006</v>
      </c>
      <c r="I3399" s="201"/>
      <c r="J3399" s="201"/>
    </row>
    <row r="3400" spans="1:10" s="5" customFormat="1" ht="24.75" hidden="1" customHeight="1" outlineLevel="1" x14ac:dyDescent="0.25">
      <c r="A3400" s="42">
        <v>722</v>
      </c>
      <c r="B3400" s="4" t="s">
        <v>18</v>
      </c>
      <c r="C3400" s="38" t="s">
        <v>688</v>
      </c>
      <c r="D3400" s="4">
        <v>2021</v>
      </c>
      <c r="E3400" s="4" t="s">
        <v>13</v>
      </c>
      <c r="F3400" s="4">
        <v>60</v>
      </c>
      <c r="G3400" s="4">
        <v>15</v>
      </c>
      <c r="H3400" s="4">
        <v>189.66792000000001</v>
      </c>
      <c r="I3400" s="201"/>
      <c r="J3400" s="201"/>
    </row>
    <row r="3401" spans="1:10" s="5" customFormat="1" ht="24.75" hidden="1" customHeight="1" outlineLevel="1" x14ac:dyDescent="0.25">
      <c r="A3401" s="41">
        <v>9448</v>
      </c>
      <c r="B3401" s="4" t="s">
        <v>18</v>
      </c>
      <c r="C3401" s="38" t="s">
        <v>696</v>
      </c>
      <c r="D3401" s="4">
        <v>2021</v>
      </c>
      <c r="E3401" s="4" t="s">
        <v>13</v>
      </c>
      <c r="F3401" s="4">
        <v>791</v>
      </c>
      <c r="G3401" s="4">
        <v>15</v>
      </c>
      <c r="H3401" s="4">
        <v>949.38739999999996</v>
      </c>
      <c r="I3401" s="201"/>
      <c r="J3401" s="201"/>
    </row>
    <row r="3402" spans="1:10" s="5" customFormat="1" ht="24" hidden="1" customHeight="1" outlineLevel="1" x14ac:dyDescent="0.25">
      <c r="A3402" s="42">
        <v>963</v>
      </c>
      <c r="B3402" s="4" t="s">
        <v>18</v>
      </c>
      <c r="C3402" s="38" t="s">
        <v>787</v>
      </c>
      <c r="D3402" s="4">
        <v>2021</v>
      </c>
      <c r="E3402" s="4" t="s">
        <v>13</v>
      </c>
      <c r="F3402" s="4">
        <v>840</v>
      </c>
      <c r="G3402" s="4">
        <v>45</v>
      </c>
      <c r="H3402" s="4">
        <v>1205.95038</v>
      </c>
      <c r="I3402" s="201"/>
      <c r="J3402" s="201"/>
    </row>
    <row r="3403" spans="1:10" s="5" customFormat="1" ht="24" hidden="1" customHeight="1" outlineLevel="1" x14ac:dyDescent="0.25">
      <c r="A3403" s="4">
        <v>4815</v>
      </c>
      <c r="B3403" s="4" t="s">
        <v>18</v>
      </c>
      <c r="C3403" s="38" t="s">
        <v>9326</v>
      </c>
      <c r="D3403" s="4">
        <v>2023</v>
      </c>
      <c r="E3403" s="4" t="s">
        <v>13</v>
      </c>
      <c r="F3403" s="4">
        <v>600</v>
      </c>
      <c r="G3403" s="41">
        <v>130</v>
      </c>
      <c r="H3403" s="41">
        <v>964.02599999999995</v>
      </c>
      <c r="I3403" s="221"/>
      <c r="J3403" s="221"/>
    </row>
    <row r="3404" spans="1:10" s="5" customFormat="1" ht="24" hidden="1" customHeight="1" outlineLevel="1" x14ac:dyDescent="0.25">
      <c r="A3404" s="4">
        <v>3178</v>
      </c>
      <c r="B3404" s="4" t="s">
        <v>18</v>
      </c>
      <c r="C3404" s="38" t="s">
        <v>8396</v>
      </c>
      <c r="D3404" s="4">
        <v>2023</v>
      </c>
      <c r="E3404" s="4" t="s">
        <v>13</v>
      </c>
      <c r="F3404" s="4">
        <v>470</v>
      </c>
      <c r="G3404" s="41">
        <v>10</v>
      </c>
      <c r="H3404" s="41">
        <v>744.221</v>
      </c>
      <c r="I3404" s="221"/>
      <c r="J3404" s="221"/>
    </row>
    <row r="3405" spans="1:10" s="5" customFormat="1" ht="24" hidden="1" customHeight="1" outlineLevel="1" x14ac:dyDescent="0.25">
      <c r="A3405" s="4">
        <v>3061</v>
      </c>
      <c r="B3405" s="4" t="s">
        <v>18</v>
      </c>
      <c r="C3405" s="38" t="s">
        <v>13629</v>
      </c>
      <c r="D3405" s="4">
        <v>2023</v>
      </c>
      <c r="E3405" s="4" t="s">
        <v>13</v>
      </c>
      <c r="F3405" s="4">
        <v>427</v>
      </c>
      <c r="G3405" s="41">
        <v>80</v>
      </c>
      <c r="H3405" s="41">
        <v>880.74200000000008</v>
      </c>
      <c r="I3405" s="221"/>
      <c r="J3405" s="221"/>
    </row>
    <row r="3406" spans="1:10" s="5" customFormat="1" ht="24" hidden="1" customHeight="1" outlineLevel="1" x14ac:dyDescent="0.25">
      <c r="A3406" s="4">
        <v>3158</v>
      </c>
      <c r="B3406" s="4" t="s">
        <v>18</v>
      </c>
      <c r="C3406" s="38" t="s">
        <v>9129</v>
      </c>
      <c r="D3406" s="4">
        <v>2023</v>
      </c>
      <c r="E3406" s="4" t="s">
        <v>13</v>
      </c>
      <c r="F3406" s="4">
        <v>10</v>
      </c>
      <c r="G3406" s="41">
        <v>150</v>
      </c>
      <c r="H3406" s="41">
        <v>86.662000000000006</v>
      </c>
      <c r="I3406" s="221"/>
      <c r="J3406" s="221"/>
    </row>
    <row r="3407" spans="1:10" s="5" customFormat="1" ht="18.75" hidden="1" customHeight="1" outlineLevel="1" x14ac:dyDescent="0.25">
      <c r="A3407" s="4"/>
      <c r="B3407" s="4"/>
      <c r="C3407" s="38"/>
      <c r="D3407" s="4"/>
      <c r="E3407" s="4"/>
      <c r="F3407" s="4"/>
      <c r="G3407" s="4"/>
      <c r="H3407" s="4"/>
      <c r="I3407" s="201"/>
      <c r="J3407" s="201"/>
    </row>
    <row r="3408" spans="1:10" s="5" customFormat="1" ht="15.75" collapsed="1" x14ac:dyDescent="0.25">
      <c r="A3408" s="4"/>
      <c r="B3408" s="321" t="s">
        <v>19</v>
      </c>
      <c r="C3408" s="329" t="s">
        <v>2094</v>
      </c>
      <c r="D3408" s="329"/>
      <c r="E3408" s="321" t="s">
        <v>12</v>
      </c>
      <c r="F3408" s="321"/>
      <c r="G3408" s="321"/>
      <c r="H3408" s="321"/>
      <c r="I3408" s="214"/>
      <c r="J3408" s="214"/>
    </row>
    <row r="3409" spans="1:36" s="5" customFormat="1" ht="18.75" customHeight="1" x14ac:dyDescent="0.25">
      <c r="A3409" s="4"/>
      <c r="B3409" s="322"/>
      <c r="C3409" s="350"/>
      <c r="D3409" s="350"/>
      <c r="E3409" s="322"/>
      <c r="F3409" s="322"/>
      <c r="G3409" s="322"/>
      <c r="H3409" s="322"/>
      <c r="I3409" s="215"/>
      <c r="J3409" s="215"/>
    </row>
    <row r="3410" spans="1:36" s="5" customFormat="1" ht="14.25" customHeight="1" x14ac:dyDescent="0.25">
      <c r="A3410" s="4"/>
      <c r="B3410" s="322"/>
      <c r="C3410" s="350"/>
      <c r="D3410" s="350"/>
      <c r="E3410" s="322" t="s">
        <v>12</v>
      </c>
      <c r="F3410" s="322"/>
      <c r="G3410" s="322"/>
      <c r="H3410" s="322"/>
      <c r="I3410" s="215"/>
      <c r="J3410" s="215"/>
    </row>
    <row r="3411" spans="1:36" s="5" customFormat="1" ht="18.75" hidden="1" customHeight="1" x14ac:dyDescent="0.25">
      <c r="A3411" s="4"/>
      <c r="B3411" s="323"/>
      <c r="C3411" s="351"/>
      <c r="D3411" s="351"/>
      <c r="E3411" s="323"/>
      <c r="F3411" s="323"/>
      <c r="G3411" s="323"/>
      <c r="H3411" s="323"/>
      <c r="I3411" s="215"/>
      <c r="J3411" s="215"/>
    </row>
    <row r="3412" spans="1:36" s="5" customFormat="1" ht="18" customHeight="1" x14ac:dyDescent="0.25">
      <c r="A3412" s="4"/>
      <c r="B3412" s="7" t="s">
        <v>19</v>
      </c>
      <c r="C3412" s="8" t="s">
        <v>57</v>
      </c>
      <c r="D3412" s="7">
        <v>2021</v>
      </c>
      <c r="E3412" s="7" t="s">
        <v>12</v>
      </c>
      <c r="F3412" s="7">
        <f>SUMIF($D$3415:$D$3638,$D$3412,$F$3415:$F$3638)</f>
        <v>48210</v>
      </c>
      <c r="G3412" s="10">
        <f>SUMIF($D$3415:$D$3638,$D$3412,$G$3415:$G$3638)</f>
        <v>10278.85</v>
      </c>
      <c r="H3412" s="10">
        <f>SUMIF($D$3415:$D$3638,$D$3412,$H$3415:$H$3638)</f>
        <v>72976.646380000006</v>
      </c>
    </row>
    <row r="3413" spans="1:36" s="26" customFormat="1" ht="16.5" customHeight="1" x14ac:dyDescent="0.25">
      <c r="A3413" s="4"/>
      <c r="B3413" s="7" t="s">
        <v>19</v>
      </c>
      <c r="C3413" s="8" t="s">
        <v>57</v>
      </c>
      <c r="D3413" s="7">
        <v>2022</v>
      </c>
      <c r="E3413" s="7" t="s">
        <v>12</v>
      </c>
      <c r="F3413" s="7">
        <f>SUMIF($D$3415:$D$3638,$D$3413,$F$3415:$F$3638)</f>
        <v>6455</v>
      </c>
      <c r="G3413" s="10">
        <f>SUMIF($D$3415:$D$3638,$D$3413,$G$3415:$G$3638)</f>
        <v>2594.3000000000002</v>
      </c>
      <c r="H3413" s="10">
        <f>SUMIF($D$3415:$D$3638,$D$3413,$H$3415:$H$3638)</f>
        <v>11501.40957</v>
      </c>
      <c r="I3413" s="205"/>
      <c r="J3413" s="205"/>
      <c r="K3413" s="5"/>
      <c r="L3413" s="5"/>
      <c r="M3413" s="5"/>
      <c r="N3413" s="5"/>
      <c r="O3413" s="5"/>
      <c r="P3413" s="5"/>
      <c r="Q3413" s="5"/>
      <c r="R3413" s="5"/>
      <c r="S3413" s="5"/>
      <c r="T3413" s="5"/>
      <c r="U3413" s="5"/>
      <c r="V3413" s="5"/>
      <c r="W3413" s="5"/>
      <c r="X3413" s="5"/>
      <c r="Y3413" s="5"/>
      <c r="Z3413" s="5"/>
      <c r="AA3413" s="5"/>
      <c r="AB3413" s="5"/>
      <c r="AC3413" s="5"/>
      <c r="AD3413" s="5"/>
      <c r="AE3413" s="5"/>
      <c r="AF3413" s="5"/>
      <c r="AG3413" s="5"/>
      <c r="AH3413" s="5"/>
      <c r="AI3413" s="5"/>
      <c r="AJ3413" s="5"/>
    </row>
    <row r="3414" spans="1:36" s="26" customFormat="1" ht="17.25" customHeight="1" x14ac:dyDescent="0.25">
      <c r="A3414" s="4"/>
      <c r="B3414" s="7" t="s">
        <v>19</v>
      </c>
      <c r="C3414" s="8" t="s">
        <v>57</v>
      </c>
      <c r="D3414" s="7">
        <v>2023</v>
      </c>
      <c r="E3414" s="7" t="s">
        <v>12</v>
      </c>
      <c r="F3414" s="7">
        <f>SUMIF($D$3415:$D$3638,$D$3414,$F$3415:$F$3638)</f>
        <v>2818</v>
      </c>
      <c r="G3414" s="10">
        <f>SUMIF($D$3415:$D$3638,$D$3414,$G$3415:$G$3638)</f>
        <v>7228.7</v>
      </c>
      <c r="H3414" s="10">
        <f>SUMIF($D$3415:$D$3638,$D$3414,$H$3415:$H$3638)</f>
        <v>8395.8774700000013</v>
      </c>
      <c r="I3414" s="205"/>
      <c r="J3414" s="205"/>
      <c r="K3414" s="5"/>
      <c r="L3414" s="5"/>
      <c r="M3414" s="5"/>
      <c r="N3414" s="5"/>
      <c r="O3414" s="5"/>
      <c r="P3414" s="5"/>
      <c r="Q3414" s="5"/>
      <c r="R3414" s="5"/>
      <c r="S3414" s="5"/>
      <c r="T3414" s="5"/>
      <c r="U3414" s="5"/>
      <c r="V3414" s="5"/>
      <c r="W3414" s="5"/>
      <c r="X3414" s="5"/>
      <c r="Y3414" s="5"/>
      <c r="Z3414" s="5"/>
      <c r="AA3414" s="5"/>
      <c r="AB3414" s="5"/>
      <c r="AC3414" s="5"/>
      <c r="AD3414" s="5"/>
      <c r="AE3414" s="5"/>
      <c r="AF3414" s="5"/>
      <c r="AG3414" s="5"/>
      <c r="AH3414" s="5"/>
      <c r="AI3414" s="5"/>
      <c r="AJ3414" s="5"/>
    </row>
    <row r="3415" spans="1:36" s="5" customFormat="1" ht="18.75" hidden="1" customHeight="1" outlineLevel="1" x14ac:dyDescent="0.25">
      <c r="A3415" s="4">
        <v>4792</v>
      </c>
      <c r="B3415" s="4" t="s">
        <v>19</v>
      </c>
      <c r="C3415" s="38" t="s">
        <v>2842</v>
      </c>
      <c r="D3415" s="4">
        <v>2022</v>
      </c>
      <c r="E3415" s="4" t="s">
        <v>12</v>
      </c>
      <c r="F3415" s="4">
        <v>211</v>
      </c>
      <c r="G3415" s="115">
        <v>30.3</v>
      </c>
      <c r="H3415" s="41">
        <v>590</v>
      </c>
      <c r="I3415" s="221"/>
      <c r="J3415" s="221"/>
    </row>
    <row r="3416" spans="1:36" s="5" customFormat="1" ht="18.75" hidden="1" customHeight="1" outlineLevel="1" x14ac:dyDescent="0.25">
      <c r="A3416" s="4">
        <v>4798</v>
      </c>
      <c r="B3416" s="4" t="s">
        <v>19</v>
      </c>
      <c r="C3416" s="38" t="s">
        <v>3099</v>
      </c>
      <c r="D3416" s="4">
        <v>2022</v>
      </c>
      <c r="E3416" s="4" t="s">
        <v>12</v>
      </c>
      <c r="F3416" s="4">
        <v>377</v>
      </c>
      <c r="G3416" s="115">
        <v>15</v>
      </c>
      <c r="H3416" s="41">
        <v>604</v>
      </c>
      <c r="I3416" s="221"/>
      <c r="J3416" s="221"/>
    </row>
    <row r="3417" spans="1:36" s="5" customFormat="1" ht="18.75" hidden="1" customHeight="1" outlineLevel="1" x14ac:dyDescent="0.25">
      <c r="A3417" s="4">
        <v>4796</v>
      </c>
      <c r="B3417" s="4" t="s">
        <v>19</v>
      </c>
      <c r="C3417" s="38" t="s">
        <v>3100</v>
      </c>
      <c r="D3417" s="4">
        <v>2022</v>
      </c>
      <c r="E3417" s="4" t="s">
        <v>12</v>
      </c>
      <c r="F3417" s="4">
        <v>138</v>
      </c>
      <c r="G3417" s="115">
        <v>12</v>
      </c>
      <c r="H3417" s="41">
        <v>275</v>
      </c>
      <c r="I3417" s="221"/>
      <c r="J3417" s="221"/>
    </row>
    <row r="3418" spans="1:36" s="5" customFormat="1" ht="18.75" hidden="1" customHeight="1" outlineLevel="1" x14ac:dyDescent="0.25">
      <c r="A3418" s="4">
        <v>4878</v>
      </c>
      <c r="B3418" s="4" t="s">
        <v>19</v>
      </c>
      <c r="C3418" s="38" t="s">
        <v>2852</v>
      </c>
      <c r="D3418" s="4">
        <v>2022</v>
      </c>
      <c r="E3418" s="4" t="s">
        <v>12</v>
      </c>
      <c r="F3418" s="4">
        <v>161</v>
      </c>
      <c r="G3418" s="115">
        <v>90</v>
      </c>
      <c r="H3418" s="41">
        <v>440</v>
      </c>
      <c r="I3418" s="221"/>
      <c r="J3418" s="221"/>
    </row>
    <row r="3419" spans="1:36" s="5" customFormat="1" ht="18.75" hidden="1" customHeight="1" outlineLevel="1" x14ac:dyDescent="0.25">
      <c r="A3419" s="4">
        <v>4832</v>
      </c>
      <c r="B3419" s="4" t="s">
        <v>19</v>
      </c>
      <c r="C3419" s="38" t="s">
        <v>3101</v>
      </c>
      <c r="D3419" s="4">
        <v>2022</v>
      </c>
      <c r="E3419" s="4" t="s">
        <v>12</v>
      </c>
      <c r="F3419" s="4">
        <v>140</v>
      </c>
      <c r="G3419" s="115">
        <v>15</v>
      </c>
      <c r="H3419" s="41">
        <v>158.06</v>
      </c>
      <c r="I3419" s="221"/>
      <c r="J3419" s="221"/>
    </row>
    <row r="3420" spans="1:36" s="5" customFormat="1" ht="18.75" hidden="1" customHeight="1" outlineLevel="1" x14ac:dyDescent="0.25">
      <c r="A3420" s="4">
        <v>4831</v>
      </c>
      <c r="B3420" s="4" t="s">
        <v>19</v>
      </c>
      <c r="C3420" s="38" t="s">
        <v>3102</v>
      </c>
      <c r="D3420" s="4">
        <v>2022</v>
      </c>
      <c r="E3420" s="4" t="s">
        <v>12</v>
      </c>
      <c r="F3420" s="4">
        <v>150</v>
      </c>
      <c r="G3420" s="115">
        <v>15</v>
      </c>
      <c r="H3420" s="41">
        <v>166</v>
      </c>
      <c r="I3420" s="221"/>
      <c r="J3420" s="221"/>
    </row>
    <row r="3421" spans="1:36" s="5" customFormat="1" ht="18.75" hidden="1" customHeight="1" outlineLevel="1" x14ac:dyDescent="0.25">
      <c r="A3421" s="4">
        <v>4947</v>
      </c>
      <c r="B3421" s="4" t="s">
        <v>19</v>
      </c>
      <c r="C3421" s="38" t="s">
        <v>3103</v>
      </c>
      <c r="D3421" s="4">
        <v>2022</v>
      </c>
      <c r="E3421" s="4" t="s">
        <v>12</v>
      </c>
      <c r="F3421" s="4">
        <v>389</v>
      </c>
      <c r="G3421" s="115">
        <v>12</v>
      </c>
      <c r="H3421" s="41">
        <v>788</v>
      </c>
      <c r="I3421" s="221"/>
      <c r="J3421" s="221"/>
    </row>
    <row r="3422" spans="1:36" s="5" customFormat="1" ht="18.75" hidden="1" customHeight="1" outlineLevel="1" x14ac:dyDescent="0.25">
      <c r="A3422" s="4">
        <v>4913</v>
      </c>
      <c r="B3422" s="4" t="s">
        <v>19</v>
      </c>
      <c r="C3422" s="38" t="s">
        <v>3104</v>
      </c>
      <c r="D3422" s="4">
        <v>2022</v>
      </c>
      <c r="E3422" s="4" t="s">
        <v>12</v>
      </c>
      <c r="F3422" s="4">
        <v>782</v>
      </c>
      <c r="G3422" s="41">
        <v>20</v>
      </c>
      <c r="H3422" s="41">
        <v>1248.539</v>
      </c>
      <c r="I3422" s="221"/>
      <c r="J3422" s="221"/>
    </row>
    <row r="3423" spans="1:36" s="5" customFormat="1" ht="18.75" hidden="1" customHeight="1" outlineLevel="1" x14ac:dyDescent="0.25">
      <c r="A3423" s="4">
        <v>4616</v>
      </c>
      <c r="B3423" s="4" t="s">
        <v>19</v>
      </c>
      <c r="C3423" s="38" t="s">
        <v>2856</v>
      </c>
      <c r="D3423" s="4">
        <v>2022</v>
      </c>
      <c r="E3423" s="4" t="s">
        <v>12</v>
      </c>
      <c r="F3423" s="4">
        <v>10</v>
      </c>
      <c r="G3423" s="115">
        <v>100</v>
      </c>
      <c r="H3423" s="41">
        <v>38.933</v>
      </c>
      <c r="I3423" s="221"/>
      <c r="J3423" s="221"/>
    </row>
    <row r="3424" spans="1:36" s="5" customFormat="1" ht="18.75" hidden="1" customHeight="1" outlineLevel="1" x14ac:dyDescent="0.25">
      <c r="A3424" s="4">
        <v>4853</v>
      </c>
      <c r="B3424" s="4" t="s">
        <v>19</v>
      </c>
      <c r="C3424" s="38" t="s">
        <v>3105</v>
      </c>
      <c r="D3424" s="4">
        <v>2022</v>
      </c>
      <c r="E3424" s="4" t="s">
        <v>12</v>
      </c>
      <c r="F3424" s="4">
        <v>326</v>
      </c>
      <c r="G3424" s="115">
        <v>150</v>
      </c>
      <c r="H3424" s="41">
        <v>616.87199999999996</v>
      </c>
      <c r="I3424" s="221"/>
      <c r="J3424" s="221"/>
    </row>
    <row r="3425" spans="1:10" s="5" customFormat="1" ht="18.75" hidden="1" customHeight="1" outlineLevel="1" x14ac:dyDescent="0.25">
      <c r="A3425" s="4">
        <v>5048</v>
      </c>
      <c r="B3425" s="4" t="s">
        <v>19</v>
      </c>
      <c r="C3425" s="38" t="s">
        <v>2858</v>
      </c>
      <c r="D3425" s="4">
        <v>2022</v>
      </c>
      <c r="E3425" s="4" t="s">
        <v>12</v>
      </c>
      <c r="F3425" s="4">
        <v>41</v>
      </c>
      <c r="G3425" s="115">
        <v>150</v>
      </c>
      <c r="H3425" s="41">
        <v>174.29500000000002</v>
      </c>
      <c r="I3425" s="221"/>
      <c r="J3425" s="221"/>
    </row>
    <row r="3426" spans="1:10" s="5" customFormat="1" ht="18.75" hidden="1" customHeight="1" outlineLevel="1" x14ac:dyDescent="0.25">
      <c r="A3426" s="4">
        <v>4826</v>
      </c>
      <c r="B3426" s="4" t="s">
        <v>19</v>
      </c>
      <c r="C3426" s="38" t="s">
        <v>3011</v>
      </c>
      <c r="D3426" s="4">
        <v>2022</v>
      </c>
      <c r="E3426" s="4" t="s">
        <v>12</v>
      </c>
      <c r="F3426" s="4">
        <v>1007</v>
      </c>
      <c r="G3426" s="41">
        <v>50</v>
      </c>
      <c r="H3426" s="41">
        <v>1255.393</v>
      </c>
      <c r="I3426" s="221"/>
      <c r="J3426" s="221"/>
    </row>
    <row r="3427" spans="1:10" s="5" customFormat="1" ht="18.75" hidden="1" customHeight="1" outlineLevel="1" x14ac:dyDescent="0.25">
      <c r="A3427" s="4">
        <v>4918</v>
      </c>
      <c r="B3427" s="4" t="s">
        <v>19</v>
      </c>
      <c r="C3427" s="38" t="s">
        <v>3012</v>
      </c>
      <c r="D3427" s="4">
        <v>2022</v>
      </c>
      <c r="E3427" s="4" t="s">
        <v>12</v>
      </c>
      <c r="F3427" s="4">
        <v>146</v>
      </c>
      <c r="G3427" s="115">
        <v>15</v>
      </c>
      <c r="H3427" s="41">
        <v>381.50700000000001</v>
      </c>
      <c r="I3427" s="221"/>
      <c r="J3427" s="221"/>
    </row>
    <row r="3428" spans="1:10" s="5" customFormat="1" ht="18.75" hidden="1" customHeight="1" outlineLevel="1" x14ac:dyDescent="0.25">
      <c r="A3428" s="4">
        <v>4919</v>
      </c>
      <c r="B3428" s="4" t="s">
        <v>19</v>
      </c>
      <c r="C3428" s="38" t="s">
        <v>3013</v>
      </c>
      <c r="D3428" s="4">
        <v>2022</v>
      </c>
      <c r="E3428" s="4" t="s">
        <v>12</v>
      </c>
      <c r="F3428" s="4">
        <v>409</v>
      </c>
      <c r="G3428" s="115">
        <v>10</v>
      </c>
      <c r="H3428" s="41">
        <v>648.73099999999999</v>
      </c>
      <c r="I3428" s="221"/>
      <c r="J3428" s="221"/>
    </row>
    <row r="3429" spans="1:10" s="5" customFormat="1" ht="18.75" hidden="1" customHeight="1" outlineLevel="1" x14ac:dyDescent="0.25">
      <c r="A3429" s="4">
        <v>5053</v>
      </c>
      <c r="B3429" s="4" t="s">
        <v>19</v>
      </c>
      <c r="C3429" s="38" t="s">
        <v>3014</v>
      </c>
      <c r="D3429" s="4">
        <v>2022</v>
      </c>
      <c r="E3429" s="4" t="s">
        <v>12</v>
      </c>
      <c r="F3429" s="4">
        <v>185</v>
      </c>
      <c r="G3429" s="115">
        <v>10</v>
      </c>
      <c r="H3429" s="41">
        <v>379.07</v>
      </c>
      <c r="I3429" s="221"/>
      <c r="J3429" s="221"/>
    </row>
    <row r="3430" spans="1:10" s="5" customFormat="1" ht="18.75" hidden="1" customHeight="1" outlineLevel="1" x14ac:dyDescent="0.25">
      <c r="A3430" s="4">
        <v>1891</v>
      </c>
      <c r="B3430" s="4" t="s">
        <v>19</v>
      </c>
      <c r="C3430" s="38" t="s">
        <v>3082</v>
      </c>
      <c r="D3430" s="4">
        <v>2022</v>
      </c>
      <c r="E3430" s="4" t="s">
        <v>12</v>
      </c>
      <c r="F3430" s="4">
        <v>20</v>
      </c>
      <c r="G3430" s="41">
        <v>150</v>
      </c>
      <c r="H3430" s="41">
        <v>12.397</v>
      </c>
      <c r="I3430" s="221"/>
      <c r="J3430" s="221"/>
    </row>
    <row r="3431" spans="1:10" s="5" customFormat="1" ht="18.75" hidden="1" customHeight="1" outlineLevel="1" x14ac:dyDescent="0.25">
      <c r="A3431" s="4">
        <v>2009</v>
      </c>
      <c r="B3431" s="4" t="s">
        <v>19</v>
      </c>
      <c r="C3431" s="38" t="s">
        <v>3083</v>
      </c>
      <c r="D3431" s="4">
        <v>2022</v>
      </c>
      <c r="E3431" s="4" t="s">
        <v>12</v>
      </c>
      <c r="F3431" s="4">
        <v>30</v>
      </c>
      <c r="G3431" s="41">
        <v>150</v>
      </c>
      <c r="H3431" s="41">
        <v>15.481999999999999</v>
      </c>
      <c r="I3431" s="221"/>
      <c r="J3431" s="221"/>
    </row>
    <row r="3432" spans="1:10" s="5" customFormat="1" ht="18.75" hidden="1" customHeight="1" outlineLevel="1" x14ac:dyDescent="0.25">
      <c r="A3432" s="4">
        <v>2067</v>
      </c>
      <c r="B3432" s="4" t="s">
        <v>19</v>
      </c>
      <c r="C3432" s="38" t="s">
        <v>3084</v>
      </c>
      <c r="D3432" s="4">
        <v>2022</v>
      </c>
      <c r="E3432" s="4" t="s">
        <v>12</v>
      </c>
      <c r="F3432" s="4">
        <v>30</v>
      </c>
      <c r="G3432" s="41">
        <v>130</v>
      </c>
      <c r="H3432" s="41">
        <v>19.178000000000001</v>
      </c>
      <c r="I3432" s="221"/>
      <c r="J3432" s="221"/>
    </row>
    <row r="3433" spans="1:10" s="5" customFormat="1" ht="18.75" hidden="1" customHeight="1" outlineLevel="1" x14ac:dyDescent="0.25">
      <c r="A3433" s="4">
        <v>1825</v>
      </c>
      <c r="B3433" s="4" t="s">
        <v>19</v>
      </c>
      <c r="C3433" s="38" t="s">
        <v>3106</v>
      </c>
      <c r="D3433" s="4">
        <v>2022</v>
      </c>
      <c r="E3433" s="4" t="s">
        <v>12</v>
      </c>
      <c r="F3433" s="4">
        <v>130</v>
      </c>
      <c r="G3433" s="41">
        <v>15</v>
      </c>
      <c r="H3433" s="41">
        <v>308.02100000000002</v>
      </c>
      <c r="I3433" s="221"/>
      <c r="J3433" s="221"/>
    </row>
    <row r="3434" spans="1:10" s="5" customFormat="1" ht="18.75" hidden="1" customHeight="1" outlineLevel="1" x14ac:dyDescent="0.25">
      <c r="A3434" s="4">
        <v>2070</v>
      </c>
      <c r="B3434" s="4" t="s">
        <v>19</v>
      </c>
      <c r="C3434" s="38" t="s">
        <v>3088</v>
      </c>
      <c r="D3434" s="4">
        <v>2022</v>
      </c>
      <c r="E3434" s="4" t="s">
        <v>12</v>
      </c>
      <c r="F3434" s="4">
        <v>20</v>
      </c>
      <c r="G3434" s="41">
        <v>150</v>
      </c>
      <c r="H3434" s="41">
        <v>7.86</v>
      </c>
      <c r="I3434" s="221"/>
      <c r="J3434" s="221"/>
    </row>
    <row r="3435" spans="1:10" s="5" customFormat="1" ht="18.75" hidden="1" customHeight="1" outlineLevel="1" x14ac:dyDescent="0.25">
      <c r="A3435" s="4">
        <v>2315</v>
      </c>
      <c r="B3435" s="4" t="s">
        <v>19</v>
      </c>
      <c r="C3435" s="38" t="s">
        <v>3107</v>
      </c>
      <c r="D3435" s="4">
        <v>2022</v>
      </c>
      <c r="E3435" s="4" t="s">
        <v>12</v>
      </c>
      <c r="F3435" s="4">
        <v>725</v>
      </c>
      <c r="G3435" s="41">
        <v>15</v>
      </c>
      <c r="H3435" s="41">
        <v>1050.807</v>
      </c>
      <c r="I3435" s="221"/>
      <c r="J3435" s="221"/>
    </row>
    <row r="3436" spans="1:10" s="5" customFormat="1" ht="18.75" hidden="1" customHeight="1" outlineLevel="1" x14ac:dyDescent="0.25">
      <c r="A3436" s="4">
        <v>2243</v>
      </c>
      <c r="B3436" s="4" t="s">
        <v>19</v>
      </c>
      <c r="C3436" s="38" t="s">
        <v>3090</v>
      </c>
      <c r="D3436" s="4">
        <v>2022</v>
      </c>
      <c r="E3436" s="4" t="s">
        <v>12</v>
      </c>
      <c r="F3436" s="4">
        <v>20</v>
      </c>
      <c r="G3436" s="41">
        <v>100</v>
      </c>
      <c r="H3436" s="41">
        <v>10.970650000000001</v>
      </c>
      <c r="I3436" s="221"/>
      <c r="J3436" s="221"/>
    </row>
    <row r="3437" spans="1:10" s="5" customFormat="1" ht="18.75" hidden="1" customHeight="1" outlineLevel="1" x14ac:dyDescent="0.25">
      <c r="A3437" s="4">
        <v>2416</v>
      </c>
      <c r="B3437" s="4" t="s">
        <v>19</v>
      </c>
      <c r="C3437" s="38" t="s">
        <v>3092</v>
      </c>
      <c r="D3437" s="4">
        <v>2022</v>
      </c>
      <c r="E3437" s="4" t="s">
        <v>12</v>
      </c>
      <c r="F3437" s="4">
        <v>40</v>
      </c>
      <c r="G3437" s="41">
        <v>150</v>
      </c>
      <c r="H3437" s="41">
        <v>18.391999999999999</v>
      </c>
      <c r="I3437" s="221"/>
      <c r="J3437" s="221"/>
    </row>
    <row r="3438" spans="1:10" s="5" customFormat="1" ht="18.75" hidden="1" customHeight="1" outlineLevel="1" x14ac:dyDescent="0.25">
      <c r="A3438" s="4">
        <v>2542</v>
      </c>
      <c r="B3438" s="4" t="s">
        <v>19</v>
      </c>
      <c r="C3438" s="38" t="s">
        <v>3108</v>
      </c>
      <c r="D3438" s="4">
        <v>2022</v>
      </c>
      <c r="E3438" s="4" t="s">
        <v>12</v>
      </c>
      <c r="F3438" s="4">
        <v>174</v>
      </c>
      <c r="G3438" s="41">
        <v>150</v>
      </c>
      <c r="H3438" s="41">
        <v>525.99587999999994</v>
      </c>
      <c r="I3438" s="221"/>
      <c r="J3438" s="221"/>
    </row>
    <row r="3439" spans="1:10" s="5" customFormat="1" ht="18.75" hidden="1" customHeight="1" outlineLevel="1" x14ac:dyDescent="0.25">
      <c r="A3439" s="4">
        <v>2543</v>
      </c>
      <c r="B3439" s="4" t="s">
        <v>19</v>
      </c>
      <c r="C3439" s="38" t="s">
        <v>3093</v>
      </c>
      <c r="D3439" s="4">
        <v>2022</v>
      </c>
      <c r="E3439" s="4" t="s">
        <v>12</v>
      </c>
      <c r="F3439" s="4">
        <v>5</v>
      </c>
      <c r="G3439" s="41">
        <v>150</v>
      </c>
      <c r="H3439" s="41">
        <v>115.76599999999999</v>
      </c>
      <c r="I3439" s="221"/>
      <c r="J3439" s="221"/>
    </row>
    <row r="3440" spans="1:10" s="5" customFormat="1" ht="18.75" hidden="1" customHeight="1" outlineLevel="1" x14ac:dyDescent="0.25">
      <c r="A3440" s="4">
        <v>2545</v>
      </c>
      <c r="B3440" s="4" t="s">
        <v>19</v>
      </c>
      <c r="C3440" s="38" t="s">
        <v>3109</v>
      </c>
      <c r="D3440" s="4">
        <v>2022</v>
      </c>
      <c r="E3440" s="4" t="s">
        <v>12</v>
      </c>
      <c r="F3440" s="4">
        <v>625</v>
      </c>
      <c r="G3440" s="41">
        <v>25</v>
      </c>
      <c r="H3440" s="41">
        <v>1386.752</v>
      </c>
      <c r="I3440" s="221"/>
      <c r="J3440" s="221"/>
    </row>
    <row r="3441" spans="1:10" s="5" customFormat="1" ht="18.75" hidden="1" customHeight="1" outlineLevel="1" x14ac:dyDescent="0.25">
      <c r="A3441" s="4">
        <v>2068</v>
      </c>
      <c r="B3441" s="4" t="s">
        <v>19</v>
      </c>
      <c r="C3441" s="38" t="s">
        <v>3094</v>
      </c>
      <c r="D3441" s="4">
        <v>2022</v>
      </c>
      <c r="E3441" s="4" t="s">
        <v>12</v>
      </c>
      <c r="F3441" s="4">
        <v>15</v>
      </c>
      <c r="G3441" s="41">
        <v>135</v>
      </c>
      <c r="H3441" s="41">
        <v>41.708689999999997</v>
      </c>
      <c r="I3441" s="221"/>
      <c r="J3441" s="221"/>
    </row>
    <row r="3442" spans="1:10" s="5" customFormat="1" ht="18.75" hidden="1" customHeight="1" outlineLevel="1" x14ac:dyDescent="0.25">
      <c r="A3442" s="4">
        <v>2069</v>
      </c>
      <c r="B3442" s="4" t="s">
        <v>19</v>
      </c>
      <c r="C3442" s="38" t="s">
        <v>3095</v>
      </c>
      <c r="D3442" s="4">
        <v>2022</v>
      </c>
      <c r="E3442" s="4" t="s">
        <v>12</v>
      </c>
      <c r="F3442" s="4">
        <v>15</v>
      </c>
      <c r="G3442" s="41">
        <v>80</v>
      </c>
      <c r="H3442" s="41">
        <v>46.338570000000004</v>
      </c>
      <c r="I3442" s="221"/>
      <c r="J3442" s="221"/>
    </row>
    <row r="3443" spans="1:10" s="5" customFormat="1" ht="18.75" hidden="1" customHeight="1" outlineLevel="1" x14ac:dyDescent="0.25">
      <c r="A3443" s="4">
        <v>2431</v>
      </c>
      <c r="B3443" s="4" t="s">
        <v>19</v>
      </c>
      <c r="C3443" s="38" t="s">
        <v>3096</v>
      </c>
      <c r="D3443" s="4">
        <v>2022</v>
      </c>
      <c r="E3443" s="4" t="s">
        <v>12</v>
      </c>
      <c r="F3443" s="4">
        <v>50</v>
      </c>
      <c r="G3443" s="41">
        <v>150</v>
      </c>
      <c r="H3443" s="41">
        <v>51.610780000000005</v>
      </c>
      <c r="I3443" s="221"/>
      <c r="J3443" s="221"/>
    </row>
    <row r="3444" spans="1:10" s="5" customFormat="1" ht="18.75" hidden="1" customHeight="1" outlineLevel="1" x14ac:dyDescent="0.25">
      <c r="A3444" s="4">
        <v>2510</v>
      </c>
      <c r="B3444" s="4" t="s">
        <v>19</v>
      </c>
      <c r="C3444" s="38" t="s">
        <v>3097</v>
      </c>
      <c r="D3444" s="4">
        <v>2022</v>
      </c>
      <c r="E3444" s="4" t="s">
        <v>12</v>
      </c>
      <c r="F3444" s="4">
        <v>80</v>
      </c>
      <c r="G3444" s="41">
        <v>200</v>
      </c>
      <c r="H3444" s="41">
        <v>14.727</v>
      </c>
      <c r="I3444" s="221"/>
      <c r="J3444" s="221"/>
    </row>
    <row r="3445" spans="1:10" s="5" customFormat="1" ht="18.75" hidden="1" customHeight="1" outlineLevel="1" x14ac:dyDescent="0.25">
      <c r="A3445" s="4">
        <v>2567</v>
      </c>
      <c r="B3445" s="4" t="s">
        <v>19</v>
      </c>
      <c r="C3445" s="38" t="s">
        <v>3098</v>
      </c>
      <c r="D3445" s="4">
        <v>2022</v>
      </c>
      <c r="E3445" s="4" t="s">
        <v>12</v>
      </c>
      <c r="F3445" s="4">
        <v>4</v>
      </c>
      <c r="G3445" s="41">
        <v>150</v>
      </c>
      <c r="H3445" s="41">
        <v>111.003</v>
      </c>
      <c r="I3445" s="221"/>
      <c r="J3445" s="221"/>
    </row>
    <row r="3446" spans="1:10" s="5" customFormat="1" ht="30" hidden="1" customHeight="1" outlineLevel="1" x14ac:dyDescent="0.25">
      <c r="A3446" s="41">
        <v>9743</v>
      </c>
      <c r="B3446" s="4" t="s">
        <v>19</v>
      </c>
      <c r="C3446" s="38" t="s">
        <v>717</v>
      </c>
      <c r="D3446" s="4">
        <v>2021</v>
      </c>
      <c r="E3446" s="4"/>
      <c r="F3446" s="4">
        <v>95</v>
      </c>
      <c r="G3446" s="4">
        <v>15</v>
      </c>
      <c r="H3446" s="4">
        <v>191</v>
      </c>
      <c r="I3446" s="201"/>
      <c r="J3446" s="201"/>
    </row>
    <row r="3447" spans="1:10" s="5" customFormat="1" ht="30" hidden="1" customHeight="1" outlineLevel="1" x14ac:dyDescent="0.25">
      <c r="A3447" s="41">
        <v>9741</v>
      </c>
      <c r="B3447" s="4" t="s">
        <v>19</v>
      </c>
      <c r="C3447" s="38" t="s">
        <v>716</v>
      </c>
      <c r="D3447" s="4">
        <v>2021</v>
      </c>
      <c r="E3447" s="4"/>
      <c r="F3447" s="4">
        <v>24</v>
      </c>
      <c r="G3447" s="4">
        <v>50</v>
      </c>
      <c r="H3447" s="4">
        <v>54</v>
      </c>
      <c r="I3447" s="201"/>
      <c r="J3447" s="201"/>
    </row>
    <row r="3448" spans="1:10" s="5" customFormat="1" ht="30" hidden="1" customHeight="1" outlineLevel="1" x14ac:dyDescent="0.25">
      <c r="A3448" s="41">
        <v>9731</v>
      </c>
      <c r="B3448" s="4" t="s">
        <v>19</v>
      </c>
      <c r="C3448" s="38" t="s">
        <v>788</v>
      </c>
      <c r="D3448" s="4">
        <v>2021</v>
      </c>
      <c r="E3448" s="4"/>
      <c r="F3448" s="4">
        <v>27</v>
      </c>
      <c r="G3448" s="4">
        <v>40</v>
      </c>
      <c r="H3448" s="4">
        <v>105</v>
      </c>
      <c r="I3448" s="201"/>
      <c r="J3448" s="201"/>
    </row>
    <row r="3449" spans="1:10" s="5" customFormat="1" ht="30" hidden="1" customHeight="1" outlineLevel="1" x14ac:dyDescent="0.25">
      <c r="A3449" s="41">
        <v>9774</v>
      </c>
      <c r="B3449" s="4" t="s">
        <v>19</v>
      </c>
      <c r="C3449" s="38" t="s">
        <v>789</v>
      </c>
      <c r="D3449" s="4">
        <v>2021</v>
      </c>
      <c r="E3449" s="4"/>
      <c r="F3449" s="4">
        <v>120</v>
      </c>
      <c r="G3449" s="4">
        <v>10</v>
      </c>
      <c r="H3449" s="4">
        <v>165</v>
      </c>
      <c r="I3449" s="201"/>
      <c r="J3449" s="201"/>
    </row>
    <row r="3450" spans="1:10" s="5" customFormat="1" ht="30" hidden="1" customHeight="1" outlineLevel="1" x14ac:dyDescent="0.25">
      <c r="A3450" s="42">
        <v>1413</v>
      </c>
      <c r="B3450" s="4" t="s">
        <v>19</v>
      </c>
      <c r="C3450" s="38" t="s">
        <v>790</v>
      </c>
      <c r="D3450" s="4">
        <v>2021</v>
      </c>
      <c r="E3450" s="4"/>
      <c r="F3450" s="4">
        <v>371</v>
      </c>
      <c r="G3450" s="4">
        <v>15</v>
      </c>
      <c r="H3450" s="4">
        <v>522</v>
      </c>
      <c r="I3450" s="201"/>
      <c r="J3450" s="201"/>
    </row>
    <row r="3451" spans="1:10" s="5" customFormat="1" ht="30" hidden="1" customHeight="1" outlineLevel="1" x14ac:dyDescent="0.25">
      <c r="A3451" s="42">
        <v>1304</v>
      </c>
      <c r="B3451" s="4" t="s">
        <v>19</v>
      </c>
      <c r="C3451" s="38" t="s">
        <v>719</v>
      </c>
      <c r="D3451" s="4">
        <v>2021</v>
      </c>
      <c r="E3451" s="4"/>
      <c r="F3451" s="4">
        <v>10</v>
      </c>
      <c r="G3451" s="4">
        <v>150</v>
      </c>
      <c r="H3451" s="4">
        <v>54</v>
      </c>
      <c r="I3451" s="201"/>
      <c r="J3451" s="201"/>
    </row>
    <row r="3452" spans="1:10" s="5" customFormat="1" ht="30" hidden="1" customHeight="1" outlineLevel="1" x14ac:dyDescent="0.25">
      <c r="A3452" s="41">
        <v>9797</v>
      </c>
      <c r="B3452" s="4" t="s">
        <v>19</v>
      </c>
      <c r="C3452" s="38" t="s">
        <v>791</v>
      </c>
      <c r="D3452" s="4">
        <v>2021</v>
      </c>
      <c r="E3452" s="4"/>
      <c r="F3452" s="4">
        <v>380</v>
      </c>
      <c r="G3452" s="4">
        <v>15</v>
      </c>
      <c r="H3452" s="4">
        <v>525</v>
      </c>
      <c r="I3452" s="201"/>
      <c r="J3452" s="201"/>
    </row>
    <row r="3453" spans="1:10" s="5" customFormat="1" ht="30" hidden="1" customHeight="1" outlineLevel="1" x14ac:dyDescent="0.25">
      <c r="A3453" s="42">
        <v>833</v>
      </c>
      <c r="B3453" s="4" t="s">
        <v>19</v>
      </c>
      <c r="C3453" s="38" t="s">
        <v>792</v>
      </c>
      <c r="D3453" s="4">
        <v>2021</v>
      </c>
      <c r="E3453" s="4"/>
      <c r="F3453" s="4">
        <v>212</v>
      </c>
      <c r="G3453" s="4">
        <v>15</v>
      </c>
      <c r="H3453" s="4">
        <v>288</v>
      </c>
      <c r="I3453" s="201"/>
      <c r="J3453" s="201"/>
    </row>
    <row r="3454" spans="1:10" s="5" customFormat="1" ht="30" hidden="1" customHeight="1" outlineLevel="1" x14ac:dyDescent="0.25">
      <c r="A3454" s="42">
        <v>3838</v>
      </c>
      <c r="B3454" s="4" t="s">
        <v>19</v>
      </c>
      <c r="C3454" s="38" t="s">
        <v>720</v>
      </c>
      <c r="D3454" s="4">
        <v>2021</v>
      </c>
      <c r="E3454" s="4"/>
      <c r="F3454" s="4">
        <v>53</v>
      </c>
      <c r="G3454" s="4">
        <v>60.75</v>
      </c>
      <c r="H3454" s="4">
        <v>116</v>
      </c>
      <c r="I3454" s="201"/>
      <c r="J3454" s="201"/>
    </row>
    <row r="3455" spans="1:10" s="5" customFormat="1" ht="30" hidden="1" customHeight="1" outlineLevel="1" x14ac:dyDescent="0.25">
      <c r="A3455" s="41">
        <v>9745</v>
      </c>
      <c r="B3455" s="4" t="s">
        <v>19</v>
      </c>
      <c r="C3455" s="38" t="s">
        <v>721</v>
      </c>
      <c r="D3455" s="4">
        <v>2021</v>
      </c>
      <c r="E3455" s="4"/>
      <c r="F3455" s="4">
        <v>18</v>
      </c>
      <c r="G3455" s="4">
        <v>15</v>
      </c>
      <c r="H3455" s="4">
        <v>106</v>
      </c>
      <c r="I3455" s="201"/>
      <c r="J3455" s="201"/>
    </row>
    <row r="3456" spans="1:10" s="5" customFormat="1" ht="30" hidden="1" customHeight="1" outlineLevel="1" x14ac:dyDescent="0.25">
      <c r="A3456" s="41">
        <v>9777</v>
      </c>
      <c r="B3456" s="4" t="s">
        <v>19</v>
      </c>
      <c r="C3456" s="38" t="s">
        <v>793</v>
      </c>
      <c r="D3456" s="4">
        <v>2021</v>
      </c>
      <c r="E3456" s="4"/>
      <c r="F3456" s="4">
        <v>770</v>
      </c>
      <c r="G3456" s="4">
        <v>14</v>
      </c>
      <c r="H3456" s="4">
        <v>981</v>
      </c>
      <c r="I3456" s="201"/>
      <c r="J3456" s="201"/>
    </row>
    <row r="3457" spans="1:10" s="5" customFormat="1" ht="30" hidden="1" customHeight="1" outlineLevel="1" x14ac:dyDescent="0.25">
      <c r="A3457" s="41">
        <v>9786</v>
      </c>
      <c r="B3457" s="4" t="s">
        <v>19</v>
      </c>
      <c r="C3457" s="38" t="s">
        <v>794</v>
      </c>
      <c r="D3457" s="4">
        <v>2021</v>
      </c>
      <c r="E3457" s="4"/>
      <c r="F3457" s="4">
        <v>197</v>
      </c>
      <c r="G3457" s="4">
        <v>20</v>
      </c>
      <c r="H3457" s="4">
        <v>345</v>
      </c>
      <c r="I3457" s="201"/>
      <c r="J3457" s="201"/>
    </row>
    <row r="3458" spans="1:10" s="5" customFormat="1" ht="30" hidden="1" customHeight="1" outlineLevel="1" x14ac:dyDescent="0.25">
      <c r="A3458" s="41">
        <v>9742</v>
      </c>
      <c r="B3458" s="4" t="s">
        <v>19</v>
      </c>
      <c r="C3458" s="38" t="s">
        <v>722</v>
      </c>
      <c r="D3458" s="4">
        <v>2021</v>
      </c>
      <c r="E3458" s="4"/>
      <c r="F3458" s="4">
        <v>418</v>
      </c>
      <c r="G3458" s="4">
        <v>20</v>
      </c>
      <c r="H3458" s="4">
        <v>704</v>
      </c>
      <c r="I3458" s="201"/>
      <c r="J3458" s="201"/>
    </row>
    <row r="3459" spans="1:10" s="5" customFormat="1" ht="30" hidden="1" customHeight="1" outlineLevel="1" x14ac:dyDescent="0.25">
      <c r="A3459" s="41">
        <v>9569</v>
      </c>
      <c r="B3459" s="4" t="s">
        <v>19</v>
      </c>
      <c r="C3459" s="38" t="s">
        <v>795</v>
      </c>
      <c r="D3459" s="4">
        <v>2021</v>
      </c>
      <c r="E3459" s="4"/>
      <c r="F3459" s="4">
        <v>1233</v>
      </c>
      <c r="G3459" s="4">
        <v>20</v>
      </c>
      <c r="H3459" s="4">
        <v>1471</v>
      </c>
      <c r="I3459" s="201"/>
      <c r="J3459" s="201"/>
    </row>
    <row r="3460" spans="1:10" s="5" customFormat="1" ht="30" hidden="1" customHeight="1" outlineLevel="1" x14ac:dyDescent="0.25">
      <c r="A3460" s="41">
        <v>9730</v>
      </c>
      <c r="B3460" s="4" t="s">
        <v>19</v>
      </c>
      <c r="C3460" s="38" t="s">
        <v>796</v>
      </c>
      <c r="D3460" s="4">
        <v>2021</v>
      </c>
      <c r="E3460" s="4"/>
      <c r="F3460" s="4">
        <v>5</v>
      </c>
      <c r="G3460" s="4">
        <v>140</v>
      </c>
      <c r="H3460" s="4">
        <v>83</v>
      </c>
      <c r="I3460" s="201"/>
      <c r="J3460" s="201"/>
    </row>
    <row r="3461" spans="1:10" s="5" customFormat="1" ht="30" hidden="1" customHeight="1" outlineLevel="1" x14ac:dyDescent="0.25">
      <c r="A3461" s="42">
        <v>3821</v>
      </c>
      <c r="B3461" s="4" t="s">
        <v>19</v>
      </c>
      <c r="C3461" s="38" t="s">
        <v>797</v>
      </c>
      <c r="D3461" s="4">
        <v>2021</v>
      </c>
      <c r="E3461" s="4"/>
      <c r="F3461" s="4">
        <v>448</v>
      </c>
      <c r="G3461" s="4" t="s">
        <v>358</v>
      </c>
      <c r="H3461" s="4">
        <v>585</v>
      </c>
      <c r="I3461" s="201"/>
      <c r="J3461" s="201"/>
    </row>
    <row r="3462" spans="1:10" s="5" customFormat="1" ht="30" hidden="1" customHeight="1" outlineLevel="1" x14ac:dyDescent="0.25">
      <c r="A3462" s="42">
        <v>3819</v>
      </c>
      <c r="B3462" s="4" t="s">
        <v>19</v>
      </c>
      <c r="C3462" s="38" t="s">
        <v>798</v>
      </c>
      <c r="D3462" s="4">
        <v>2021</v>
      </c>
      <c r="E3462" s="4"/>
      <c r="F3462" s="4">
        <v>155</v>
      </c>
      <c r="G3462" s="4">
        <v>30</v>
      </c>
      <c r="H3462" s="4">
        <v>263</v>
      </c>
      <c r="I3462" s="201"/>
      <c r="J3462" s="201"/>
    </row>
    <row r="3463" spans="1:10" s="5" customFormat="1" ht="30" hidden="1" customHeight="1" outlineLevel="1" x14ac:dyDescent="0.25">
      <c r="A3463" s="42">
        <v>1201</v>
      </c>
      <c r="B3463" s="4" t="s">
        <v>19</v>
      </c>
      <c r="C3463" s="38" t="s">
        <v>799</v>
      </c>
      <c r="D3463" s="4">
        <v>2021</v>
      </c>
      <c r="E3463" s="4"/>
      <c r="F3463" s="4">
        <v>515</v>
      </c>
      <c r="G3463" s="4" t="s">
        <v>358</v>
      </c>
      <c r="H3463" s="4">
        <v>685</v>
      </c>
      <c r="I3463" s="201"/>
      <c r="J3463" s="201"/>
    </row>
    <row r="3464" spans="1:10" s="5" customFormat="1" ht="30" hidden="1" customHeight="1" outlineLevel="1" x14ac:dyDescent="0.25">
      <c r="A3464" s="41">
        <v>9692</v>
      </c>
      <c r="B3464" s="4" t="s">
        <v>19</v>
      </c>
      <c r="C3464" s="38" t="s">
        <v>800</v>
      </c>
      <c r="D3464" s="4">
        <v>2021</v>
      </c>
      <c r="E3464" s="4"/>
      <c r="F3464" s="4">
        <v>355</v>
      </c>
      <c r="G3464" s="4" t="s">
        <v>358</v>
      </c>
      <c r="H3464" s="4">
        <v>393</v>
      </c>
      <c r="I3464" s="201"/>
      <c r="J3464" s="201"/>
    </row>
    <row r="3465" spans="1:10" s="5" customFormat="1" ht="30" hidden="1" customHeight="1" outlineLevel="1" x14ac:dyDescent="0.25">
      <c r="A3465" s="41">
        <v>9696</v>
      </c>
      <c r="B3465" s="4" t="s">
        <v>19</v>
      </c>
      <c r="C3465" s="38" t="s">
        <v>801</v>
      </c>
      <c r="D3465" s="4">
        <v>2021</v>
      </c>
      <c r="E3465" s="4"/>
      <c r="F3465" s="4">
        <v>586</v>
      </c>
      <c r="G3465" s="4">
        <v>30</v>
      </c>
      <c r="H3465" s="4">
        <v>789</v>
      </c>
      <c r="I3465" s="201"/>
      <c r="J3465" s="201"/>
    </row>
    <row r="3466" spans="1:10" s="5" customFormat="1" ht="30" hidden="1" customHeight="1" outlineLevel="1" x14ac:dyDescent="0.25">
      <c r="A3466" s="41">
        <v>9711</v>
      </c>
      <c r="B3466" s="4" t="s">
        <v>19</v>
      </c>
      <c r="C3466" s="38" t="s">
        <v>802</v>
      </c>
      <c r="D3466" s="4">
        <v>2021</v>
      </c>
      <c r="E3466" s="4"/>
      <c r="F3466" s="4">
        <v>248</v>
      </c>
      <c r="G3466" s="4" t="s">
        <v>109</v>
      </c>
      <c r="H3466" s="4">
        <v>398</v>
      </c>
      <c r="I3466" s="201"/>
      <c r="J3466" s="201"/>
    </row>
    <row r="3467" spans="1:10" s="5" customFormat="1" ht="30" hidden="1" customHeight="1" outlineLevel="1" x14ac:dyDescent="0.25">
      <c r="A3467" s="42">
        <v>1241</v>
      </c>
      <c r="B3467" s="4" t="s">
        <v>19</v>
      </c>
      <c r="C3467" s="38" t="s">
        <v>803</v>
      </c>
      <c r="D3467" s="4">
        <v>2021</v>
      </c>
      <c r="E3467" s="4"/>
      <c r="F3467" s="4">
        <v>929</v>
      </c>
      <c r="G3467" s="4" t="s">
        <v>358</v>
      </c>
      <c r="H3467" s="4">
        <v>1298</v>
      </c>
      <c r="I3467" s="201"/>
      <c r="J3467" s="201"/>
    </row>
    <row r="3468" spans="1:10" s="5" customFormat="1" ht="30" hidden="1" customHeight="1" outlineLevel="1" x14ac:dyDescent="0.25">
      <c r="A3468" s="41">
        <v>9691</v>
      </c>
      <c r="B3468" s="4" t="s">
        <v>19</v>
      </c>
      <c r="C3468" s="38" t="s">
        <v>804</v>
      </c>
      <c r="D3468" s="4">
        <v>2021</v>
      </c>
      <c r="E3468" s="4"/>
      <c r="F3468" s="4">
        <v>1248</v>
      </c>
      <c r="G3468" s="4" t="s">
        <v>362</v>
      </c>
      <c r="H3468" s="4">
        <v>1603</v>
      </c>
      <c r="I3468" s="201"/>
      <c r="J3468" s="201"/>
    </row>
    <row r="3469" spans="1:10" s="5" customFormat="1" ht="30" hidden="1" customHeight="1" outlineLevel="1" x14ac:dyDescent="0.25">
      <c r="A3469" s="42">
        <v>1243</v>
      </c>
      <c r="B3469" s="4" t="s">
        <v>19</v>
      </c>
      <c r="C3469" s="38" t="s">
        <v>805</v>
      </c>
      <c r="D3469" s="4">
        <v>2021</v>
      </c>
      <c r="E3469" s="4"/>
      <c r="F3469" s="4">
        <v>268</v>
      </c>
      <c r="G3469" s="4" t="s">
        <v>358</v>
      </c>
      <c r="H3469" s="4">
        <v>351</v>
      </c>
      <c r="I3469" s="201"/>
      <c r="J3469" s="201"/>
    </row>
    <row r="3470" spans="1:10" s="5" customFormat="1" ht="30" hidden="1" customHeight="1" outlineLevel="1" x14ac:dyDescent="0.25">
      <c r="A3470" s="41">
        <v>9508</v>
      </c>
      <c r="B3470" s="4" t="s">
        <v>19</v>
      </c>
      <c r="C3470" s="38" t="s">
        <v>92</v>
      </c>
      <c r="D3470" s="4">
        <v>2021</v>
      </c>
      <c r="E3470" s="4"/>
      <c r="F3470" s="4">
        <v>63</v>
      </c>
      <c r="G3470" s="4" t="s">
        <v>806</v>
      </c>
      <c r="H3470" s="4">
        <v>141</v>
      </c>
      <c r="I3470" s="201"/>
      <c r="J3470" s="201"/>
    </row>
    <row r="3471" spans="1:10" s="5" customFormat="1" ht="30" hidden="1" customHeight="1" outlineLevel="1" x14ac:dyDescent="0.25">
      <c r="A3471" s="42">
        <v>3832</v>
      </c>
      <c r="B3471" s="4" t="s">
        <v>19</v>
      </c>
      <c r="C3471" s="38" t="s">
        <v>94</v>
      </c>
      <c r="D3471" s="4">
        <v>2021</v>
      </c>
      <c r="E3471" s="4"/>
      <c r="F3471" s="4">
        <v>5</v>
      </c>
      <c r="G3471" s="4" t="s">
        <v>358</v>
      </c>
      <c r="H3471" s="4">
        <v>82</v>
      </c>
      <c r="I3471" s="201"/>
      <c r="J3471" s="201"/>
    </row>
    <row r="3472" spans="1:10" s="5" customFormat="1" ht="30" hidden="1" customHeight="1" outlineLevel="1" x14ac:dyDescent="0.25">
      <c r="A3472" s="42">
        <v>3816</v>
      </c>
      <c r="B3472" s="4" t="s">
        <v>19</v>
      </c>
      <c r="C3472" s="38" t="s">
        <v>807</v>
      </c>
      <c r="D3472" s="4">
        <v>2021</v>
      </c>
      <c r="E3472" s="4"/>
      <c r="F3472" s="4">
        <v>186</v>
      </c>
      <c r="G3472" s="4" t="s">
        <v>358</v>
      </c>
      <c r="H3472" s="4">
        <v>342</v>
      </c>
      <c r="I3472" s="201"/>
      <c r="J3472" s="201"/>
    </row>
    <row r="3473" spans="1:10" s="5" customFormat="1" ht="30" hidden="1" customHeight="1" outlineLevel="1" x14ac:dyDescent="0.25">
      <c r="A3473" s="41">
        <v>9693</v>
      </c>
      <c r="B3473" s="4" t="s">
        <v>19</v>
      </c>
      <c r="C3473" s="38" t="s">
        <v>808</v>
      </c>
      <c r="D3473" s="4">
        <v>2021</v>
      </c>
      <c r="E3473" s="4"/>
      <c r="F3473" s="4">
        <v>345</v>
      </c>
      <c r="G3473" s="4" t="s">
        <v>358</v>
      </c>
      <c r="H3473" s="4">
        <v>621</v>
      </c>
      <c r="I3473" s="201"/>
      <c r="J3473" s="201"/>
    </row>
    <row r="3474" spans="1:10" s="5" customFormat="1" ht="30" hidden="1" customHeight="1" outlineLevel="1" x14ac:dyDescent="0.25">
      <c r="A3474" s="42">
        <v>1211</v>
      </c>
      <c r="B3474" s="4" t="s">
        <v>19</v>
      </c>
      <c r="C3474" s="38" t="s">
        <v>809</v>
      </c>
      <c r="D3474" s="4">
        <v>2021</v>
      </c>
      <c r="E3474" s="4"/>
      <c r="F3474" s="4">
        <v>358</v>
      </c>
      <c r="G3474" s="4" t="s">
        <v>358</v>
      </c>
      <c r="H3474" s="4">
        <v>734</v>
      </c>
      <c r="I3474" s="201"/>
      <c r="J3474" s="201"/>
    </row>
    <row r="3475" spans="1:10" s="5" customFormat="1" ht="30" hidden="1" customHeight="1" outlineLevel="1" x14ac:dyDescent="0.25">
      <c r="A3475" s="42">
        <v>1212</v>
      </c>
      <c r="B3475" s="4" t="s">
        <v>19</v>
      </c>
      <c r="C3475" s="38" t="s">
        <v>810</v>
      </c>
      <c r="D3475" s="4">
        <v>2021</v>
      </c>
      <c r="E3475" s="4"/>
      <c r="F3475" s="4">
        <v>353</v>
      </c>
      <c r="G3475" s="4" t="s">
        <v>358</v>
      </c>
      <c r="H3475" s="4">
        <v>734</v>
      </c>
      <c r="I3475" s="201"/>
      <c r="J3475" s="201"/>
    </row>
    <row r="3476" spans="1:10" s="5" customFormat="1" ht="30" hidden="1" customHeight="1" outlineLevel="1" x14ac:dyDescent="0.25">
      <c r="A3476" s="42">
        <v>3805</v>
      </c>
      <c r="B3476" s="4" t="s">
        <v>19</v>
      </c>
      <c r="C3476" s="38" t="s">
        <v>811</v>
      </c>
      <c r="D3476" s="4">
        <v>2021</v>
      </c>
      <c r="E3476" s="4"/>
      <c r="F3476" s="4">
        <v>411</v>
      </c>
      <c r="G3476" s="4" t="s">
        <v>358</v>
      </c>
      <c r="H3476" s="4">
        <v>579</v>
      </c>
      <c r="I3476" s="201"/>
      <c r="J3476" s="201"/>
    </row>
    <row r="3477" spans="1:10" s="5" customFormat="1" ht="30" hidden="1" customHeight="1" outlineLevel="1" x14ac:dyDescent="0.25">
      <c r="A3477" s="41">
        <v>9690</v>
      </c>
      <c r="B3477" s="4" t="s">
        <v>19</v>
      </c>
      <c r="C3477" s="38" t="s">
        <v>812</v>
      </c>
      <c r="D3477" s="4">
        <v>2021</v>
      </c>
      <c r="E3477" s="4"/>
      <c r="F3477" s="4">
        <v>365</v>
      </c>
      <c r="G3477" s="4" t="s">
        <v>358</v>
      </c>
      <c r="H3477" s="4">
        <v>419</v>
      </c>
      <c r="I3477" s="201"/>
      <c r="J3477" s="201"/>
    </row>
    <row r="3478" spans="1:10" s="5" customFormat="1" ht="30" hidden="1" customHeight="1" outlineLevel="1" x14ac:dyDescent="0.25">
      <c r="A3478" s="42">
        <v>1199</v>
      </c>
      <c r="B3478" s="4" t="s">
        <v>19</v>
      </c>
      <c r="C3478" s="38" t="s">
        <v>813</v>
      </c>
      <c r="D3478" s="4">
        <v>2021</v>
      </c>
      <c r="E3478" s="4"/>
      <c r="F3478" s="4">
        <v>170</v>
      </c>
      <c r="G3478" s="4" t="s">
        <v>806</v>
      </c>
      <c r="H3478" s="4">
        <v>197</v>
      </c>
      <c r="I3478" s="201"/>
      <c r="J3478" s="201"/>
    </row>
    <row r="3479" spans="1:10" s="5" customFormat="1" ht="30" hidden="1" customHeight="1" outlineLevel="1" x14ac:dyDescent="0.25">
      <c r="A3479" s="41">
        <v>9735</v>
      </c>
      <c r="B3479" s="4" t="s">
        <v>19</v>
      </c>
      <c r="C3479" s="38" t="s">
        <v>814</v>
      </c>
      <c r="D3479" s="4">
        <v>2021</v>
      </c>
      <c r="E3479" s="4"/>
      <c r="F3479" s="4">
        <v>3</v>
      </c>
      <c r="G3479" s="4" t="s">
        <v>815</v>
      </c>
      <c r="H3479" s="4">
        <v>73</v>
      </c>
      <c r="I3479" s="201"/>
      <c r="J3479" s="201"/>
    </row>
    <row r="3480" spans="1:10" s="5" customFormat="1" ht="30" hidden="1" customHeight="1" outlineLevel="1" x14ac:dyDescent="0.25">
      <c r="A3480" s="41">
        <v>9739</v>
      </c>
      <c r="B3480" s="4" t="s">
        <v>19</v>
      </c>
      <c r="C3480" s="61" t="s">
        <v>99</v>
      </c>
      <c r="D3480" s="4">
        <v>2021</v>
      </c>
      <c r="E3480" s="4"/>
      <c r="F3480" s="4">
        <v>58</v>
      </c>
      <c r="G3480" s="4" t="s">
        <v>358</v>
      </c>
      <c r="H3480" s="4">
        <v>141</v>
      </c>
      <c r="I3480" s="201"/>
      <c r="J3480" s="201"/>
    </row>
    <row r="3481" spans="1:10" s="5" customFormat="1" ht="30" hidden="1" customHeight="1" outlineLevel="1" x14ac:dyDescent="0.25">
      <c r="A3481" s="42">
        <v>3888</v>
      </c>
      <c r="B3481" s="4" t="s">
        <v>19</v>
      </c>
      <c r="C3481" s="38" t="s">
        <v>816</v>
      </c>
      <c r="D3481" s="4">
        <v>2021</v>
      </c>
      <c r="E3481" s="4"/>
      <c r="F3481" s="4">
        <v>55</v>
      </c>
      <c r="G3481" s="4" t="s">
        <v>358</v>
      </c>
      <c r="H3481" s="4">
        <v>169</v>
      </c>
      <c r="I3481" s="201"/>
      <c r="J3481" s="201"/>
    </row>
    <row r="3482" spans="1:10" s="5" customFormat="1" ht="30" hidden="1" customHeight="1" outlineLevel="1" x14ac:dyDescent="0.25">
      <c r="A3482" s="42">
        <v>1222</v>
      </c>
      <c r="B3482" s="4" t="s">
        <v>19</v>
      </c>
      <c r="C3482" s="38" t="s">
        <v>817</v>
      </c>
      <c r="D3482" s="4">
        <v>2021</v>
      </c>
      <c r="E3482" s="4"/>
      <c r="F3482" s="4">
        <v>376</v>
      </c>
      <c r="G3482" s="4" t="s">
        <v>358</v>
      </c>
      <c r="H3482" s="4">
        <v>621</v>
      </c>
      <c r="I3482" s="201"/>
      <c r="J3482" s="201"/>
    </row>
    <row r="3483" spans="1:10" s="5" customFormat="1" ht="30" hidden="1" customHeight="1" outlineLevel="1" x14ac:dyDescent="0.25">
      <c r="A3483" s="41">
        <v>9695</v>
      </c>
      <c r="B3483" s="4" t="s">
        <v>19</v>
      </c>
      <c r="C3483" s="38" t="s">
        <v>818</v>
      </c>
      <c r="D3483" s="4">
        <v>2021</v>
      </c>
      <c r="E3483" s="4"/>
      <c r="F3483" s="4">
        <v>345</v>
      </c>
      <c r="G3483" s="4" t="s">
        <v>358</v>
      </c>
      <c r="H3483" s="4">
        <v>611</v>
      </c>
      <c r="I3483" s="201"/>
      <c r="J3483" s="201"/>
    </row>
    <row r="3484" spans="1:10" s="5" customFormat="1" ht="30" hidden="1" customHeight="1" outlineLevel="1" x14ac:dyDescent="0.25">
      <c r="A3484" s="41">
        <v>9698</v>
      </c>
      <c r="B3484" s="4" t="s">
        <v>19</v>
      </c>
      <c r="C3484" s="38" t="s">
        <v>819</v>
      </c>
      <c r="D3484" s="4">
        <v>2021</v>
      </c>
      <c r="E3484" s="4"/>
      <c r="F3484" s="4">
        <v>394</v>
      </c>
      <c r="G3484" s="4" t="s">
        <v>358</v>
      </c>
      <c r="H3484" s="4">
        <v>599</v>
      </c>
      <c r="I3484" s="201"/>
      <c r="J3484" s="201"/>
    </row>
    <row r="3485" spans="1:10" s="5" customFormat="1" ht="30" hidden="1" customHeight="1" outlineLevel="1" x14ac:dyDescent="0.25">
      <c r="A3485" s="42">
        <v>1251</v>
      </c>
      <c r="B3485" s="4" t="s">
        <v>19</v>
      </c>
      <c r="C3485" s="38" t="s">
        <v>101</v>
      </c>
      <c r="D3485" s="4">
        <v>2021</v>
      </c>
      <c r="E3485" s="4"/>
      <c r="F3485" s="4">
        <v>33</v>
      </c>
      <c r="G3485" s="4" t="s">
        <v>358</v>
      </c>
      <c r="H3485" s="4">
        <v>133</v>
      </c>
      <c r="I3485" s="201"/>
      <c r="J3485" s="201"/>
    </row>
    <row r="3486" spans="1:10" s="5" customFormat="1" ht="30" hidden="1" customHeight="1" outlineLevel="1" x14ac:dyDescent="0.25">
      <c r="A3486" s="41">
        <v>9716</v>
      </c>
      <c r="B3486" s="4" t="s">
        <v>19</v>
      </c>
      <c r="C3486" s="38" t="s">
        <v>820</v>
      </c>
      <c r="D3486" s="4">
        <v>2021</v>
      </c>
      <c r="E3486" s="4"/>
      <c r="F3486" s="4">
        <v>608</v>
      </c>
      <c r="G3486" s="4" t="s">
        <v>358</v>
      </c>
      <c r="H3486" s="4">
        <v>757</v>
      </c>
      <c r="I3486" s="201"/>
      <c r="J3486" s="201"/>
    </row>
    <row r="3487" spans="1:10" s="5" customFormat="1" ht="30" hidden="1" customHeight="1" outlineLevel="1" x14ac:dyDescent="0.25">
      <c r="A3487" s="41">
        <v>9717</v>
      </c>
      <c r="B3487" s="4" t="s">
        <v>19</v>
      </c>
      <c r="C3487" s="38" t="s">
        <v>821</v>
      </c>
      <c r="D3487" s="4">
        <v>2021</v>
      </c>
      <c r="E3487" s="4"/>
      <c r="F3487" s="4">
        <v>712</v>
      </c>
      <c r="G3487" s="4" t="s">
        <v>358</v>
      </c>
      <c r="H3487" s="4">
        <v>893</v>
      </c>
      <c r="I3487" s="201"/>
      <c r="J3487" s="201"/>
    </row>
    <row r="3488" spans="1:10" s="5" customFormat="1" ht="30" hidden="1" customHeight="1" outlineLevel="1" x14ac:dyDescent="0.25">
      <c r="A3488" s="41">
        <v>9721</v>
      </c>
      <c r="B3488" s="4" t="s">
        <v>19</v>
      </c>
      <c r="C3488" s="38" t="s">
        <v>822</v>
      </c>
      <c r="D3488" s="4">
        <v>2021</v>
      </c>
      <c r="E3488" s="4"/>
      <c r="F3488" s="4">
        <v>679</v>
      </c>
      <c r="G3488" s="4">
        <v>45</v>
      </c>
      <c r="H3488" s="4">
        <v>754</v>
      </c>
      <c r="I3488" s="201"/>
      <c r="J3488" s="201"/>
    </row>
    <row r="3489" spans="1:10" s="5" customFormat="1" ht="30" hidden="1" customHeight="1" outlineLevel="1" x14ac:dyDescent="0.25">
      <c r="A3489" s="41">
        <v>9723</v>
      </c>
      <c r="B3489" s="4" t="s">
        <v>19</v>
      </c>
      <c r="C3489" s="38" t="s">
        <v>103</v>
      </c>
      <c r="D3489" s="4">
        <v>2021</v>
      </c>
      <c r="E3489" s="4"/>
      <c r="F3489" s="4">
        <v>53</v>
      </c>
      <c r="G3489" s="4" t="s">
        <v>806</v>
      </c>
      <c r="H3489" s="4">
        <v>247</v>
      </c>
      <c r="I3489" s="201"/>
      <c r="J3489" s="201"/>
    </row>
    <row r="3490" spans="1:10" s="5" customFormat="1" ht="30" hidden="1" customHeight="1" outlineLevel="1" x14ac:dyDescent="0.25">
      <c r="A3490" s="41">
        <v>9724</v>
      </c>
      <c r="B3490" s="4" t="s">
        <v>19</v>
      </c>
      <c r="C3490" s="38" t="s">
        <v>104</v>
      </c>
      <c r="D3490" s="4">
        <v>2021</v>
      </c>
      <c r="E3490" s="4"/>
      <c r="F3490" s="4">
        <v>7</v>
      </c>
      <c r="G3490" s="4" t="s">
        <v>806</v>
      </c>
      <c r="H3490" s="4">
        <v>170</v>
      </c>
      <c r="I3490" s="201"/>
      <c r="J3490" s="201"/>
    </row>
    <row r="3491" spans="1:10" s="5" customFormat="1" ht="30" hidden="1" customHeight="1" outlineLevel="1" x14ac:dyDescent="0.25">
      <c r="A3491" s="41">
        <v>9514</v>
      </c>
      <c r="B3491" s="4" t="s">
        <v>19</v>
      </c>
      <c r="C3491" s="38" t="s">
        <v>823</v>
      </c>
      <c r="D3491" s="4">
        <v>2021</v>
      </c>
      <c r="E3491" s="4"/>
      <c r="F3491" s="4">
        <v>715</v>
      </c>
      <c r="G3491" s="4">
        <v>280</v>
      </c>
      <c r="H3491" s="4">
        <v>851.61400000000003</v>
      </c>
      <c r="I3491" s="201"/>
      <c r="J3491" s="201"/>
    </row>
    <row r="3492" spans="1:10" s="5" customFormat="1" ht="30" hidden="1" customHeight="1" outlineLevel="1" x14ac:dyDescent="0.25">
      <c r="A3492" s="41">
        <v>9609</v>
      </c>
      <c r="B3492" s="4" t="s">
        <v>19</v>
      </c>
      <c r="C3492" s="38" t="s">
        <v>724</v>
      </c>
      <c r="D3492" s="4">
        <v>2021</v>
      </c>
      <c r="E3492" s="4"/>
      <c r="F3492" s="4">
        <v>255</v>
      </c>
      <c r="G3492" s="4">
        <v>25</v>
      </c>
      <c r="H3492" s="4">
        <v>379</v>
      </c>
      <c r="I3492" s="201"/>
      <c r="J3492" s="201"/>
    </row>
    <row r="3493" spans="1:10" s="5" customFormat="1" ht="30" hidden="1" customHeight="1" outlineLevel="1" x14ac:dyDescent="0.25">
      <c r="A3493" s="41">
        <v>9668</v>
      </c>
      <c r="B3493" s="4" t="s">
        <v>19</v>
      </c>
      <c r="C3493" s="38" t="s">
        <v>725</v>
      </c>
      <c r="D3493" s="4">
        <v>2021</v>
      </c>
      <c r="E3493" s="4"/>
      <c r="F3493" s="4">
        <v>10</v>
      </c>
      <c r="G3493" s="4">
        <v>100</v>
      </c>
      <c r="H3493" s="4">
        <v>59</v>
      </c>
      <c r="I3493" s="201"/>
      <c r="J3493" s="201"/>
    </row>
    <row r="3494" spans="1:10" s="5" customFormat="1" ht="30" hidden="1" customHeight="1" outlineLevel="1" x14ac:dyDescent="0.25">
      <c r="A3494" s="41">
        <v>9600</v>
      </c>
      <c r="B3494" s="4" t="s">
        <v>19</v>
      </c>
      <c r="C3494" s="38" t="s">
        <v>824</v>
      </c>
      <c r="D3494" s="4">
        <v>2021</v>
      </c>
      <c r="E3494" s="4"/>
      <c r="F3494" s="4">
        <v>1283</v>
      </c>
      <c r="G3494" s="4">
        <v>240</v>
      </c>
      <c r="H3494" s="4">
        <v>2053</v>
      </c>
      <c r="I3494" s="201"/>
      <c r="J3494" s="201"/>
    </row>
    <row r="3495" spans="1:10" s="5" customFormat="1" ht="30" hidden="1" customHeight="1" outlineLevel="1" x14ac:dyDescent="0.25">
      <c r="A3495" s="41">
        <v>9658</v>
      </c>
      <c r="B3495" s="4" t="s">
        <v>19</v>
      </c>
      <c r="C3495" s="38" t="s">
        <v>825</v>
      </c>
      <c r="D3495" s="4">
        <v>2021</v>
      </c>
      <c r="E3495" s="4"/>
      <c r="F3495" s="4">
        <v>4</v>
      </c>
      <c r="G3495" s="4">
        <v>150</v>
      </c>
      <c r="H3495" s="4">
        <v>92</v>
      </c>
      <c r="I3495" s="201"/>
      <c r="J3495" s="201"/>
    </row>
    <row r="3496" spans="1:10" s="5" customFormat="1" ht="30" hidden="1" customHeight="1" outlineLevel="1" x14ac:dyDescent="0.25">
      <c r="A3496" s="41">
        <v>9316</v>
      </c>
      <c r="B3496" s="4" t="s">
        <v>19</v>
      </c>
      <c r="C3496" s="38" t="s">
        <v>826</v>
      </c>
      <c r="D3496" s="4">
        <v>2021</v>
      </c>
      <c r="E3496" s="4"/>
      <c r="F3496" s="4">
        <v>126</v>
      </c>
      <c r="G3496" s="4">
        <v>15</v>
      </c>
      <c r="H3496" s="4">
        <v>325</v>
      </c>
      <c r="I3496" s="201"/>
      <c r="J3496" s="201"/>
    </row>
    <row r="3497" spans="1:10" s="5" customFormat="1" ht="30" hidden="1" customHeight="1" outlineLevel="1" x14ac:dyDescent="0.25">
      <c r="A3497" s="42">
        <v>1142</v>
      </c>
      <c r="B3497" s="4" t="s">
        <v>19</v>
      </c>
      <c r="C3497" s="38" t="s">
        <v>726</v>
      </c>
      <c r="D3497" s="4">
        <v>2021</v>
      </c>
      <c r="E3497" s="4"/>
      <c r="F3497" s="4">
        <v>127</v>
      </c>
      <c r="G3497" s="4">
        <v>150</v>
      </c>
      <c r="H3497" s="4">
        <v>235</v>
      </c>
      <c r="I3497" s="201"/>
      <c r="J3497" s="201"/>
    </row>
    <row r="3498" spans="1:10" s="5" customFormat="1" ht="30" hidden="1" customHeight="1" outlineLevel="1" x14ac:dyDescent="0.25">
      <c r="A3498" s="41">
        <v>9419</v>
      </c>
      <c r="B3498" s="4" t="s">
        <v>19</v>
      </c>
      <c r="C3498" s="38" t="s">
        <v>827</v>
      </c>
      <c r="D3498" s="4">
        <v>2021</v>
      </c>
      <c r="E3498" s="4"/>
      <c r="F3498" s="4">
        <v>205</v>
      </c>
      <c r="G3498" s="4">
        <v>120</v>
      </c>
      <c r="H3498" s="4">
        <v>429</v>
      </c>
      <c r="I3498" s="201"/>
      <c r="J3498" s="201"/>
    </row>
    <row r="3499" spans="1:10" s="5" customFormat="1" ht="30" hidden="1" customHeight="1" outlineLevel="1" x14ac:dyDescent="0.25">
      <c r="A3499" s="42">
        <v>913</v>
      </c>
      <c r="B3499" s="4" t="s">
        <v>19</v>
      </c>
      <c r="C3499" s="38" t="s">
        <v>727</v>
      </c>
      <c r="D3499" s="4">
        <v>2021</v>
      </c>
      <c r="E3499" s="4"/>
      <c r="F3499" s="4">
        <v>756</v>
      </c>
      <c r="G3499" s="4">
        <v>119</v>
      </c>
      <c r="H3499" s="4">
        <v>1117</v>
      </c>
      <c r="I3499" s="201"/>
      <c r="J3499" s="201"/>
    </row>
    <row r="3500" spans="1:10" s="5" customFormat="1" ht="30" hidden="1" customHeight="1" outlineLevel="1" x14ac:dyDescent="0.25">
      <c r="A3500" s="41">
        <v>9659</v>
      </c>
      <c r="B3500" s="4" t="s">
        <v>19</v>
      </c>
      <c r="C3500" s="38" t="s">
        <v>828</v>
      </c>
      <c r="D3500" s="4">
        <v>2021</v>
      </c>
      <c r="E3500" s="4"/>
      <c r="F3500" s="4">
        <v>46</v>
      </c>
      <c r="G3500" s="4">
        <v>118.3</v>
      </c>
      <c r="H3500" s="4">
        <v>131</v>
      </c>
      <c r="I3500" s="201"/>
      <c r="J3500" s="201"/>
    </row>
    <row r="3501" spans="1:10" s="5" customFormat="1" ht="30" hidden="1" customHeight="1" outlineLevel="1" x14ac:dyDescent="0.25">
      <c r="A3501" s="42">
        <v>3796</v>
      </c>
      <c r="B3501" s="4" t="s">
        <v>19</v>
      </c>
      <c r="C3501" s="38" t="s">
        <v>728</v>
      </c>
      <c r="D3501" s="4">
        <v>2021</v>
      </c>
      <c r="E3501" s="4"/>
      <c r="F3501" s="4">
        <v>7</v>
      </c>
      <c r="G3501" s="4">
        <v>150</v>
      </c>
      <c r="H3501" s="4">
        <v>30</v>
      </c>
      <c r="I3501" s="201"/>
      <c r="J3501" s="201"/>
    </row>
    <row r="3502" spans="1:10" s="5" customFormat="1" ht="30" hidden="1" customHeight="1" outlineLevel="1" x14ac:dyDescent="0.25">
      <c r="A3502" s="42">
        <v>1156</v>
      </c>
      <c r="B3502" s="4" t="s">
        <v>19</v>
      </c>
      <c r="C3502" s="38" t="s">
        <v>829</v>
      </c>
      <c r="D3502" s="4">
        <v>2021</v>
      </c>
      <c r="E3502" s="4"/>
      <c r="F3502" s="4">
        <v>4</v>
      </c>
      <c r="G3502" s="4">
        <v>150</v>
      </c>
      <c r="H3502" s="4">
        <v>60</v>
      </c>
      <c r="I3502" s="201"/>
      <c r="J3502" s="201"/>
    </row>
    <row r="3503" spans="1:10" s="5" customFormat="1" ht="30" hidden="1" customHeight="1" outlineLevel="1" x14ac:dyDescent="0.25">
      <c r="A3503" s="42">
        <v>1143</v>
      </c>
      <c r="B3503" s="4" t="s">
        <v>19</v>
      </c>
      <c r="C3503" s="38" t="s">
        <v>729</v>
      </c>
      <c r="D3503" s="4">
        <v>2021</v>
      </c>
      <c r="E3503" s="4"/>
      <c r="F3503" s="4">
        <v>58</v>
      </c>
      <c r="G3503" s="4">
        <v>290</v>
      </c>
      <c r="H3503" s="4">
        <v>273</v>
      </c>
      <c r="I3503" s="201"/>
      <c r="J3503" s="201"/>
    </row>
    <row r="3504" spans="1:10" s="5" customFormat="1" ht="30" hidden="1" customHeight="1" outlineLevel="1" x14ac:dyDescent="0.25">
      <c r="A3504" s="41">
        <v>9663</v>
      </c>
      <c r="B3504" s="4" t="s">
        <v>19</v>
      </c>
      <c r="C3504" s="38" t="s">
        <v>730</v>
      </c>
      <c r="D3504" s="4">
        <v>2021</v>
      </c>
      <c r="E3504" s="4"/>
      <c r="F3504" s="4">
        <v>4</v>
      </c>
      <c r="G3504" s="4">
        <v>100</v>
      </c>
      <c r="H3504" s="4">
        <v>58</v>
      </c>
      <c r="I3504" s="201"/>
      <c r="J3504" s="201"/>
    </row>
    <row r="3505" spans="1:10" s="5" customFormat="1" ht="30" hidden="1" customHeight="1" outlineLevel="1" x14ac:dyDescent="0.25">
      <c r="A3505" s="42">
        <v>1148</v>
      </c>
      <c r="B3505" s="4" t="s">
        <v>19</v>
      </c>
      <c r="C3505" s="38" t="s">
        <v>731</v>
      </c>
      <c r="D3505" s="4">
        <v>2021</v>
      </c>
      <c r="E3505" s="4"/>
      <c r="F3505" s="4">
        <v>14</v>
      </c>
      <c r="G3505" s="4">
        <v>150</v>
      </c>
      <c r="H3505" s="4">
        <v>35</v>
      </c>
      <c r="I3505" s="201"/>
      <c r="J3505" s="201"/>
    </row>
    <row r="3506" spans="1:10" s="5" customFormat="1" ht="30" hidden="1" customHeight="1" outlineLevel="1" x14ac:dyDescent="0.25">
      <c r="A3506" s="41">
        <v>9664</v>
      </c>
      <c r="B3506" s="4" t="s">
        <v>19</v>
      </c>
      <c r="C3506" s="38" t="s">
        <v>732</v>
      </c>
      <c r="D3506" s="4">
        <v>2021</v>
      </c>
      <c r="E3506" s="4"/>
      <c r="F3506" s="4">
        <v>14</v>
      </c>
      <c r="G3506" s="4">
        <v>150</v>
      </c>
      <c r="H3506" s="4">
        <v>35</v>
      </c>
      <c r="I3506" s="201"/>
      <c r="J3506" s="201"/>
    </row>
    <row r="3507" spans="1:10" s="5" customFormat="1" ht="30" hidden="1" customHeight="1" outlineLevel="1" x14ac:dyDescent="0.25">
      <c r="A3507" s="41">
        <v>9875</v>
      </c>
      <c r="B3507" s="4" t="s">
        <v>19</v>
      </c>
      <c r="C3507" s="38" t="s">
        <v>830</v>
      </c>
      <c r="D3507" s="4">
        <v>2021</v>
      </c>
      <c r="E3507" s="4"/>
      <c r="F3507" s="4">
        <v>221</v>
      </c>
      <c r="G3507" s="4">
        <v>25</v>
      </c>
      <c r="H3507" s="4">
        <v>355</v>
      </c>
      <c r="I3507" s="201"/>
      <c r="J3507" s="201"/>
    </row>
    <row r="3508" spans="1:10" s="5" customFormat="1" ht="30" hidden="1" customHeight="1" outlineLevel="1" x14ac:dyDescent="0.25">
      <c r="A3508" s="41">
        <v>9423</v>
      </c>
      <c r="B3508" s="4" t="s">
        <v>19</v>
      </c>
      <c r="C3508" s="38" t="s">
        <v>831</v>
      </c>
      <c r="D3508" s="4">
        <v>2021</v>
      </c>
      <c r="E3508" s="4"/>
      <c r="F3508" s="4">
        <v>29</v>
      </c>
      <c r="G3508" s="4">
        <v>30</v>
      </c>
      <c r="H3508" s="4">
        <v>130</v>
      </c>
      <c r="I3508" s="201"/>
      <c r="J3508" s="201"/>
    </row>
    <row r="3509" spans="1:10" s="5" customFormat="1" ht="30" hidden="1" customHeight="1" outlineLevel="1" x14ac:dyDescent="0.25">
      <c r="A3509" s="41">
        <v>9291</v>
      </c>
      <c r="B3509" s="4" t="s">
        <v>19</v>
      </c>
      <c r="C3509" s="38" t="s">
        <v>832</v>
      </c>
      <c r="D3509" s="4">
        <v>2021</v>
      </c>
      <c r="E3509" s="4"/>
      <c r="F3509" s="4">
        <v>108</v>
      </c>
      <c r="G3509" s="4">
        <v>30</v>
      </c>
      <c r="H3509" s="4">
        <v>256</v>
      </c>
      <c r="I3509" s="201"/>
      <c r="J3509" s="201"/>
    </row>
    <row r="3510" spans="1:10" s="5" customFormat="1" ht="30" hidden="1" customHeight="1" outlineLevel="1" x14ac:dyDescent="0.25">
      <c r="A3510" s="41">
        <v>9601</v>
      </c>
      <c r="B3510" s="4" t="s">
        <v>19</v>
      </c>
      <c r="C3510" s="38" t="s">
        <v>733</v>
      </c>
      <c r="D3510" s="4">
        <v>2021</v>
      </c>
      <c r="E3510" s="4"/>
      <c r="F3510" s="4">
        <v>1039</v>
      </c>
      <c r="G3510" s="4">
        <v>537</v>
      </c>
      <c r="H3510" s="4">
        <v>2316</v>
      </c>
      <c r="I3510" s="201"/>
      <c r="J3510" s="201"/>
    </row>
    <row r="3511" spans="1:10" s="5" customFormat="1" ht="30" hidden="1" customHeight="1" outlineLevel="1" x14ac:dyDescent="0.25">
      <c r="A3511" s="41">
        <v>9591</v>
      </c>
      <c r="B3511" s="4" t="s">
        <v>19</v>
      </c>
      <c r="C3511" s="38" t="s">
        <v>833</v>
      </c>
      <c r="D3511" s="4">
        <v>2021</v>
      </c>
      <c r="E3511" s="4"/>
      <c r="F3511" s="4">
        <v>2661</v>
      </c>
      <c r="G3511" s="4">
        <v>417</v>
      </c>
      <c r="H3511" s="4">
        <v>4712</v>
      </c>
      <c r="I3511" s="201"/>
      <c r="J3511" s="201"/>
    </row>
    <row r="3512" spans="1:10" s="5" customFormat="1" ht="30" hidden="1" customHeight="1" outlineLevel="1" x14ac:dyDescent="0.25">
      <c r="A3512" s="41">
        <v>9328</v>
      </c>
      <c r="B3512" s="4" t="s">
        <v>19</v>
      </c>
      <c r="C3512" s="38" t="s">
        <v>834</v>
      </c>
      <c r="D3512" s="4">
        <v>2021</v>
      </c>
      <c r="E3512" s="4"/>
      <c r="F3512" s="4">
        <v>250</v>
      </c>
      <c r="G3512" s="4">
        <v>30</v>
      </c>
      <c r="H3512" s="4">
        <v>341</v>
      </c>
      <c r="I3512" s="201"/>
      <c r="J3512" s="201"/>
    </row>
    <row r="3513" spans="1:10" s="5" customFormat="1" ht="30" hidden="1" customHeight="1" outlineLevel="1" x14ac:dyDescent="0.25">
      <c r="A3513" s="41">
        <v>9401</v>
      </c>
      <c r="B3513" s="4" t="s">
        <v>19</v>
      </c>
      <c r="C3513" s="38" t="s">
        <v>835</v>
      </c>
      <c r="D3513" s="4">
        <v>2021</v>
      </c>
      <c r="E3513" s="4"/>
      <c r="F3513" s="4">
        <v>550</v>
      </c>
      <c r="G3513" s="4">
        <v>15</v>
      </c>
      <c r="H3513" s="4">
        <v>562</v>
      </c>
      <c r="I3513" s="201"/>
      <c r="J3513" s="201"/>
    </row>
    <row r="3514" spans="1:10" s="5" customFormat="1" ht="30" hidden="1" customHeight="1" outlineLevel="1" x14ac:dyDescent="0.25">
      <c r="A3514" s="42">
        <v>335</v>
      </c>
      <c r="B3514" s="4" t="s">
        <v>19</v>
      </c>
      <c r="C3514" s="38" t="s">
        <v>836</v>
      </c>
      <c r="D3514" s="4">
        <v>2021</v>
      </c>
      <c r="E3514" s="4"/>
      <c r="F3514" s="4">
        <v>950</v>
      </c>
      <c r="G3514" s="4">
        <v>15</v>
      </c>
      <c r="H3514" s="4">
        <v>776</v>
      </c>
      <c r="I3514" s="201"/>
      <c r="J3514" s="201"/>
    </row>
    <row r="3515" spans="1:10" s="5" customFormat="1" ht="30" hidden="1" customHeight="1" outlineLevel="1" x14ac:dyDescent="0.25">
      <c r="A3515" s="41">
        <v>9400</v>
      </c>
      <c r="B3515" s="4" t="s">
        <v>19</v>
      </c>
      <c r="C3515" s="38" t="s">
        <v>837</v>
      </c>
      <c r="D3515" s="4">
        <v>2021</v>
      </c>
      <c r="E3515" s="4"/>
      <c r="F3515" s="4">
        <v>600</v>
      </c>
      <c r="G3515" s="4">
        <v>45</v>
      </c>
      <c r="H3515" s="4">
        <v>612</v>
      </c>
      <c r="I3515" s="201"/>
      <c r="J3515" s="201"/>
    </row>
    <row r="3516" spans="1:10" s="5" customFormat="1" ht="30" hidden="1" customHeight="1" outlineLevel="1" x14ac:dyDescent="0.25">
      <c r="A3516" s="42">
        <v>334</v>
      </c>
      <c r="B3516" s="4" t="s">
        <v>19</v>
      </c>
      <c r="C3516" s="38" t="s">
        <v>838</v>
      </c>
      <c r="D3516" s="4">
        <v>2021</v>
      </c>
      <c r="E3516" s="4"/>
      <c r="F3516" s="4">
        <v>750</v>
      </c>
      <c r="G3516" s="4">
        <v>15</v>
      </c>
      <c r="H3516" s="4">
        <v>784</v>
      </c>
      <c r="I3516" s="201"/>
      <c r="J3516" s="201"/>
    </row>
    <row r="3517" spans="1:10" s="5" customFormat="1" ht="30" hidden="1" customHeight="1" outlineLevel="1" x14ac:dyDescent="0.25">
      <c r="A3517" s="41">
        <v>9344</v>
      </c>
      <c r="B3517" s="4" t="s">
        <v>19</v>
      </c>
      <c r="C3517" s="38" t="s">
        <v>839</v>
      </c>
      <c r="D3517" s="4">
        <v>2021</v>
      </c>
      <c r="E3517" s="4"/>
      <c r="F3517" s="4">
        <v>273</v>
      </c>
      <c r="G3517" s="4">
        <v>92</v>
      </c>
      <c r="H3517" s="4">
        <v>544</v>
      </c>
      <c r="I3517" s="201"/>
      <c r="J3517" s="201"/>
    </row>
    <row r="3518" spans="1:10" s="5" customFormat="1" ht="30" hidden="1" customHeight="1" outlineLevel="1" x14ac:dyDescent="0.25">
      <c r="A3518" s="41">
        <v>9577</v>
      </c>
      <c r="B3518" s="4" t="s">
        <v>19</v>
      </c>
      <c r="C3518" s="38" t="s">
        <v>840</v>
      </c>
      <c r="D3518" s="4">
        <v>2021</v>
      </c>
      <c r="E3518" s="4"/>
      <c r="F3518" s="4">
        <v>2530</v>
      </c>
      <c r="G3518" s="4">
        <v>195</v>
      </c>
      <c r="H3518" s="4">
        <v>3466</v>
      </c>
      <c r="I3518" s="201"/>
      <c r="J3518" s="201"/>
    </row>
    <row r="3519" spans="1:10" s="5" customFormat="1" ht="30" hidden="1" customHeight="1" outlineLevel="1" x14ac:dyDescent="0.25">
      <c r="A3519" s="41">
        <v>9677</v>
      </c>
      <c r="B3519" s="4" t="s">
        <v>19</v>
      </c>
      <c r="C3519" s="38" t="s">
        <v>841</v>
      </c>
      <c r="D3519" s="4">
        <v>2021</v>
      </c>
      <c r="E3519" s="4"/>
      <c r="F3519" s="4">
        <v>325</v>
      </c>
      <c r="G3519" s="4">
        <v>150</v>
      </c>
      <c r="H3519" s="4">
        <v>519</v>
      </c>
      <c r="I3519" s="201"/>
      <c r="J3519" s="201"/>
    </row>
    <row r="3520" spans="1:10" s="5" customFormat="1" ht="30" hidden="1" customHeight="1" outlineLevel="1" x14ac:dyDescent="0.25">
      <c r="A3520" s="41">
        <v>9339</v>
      </c>
      <c r="B3520" s="4" t="s">
        <v>19</v>
      </c>
      <c r="C3520" s="38" t="s">
        <v>842</v>
      </c>
      <c r="D3520" s="4">
        <v>2021</v>
      </c>
      <c r="E3520" s="4"/>
      <c r="F3520" s="4">
        <v>466</v>
      </c>
      <c r="G3520" s="4">
        <v>15</v>
      </c>
      <c r="H3520" s="4">
        <v>695</v>
      </c>
      <c r="I3520" s="201"/>
      <c r="J3520" s="201"/>
    </row>
    <row r="3521" spans="1:10" s="5" customFormat="1" ht="30" hidden="1" customHeight="1" outlineLevel="1" x14ac:dyDescent="0.25">
      <c r="A3521" s="41">
        <v>9441</v>
      </c>
      <c r="B3521" s="4" t="s">
        <v>19</v>
      </c>
      <c r="C3521" s="38" t="s">
        <v>734</v>
      </c>
      <c r="D3521" s="4">
        <v>2021</v>
      </c>
      <c r="E3521" s="4"/>
      <c r="F3521" s="4">
        <v>490</v>
      </c>
      <c r="G3521" s="4">
        <v>105</v>
      </c>
      <c r="H3521" s="4">
        <v>70</v>
      </c>
      <c r="I3521" s="201"/>
      <c r="J3521" s="201"/>
    </row>
    <row r="3522" spans="1:10" s="5" customFormat="1" ht="30" hidden="1" customHeight="1" outlineLevel="1" x14ac:dyDescent="0.25">
      <c r="A3522" s="42">
        <v>909</v>
      </c>
      <c r="B3522" s="4" t="s">
        <v>19</v>
      </c>
      <c r="C3522" s="38" t="s">
        <v>520</v>
      </c>
      <c r="D3522" s="4">
        <v>2021</v>
      </c>
      <c r="E3522" s="4"/>
      <c r="F3522" s="4">
        <v>211</v>
      </c>
      <c r="G3522" s="4">
        <v>15</v>
      </c>
      <c r="H3522" s="4">
        <v>50</v>
      </c>
      <c r="I3522" s="201"/>
      <c r="J3522" s="201"/>
    </row>
    <row r="3523" spans="1:10" s="5" customFormat="1" ht="30" hidden="1" customHeight="1" outlineLevel="1" x14ac:dyDescent="0.25">
      <c r="A3523" s="42">
        <v>3797</v>
      </c>
      <c r="B3523" s="4" t="s">
        <v>19</v>
      </c>
      <c r="C3523" s="38" t="s">
        <v>735</v>
      </c>
      <c r="D3523" s="4">
        <v>2021</v>
      </c>
      <c r="E3523" s="4"/>
      <c r="F3523" s="4">
        <v>5</v>
      </c>
      <c r="G3523" s="4">
        <v>149.30000000000001</v>
      </c>
      <c r="H3523" s="4">
        <v>41</v>
      </c>
      <c r="I3523" s="201"/>
      <c r="J3523" s="201"/>
    </row>
    <row r="3524" spans="1:10" s="5" customFormat="1" ht="30" hidden="1" customHeight="1" outlineLevel="1" x14ac:dyDescent="0.25">
      <c r="A3524" s="41">
        <v>9613</v>
      </c>
      <c r="B3524" s="4" t="s">
        <v>19</v>
      </c>
      <c r="C3524" s="38" t="s">
        <v>736</v>
      </c>
      <c r="D3524" s="4">
        <v>2021</v>
      </c>
      <c r="E3524" s="4"/>
      <c r="F3524" s="4">
        <v>688</v>
      </c>
      <c r="G3524" s="4">
        <v>20</v>
      </c>
      <c r="H3524" s="4">
        <v>1134</v>
      </c>
      <c r="I3524" s="201"/>
      <c r="J3524" s="201"/>
    </row>
    <row r="3525" spans="1:10" s="5" customFormat="1" ht="30" hidden="1" customHeight="1" outlineLevel="1" x14ac:dyDescent="0.25">
      <c r="A3525" s="41">
        <v>9886</v>
      </c>
      <c r="B3525" s="4" t="s">
        <v>19</v>
      </c>
      <c r="C3525" s="38" t="s">
        <v>843</v>
      </c>
      <c r="D3525" s="4">
        <v>2021</v>
      </c>
      <c r="E3525" s="4"/>
      <c r="F3525" s="4">
        <v>358</v>
      </c>
      <c r="G3525" s="4">
        <v>30</v>
      </c>
      <c r="H3525" s="4">
        <v>394</v>
      </c>
      <c r="I3525" s="201"/>
      <c r="J3525" s="201"/>
    </row>
    <row r="3526" spans="1:10" s="5" customFormat="1" ht="30" hidden="1" customHeight="1" outlineLevel="1" x14ac:dyDescent="0.25">
      <c r="A3526" s="41">
        <v>9395</v>
      </c>
      <c r="B3526" s="4" t="s">
        <v>19</v>
      </c>
      <c r="C3526" s="38" t="s">
        <v>844</v>
      </c>
      <c r="D3526" s="4">
        <v>2021</v>
      </c>
      <c r="E3526" s="4"/>
      <c r="F3526" s="4">
        <v>391</v>
      </c>
      <c r="G3526" s="4">
        <v>42</v>
      </c>
      <c r="H3526" s="4">
        <v>709</v>
      </c>
      <c r="I3526" s="201"/>
      <c r="J3526" s="201"/>
    </row>
    <row r="3527" spans="1:10" s="5" customFormat="1" ht="30" hidden="1" customHeight="1" outlineLevel="1" x14ac:dyDescent="0.25">
      <c r="A3527" s="41">
        <v>9605</v>
      </c>
      <c r="B3527" s="4" t="s">
        <v>19</v>
      </c>
      <c r="C3527" s="38" t="s">
        <v>737</v>
      </c>
      <c r="D3527" s="4">
        <v>2021</v>
      </c>
      <c r="E3527" s="4"/>
      <c r="F3527" s="4">
        <v>324</v>
      </c>
      <c r="G3527" s="4">
        <v>72</v>
      </c>
      <c r="H3527" s="4">
        <v>422</v>
      </c>
      <c r="I3527" s="201"/>
      <c r="J3527" s="201"/>
    </row>
    <row r="3528" spans="1:10" s="5" customFormat="1" ht="30" hidden="1" customHeight="1" outlineLevel="1" x14ac:dyDescent="0.25">
      <c r="A3528" s="41">
        <v>9394</v>
      </c>
      <c r="B3528" s="4" t="s">
        <v>19</v>
      </c>
      <c r="C3528" s="38" t="s">
        <v>845</v>
      </c>
      <c r="D3528" s="4">
        <v>2021</v>
      </c>
      <c r="E3528" s="4"/>
      <c r="F3528" s="4">
        <v>398</v>
      </c>
      <c r="G3528" s="4">
        <v>14</v>
      </c>
      <c r="H3528" s="4">
        <v>692</v>
      </c>
      <c r="I3528" s="201"/>
      <c r="J3528" s="201"/>
    </row>
    <row r="3529" spans="1:10" s="5" customFormat="1" ht="30" hidden="1" customHeight="1" outlineLevel="1" x14ac:dyDescent="0.25">
      <c r="A3529" s="42">
        <v>1129</v>
      </c>
      <c r="B3529" s="4" t="s">
        <v>19</v>
      </c>
      <c r="C3529" s="38" t="s">
        <v>738</v>
      </c>
      <c r="D3529" s="4">
        <v>2021</v>
      </c>
      <c r="E3529" s="4"/>
      <c r="F3529" s="4">
        <v>2</v>
      </c>
      <c r="G3529" s="4">
        <v>150</v>
      </c>
      <c r="H3529" s="4">
        <v>41</v>
      </c>
      <c r="I3529" s="201"/>
      <c r="J3529" s="201"/>
    </row>
    <row r="3530" spans="1:10" s="5" customFormat="1" ht="30" hidden="1" customHeight="1" outlineLevel="1" x14ac:dyDescent="0.25">
      <c r="A3530" s="41">
        <v>9403</v>
      </c>
      <c r="B3530" s="4" t="s">
        <v>19</v>
      </c>
      <c r="C3530" s="38" t="s">
        <v>846</v>
      </c>
      <c r="D3530" s="4">
        <v>2021</v>
      </c>
      <c r="E3530" s="4"/>
      <c r="F3530" s="4">
        <v>391</v>
      </c>
      <c r="G3530" s="4">
        <v>45</v>
      </c>
      <c r="H3530" s="4">
        <v>553</v>
      </c>
      <c r="I3530" s="201"/>
      <c r="J3530" s="201"/>
    </row>
    <row r="3531" spans="1:10" s="5" customFormat="1" ht="30" hidden="1" customHeight="1" outlineLevel="1" x14ac:dyDescent="0.25">
      <c r="A3531" s="41">
        <v>9883</v>
      </c>
      <c r="B3531" s="4" t="s">
        <v>19</v>
      </c>
      <c r="C3531" s="38" t="s">
        <v>847</v>
      </c>
      <c r="D3531" s="4">
        <v>2021</v>
      </c>
      <c r="E3531" s="4"/>
      <c r="F3531" s="4">
        <v>588</v>
      </c>
      <c r="G3531" s="4">
        <v>15</v>
      </c>
      <c r="H3531" s="4">
        <v>1035</v>
      </c>
      <c r="I3531" s="201"/>
      <c r="J3531" s="201"/>
    </row>
    <row r="3532" spans="1:10" s="5" customFormat="1" ht="30" hidden="1" customHeight="1" outlineLevel="1" x14ac:dyDescent="0.25">
      <c r="A3532" s="41">
        <v>9427</v>
      </c>
      <c r="B3532" s="4" t="s">
        <v>19</v>
      </c>
      <c r="C3532" s="38" t="s">
        <v>848</v>
      </c>
      <c r="D3532" s="4">
        <v>2021</v>
      </c>
      <c r="E3532" s="4"/>
      <c r="F3532" s="4">
        <v>1710</v>
      </c>
      <c r="G3532" s="4">
        <v>150</v>
      </c>
      <c r="H3532" s="4">
        <v>1916</v>
      </c>
      <c r="I3532" s="201"/>
      <c r="J3532" s="201"/>
    </row>
    <row r="3533" spans="1:10" s="5" customFormat="1" ht="30" hidden="1" customHeight="1" outlineLevel="1" x14ac:dyDescent="0.25">
      <c r="A3533" s="41">
        <v>9878</v>
      </c>
      <c r="B3533" s="4" t="s">
        <v>19</v>
      </c>
      <c r="C3533" s="38" t="s">
        <v>849</v>
      </c>
      <c r="D3533" s="4">
        <v>2021</v>
      </c>
      <c r="E3533" s="4"/>
      <c r="F3533" s="4">
        <v>29</v>
      </c>
      <c r="G3533" s="4">
        <v>50</v>
      </c>
      <c r="H3533" s="4">
        <v>27</v>
      </c>
      <c r="I3533" s="201"/>
      <c r="J3533" s="201"/>
    </row>
    <row r="3534" spans="1:10" s="5" customFormat="1" ht="30" hidden="1" customHeight="1" outlineLevel="1" x14ac:dyDescent="0.25">
      <c r="A3534" s="42">
        <v>660</v>
      </c>
      <c r="B3534" s="4" t="s">
        <v>19</v>
      </c>
      <c r="C3534" s="38" t="s">
        <v>850</v>
      </c>
      <c r="D3534" s="4">
        <v>2021</v>
      </c>
      <c r="E3534" s="4"/>
      <c r="F3534" s="4">
        <v>125</v>
      </c>
      <c r="G3534" s="4">
        <v>150</v>
      </c>
      <c r="H3534" s="4">
        <v>138</v>
      </c>
      <c r="I3534" s="201"/>
      <c r="J3534" s="201"/>
    </row>
    <row r="3535" spans="1:10" s="5" customFormat="1" ht="30" hidden="1" customHeight="1" outlineLevel="1" x14ac:dyDescent="0.25">
      <c r="A3535" s="41">
        <v>9612</v>
      </c>
      <c r="B3535" s="4" t="s">
        <v>19</v>
      </c>
      <c r="C3535" s="38" t="s">
        <v>740</v>
      </c>
      <c r="D3535" s="4">
        <v>2021</v>
      </c>
      <c r="E3535" s="4"/>
      <c r="F3535" s="4">
        <v>532</v>
      </c>
      <c r="G3535" s="4">
        <v>224</v>
      </c>
      <c r="H3535" s="4">
        <v>899</v>
      </c>
      <c r="I3535" s="201"/>
      <c r="J3535" s="201"/>
    </row>
    <row r="3536" spans="1:10" s="5" customFormat="1" ht="30" hidden="1" customHeight="1" outlineLevel="1" x14ac:dyDescent="0.25">
      <c r="A3536" s="41">
        <v>9676</v>
      </c>
      <c r="B3536" s="4" t="s">
        <v>19</v>
      </c>
      <c r="C3536" s="38" t="s">
        <v>851</v>
      </c>
      <c r="D3536" s="4">
        <v>2021</v>
      </c>
      <c r="E3536" s="4"/>
      <c r="F3536" s="4">
        <v>140</v>
      </c>
      <c r="G3536" s="4">
        <v>150</v>
      </c>
      <c r="H3536" s="4">
        <v>319</v>
      </c>
      <c r="I3536" s="201"/>
      <c r="J3536" s="201"/>
    </row>
    <row r="3537" spans="1:10" s="5" customFormat="1" ht="30" hidden="1" customHeight="1" outlineLevel="1" x14ac:dyDescent="0.25">
      <c r="A3537" s="41">
        <v>9887</v>
      </c>
      <c r="B3537" s="4" t="s">
        <v>19</v>
      </c>
      <c r="C3537" s="38" t="s">
        <v>852</v>
      </c>
      <c r="D3537" s="4">
        <v>2021</v>
      </c>
      <c r="E3537" s="4"/>
      <c r="F3537" s="4">
        <v>191</v>
      </c>
      <c r="G3537" s="4">
        <v>100</v>
      </c>
      <c r="H3537" s="4">
        <v>388</v>
      </c>
      <c r="I3537" s="201"/>
      <c r="J3537" s="201"/>
    </row>
    <row r="3538" spans="1:10" s="5" customFormat="1" ht="30" hidden="1" customHeight="1" outlineLevel="1" x14ac:dyDescent="0.25">
      <c r="A3538" s="41">
        <v>9888</v>
      </c>
      <c r="B3538" s="4" t="s">
        <v>19</v>
      </c>
      <c r="C3538" s="38" t="s">
        <v>853</v>
      </c>
      <c r="D3538" s="4">
        <v>2021</v>
      </c>
      <c r="E3538" s="4"/>
      <c r="F3538" s="4">
        <v>690</v>
      </c>
      <c r="G3538" s="4">
        <v>35</v>
      </c>
      <c r="H3538" s="4">
        <v>872</v>
      </c>
      <c r="I3538" s="201"/>
      <c r="J3538" s="201"/>
    </row>
    <row r="3539" spans="1:10" s="5" customFormat="1" ht="30" hidden="1" customHeight="1" outlineLevel="1" x14ac:dyDescent="0.25">
      <c r="A3539" s="41">
        <v>9418</v>
      </c>
      <c r="B3539" s="4" t="s">
        <v>19</v>
      </c>
      <c r="C3539" s="38" t="s">
        <v>854</v>
      </c>
      <c r="D3539" s="4">
        <v>2021</v>
      </c>
      <c r="E3539" s="4"/>
      <c r="F3539" s="4">
        <v>2281</v>
      </c>
      <c r="G3539" s="4">
        <v>110</v>
      </c>
      <c r="H3539" s="4">
        <v>3132</v>
      </c>
      <c r="I3539" s="201"/>
      <c r="J3539" s="201"/>
    </row>
    <row r="3540" spans="1:10" s="5" customFormat="1" ht="30" hidden="1" customHeight="1" outlineLevel="1" x14ac:dyDescent="0.25">
      <c r="A3540" s="41">
        <v>9334</v>
      </c>
      <c r="B3540" s="4" t="s">
        <v>19</v>
      </c>
      <c r="C3540" s="38" t="s">
        <v>855</v>
      </c>
      <c r="D3540" s="4">
        <v>2021</v>
      </c>
      <c r="E3540" s="4"/>
      <c r="F3540" s="4">
        <v>252</v>
      </c>
      <c r="G3540" s="4">
        <v>75</v>
      </c>
      <c r="H3540" s="4">
        <v>451</v>
      </c>
      <c r="I3540" s="201"/>
      <c r="J3540" s="201"/>
    </row>
    <row r="3541" spans="1:10" s="5" customFormat="1" ht="30" hidden="1" customHeight="1" outlineLevel="1" x14ac:dyDescent="0.25">
      <c r="A3541" s="41">
        <v>9343</v>
      </c>
      <c r="B3541" s="4" t="s">
        <v>19</v>
      </c>
      <c r="C3541" s="38" t="s">
        <v>856</v>
      </c>
      <c r="D3541" s="4">
        <v>2021</v>
      </c>
      <c r="E3541" s="4"/>
      <c r="F3541" s="4">
        <v>261</v>
      </c>
      <c r="G3541" s="4">
        <v>15</v>
      </c>
      <c r="H3541" s="4">
        <v>417</v>
      </c>
      <c r="I3541" s="201"/>
      <c r="J3541" s="201"/>
    </row>
    <row r="3542" spans="1:10" s="5" customFormat="1" ht="30" hidden="1" customHeight="1" outlineLevel="1" x14ac:dyDescent="0.25">
      <c r="A3542" s="41">
        <v>9402</v>
      </c>
      <c r="B3542" s="4" t="s">
        <v>19</v>
      </c>
      <c r="C3542" s="38" t="s">
        <v>857</v>
      </c>
      <c r="D3542" s="4">
        <v>2021</v>
      </c>
      <c r="E3542" s="4"/>
      <c r="F3542" s="4">
        <v>276</v>
      </c>
      <c r="G3542" s="4">
        <v>15</v>
      </c>
      <c r="H3542" s="4">
        <v>415</v>
      </c>
      <c r="I3542" s="201"/>
      <c r="J3542" s="201"/>
    </row>
    <row r="3543" spans="1:10" s="5" customFormat="1" ht="30" hidden="1" customHeight="1" outlineLevel="1" x14ac:dyDescent="0.25">
      <c r="A3543" s="41">
        <v>9396</v>
      </c>
      <c r="B3543" s="4" t="s">
        <v>19</v>
      </c>
      <c r="C3543" s="38" t="s">
        <v>858</v>
      </c>
      <c r="D3543" s="4">
        <v>2021</v>
      </c>
      <c r="E3543" s="4"/>
      <c r="F3543" s="4">
        <v>151</v>
      </c>
      <c r="G3543" s="4">
        <v>15</v>
      </c>
      <c r="H3543" s="4">
        <v>297</v>
      </c>
      <c r="I3543" s="201"/>
      <c r="J3543" s="201"/>
    </row>
    <row r="3544" spans="1:10" s="5" customFormat="1" ht="30" hidden="1" customHeight="1" outlineLevel="1" x14ac:dyDescent="0.25">
      <c r="A3544" s="41">
        <v>9648</v>
      </c>
      <c r="B3544" s="4" t="s">
        <v>19</v>
      </c>
      <c r="C3544" s="38" t="s">
        <v>859</v>
      </c>
      <c r="D3544" s="4">
        <v>2021</v>
      </c>
      <c r="E3544" s="4"/>
      <c r="F3544" s="4">
        <v>791</v>
      </c>
      <c r="G3544" s="4">
        <v>45</v>
      </c>
      <c r="H3544" s="4">
        <v>1160</v>
      </c>
      <c r="I3544" s="201"/>
      <c r="J3544" s="201"/>
    </row>
    <row r="3545" spans="1:10" s="5" customFormat="1" ht="30" hidden="1" customHeight="1" outlineLevel="1" x14ac:dyDescent="0.25">
      <c r="A3545" s="41">
        <v>9589</v>
      </c>
      <c r="B3545" s="4" t="s">
        <v>19</v>
      </c>
      <c r="C3545" s="38" t="s">
        <v>860</v>
      </c>
      <c r="D3545" s="4">
        <v>2021</v>
      </c>
      <c r="E3545" s="4"/>
      <c r="F3545" s="4">
        <v>456</v>
      </c>
      <c r="G3545" s="4">
        <v>300</v>
      </c>
      <c r="H3545" s="4">
        <v>740</v>
      </c>
      <c r="I3545" s="201"/>
      <c r="J3545" s="201"/>
    </row>
    <row r="3546" spans="1:10" s="5" customFormat="1" ht="30" hidden="1" customHeight="1" outlineLevel="1" x14ac:dyDescent="0.25">
      <c r="A3546" s="41">
        <v>9424</v>
      </c>
      <c r="B3546" s="4" t="s">
        <v>19</v>
      </c>
      <c r="C3546" s="38" t="s">
        <v>861</v>
      </c>
      <c r="D3546" s="4">
        <v>2021</v>
      </c>
      <c r="E3546" s="4"/>
      <c r="F3546" s="4">
        <v>247</v>
      </c>
      <c r="G3546" s="4">
        <v>15</v>
      </c>
      <c r="H3546" s="4">
        <v>575</v>
      </c>
      <c r="I3546" s="201"/>
      <c r="J3546" s="201"/>
    </row>
    <row r="3547" spans="1:10" s="5" customFormat="1" ht="30" hidden="1" customHeight="1" outlineLevel="1" x14ac:dyDescent="0.25">
      <c r="A3547" s="41">
        <v>9595</v>
      </c>
      <c r="B3547" s="4" t="s">
        <v>19</v>
      </c>
      <c r="C3547" s="38" t="s">
        <v>748</v>
      </c>
      <c r="D3547" s="4">
        <v>2021</v>
      </c>
      <c r="E3547" s="4"/>
      <c r="F3547" s="4">
        <v>824</v>
      </c>
      <c r="G3547" s="4">
        <v>285</v>
      </c>
      <c r="H3547" s="4">
        <v>1118</v>
      </c>
      <c r="I3547" s="201"/>
      <c r="J3547" s="201"/>
    </row>
    <row r="3548" spans="1:10" s="5" customFormat="1" ht="30" hidden="1" customHeight="1" outlineLevel="1" x14ac:dyDescent="0.25">
      <c r="A3548" s="41">
        <v>9666</v>
      </c>
      <c r="B3548" s="4" t="s">
        <v>19</v>
      </c>
      <c r="C3548" s="38" t="s">
        <v>753</v>
      </c>
      <c r="D3548" s="4">
        <v>2021</v>
      </c>
      <c r="E3548" s="4"/>
      <c r="F3548" s="4">
        <v>599</v>
      </c>
      <c r="G3548" s="4">
        <v>90</v>
      </c>
      <c r="H3548" s="4">
        <v>914</v>
      </c>
      <c r="I3548" s="201"/>
      <c r="J3548" s="201"/>
    </row>
    <row r="3549" spans="1:10" s="5" customFormat="1" ht="30" hidden="1" customHeight="1" outlineLevel="1" x14ac:dyDescent="0.25">
      <c r="A3549" s="42">
        <v>1536</v>
      </c>
      <c r="B3549" s="4" t="s">
        <v>19</v>
      </c>
      <c r="C3549" s="38" t="s">
        <v>862</v>
      </c>
      <c r="D3549" s="4">
        <v>2021</v>
      </c>
      <c r="E3549" s="4"/>
      <c r="F3549" s="4">
        <v>216</v>
      </c>
      <c r="G3549" s="4">
        <v>15</v>
      </c>
      <c r="H3549" s="4">
        <v>342.00830000000002</v>
      </c>
      <c r="I3549" s="201"/>
      <c r="J3549" s="201"/>
    </row>
    <row r="3550" spans="1:10" s="5" customFormat="1" ht="30" hidden="1" customHeight="1" outlineLevel="1" x14ac:dyDescent="0.25">
      <c r="A3550" s="41">
        <v>9523</v>
      </c>
      <c r="B3550" s="4" t="s">
        <v>19</v>
      </c>
      <c r="C3550" s="38" t="s">
        <v>755</v>
      </c>
      <c r="D3550" s="4">
        <v>2021</v>
      </c>
      <c r="E3550" s="4"/>
      <c r="F3550" s="4">
        <v>60</v>
      </c>
      <c r="G3550" s="4">
        <v>100</v>
      </c>
      <c r="H3550" s="4">
        <v>320.99797999999998</v>
      </c>
      <c r="I3550" s="201"/>
      <c r="J3550" s="201"/>
    </row>
    <row r="3551" spans="1:10" s="5" customFormat="1" ht="30" hidden="1" customHeight="1" outlineLevel="1" x14ac:dyDescent="0.25">
      <c r="A3551" s="41">
        <v>9624</v>
      </c>
      <c r="B3551" s="4" t="s">
        <v>19</v>
      </c>
      <c r="C3551" s="38" t="s">
        <v>756</v>
      </c>
      <c r="D3551" s="4">
        <v>2021</v>
      </c>
      <c r="E3551" s="4"/>
      <c r="F3551" s="4">
        <v>30</v>
      </c>
      <c r="G3551" s="4">
        <v>100</v>
      </c>
      <c r="H3551" s="4">
        <v>120.75028</v>
      </c>
      <c r="I3551" s="201"/>
      <c r="J3551" s="201"/>
    </row>
    <row r="3552" spans="1:10" s="5" customFormat="1" ht="30" hidden="1" customHeight="1" outlineLevel="1" x14ac:dyDescent="0.25">
      <c r="A3552" s="41">
        <v>9626</v>
      </c>
      <c r="B3552" s="4" t="s">
        <v>19</v>
      </c>
      <c r="C3552" s="38" t="s">
        <v>759</v>
      </c>
      <c r="D3552" s="4">
        <v>2021</v>
      </c>
      <c r="E3552" s="4"/>
      <c r="F3552" s="4">
        <v>30</v>
      </c>
      <c r="G3552" s="4">
        <v>150</v>
      </c>
      <c r="H3552" s="4">
        <v>54.598140000000001</v>
      </c>
      <c r="I3552" s="201"/>
      <c r="J3552" s="201"/>
    </row>
    <row r="3553" spans="1:10" s="5" customFormat="1" ht="30" hidden="1" customHeight="1" outlineLevel="1" x14ac:dyDescent="0.25">
      <c r="A3553" s="41">
        <v>9631</v>
      </c>
      <c r="B3553" s="4" t="s">
        <v>19</v>
      </c>
      <c r="C3553" s="38" t="s">
        <v>760</v>
      </c>
      <c r="D3553" s="4">
        <v>2021</v>
      </c>
      <c r="E3553" s="4"/>
      <c r="F3553" s="4">
        <v>32</v>
      </c>
      <c r="G3553" s="4">
        <v>150</v>
      </c>
      <c r="H3553" s="4">
        <v>48.489420000000003</v>
      </c>
      <c r="I3553" s="201"/>
      <c r="J3553" s="201"/>
    </row>
    <row r="3554" spans="1:10" s="5" customFormat="1" ht="30" hidden="1" customHeight="1" outlineLevel="1" x14ac:dyDescent="0.25">
      <c r="A3554" s="42">
        <v>1532</v>
      </c>
      <c r="B3554" s="4" t="s">
        <v>19</v>
      </c>
      <c r="C3554" s="38" t="s">
        <v>863</v>
      </c>
      <c r="D3554" s="4">
        <v>2021</v>
      </c>
      <c r="E3554" s="4"/>
      <c r="F3554" s="4">
        <v>60</v>
      </c>
      <c r="G3554" s="4">
        <v>80</v>
      </c>
      <c r="H3554" s="4">
        <v>73.040859999999995</v>
      </c>
      <c r="I3554" s="201"/>
      <c r="J3554" s="201"/>
    </row>
    <row r="3555" spans="1:10" s="5" customFormat="1" ht="30" hidden="1" customHeight="1" outlineLevel="1" x14ac:dyDescent="0.25">
      <c r="A3555" s="41">
        <v>9410</v>
      </c>
      <c r="B3555" s="4" t="s">
        <v>19</v>
      </c>
      <c r="C3555" s="38" t="s">
        <v>864</v>
      </c>
      <c r="D3555" s="4">
        <v>2021</v>
      </c>
      <c r="E3555" s="4"/>
      <c r="F3555" s="4">
        <v>90</v>
      </c>
      <c r="G3555" s="4">
        <v>25</v>
      </c>
      <c r="H3555" s="4">
        <v>193.28373999999999</v>
      </c>
      <c r="I3555" s="201"/>
      <c r="J3555" s="201"/>
    </row>
    <row r="3556" spans="1:10" s="5" customFormat="1" ht="30" hidden="1" customHeight="1" outlineLevel="1" x14ac:dyDescent="0.25">
      <c r="A3556" s="42">
        <v>3878</v>
      </c>
      <c r="B3556" s="4" t="s">
        <v>19</v>
      </c>
      <c r="C3556" s="38" t="s">
        <v>865</v>
      </c>
      <c r="D3556" s="4">
        <v>2021</v>
      </c>
      <c r="E3556" s="4"/>
      <c r="F3556" s="4">
        <v>200</v>
      </c>
      <c r="G3556" s="4">
        <v>120</v>
      </c>
      <c r="H3556" s="4">
        <v>308.76636999999999</v>
      </c>
      <c r="I3556" s="201"/>
      <c r="J3556" s="201"/>
    </row>
    <row r="3557" spans="1:10" s="5" customFormat="1" ht="30" hidden="1" customHeight="1" outlineLevel="1" x14ac:dyDescent="0.25">
      <c r="A3557" s="42">
        <v>3877</v>
      </c>
      <c r="B3557" s="4" t="s">
        <v>19</v>
      </c>
      <c r="C3557" s="38" t="s">
        <v>761</v>
      </c>
      <c r="D3557" s="4">
        <v>2021</v>
      </c>
      <c r="E3557" s="4"/>
      <c r="F3557" s="4">
        <v>54</v>
      </c>
      <c r="G3557" s="4">
        <v>50</v>
      </c>
      <c r="H3557" s="4">
        <v>112.687</v>
      </c>
      <c r="I3557" s="201"/>
      <c r="J3557" s="201"/>
    </row>
    <row r="3558" spans="1:10" s="5" customFormat="1" ht="30" hidden="1" customHeight="1" outlineLevel="1" x14ac:dyDescent="0.25">
      <c r="A3558" s="42">
        <v>3876</v>
      </c>
      <c r="B3558" s="4" t="s">
        <v>19</v>
      </c>
      <c r="C3558" s="38" t="s">
        <v>866</v>
      </c>
      <c r="D3558" s="4">
        <v>2021</v>
      </c>
      <c r="E3558" s="4"/>
      <c r="F3558" s="4">
        <v>39</v>
      </c>
      <c r="G3558" s="4">
        <v>120</v>
      </c>
      <c r="H3558" s="4">
        <v>76.107939999999999</v>
      </c>
      <c r="I3558" s="201"/>
      <c r="J3558" s="201"/>
    </row>
    <row r="3559" spans="1:10" s="5" customFormat="1" ht="30" hidden="1" customHeight="1" outlineLevel="1" x14ac:dyDescent="0.25">
      <c r="A3559" s="42">
        <v>764</v>
      </c>
      <c r="B3559" s="4" t="s">
        <v>19</v>
      </c>
      <c r="C3559" s="38" t="s">
        <v>762</v>
      </c>
      <c r="D3559" s="4">
        <v>2021</v>
      </c>
      <c r="E3559" s="4"/>
      <c r="F3559" s="4">
        <v>3</v>
      </c>
      <c r="G3559" s="4">
        <v>95</v>
      </c>
      <c r="H3559" s="4">
        <v>37.952930000000002</v>
      </c>
      <c r="I3559" s="201"/>
      <c r="J3559" s="201"/>
    </row>
    <row r="3560" spans="1:10" s="5" customFormat="1" ht="30" hidden="1" customHeight="1" outlineLevel="1" x14ac:dyDescent="0.25">
      <c r="A3560" s="41">
        <v>9521</v>
      </c>
      <c r="B3560" s="4" t="s">
        <v>19</v>
      </c>
      <c r="C3560" s="38" t="s">
        <v>867</v>
      </c>
      <c r="D3560" s="4">
        <v>2021</v>
      </c>
      <c r="E3560" s="4"/>
      <c r="F3560" s="4">
        <v>5</v>
      </c>
      <c r="G3560" s="4">
        <v>150</v>
      </c>
      <c r="H3560" s="4">
        <v>38.862929999999999</v>
      </c>
      <c r="I3560" s="201"/>
      <c r="J3560" s="201"/>
    </row>
    <row r="3561" spans="1:10" s="5" customFormat="1" ht="30" hidden="1" customHeight="1" outlineLevel="1" x14ac:dyDescent="0.25">
      <c r="A3561" s="41">
        <v>9630</v>
      </c>
      <c r="B3561" s="4" t="s">
        <v>19</v>
      </c>
      <c r="C3561" s="38" t="s">
        <v>764</v>
      </c>
      <c r="D3561" s="4">
        <v>2021</v>
      </c>
      <c r="E3561" s="4"/>
      <c r="F3561" s="4">
        <v>30</v>
      </c>
      <c r="G3561" s="4">
        <v>100</v>
      </c>
      <c r="H3561" s="4">
        <v>47.177399999999999</v>
      </c>
      <c r="I3561" s="201"/>
      <c r="J3561" s="201"/>
    </row>
    <row r="3562" spans="1:10" s="5" customFormat="1" ht="30" hidden="1" customHeight="1" outlineLevel="1" x14ac:dyDescent="0.25">
      <c r="A3562" s="42">
        <v>3843</v>
      </c>
      <c r="B3562" s="4" t="s">
        <v>19</v>
      </c>
      <c r="C3562" s="38" t="s">
        <v>868</v>
      </c>
      <c r="D3562" s="4">
        <v>2021</v>
      </c>
      <c r="E3562" s="4"/>
      <c r="F3562" s="4">
        <v>321</v>
      </c>
      <c r="G3562" s="4">
        <v>75</v>
      </c>
      <c r="H3562" s="4">
        <v>517.98856999999998</v>
      </c>
      <c r="I3562" s="201"/>
      <c r="J3562" s="201"/>
    </row>
    <row r="3563" spans="1:10" s="5" customFormat="1" ht="30" hidden="1" customHeight="1" outlineLevel="1" x14ac:dyDescent="0.25">
      <c r="A3563" s="41">
        <v>9490</v>
      </c>
      <c r="B3563" s="4" t="s">
        <v>19</v>
      </c>
      <c r="C3563" s="38" t="s">
        <v>765</v>
      </c>
      <c r="D3563" s="4">
        <v>2021</v>
      </c>
      <c r="E3563" s="4"/>
      <c r="F3563" s="4">
        <v>7</v>
      </c>
      <c r="G3563" s="4">
        <v>150</v>
      </c>
      <c r="H3563" s="4">
        <v>25.702200000000001</v>
      </c>
      <c r="I3563" s="201"/>
      <c r="J3563" s="201"/>
    </row>
    <row r="3564" spans="1:10" s="5" customFormat="1" ht="30" hidden="1" customHeight="1" outlineLevel="1" x14ac:dyDescent="0.25">
      <c r="A3564" s="42">
        <v>3880</v>
      </c>
      <c r="B3564" s="4" t="s">
        <v>19</v>
      </c>
      <c r="C3564" s="38" t="s">
        <v>869</v>
      </c>
      <c r="D3564" s="4">
        <v>2021</v>
      </c>
      <c r="E3564" s="4"/>
      <c r="F3564" s="4">
        <v>25</v>
      </c>
      <c r="G3564" s="4">
        <v>105</v>
      </c>
      <c r="H3564" s="4">
        <v>90.073629999999994</v>
      </c>
      <c r="I3564" s="201"/>
      <c r="J3564" s="201"/>
    </row>
    <row r="3565" spans="1:10" s="5" customFormat="1" ht="30" hidden="1" customHeight="1" outlineLevel="1" x14ac:dyDescent="0.25">
      <c r="A3565" s="41">
        <v>9487</v>
      </c>
      <c r="B3565" s="4" t="s">
        <v>19</v>
      </c>
      <c r="C3565" s="38" t="s">
        <v>767</v>
      </c>
      <c r="D3565" s="4">
        <v>2021</v>
      </c>
      <c r="E3565" s="4"/>
      <c r="F3565" s="4">
        <v>450</v>
      </c>
      <c r="G3565" s="4">
        <v>45</v>
      </c>
      <c r="H3565" s="4">
        <v>561.31541000000004</v>
      </c>
      <c r="I3565" s="201"/>
      <c r="J3565" s="201"/>
    </row>
    <row r="3566" spans="1:10" s="5" customFormat="1" ht="30" hidden="1" customHeight="1" outlineLevel="1" x14ac:dyDescent="0.25">
      <c r="A3566" s="41">
        <v>9678</v>
      </c>
      <c r="B3566" s="4" t="s">
        <v>19</v>
      </c>
      <c r="C3566" s="38" t="s">
        <v>870</v>
      </c>
      <c r="D3566" s="4">
        <v>2021</v>
      </c>
      <c r="E3566" s="4"/>
      <c r="F3566" s="4">
        <v>8</v>
      </c>
      <c r="G3566" s="4">
        <v>46</v>
      </c>
      <c r="H3566" s="4">
        <v>48.199440000000003</v>
      </c>
      <c r="I3566" s="201"/>
      <c r="J3566" s="201"/>
    </row>
    <row r="3567" spans="1:10" s="5" customFormat="1" ht="30" hidden="1" customHeight="1" outlineLevel="1" x14ac:dyDescent="0.25">
      <c r="A3567" s="42">
        <v>728</v>
      </c>
      <c r="B3567" s="4" t="s">
        <v>19</v>
      </c>
      <c r="C3567" s="38" t="s">
        <v>769</v>
      </c>
      <c r="D3567" s="4">
        <v>2021</v>
      </c>
      <c r="E3567" s="4"/>
      <c r="F3567" s="4">
        <v>247</v>
      </c>
      <c r="G3567" s="4">
        <v>10</v>
      </c>
      <c r="H3567" s="4">
        <v>369.69290999999998</v>
      </c>
      <c r="I3567" s="201"/>
      <c r="J3567" s="201"/>
    </row>
    <row r="3568" spans="1:10" s="5" customFormat="1" ht="30" hidden="1" customHeight="1" outlineLevel="1" x14ac:dyDescent="0.25">
      <c r="A3568" s="41">
        <v>9625</v>
      </c>
      <c r="B3568" s="4" t="s">
        <v>19</v>
      </c>
      <c r="C3568" s="38" t="s">
        <v>871</v>
      </c>
      <c r="D3568" s="4">
        <v>2021</v>
      </c>
      <c r="E3568" s="4"/>
      <c r="F3568" s="4">
        <v>220</v>
      </c>
      <c r="G3568" s="4">
        <v>150</v>
      </c>
      <c r="H3568" s="4">
        <v>297.74626999999998</v>
      </c>
      <c r="I3568" s="201"/>
      <c r="J3568" s="201"/>
    </row>
    <row r="3569" spans="1:10" s="5" customFormat="1" ht="30" hidden="1" customHeight="1" outlineLevel="1" x14ac:dyDescent="0.25">
      <c r="A3569" s="41">
        <v>9628</v>
      </c>
      <c r="B3569" s="4" t="s">
        <v>19</v>
      </c>
      <c r="C3569" s="38" t="s">
        <v>771</v>
      </c>
      <c r="D3569" s="4">
        <v>2021</v>
      </c>
      <c r="E3569" s="4"/>
      <c r="F3569" s="4">
        <v>30</v>
      </c>
      <c r="G3569" s="4">
        <v>100</v>
      </c>
      <c r="H3569" s="4">
        <v>29.573709999999998</v>
      </c>
      <c r="I3569" s="201"/>
      <c r="J3569" s="201"/>
    </row>
    <row r="3570" spans="1:10" s="5" customFormat="1" ht="30" hidden="1" customHeight="1" outlineLevel="1" x14ac:dyDescent="0.25">
      <c r="A3570" s="42">
        <v>1468</v>
      </c>
      <c r="B3570" s="4" t="s">
        <v>19</v>
      </c>
      <c r="C3570" s="38" t="s">
        <v>872</v>
      </c>
      <c r="D3570" s="4">
        <v>2021</v>
      </c>
      <c r="E3570" s="4"/>
      <c r="F3570" s="4">
        <v>218</v>
      </c>
      <c r="G3570" s="4">
        <v>15</v>
      </c>
      <c r="H3570" s="4">
        <v>398.09370000000001</v>
      </c>
      <c r="I3570" s="201"/>
      <c r="J3570" s="201"/>
    </row>
    <row r="3571" spans="1:10" s="5" customFormat="1" ht="30" hidden="1" customHeight="1" outlineLevel="1" x14ac:dyDescent="0.25">
      <c r="A3571" s="41">
        <v>9623</v>
      </c>
      <c r="B3571" s="4" t="s">
        <v>19</v>
      </c>
      <c r="C3571" s="38" t="s">
        <v>773</v>
      </c>
      <c r="D3571" s="4">
        <v>2021</v>
      </c>
      <c r="E3571" s="4"/>
      <c r="F3571" s="4">
        <v>10</v>
      </c>
      <c r="G3571" s="4">
        <v>9.5</v>
      </c>
      <c r="H3571" s="4">
        <v>50.500749999999996</v>
      </c>
      <c r="I3571" s="201"/>
      <c r="J3571" s="201"/>
    </row>
    <row r="3572" spans="1:10" s="5" customFormat="1" ht="30" hidden="1" customHeight="1" outlineLevel="1" x14ac:dyDescent="0.25">
      <c r="A3572" s="41">
        <v>9838</v>
      </c>
      <c r="B3572" s="4" t="s">
        <v>19</v>
      </c>
      <c r="C3572" s="38" t="s">
        <v>873</v>
      </c>
      <c r="D3572" s="4">
        <v>2021</v>
      </c>
      <c r="E3572" s="4"/>
      <c r="F3572" s="4">
        <v>214</v>
      </c>
      <c r="G3572" s="4">
        <v>15</v>
      </c>
      <c r="H3572" s="4">
        <v>364.96575000000001</v>
      </c>
      <c r="I3572" s="201"/>
      <c r="J3572" s="201"/>
    </row>
    <row r="3573" spans="1:10" s="5" customFormat="1" ht="30" hidden="1" customHeight="1" outlineLevel="1" x14ac:dyDescent="0.25">
      <c r="A3573" s="41">
        <v>9619</v>
      </c>
      <c r="B3573" s="4" t="s">
        <v>19</v>
      </c>
      <c r="C3573" s="38" t="s">
        <v>777</v>
      </c>
      <c r="D3573" s="4">
        <v>2021</v>
      </c>
      <c r="E3573" s="4"/>
      <c r="F3573" s="4">
        <v>5</v>
      </c>
      <c r="G3573" s="4">
        <v>150</v>
      </c>
      <c r="H3573" s="4">
        <v>107.70749000000001</v>
      </c>
      <c r="I3573" s="201"/>
      <c r="J3573" s="201"/>
    </row>
    <row r="3574" spans="1:10" s="5" customFormat="1" ht="30" hidden="1" customHeight="1" outlineLevel="1" x14ac:dyDescent="0.25">
      <c r="A3574" s="41">
        <v>9518</v>
      </c>
      <c r="B3574" s="4" t="s">
        <v>19</v>
      </c>
      <c r="C3574" s="38" t="s">
        <v>778</v>
      </c>
      <c r="D3574" s="4">
        <v>2021</v>
      </c>
      <c r="E3574" s="4"/>
      <c r="F3574" s="4">
        <v>30</v>
      </c>
      <c r="G3574" s="4">
        <v>150</v>
      </c>
      <c r="H3574" s="4">
        <v>100.3409</v>
      </c>
      <c r="I3574" s="201"/>
      <c r="J3574" s="201"/>
    </row>
    <row r="3575" spans="1:10" s="5" customFormat="1" ht="30" hidden="1" customHeight="1" outlineLevel="1" x14ac:dyDescent="0.25">
      <c r="A3575" s="41">
        <v>9097</v>
      </c>
      <c r="B3575" s="4" t="s">
        <v>19</v>
      </c>
      <c r="C3575" s="38" t="s">
        <v>874</v>
      </c>
      <c r="D3575" s="4">
        <v>2021</v>
      </c>
      <c r="E3575" s="4"/>
      <c r="F3575" s="4">
        <v>723</v>
      </c>
      <c r="G3575" s="4">
        <v>50</v>
      </c>
      <c r="H3575" s="4">
        <v>1251.9037599999999</v>
      </c>
      <c r="I3575" s="201"/>
      <c r="J3575" s="201"/>
    </row>
    <row r="3576" spans="1:10" s="5" customFormat="1" ht="30" hidden="1" customHeight="1" outlineLevel="1" x14ac:dyDescent="0.25">
      <c r="A3576" s="41">
        <v>9866</v>
      </c>
      <c r="B3576" s="4" t="s">
        <v>19</v>
      </c>
      <c r="C3576" s="38" t="s">
        <v>875</v>
      </c>
      <c r="D3576" s="4">
        <v>2021</v>
      </c>
      <c r="E3576" s="4"/>
      <c r="F3576" s="4">
        <v>693</v>
      </c>
      <c r="G3576" s="4">
        <v>15</v>
      </c>
      <c r="H3576" s="4">
        <v>979.83907999999997</v>
      </c>
      <c r="I3576" s="201"/>
      <c r="J3576" s="201"/>
    </row>
    <row r="3577" spans="1:10" s="5" customFormat="1" ht="30" hidden="1" customHeight="1" outlineLevel="1" x14ac:dyDescent="0.25">
      <c r="A3577" s="41">
        <v>9614</v>
      </c>
      <c r="B3577" s="4" t="s">
        <v>19</v>
      </c>
      <c r="C3577" s="38" t="s">
        <v>876</v>
      </c>
      <c r="D3577" s="4">
        <v>2021</v>
      </c>
      <c r="E3577" s="4"/>
      <c r="F3577" s="4">
        <v>300</v>
      </c>
      <c r="G3577" s="4">
        <v>150</v>
      </c>
      <c r="H3577" s="4">
        <v>259.92338999999998</v>
      </c>
      <c r="I3577" s="201"/>
      <c r="J3577" s="201"/>
    </row>
    <row r="3578" spans="1:10" s="5" customFormat="1" ht="30" hidden="1" customHeight="1" outlineLevel="1" x14ac:dyDescent="0.25">
      <c r="A3578" s="42">
        <v>3882</v>
      </c>
      <c r="B3578" s="4" t="s">
        <v>19</v>
      </c>
      <c r="C3578" s="38" t="s">
        <v>779</v>
      </c>
      <c r="D3578" s="4">
        <v>2021</v>
      </c>
      <c r="E3578" s="4"/>
      <c r="F3578" s="4">
        <v>70</v>
      </c>
      <c r="G3578" s="4">
        <v>45</v>
      </c>
      <c r="H3578" s="4">
        <v>169.28088</v>
      </c>
      <c r="I3578" s="201"/>
      <c r="J3578" s="201"/>
    </row>
    <row r="3579" spans="1:10" s="5" customFormat="1" ht="30" hidden="1" customHeight="1" outlineLevel="1" x14ac:dyDescent="0.25">
      <c r="A3579" s="42">
        <v>3740</v>
      </c>
      <c r="B3579" s="4" t="s">
        <v>19</v>
      </c>
      <c r="C3579" s="38" t="s">
        <v>780</v>
      </c>
      <c r="D3579" s="4">
        <v>2021</v>
      </c>
      <c r="E3579" s="4"/>
      <c r="F3579" s="4">
        <v>30</v>
      </c>
      <c r="G3579" s="4">
        <v>99</v>
      </c>
      <c r="H3579" s="4">
        <v>93.06165</v>
      </c>
      <c r="I3579" s="201"/>
      <c r="J3579" s="201"/>
    </row>
    <row r="3580" spans="1:10" s="5" customFormat="1" ht="30" hidden="1" customHeight="1" outlineLevel="1" x14ac:dyDescent="0.25">
      <c r="A3580" s="41">
        <v>9881</v>
      </c>
      <c r="B3580" s="4" t="s">
        <v>19</v>
      </c>
      <c r="C3580" s="38" t="s">
        <v>877</v>
      </c>
      <c r="D3580" s="4">
        <v>2021</v>
      </c>
      <c r="E3580" s="4"/>
      <c r="F3580" s="4">
        <v>40</v>
      </c>
      <c r="G3580" s="4">
        <v>20</v>
      </c>
      <c r="H3580" s="4">
        <v>130.99970999999999</v>
      </c>
      <c r="I3580" s="201"/>
      <c r="J3580" s="201"/>
    </row>
    <row r="3581" spans="1:10" s="5" customFormat="1" ht="30" hidden="1" customHeight="1" outlineLevel="1" x14ac:dyDescent="0.25">
      <c r="A3581" s="41">
        <v>9812</v>
      </c>
      <c r="B3581" s="4" t="s">
        <v>19</v>
      </c>
      <c r="C3581" s="38" t="s">
        <v>878</v>
      </c>
      <c r="D3581" s="4">
        <v>2021</v>
      </c>
      <c r="E3581" s="4"/>
      <c r="F3581" s="4">
        <v>340</v>
      </c>
      <c r="G3581" s="4">
        <v>15</v>
      </c>
      <c r="H3581" s="4">
        <v>608.02256999999997</v>
      </c>
      <c r="I3581" s="201"/>
      <c r="J3581" s="201"/>
    </row>
    <row r="3582" spans="1:10" s="5" customFormat="1" ht="30" hidden="1" customHeight="1" outlineLevel="1" x14ac:dyDescent="0.25">
      <c r="A3582" s="41">
        <v>9616</v>
      </c>
      <c r="B3582" s="4" t="s">
        <v>19</v>
      </c>
      <c r="C3582" s="38" t="s">
        <v>785</v>
      </c>
      <c r="D3582" s="4">
        <v>2021</v>
      </c>
      <c r="E3582" s="4"/>
      <c r="F3582" s="4">
        <v>5</v>
      </c>
      <c r="G3582" s="4">
        <v>150</v>
      </c>
      <c r="H3582" s="4">
        <v>161.20922999999999</v>
      </c>
      <c r="I3582" s="201"/>
      <c r="J3582" s="201"/>
    </row>
    <row r="3583" spans="1:10" s="5" customFormat="1" ht="30" hidden="1" customHeight="1" outlineLevel="1" x14ac:dyDescent="0.25">
      <c r="A3583" s="41">
        <v>9446</v>
      </c>
      <c r="B3583" s="4" t="s">
        <v>19</v>
      </c>
      <c r="C3583" s="38" t="s">
        <v>786</v>
      </c>
      <c r="D3583" s="4">
        <v>2021</v>
      </c>
      <c r="E3583" s="4"/>
      <c r="F3583" s="4">
        <v>20</v>
      </c>
      <c r="G3583" s="4">
        <v>150</v>
      </c>
      <c r="H3583" s="4">
        <v>35.95993</v>
      </c>
      <c r="I3583" s="201"/>
      <c r="J3583" s="201"/>
    </row>
    <row r="3584" spans="1:10" s="5" customFormat="1" ht="30" hidden="1" customHeight="1" outlineLevel="1" x14ac:dyDescent="0.25">
      <c r="A3584" s="41">
        <v>9768</v>
      </c>
      <c r="B3584" s="4" t="s">
        <v>19</v>
      </c>
      <c r="C3584" s="38" t="s">
        <v>879</v>
      </c>
      <c r="D3584" s="4">
        <v>2021</v>
      </c>
      <c r="E3584" s="4"/>
      <c r="F3584" s="4">
        <v>60</v>
      </c>
      <c r="G3584" s="4">
        <v>98</v>
      </c>
      <c r="H3584" s="4">
        <v>101.0093</v>
      </c>
      <c r="I3584" s="201"/>
      <c r="J3584" s="201"/>
    </row>
    <row r="3585" spans="1:10" s="5" customFormat="1" ht="30" hidden="1" customHeight="1" outlineLevel="1" x14ac:dyDescent="0.25">
      <c r="A3585" s="41">
        <v>9861</v>
      </c>
      <c r="B3585" s="4" t="s">
        <v>19</v>
      </c>
      <c r="C3585" s="38" t="s">
        <v>880</v>
      </c>
      <c r="D3585" s="4">
        <v>2021</v>
      </c>
      <c r="E3585" s="4"/>
      <c r="F3585" s="4">
        <v>400</v>
      </c>
      <c r="G3585" s="4">
        <v>15</v>
      </c>
      <c r="H3585" s="4">
        <v>698.30994999999996</v>
      </c>
      <c r="I3585" s="201"/>
      <c r="J3585" s="201"/>
    </row>
    <row r="3586" spans="1:10" s="5" customFormat="1" ht="30" hidden="1" customHeight="1" outlineLevel="1" x14ac:dyDescent="0.25">
      <c r="A3586" s="41">
        <v>9877</v>
      </c>
      <c r="B3586" s="4" t="s">
        <v>19</v>
      </c>
      <c r="C3586" s="38" t="s">
        <v>881</v>
      </c>
      <c r="D3586" s="4">
        <v>2021</v>
      </c>
      <c r="E3586" s="4"/>
      <c r="F3586" s="4">
        <v>367</v>
      </c>
      <c r="G3586" s="4">
        <v>15</v>
      </c>
      <c r="H3586" s="4">
        <v>744.91794000000004</v>
      </c>
      <c r="I3586" s="201"/>
      <c r="J3586" s="201"/>
    </row>
    <row r="3587" spans="1:10" s="5" customFormat="1" ht="30" hidden="1" customHeight="1" outlineLevel="1" x14ac:dyDescent="0.25">
      <c r="A3587" s="42">
        <v>963</v>
      </c>
      <c r="B3587" s="4" t="s">
        <v>19</v>
      </c>
      <c r="C3587" s="38" t="s">
        <v>787</v>
      </c>
      <c r="D3587" s="4">
        <v>2021</v>
      </c>
      <c r="E3587" s="4"/>
      <c r="F3587" s="4">
        <v>27</v>
      </c>
      <c r="G3587" s="4">
        <v>45</v>
      </c>
      <c r="H3587" s="4">
        <v>85.465999999999994</v>
      </c>
      <c r="I3587" s="201"/>
      <c r="J3587" s="201"/>
    </row>
    <row r="3588" spans="1:10" s="5" customFormat="1" ht="30" hidden="1" customHeight="1" outlineLevel="1" x14ac:dyDescent="0.25">
      <c r="A3588" s="41">
        <v>9874</v>
      </c>
      <c r="B3588" s="4" t="s">
        <v>19</v>
      </c>
      <c r="C3588" s="38" t="s">
        <v>882</v>
      </c>
      <c r="D3588" s="4">
        <v>2021</v>
      </c>
      <c r="E3588" s="4"/>
      <c r="F3588" s="4">
        <v>248</v>
      </c>
      <c r="G3588" s="4">
        <v>12</v>
      </c>
      <c r="H3588" s="4">
        <v>299.17219999999998</v>
      </c>
      <c r="I3588" s="201"/>
      <c r="J3588" s="201"/>
    </row>
    <row r="3589" spans="1:10" s="5" customFormat="1" ht="30" hidden="1" customHeight="1" outlineLevel="1" x14ac:dyDescent="0.25">
      <c r="A3589" s="41">
        <v>9455</v>
      </c>
      <c r="B3589" s="4" t="s">
        <v>19</v>
      </c>
      <c r="C3589" s="38" t="s">
        <v>883</v>
      </c>
      <c r="D3589" s="4">
        <v>2021</v>
      </c>
      <c r="E3589" s="4"/>
      <c r="F3589" s="4">
        <v>208</v>
      </c>
      <c r="G3589" s="4">
        <v>20</v>
      </c>
      <c r="H3589" s="4">
        <v>379.33276999999998</v>
      </c>
      <c r="I3589" s="201"/>
      <c r="J3589" s="201"/>
    </row>
    <row r="3590" spans="1:10" s="5" customFormat="1" ht="21.75" hidden="1" customHeight="1" outlineLevel="1" x14ac:dyDescent="0.25">
      <c r="A3590" s="4">
        <v>3013</v>
      </c>
      <c r="B3590" s="4" t="s">
        <v>19</v>
      </c>
      <c r="C3590" s="38" t="s">
        <v>9017</v>
      </c>
      <c r="D3590" s="4">
        <v>2023</v>
      </c>
      <c r="E3590" s="4" t="s">
        <v>12</v>
      </c>
      <c r="F3590" s="4">
        <v>15</v>
      </c>
      <c r="G3590" s="41">
        <v>135</v>
      </c>
      <c r="H3590" s="41">
        <v>81.36699999999999</v>
      </c>
      <c r="I3590" s="221"/>
      <c r="J3590" s="221"/>
    </row>
    <row r="3591" spans="1:10" s="5" customFormat="1" ht="21.75" hidden="1" customHeight="1" outlineLevel="1" x14ac:dyDescent="0.25">
      <c r="A3591" s="4">
        <v>3073</v>
      </c>
      <c r="B3591" s="4" t="s">
        <v>19</v>
      </c>
      <c r="C3591" s="38" t="s">
        <v>9327</v>
      </c>
      <c r="D3591" s="4">
        <v>2023</v>
      </c>
      <c r="E3591" s="4" t="s">
        <v>12</v>
      </c>
      <c r="F3591" s="4">
        <v>30</v>
      </c>
      <c r="G3591" s="41">
        <v>150</v>
      </c>
      <c r="H3591" s="41">
        <v>83.835999999999999</v>
      </c>
      <c r="I3591" s="221"/>
      <c r="J3591" s="221"/>
    </row>
    <row r="3592" spans="1:10" s="5" customFormat="1" ht="21.75" hidden="1" customHeight="1" outlineLevel="1" x14ac:dyDescent="0.25">
      <c r="A3592" s="4">
        <v>3032</v>
      </c>
      <c r="B3592" s="4" t="s">
        <v>19</v>
      </c>
      <c r="C3592" s="38" t="s">
        <v>9018</v>
      </c>
      <c r="D3592" s="4">
        <v>2023</v>
      </c>
      <c r="E3592" s="4" t="s">
        <v>12</v>
      </c>
      <c r="F3592" s="4">
        <v>5</v>
      </c>
      <c r="G3592" s="41">
        <v>150</v>
      </c>
      <c r="H3592" s="41">
        <v>152.29899999999998</v>
      </c>
      <c r="I3592" s="221"/>
      <c r="J3592" s="221"/>
    </row>
    <row r="3593" spans="1:10" s="5" customFormat="1" ht="21.75" hidden="1" customHeight="1" outlineLevel="1" x14ac:dyDescent="0.25">
      <c r="A3593" s="4">
        <v>3020</v>
      </c>
      <c r="B3593" s="4" t="s">
        <v>19</v>
      </c>
      <c r="C3593" s="38" t="s">
        <v>9020</v>
      </c>
      <c r="D3593" s="4">
        <v>2023</v>
      </c>
      <c r="E3593" s="4" t="s">
        <v>12</v>
      </c>
      <c r="F3593" s="4">
        <v>70</v>
      </c>
      <c r="G3593" s="41">
        <v>150</v>
      </c>
      <c r="H3593" s="41">
        <v>42.87</v>
      </c>
      <c r="I3593" s="221"/>
      <c r="J3593" s="221"/>
    </row>
    <row r="3594" spans="1:10" s="5" customFormat="1" ht="21.75" hidden="1" customHeight="1" outlineLevel="1" x14ac:dyDescent="0.25">
      <c r="A3594" s="4">
        <v>3362</v>
      </c>
      <c r="B3594" s="4" t="s">
        <v>19</v>
      </c>
      <c r="C3594" s="38" t="s">
        <v>9021</v>
      </c>
      <c r="D3594" s="4">
        <v>2023</v>
      </c>
      <c r="E3594" s="4" t="s">
        <v>12</v>
      </c>
      <c r="F3594" s="4">
        <v>20</v>
      </c>
      <c r="G3594" s="41">
        <v>150</v>
      </c>
      <c r="H3594" s="41">
        <v>62.324999999999996</v>
      </c>
      <c r="I3594" s="221"/>
      <c r="J3594" s="221"/>
    </row>
    <row r="3595" spans="1:10" s="5" customFormat="1" ht="21.75" hidden="1" customHeight="1" outlineLevel="1" x14ac:dyDescent="0.25">
      <c r="A3595" s="4">
        <v>3006</v>
      </c>
      <c r="B3595" s="4" t="s">
        <v>19</v>
      </c>
      <c r="C3595" s="38" t="s">
        <v>9022</v>
      </c>
      <c r="D3595" s="4">
        <v>2023</v>
      </c>
      <c r="E3595" s="4" t="s">
        <v>12</v>
      </c>
      <c r="F3595" s="4">
        <v>5</v>
      </c>
      <c r="G3595" s="41">
        <v>150</v>
      </c>
      <c r="H3595" s="41">
        <v>83.399799999999999</v>
      </c>
      <c r="I3595" s="221"/>
      <c r="J3595" s="221"/>
    </row>
    <row r="3596" spans="1:10" s="5" customFormat="1" ht="21.75" hidden="1" customHeight="1" outlineLevel="1" x14ac:dyDescent="0.25">
      <c r="A3596" s="4">
        <v>3057</v>
      </c>
      <c r="B3596" s="4" t="s">
        <v>19</v>
      </c>
      <c r="C3596" s="38" t="s">
        <v>9024</v>
      </c>
      <c r="D3596" s="4">
        <v>2023</v>
      </c>
      <c r="E3596" s="4" t="s">
        <v>12</v>
      </c>
      <c r="F3596" s="4">
        <v>12</v>
      </c>
      <c r="G3596" s="41">
        <v>150</v>
      </c>
      <c r="H3596" s="41">
        <v>95.415000000000006</v>
      </c>
      <c r="I3596" s="221"/>
      <c r="J3596" s="221"/>
    </row>
    <row r="3597" spans="1:10" s="5" customFormat="1" ht="21.75" hidden="1" customHeight="1" outlineLevel="1" x14ac:dyDescent="0.25">
      <c r="A3597" s="4">
        <v>6242</v>
      </c>
      <c r="B3597" s="4" t="s">
        <v>19</v>
      </c>
      <c r="C3597" s="38" t="s">
        <v>9328</v>
      </c>
      <c r="D3597" s="4">
        <v>2023</v>
      </c>
      <c r="E3597" s="4" t="s">
        <v>12</v>
      </c>
      <c r="F3597" s="4">
        <v>316</v>
      </c>
      <c r="G3597" s="41">
        <v>85</v>
      </c>
      <c r="H3597" s="41">
        <v>793.28</v>
      </c>
      <c r="I3597" s="221"/>
      <c r="J3597" s="221"/>
    </row>
    <row r="3598" spans="1:10" s="5" customFormat="1" ht="21.75" hidden="1" customHeight="1" outlineLevel="1" x14ac:dyDescent="0.25">
      <c r="A3598" s="4">
        <v>3021</v>
      </c>
      <c r="B3598" s="4" t="s">
        <v>19</v>
      </c>
      <c r="C3598" s="38" t="s">
        <v>9025</v>
      </c>
      <c r="D3598" s="4">
        <v>2023</v>
      </c>
      <c r="E3598" s="4" t="s">
        <v>12</v>
      </c>
      <c r="F3598" s="4">
        <v>12</v>
      </c>
      <c r="G3598" s="41">
        <v>150</v>
      </c>
      <c r="H3598" s="41">
        <v>94.885999999999996</v>
      </c>
      <c r="I3598" s="221"/>
      <c r="J3598" s="221"/>
    </row>
    <row r="3599" spans="1:10" s="5" customFormat="1" ht="21.75" hidden="1" customHeight="1" outlineLevel="1" x14ac:dyDescent="0.25">
      <c r="A3599" s="4">
        <v>3131</v>
      </c>
      <c r="B3599" s="4" t="s">
        <v>19</v>
      </c>
      <c r="C3599" s="38" t="s">
        <v>9329</v>
      </c>
      <c r="D3599" s="4">
        <v>2023</v>
      </c>
      <c r="E3599" s="4" t="s">
        <v>12</v>
      </c>
      <c r="F3599" s="4">
        <v>35</v>
      </c>
      <c r="G3599" s="41">
        <v>150</v>
      </c>
      <c r="H3599" s="41">
        <v>69.981999999999999</v>
      </c>
      <c r="I3599" s="221"/>
      <c r="J3599" s="221"/>
    </row>
    <row r="3600" spans="1:10" s="5" customFormat="1" ht="21.75" hidden="1" customHeight="1" outlineLevel="1" x14ac:dyDescent="0.25">
      <c r="A3600" s="4">
        <v>3363</v>
      </c>
      <c r="B3600" s="4" t="s">
        <v>19</v>
      </c>
      <c r="C3600" s="38" t="s">
        <v>9026</v>
      </c>
      <c r="D3600" s="4">
        <v>2023</v>
      </c>
      <c r="E3600" s="4" t="s">
        <v>12</v>
      </c>
      <c r="F3600" s="4">
        <v>15</v>
      </c>
      <c r="G3600" s="41">
        <v>150</v>
      </c>
      <c r="H3600" s="41">
        <v>23.213999999999999</v>
      </c>
      <c r="I3600" s="221"/>
      <c r="J3600" s="221"/>
    </row>
    <row r="3601" spans="1:10" s="5" customFormat="1" ht="21.75" hidden="1" customHeight="1" outlineLevel="1" x14ac:dyDescent="0.25">
      <c r="A3601" s="4">
        <v>3068</v>
      </c>
      <c r="B3601" s="4" t="s">
        <v>19</v>
      </c>
      <c r="C3601" s="38" t="s">
        <v>9028</v>
      </c>
      <c r="D3601" s="4">
        <v>2023</v>
      </c>
      <c r="E3601" s="4" t="s">
        <v>12</v>
      </c>
      <c r="F3601" s="4">
        <v>59</v>
      </c>
      <c r="G3601" s="41">
        <v>135</v>
      </c>
      <c r="H3601" s="41">
        <v>286.8168</v>
      </c>
      <c r="I3601" s="221"/>
      <c r="J3601" s="221"/>
    </row>
    <row r="3602" spans="1:10" s="5" customFormat="1" ht="21.75" hidden="1" customHeight="1" outlineLevel="1" x14ac:dyDescent="0.25">
      <c r="A3602" s="4">
        <v>3059</v>
      </c>
      <c r="B3602" s="4" t="s">
        <v>19</v>
      </c>
      <c r="C3602" s="38" t="s">
        <v>9330</v>
      </c>
      <c r="D3602" s="4">
        <v>2023</v>
      </c>
      <c r="E3602" s="4" t="s">
        <v>12</v>
      </c>
      <c r="F3602" s="4">
        <v>7</v>
      </c>
      <c r="G3602" s="41">
        <v>150</v>
      </c>
      <c r="H3602" s="41">
        <v>73.885000000000005</v>
      </c>
      <c r="I3602" s="221"/>
      <c r="J3602" s="221"/>
    </row>
    <row r="3603" spans="1:10" s="5" customFormat="1" ht="21.75" hidden="1" customHeight="1" outlineLevel="1" x14ac:dyDescent="0.25">
      <c r="A3603" s="4">
        <v>3110</v>
      </c>
      <c r="B3603" s="4" t="s">
        <v>19</v>
      </c>
      <c r="C3603" s="38" t="s">
        <v>9029</v>
      </c>
      <c r="D3603" s="4">
        <v>2023</v>
      </c>
      <c r="E3603" s="4" t="s">
        <v>12</v>
      </c>
      <c r="F3603" s="4">
        <v>15</v>
      </c>
      <c r="G3603" s="41">
        <v>150</v>
      </c>
      <c r="H3603" s="41">
        <v>103.158</v>
      </c>
      <c r="I3603" s="221"/>
      <c r="J3603" s="221"/>
    </row>
    <row r="3604" spans="1:10" s="5" customFormat="1" ht="21.75" hidden="1" customHeight="1" outlineLevel="1" x14ac:dyDescent="0.25">
      <c r="A3604" s="4">
        <v>3354</v>
      </c>
      <c r="B3604" s="4" t="s">
        <v>19</v>
      </c>
      <c r="C3604" s="38" t="s">
        <v>9331</v>
      </c>
      <c r="D3604" s="4">
        <v>2023</v>
      </c>
      <c r="E3604" s="4" t="s">
        <v>12</v>
      </c>
      <c r="F3604" s="4">
        <v>4</v>
      </c>
      <c r="G3604" s="41">
        <v>85</v>
      </c>
      <c r="H3604" s="41">
        <v>32.116279999999996</v>
      </c>
      <c r="I3604" s="221"/>
      <c r="J3604" s="221"/>
    </row>
    <row r="3605" spans="1:10" s="5" customFormat="1" ht="21.75" hidden="1" customHeight="1" outlineLevel="1" x14ac:dyDescent="0.25">
      <c r="A3605" s="4">
        <v>3094</v>
      </c>
      <c r="B3605" s="4" t="s">
        <v>19</v>
      </c>
      <c r="C3605" s="38" t="s">
        <v>9332</v>
      </c>
      <c r="D3605" s="4">
        <v>2023</v>
      </c>
      <c r="E3605" s="4" t="s">
        <v>12</v>
      </c>
      <c r="F3605" s="4">
        <v>50</v>
      </c>
      <c r="G3605" s="41">
        <v>150</v>
      </c>
      <c r="H3605" s="41">
        <v>184.20597999999998</v>
      </c>
      <c r="I3605" s="221"/>
      <c r="J3605" s="221"/>
    </row>
    <row r="3606" spans="1:10" s="5" customFormat="1" ht="21.75" hidden="1" customHeight="1" outlineLevel="1" x14ac:dyDescent="0.25">
      <c r="A3606" s="4">
        <v>3366</v>
      </c>
      <c r="B3606" s="4" t="s">
        <v>19</v>
      </c>
      <c r="C3606" s="38" t="s">
        <v>9030</v>
      </c>
      <c r="D3606" s="4">
        <v>2023</v>
      </c>
      <c r="E3606" s="4" t="s">
        <v>12</v>
      </c>
      <c r="F3606" s="4">
        <v>20</v>
      </c>
      <c r="G3606" s="41">
        <v>150</v>
      </c>
      <c r="H3606" s="41">
        <v>42.939810000000001</v>
      </c>
      <c r="I3606" s="221"/>
      <c r="J3606" s="221"/>
    </row>
    <row r="3607" spans="1:10" s="5" customFormat="1" ht="21.75" hidden="1" customHeight="1" outlineLevel="1" x14ac:dyDescent="0.25">
      <c r="A3607" s="4">
        <v>3096</v>
      </c>
      <c r="B3607" s="4" t="s">
        <v>19</v>
      </c>
      <c r="C3607" s="38" t="s">
        <v>9031</v>
      </c>
      <c r="D3607" s="4">
        <v>2023</v>
      </c>
      <c r="E3607" s="4" t="s">
        <v>12</v>
      </c>
      <c r="F3607" s="4">
        <v>95</v>
      </c>
      <c r="G3607" s="41">
        <v>150</v>
      </c>
      <c r="H3607" s="41">
        <v>153.98949999999999</v>
      </c>
      <c r="I3607" s="221"/>
      <c r="J3607" s="221"/>
    </row>
    <row r="3608" spans="1:10" s="5" customFormat="1" ht="21.75" hidden="1" customHeight="1" outlineLevel="1" x14ac:dyDescent="0.25">
      <c r="A3608" s="4">
        <v>3095</v>
      </c>
      <c r="B3608" s="4" t="s">
        <v>19</v>
      </c>
      <c r="C3608" s="38" t="s">
        <v>9032</v>
      </c>
      <c r="D3608" s="4">
        <v>2023</v>
      </c>
      <c r="E3608" s="4" t="s">
        <v>12</v>
      </c>
      <c r="F3608" s="4">
        <v>225</v>
      </c>
      <c r="G3608" s="41">
        <v>300</v>
      </c>
      <c r="H3608" s="41">
        <v>172.203</v>
      </c>
      <c r="I3608" s="221"/>
      <c r="J3608" s="221"/>
    </row>
    <row r="3609" spans="1:10" s="5" customFormat="1" ht="21.75" hidden="1" customHeight="1" outlineLevel="1" x14ac:dyDescent="0.25">
      <c r="A3609" s="4">
        <v>3018</v>
      </c>
      <c r="B3609" s="4" t="s">
        <v>19</v>
      </c>
      <c r="C3609" s="38" t="s">
        <v>9033</v>
      </c>
      <c r="D3609" s="4">
        <v>2023</v>
      </c>
      <c r="E3609" s="4" t="s">
        <v>12</v>
      </c>
      <c r="F3609" s="4">
        <v>15</v>
      </c>
      <c r="G3609" s="41">
        <v>50</v>
      </c>
      <c r="H3609" s="41">
        <v>131.90579</v>
      </c>
      <c r="I3609" s="221"/>
      <c r="J3609" s="221"/>
    </row>
    <row r="3610" spans="1:10" s="5" customFormat="1" ht="21.75" hidden="1" customHeight="1" outlineLevel="1" x14ac:dyDescent="0.25">
      <c r="A3610" s="4">
        <v>6490</v>
      </c>
      <c r="B3610" s="4" t="s">
        <v>19</v>
      </c>
      <c r="C3610" s="38" t="s">
        <v>9034</v>
      </c>
      <c r="D3610" s="4">
        <v>2023</v>
      </c>
      <c r="E3610" s="4" t="s">
        <v>12</v>
      </c>
      <c r="F3610" s="4">
        <v>3</v>
      </c>
      <c r="G3610" s="41">
        <v>150</v>
      </c>
      <c r="H3610" s="41">
        <v>81.974350000000001</v>
      </c>
      <c r="I3610" s="221"/>
      <c r="J3610" s="221"/>
    </row>
    <row r="3611" spans="1:10" s="5" customFormat="1" ht="21.75" hidden="1" customHeight="1" outlineLevel="1" x14ac:dyDescent="0.25">
      <c r="A3611" s="4">
        <v>3134</v>
      </c>
      <c r="B3611" s="4" t="s">
        <v>19</v>
      </c>
      <c r="C3611" s="38" t="s">
        <v>9035</v>
      </c>
      <c r="D3611" s="4">
        <v>2023</v>
      </c>
      <c r="E3611" s="4" t="s">
        <v>12</v>
      </c>
      <c r="F3611" s="4">
        <v>6</v>
      </c>
      <c r="G3611" s="41">
        <v>150</v>
      </c>
      <c r="H3611" s="41">
        <v>85.61630000000001</v>
      </c>
      <c r="I3611" s="221"/>
      <c r="J3611" s="221"/>
    </row>
    <row r="3612" spans="1:10" s="5" customFormat="1" ht="21.75" hidden="1" customHeight="1" outlineLevel="1" x14ac:dyDescent="0.25">
      <c r="A3612" s="4">
        <v>3133</v>
      </c>
      <c r="B3612" s="4" t="s">
        <v>19</v>
      </c>
      <c r="C3612" s="38" t="s">
        <v>9036</v>
      </c>
      <c r="D3612" s="4">
        <v>2023</v>
      </c>
      <c r="E3612" s="4" t="s">
        <v>12</v>
      </c>
      <c r="F3612" s="4">
        <v>10</v>
      </c>
      <c r="G3612" s="41">
        <v>150</v>
      </c>
      <c r="H3612" s="41">
        <v>18.987000000000002</v>
      </c>
      <c r="I3612" s="221"/>
      <c r="J3612" s="221"/>
    </row>
    <row r="3613" spans="1:10" s="5" customFormat="1" ht="21.75" hidden="1" customHeight="1" outlineLevel="1" x14ac:dyDescent="0.25">
      <c r="A3613" s="4">
        <v>3122</v>
      </c>
      <c r="B3613" s="4" t="s">
        <v>19</v>
      </c>
      <c r="C3613" s="38" t="s">
        <v>9037</v>
      </c>
      <c r="D3613" s="4">
        <v>2023</v>
      </c>
      <c r="E3613" s="4" t="s">
        <v>12</v>
      </c>
      <c r="F3613" s="4">
        <v>6</v>
      </c>
      <c r="G3613" s="41">
        <v>150</v>
      </c>
      <c r="H3613" s="41">
        <v>43.728700000000003</v>
      </c>
      <c r="I3613" s="221"/>
      <c r="J3613" s="221"/>
    </row>
    <row r="3614" spans="1:10" s="5" customFormat="1" ht="21.75" hidden="1" customHeight="1" outlineLevel="1" x14ac:dyDescent="0.25">
      <c r="A3614" s="4">
        <v>3146</v>
      </c>
      <c r="B3614" s="4" t="s">
        <v>19</v>
      </c>
      <c r="C3614" s="38" t="s">
        <v>9038</v>
      </c>
      <c r="D3614" s="4">
        <v>2023</v>
      </c>
      <c r="E3614" s="4" t="s">
        <v>12</v>
      </c>
      <c r="F3614" s="4">
        <v>27</v>
      </c>
      <c r="G3614" s="41">
        <v>150</v>
      </c>
      <c r="H3614" s="41">
        <v>215.66499999999999</v>
      </c>
      <c r="I3614" s="221"/>
      <c r="J3614" s="221"/>
    </row>
    <row r="3615" spans="1:10" s="5" customFormat="1" ht="21.75" hidden="1" customHeight="1" outlineLevel="1" x14ac:dyDescent="0.25">
      <c r="A3615" s="4">
        <v>3086</v>
      </c>
      <c r="B3615" s="4" t="s">
        <v>19</v>
      </c>
      <c r="C3615" s="38" t="s">
        <v>9039</v>
      </c>
      <c r="D3615" s="4">
        <v>2023</v>
      </c>
      <c r="E3615" s="4" t="s">
        <v>12</v>
      </c>
      <c r="F3615" s="4">
        <v>150</v>
      </c>
      <c r="G3615" s="41">
        <v>150</v>
      </c>
      <c r="H3615" s="41">
        <v>26.14386</v>
      </c>
      <c r="I3615" s="221"/>
      <c r="J3615" s="221"/>
    </row>
    <row r="3616" spans="1:10" s="5" customFormat="1" ht="21.75" hidden="1" customHeight="1" outlineLevel="1" x14ac:dyDescent="0.25">
      <c r="A3616" s="4">
        <v>3071</v>
      </c>
      <c r="B3616" s="4" t="s">
        <v>19</v>
      </c>
      <c r="C3616" s="38" t="s">
        <v>9040</v>
      </c>
      <c r="D3616" s="4">
        <v>2023</v>
      </c>
      <c r="E3616" s="4" t="s">
        <v>12</v>
      </c>
      <c r="F3616" s="4">
        <v>5</v>
      </c>
      <c r="G3616" s="41">
        <v>150</v>
      </c>
      <c r="H3616" s="41">
        <v>100.6687</v>
      </c>
      <c r="I3616" s="221"/>
      <c r="J3616" s="221"/>
    </row>
    <row r="3617" spans="1:10" s="5" customFormat="1" ht="21.75" hidden="1" customHeight="1" outlineLevel="1" x14ac:dyDescent="0.25">
      <c r="A3617" s="4">
        <v>3031</v>
      </c>
      <c r="B3617" s="4" t="s">
        <v>19</v>
      </c>
      <c r="C3617" s="38" t="s">
        <v>9333</v>
      </c>
      <c r="D3617" s="4">
        <v>2023</v>
      </c>
      <c r="E3617" s="4" t="s">
        <v>12</v>
      </c>
      <c r="F3617" s="4">
        <v>240</v>
      </c>
      <c r="G3617" s="41">
        <v>300</v>
      </c>
      <c r="H3617" s="41">
        <v>592.90899999999999</v>
      </c>
      <c r="I3617" s="221"/>
      <c r="J3617" s="221"/>
    </row>
    <row r="3618" spans="1:10" s="5" customFormat="1" ht="21.75" hidden="1" customHeight="1" outlineLevel="1" x14ac:dyDescent="0.25">
      <c r="A3618" s="4">
        <v>3065</v>
      </c>
      <c r="B3618" s="4" t="s">
        <v>19</v>
      </c>
      <c r="C3618" s="38" t="s">
        <v>9042</v>
      </c>
      <c r="D3618" s="4">
        <v>2023</v>
      </c>
      <c r="E3618" s="4" t="s">
        <v>12</v>
      </c>
      <c r="F3618" s="4">
        <v>100</v>
      </c>
      <c r="G3618" s="41">
        <v>150</v>
      </c>
      <c r="H3618" s="41">
        <v>49.44</v>
      </c>
      <c r="I3618" s="221"/>
      <c r="J3618" s="221"/>
    </row>
    <row r="3619" spans="1:10" s="5" customFormat="1" ht="21.75" hidden="1" customHeight="1" outlineLevel="1" x14ac:dyDescent="0.25">
      <c r="A3619" s="4">
        <v>3069</v>
      </c>
      <c r="B3619" s="4" t="s">
        <v>19</v>
      </c>
      <c r="C3619" s="38" t="s">
        <v>9043</v>
      </c>
      <c r="D3619" s="4">
        <v>2023</v>
      </c>
      <c r="E3619" s="4" t="s">
        <v>12</v>
      </c>
      <c r="F3619" s="4">
        <v>15</v>
      </c>
      <c r="G3619" s="41">
        <v>150</v>
      </c>
      <c r="H3619" s="41">
        <v>25.43</v>
      </c>
      <c r="I3619" s="221"/>
      <c r="J3619" s="221"/>
    </row>
    <row r="3620" spans="1:10" s="5" customFormat="1" ht="21.75" hidden="1" customHeight="1" outlineLevel="1" x14ac:dyDescent="0.25">
      <c r="A3620" s="4">
        <v>3008</v>
      </c>
      <c r="B3620" s="4" t="s">
        <v>19</v>
      </c>
      <c r="C3620" s="38" t="s">
        <v>9044</v>
      </c>
      <c r="D3620" s="4">
        <v>2023</v>
      </c>
      <c r="E3620" s="4" t="s">
        <v>12</v>
      </c>
      <c r="F3620" s="4">
        <v>15</v>
      </c>
      <c r="G3620" s="41">
        <v>150</v>
      </c>
      <c r="H3620" s="41">
        <v>22.638999999999999</v>
      </c>
      <c r="I3620" s="221"/>
      <c r="J3620" s="221"/>
    </row>
    <row r="3621" spans="1:10" s="5" customFormat="1" ht="21.75" hidden="1" customHeight="1" outlineLevel="1" x14ac:dyDescent="0.25">
      <c r="A3621" s="4">
        <v>6636</v>
      </c>
      <c r="B3621" s="4" t="s">
        <v>19</v>
      </c>
      <c r="C3621" s="38" t="s">
        <v>9045</v>
      </c>
      <c r="D3621" s="4">
        <v>2023</v>
      </c>
      <c r="E3621" s="4" t="s">
        <v>12</v>
      </c>
      <c r="F3621" s="4">
        <v>20</v>
      </c>
      <c r="G3621" s="41">
        <v>100</v>
      </c>
      <c r="H3621" s="41">
        <v>39.537999999999997</v>
      </c>
      <c r="I3621" s="221"/>
      <c r="J3621" s="221"/>
    </row>
    <row r="3622" spans="1:10" s="5" customFormat="1" ht="21.75" hidden="1" customHeight="1" outlineLevel="1" x14ac:dyDescent="0.25">
      <c r="A3622" s="4">
        <v>6637</v>
      </c>
      <c r="B3622" s="4" t="s">
        <v>19</v>
      </c>
      <c r="C3622" s="38" t="s">
        <v>9334</v>
      </c>
      <c r="D3622" s="4">
        <v>2023</v>
      </c>
      <c r="E3622" s="4" t="s">
        <v>12</v>
      </c>
      <c r="F3622" s="4">
        <v>62</v>
      </c>
      <c r="G3622" s="41">
        <v>130</v>
      </c>
      <c r="H3622" s="41">
        <v>375.63900000000001</v>
      </c>
      <c r="I3622" s="221"/>
      <c r="J3622" s="221"/>
    </row>
    <row r="3623" spans="1:10" s="5" customFormat="1" ht="21.75" hidden="1" customHeight="1" outlineLevel="1" x14ac:dyDescent="0.25">
      <c r="A3623" s="4">
        <v>3153</v>
      </c>
      <c r="B3623" s="4" t="s">
        <v>19</v>
      </c>
      <c r="C3623" s="38" t="s">
        <v>9335</v>
      </c>
      <c r="D3623" s="4">
        <v>2023</v>
      </c>
      <c r="E3623" s="4" t="s">
        <v>12</v>
      </c>
      <c r="F3623" s="4">
        <v>10</v>
      </c>
      <c r="G3623" s="41">
        <v>150</v>
      </c>
      <c r="H3623" s="41">
        <v>81.152000000000001</v>
      </c>
      <c r="I3623" s="221"/>
      <c r="J3623" s="221"/>
    </row>
    <row r="3624" spans="1:10" s="5" customFormat="1" ht="21.75" hidden="1" customHeight="1" outlineLevel="1" x14ac:dyDescent="0.25">
      <c r="A3624" s="4">
        <v>3165</v>
      </c>
      <c r="B3624" s="4" t="s">
        <v>19</v>
      </c>
      <c r="C3624" s="38" t="s">
        <v>9046</v>
      </c>
      <c r="D3624" s="4">
        <v>2023</v>
      </c>
      <c r="E3624" s="4" t="s">
        <v>12</v>
      </c>
      <c r="F3624" s="4">
        <v>320</v>
      </c>
      <c r="G3624" s="41">
        <v>600</v>
      </c>
      <c r="H3624" s="41">
        <v>936.51459999999997</v>
      </c>
      <c r="I3624" s="221"/>
      <c r="J3624" s="221"/>
    </row>
    <row r="3625" spans="1:10" s="5" customFormat="1" ht="21.75" hidden="1" customHeight="1" outlineLevel="1" x14ac:dyDescent="0.25">
      <c r="A3625" s="4">
        <v>3104</v>
      </c>
      <c r="B3625" s="4" t="s">
        <v>19</v>
      </c>
      <c r="C3625" s="38" t="s">
        <v>9336</v>
      </c>
      <c r="D3625" s="4">
        <v>2023</v>
      </c>
      <c r="E3625" s="4" t="s">
        <v>12</v>
      </c>
      <c r="F3625" s="4">
        <v>11</v>
      </c>
      <c r="G3625" s="41">
        <v>150</v>
      </c>
      <c r="H3625" s="41">
        <v>91.796000000000006</v>
      </c>
      <c r="I3625" s="221"/>
      <c r="J3625" s="221"/>
    </row>
    <row r="3626" spans="1:10" s="5" customFormat="1" ht="21.75" hidden="1" customHeight="1" outlineLevel="1" x14ac:dyDescent="0.25">
      <c r="A3626" s="4">
        <v>461</v>
      </c>
      <c r="B3626" s="4" t="s">
        <v>19</v>
      </c>
      <c r="C3626" s="38" t="s">
        <v>9223</v>
      </c>
      <c r="D3626" s="4">
        <v>2023</v>
      </c>
      <c r="E3626" s="4" t="s">
        <v>12</v>
      </c>
      <c r="F3626" s="4">
        <v>203</v>
      </c>
      <c r="G3626" s="41">
        <v>45</v>
      </c>
      <c r="H3626" s="41">
        <v>723.19100000000003</v>
      </c>
      <c r="I3626" s="221"/>
      <c r="J3626" s="221"/>
    </row>
    <row r="3627" spans="1:10" s="5" customFormat="1" ht="21.75" hidden="1" customHeight="1" outlineLevel="1" x14ac:dyDescent="0.25">
      <c r="A3627" s="4">
        <v>2972</v>
      </c>
      <c r="B3627" s="4" t="s">
        <v>19</v>
      </c>
      <c r="C3627" s="38" t="s">
        <v>9224</v>
      </c>
      <c r="D3627" s="4">
        <v>2023</v>
      </c>
      <c r="E3627" s="4" t="s">
        <v>12</v>
      </c>
      <c r="F3627" s="4">
        <v>15</v>
      </c>
      <c r="G3627" s="41">
        <v>150</v>
      </c>
      <c r="H3627" s="41">
        <v>183.25</v>
      </c>
      <c r="I3627" s="221"/>
      <c r="J3627" s="221"/>
    </row>
    <row r="3628" spans="1:10" s="5" customFormat="1" ht="21.75" hidden="1" customHeight="1" outlineLevel="1" x14ac:dyDescent="0.25">
      <c r="A3628" s="4">
        <v>4684</v>
      </c>
      <c r="B3628" s="4" t="s">
        <v>19</v>
      </c>
      <c r="C3628" s="38" t="s">
        <v>9226</v>
      </c>
      <c r="D3628" s="4">
        <v>2023</v>
      </c>
      <c r="E3628" s="4" t="s">
        <v>12</v>
      </c>
      <c r="F3628" s="4">
        <v>8</v>
      </c>
      <c r="G3628" s="41">
        <v>150</v>
      </c>
      <c r="H3628" s="41">
        <v>102.27200000000001</v>
      </c>
      <c r="I3628" s="221"/>
      <c r="J3628" s="221"/>
    </row>
    <row r="3629" spans="1:10" s="5" customFormat="1" ht="21.75" hidden="1" customHeight="1" outlineLevel="1" x14ac:dyDescent="0.25">
      <c r="A3629" s="4">
        <v>4685</v>
      </c>
      <c r="B3629" s="4" t="s">
        <v>19</v>
      </c>
      <c r="C3629" s="38" t="s">
        <v>9227</v>
      </c>
      <c r="D3629" s="4">
        <v>2023</v>
      </c>
      <c r="E3629" s="4" t="s">
        <v>12</v>
      </c>
      <c r="F3629" s="4">
        <v>68</v>
      </c>
      <c r="G3629" s="41">
        <v>150</v>
      </c>
      <c r="H3629" s="41">
        <v>309.17</v>
      </c>
      <c r="I3629" s="221"/>
      <c r="J3629" s="221"/>
    </row>
    <row r="3630" spans="1:10" s="5" customFormat="1" ht="21.75" hidden="1" customHeight="1" outlineLevel="1" x14ac:dyDescent="0.25">
      <c r="A3630" s="4">
        <v>4686</v>
      </c>
      <c r="B3630" s="4" t="s">
        <v>19</v>
      </c>
      <c r="C3630" s="38" t="s">
        <v>9338</v>
      </c>
      <c r="D3630" s="4">
        <v>2023</v>
      </c>
      <c r="E3630" s="4" t="s">
        <v>12</v>
      </c>
      <c r="F3630" s="4">
        <v>37</v>
      </c>
      <c r="G3630" s="41">
        <v>147</v>
      </c>
      <c r="H3630" s="41">
        <v>165.184</v>
      </c>
      <c r="I3630" s="221"/>
      <c r="J3630" s="221"/>
    </row>
    <row r="3631" spans="1:10" s="5" customFormat="1" ht="21.75" hidden="1" customHeight="1" outlineLevel="1" x14ac:dyDescent="0.25">
      <c r="A3631" s="4">
        <v>3120</v>
      </c>
      <c r="B3631" s="4" t="s">
        <v>19</v>
      </c>
      <c r="C3631" s="38" t="s">
        <v>9228</v>
      </c>
      <c r="D3631" s="4">
        <v>2023</v>
      </c>
      <c r="E3631" s="4" t="s">
        <v>12</v>
      </c>
      <c r="F3631" s="4">
        <v>7</v>
      </c>
      <c r="G3631" s="41">
        <v>150</v>
      </c>
      <c r="H3631" s="41">
        <v>119.505</v>
      </c>
      <c r="I3631" s="221"/>
      <c r="J3631" s="221"/>
    </row>
    <row r="3632" spans="1:10" s="5" customFormat="1" ht="21.75" hidden="1" customHeight="1" outlineLevel="1" x14ac:dyDescent="0.25">
      <c r="A3632" s="4">
        <v>4706</v>
      </c>
      <c r="B3632" s="4" t="s">
        <v>19</v>
      </c>
      <c r="C3632" s="38" t="s">
        <v>9339</v>
      </c>
      <c r="D3632" s="4">
        <v>2023</v>
      </c>
      <c r="E3632" s="4" t="s">
        <v>12</v>
      </c>
      <c r="F3632" s="4">
        <v>5</v>
      </c>
      <c r="G3632" s="41">
        <v>150</v>
      </c>
      <c r="H3632" s="41">
        <v>129.51</v>
      </c>
      <c r="I3632" s="221"/>
      <c r="J3632" s="221"/>
    </row>
    <row r="3633" spans="1:36" s="5" customFormat="1" ht="21.75" hidden="1" customHeight="1" outlineLevel="1" x14ac:dyDescent="0.25">
      <c r="A3633" s="4">
        <v>4734</v>
      </c>
      <c r="B3633" s="4" t="s">
        <v>19</v>
      </c>
      <c r="C3633" s="38" t="s">
        <v>9340</v>
      </c>
      <c r="D3633" s="4">
        <v>2023</v>
      </c>
      <c r="E3633" s="4" t="s">
        <v>12</v>
      </c>
      <c r="F3633" s="4">
        <v>5</v>
      </c>
      <c r="G3633" s="41">
        <v>150</v>
      </c>
      <c r="H3633" s="41">
        <v>103.13</v>
      </c>
      <c r="I3633" s="221"/>
      <c r="J3633" s="221"/>
    </row>
    <row r="3634" spans="1:36" s="5" customFormat="1" ht="21.75" hidden="1" customHeight="1" outlineLevel="1" x14ac:dyDescent="0.25">
      <c r="A3634" s="4">
        <v>4637</v>
      </c>
      <c r="B3634" s="4" t="s">
        <v>19</v>
      </c>
      <c r="C3634" s="38" t="s">
        <v>9230</v>
      </c>
      <c r="D3634" s="4">
        <v>2023</v>
      </c>
      <c r="E3634" s="4" t="s">
        <v>12</v>
      </c>
      <c r="F3634" s="4">
        <v>195</v>
      </c>
      <c r="G3634" s="41">
        <v>147.5</v>
      </c>
      <c r="H3634" s="41">
        <v>306.26900000000001</v>
      </c>
      <c r="I3634" s="221"/>
      <c r="J3634" s="221"/>
    </row>
    <row r="3635" spans="1:36" s="5" customFormat="1" ht="21.75" hidden="1" customHeight="1" outlineLevel="1" x14ac:dyDescent="0.25">
      <c r="A3635" s="4">
        <v>538</v>
      </c>
      <c r="B3635" s="4" t="s">
        <v>19</v>
      </c>
      <c r="C3635" s="38" t="s">
        <v>9341</v>
      </c>
      <c r="D3635" s="4">
        <v>2023</v>
      </c>
      <c r="E3635" s="4" t="s">
        <v>12</v>
      </c>
      <c r="F3635" s="4">
        <v>150</v>
      </c>
      <c r="G3635" s="41">
        <v>15</v>
      </c>
      <c r="H3635" s="41">
        <v>277.375</v>
      </c>
      <c r="I3635" s="221"/>
      <c r="J3635" s="221"/>
    </row>
    <row r="3636" spans="1:36" s="5" customFormat="1" ht="21.75" hidden="1" customHeight="1" outlineLevel="1" x14ac:dyDescent="0.25">
      <c r="A3636" s="4">
        <v>4744</v>
      </c>
      <c r="B3636" s="4" t="s">
        <v>19</v>
      </c>
      <c r="C3636" s="38" t="s">
        <v>9233</v>
      </c>
      <c r="D3636" s="4">
        <v>2023</v>
      </c>
      <c r="E3636" s="4" t="s">
        <v>12</v>
      </c>
      <c r="F3636" s="4">
        <v>75</v>
      </c>
      <c r="G3636" s="41">
        <v>100</v>
      </c>
      <c r="H3636" s="41">
        <v>257.23400000000004</v>
      </c>
      <c r="I3636" s="221"/>
      <c r="J3636" s="221"/>
    </row>
    <row r="3637" spans="1:36" s="5" customFormat="1" ht="21.75" hidden="1" customHeight="1" outlineLevel="1" x14ac:dyDescent="0.25">
      <c r="A3637" s="4">
        <v>4790</v>
      </c>
      <c r="B3637" s="4" t="s">
        <v>19</v>
      </c>
      <c r="C3637" s="38" t="s">
        <v>9067</v>
      </c>
      <c r="D3637" s="4">
        <v>2023</v>
      </c>
      <c r="E3637" s="4" t="s">
        <v>12</v>
      </c>
      <c r="F3637" s="4">
        <v>25</v>
      </c>
      <c r="G3637" s="41">
        <v>54.2</v>
      </c>
      <c r="H3637" s="41">
        <v>167.852</v>
      </c>
      <c r="I3637" s="221"/>
      <c r="J3637" s="221"/>
    </row>
    <row r="3638" spans="1:36" s="5" customFormat="1" ht="18.75" hidden="1" customHeight="1" outlineLevel="1" x14ac:dyDescent="0.25">
      <c r="A3638" s="4"/>
      <c r="B3638" s="4"/>
      <c r="C3638" s="38"/>
      <c r="D3638" s="4"/>
      <c r="E3638" s="4"/>
      <c r="F3638" s="4"/>
      <c r="G3638" s="4"/>
      <c r="H3638" s="4"/>
      <c r="I3638" s="201"/>
      <c r="J3638" s="201"/>
    </row>
    <row r="3639" spans="1:36" s="5" customFormat="1" ht="24" customHeight="1" collapsed="1" x14ac:dyDescent="0.25">
      <c r="A3639" s="4"/>
      <c r="B3639" s="321" t="s">
        <v>19</v>
      </c>
      <c r="C3639" s="329" t="s">
        <v>2094</v>
      </c>
      <c r="D3639" s="329"/>
      <c r="E3639" s="321" t="s">
        <v>13</v>
      </c>
      <c r="F3639" s="321"/>
      <c r="G3639" s="321"/>
      <c r="H3639" s="321"/>
      <c r="I3639" s="214"/>
      <c r="J3639" s="214"/>
    </row>
    <row r="3640" spans="1:36" s="5" customFormat="1" ht="18.75" customHeight="1" x14ac:dyDescent="0.25">
      <c r="A3640" s="4"/>
      <c r="B3640" s="322"/>
      <c r="C3640" s="350"/>
      <c r="D3640" s="346"/>
      <c r="E3640" s="322"/>
      <c r="F3640" s="348"/>
      <c r="G3640" s="348"/>
      <c r="H3640" s="348"/>
      <c r="I3640" s="214"/>
      <c r="J3640" s="214"/>
    </row>
    <row r="3641" spans="1:36" s="5" customFormat="1" ht="6.75" customHeight="1" x14ac:dyDescent="0.25">
      <c r="A3641" s="4"/>
      <c r="B3641" s="322"/>
      <c r="C3641" s="350"/>
      <c r="D3641" s="346"/>
      <c r="E3641" s="322" t="s">
        <v>13</v>
      </c>
      <c r="F3641" s="348"/>
      <c r="G3641" s="348"/>
      <c r="H3641" s="348"/>
      <c r="I3641" s="214"/>
      <c r="J3641" s="214"/>
    </row>
    <row r="3642" spans="1:36" s="5" customFormat="1" ht="17.25" hidden="1" customHeight="1" x14ac:dyDescent="0.25">
      <c r="A3642" s="4"/>
      <c r="B3642" s="323"/>
      <c r="C3642" s="351"/>
      <c r="D3642" s="347"/>
      <c r="E3642" s="323"/>
      <c r="F3642" s="349"/>
      <c r="G3642" s="349"/>
      <c r="H3642" s="349"/>
      <c r="I3642" s="214"/>
      <c r="J3642" s="214"/>
    </row>
    <row r="3643" spans="1:36" s="5" customFormat="1" ht="17.25" customHeight="1" x14ac:dyDescent="0.25">
      <c r="A3643" s="4"/>
      <c r="B3643" s="7" t="s">
        <v>19</v>
      </c>
      <c r="C3643" s="8" t="s">
        <v>57</v>
      </c>
      <c r="D3643" s="7">
        <v>2021</v>
      </c>
      <c r="E3643" s="7" t="s">
        <v>13</v>
      </c>
      <c r="F3643" s="17">
        <f ca="1">SUMIF($D$3646:$H$3688,$D$3643,$F$3646:$F$3688)</f>
        <v>14853</v>
      </c>
      <c r="G3643" s="17">
        <f ca="1">SUMIF($D$3646:$H$3688,$D$3643,$G$3646:$G$3688)</f>
        <v>3656.3</v>
      </c>
      <c r="H3643" s="32">
        <f ca="1">SUMIF($D$3646:$H$3688,$D$3643,$H$3646:$H$3688)</f>
        <v>26951.85528</v>
      </c>
    </row>
    <row r="3644" spans="1:36" s="26" customFormat="1" ht="16.5" customHeight="1" x14ac:dyDescent="0.25">
      <c r="A3644" s="4"/>
      <c r="B3644" s="7" t="s">
        <v>19</v>
      </c>
      <c r="C3644" s="8" t="s">
        <v>57</v>
      </c>
      <c r="D3644" s="7">
        <v>2022</v>
      </c>
      <c r="E3644" s="7" t="s">
        <v>13</v>
      </c>
      <c r="F3644" s="7">
        <f ca="1">SUMIF($D$3646:$H$3688,$D$3644,$F$3646:$F$3688)</f>
        <v>1909</v>
      </c>
      <c r="G3644" s="7">
        <f ca="1">SUMIF($D$3646:$H$3688,$D$3644,$G$3646:$G$3688)</f>
        <v>2460.5</v>
      </c>
      <c r="H3644" s="10">
        <f ca="1">SUMIF($D$3646:$H$3688,$D$3644,$H$3646:$H$3688)</f>
        <v>5947.6420000000007</v>
      </c>
      <c r="I3644" s="205"/>
      <c r="J3644" s="205"/>
      <c r="K3644" s="5"/>
      <c r="L3644" s="5"/>
      <c r="M3644" s="5"/>
      <c r="N3644" s="5"/>
      <c r="O3644" s="5"/>
      <c r="P3644" s="5"/>
      <c r="Q3644" s="5"/>
      <c r="R3644" s="5"/>
      <c r="S3644" s="5"/>
      <c r="T3644" s="5"/>
      <c r="U3644" s="5"/>
      <c r="V3644" s="5"/>
      <c r="W3644" s="5"/>
      <c r="X3644" s="5"/>
      <c r="Y3644" s="5"/>
      <c r="Z3644" s="5"/>
      <c r="AA3644" s="5"/>
      <c r="AB3644" s="5"/>
      <c r="AC3644" s="5"/>
      <c r="AD3644" s="5"/>
      <c r="AE3644" s="5"/>
      <c r="AF3644" s="5"/>
      <c r="AG3644" s="5"/>
      <c r="AH3644" s="5"/>
      <c r="AI3644" s="5"/>
      <c r="AJ3644" s="5"/>
    </row>
    <row r="3645" spans="1:36" s="26" customFormat="1" ht="17.25" customHeight="1" x14ac:dyDescent="0.25">
      <c r="A3645" s="4"/>
      <c r="B3645" s="7" t="s">
        <v>19</v>
      </c>
      <c r="C3645" s="8" t="s">
        <v>2811</v>
      </c>
      <c r="D3645" s="7">
        <v>2023</v>
      </c>
      <c r="E3645" s="7" t="s">
        <v>13</v>
      </c>
      <c r="F3645" s="7">
        <f ca="1">SUMIF($D$3646:$H$3688,$D$3645,$F$3646:$F$3688)</f>
        <v>9538</v>
      </c>
      <c r="G3645" s="7">
        <f ca="1">SUMIF($D$3646:$H$3688,$D$3645,$G$3646:$G$3688)</f>
        <v>654.32000000000005</v>
      </c>
      <c r="H3645" s="10">
        <f ca="1">SUMIF($D$3646:$H$3688,$D$3645,$H$3646:$H$3688)</f>
        <v>16560.782999999999</v>
      </c>
      <c r="I3645" s="205"/>
      <c r="J3645" s="205"/>
      <c r="K3645" s="5"/>
      <c r="L3645" s="5"/>
      <c r="M3645" s="5"/>
      <c r="N3645" s="5"/>
      <c r="O3645" s="5"/>
      <c r="P3645" s="5"/>
      <c r="Q3645" s="5"/>
      <c r="R3645" s="5"/>
      <c r="S3645" s="5"/>
      <c r="T3645" s="5"/>
      <c r="U3645" s="5"/>
      <c r="V3645" s="5"/>
      <c r="W3645" s="5"/>
      <c r="X3645" s="5"/>
      <c r="Y3645" s="5"/>
      <c r="Z3645" s="5"/>
      <c r="AA3645" s="5"/>
      <c r="AB3645" s="5"/>
      <c r="AC3645" s="5"/>
      <c r="AD3645" s="5"/>
      <c r="AE3645" s="5"/>
      <c r="AF3645" s="5"/>
      <c r="AG3645" s="5"/>
      <c r="AH3645" s="5"/>
      <c r="AI3645" s="5"/>
      <c r="AJ3645" s="5"/>
    </row>
    <row r="3646" spans="1:36" s="5" customFormat="1" ht="17.25" hidden="1" customHeight="1" outlineLevel="1" x14ac:dyDescent="0.25">
      <c r="A3646" s="4">
        <v>4877</v>
      </c>
      <c r="B3646" s="4" t="s">
        <v>19</v>
      </c>
      <c r="C3646" s="38" t="s">
        <v>2851</v>
      </c>
      <c r="D3646" s="4">
        <v>2022</v>
      </c>
      <c r="E3646" s="4" t="s">
        <v>13</v>
      </c>
      <c r="F3646" s="4">
        <v>5</v>
      </c>
      <c r="G3646" s="115">
        <v>40</v>
      </c>
      <c r="H3646" s="41">
        <v>20</v>
      </c>
      <c r="I3646" s="221"/>
      <c r="J3646" s="221"/>
    </row>
    <row r="3647" spans="1:36" s="5" customFormat="1" ht="17.25" hidden="1" customHeight="1" outlineLevel="1" x14ac:dyDescent="0.25">
      <c r="A3647" s="4">
        <v>4914</v>
      </c>
      <c r="B3647" s="4" t="s">
        <v>19</v>
      </c>
      <c r="C3647" s="38" t="s">
        <v>2963</v>
      </c>
      <c r="D3647" s="4">
        <v>2022</v>
      </c>
      <c r="E3647" s="4" t="s">
        <v>13</v>
      </c>
      <c r="F3647" s="4">
        <v>89</v>
      </c>
      <c r="G3647" s="115">
        <v>10</v>
      </c>
      <c r="H3647" s="41">
        <v>437.8</v>
      </c>
      <c r="I3647" s="221"/>
      <c r="J3647" s="221"/>
    </row>
    <row r="3648" spans="1:36" s="5" customFormat="1" ht="17.25" hidden="1" customHeight="1" outlineLevel="1" x14ac:dyDescent="0.25">
      <c r="A3648" s="4">
        <v>4550</v>
      </c>
      <c r="B3648" s="4" t="s">
        <v>19</v>
      </c>
      <c r="C3648" s="38" t="s">
        <v>3110</v>
      </c>
      <c r="D3648" s="4">
        <v>2022</v>
      </c>
      <c r="E3648" s="4" t="s">
        <v>13</v>
      </c>
      <c r="F3648" s="4">
        <v>78</v>
      </c>
      <c r="G3648" s="4">
        <v>2000</v>
      </c>
      <c r="H3648" s="41">
        <v>503.49999999999994</v>
      </c>
      <c r="I3648" s="221"/>
      <c r="J3648" s="221"/>
    </row>
    <row r="3649" spans="1:10" s="5" customFormat="1" ht="17.25" hidden="1" customHeight="1" outlineLevel="1" x14ac:dyDescent="0.25">
      <c r="A3649" s="4">
        <v>5021</v>
      </c>
      <c r="B3649" s="4" t="s">
        <v>19</v>
      </c>
      <c r="C3649" s="38" t="s">
        <v>2987</v>
      </c>
      <c r="D3649" s="4">
        <v>2022</v>
      </c>
      <c r="E3649" s="4" t="s">
        <v>13</v>
      </c>
      <c r="F3649" s="4">
        <v>155</v>
      </c>
      <c r="G3649" s="115">
        <v>50</v>
      </c>
      <c r="H3649" s="41">
        <v>860</v>
      </c>
      <c r="I3649" s="221"/>
      <c r="J3649" s="221"/>
    </row>
    <row r="3650" spans="1:10" s="5" customFormat="1" ht="17.25" hidden="1" customHeight="1" outlineLevel="1" x14ac:dyDescent="0.25">
      <c r="A3650" s="4">
        <v>4674</v>
      </c>
      <c r="B3650" s="4" t="s">
        <v>19</v>
      </c>
      <c r="C3650" s="38" t="s">
        <v>3005</v>
      </c>
      <c r="D3650" s="4">
        <v>2022</v>
      </c>
      <c r="E3650" s="4" t="s">
        <v>13</v>
      </c>
      <c r="F3650" s="4">
        <v>15</v>
      </c>
      <c r="G3650" s="115">
        <v>45.5</v>
      </c>
      <c r="H3650" s="41">
        <v>112.91</v>
      </c>
      <c r="I3650" s="221"/>
      <c r="J3650" s="221"/>
    </row>
    <row r="3651" spans="1:10" s="5" customFormat="1" ht="17.25" hidden="1" customHeight="1" outlineLevel="1" x14ac:dyDescent="0.25">
      <c r="A3651" s="4">
        <v>4853</v>
      </c>
      <c r="B3651" s="4" t="s">
        <v>19</v>
      </c>
      <c r="C3651" s="38" t="s">
        <v>3105</v>
      </c>
      <c r="D3651" s="4">
        <v>2022</v>
      </c>
      <c r="E3651" s="4" t="s">
        <v>13</v>
      </c>
      <c r="F3651" s="4">
        <v>1059</v>
      </c>
      <c r="G3651" s="115">
        <v>150</v>
      </c>
      <c r="H3651" s="41">
        <v>2508.614</v>
      </c>
      <c r="I3651" s="221"/>
      <c r="J3651" s="221"/>
    </row>
    <row r="3652" spans="1:10" s="5" customFormat="1" ht="17.25" hidden="1" customHeight="1" outlineLevel="1" x14ac:dyDescent="0.25">
      <c r="A3652" s="4">
        <v>1870</v>
      </c>
      <c r="B3652" s="4" t="s">
        <v>19</v>
      </c>
      <c r="C3652" s="38" t="s">
        <v>3111</v>
      </c>
      <c r="D3652" s="4">
        <v>2022</v>
      </c>
      <c r="E3652" s="4" t="s">
        <v>13</v>
      </c>
      <c r="F3652" s="4">
        <v>503</v>
      </c>
      <c r="G3652" s="4">
        <v>15</v>
      </c>
      <c r="H3652" s="41">
        <v>1445.818</v>
      </c>
      <c r="I3652" s="221"/>
      <c r="J3652" s="221"/>
    </row>
    <row r="3653" spans="1:10" s="5" customFormat="1" ht="17.25" hidden="1" customHeight="1" outlineLevel="1" x14ac:dyDescent="0.25">
      <c r="A3653" s="4">
        <v>2542</v>
      </c>
      <c r="B3653" s="4" t="s">
        <v>19</v>
      </c>
      <c r="C3653" s="38" t="s">
        <v>3108</v>
      </c>
      <c r="D3653" s="4">
        <v>2022</v>
      </c>
      <c r="E3653" s="4" t="s">
        <v>13</v>
      </c>
      <c r="F3653" s="4">
        <v>5</v>
      </c>
      <c r="G3653" s="4">
        <v>150</v>
      </c>
      <c r="H3653" s="41">
        <v>59</v>
      </c>
      <c r="I3653" s="221"/>
      <c r="J3653" s="221"/>
    </row>
    <row r="3654" spans="1:10" s="5" customFormat="1" ht="17.25" hidden="1" customHeight="1" outlineLevel="1" x14ac:dyDescent="0.25">
      <c r="A3654" s="42">
        <v>3826</v>
      </c>
      <c r="B3654" s="4" t="s">
        <v>19</v>
      </c>
      <c r="C3654" s="38" t="s">
        <v>383</v>
      </c>
      <c r="D3654" s="4">
        <v>2021</v>
      </c>
      <c r="E3654" s="4"/>
      <c r="F3654" s="4">
        <v>400</v>
      </c>
      <c r="G3654" s="4" t="s">
        <v>358</v>
      </c>
      <c r="H3654" s="4">
        <v>665</v>
      </c>
      <c r="I3654" s="201"/>
      <c r="J3654" s="201"/>
    </row>
    <row r="3655" spans="1:10" s="5" customFormat="1" ht="17.25" hidden="1" customHeight="1" outlineLevel="1" x14ac:dyDescent="0.25">
      <c r="A3655" s="41">
        <v>9735</v>
      </c>
      <c r="B3655" s="4" t="s">
        <v>19</v>
      </c>
      <c r="C3655" s="38" t="s">
        <v>814</v>
      </c>
      <c r="D3655" s="4">
        <v>2021</v>
      </c>
      <c r="E3655" s="4"/>
      <c r="F3655" s="4">
        <v>32</v>
      </c>
      <c r="G3655" s="4" t="s">
        <v>815</v>
      </c>
      <c r="H3655" s="4">
        <v>193</v>
      </c>
      <c r="I3655" s="201"/>
      <c r="J3655" s="201"/>
    </row>
    <row r="3656" spans="1:10" s="5" customFormat="1" ht="17.25" hidden="1" customHeight="1" outlineLevel="1" x14ac:dyDescent="0.25">
      <c r="A3656" s="41">
        <v>9598</v>
      </c>
      <c r="B3656" s="4" t="s">
        <v>19</v>
      </c>
      <c r="C3656" s="38" t="s">
        <v>884</v>
      </c>
      <c r="D3656" s="4">
        <v>2021</v>
      </c>
      <c r="E3656" s="4"/>
      <c r="F3656" s="4">
        <v>4</v>
      </c>
      <c r="G3656" s="4">
        <v>15</v>
      </c>
      <c r="H3656" s="4">
        <v>92</v>
      </c>
      <c r="I3656" s="201"/>
      <c r="J3656" s="201"/>
    </row>
    <row r="3657" spans="1:10" s="5" customFormat="1" ht="17.25" hidden="1" customHeight="1" outlineLevel="1" x14ac:dyDescent="0.25">
      <c r="A3657" s="41">
        <v>9600</v>
      </c>
      <c r="B3657" s="4" t="s">
        <v>19</v>
      </c>
      <c r="C3657" s="38" t="s">
        <v>824</v>
      </c>
      <c r="D3657" s="4">
        <v>2021</v>
      </c>
      <c r="E3657" s="4"/>
      <c r="F3657" s="4">
        <v>98</v>
      </c>
      <c r="G3657" s="4">
        <v>240</v>
      </c>
      <c r="H3657" s="4">
        <v>308</v>
      </c>
      <c r="I3657" s="201"/>
      <c r="J3657" s="201"/>
    </row>
    <row r="3658" spans="1:10" s="5" customFormat="1" ht="17.25" hidden="1" customHeight="1" outlineLevel="1" x14ac:dyDescent="0.25">
      <c r="A3658" s="41">
        <v>9658</v>
      </c>
      <c r="B3658" s="4" t="s">
        <v>19</v>
      </c>
      <c r="C3658" s="38" t="s">
        <v>825</v>
      </c>
      <c r="D3658" s="4">
        <v>2021</v>
      </c>
      <c r="E3658" s="4"/>
      <c r="F3658" s="4">
        <v>495</v>
      </c>
      <c r="G3658" s="4">
        <v>150</v>
      </c>
      <c r="H3658" s="4">
        <v>1110</v>
      </c>
      <c r="I3658" s="201"/>
      <c r="J3658" s="201"/>
    </row>
    <row r="3659" spans="1:10" s="5" customFormat="1" ht="17.25" hidden="1" customHeight="1" outlineLevel="1" x14ac:dyDescent="0.25">
      <c r="A3659" s="41">
        <v>9659</v>
      </c>
      <c r="B3659" s="4" t="s">
        <v>19</v>
      </c>
      <c r="C3659" s="22" t="s">
        <v>828</v>
      </c>
      <c r="D3659" s="4">
        <v>2021</v>
      </c>
      <c r="E3659" s="4"/>
      <c r="F3659" s="4">
        <v>7</v>
      </c>
      <c r="G3659" s="4">
        <v>118.3</v>
      </c>
      <c r="H3659" s="4">
        <v>142</v>
      </c>
      <c r="I3659" s="201"/>
      <c r="J3659" s="201"/>
    </row>
    <row r="3660" spans="1:10" s="5" customFormat="1" ht="17.25" hidden="1" customHeight="1" outlineLevel="1" x14ac:dyDescent="0.25">
      <c r="A3660" s="41">
        <v>9675</v>
      </c>
      <c r="B3660" s="4" t="s">
        <v>19</v>
      </c>
      <c r="C3660" s="38" t="s">
        <v>885</v>
      </c>
      <c r="D3660" s="4">
        <v>2021</v>
      </c>
      <c r="E3660" s="4"/>
      <c r="F3660" s="4">
        <v>1329</v>
      </c>
      <c r="G3660" s="4">
        <v>150</v>
      </c>
      <c r="H3660" s="4">
        <v>2549</v>
      </c>
      <c r="I3660" s="201"/>
      <c r="J3660" s="201"/>
    </row>
    <row r="3661" spans="1:10" s="5" customFormat="1" ht="17.25" hidden="1" customHeight="1" outlineLevel="1" x14ac:dyDescent="0.25">
      <c r="A3661" s="41">
        <v>9602</v>
      </c>
      <c r="B3661" s="4" t="s">
        <v>19</v>
      </c>
      <c r="C3661" s="22" t="s">
        <v>494</v>
      </c>
      <c r="D3661" s="4">
        <v>2021</v>
      </c>
      <c r="E3661" s="4"/>
      <c r="F3661" s="4">
        <v>499</v>
      </c>
      <c r="G3661" s="4">
        <v>15</v>
      </c>
      <c r="H3661" s="4">
        <v>1090</v>
      </c>
      <c r="I3661" s="201"/>
      <c r="J3661" s="201"/>
    </row>
    <row r="3662" spans="1:10" s="5" customFormat="1" ht="17.25" hidden="1" customHeight="1" outlineLevel="1" x14ac:dyDescent="0.25">
      <c r="A3662" s="41">
        <v>9591</v>
      </c>
      <c r="B3662" s="4" t="s">
        <v>19</v>
      </c>
      <c r="C3662" s="38" t="s">
        <v>833</v>
      </c>
      <c r="D3662" s="4">
        <v>2021</v>
      </c>
      <c r="E3662" s="4"/>
      <c r="F3662" s="4">
        <v>93</v>
      </c>
      <c r="G3662" s="4">
        <v>417</v>
      </c>
      <c r="H3662" s="4">
        <v>367</v>
      </c>
      <c r="I3662" s="201"/>
      <c r="J3662" s="201"/>
    </row>
    <row r="3663" spans="1:10" s="5" customFormat="1" ht="17.25" hidden="1" customHeight="1" outlineLevel="1" x14ac:dyDescent="0.25">
      <c r="A3663" s="41">
        <v>9577</v>
      </c>
      <c r="B3663" s="4" t="s">
        <v>19</v>
      </c>
      <c r="C3663" s="38" t="s">
        <v>840</v>
      </c>
      <c r="D3663" s="4">
        <v>2021</v>
      </c>
      <c r="E3663" s="4"/>
      <c r="F3663" s="4">
        <v>885</v>
      </c>
      <c r="G3663" s="4">
        <v>195</v>
      </c>
      <c r="H3663" s="4">
        <v>1874</v>
      </c>
      <c r="I3663" s="201"/>
      <c r="J3663" s="201"/>
    </row>
    <row r="3664" spans="1:10" s="5" customFormat="1" ht="17.25" hidden="1" customHeight="1" outlineLevel="1" x14ac:dyDescent="0.25">
      <c r="A3664" s="41">
        <v>9677</v>
      </c>
      <c r="B3664" s="4" t="s">
        <v>19</v>
      </c>
      <c r="C3664" s="38" t="s">
        <v>841</v>
      </c>
      <c r="D3664" s="4">
        <v>2021</v>
      </c>
      <c r="E3664" s="4"/>
      <c r="F3664" s="4">
        <v>5</v>
      </c>
      <c r="G3664" s="4">
        <v>150</v>
      </c>
      <c r="H3664" s="4">
        <v>130</v>
      </c>
      <c r="I3664" s="201"/>
      <c r="J3664" s="201"/>
    </row>
    <row r="3665" spans="1:10" s="5" customFormat="1" ht="17.25" hidden="1" customHeight="1" outlineLevel="1" x14ac:dyDescent="0.25">
      <c r="A3665" s="41">
        <v>9676</v>
      </c>
      <c r="B3665" s="4" t="s">
        <v>19</v>
      </c>
      <c r="C3665" s="38" t="s">
        <v>851</v>
      </c>
      <c r="D3665" s="4">
        <v>2021</v>
      </c>
      <c r="E3665" s="4"/>
      <c r="F3665" s="4">
        <v>15</v>
      </c>
      <c r="G3665" s="4">
        <v>150</v>
      </c>
      <c r="H3665" s="4">
        <v>132</v>
      </c>
      <c r="I3665" s="201"/>
      <c r="J3665" s="201"/>
    </row>
    <row r="3666" spans="1:10" s="5" customFormat="1" ht="17.25" hidden="1" customHeight="1" outlineLevel="1" x14ac:dyDescent="0.25">
      <c r="A3666" s="41">
        <v>9587</v>
      </c>
      <c r="B3666" s="4" t="s">
        <v>19</v>
      </c>
      <c r="C3666" s="38" t="s">
        <v>553</v>
      </c>
      <c r="D3666" s="4">
        <v>2021</v>
      </c>
      <c r="E3666" s="4"/>
      <c r="F3666" s="4">
        <v>5</v>
      </c>
      <c r="G3666" s="4">
        <v>1</v>
      </c>
      <c r="H3666" s="4">
        <v>165</v>
      </c>
      <c r="I3666" s="201"/>
      <c r="J3666" s="201"/>
    </row>
    <row r="3667" spans="1:10" s="5" customFormat="1" ht="17.25" hidden="1" customHeight="1" outlineLevel="1" x14ac:dyDescent="0.25">
      <c r="A3667" s="41">
        <v>9265</v>
      </c>
      <c r="B3667" s="4" t="s">
        <v>19</v>
      </c>
      <c r="C3667" s="38" t="s">
        <v>886</v>
      </c>
      <c r="D3667" s="4">
        <v>2021</v>
      </c>
      <c r="E3667" s="4"/>
      <c r="F3667" s="4">
        <v>2348</v>
      </c>
      <c r="G3667" s="4">
        <v>300</v>
      </c>
      <c r="H3667" s="4">
        <v>6208</v>
      </c>
      <c r="I3667" s="201"/>
      <c r="J3667" s="201"/>
    </row>
    <row r="3668" spans="1:10" s="5" customFormat="1" ht="17.25" hidden="1" customHeight="1" outlineLevel="1" x14ac:dyDescent="0.25">
      <c r="A3668" s="41">
        <v>9648</v>
      </c>
      <c r="B3668" s="4" t="s">
        <v>19</v>
      </c>
      <c r="C3668" s="38" t="s">
        <v>859</v>
      </c>
      <c r="D3668" s="4">
        <v>2021</v>
      </c>
      <c r="E3668" s="4"/>
      <c r="F3668" s="4">
        <v>3</v>
      </c>
      <c r="G3668" s="4">
        <v>45</v>
      </c>
      <c r="H3668" s="4">
        <v>127</v>
      </c>
      <c r="I3668" s="201"/>
      <c r="J3668" s="201"/>
    </row>
    <row r="3669" spans="1:10" s="5" customFormat="1" ht="17.25" hidden="1" customHeight="1" outlineLevel="1" x14ac:dyDescent="0.25">
      <c r="A3669" s="41">
        <v>9443</v>
      </c>
      <c r="B3669" s="4" t="s">
        <v>19</v>
      </c>
      <c r="C3669" s="38" t="s">
        <v>887</v>
      </c>
      <c r="D3669" s="4">
        <v>2021</v>
      </c>
      <c r="E3669" s="4"/>
      <c r="F3669" s="4">
        <v>1606</v>
      </c>
      <c r="G3669" s="4">
        <v>90</v>
      </c>
      <c r="H3669" s="4">
        <v>2316</v>
      </c>
      <c r="I3669" s="201"/>
      <c r="J3669" s="201"/>
    </row>
    <row r="3670" spans="1:10" s="5" customFormat="1" ht="17.25" hidden="1" customHeight="1" outlineLevel="1" x14ac:dyDescent="0.25">
      <c r="A3670" s="41">
        <v>9589</v>
      </c>
      <c r="B3670" s="4" t="s">
        <v>19</v>
      </c>
      <c r="C3670" s="38" t="s">
        <v>860</v>
      </c>
      <c r="D3670" s="4">
        <v>2021</v>
      </c>
      <c r="E3670" s="4"/>
      <c r="F3670" s="4">
        <v>729</v>
      </c>
      <c r="G3670" s="4">
        <v>300</v>
      </c>
      <c r="H3670" s="4">
        <v>1234</v>
      </c>
      <c r="I3670" s="201"/>
      <c r="J3670" s="201"/>
    </row>
    <row r="3671" spans="1:10" s="5" customFormat="1" ht="17.25" hidden="1" customHeight="1" outlineLevel="1" x14ac:dyDescent="0.25">
      <c r="A3671" s="41">
        <v>9661</v>
      </c>
      <c r="B3671" s="4" t="s">
        <v>19</v>
      </c>
      <c r="C3671" s="38" t="s">
        <v>888</v>
      </c>
      <c r="D3671" s="4">
        <v>2021</v>
      </c>
      <c r="E3671" s="4"/>
      <c r="F3671" s="4">
        <v>34</v>
      </c>
      <c r="G3671" s="4">
        <v>15</v>
      </c>
      <c r="H3671" s="4">
        <v>250</v>
      </c>
      <c r="I3671" s="201"/>
      <c r="J3671" s="201"/>
    </row>
    <row r="3672" spans="1:10" s="5" customFormat="1" ht="17.25" hidden="1" customHeight="1" outlineLevel="1" x14ac:dyDescent="0.25">
      <c r="A3672" s="42">
        <v>3734</v>
      </c>
      <c r="B3672" s="4" t="s">
        <v>19</v>
      </c>
      <c r="C3672" s="38" t="s">
        <v>889</v>
      </c>
      <c r="D3672" s="4">
        <v>2021</v>
      </c>
      <c r="E3672" s="4"/>
      <c r="F3672" s="4">
        <v>1353</v>
      </c>
      <c r="G3672" s="4">
        <v>150</v>
      </c>
      <c r="H3672" s="4">
        <v>1539</v>
      </c>
      <c r="I3672" s="201"/>
      <c r="J3672" s="201"/>
    </row>
    <row r="3673" spans="1:10" s="5" customFormat="1" ht="17.25" hidden="1" customHeight="1" outlineLevel="1" x14ac:dyDescent="0.25">
      <c r="A3673" s="42">
        <v>3734</v>
      </c>
      <c r="B3673" s="4" t="s">
        <v>19</v>
      </c>
      <c r="C3673" s="38" t="s">
        <v>889</v>
      </c>
      <c r="D3673" s="4">
        <v>2021</v>
      </c>
      <c r="E3673" s="4"/>
      <c r="F3673" s="4">
        <v>3293</v>
      </c>
      <c r="G3673" s="4">
        <v>150</v>
      </c>
      <c r="H3673" s="4">
        <v>3701</v>
      </c>
      <c r="I3673" s="201"/>
      <c r="J3673" s="201"/>
    </row>
    <row r="3674" spans="1:10" s="5" customFormat="1" ht="17.25" hidden="1" customHeight="1" outlineLevel="1" x14ac:dyDescent="0.25">
      <c r="A3674" s="41">
        <v>9650</v>
      </c>
      <c r="B3674" s="4" t="s">
        <v>19</v>
      </c>
      <c r="C3674" s="38" t="s">
        <v>890</v>
      </c>
      <c r="D3674" s="4">
        <v>2021</v>
      </c>
      <c r="E3674" s="4"/>
      <c r="F3674" s="4">
        <v>497</v>
      </c>
      <c r="G3674" s="4">
        <v>70</v>
      </c>
      <c r="H3674" s="4">
        <v>908</v>
      </c>
      <c r="I3674" s="201"/>
      <c r="J3674" s="201"/>
    </row>
    <row r="3675" spans="1:10" s="5" customFormat="1" ht="17.25" hidden="1" customHeight="1" outlineLevel="1" x14ac:dyDescent="0.25">
      <c r="A3675" s="41">
        <v>9444</v>
      </c>
      <c r="B3675" s="4" t="s">
        <v>19</v>
      </c>
      <c r="C3675" s="38" t="s">
        <v>891</v>
      </c>
      <c r="D3675" s="4">
        <v>2021</v>
      </c>
      <c r="E3675" s="4"/>
      <c r="F3675" s="4">
        <v>20</v>
      </c>
      <c r="G3675" s="4">
        <v>149</v>
      </c>
      <c r="H3675" s="4">
        <v>77</v>
      </c>
      <c r="I3675" s="201"/>
      <c r="J3675" s="201"/>
    </row>
    <row r="3676" spans="1:10" s="5" customFormat="1" ht="17.25" hidden="1" customHeight="1" outlineLevel="1" x14ac:dyDescent="0.25">
      <c r="A3676" s="41">
        <v>9629</v>
      </c>
      <c r="B3676" s="4" t="s">
        <v>19</v>
      </c>
      <c r="C3676" s="38" t="s">
        <v>892</v>
      </c>
      <c r="D3676" s="4">
        <v>2021</v>
      </c>
      <c r="E3676" s="4"/>
      <c r="F3676" s="4">
        <v>15</v>
      </c>
      <c r="G3676" s="4">
        <v>450</v>
      </c>
      <c r="H3676" s="4">
        <v>39.874079999999999</v>
      </c>
      <c r="I3676" s="201"/>
      <c r="J3676" s="201"/>
    </row>
    <row r="3677" spans="1:10" s="5" customFormat="1" ht="17.25" hidden="1" customHeight="1" outlineLevel="1" x14ac:dyDescent="0.25">
      <c r="A3677" s="42">
        <v>3876</v>
      </c>
      <c r="B3677" s="4" t="s">
        <v>19</v>
      </c>
      <c r="C3677" s="38" t="s">
        <v>866</v>
      </c>
      <c r="D3677" s="4">
        <v>2021</v>
      </c>
      <c r="E3677" s="4"/>
      <c r="F3677" s="4">
        <v>695</v>
      </c>
      <c r="G3677" s="4">
        <v>120</v>
      </c>
      <c r="H3677" s="4">
        <v>581.18787999999995</v>
      </c>
      <c r="I3677" s="201"/>
      <c r="J3677" s="201"/>
    </row>
    <row r="3678" spans="1:10" s="5" customFormat="1" ht="17.25" hidden="1" customHeight="1" outlineLevel="1" x14ac:dyDescent="0.25">
      <c r="A3678" s="41">
        <v>9521</v>
      </c>
      <c r="B3678" s="4" t="s">
        <v>19</v>
      </c>
      <c r="C3678" s="38" t="s">
        <v>867</v>
      </c>
      <c r="D3678" s="4">
        <v>2021</v>
      </c>
      <c r="E3678" s="4"/>
      <c r="F3678" s="4">
        <v>78</v>
      </c>
      <c r="G3678" s="4">
        <v>150</v>
      </c>
      <c r="H3678" s="4">
        <v>177.19664</v>
      </c>
      <c r="I3678" s="201"/>
      <c r="J3678" s="201"/>
    </row>
    <row r="3679" spans="1:10" s="5" customFormat="1" ht="17.25" hidden="1" customHeight="1" outlineLevel="1" x14ac:dyDescent="0.25">
      <c r="A3679" s="41">
        <v>9622</v>
      </c>
      <c r="B3679" s="4" t="s">
        <v>19</v>
      </c>
      <c r="C3679" s="38" t="s">
        <v>893</v>
      </c>
      <c r="D3679" s="4">
        <v>2021</v>
      </c>
      <c r="E3679" s="4"/>
      <c r="F3679" s="4">
        <v>5</v>
      </c>
      <c r="G3679" s="4">
        <v>1</v>
      </c>
      <c r="H3679" s="4">
        <v>65.558099999999996</v>
      </c>
      <c r="I3679" s="201"/>
      <c r="J3679" s="201"/>
    </row>
    <row r="3680" spans="1:10" s="5" customFormat="1" ht="17.25" hidden="1" customHeight="1" outlineLevel="1" x14ac:dyDescent="0.25">
      <c r="A3680" s="41">
        <v>9621</v>
      </c>
      <c r="B3680" s="4" t="s">
        <v>19</v>
      </c>
      <c r="C3680" s="38" t="s">
        <v>657</v>
      </c>
      <c r="D3680" s="4">
        <v>2021</v>
      </c>
      <c r="E3680" s="4"/>
      <c r="F3680" s="4">
        <v>70</v>
      </c>
      <c r="G3680" s="4">
        <v>15</v>
      </c>
      <c r="H3680" s="4">
        <v>261.23066</v>
      </c>
      <c r="I3680" s="201"/>
      <c r="J3680" s="201"/>
    </row>
    <row r="3681" spans="1:36" s="5" customFormat="1" ht="17.25" hidden="1" customHeight="1" outlineLevel="1" x14ac:dyDescent="0.25">
      <c r="A3681" s="41">
        <v>9617</v>
      </c>
      <c r="B3681" s="4" t="s">
        <v>19</v>
      </c>
      <c r="C3681" s="38" t="s">
        <v>659</v>
      </c>
      <c r="D3681" s="4">
        <v>2021</v>
      </c>
      <c r="E3681" s="4"/>
      <c r="F3681" s="4">
        <v>12</v>
      </c>
      <c r="G3681" s="4">
        <v>15</v>
      </c>
      <c r="H3681" s="4">
        <v>117.79866</v>
      </c>
      <c r="I3681" s="201"/>
      <c r="J3681" s="201"/>
    </row>
    <row r="3682" spans="1:36" s="5" customFormat="1" ht="17.25" hidden="1" customHeight="1" outlineLevel="1" x14ac:dyDescent="0.25">
      <c r="A3682" s="41">
        <v>9620</v>
      </c>
      <c r="B3682" s="4" t="s">
        <v>19</v>
      </c>
      <c r="C3682" s="38" t="s">
        <v>660</v>
      </c>
      <c r="D3682" s="4">
        <v>2021</v>
      </c>
      <c r="E3682" s="4"/>
      <c r="F3682" s="4">
        <v>7</v>
      </c>
      <c r="G3682" s="4">
        <v>15</v>
      </c>
      <c r="H3682" s="4">
        <v>76.068389999999994</v>
      </c>
      <c r="I3682" s="201"/>
      <c r="J3682" s="201"/>
    </row>
    <row r="3683" spans="1:36" s="5" customFormat="1" ht="17.25" hidden="1" customHeight="1" outlineLevel="1" x14ac:dyDescent="0.25">
      <c r="A3683" s="41">
        <v>9455</v>
      </c>
      <c r="B3683" s="4" t="s">
        <v>19</v>
      </c>
      <c r="C3683" s="38" t="s">
        <v>883</v>
      </c>
      <c r="D3683" s="4">
        <v>2021</v>
      </c>
      <c r="E3683" s="4"/>
      <c r="F3683" s="4">
        <v>221</v>
      </c>
      <c r="G3683" s="4">
        <v>20</v>
      </c>
      <c r="H3683" s="4">
        <v>455.94087000000002</v>
      </c>
      <c r="I3683" s="201"/>
      <c r="J3683" s="201"/>
    </row>
    <row r="3684" spans="1:36" s="5" customFormat="1" ht="17.25" hidden="1" customHeight="1" outlineLevel="1" x14ac:dyDescent="0.25">
      <c r="A3684" s="4">
        <v>6403</v>
      </c>
      <c r="B3684" s="4" t="s">
        <v>19</v>
      </c>
      <c r="C3684" s="38" t="s">
        <v>8106</v>
      </c>
      <c r="D3684" s="4">
        <v>2023</v>
      </c>
      <c r="E3684" s="4" t="s">
        <v>13</v>
      </c>
      <c r="F3684" s="4">
        <v>2189</v>
      </c>
      <c r="G3684" s="4">
        <v>60</v>
      </c>
      <c r="H3684" s="41">
        <v>3837.9670000000001</v>
      </c>
      <c r="I3684" s="221"/>
      <c r="J3684" s="221"/>
    </row>
    <row r="3685" spans="1:36" s="5" customFormat="1" ht="17.25" hidden="1" customHeight="1" outlineLevel="1" x14ac:dyDescent="0.25">
      <c r="A3685" s="4">
        <v>4811</v>
      </c>
      <c r="B3685" s="4" t="s">
        <v>19</v>
      </c>
      <c r="C3685" s="38" t="s">
        <v>9342</v>
      </c>
      <c r="D3685" s="4">
        <v>2023</v>
      </c>
      <c r="E3685" s="4" t="s">
        <v>13</v>
      </c>
      <c r="F3685" s="4">
        <v>982</v>
      </c>
      <c r="G3685" s="4">
        <v>563.98</v>
      </c>
      <c r="H3685" s="41">
        <v>3424.0230000000001</v>
      </c>
      <c r="I3685" s="221"/>
      <c r="J3685" s="221"/>
    </row>
    <row r="3686" spans="1:36" s="5" customFormat="1" ht="17.25" hidden="1" customHeight="1" outlineLevel="1" x14ac:dyDescent="0.25">
      <c r="A3686" s="4">
        <v>3186</v>
      </c>
      <c r="B3686" s="4" t="s">
        <v>19</v>
      </c>
      <c r="C3686" s="38" t="s">
        <v>8395</v>
      </c>
      <c r="D3686" s="4">
        <v>2023</v>
      </c>
      <c r="E3686" s="4" t="s">
        <v>13</v>
      </c>
      <c r="F3686" s="4">
        <v>5700</v>
      </c>
      <c r="G3686" s="4">
        <v>15</v>
      </c>
      <c r="H3686" s="41">
        <v>7057.4740000000002</v>
      </c>
      <c r="I3686" s="221"/>
      <c r="J3686" s="221"/>
    </row>
    <row r="3687" spans="1:36" s="5" customFormat="1" ht="17.25" hidden="1" customHeight="1" outlineLevel="1" x14ac:dyDescent="0.25">
      <c r="A3687" s="4">
        <v>4917</v>
      </c>
      <c r="B3687" s="4" t="s">
        <v>19</v>
      </c>
      <c r="C3687" s="38" t="s">
        <v>9343</v>
      </c>
      <c r="D3687" s="4">
        <v>2023</v>
      </c>
      <c r="E3687" s="4" t="s">
        <v>13</v>
      </c>
      <c r="F3687" s="4">
        <v>667</v>
      </c>
      <c r="G3687" s="4">
        <v>15.34</v>
      </c>
      <c r="H3687" s="41">
        <v>2241.319</v>
      </c>
      <c r="I3687" s="221"/>
      <c r="J3687" s="221"/>
    </row>
    <row r="3688" spans="1:36" s="5" customFormat="1" ht="15.75" hidden="1" outlineLevel="1" x14ac:dyDescent="0.25">
      <c r="A3688" s="4"/>
      <c r="B3688" s="4"/>
      <c r="C3688" s="38"/>
      <c r="D3688" s="4"/>
      <c r="E3688" s="4"/>
      <c r="F3688" s="4"/>
      <c r="G3688" s="4"/>
      <c r="H3688" s="4"/>
      <c r="I3688" s="201"/>
      <c r="J3688" s="201"/>
    </row>
    <row r="3689" spans="1:36" s="5" customFormat="1" ht="30.75" customHeight="1" collapsed="1" x14ac:dyDescent="0.25">
      <c r="A3689" s="4"/>
      <c r="B3689" s="319" t="s">
        <v>20</v>
      </c>
      <c r="C3689" s="324" t="s">
        <v>2095</v>
      </c>
      <c r="D3689" s="324"/>
      <c r="E3689" s="319" t="s">
        <v>12</v>
      </c>
      <c r="F3689" s="319"/>
      <c r="G3689" s="319"/>
      <c r="H3689" s="319"/>
      <c r="I3689" s="218"/>
      <c r="J3689" s="218"/>
    </row>
    <row r="3690" spans="1:36" s="13" customFormat="1" ht="15.75" customHeight="1" x14ac:dyDescent="0.25">
      <c r="A3690" s="4"/>
      <c r="B3690" s="320"/>
      <c r="C3690" s="341"/>
      <c r="D3690" s="341"/>
      <c r="E3690" s="320"/>
      <c r="F3690" s="320"/>
      <c r="G3690" s="320"/>
      <c r="H3690" s="320"/>
      <c r="I3690" s="219"/>
      <c r="J3690" s="219"/>
      <c r="K3690" s="5"/>
      <c r="L3690" s="5"/>
      <c r="M3690" s="5"/>
      <c r="N3690" s="5"/>
      <c r="O3690" s="5"/>
      <c r="P3690" s="5"/>
      <c r="Q3690" s="5"/>
      <c r="R3690" s="5"/>
      <c r="S3690" s="5"/>
      <c r="T3690" s="5"/>
      <c r="U3690" s="5"/>
      <c r="V3690" s="5"/>
      <c r="W3690" s="5"/>
      <c r="X3690" s="5"/>
      <c r="Y3690" s="5"/>
      <c r="Z3690" s="5"/>
      <c r="AA3690" s="5"/>
      <c r="AB3690" s="5"/>
      <c r="AC3690" s="5"/>
      <c r="AD3690" s="5"/>
      <c r="AE3690" s="5"/>
      <c r="AF3690" s="5"/>
      <c r="AG3690" s="5"/>
      <c r="AH3690" s="5"/>
      <c r="AI3690" s="5"/>
      <c r="AJ3690" s="5"/>
    </row>
    <row r="3691" spans="1:36" s="13" customFormat="1" ht="18.75" customHeight="1" x14ac:dyDescent="0.25">
      <c r="A3691" s="4"/>
      <c r="B3691" s="11" t="s">
        <v>20</v>
      </c>
      <c r="C3691" s="12" t="s">
        <v>57</v>
      </c>
      <c r="D3691" s="11">
        <v>2021</v>
      </c>
      <c r="E3691" s="11" t="s">
        <v>12</v>
      </c>
      <c r="F3691" s="11">
        <f>SUMIF($D$3694:$D$3703,$D$3691,$F$3694:$F$3703)</f>
        <v>1581</v>
      </c>
      <c r="G3691" s="14">
        <f>SUMIF($D$3694:$D$3703,$D$3691,$G$3694:$G$3703)</f>
        <v>713</v>
      </c>
      <c r="H3691" s="14">
        <f>SUMIF($D$3694:$D$3703,$D$3691,$H$3694:$H$3703)</f>
        <v>2818.3739999999998</v>
      </c>
      <c r="I3691" s="5"/>
      <c r="J3691" s="5"/>
      <c r="K3691" s="5"/>
      <c r="L3691" s="5"/>
      <c r="M3691" s="5"/>
      <c r="N3691" s="5"/>
      <c r="O3691" s="5"/>
      <c r="P3691" s="5"/>
      <c r="Q3691" s="5"/>
      <c r="R3691" s="5"/>
      <c r="S3691" s="5"/>
      <c r="T3691" s="5"/>
      <c r="U3691" s="5"/>
      <c r="V3691" s="5"/>
      <c r="W3691" s="5"/>
      <c r="X3691" s="5"/>
      <c r="Y3691" s="5"/>
      <c r="Z3691" s="5"/>
      <c r="AA3691" s="5"/>
      <c r="AB3691" s="5"/>
      <c r="AC3691" s="5"/>
      <c r="AD3691" s="5"/>
      <c r="AE3691" s="5"/>
      <c r="AF3691" s="5"/>
      <c r="AG3691" s="5"/>
      <c r="AH3691" s="5"/>
      <c r="AI3691" s="5"/>
      <c r="AJ3691" s="5"/>
    </row>
    <row r="3692" spans="1:36" s="26" customFormat="1" ht="18.75" customHeight="1" x14ac:dyDescent="0.25">
      <c r="A3692" s="4"/>
      <c r="B3692" s="11" t="s">
        <v>20</v>
      </c>
      <c r="C3692" s="12" t="s">
        <v>57</v>
      </c>
      <c r="D3692" s="11">
        <v>2022</v>
      </c>
      <c r="E3692" s="11" t="s">
        <v>12</v>
      </c>
      <c r="F3692" s="11">
        <f>SUMIF($D$3694:$D$3703,$D$3692,$F$3694:$F$3703)</f>
        <v>30</v>
      </c>
      <c r="G3692" s="14">
        <f>SUMIF($D$3694:$D$3703,$D$3692,$G$3694:$G$3703)</f>
        <v>300</v>
      </c>
      <c r="H3692" s="14">
        <f>SUMIF($D$3694:$D$3703,$D$3692,$H$3694:$H$3703)</f>
        <v>229.04480999999998</v>
      </c>
      <c r="I3692" s="220"/>
      <c r="J3692" s="220"/>
      <c r="K3692" s="5"/>
      <c r="L3692" s="5"/>
      <c r="M3692" s="5"/>
      <c r="N3692" s="5"/>
      <c r="O3692" s="5"/>
      <c r="P3692" s="5"/>
      <c r="Q3692" s="5"/>
      <c r="R3692" s="5"/>
      <c r="S3692" s="5"/>
      <c r="T3692" s="5"/>
      <c r="U3692" s="5"/>
      <c r="V3692" s="5"/>
      <c r="W3692" s="5"/>
      <c r="X3692" s="5"/>
      <c r="Y3692" s="5"/>
      <c r="Z3692" s="5"/>
      <c r="AA3692" s="5"/>
      <c r="AB3692" s="5"/>
      <c r="AC3692" s="5"/>
      <c r="AD3692" s="5"/>
      <c r="AE3692" s="5"/>
      <c r="AF3692" s="5"/>
      <c r="AG3692" s="5"/>
      <c r="AH3692" s="5"/>
      <c r="AI3692" s="5"/>
      <c r="AJ3692" s="5"/>
    </row>
    <row r="3693" spans="1:36" s="26" customFormat="1" ht="15.75" x14ac:dyDescent="0.25">
      <c r="A3693" s="4"/>
      <c r="B3693" s="11" t="s">
        <v>20</v>
      </c>
      <c r="C3693" s="12" t="s">
        <v>57</v>
      </c>
      <c r="D3693" s="11">
        <v>2023</v>
      </c>
      <c r="E3693" s="11" t="s">
        <v>12</v>
      </c>
      <c r="F3693" s="11">
        <f>SUMIF($D$3694:$D$3703,$D$3693,$F$3694:$F$3703)</f>
        <v>437</v>
      </c>
      <c r="G3693" s="14">
        <f>SUMIF($D$3694:$D$3703,$D$3693,$G$3694:$G$3703)</f>
        <v>290</v>
      </c>
      <c r="H3693" s="14">
        <f>SUMIF($D$3694:$D$3703,$D$3693,$H$3694:$H$3703)</f>
        <v>1453.08691</v>
      </c>
      <c r="I3693" s="220"/>
      <c r="J3693" s="220"/>
      <c r="K3693" s="5"/>
      <c r="L3693" s="5"/>
      <c r="M3693" s="5"/>
      <c r="N3693" s="5"/>
      <c r="O3693" s="5"/>
      <c r="P3693" s="5"/>
      <c r="Q3693" s="5"/>
      <c r="R3693" s="5"/>
      <c r="S3693" s="5"/>
      <c r="T3693" s="5"/>
      <c r="U3693" s="5"/>
      <c r="V3693" s="5"/>
      <c r="W3693" s="5"/>
      <c r="X3693" s="5"/>
      <c r="Y3693" s="5"/>
      <c r="Z3693" s="5"/>
      <c r="AA3693" s="5"/>
      <c r="AB3693" s="5"/>
      <c r="AC3693" s="5"/>
      <c r="AD3693" s="5"/>
      <c r="AE3693" s="5"/>
      <c r="AF3693" s="5"/>
      <c r="AG3693" s="5"/>
      <c r="AH3693" s="5"/>
      <c r="AI3693" s="5"/>
      <c r="AJ3693" s="5"/>
    </row>
    <row r="3694" spans="1:36" s="5" customFormat="1" ht="24.75" hidden="1" customHeight="1" outlineLevel="1" x14ac:dyDescent="0.25">
      <c r="A3694" s="4">
        <v>475</v>
      </c>
      <c r="B3694" s="4" t="s">
        <v>20</v>
      </c>
      <c r="C3694" s="38" t="s">
        <v>2841</v>
      </c>
      <c r="D3694" s="4">
        <v>2022</v>
      </c>
      <c r="E3694" s="4" t="s">
        <v>12</v>
      </c>
      <c r="F3694" s="4">
        <v>15</v>
      </c>
      <c r="G3694" s="41">
        <v>150</v>
      </c>
      <c r="H3694" s="41">
        <v>125.04481</v>
      </c>
      <c r="I3694" s="221"/>
      <c r="J3694" s="221"/>
    </row>
    <row r="3695" spans="1:36" s="5" customFormat="1" ht="24.75" hidden="1" customHeight="1" outlineLevel="1" x14ac:dyDescent="0.25">
      <c r="A3695" s="4">
        <v>4745</v>
      </c>
      <c r="B3695" s="4" t="s">
        <v>20</v>
      </c>
      <c r="C3695" s="38" t="s">
        <v>2854</v>
      </c>
      <c r="D3695" s="4">
        <v>2022</v>
      </c>
      <c r="E3695" s="4" t="s">
        <v>12</v>
      </c>
      <c r="F3695" s="4">
        <v>15</v>
      </c>
      <c r="G3695" s="115">
        <v>150</v>
      </c>
      <c r="H3695" s="41">
        <v>104</v>
      </c>
      <c r="I3695" s="221"/>
      <c r="J3695" s="221"/>
    </row>
    <row r="3696" spans="1:36" s="5" customFormat="1" ht="24.75" hidden="1" customHeight="1" outlineLevel="1" x14ac:dyDescent="0.25">
      <c r="A3696" s="4">
        <v>3138</v>
      </c>
      <c r="B3696" s="4" t="s">
        <v>20</v>
      </c>
      <c r="C3696" s="38" t="s">
        <v>9041</v>
      </c>
      <c r="D3696" s="4">
        <v>2023</v>
      </c>
      <c r="E3696" s="4" t="s">
        <v>12</v>
      </c>
      <c r="F3696" s="4">
        <v>424</v>
      </c>
      <c r="G3696" s="41">
        <v>140</v>
      </c>
      <c r="H3696" s="41">
        <v>1324.4490000000001</v>
      </c>
      <c r="I3696" s="221"/>
      <c r="J3696" s="221"/>
    </row>
    <row r="3697" spans="1:36" s="5" customFormat="1" ht="24.75" hidden="1" customHeight="1" outlineLevel="1" x14ac:dyDescent="0.25">
      <c r="A3697" s="4">
        <v>3093</v>
      </c>
      <c r="B3697" s="4" t="s">
        <v>20</v>
      </c>
      <c r="C3697" s="38" t="s">
        <v>9222</v>
      </c>
      <c r="D3697" s="4">
        <v>2023</v>
      </c>
      <c r="E3697" s="4" t="s">
        <v>9240</v>
      </c>
      <c r="F3697" s="4">
        <v>13</v>
      </c>
      <c r="G3697" s="4">
        <v>150</v>
      </c>
      <c r="H3697" s="41">
        <v>128.63791000000001</v>
      </c>
      <c r="I3697" s="221"/>
      <c r="J3697" s="221"/>
    </row>
    <row r="3698" spans="1:36" s="5" customFormat="1" ht="24.75" hidden="1" customHeight="1" outlineLevel="1" x14ac:dyDescent="0.25">
      <c r="A3698" s="41">
        <v>9506</v>
      </c>
      <c r="B3698" s="4" t="s">
        <v>20</v>
      </c>
      <c r="C3698" s="38" t="s">
        <v>894</v>
      </c>
      <c r="D3698" s="4">
        <v>2021</v>
      </c>
      <c r="E3698" s="4" t="s">
        <v>12</v>
      </c>
      <c r="F3698" s="4">
        <v>15</v>
      </c>
      <c r="G3698" s="4">
        <v>200</v>
      </c>
      <c r="H3698" s="4">
        <v>145.96600000000001</v>
      </c>
      <c r="I3698" s="201"/>
      <c r="J3698" s="201"/>
    </row>
    <row r="3699" spans="1:36" s="5" customFormat="1" ht="24.75" hidden="1" customHeight="1" outlineLevel="1" x14ac:dyDescent="0.25">
      <c r="A3699" s="41">
        <v>9100</v>
      </c>
      <c r="B3699" s="4" t="s">
        <v>20</v>
      </c>
      <c r="C3699" s="38" t="s">
        <v>895</v>
      </c>
      <c r="D3699" s="4">
        <v>2021</v>
      </c>
      <c r="E3699" s="4" t="s">
        <v>12</v>
      </c>
      <c r="F3699" s="4">
        <v>672</v>
      </c>
      <c r="G3699" s="4">
        <v>184</v>
      </c>
      <c r="H3699" s="4">
        <v>1205</v>
      </c>
      <c r="I3699" s="201"/>
      <c r="J3699" s="201"/>
    </row>
    <row r="3700" spans="1:36" s="5" customFormat="1" ht="24.75" hidden="1" customHeight="1" outlineLevel="1" x14ac:dyDescent="0.25">
      <c r="A3700" s="41">
        <v>9414</v>
      </c>
      <c r="B3700" s="4" t="s">
        <v>20</v>
      </c>
      <c r="C3700" s="38" t="s">
        <v>896</v>
      </c>
      <c r="D3700" s="4">
        <v>2021</v>
      </c>
      <c r="E3700" s="4" t="s">
        <v>12</v>
      </c>
      <c r="F3700" s="4">
        <v>277</v>
      </c>
      <c r="G3700" s="4">
        <v>100</v>
      </c>
      <c r="H3700" s="4">
        <v>621</v>
      </c>
      <c r="I3700" s="201"/>
      <c r="J3700" s="201"/>
    </row>
    <row r="3701" spans="1:36" s="5" customFormat="1" ht="24.75" hidden="1" customHeight="1" outlineLevel="1" x14ac:dyDescent="0.25">
      <c r="A3701" s="41">
        <v>9430</v>
      </c>
      <c r="B3701" s="4" t="s">
        <v>20</v>
      </c>
      <c r="C3701" s="38" t="s">
        <v>897</v>
      </c>
      <c r="D3701" s="4">
        <v>2021</v>
      </c>
      <c r="E3701" s="4" t="s">
        <v>12</v>
      </c>
      <c r="F3701" s="4">
        <v>350</v>
      </c>
      <c r="G3701" s="4">
        <v>149</v>
      </c>
      <c r="H3701" s="4">
        <v>467.23500000000001</v>
      </c>
      <c r="I3701" s="201"/>
      <c r="J3701" s="201"/>
    </row>
    <row r="3702" spans="1:36" s="5" customFormat="1" ht="24.75" hidden="1" customHeight="1" outlineLevel="1" x14ac:dyDescent="0.25">
      <c r="A3702" s="42">
        <v>3712</v>
      </c>
      <c r="B3702" s="4" t="s">
        <v>20</v>
      </c>
      <c r="C3702" s="38" t="s">
        <v>201</v>
      </c>
      <c r="D3702" s="4">
        <v>2021</v>
      </c>
      <c r="E3702" s="4" t="s">
        <v>12</v>
      </c>
      <c r="F3702" s="4">
        <v>267</v>
      </c>
      <c r="G3702" s="4">
        <v>80</v>
      </c>
      <c r="H3702" s="4">
        <v>379.173</v>
      </c>
      <c r="I3702" s="201"/>
      <c r="J3702" s="201"/>
    </row>
    <row r="3703" spans="1:36" s="5" customFormat="1" ht="27" hidden="1" customHeight="1" outlineLevel="1" x14ac:dyDescent="0.25">
      <c r="A3703" s="42"/>
      <c r="B3703" s="4"/>
      <c r="C3703" s="38"/>
      <c r="D3703" s="4"/>
      <c r="E3703" s="4"/>
      <c r="F3703" s="4"/>
      <c r="G3703" s="4"/>
      <c r="H3703" s="4"/>
      <c r="I3703" s="201"/>
      <c r="J3703" s="201"/>
    </row>
    <row r="3704" spans="1:36" s="5" customFormat="1" ht="24" customHeight="1" collapsed="1" x14ac:dyDescent="0.25">
      <c r="A3704" s="4"/>
      <c r="B3704" s="4"/>
      <c r="C3704" s="62" t="s">
        <v>13637</v>
      </c>
      <c r="D3704" s="4"/>
      <c r="E3704" s="4"/>
      <c r="F3704" s="4"/>
      <c r="G3704" s="4"/>
      <c r="H3704" s="4"/>
      <c r="I3704" s="201"/>
      <c r="J3704" s="201"/>
    </row>
    <row r="3705" spans="1:36" s="5" customFormat="1" ht="14.25" customHeight="1" x14ac:dyDescent="0.25">
      <c r="A3705" s="4"/>
      <c r="B3705" s="321" t="s">
        <v>21</v>
      </c>
      <c r="C3705" s="329" t="s">
        <v>2096</v>
      </c>
      <c r="D3705" s="329"/>
      <c r="E3705" s="321" t="s">
        <v>13</v>
      </c>
      <c r="F3705" s="321"/>
      <c r="G3705" s="321"/>
      <c r="H3705" s="321"/>
      <c r="I3705" s="214"/>
      <c r="J3705" s="214"/>
    </row>
    <row r="3706" spans="1:36" s="5" customFormat="1" ht="12.75" customHeight="1" x14ac:dyDescent="0.25">
      <c r="A3706" s="4"/>
      <c r="B3706" s="322"/>
      <c r="C3706" s="350"/>
      <c r="D3706" s="350"/>
      <c r="E3706" s="322"/>
      <c r="F3706" s="322"/>
      <c r="G3706" s="322"/>
      <c r="H3706" s="322"/>
      <c r="I3706" s="215"/>
      <c r="J3706" s="215"/>
    </row>
    <row r="3707" spans="1:36" s="5" customFormat="1" ht="12" customHeight="1" x14ac:dyDescent="0.25">
      <c r="A3707" s="4"/>
      <c r="B3707" s="322"/>
      <c r="C3707" s="350"/>
      <c r="D3707" s="350"/>
      <c r="E3707" s="322"/>
      <c r="F3707" s="322"/>
      <c r="G3707" s="322"/>
      <c r="H3707" s="322"/>
      <c r="I3707" s="215"/>
      <c r="J3707" s="215"/>
    </row>
    <row r="3708" spans="1:36" s="5" customFormat="1" ht="12.75" customHeight="1" x14ac:dyDescent="0.25">
      <c r="A3708" s="4"/>
      <c r="B3708" s="323"/>
      <c r="C3708" s="351"/>
      <c r="D3708" s="351"/>
      <c r="E3708" s="323"/>
      <c r="F3708" s="323"/>
      <c r="G3708" s="323"/>
      <c r="H3708" s="323"/>
      <c r="I3708" s="215"/>
      <c r="J3708" s="215"/>
    </row>
    <row r="3709" spans="1:36" s="5" customFormat="1" ht="17.25" customHeight="1" x14ac:dyDescent="0.25">
      <c r="A3709" s="4"/>
      <c r="B3709" s="7" t="s">
        <v>21</v>
      </c>
      <c r="C3709" s="8" t="s">
        <v>57</v>
      </c>
      <c r="D3709" s="7">
        <v>2021</v>
      </c>
      <c r="E3709" s="7" t="s">
        <v>13</v>
      </c>
      <c r="F3709" s="17">
        <f>SUMIF($D$3712:$D$3836,$D$3709,$F$3712:$F$3836)</f>
        <v>31717</v>
      </c>
      <c r="G3709" s="32">
        <f>SUMIF($D$3712:$D$3836,$D$3709,$G$3712:$G$3836)</f>
        <v>2302.6999999999998</v>
      </c>
      <c r="H3709" s="32">
        <f>SUMIF($D$3712:$D$3836,$D$3709,$H$3712:$H$3836)</f>
        <v>40718.410000000003</v>
      </c>
    </row>
    <row r="3710" spans="1:36" s="26" customFormat="1" ht="17.25" customHeight="1" x14ac:dyDescent="0.25">
      <c r="A3710" s="4"/>
      <c r="B3710" s="7" t="s">
        <v>21</v>
      </c>
      <c r="C3710" s="8" t="s">
        <v>57</v>
      </c>
      <c r="D3710" s="7">
        <v>2022</v>
      </c>
      <c r="E3710" s="7" t="s">
        <v>13</v>
      </c>
      <c r="F3710" s="7">
        <f>SUMIF($D$3712:$D$3836,$D$3710,$F$3712:$F$3836)</f>
        <v>15187</v>
      </c>
      <c r="G3710" s="10">
        <f>SUMIF($D$3712:$D$3836,$D$3710,$G$3712:$G$3836)</f>
        <v>1166.5999999999999</v>
      </c>
      <c r="H3710" s="10">
        <f>SUMIF($D$3712:$D$3836,$D$3710,$H$3712:$H$3836)</f>
        <v>20851.171139999999</v>
      </c>
      <c r="I3710" s="205"/>
      <c r="J3710" s="205"/>
      <c r="K3710" s="5"/>
      <c r="L3710" s="5"/>
      <c r="M3710" s="5"/>
      <c r="N3710" s="5"/>
      <c r="O3710" s="5"/>
      <c r="P3710" s="5"/>
      <c r="Q3710" s="5"/>
      <c r="R3710" s="5"/>
      <c r="S3710" s="5"/>
      <c r="T3710" s="5"/>
      <c r="U3710" s="5"/>
      <c r="V3710" s="5"/>
      <c r="W3710" s="5"/>
      <c r="X3710" s="5"/>
      <c r="Y3710" s="5"/>
      <c r="Z3710" s="5"/>
      <c r="AA3710" s="5"/>
      <c r="AB3710" s="5"/>
      <c r="AC3710" s="5"/>
      <c r="AD3710" s="5"/>
      <c r="AE3710" s="5"/>
      <c r="AF3710" s="5"/>
      <c r="AG3710" s="5"/>
      <c r="AH3710" s="5"/>
      <c r="AI3710" s="5"/>
      <c r="AJ3710" s="5"/>
    </row>
    <row r="3711" spans="1:36" s="26" customFormat="1" ht="15.75" x14ac:dyDescent="0.25">
      <c r="A3711" s="4"/>
      <c r="B3711" s="7" t="s">
        <v>21</v>
      </c>
      <c r="C3711" s="8" t="s">
        <v>57</v>
      </c>
      <c r="D3711" s="7">
        <v>2023</v>
      </c>
      <c r="E3711" s="7" t="s">
        <v>13</v>
      </c>
      <c r="F3711" s="7">
        <f>SUMIF($D$3712:$D$3836,$D$3711,$F$3712:$F$3836)</f>
        <v>33829</v>
      </c>
      <c r="G3711" s="10">
        <f>SUMIF($D$3712:$D$3836,$D$3711,$G$3712:$G$3836)</f>
        <v>4088.83</v>
      </c>
      <c r="H3711" s="10">
        <f>SUMIF($D$3712:$D$3836,$D$3711,$H$3712:$H$3836)</f>
        <v>59518.259330000015</v>
      </c>
      <c r="I3711" s="205"/>
      <c r="J3711" s="205"/>
      <c r="K3711" s="5"/>
      <c r="L3711" s="5"/>
      <c r="M3711" s="5"/>
      <c r="N3711" s="5"/>
      <c r="O3711" s="5"/>
      <c r="P3711" s="5"/>
      <c r="Q3711" s="5"/>
      <c r="R3711" s="5"/>
      <c r="S3711" s="5"/>
      <c r="T3711" s="5"/>
      <c r="U3711" s="5"/>
      <c r="V3711" s="5"/>
      <c r="W3711" s="5"/>
      <c r="X3711" s="5"/>
      <c r="Y3711" s="5"/>
      <c r="Z3711" s="5"/>
      <c r="AA3711" s="5"/>
      <c r="AB3711" s="5"/>
      <c r="AC3711" s="5"/>
      <c r="AD3711" s="5"/>
      <c r="AE3711" s="5"/>
      <c r="AF3711" s="5"/>
      <c r="AG3711" s="5"/>
      <c r="AH3711" s="5"/>
      <c r="AI3711" s="5"/>
      <c r="AJ3711" s="5"/>
    </row>
    <row r="3712" spans="1:36" s="5" customFormat="1" ht="30" hidden="1" customHeight="1" outlineLevel="1" x14ac:dyDescent="0.25">
      <c r="A3712" s="4">
        <v>4127</v>
      </c>
      <c r="B3712" s="4" t="s">
        <v>21</v>
      </c>
      <c r="C3712" s="38" t="s">
        <v>2247</v>
      </c>
      <c r="D3712" s="4">
        <v>2022</v>
      </c>
      <c r="E3712" s="4" t="s">
        <v>13</v>
      </c>
      <c r="F3712" s="4">
        <v>1170</v>
      </c>
      <c r="G3712" s="4">
        <v>15</v>
      </c>
      <c r="H3712" s="4">
        <v>1624.81358</v>
      </c>
      <c r="I3712" s="201"/>
      <c r="J3712" s="201"/>
    </row>
    <row r="3713" spans="1:10" s="5" customFormat="1" ht="30" hidden="1" customHeight="1" outlineLevel="1" x14ac:dyDescent="0.25">
      <c r="A3713" s="4">
        <v>1488</v>
      </c>
      <c r="B3713" s="4" t="s">
        <v>21</v>
      </c>
      <c r="C3713" s="38" t="s">
        <v>2248</v>
      </c>
      <c r="D3713" s="4">
        <v>2022</v>
      </c>
      <c r="E3713" s="4" t="s">
        <v>13</v>
      </c>
      <c r="F3713" s="4">
        <v>1591</v>
      </c>
      <c r="G3713" s="4">
        <v>50</v>
      </c>
      <c r="H3713" s="4">
        <v>1895.34627</v>
      </c>
      <c r="I3713" s="201"/>
      <c r="J3713" s="201"/>
    </row>
    <row r="3714" spans="1:10" s="5" customFormat="1" ht="30" hidden="1" customHeight="1" outlineLevel="1" x14ac:dyDescent="0.25">
      <c r="A3714" s="4">
        <v>1486</v>
      </c>
      <c r="B3714" s="4" t="s">
        <v>21</v>
      </c>
      <c r="C3714" s="38" t="s">
        <v>2898</v>
      </c>
      <c r="D3714" s="4">
        <v>2022</v>
      </c>
      <c r="E3714" s="4" t="s">
        <v>13</v>
      </c>
      <c r="F3714" s="4">
        <v>2742</v>
      </c>
      <c r="G3714" s="4">
        <v>40</v>
      </c>
      <c r="H3714" s="4">
        <v>3378.2642799999999</v>
      </c>
      <c r="I3714" s="201"/>
      <c r="J3714" s="201"/>
    </row>
    <row r="3715" spans="1:10" s="5" customFormat="1" ht="30" hidden="1" customHeight="1" outlineLevel="1" x14ac:dyDescent="0.25">
      <c r="A3715" s="4">
        <v>1344</v>
      </c>
      <c r="B3715" s="4" t="s">
        <v>21</v>
      </c>
      <c r="C3715" s="38" t="s">
        <v>2899</v>
      </c>
      <c r="D3715" s="4">
        <v>2022</v>
      </c>
      <c r="E3715" s="4" t="s">
        <v>13</v>
      </c>
      <c r="F3715" s="4">
        <v>20</v>
      </c>
      <c r="G3715" s="4">
        <v>35</v>
      </c>
      <c r="H3715" s="4">
        <v>96.061490000000006</v>
      </c>
      <c r="I3715" s="201"/>
      <c r="J3715" s="201"/>
    </row>
    <row r="3716" spans="1:10" s="5" customFormat="1" ht="30" hidden="1" customHeight="1" outlineLevel="1" x14ac:dyDescent="0.25">
      <c r="A3716" s="4">
        <v>1465</v>
      </c>
      <c r="B3716" s="4" t="s">
        <v>21</v>
      </c>
      <c r="C3716" s="38" t="s">
        <v>2261</v>
      </c>
      <c r="D3716" s="4">
        <v>2022</v>
      </c>
      <c r="E3716" s="4" t="s">
        <v>13</v>
      </c>
      <c r="F3716" s="4">
        <v>845</v>
      </c>
      <c r="G3716" s="4">
        <v>15</v>
      </c>
      <c r="H3716" s="4">
        <v>1132.92948</v>
      </c>
      <c r="I3716" s="201"/>
      <c r="J3716" s="201"/>
    </row>
    <row r="3717" spans="1:10" s="5" customFormat="1" ht="30" hidden="1" customHeight="1" outlineLevel="1" x14ac:dyDescent="0.25">
      <c r="A3717" s="4">
        <v>1467</v>
      </c>
      <c r="B3717" s="4" t="s">
        <v>21</v>
      </c>
      <c r="C3717" s="38" t="s">
        <v>2263</v>
      </c>
      <c r="D3717" s="4">
        <v>2022</v>
      </c>
      <c r="E3717" s="4" t="s">
        <v>13</v>
      </c>
      <c r="F3717" s="4">
        <v>10</v>
      </c>
      <c r="G3717" s="4">
        <v>15</v>
      </c>
      <c r="H3717" s="4">
        <v>139.27601999999999</v>
      </c>
      <c r="I3717" s="201"/>
      <c r="J3717" s="201"/>
    </row>
    <row r="3718" spans="1:10" s="5" customFormat="1" ht="30" hidden="1" customHeight="1" outlineLevel="1" x14ac:dyDescent="0.25">
      <c r="A3718" s="4">
        <v>1230</v>
      </c>
      <c r="B3718" s="4" t="s">
        <v>21</v>
      </c>
      <c r="C3718" s="38" t="s">
        <v>2264</v>
      </c>
      <c r="D3718" s="4">
        <v>2022</v>
      </c>
      <c r="E3718" s="4" t="s">
        <v>13</v>
      </c>
      <c r="F3718" s="4">
        <v>7</v>
      </c>
      <c r="G3718" s="4">
        <v>1</v>
      </c>
      <c r="H3718" s="4">
        <v>101.77949</v>
      </c>
      <c r="I3718" s="201"/>
      <c r="J3718" s="201"/>
    </row>
    <row r="3719" spans="1:10" s="5" customFormat="1" ht="30" hidden="1" customHeight="1" outlineLevel="1" x14ac:dyDescent="0.25">
      <c r="A3719" s="4">
        <v>1592</v>
      </c>
      <c r="B3719" s="4" t="s">
        <v>21</v>
      </c>
      <c r="C3719" s="38" t="s">
        <v>2268</v>
      </c>
      <c r="D3719" s="4">
        <v>2022</v>
      </c>
      <c r="E3719" s="4" t="s">
        <v>13</v>
      </c>
      <c r="F3719" s="4">
        <v>30</v>
      </c>
      <c r="G3719" s="4">
        <v>30</v>
      </c>
      <c r="H3719" s="4">
        <v>124.69749</v>
      </c>
      <c r="I3719" s="201"/>
      <c r="J3719" s="201"/>
    </row>
    <row r="3720" spans="1:10" s="5" customFormat="1" ht="30" hidden="1" customHeight="1" outlineLevel="1" x14ac:dyDescent="0.25">
      <c r="A3720" s="4">
        <v>1196</v>
      </c>
      <c r="B3720" s="4" t="s">
        <v>21</v>
      </c>
      <c r="C3720" s="38" t="s">
        <v>2270</v>
      </c>
      <c r="D3720" s="4">
        <v>2022</v>
      </c>
      <c r="E3720" s="4" t="s">
        <v>13</v>
      </c>
      <c r="F3720" s="4">
        <v>10</v>
      </c>
      <c r="G3720" s="4">
        <v>15</v>
      </c>
      <c r="H3720" s="4">
        <v>95.248990000000006</v>
      </c>
      <c r="I3720" s="201"/>
      <c r="J3720" s="201"/>
    </row>
    <row r="3721" spans="1:10" s="5" customFormat="1" ht="30" hidden="1" customHeight="1" outlineLevel="1" x14ac:dyDescent="0.25">
      <c r="A3721" s="4">
        <v>1150</v>
      </c>
      <c r="B3721" s="4" t="s">
        <v>21</v>
      </c>
      <c r="C3721" s="38" t="s">
        <v>2272</v>
      </c>
      <c r="D3721" s="4">
        <v>2022</v>
      </c>
      <c r="E3721" s="4" t="s">
        <v>13</v>
      </c>
      <c r="F3721" s="4">
        <v>40</v>
      </c>
      <c r="G3721" s="4">
        <v>15</v>
      </c>
      <c r="H3721" s="4">
        <v>99.160619999999994</v>
      </c>
      <c r="I3721" s="201"/>
      <c r="J3721" s="201"/>
    </row>
    <row r="3722" spans="1:10" s="5" customFormat="1" ht="30" hidden="1" customHeight="1" outlineLevel="1" x14ac:dyDescent="0.25">
      <c r="A3722" s="4">
        <v>1591</v>
      </c>
      <c r="B3722" s="4" t="s">
        <v>21</v>
      </c>
      <c r="C3722" s="38" t="s">
        <v>2273</v>
      </c>
      <c r="D3722" s="4">
        <v>2022</v>
      </c>
      <c r="E3722" s="4" t="s">
        <v>13</v>
      </c>
      <c r="F3722" s="4">
        <v>10</v>
      </c>
      <c r="G3722" s="4">
        <v>25</v>
      </c>
      <c r="H3722" s="4">
        <v>114.14961</v>
      </c>
      <c r="I3722" s="201"/>
      <c r="J3722" s="201"/>
    </row>
    <row r="3723" spans="1:10" s="5" customFormat="1" ht="30" hidden="1" customHeight="1" outlineLevel="1" x14ac:dyDescent="0.25">
      <c r="A3723" s="4">
        <v>1589</v>
      </c>
      <c r="B3723" s="4" t="s">
        <v>21</v>
      </c>
      <c r="C3723" s="38" t="s">
        <v>2274</v>
      </c>
      <c r="D3723" s="4">
        <v>2022</v>
      </c>
      <c r="E3723" s="4" t="s">
        <v>13</v>
      </c>
      <c r="F3723" s="4">
        <v>15</v>
      </c>
      <c r="G3723" s="4">
        <v>100.6</v>
      </c>
      <c r="H3723" s="4">
        <v>111.11933000000001</v>
      </c>
      <c r="I3723" s="201"/>
      <c r="J3723" s="201"/>
    </row>
    <row r="3724" spans="1:10" s="5" customFormat="1" ht="30" hidden="1" customHeight="1" outlineLevel="1" x14ac:dyDescent="0.25">
      <c r="A3724" s="4">
        <v>1434</v>
      </c>
      <c r="B3724" s="4" t="s">
        <v>21</v>
      </c>
      <c r="C3724" s="38" t="s">
        <v>2283</v>
      </c>
      <c r="D3724" s="4">
        <v>2022</v>
      </c>
      <c r="E3724" s="4" t="s">
        <v>13</v>
      </c>
      <c r="F3724" s="4">
        <v>50</v>
      </c>
      <c r="G3724" s="4">
        <v>25</v>
      </c>
      <c r="H3724" s="4">
        <v>188.38791000000001</v>
      </c>
      <c r="I3724" s="201"/>
      <c r="J3724" s="201"/>
    </row>
    <row r="3725" spans="1:10" s="5" customFormat="1" ht="30" hidden="1" customHeight="1" outlineLevel="1" x14ac:dyDescent="0.25">
      <c r="A3725" s="4">
        <v>1520</v>
      </c>
      <c r="B3725" s="4" t="s">
        <v>21</v>
      </c>
      <c r="C3725" s="38" t="s">
        <v>2289</v>
      </c>
      <c r="D3725" s="4">
        <v>2022</v>
      </c>
      <c r="E3725" s="4" t="s">
        <v>13</v>
      </c>
      <c r="F3725" s="4">
        <v>110</v>
      </c>
      <c r="G3725" s="4">
        <v>50</v>
      </c>
      <c r="H3725" s="4">
        <v>124.29688</v>
      </c>
      <c r="I3725" s="201"/>
      <c r="J3725" s="201"/>
    </row>
    <row r="3726" spans="1:10" s="5" customFormat="1" ht="30" hidden="1" customHeight="1" outlineLevel="1" x14ac:dyDescent="0.25">
      <c r="A3726" s="4">
        <v>1057</v>
      </c>
      <c r="B3726" s="4" t="s">
        <v>21</v>
      </c>
      <c r="C3726" s="38" t="s">
        <v>2309</v>
      </c>
      <c r="D3726" s="4">
        <v>2022</v>
      </c>
      <c r="E3726" s="4" t="s">
        <v>13</v>
      </c>
      <c r="F3726" s="4">
        <v>10</v>
      </c>
      <c r="G3726" s="4">
        <v>15</v>
      </c>
      <c r="H3726" s="4">
        <v>62.658929999999998</v>
      </c>
      <c r="I3726" s="201"/>
      <c r="J3726" s="201"/>
    </row>
    <row r="3727" spans="1:10" s="5" customFormat="1" ht="30" hidden="1" customHeight="1" outlineLevel="1" x14ac:dyDescent="0.25">
      <c r="A3727" s="4">
        <v>1132</v>
      </c>
      <c r="B3727" s="4" t="s">
        <v>21</v>
      </c>
      <c r="C3727" s="38" t="s">
        <v>2310</v>
      </c>
      <c r="D3727" s="4">
        <v>2022</v>
      </c>
      <c r="E3727" s="4" t="s">
        <v>13</v>
      </c>
      <c r="F3727" s="4">
        <v>15</v>
      </c>
      <c r="G3727" s="4">
        <v>15</v>
      </c>
      <c r="H3727" s="4">
        <v>61.956270000000004</v>
      </c>
      <c r="I3727" s="201"/>
      <c r="J3727" s="201"/>
    </row>
    <row r="3728" spans="1:10" s="5" customFormat="1" ht="30" hidden="1" customHeight="1" outlineLevel="1" x14ac:dyDescent="0.25">
      <c r="A3728" s="4">
        <v>1491</v>
      </c>
      <c r="B3728" s="4" t="s">
        <v>21</v>
      </c>
      <c r="C3728" s="38" t="s">
        <v>2313</v>
      </c>
      <c r="D3728" s="4">
        <v>2022</v>
      </c>
      <c r="E3728" s="4" t="s">
        <v>13</v>
      </c>
      <c r="F3728" s="4">
        <v>5</v>
      </c>
      <c r="G3728" s="4">
        <v>15</v>
      </c>
      <c r="H3728" s="4">
        <v>87.184129999999996</v>
      </c>
      <c r="I3728" s="201"/>
      <c r="J3728" s="201"/>
    </row>
    <row r="3729" spans="1:10" s="5" customFormat="1" ht="30" hidden="1" customHeight="1" outlineLevel="1" x14ac:dyDescent="0.25">
      <c r="A3729" s="4">
        <v>1492</v>
      </c>
      <c r="B3729" s="4" t="s">
        <v>21</v>
      </c>
      <c r="C3729" s="38" t="s">
        <v>2324</v>
      </c>
      <c r="D3729" s="4">
        <v>2022</v>
      </c>
      <c r="E3729" s="4" t="s">
        <v>13</v>
      </c>
      <c r="F3729" s="4">
        <v>2810</v>
      </c>
      <c r="G3729" s="4">
        <v>15</v>
      </c>
      <c r="H3729" s="4">
        <v>2165.4397300000001</v>
      </c>
      <c r="I3729" s="201"/>
      <c r="J3729" s="201"/>
    </row>
    <row r="3730" spans="1:10" s="5" customFormat="1" ht="30" hidden="1" customHeight="1" outlineLevel="1" x14ac:dyDescent="0.25">
      <c r="A3730" s="4">
        <v>1085</v>
      </c>
      <c r="B3730" s="4" t="s">
        <v>21</v>
      </c>
      <c r="C3730" s="38" t="s">
        <v>2354</v>
      </c>
      <c r="D3730" s="4">
        <v>2022</v>
      </c>
      <c r="E3730" s="4" t="s">
        <v>13</v>
      </c>
      <c r="F3730" s="4">
        <v>10</v>
      </c>
      <c r="G3730" s="4">
        <v>10</v>
      </c>
      <c r="H3730" s="4">
        <v>69.414850000000001</v>
      </c>
      <c r="I3730" s="201"/>
      <c r="J3730" s="201"/>
    </row>
    <row r="3731" spans="1:10" s="5" customFormat="1" ht="30" hidden="1" customHeight="1" outlineLevel="1" x14ac:dyDescent="0.25">
      <c r="A3731" s="4">
        <v>1430</v>
      </c>
      <c r="B3731" s="4" t="s">
        <v>21</v>
      </c>
      <c r="C3731" s="38" t="s">
        <v>2368</v>
      </c>
      <c r="D3731" s="4">
        <v>2022</v>
      </c>
      <c r="E3731" s="4" t="s">
        <v>13</v>
      </c>
      <c r="F3731" s="4">
        <v>363</v>
      </c>
      <c r="G3731" s="4">
        <v>15</v>
      </c>
      <c r="H3731" s="4">
        <v>601.73992999999996</v>
      </c>
      <c r="I3731" s="201"/>
      <c r="J3731" s="201"/>
    </row>
    <row r="3732" spans="1:10" s="5" customFormat="1" ht="30" hidden="1" customHeight="1" outlineLevel="1" x14ac:dyDescent="0.25">
      <c r="A3732" s="4">
        <v>1663</v>
      </c>
      <c r="B3732" s="4" t="s">
        <v>21</v>
      </c>
      <c r="C3732" s="38" t="s">
        <v>2903</v>
      </c>
      <c r="D3732" s="4">
        <v>2022</v>
      </c>
      <c r="E3732" s="4" t="s">
        <v>13</v>
      </c>
      <c r="F3732" s="4">
        <v>663</v>
      </c>
      <c r="G3732" s="4">
        <v>15</v>
      </c>
      <c r="H3732" s="4">
        <v>881.57876999999996</v>
      </c>
      <c r="I3732" s="201"/>
      <c r="J3732" s="201"/>
    </row>
    <row r="3733" spans="1:10" s="5" customFormat="1" ht="30" hidden="1" customHeight="1" outlineLevel="1" x14ac:dyDescent="0.25">
      <c r="A3733" s="4">
        <v>1579</v>
      </c>
      <c r="B3733" s="4" t="s">
        <v>21</v>
      </c>
      <c r="C3733" s="38" t="s">
        <v>2374</v>
      </c>
      <c r="D3733" s="4">
        <v>2022</v>
      </c>
      <c r="E3733" s="4" t="s">
        <v>13</v>
      </c>
      <c r="F3733" s="4">
        <v>10</v>
      </c>
      <c r="G3733" s="4">
        <v>15</v>
      </c>
      <c r="H3733" s="4">
        <v>98.596760000000003</v>
      </c>
      <c r="I3733" s="201"/>
      <c r="J3733" s="201"/>
    </row>
    <row r="3734" spans="1:10" s="5" customFormat="1" ht="30" hidden="1" customHeight="1" outlineLevel="1" x14ac:dyDescent="0.25">
      <c r="A3734" s="4">
        <v>1608</v>
      </c>
      <c r="B3734" s="4" t="s">
        <v>21</v>
      </c>
      <c r="C3734" s="38" t="s">
        <v>2377</v>
      </c>
      <c r="D3734" s="4">
        <v>2022</v>
      </c>
      <c r="E3734" s="4" t="s">
        <v>13</v>
      </c>
      <c r="F3734" s="4">
        <v>10</v>
      </c>
      <c r="G3734" s="4">
        <v>75</v>
      </c>
      <c r="H3734" s="4">
        <v>102.19987</v>
      </c>
      <c r="I3734" s="201"/>
      <c r="J3734" s="201"/>
    </row>
    <row r="3735" spans="1:10" s="5" customFormat="1" ht="30" hidden="1" customHeight="1" outlineLevel="1" x14ac:dyDescent="0.25">
      <c r="A3735" s="4">
        <v>1043</v>
      </c>
      <c r="B3735" s="4" t="s">
        <v>21</v>
      </c>
      <c r="C3735" s="38" t="s">
        <v>2378</v>
      </c>
      <c r="D3735" s="4">
        <v>2022</v>
      </c>
      <c r="E3735" s="4" t="s">
        <v>13</v>
      </c>
      <c r="F3735" s="4">
        <v>10</v>
      </c>
      <c r="G3735" s="4">
        <v>15</v>
      </c>
      <c r="H3735" s="4">
        <v>76.039429999999996</v>
      </c>
      <c r="I3735" s="201"/>
      <c r="J3735" s="201"/>
    </row>
    <row r="3736" spans="1:10" s="5" customFormat="1" ht="30" hidden="1" customHeight="1" outlineLevel="1" x14ac:dyDescent="0.25">
      <c r="A3736" s="4">
        <v>452</v>
      </c>
      <c r="B3736" s="4" t="s">
        <v>21</v>
      </c>
      <c r="C3736" s="38" t="s">
        <v>3112</v>
      </c>
      <c r="D3736" s="4">
        <v>2022</v>
      </c>
      <c r="E3736" s="4" t="s">
        <v>13</v>
      </c>
      <c r="F3736" s="4">
        <v>15</v>
      </c>
      <c r="G3736" s="4">
        <v>150</v>
      </c>
      <c r="H3736" s="4">
        <v>83.761610000000005</v>
      </c>
      <c r="I3736" s="201"/>
      <c r="J3736" s="201"/>
    </row>
    <row r="3737" spans="1:10" s="5" customFormat="1" ht="30" hidden="1" customHeight="1" outlineLevel="1" x14ac:dyDescent="0.25">
      <c r="A3737" s="4">
        <v>450</v>
      </c>
      <c r="B3737" s="4" t="s">
        <v>21</v>
      </c>
      <c r="C3737" s="38" t="s">
        <v>2907</v>
      </c>
      <c r="D3737" s="4">
        <v>2022</v>
      </c>
      <c r="E3737" s="4" t="s">
        <v>13</v>
      </c>
      <c r="F3737" s="4">
        <v>1469</v>
      </c>
      <c r="G3737" s="4">
        <v>150</v>
      </c>
      <c r="H3737" s="4">
        <v>2085.8567899999998</v>
      </c>
      <c r="I3737" s="201"/>
      <c r="J3737" s="201"/>
    </row>
    <row r="3738" spans="1:10" s="5" customFormat="1" ht="30" hidden="1" customHeight="1" outlineLevel="1" x14ac:dyDescent="0.25">
      <c r="A3738" s="4">
        <v>463</v>
      </c>
      <c r="B3738" s="4" t="s">
        <v>21</v>
      </c>
      <c r="C3738" s="38" t="s">
        <v>2452</v>
      </c>
      <c r="D3738" s="4">
        <v>2022</v>
      </c>
      <c r="E3738" s="4" t="s">
        <v>13</v>
      </c>
      <c r="F3738" s="4">
        <v>276</v>
      </c>
      <c r="G3738" s="4">
        <v>50</v>
      </c>
      <c r="H3738" s="4">
        <v>696.29466000000002</v>
      </c>
      <c r="I3738" s="201"/>
      <c r="J3738" s="201"/>
    </row>
    <row r="3739" spans="1:10" s="5" customFormat="1" ht="30" hidden="1" customHeight="1" outlineLevel="1" x14ac:dyDescent="0.25">
      <c r="A3739" s="4">
        <v>470</v>
      </c>
      <c r="B3739" s="4" t="s">
        <v>21</v>
      </c>
      <c r="C3739" s="38" t="s">
        <v>2462</v>
      </c>
      <c r="D3739" s="4">
        <v>2022</v>
      </c>
      <c r="E3739" s="4" t="s">
        <v>13</v>
      </c>
      <c r="F3739" s="4">
        <v>2176</v>
      </c>
      <c r="G3739" s="4">
        <v>15</v>
      </c>
      <c r="H3739" s="4">
        <v>2873.29925</v>
      </c>
      <c r="I3739" s="201"/>
      <c r="J3739" s="201"/>
    </row>
    <row r="3740" spans="1:10" s="5" customFormat="1" ht="30" hidden="1" customHeight="1" outlineLevel="1" x14ac:dyDescent="0.25">
      <c r="A3740" s="4">
        <v>471</v>
      </c>
      <c r="B3740" s="4" t="s">
        <v>21</v>
      </c>
      <c r="C3740" s="38" t="s">
        <v>3113</v>
      </c>
      <c r="D3740" s="4">
        <v>2022</v>
      </c>
      <c r="E3740" s="4" t="s">
        <v>13</v>
      </c>
      <c r="F3740" s="4">
        <v>652</v>
      </c>
      <c r="G3740" s="4">
        <v>150</v>
      </c>
      <c r="H3740" s="4">
        <v>1279.5005799999999</v>
      </c>
      <c r="I3740" s="201"/>
      <c r="J3740" s="201"/>
    </row>
    <row r="3741" spans="1:10" s="5" customFormat="1" ht="30" hidden="1" customHeight="1" outlineLevel="1" x14ac:dyDescent="0.25">
      <c r="A3741" s="4">
        <v>473</v>
      </c>
      <c r="B3741" s="4" t="s">
        <v>21</v>
      </c>
      <c r="C3741" s="38" t="s">
        <v>2469</v>
      </c>
      <c r="D3741" s="4">
        <v>2022</v>
      </c>
      <c r="E3741" s="4" t="s">
        <v>13</v>
      </c>
      <c r="F3741" s="4">
        <v>43</v>
      </c>
      <c r="G3741" s="4">
        <v>15</v>
      </c>
      <c r="H3741" s="4">
        <v>400.11813999999998</v>
      </c>
      <c r="I3741" s="201"/>
      <c r="J3741" s="201"/>
    </row>
    <row r="3742" spans="1:10" s="5" customFormat="1" ht="30" hidden="1" customHeight="1" outlineLevel="1" x14ac:dyDescent="0.25">
      <c r="A3742" s="4">
        <v>3182</v>
      </c>
      <c r="B3742" s="4" t="s">
        <v>21</v>
      </c>
      <c r="C3742" s="38" t="s">
        <v>8360</v>
      </c>
      <c r="D3742" s="4">
        <v>2023</v>
      </c>
      <c r="E3742" s="4" t="s">
        <v>13</v>
      </c>
      <c r="F3742" s="4">
        <v>10393</v>
      </c>
      <c r="G3742" s="41">
        <v>9</v>
      </c>
      <c r="H3742" s="41">
        <v>12630.753110000001</v>
      </c>
      <c r="I3742" s="221"/>
      <c r="J3742" s="221"/>
    </row>
    <row r="3743" spans="1:10" s="5" customFormat="1" ht="30" hidden="1" customHeight="1" outlineLevel="1" x14ac:dyDescent="0.25">
      <c r="A3743" s="4">
        <v>3042</v>
      </c>
      <c r="B3743" s="4" t="s">
        <v>21</v>
      </c>
      <c r="C3743" s="38" t="s">
        <v>8364</v>
      </c>
      <c r="D3743" s="4">
        <v>2023</v>
      </c>
      <c r="E3743" s="4" t="s">
        <v>13</v>
      </c>
      <c r="F3743" s="4">
        <v>65</v>
      </c>
      <c r="G3743" s="41">
        <v>27</v>
      </c>
      <c r="H3743" s="41">
        <v>127.07959999999999</v>
      </c>
      <c r="I3743" s="221"/>
      <c r="J3743" s="221"/>
    </row>
    <row r="3744" spans="1:10" s="5" customFormat="1" ht="30" hidden="1" customHeight="1" outlineLevel="1" x14ac:dyDescent="0.25">
      <c r="A3744" s="4">
        <v>4033</v>
      </c>
      <c r="B3744" s="4" t="s">
        <v>21</v>
      </c>
      <c r="C3744" s="38" t="s">
        <v>8368</v>
      </c>
      <c r="D3744" s="4">
        <v>2023</v>
      </c>
      <c r="E3744" s="4" t="s">
        <v>13</v>
      </c>
      <c r="F3744" s="4">
        <v>184</v>
      </c>
      <c r="G3744" s="41">
        <v>15</v>
      </c>
      <c r="H3744" s="41">
        <v>313.84852000000001</v>
      </c>
      <c r="I3744" s="221"/>
      <c r="J3744" s="221"/>
    </row>
    <row r="3745" spans="1:10" s="5" customFormat="1" ht="30" hidden="1" customHeight="1" outlineLevel="1" x14ac:dyDescent="0.25">
      <c r="A3745" s="4">
        <v>3210</v>
      </c>
      <c r="B3745" s="4" t="s">
        <v>21</v>
      </c>
      <c r="C3745" s="38" t="s">
        <v>8370</v>
      </c>
      <c r="D3745" s="4">
        <v>2023</v>
      </c>
      <c r="E3745" s="4" t="s">
        <v>13</v>
      </c>
      <c r="F3745" s="4">
        <v>10</v>
      </c>
      <c r="G3745" s="41">
        <v>15</v>
      </c>
      <c r="H3745" s="41">
        <v>112.36356000000001</v>
      </c>
      <c r="I3745" s="221"/>
      <c r="J3745" s="221"/>
    </row>
    <row r="3746" spans="1:10" s="5" customFormat="1" ht="30" hidden="1" customHeight="1" outlineLevel="1" x14ac:dyDescent="0.25">
      <c r="A3746" s="4">
        <v>901</v>
      </c>
      <c r="B3746" s="4" t="s">
        <v>21</v>
      </c>
      <c r="C3746" s="38" t="s">
        <v>8372</v>
      </c>
      <c r="D3746" s="4">
        <v>2023</v>
      </c>
      <c r="E3746" s="4" t="s">
        <v>13</v>
      </c>
      <c r="F3746" s="4">
        <v>10</v>
      </c>
      <c r="G3746" s="41">
        <v>15</v>
      </c>
      <c r="H3746" s="41">
        <v>103.23113000000001</v>
      </c>
      <c r="I3746" s="221"/>
      <c r="J3746" s="221"/>
    </row>
    <row r="3747" spans="1:10" s="5" customFormat="1" ht="30" hidden="1" customHeight="1" outlineLevel="1" x14ac:dyDescent="0.25">
      <c r="A3747" s="4">
        <v>4034</v>
      </c>
      <c r="B3747" s="4" t="s">
        <v>21</v>
      </c>
      <c r="C3747" s="38" t="s">
        <v>8373</v>
      </c>
      <c r="D3747" s="4">
        <v>2023</v>
      </c>
      <c r="E3747" s="4" t="s">
        <v>13</v>
      </c>
      <c r="F3747" s="4">
        <v>110</v>
      </c>
      <c r="G3747" s="41">
        <v>90</v>
      </c>
      <c r="H3747" s="41">
        <v>309.59879000000001</v>
      </c>
      <c r="I3747" s="221"/>
      <c r="J3747" s="221"/>
    </row>
    <row r="3748" spans="1:10" s="5" customFormat="1" ht="30" hidden="1" customHeight="1" outlineLevel="1" x14ac:dyDescent="0.25">
      <c r="A3748" s="4">
        <v>3243</v>
      </c>
      <c r="B3748" s="4" t="s">
        <v>21</v>
      </c>
      <c r="C3748" s="38" t="s">
        <v>8376</v>
      </c>
      <c r="D3748" s="4">
        <v>2023</v>
      </c>
      <c r="E3748" s="4" t="s">
        <v>13</v>
      </c>
      <c r="F3748" s="4">
        <v>129</v>
      </c>
      <c r="G3748" s="41">
        <v>15</v>
      </c>
      <c r="H3748" s="41">
        <v>334.29502000000002</v>
      </c>
      <c r="I3748" s="221"/>
      <c r="J3748" s="221"/>
    </row>
    <row r="3749" spans="1:10" s="5" customFormat="1" ht="30" hidden="1" customHeight="1" outlineLevel="1" x14ac:dyDescent="0.25">
      <c r="A3749" s="4">
        <v>4074</v>
      </c>
      <c r="B3749" s="4" t="s">
        <v>21</v>
      </c>
      <c r="C3749" s="38" t="s">
        <v>8377</v>
      </c>
      <c r="D3749" s="4">
        <v>2023</v>
      </c>
      <c r="E3749" s="4" t="s">
        <v>13</v>
      </c>
      <c r="F3749" s="4">
        <v>10</v>
      </c>
      <c r="G3749" s="41">
        <v>15</v>
      </c>
      <c r="H3749" s="41">
        <v>115.94693000000001</v>
      </c>
      <c r="I3749" s="221"/>
      <c r="J3749" s="221"/>
    </row>
    <row r="3750" spans="1:10" s="5" customFormat="1" ht="30" hidden="1" customHeight="1" outlineLevel="1" x14ac:dyDescent="0.25">
      <c r="A3750" s="4">
        <v>3230</v>
      </c>
      <c r="B3750" s="4" t="s">
        <v>21</v>
      </c>
      <c r="C3750" s="38" t="s">
        <v>8378</v>
      </c>
      <c r="D3750" s="4">
        <v>2023</v>
      </c>
      <c r="E3750" s="4" t="s">
        <v>13</v>
      </c>
      <c r="F3750" s="4">
        <v>5</v>
      </c>
      <c r="G3750" s="41">
        <v>15</v>
      </c>
      <c r="H3750" s="41">
        <v>89.451100000000011</v>
      </c>
      <c r="I3750" s="221"/>
      <c r="J3750" s="221"/>
    </row>
    <row r="3751" spans="1:10" s="5" customFormat="1" ht="30" hidden="1" customHeight="1" outlineLevel="1" x14ac:dyDescent="0.25">
      <c r="A3751" s="4">
        <v>3334</v>
      </c>
      <c r="B3751" s="4" t="s">
        <v>21</v>
      </c>
      <c r="C3751" s="38" t="s">
        <v>8379</v>
      </c>
      <c r="D3751" s="4">
        <v>2023</v>
      </c>
      <c r="E3751" s="4" t="s">
        <v>13</v>
      </c>
      <c r="F3751" s="4">
        <v>47</v>
      </c>
      <c r="G3751" s="41">
        <v>15</v>
      </c>
      <c r="H3751" s="41">
        <v>376.84982000000002</v>
      </c>
      <c r="I3751" s="221"/>
      <c r="J3751" s="221"/>
    </row>
    <row r="3752" spans="1:10" s="5" customFormat="1" ht="30" hidden="1" customHeight="1" outlineLevel="1" x14ac:dyDescent="0.25">
      <c r="A3752" s="4">
        <v>3229</v>
      </c>
      <c r="B3752" s="4" t="s">
        <v>21</v>
      </c>
      <c r="C3752" s="38" t="s">
        <v>8380</v>
      </c>
      <c r="D3752" s="4">
        <v>2023</v>
      </c>
      <c r="E3752" s="4" t="s">
        <v>13</v>
      </c>
      <c r="F3752" s="4">
        <v>240</v>
      </c>
      <c r="G3752" s="151">
        <v>11.5</v>
      </c>
      <c r="H3752" s="41">
        <v>643.66884000000005</v>
      </c>
      <c r="I3752" s="221"/>
      <c r="J3752" s="221"/>
    </row>
    <row r="3753" spans="1:10" s="5" customFormat="1" ht="30" hidden="1" customHeight="1" outlineLevel="1" x14ac:dyDescent="0.25">
      <c r="A3753" s="4">
        <v>4162</v>
      </c>
      <c r="B3753" s="4" t="s">
        <v>21</v>
      </c>
      <c r="C3753" s="38" t="s">
        <v>9116</v>
      </c>
      <c r="D3753" s="4">
        <v>2023</v>
      </c>
      <c r="E3753" s="4" t="s">
        <v>13</v>
      </c>
      <c r="F3753" s="4">
        <v>10</v>
      </c>
      <c r="G3753" s="41">
        <v>140.5</v>
      </c>
      <c r="H3753" s="41">
        <v>121.27905999999999</v>
      </c>
      <c r="I3753" s="221"/>
      <c r="J3753" s="221"/>
    </row>
    <row r="3754" spans="1:10" s="5" customFormat="1" ht="30" hidden="1" customHeight="1" outlineLevel="1" x14ac:dyDescent="0.25">
      <c r="A3754" s="4">
        <v>3038</v>
      </c>
      <c r="B3754" s="4" t="s">
        <v>21</v>
      </c>
      <c r="C3754" s="38" t="s">
        <v>9117</v>
      </c>
      <c r="D3754" s="4">
        <v>2023</v>
      </c>
      <c r="E3754" s="4" t="s">
        <v>13</v>
      </c>
      <c r="F3754" s="4">
        <v>45</v>
      </c>
      <c r="G3754" s="41">
        <v>150</v>
      </c>
      <c r="H3754" s="41">
        <v>140.91381000000001</v>
      </c>
      <c r="I3754" s="221"/>
      <c r="J3754" s="221"/>
    </row>
    <row r="3755" spans="1:10" s="5" customFormat="1" ht="17.25" hidden="1" customHeight="1" outlineLevel="1" x14ac:dyDescent="0.25">
      <c r="A3755" s="4">
        <v>3083</v>
      </c>
      <c r="B3755" s="4" t="s">
        <v>21</v>
      </c>
      <c r="C3755" s="38" t="s">
        <v>9118</v>
      </c>
      <c r="D3755" s="4">
        <v>2023</v>
      </c>
      <c r="E3755" s="4" t="s">
        <v>13</v>
      </c>
      <c r="F3755" s="4">
        <v>35</v>
      </c>
      <c r="G3755" s="41">
        <v>150</v>
      </c>
      <c r="H3755" s="41">
        <v>158.87177</v>
      </c>
      <c r="I3755" s="221"/>
      <c r="J3755" s="221"/>
    </row>
    <row r="3756" spans="1:10" s="5" customFormat="1" ht="17.25" hidden="1" customHeight="1" outlineLevel="1" x14ac:dyDescent="0.25">
      <c r="A3756" s="4">
        <v>4189</v>
      </c>
      <c r="B3756" s="4" t="s">
        <v>21</v>
      </c>
      <c r="C3756" s="38" t="s">
        <v>8382</v>
      </c>
      <c r="D3756" s="4">
        <v>2023</v>
      </c>
      <c r="E3756" s="4" t="s">
        <v>13</v>
      </c>
      <c r="F3756" s="4">
        <v>460</v>
      </c>
      <c r="G3756" s="41">
        <v>15</v>
      </c>
      <c r="H3756" s="41">
        <v>881.45092</v>
      </c>
      <c r="I3756" s="221"/>
      <c r="J3756" s="221"/>
    </row>
    <row r="3757" spans="1:10" s="5" customFormat="1" ht="17.25" hidden="1" customHeight="1" outlineLevel="1" x14ac:dyDescent="0.25">
      <c r="A3757" s="4">
        <v>3242</v>
      </c>
      <c r="B3757" s="4" t="s">
        <v>21</v>
      </c>
      <c r="C3757" s="38" t="s">
        <v>8383</v>
      </c>
      <c r="D3757" s="4">
        <v>2023</v>
      </c>
      <c r="E3757" s="4" t="s">
        <v>13</v>
      </c>
      <c r="F3757" s="4">
        <v>930</v>
      </c>
      <c r="G3757" s="41">
        <v>15</v>
      </c>
      <c r="H3757" s="41">
        <v>1663.3534000000002</v>
      </c>
      <c r="I3757" s="221"/>
      <c r="J3757" s="221"/>
    </row>
    <row r="3758" spans="1:10" s="5" customFormat="1" ht="17.25" hidden="1" customHeight="1" outlineLevel="1" x14ac:dyDescent="0.25">
      <c r="A3758" s="4">
        <v>3082</v>
      </c>
      <c r="B3758" s="4" t="s">
        <v>21</v>
      </c>
      <c r="C3758" s="38" t="s">
        <v>9120</v>
      </c>
      <c r="D3758" s="4">
        <v>2023</v>
      </c>
      <c r="E3758" s="4" t="s">
        <v>13</v>
      </c>
      <c r="F3758" s="4">
        <v>8</v>
      </c>
      <c r="G3758" s="41">
        <v>200</v>
      </c>
      <c r="H3758" s="41">
        <v>132.864</v>
      </c>
      <c r="I3758" s="221"/>
      <c r="J3758" s="221"/>
    </row>
    <row r="3759" spans="1:10" s="5" customFormat="1" ht="17.25" hidden="1" customHeight="1" outlineLevel="1" x14ac:dyDescent="0.25">
      <c r="A3759" s="4">
        <v>675</v>
      </c>
      <c r="B3759" s="4" t="s">
        <v>21</v>
      </c>
      <c r="C3759" s="38" t="s">
        <v>9121</v>
      </c>
      <c r="D3759" s="4">
        <v>2023</v>
      </c>
      <c r="E3759" s="4" t="s">
        <v>13</v>
      </c>
      <c r="F3759" s="4">
        <v>47</v>
      </c>
      <c r="G3759" s="41">
        <v>45</v>
      </c>
      <c r="H3759" s="41">
        <v>164.15700000000001</v>
      </c>
      <c r="I3759" s="221"/>
      <c r="J3759" s="221"/>
    </row>
    <row r="3760" spans="1:10" s="5" customFormat="1" ht="17.25" hidden="1" customHeight="1" outlineLevel="1" x14ac:dyDescent="0.25">
      <c r="A3760" s="4">
        <v>783</v>
      </c>
      <c r="B3760" s="4" t="s">
        <v>21</v>
      </c>
      <c r="C3760" s="38" t="s">
        <v>9122</v>
      </c>
      <c r="D3760" s="4">
        <v>2023</v>
      </c>
      <c r="E3760" s="4" t="s">
        <v>13</v>
      </c>
      <c r="F3760" s="4">
        <v>10</v>
      </c>
      <c r="G3760" s="41">
        <v>20</v>
      </c>
      <c r="H3760" s="41">
        <v>258.90100000000001</v>
      </c>
      <c r="I3760" s="221"/>
      <c r="J3760" s="221"/>
    </row>
    <row r="3761" spans="1:10" s="5" customFormat="1" ht="17.25" hidden="1" customHeight="1" outlineLevel="1" x14ac:dyDescent="0.25">
      <c r="A3761" s="4">
        <v>3066</v>
      </c>
      <c r="B3761" s="4" t="s">
        <v>21</v>
      </c>
      <c r="C3761" s="38" t="s">
        <v>9123</v>
      </c>
      <c r="D3761" s="4">
        <v>2023</v>
      </c>
      <c r="E3761" s="4" t="s">
        <v>13</v>
      </c>
      <c r="F3761" s="4">
        <v>45</v>
      </c>
      <c r="G3761" s="41">
        <v>150</v>
      </c>
      <c r="H3761" s="41">
        <v>154.32499999999999</v>
      </c>
      <c r="I3761" s="221"/>
      <c r="J3761" s="221"/>
    </row>
    <row r="3762" spans="1:10" s="5" customFormat="1" ht="17.25" hidden="1" customHeight="1" outlineLevel="1" x14ac:dyDescent="0.25">
      <c r="A3762" s="4">
        <v>3070</v>
      </c>
      <c r="B3762" s="4" t="s">
        <v>21</v>
      </c>
      <c r="C3762" s="38" t="s">
        <v>9124</v>
      </c>
      <c r="D3762" s="4">
        <v>2023</v>
      </c>
      <c r="E3762" s="4" t="s">
        <v>13</v>
      </c>
      <c r="F3762" s="4">
        <v>585</v>
      </c>
      <c r="G3762" s="41">
        <v>150</v>
      </c>
      <c r="H3762" s="41">
        <v>443.85199999999998</v>
      </c>
      <c r="I3762" s="221"/>
      <c r="J3762" s="221"/>
    </row>
    <row r="3763" spans="1:10" s="5" customFormat="1" ht="17.25" hidden="1" customHeight="1" outlineLevel="1" x14ac:dyDescent="0.25">
      <c r="A3763" s="4">
        <v>3084</v>
      </c>
      <c r="B3763" s="4" t="s">
        <v>21</v>
      </c>
      <c r="C3763" s="38" t="s">
        <v>9125</v>
      </c>
      <c r="D3763" s="4">
        <v>2023</v>
      </c>
      <c r="E3763" s="4" t="s">
        <v>13</v>
      </c>
      <c r="F3763" s="4">
        <v>365</v>
      </c>
      <c r="G3763" s="41">
        <v>150</v>
      </c>
      <c r="H3763" s="41">
        <v>488.375</v>
      </c>
      <c r="I3763" s="221"/>
      <c r="J3763" s="221"/>
    </row>
    <row r="3764" spans="1:10" s="5" customFormat="1" ht="17.25" hidden="1" customHeight="1" outlineLevel="1" x14ac:dyDescent="0.25">
      <c r="A3764" s="4">
        <v>3119</v>
      </c>
      <c r="B3764" s="4" t="s">
        <v>21</v>
      </c>
      <c r="C3764" s="38" t="s">
        <v>9127</v>
      </c>
      <c r="D3764" s="4">
        <v>2023</v>
      </c>
      <c r="E3764" s="4" t="s">
        <v>13</v>
      </c>
      <c r="F3764" s="4">
        <v>83</v>
      </c>
      <c r="G3764" s="41">
        <v>150</v>
      </c>
      <c r="H3764" s="41">
        <v>198.69499999999999</v>
      </c>
      <c r="I3764" s="221"/>
      <c r="J3764" s="221"/>
    </row>
    <row r="3765" spans="1:10" s="5" customFormat="1" ht="17.25" hidden="1" customHeight="1" outlineLevel="1" x14ac:dyDescent="0.25">
      <c r="A3765" s="4">
        <v>3173</v>
      </c>
      <c r="B3765" s="4" t="s">
        <v>21</v>
      </c>
      <c r="C3765" s="38" t="s">
        <v>8399</v>
      </c>
      <c r="D3765" s="4">
        <v>2023</v>
      </c>
      <c r="E3765" s="4" t="s">
        <v>13</v>
      </c>
      <c r="F3765" s="4">
        <v>7939</v>
      </c>
      <c r="G3765" s="41">
        <v>20</v>
      </c>
      <c r="H3765" s="41">
        <v>8382.9660000000003</v>
      </c>
      <c r="I3765" s="221"/>
      <c r="J3765" s="221"/>
    </row>
    <row r="3766" spans="1:10" s="5" customFormat="1" ht="17.25" hidden="1" customHeight="1" outlineLevel="1" x14ac:dyDescent="0.25">
      <c r="A3766" s="4">
        <v>4833</v>
      </c>
      <c r="B3766" s="4" t="s">
        <v>21</v>
      </c>
      <c r="C3766" s="38" t="s">
        <v>9128</v>
      </c>
      <c r="D3766" s="4">
        <v>2023</v>
      </c>
      <c r="E3766" s="4" t="s">
        <v>13</v>
      </c>
      <c r="F3766" s="4">
        <v>115</v>
      </c>
      <c r="G3766" s="41">
        <v>150</v>
      </c>
      <c r="H3766" s="41">
        <v>284.65600000000001</v>
      </c>
      <c r="I3766" s="221"/>
      <c r="J3766" s="221"/>
    </row>
    <row r="3767" spans="1:10" s="5" customFormat="1" ht="17.25" hidden="1" customHeight="1" outlineLevel="1" x14ac:dyDescent="0.25">
      <c r="A3767" s="4">
        <v>4868</v>
      </c>
      <c r="B3767" s="4" t="s">
        <v>21</v>
      </c>
      <c r="C3767" s="38" t="s">
        <v>9344</v>
      </c>
      <c r="D3767" s="4">
        <v>2023</v>
      </c>
      <c r="E3767" s="4" t="s">
        <v>13</v>
      </c>
      <c r="F3767" s="4">
        <v>40</v>
      </c>
      <c r="G3767" s="41">
        <v>150</v>
      </c>
      <c r="H3767" s="41">
        <v>216.21100000000001</v>
      </c>
      <c r="I3767" s="221"/>
      <c r="J3767" s="221"/>
    </row>
    <row r="3768" spans="1:10" s="5" customFormat="1" ht="17.25" hidden="1" customHeight="1" outlineLevel="1" x14ac:dyDescent="0.25">
      <c r="A3768" s="4">
        <v>4893</v>
      </c>
      <c r="B3768" s="4" t="s">
        <v>21</v>
      </c>
      <c r="C3768" s="38" t="s">
        <v>9345</v>
      </c>
      <c r="D3768" s="4">
        <v>2023</v>
      </c>
      <c r="E3768" s="4" t="s">
        <v>13</v>
      </c>
      <c r="F3768" s="4">
        <v>10</v>
      </c>
      <c r="G3768" s="41">
        <v>13.57</v>
      </c>
      <c r="H3768" s="41">
        <v>249.81200000000001</v>
      </c>
      <c r="I3768" s="221"/>
      <c r="J3768" s="221"/>
    </row>
    <row r="3769" spans="1:10" s="5" customFormat="1" ht="17.25" hidden="1" customHeight="1" outlineLevel="1" x14ac:dyDescent="0.25">
      <c r="A3769" s="4">
        <v>4894</v>
      </c>
      <c r="B3769" s="4" t="s">
        <v>21</v>
      </c>
      <c r="C3769" s="38" t="s">
        <v>9346</v>
      </c>
      <c r="D3769" s="4">
        <v>2023</v>
      </c>
      <c r="E3769" s="4" t="s">
        <v>13</v>
      </c>
      <c r="F3769" s="4">
        <v>10</v>
      </c>
      <c r="G3769" s="41">
        <v>12.67</v>
      </c>
      <c r="H3769" s="41">
        <v>249.60900000000001</v>
      </c>
      <c r="I3769" s="221"/>
      <c r="J3769" s="221"/>
    </row>
    <row r="3770" spans="1:10" s="5" customFormat="1" ht="17.25" hidden="1" customHeight="1" outlineLevel="1" x14ac:dyDescent="0.25">
      <c r="A3770" s="4">
        <v>4895</v>
      </c>
      <c r="B3770" s="4" t="s">
        <v>21</v>
      </c>
      <c r="C3770" s="38" t="s">
        <v>9347</v>
      </c>
      <c r="D3770" s="4">
        <v>2023</v>
      </c>
      <c r="E3770" s="4" t="s">
        <v>13</v>
      </c>
      <c r="F3770" s="4">
        <v>10</v>
      </c>
      <c r="G3770" s="41">
        <v>23.8</v>
      </c>
      <c r="H3770" s="41">
        <v>286.274</v>
      </c>
      <c r="I3770" s="221"/>
      <c r="J3770" s="221"/>
    </row>
    <row r="3771" spans="1:10" s="5" customFormat="1" ht="17.25" hidden="1" customHeight="1" outlineLevel="1" x14ac:dyDescent="0.25">
      <c r="A3771" s="4">
        <v>4916</v>
      </c>
      <c r="B3771" s="4" t="s">
        <v>21</v>
      </c>
      <c r="C3771" s="38" t="s">
        <v>9348</v>
      </c>
      <c r="D3771" s="4">
        <v>2023</v>
      </c>
      <c r="E3771" s="4" t="s">
        <v>13</v>
      </c>
      <c r="F3771" s="4">
        <v>1036</v>
      </c>
      <c r="G3771" s="41">
        <v>22.67</v>
      </c>
      <c r="H3771" s="41">
        <v>2462.6770000000001</v>
      </c>
      <c r="I3771" s="221"/>
      <c r="J3771" s="221"/>
    </row>
    <row r="3772" spans="1:10" s="5" customFormat="1" ht="17.25" hidden="1" customHeight="1" outlineLevel="1" x14ac:dyDescent="0.25">
      <c r="A3772" s="4">
        <v>4918</v>
      </c>
      <c r="B3772" s="4" t="s">
        <v>21</v>
      </c>
      <c r="C3772" s="38" t="s">
        <v>9349</v>
      </c>
      <c r="D3772" s="4">
        <v>2023</v>
      </c>
      <c r="E3772" s="4" t="s">
        <v>13</v>
      </c>
      <c r="F3772" s="4">
        <v>590</v>
      </c>
      <c r="G3772" s="41">
        <v>22.89</v>
      </c>
      <c r="H3772" s="41">
        <v>1568.8979999999999</v>
      </c>
      <c r="I3772" s="221"/>
      <c r="J3772" s="221"/>
    </row>
    <row r="3773" spans="1:10" s="5" customFormat="1" ht="17.25" hidden="1" customHeight="1" outlineLevel="1" x14ac:dyDescent="0.25">
      <c r="A3773" s="4">
        <v>4919</v>
      </c>
      <c r="B3773" s="4" t="s">
        <v>21</v>
      </c>
      <c r="C3773" s="38" t="s">
        <v>9350</v>
      </c>
      <c r="D3773" s="4">
        <v>2023</v>
      </c>
      <c r="E3773" s="4" t="s">
        <v>13</v>
      </c>
      <c r="F3773" s="4">
        <v>1074</v>
      </c>
      <c r="G3773" s="41">
        <v>59.23</v>
      </c>
      <c r="H3773" s="41">
        <v>2277.2260000000001</v>
      </c>
      <c r="I3773" s="221"/>
      <c r="J3773" s="221"/>
    </row>
    <row r="3774" spans="1:10" s="5" customFormat="1" ht="17.25" hidden="1" customHeight="1" outlineLevel="1" x14ac:dyDescent="0.25">
      <c r="A3774" s="4">
        <v>3104</v>
      </c>
      <c r="B3774" s="4" t="s">
        <v>21</v>
      </c>
      <c r="C3774" s="38" t="s">
        <v>9336</v>
      </c>
      <c r="D3774" s="4">
        <v>2023</v>
      </c>
      <c r="E3774" s="4" t="s">
        <v>13</v>
      </c>
      <c r="F3774" s="4">
        <v>127</v>
      </c>
      <c r="G3774" s="41">
        <v>150</v>
      </c>
      <c r="H3774" s="41">
        <v>716.005</v>
      </c>
      <c r="I3774" s="221"/>
      <c r="J3774" s="221"/>
    </row>
    <row r="3775" spans="1:10" s="5" customFormat="1" ht="17.25" hidden="1" customHeight="1" outlineLevel="1" x14ac:dyDescent="0.25">
      <c r="A3775" s="4">
        <v>3235</v>
      </c>
      <c r="B3775" s="4" t="s">
        <v>21</v>
      </c>
      <c r="C3775" s="38" t="s">
        <v>9225</v>
      </c>
      <c r="D3775" s="4">
        <v>2023</v>
      </c>
      <c r="E3775" s="4" t="s">
        <v>13</v>
      </c>
      <c r="F3775" s="4">
        <v>575</v>
      </c>
      <c r="G3775" s="41">
        <v>15</v>
      </c>
      <c r="H3775" s="41">
        <v>1735.4050000000002</v>
      </c>
      <c r="I3775" s="221"/>
      <c r="J3775" s="221"/>
    </row>
    <row r="3776" spans="1:10" s="5" customFormat="1" ht="17.25" hidden="1" customHeight="1" outlineLevel="1" x14ac:dyDescent="0.25">
      <c r="A3776" s="4">
        <v>3265</v>
      </c>
      <c r="B3776" s="4" t="s">
        <v>21</v>
      </c>
      <c r="C3776" s="38" t="s">
        <v>9265</v>
      </c>
      <c r="D3776" s="4">
        <v>2023</v>
      </c>
      <c r="E3776" s="4" t="s">
        <v>13</v>
      </c>
      <c r="F3776" s="4">
        <v>12</v>
      </c>
      <c r="G3776" s="41">
        <v>45</v>
      </c>
      <c r="H3776" s="41">
        <v>214.56300000000002</v>
      </c>
      <c r="I3776" s="221"/>
      <c r="J3776" s="221"/>
    </row>
    <row r="3777" spans="1:10" s="5" customFormat="1" ht="17.25" hidden="1" customHeight="1" outlineLevel="1" x14ac:dyDescent="0.25">
      <c r="A3777" s="4">
        <v>4686</v>
      </c>
      <c r="B3777" s="4" t="s">
        <v>21</v>
      </c>
      <c r="C3777" s="38" t="s">
        <v>9338</v>
      </c>
      <c r="D3777" s="4">
        <v>2023</v>
      </c>
      <c r="E3777" s="4" t="s">
        <v>13</v>
      </c>
      <c r="F3777" s="4">
        <v>12</v>
      </c>
      <c r="G3777" s="41">
        <v>147</v>
      </c>
      <c r="H3777" s="41">
        <v>377.56299999999999</v>
      </c>
      <c r="I3777" s="221"/>
      <c r="J3777" s="221"/>
    </row>
    <row r="3778" spans="1:10" s="5" customFormat="1" ht="17.25" hidden="1" customHeight="1" outlineLevel="1" x14ac:dyDescent="0.25">
      <c r="A3778" s="4">
        <v>3846</v>
      </c>
      <c r="B3778" s="4" t="s">
        <v>21</v>
      </c>
      <c r="C3778" s="38" t="s">
        <v>9271</v>
      </c>
      <c r="D3778" s="4">
        <v>2023</v>
      </c>
      <c r="E3778" s="4" t="s">
        <v>13</v>
      </c>
      <c r="F3778" s="4">
        <v>275</v>
      </c>
      <c r="G3778" s="41">
        <v>15</v>
      </c>
      <c r="H3778" s="41">
        <v>358.24299999999999</v>
      </c>
      <c r="I3778" s="221"/>
      <c r="J3778" s="221"/>
    </row>
    <row r="3779" spans="1:10" s="5" customFormat="1" ht="17.25" hidden="1" customHeight="1" outlineLevel="1" x14ac:dyDescent="0.25">
      <c r="A3779" s="4">
        <v>4706</v>
      </c>
      <c r="B3779" s="4" t="s">
        <v>21</v>
      </c>
      <c r="C3779" s="38" t="s">
        <v>9339</v>
      </c>
      <c r="D3779" s="4">
        <v>2023</v>
      </c>
      <c r="E3779" s="4" t="s">
        <v>13</v>
      </c>
      <c r="F3779" s="4">
        <v>17</v>
      </c>
      <c r="G3779" s="41">
        <v>150</v>
      </c>
      <c r="H3779" s="41">
        <v>356.15000000000003</v>
      </c>
      <c r="I3779" s="221"/>
      <c r="J3779" s="221"/>
    </row>
    <row r="3780" spans="1:10" s="5" customFormat="1" ht="17.25" hidden="1" customHeight="1" outlineLevel="1" x14ac:dyDescent="0.25">
      <c r="A3780" s="4">
        <v>2994</v>
      </c>
      <c r="B3780" s="4" t="s">
        <v>21</v>
      </c>
      <c r="C3780" s="38" t="s">
        <v>9280</v>
      </c>
      <c r="D3780" s="4">
        <v>2023</v>
      </c>
      <c r="E3780" s="4" t="s">
        <v>13</v>
      </c>
      <c r="F3780" s="4">
        <v>20</v>
      </c>
      <c r="G3780" s="41">
        <v>100</v>
      </c>
      <c r="H3780" s="41">
        <v>94.793000000000006</v>
      </c>
      <c r="I3780" s="221"/>
      <c r="J3780" s="221"/>
    </row>
    <row r="3781" spans="1:10" s="5" customFormat="1" ht="17.25" hidden="1" customHeight="1" outlineLevel="1" x14ac:dyDescent="0.25">
      <c r="A3781" s="4">
        <v>3183</v>
      </c>
      <c r="B3781" s="4" t="s">
        <v>21</v>
      </c>
      <c r="C3781" s="38" t="s">
        <v>9281</v>
      </c>
      <c r="D3781" s="4">
        <v>2023</v>
      </c>
      <c r="E3781" s="4" t="s">
        <v>13</v>
      </c>
      <c r="F3781" s="4">
        <v>2260</v>
      </c>
      <c r="G3781" s="41">
        <v>15</v>
      </c>
      <c r="H3781" s="41">
        <v>5157.6030000000001</v>
      </c>
      <c r="I3781" s="221"/>
      <c r="J3781" s="221"/>
    </row>
    <row r="3782" spans="1:10" s="5" customFormat="1" ht="17.25" hidden="1" customHeight="1" outlineLevel="1" x14ac:dyDescent="0.25">
      <c r="A3782" s="4">
        <v>3237</v>
      </c>
      <c r="B3782" s="4" t="s">
        <v>21</v>
      </c>
      <c r="C3782" s="38" t="s">
        <v>9229</v>
      </c>
      <c r="D3782" s="4">
        <v>2023</v>
      </c>
      <c r="E3782" s="4" t="s">
        <v>13</v>
      </c>
      <c r="F3782" s="4">
        <v>585</v>
      </c>
      <c r="G3782" s="41">
        <v>10</v>
      </c>
      <c r="H3782" s="41">
        <v>1814.864</v>
      </c>
      <c r="I3782" s="221"/>
      <c r="J3782" s="221"/>
    </row>
    <row r="3783" spans="1:10" s="5" customFormat="1" ht="17.25" hidden="1" customHeight="1" outlineLevel="1" x14ac:dyDescent="0.25">
      <c r="A3783" s="4">
        <v>4734</v>
      </c>
      <c r="B3783" s="4" t="s">
        <v>21</v>
      </c>
      <c r="C3783" s="38" t="s">
        <v>9340</v>
      </c>
      <c r="D3783" s="4">
        <v>2023</v>
      </c>
      <c r="E3783" s="4" t="s">
        <v>13</v>
      </c>
      <c r="F3783" s="4">
        <v>1946</v>
      </c>
      <c r="G3783" s="41">
        <v>150</v>
      </c>
      <c r="H3783" s="41">
        <v>4022.0840000000003</v>
      </c>
      <c r="I3783" s="221"/>
      <c r="J3783" s="221"/>
    </row>
    <row r="3784" spans="1:10" s="5" customFormat="1" ht="17.25" hidden="1" customHeight="1" outlineLevel="1" x14ac:dyDescent="0.25">
      <c r="A3784" s="4">
        <v>4732</v>
      </c>
      <c r="B3784" s="4" t="s">
        <v>21</v>
      </c>
      <c r="C3784" s="38" t="s">
        <v>9231</v>
      </c>
      <c r="D3784" s="4">
        <v>2023</v>
      </c>
      <c r="E3784" s="4" t="s">
        <v>13</v>
      </c>
      <c r="F3784" s="4">
        <v>412</v>
      </c>
      <c r="G3784" s="41">
        <v>15</v>
      </c>
      <c r="H3784" s="41">
        <v>986.26199999999994</v>
      </c>
      <c r="I3784" s="221"/>
      <c r="J3784" s="221"/>
    </row>
    <row r="3785" spans="1:10" s="5" customFormat="1" ht="17.25" hidden="1" customHeight="1" outlineLevel="1" x14ac:dyDescent="0.25">
      <c r="A3785" s="4">
        <v>3092</v>
      </c>
      <c r="B3785" s="4" t="s">
        <v>21</v>
      </c>
      <c r="C3785" s="38" t="s">
        <v>9299</v>
      </c>
      <c r="D3785" s="4">
        <v>2023</v>
      </c>
      <c r="E3785" s="4" t="s">
        <v>13</v>
      </c>
      <c r="F3785" s="4">
        <v>60</v>
      </c>
      <c r="G3785" s="41">
        <v>40</v>
      </c>
      <c r="H3785" s="41">
        <v>89.689000000000007</v>
      </c>
      <c r="I3785" s="221"/>
      <c r="J3785" s="221"/>
    </row>
    <row r="3786" spans="1:10" s="5" customFormat="1" ht="17.25" hidden="1" customHeight="1" outlineLevel="1" x14ac:dyDescent="0.25">
      <c r="A3786" s="4">
        <v>4743</v>
      </c>
      <c r="B3786" s="4" t="s">
        <v>21</v>
      </c>
      <c r="C3786" s="38" t="s">
        <v>9351</v>
      </c>
      <c r="D3786" s="4">
        <v>2023</v>
      </c>
      <c r="E3786" s="4" t="s">
        <v>13</v>
      </c>
      <c r="F3786" s="4">
        <v>98</v>
      </c>
      <c r="G3786" s="41">
        <v>235</v>
      </c>
      <c r="H3786" s="41">
        <v>531.72269000000006</v>
      </c>
      <c r="I3786" s="221"/>
      <c r="J3786" s="221"/>
    </row>
    <row r="3787" spans="1:10" s="5" customFormat="1" ht="17.25" hidden="1" customHeight="1" outlineLevel="1" x14ac:dyDescent="0.25">
      <c r="A3787" s="4">
        <v>4788</v>
      </c>
      <c r="B3787" s="4" t="s">
        <v>21</v>
      </c>
      <c r="C3787" s="38" t="s">
        <v>9236</v>
      </c>
      <c r="D3787" s="4">
        <v>2023</v>
      </c>
      <c r="E3787" s="4" t="s">
        <v>13</v>
      </c>
      <c r="F3787" s="4">
        <v>1409</v>
      </c>
      <c r="G3787" s="41">
        <v>15</v>
      </c>
      <c r="H3787" s="41">
        <v>4364.1240000000007</v>
      </c>
      <c r="I3787" s="221"/>
      <c r="J3787" s="221"/>
    </row>
    <row r="3788" spans="1:10" s="5" customFormat="1" ht="17.25" hidden="1" customHeight="1" outlineLevel="1" x14ac:dyDescent="0.25">
      <c r="A3788" s="4">
        <v>3130</v>
      </c>
      <c r="B3788" s="4" t="s">
        <v>21</v>
      </c>
      <c r="C3788" s="38" t="s">
        <v>9147</v>
      </c>
      <c r="D3788" s="4">
        <v>2023</v>
      </c>
      <c r="E3788" s="4" t="s">
        <v>13</v>
      </c>
      <c r="F3788" s="4">
        <v>63</v>
      </c>
      <c r="G3788" s="41">
        <v>100</v>
      </c>
      <c r="H3788" s="41">
        <v>80.861950000000007</v>
      </c>
      <c r="I3788" s="221"/>
      <c r="J3788" s="221"/>
    </row>
    <row r="3789" spans="1:10" s="5" customFormat="1" ht="17.25" hidden="1" customHeight="1" outlineLevel="1" x14ac:dyDescent="0.25">
      <c r="A3789" s="4">
        <v>5014</v>
      </c>
      <c r="B3789" s="4" t="s">
        <v>21</v>
      </c>
      <c r="C3789" s="38" t="s">
        <v>9151</v>
      </c>
      <c r="D3789" s="4">
        <v>2023</v>
      </c>
      <c r="E3789" s="4" t="s">
        <v>13</v>
      </c>
      <c r="F3789" s="4">
        <v>351</v>
      </c>
      <c r="G3789" s="41">
        <v>149</v>
      </c>
      <c r="H3789" s="41">
        <v>1064.9264499999999</v>
      </c>
      <c r="I3789" s="221"/>
      <c r="J3789" s="221"/>
    </row>
    <row r="3790" spans="1:10" s="5" customFormat="1" ht="17.25" hidden="1" customHeight="1" outlineLevel="1" x14ac:dyDescent="0.25">
      <c r="A3790" s="4">
        <v>5173</v>
      </c>
      <c r="B3790" s="4" t="s">
        <v>21</v>
      </c>
      <c r="C3790" s="38" t="s">
        <v>8719</v>
      </c>
      <c r="D3790" s="4">
        <v>2023</v>
      </c>
      <c r="E3790" s="4" t="s">
        <v>13</v>
      </c>
      <c r="F3790" s="4">
        <v>69</v>
      </c>
      <c r="G3790" s="41">
        <v>150</v>
      </c>
      <c r="H3790" s="41">
        <v>133.52100000000002</v>
      </c>
      <c r="I3790" s="221"/>
      <c r="J3790" s="221"/>
    </row>
    <row r="3791" spans="1:10" s="5" customFormat="1" ht="17.25" hidden="1" customHeight="1" outlineLevel="1" x14ac:dyDescent="0.25">
      <c r="A3791" s="4">
        <v>5034</v>
      </c>
      <c r="B3791" s="4" t="s">
        <v>21</v>
      </c>
      <c r="C3791" s="38" t="s">
        <v>9352</v>
      </c>
      <c r="D3791" s="4">
        <v>2023</v>
      </c>
      <c r="E3791" s="4" t="s">
        <v>13</v>
      </c>
      <c r="F3791" s="4">
        <v>5</v>
      </c>
      <c r="G3791" s="41">
        <v>15</v>
      </c>
      <c r="H3791" s="41">
        <v>65.510480000000001</v>
      </c>
      <c r="I3791" s="221"/>
      <c r="J3791" s="221"/>
    </row>
    <row r="3792" spans="1:10" s="5" customFormat="1" ht="17.25" hidden="1" customHeight="1" outlineLevel="1" x14ac:dyDescent="0.25">
      <c r="A3792" s="4">
        <v>3010</v>
      </c>
      <c r="B3792" s="4" t="s">
        <v>21</v>
      </c>
      <c r="C3792" s="38" t="s">
        <v>8735</v>
      </c>
      <c r="D3792" s="4">
        <v>2023</v>
      </c>
      <c r="E3792" s="4" t="s">
        <v>13</v>
      </c>
      <c r="F3792" s="4">
        <v>60</v>
      </c>
      <c r="G3792" s="41">
        <v>100</v>
      </c>
      <c r="H3792" s="41">
        <v>38.691870000000002</v>
      </c>
      <c r="I3792" s="221"/>
      <c r="J3792" s="221"/>
    </row>
    <row r="3793" spans="1:10" s="5" customFormat="1" ht="17.25" hidden="1" customHeight="1" outlineLevel="1" x14ac:dyDescent="0.25">
      <c r="A3793" s="4">
        <v>3214</v>
      </c>
      <c r="B3793" s="4" t="s">
        <v>21</v>
      </c>
      <c r="C3793" s="38" t="s">
        <v>8737</v>
      </c>
      <c r="D3793" s="4">
        <v>2023</v>
      </c>
      <c r="E3793" s="4" t="s">
        <v>13</v>
      </c>
      <c r="F3793" s="4">
        <v>45</v>
      </c>
      <c r="G3793" s="41">
        <v>15</v>
      </c>
      <c r="H3793" s="41">
        <v>39.87697</v>
      </c>
      <c r="I3793" s="221"/>
      <c r="J3793" s="221"/>
    </row>
    <row r="3794" spans="1:10" s="5" customFormat="1" ht="17.25" hidden="1" customHeight="1" outlineLevel="1" x14ac:dyDescent="0.25">
      <c r="A3794" s="4">
        <v>3056</v>
      </c>
      <c r="B3794" s="4" t="s">
        <v>21</v>
      </c>
      <c r="C3794" s="38" t="s">
        <v>8747</v>
      </c>
      <c r="D3794" s="4">
        <v>2023</v>
      </c>
      <c r="E3794" s="4" t="s">
        <v>13</v>
      </c>
      <c r="F3794" s="4">
        <v>17</v>
      </c>
      <c r="G3794" s="41">
        <v>100</v>
      </c>
      <c r="H3794" s="41">
        <v>47.118079999999999</v>
      </c>
      <c r="I3794" s="221"/>
      <c r="J3794" s="221"/>
    </row>
    <row r="3795" spans="1:10" s="5" customFormat="1" ht="17.25" hidden="1" customHeight="1" outlineLevel="1" x14ac:dyDescent="0.25">
      <c r="A3795" s="4">
        <v>5152</v>
      </c>
      <c r="B3795" s="4" t="s">
        <v>21</v>
      </c>
      <c r="C3795" s="38" t="s">
        <v>8751</v>
      </c>
      <c r="D3795" s="4">
        <v>2023</v>
      </c>
      <c r="E3795" s="4" t="s">
        <v>13</v>
      </c>
      <c r="F3795" s="4">
        <v>642</v>
      </c>
      <c r="G3795" s="41">
        <v>60</v>
      </c>
      <c r="H3795" s="41">
        <v>532.20639000000006</v>
      </c>
      <c r="I3795" s="221"/>
      <c r="J3795" s="221"/>
    </row>
    <row r="3796" spans="1:10" s="5" customFormat="1" ht="17.25" hidden="1" customHeight="1" outlineLevel="1" x14ac:dyDescent="0.25">
      <c r="A3796" s="4">
        <v>5511</v>
      </c>
      <c r="B3796" s="4" t="s">
        <v>21</v>
      </c>
      <c r="C3796" s="38" t="s">
        <v>9156</v>
      </c>
      <c r="D3796" s="4">
        <v>2023</v>
      </c>
      <c r="E3796" s="4" t="s">
        <v>13</v>
      </c>
      <c r="F3796" s="4">
        <v>45</v>
      </c>
      <c r="G3796" s="41">
        <v>150</v>
      </c>
      <c r="H3796" s="41">
        <v>55.418500000000002</v>
      </c>
      <c r="I3796" s="221"/>
      <c r="J3796" s="221"/>
    </row>
    <row r="3797" spans="1:10" s="5" customFormat="1" ht="17.25" hidden="1" customHeight="1" outlineLevel="1" x14ac:dyDescent="0.25">
      <c r="A3797" s="4">
        <v>3300</v>
      </c>
      <c r="B3797" s="4" t="s">
        <v>21</v>
      </c>
      <c r="C3797" s="38" t="s">
        <v>8756</v>
      </c>
      <c r="D3797" s="4">
        <v>2023</v>
      </c>
      <c r="E3797" s="4" t="s">
        <v>13</v>
      </c>
      <c r="F3797" s="4">
        <v>13</v>
      </c>
      <c r="G3797" s="41">
        <v>15</v>
      </c>
      <c r="H3797" s="41">
        <v>55.48048</v>
      </c>
      <c r="I3797" s="221"/>
      <c r="J3797" s="221"/>
    </row>
    <row r="3798" spans="1:10" s="5" customFormat="1" ht="17.25" hidden="1" customHeight="1" outlineLevel="1" x14ac:dyDescent="0.25">
      <c r="A3798" s="4">
        <v>3282</v>
      </c>
      <c r="B3798" s="4" t="s">
        <v>21</v>
      </c>
      <c r="C3798" s="38" t="s">
        <v>8757</v>
      </c>
      <c r="D3798" s="4">
        <v>2023</v>
      </c>
      <c r="E3798" s="4" t="s">
        <v>13</v>
      </c>
      <c r="F3798" s="4">
        <v>46</v>
      </c>
      <c r="G3798" s="41">
        <v>15</v>
      </c>
      <c r="H3798" s="41">
        <v>437.25009</v>
      </c>
      <c r="I3798" s="221"/>
      <c r="J3798" s="221"/>
    </row>
    <row r="3799" spans="1:10" s="5" customFormat="1" ht="141.75" hidden="1" outlineLevel="1" x14ac:dyDescent="0.25">
      <c r="A3799" s="4">
        <v>5797</v>
      </c>
      <c r="B3799" s="4" t="s">
        <v>21</v>
      </c>
      <c r="C3799" s="38" t="s">
        <v>9353</v>
      </c>
      <c r="D3799" s="4">
        <v>2023</v>
      </c>
      <c r="E3799" s="4" t="s">
        <v>13</v>
      </c>
      <c r="F3799" s="4">
        <v>5</v>
      </c>
      <c r="G3799" s="41">
        <v>35</v>
      </c>
      <c r="H3799" s="41">
        <v>65.873000000000005</v>
      </c>
      <c r="I3799" s="221"/>
      <c r="J3799" s="221"/>
    </row>
    <row r="3800" spans="1:10" s="5" customFormat="1" ht="94.5" hidden="1" outlineLevel="1" x14ac:dyDescent="0.25">
      <c r="A3800" s="4">
        <v>1054</v>
      </c>
      <c r="B3800" s="4" t="s">
        <v>21</v>
      </c>
      <c r="C3800" s="38" t="s">
        <v>8884</v>
      </c>
      <c r="D3800" s="4">
        <v>2023</v>
      </c>
      <c r="E3800" s="4" t="s">
        <v>13</v>
      </c>
      <c r="F3800" s="4">
        <v>5</v>
      </c>
      <c r="G3800" s="41">
        <v>15</v>
      </c>
      <c r="H3800" s="41">
        <v>72</v>
      </c>
      <c r="I3800" s="221"/>
      <c r="J3800" s="221"/>
    </row>
    <row r="3801" spans="1:10" s="5" customFormat="1" ht="63" hidden="1" outlineLevel="1" x14ac:dyDescent="0.25">
      <c r="A3801" s="4">
        <v>680</v>
      </c>
      <c r="B3801" s="4" t="s">
        <v>21</v>
      </c>
      <c r="C3801" s="38" t="s">
        <v>8887</v>
      </c>
      <c r="D3801" s="4">
        <v>2023</v>
      </c>
      <c r="E3801" s="4" t="s">
        <v>13</v>
      </c>
      <c r="F3801" s="4">
        <v>5</v>
      </c>
      <c r="G3801" s="41">
        <v>15</v>
      </c>
      <c r="H3801" s="41">
        <v>68</v>
      </c>
      <c r="I3801" s="221"/>
      <c r="J3801" s="221"/>
    </row>
    <row r="3802" spans="1:10" s="5" customFormat="1" ht="26.25" hidden="1" customHeight="1" outlineLevel="1" x14ac:dyDescent="0.25">
      <c r="A3802" s="42">
        <v>1282</v>
      </c>
      <c r="B3802" s="4" t="s">
        <v>21</v>
      </c>
      <c r="C3802" s="38" t="s">
        <v>291</v>
      </c>
      <c r="D3802" s="4">
        <v>2021</v>
      </c>
      <c r="E3802" s="4"/>
      <c r="F3802" s="4">
        <v>1272</v>
      </c>
      <c r="G3802" s="4">
        <v>20</v>
      </c>
      <c r="H3802" s="4">
        <v>1244</v>
      </c>
      <c r="I3802" s="201"/>
      <c r="J3802" s="201"/>
    </row>
    <row r="3803" spans="1:10" s="5" customFormat="1" ht="26.25" hidden="1" customHeight="1" outlineLevel="1" x14ac:dyDescent="0.25">
      <c r="A3803" s="41">
        <v>9731</v>
      </c>
      <c r="B3803" s="4" t="s">
        <v>21</v>
      </c>
      <c r="C3803" s="38" t="s">
        <v>788</v>
      </c>
      <c r="D3803" s="4">
        <v>2021</v>
      </c>
      <c r="E3803" s="4"/>
      <c r="F3803" s="4">
        <v>4707</v>
      </c>
      <c r="G3803" s="4">
        <v>40</v>
      </c>
      <c r="H3803" s="4">
        <v>5658</v>
      </c>
      <c r="I3803" s="201"/>
      <c r="J3803" s="201"/>
    </row>
    <row r="3804" spans="1:10" s="5" customFormat="1" ht="26.25" hidden="1" customHeight="1" outlineLevel="1" x14ac:dyDescent="0.25">
      <c r="A3804" s="42">
        <v>1267</v>
      </c>
      <c r="B3804" s="4" t="s">
        <v>21</v>
      </c>
      <c r="C3804" s="38" t="s">
        <v>337</v>
      </c>
      <c r="D3804" s="4">
        <v>2021</v>
      </c>
      <c r="E3804" s="4"/>
      <c r="F3804" s="4">
        <v>10</v>
      </c>
      <c r="G3804" s="4">
        <v>15</v>
      </c>
      <c r="H3804" s="4">
        <v>104</v>
      </c>
      <c r="I3804" s="201"/>
      <c r="J3804" s="201"/>
    </row>
    <row r="3805" spans="1:10" s="5" customFormat="1" ht="26.25" hidden="1" customHeight="1" outlineLevel="1" x14ac:dyDescent="0.25">
      <c r="A3805" s="42">
        <v>1265</v>
      </c>
      <c r="B3805" s="4" t="s">
        <v>21</v>
      </c>
      <c r="C3805" s="38" t="s">
        <v>355</v>
      </c>
      <c r="D3805" s="4">
        <v>2021</v>
      </c>
      <c r="E3805" s="4"/>
      <c r="F3805" s="4">
        <v>120</v>
      </c>
      <c r="G3805" s="4">
        <v>15</v>
      </c>
      <c r="H3805" s="4">
        <v>207</v>
      </c>
      <c r="I3805" s="201"/>
      <c r="J3805" s="201"/>
    </row>
    <row r="3806" spans="1:10" s="5" customFormat="1" ht="26.25" hidden="1" customHeight="1" outlineLevel="1" x14ac:dyDescent="0.25">
      <c r="A3806" s="41">
        <v>9730</v>
      </c>
      <c r="B3806" s="4" t="s">
        <v>21</v>
      </c>
      <c r="C3806" s="38" t="s">
        <v>796</v>
      </c>
      <c r="D3806" s="4">
        <v>2021</v>
      </c>
      <c r="E3806" s="4"/>
      <c r="F3806" s="4">
        <v>4817</v>
      </c>
      <c r="G3806" s="4">
        <v>140</v>
      </c>
      <c r="H3806" s="4">
        <v>7298</v>
      </c>
      <c r="I3806" s="201"/>
      <c r="J3806" s="201"/>
    </row>
    <row r="3807" spans="1:10" s="5" customFormat="1" ht="26.25" hidden="1" customHeight="1" outlineLevel="1" x14ac:dyDescent="0.25">
      <c r="A3807" s="42">
        <v>1283</v>
      </c>
      <c r="B3807" s="4" t="s">
        <v>21</v>
      </c>
      <c r="C3807" s="38" t="s">
        <v>65</v>
      </c>
      <c r="D3807" s="4">
        <v>2021</v>
      </c>
      <c r="E3807" s="4"/>
      <c r="F3807" s="4">
        <v>2868</v>
      </c>
      <c r="G3807" s="4">
        <v>3</v>
      </c>
      <c r="H3807" s="4">
        <v>3857.56</v>
      </c>
      <c r="I3807" s="201"/>
      <c r="J3807" s="201"/>
    </row>
    <row r="3808" spans="1:10" s="5" customFormat="1" ht="26.25" hidden="1" customHeight="1" outlineLevel="1" x14ac:dyDescent="0.25">
      <c r="A3808" s="41">
        <v>9506</v>
      </c>
      <c r="B3808" s="4" t="s">
        <v>21</v>
      </c>
      <c r="C3808" s="38" t="s">
        <v>894</v>
      </c>
      <c r="D3808" s="4">
        <v>2021</v>
      </c>
      <c r="E3808" s="4"/>
      <c r="F3808" s="4">
        <v>72</v>
      </c>
      <c r="G3808" s="4">
        <v>200</v>
      </c>
      <c r="H3808" s="4">
        <v>291.93099999999998</v>
      </c>
      <c r="I3808" s="201"/>
      <c r="J3808" s="201"/>
    </row>
    <row r="3809" spans="1:10" s="5" customFormat="1" ht="26.25" hidden="1" customHeight="1" outlineLevel="1" x14ac:dyDescent="0.25">
      <c r="A3809" s="41">
        <v>9513</v>
      </c>
      <c r="B3809" s="4" t="s">
        <v>21</v>
      </c>
      <c r="C3809" s="38" t="s">
        <v>898</v>
      </c>
      <c r="D3809" s="4">
        <v>2021</v>
      </c>
      <c r="E3809" s="4"/>
      <c r="F3809" s="4">
        <v>20</v>
      </c>
      <c r="G3809" s="4">
        <v>214.7</v>
      </c>
      <c r="H3809" s="4">
        <v>141.41399999999999</v>
      </c>
      <c r="I3809" s="201"/>
      <c r="J3809" s="201"/>
    </row>
    <row r="3810" spans="1:10" s="5" customFormat="1" ht="26.25" hidden="1" customHeight="1" outlineLevel="1" x14ac:dyDescent="0.25">
      <c r="A3810" s="42">
        <v>760</v>
      </c>
      <c r="B3810" s="4" t="s">
        <v>21</v>
      </c>
      <c r="C3810" s="38" t="s">
        <v>420</v>
      </c>
      <c r="D3810" s="4">
        <v>2021</v>
      </c>
      <c r="E3810" s="4"/>
      <c r="F3810" s="4">
        <v>5350</v>
      </c>
      <c r="G3810" s="4">
        <v>25</v>
      </c>
      <c r="H3810" s="4">
        <v>5939.4740000000002</v>
      </c>
      <c r="I3810" s="201"/>
      <c r="J3810" s="201"/>
    </row>
    <row r="3811" spans="1:10" s="5" customFormat="1" ht="26.25" hidden="1" customHeight="1" outlineLevel="1" x14ac:dyDescent="0.25">
      <c r="A3811" s="42">
        <v>736</v>
      </c>
      <c r="B3811" s="4" t="s">
        <v>21</v>
      </c>
      <c r="C3811" s="38" t="s">
        <v>421</v>
      </c>
      <c r="D3811" s="4">
        <v>2021</v>
      </c>
      <c r="E3811" s="4"/>
      <c r="F3811" s="4">
        <v>300</v>
      </c>
      <c r="G3811" s="4">
        <v>15</v>
      </c>
      <c r="H3811" s="4">
        <v>465.08300000000003</v>
      </c>
      <c r="I3811" s="201"/>
      <c r="J3811" s="201"/>
    </row>
    <row r="3812" spans="1:10" s="5" customFormat="1" ht="26.25" hidden="1" customHeight="1" outlineLevel="1" x14ac:dyDescent="0.25">
      <c r="A3812" s="41">
        <v>9507</v>
      </c>
      <c r="B3812" s="4" t="s">
        <v>21</v>
      </c>
      <c r="C3812" s="38" t="s">
        <v>424</v>
      </c>
      <c r="D3812" s="4">
        <v>2021</v>
      </c>
      <c r="E3812" s="4"/>
      <c r="F3812" s="4">
        <v>35</v>
      </c>
      <c r="G3812" s="4">
        <v>10</v>
      </c>
      <c r="H3812" s="4">
        <v>123.297</v>
      </c>
      <c r="I3812" s="201"/>
      <c r="J3812" s="201"/>
    </row>
    <row r="3813" spans="1:10" s="5" customFormat="1" ht="26.25" hidden="1" customHeight="1" outlineLevel="1" x14ac:dyDescent="0.25">
      <c r="A3813" s="41">
        <v>9520</v>
      </c>
      <c r="B3813" s="4" t="s">
        <v>21</v>
      </c>
      <c r="C3813" s="38" t="s">
        <v>425</v>
      </c>
      <c r="D3813" s="4">
        <v>2021</v>
      </c>
      <c r="E3813" s="4"/>
      <c r="F3813" s="4">
        <v>35</v>
      </c>
      <c r="G3813" s="4">
        <v>50</v>
      </c>
      <c r="H3813" s="4">
        <v>109.298</v>
      </c>
      <c r="I3813" s="201"/>
      <c r="J3813" s="201"/>
    </row>
    <row r="3814" spans="1:10" s="5" customFormat="1" ht="26.25" hidden="1" customHeight="1" outlineLevel="1" x14ac:dyDescent="0.25">
      <c r="A3814" s="41">
        <v>9519</v>
      </c>
      <c r="B3814" s="4" t="s">
        <v>21</v>
      </c>
      <c r="C3814" s="38" t="s">
        <v>426</v>
      </c>
      <c r="D3814" s="4">
        <v>2021</v>
      </c>
      <c r="E3814" s="4"/>
      <c r="F3814" s="4">
        <v>643</v>
      </c>
      <c r="G3814" s="4">
        <v>15</v>
      </c>
      <c r="H3814" s="4">
        <v>569.95000000000005</v>
      </c>
      <c r="I3814" s="201"/>
      <c r="J3814" s="201"/>
    </row>
    <row r="3815" spans="1:10" s="5" customFormat="1" ht="26.25" hidden="1" customHeight="1" outlineLevel="1" x14ac:dyDescent="0.25">
      <c r="A3815" s="41">
        <v>9509</v>
      </c>
      <c r="B3815" s="4" t="s">
        <v>21</v>
      </c>
      <c r="C3815" s="38" t="s">
        <v>899</v>
      </c>
      <c r="D3815" s="4">
        <v>2021</v>
      </c>
      <c r="E3815" s="4"/>
      <c r="F3815" s="4">
        <v>26</v>
      </c>
      <c r="G3815" s="4">
        <v>10</v>
      </c>
      <c r="H3815" s="4">
        <v>208.185</v>
      </c>
      <c r="I3815" s="201"/>
      <c r="J3815" s="201"/>
    </row>
    <row r="3816" spans="1:10" s="5" customFormat="1" ht="26.25" hidden="1" customHeight="1" outlineLevel="1" x14ac:dyDescent="0.25">
      <c r="A3816" s="41">
        <v>9515</v>
      </c>
      <c r="B3816" s="4" t="s">
        <v>21</v>
      </c>
      <c r="C3816" s="38" t="s">
        <v>432</v>
      </c>
      <c r="D3816" s="4">
        <v>2021</v>
      </c>
      <c r="E3816" s="4"/>
      <c r="F3816" s="4">
        <v>10</v>
      </c>
      <c r="G3816" s="4">
        <v>15</v>
      </c>
      <c r="H3816" s="4">
        <v>91.135999999999996</v>
      </c>
      <c r="I3816" s="201"/>
      <c r="J3816" s="201"/>
    </row>
    <row r="3817" spans="1:10" s="5" customFormat="1" ht="26.25" hidden="1" customHeight="1" outlineLevel="1" x14ac:dyDescent="0.25">
      <c r="A3817" s="41">
        <v>9516</v>
      </c>
      <c r="B3817" s="4" t="s">
        <v>21</v>
      </c>
      <c r="C3817" s="38" t="s">
        <v>433</v>
      </c>
      <c r="D3817" s="4">
        <v>2021</v>
      </c>
      <c r="E3817" s="4"/>
      <c r="F3817" s="4">
        <v>180</v>
      </c>
      <c r="G3817" s="4">
        <v>120</v>
      </c>
      <c r="H3817" s="4">
        <v>256.798</v>
      </c>
      <c r="I3817" s="201"/>
      <c r="J3817" s="201"/>
    </row>
    <row r="3818" spans="1:10" s="5" customFormat="1" ht="26.25" hidden="1" customHeight="1" outlineLevel="1" x14ac:dyDescent="0.25">
      <c r="A3818" s="41">
        <v>9514</v>
      </c>
      <c r="B3818" s="4" t="s">
        <v>21</v>
      </c>
      <c r="C3818" s="38" t="s">
        <v>823</v>
      </c>
      <c r="D3818" s="4">
        <v>2021</v>
      </c>
      <c r="E3818" s="4"/>
      <c r="F3818" s="4">
        <v>215</v>
      </c>
      <c r="G3818" s="4">
        <v>280</v>
      </c>
      <c r="H3818" s="4">
        <v>318.11900000000003</v>
      </c>
      <c r="I3818" s="201"/>
      <c r="J3818" s="201"/>
    </row>
    <row r="3819" spans="1:10" s="5" customFormat="1" ht="26.25" hidden="1" customHeight="1" outlineLevel="1" x14ac:dyDescent="0.25">
      <c r="A3819" s="41">
        <v>9496</v>
      </c>
      <c r="B3819" s="4" t="s">
        <v>21</v>
      </c>
      <c r="C3819" s="38" t="s">
        <v>436</v>
      </c>
      <c r="D3819" s="4">
        <v>2021</v>
      </c>
      <c r="E3819" s="4"/>
      <c r="F3819" s="4">
        <v>30</v>
      </c>
      <c r="G3819" s="4">
        <v>15</v>
      </c>
      <c r="H3819" s="4">
        <v>115.254</v>
      </c>
      <c r="I3819" s="201"/>
      <c r="J3819" s="201"/>
    </row>
    <row r="3820" spans="1:10" s="5" customFormat="1" ht="26.25" hidden="1" customHeight="1" outlineLevel="1" x14ac:dyDescent="0.25">
      <c r="A3820" s="41">
        <v>9505</v>
      </c>
      <c r="B3820" s="4" t="s">
        <v>21</v>
      </c>
      <c r="C3820" s="35" t="s">
        <v>441</v>
      </c>
      <c r="D3820" s="4">
        <v>2021</v>
      </c>
      <c r="E3820" s="4"/>
      <c r="F3820" s="4">
        <v>12</v>
      </c>
      <c r="G3820" s="4">
        <v>15</v>
      </c>
      <c r="H3820" s="4">
        <v>108.828</v>
      </c>
      <c r="I3820" s="201"/>
      <c r="J3820" s="201"/>
    </row>
    <row r="3821" spans="1:10" s="5" customFormat="1" ht="26.25" hidden="1" customHeight="1" outlineLevel="1" x14ac:dyDescent="0.25">
      <c r="A3821" s="41">
        <v>9497</v>
      </c>
      <c r="B3821" s="4" t="s">
        <v>21</v>
      </c>
      <c r="C3821" s="38" t="s">
        <v>446</v>
      </c>
      <c r="D3821" s="4">
        <v>2021</v>
      </c>
      <c r="E3821" s="4"/>
      <c r="F3821" s="4">
        <v>50</v>
      </c>
      <c r="G3821" s="4">
        <v>45</v>
      </c>
      <c r="H3821" s="4">
        <v>115.102</v>
      </c>
      <c r="I3821" s="201"/>
      <c r="J3821" s="201"/>
    </row>
    <row r="3822" spans="1:10" s="5" customFormat="1" ht="26.25" hidden="1" customHeight="1" outlineLevel="1" x14ac:dyDescent="0.25">
      <c r="A3822" s="41">
        <v>9264</v>
      </c>
      <c r="B3822" s="4" t="s">
        <v>21</v>
      </c>
      <c r="C3822" s="38" t="s">
        <v>900</v>
      </c>
      <c r="D3822" s="4">
        <v>2021</v>
      </c>
      <c r="E3822" s="4"/>
      <c r="F3822" s="4">
        <v>20</v>
      </c>
      <c r="G3822" s="4">
        <v>100</v>
      </c>
      <c r="H3822" s="4">
        <v>170.53</v>
      </c>
      <c r="I3822" s="201"/>
      <c r="J3822" s="201"/>
    </row>
    <row r="3823" spans="1:10" s="5" customFormat="1" ht="26.25" hidden="1" customHeight="1" outlineLevel="1" x14ac:dyDescent="0.25">
      <c r="A3823" s="41">
        <v>9506</v>
      </c>
      <c r="B3823" s="4" t="s">
        <v>21</v>
      </c>
      <c r="C3823" s="38" t="s">
        <v>894</v>
      </c>
      <c r="D3823" s="4">
        <v>2021</v>
      </c>
      <c r="E3823" s="4"/>
      <c r="F3823" s="4">
        <v>456</v>
      </c>
      <c r="G3823" s="4">
        <v>200</v>
      </c>
      <c r="H3823" s="4">
        <v>377.53199999999998</v>
      </c>
      <c r="I3823" s="201"/>
      <c r="J3823" s="201"/>
    </row>
    <row r="3824" spans="1:10" s="5" customFormat="1" ht="26.25" hidden="1" customHeight="1" outlineLevel="1" x14ac:dyDescent="0.25">
      <c r="A3824" s="41">
        <v>9501</v>
      </c>
      <c r="B3824" s="4" t="s">
        <v>21</v>
      </c>
      <c r="C3824" s="38" t="s">
        <v>901</v>
      </c>
      <c r="D3824" s="4">
        <v>2021</v>
      </c>
      <c r="E3824" s="4"/>
      <c r="F3824" s="4">
        <v>412</v>
      </c>
      <c r="G3824" s="4">
        <v>115</v>
      </c>
      <c r="H3824" s="4">
        <v>295.25400000000002</v>
      </c>
      <c r="I3824" s="201"/>
      <c r="J3824" s="201"/>
    </row>
    <row r="3825" spans="1:10" s="5" customFormat="1" ht="26.25" hidden="1" customHeight="1" outlineLevel="1" x14ac:dyDescent="0.25">
      <c r="A3825" s="41">
        <v>9503</v>
      </c>
      <c r="B3825" s="4" t="s">
        <v>21</v>
      </c>
      <c r="C3825" s="38" t="s">
        <v>450</v>
      </c>
      <c r="D3825" s="4">
        <v>2021</v>
      </c>
      <c r="E3825" s="4"/>
      <c r="F3825" s="4">
        <v>200</v>
      </c>
      <c r="G3825" s="4">
        <v>100</v>
      </c>
      <c r="H3825" s="4">
        <v>227.58</v>
      </c>
      <c r="I3825" s="201"/>
      <c r="J3825" s="201"/>
    </row>
    <row r="3826" spans="1:10" s="5" customFormat="1" ht="26.25" hidden="1" customHeight="1" outlineLevel="1" x14ac:dyDescent="0.25">
      <c r="A3826" s="41">
        <v>9502</v>
      </c>
      <c r="B3826" s="4" t="s">
        <v>21</v>
      </c>
      <c r="C3826" s="38" t="s">
        <v>452</v>
      </c>
      <c r="D3826" s="4">
        <v>2021</v>
      </c>
      <c r="E3826" s="4"/>
      <c r="F3826" s="4">
        <v>1328</v>
      </c>
      <c r="G3826" s="4">
        <v>15</v>
      </c>
      <c r="H3826" s="4">
        <v>1885.4880000000001</v>
      </c>
      <c r="I3826" s="201"/>
      <c r="J3826" s="201"/>
    </row>
    <row r="3827" spans="1:10" s="5" customFormat="1" ht="26.25" hidden="1" customHeight="1" outlineLevel="1" x14ac:dyDescent="0.25">
      <c r="A3827" s="41">
        <v>9495</v>
      </c>
      <c r="B3827" s="4" t="s">
        <v>21</v>
      </c>
      <c r="C3827" s="38" t="s">
        <v>453</v>
      </c>
      <c r="D3827" s="4">
        <v>2021</v>
      </c>
      <c r="E3827" s="4"/>
      <c r="F3827" s="4">
        <v>2039</v>
      </c>
      <c r="G3827" s="4">
        <v>15</v>
      </c>
      <c r="H3827" s="4">
        <v>2002.838</v>
      </c>
      <c r="I3827" s="201"/>
      <c r="J3827" s="201"/>
    </row>
    <row r="3828" spans="1:10" s="5" customFormat="1" ht="26.25" hidden="1" customHeight="1" outlineLevel="1" x14ac:dyDescent="0.25">
      <c r="A3828" s="41">
        <v>9499</v>
      </c>
      <c r="B3828" s="4" t="s">
        <v>21</v>
      </c>
      <c r="C3828" s="38" t="s">
        <v>454</v>
      </c>
      <c r="D3828" s="4">
        <v>2021</v>
      </c>
      <c r="E3828" s="4"/>
      <c r="F3828" s="4">
        <v>945</v>
      </c>
      <c r="G3828" s="4">
        <v>15</v>
      </c>
      <c r="H3828" s="4">
        <v>1295.8679999999999</v>
      </c>
      <c r="I3828" s="201"/>
      <c r="J3828" s="201"/>
    </row>
    <row r="3829" spans="1:10" s="5" customFormat="1" ht="26.25" hidden="1" customHeight="1" outlineLevel="1" x14ac:dyDescent="0.25">
      <c r="A3829" s="41">
        <v>9500</v>
      </c>
      <c r="B3829" s="4" t="s">
        <v>21</v>
      </c>
      <c r="C3829" s="38" t="s">
        <v>455</v>
      </c>
      <c r="D3829" s="4">
        <v>2021</v>
      </c>
      <c r="E3829" s="4"/>
      <c r="F3829" s="4">
        <v>965</v>
      </c>
      <c r="G3829" s="4">
        <v>15</v>
      </c>
      <c r="H3829" s="4">
        <v>966.71199999999999</v>
      </c>
      <c r="I3829" s="201"/>
      <c r="J3829" s="201"/>
    </row>
    <row r="3830" spans="1:10" s="5" customFormat="1" ht="26.25" hidden="1" customHeight="1" outlineLevel="1" x14ac:dyDescent="0.25">
      <c r="A3830" s="41">
        <v>9498</v>
      </c>
      <c r="B3830" s="4" t="s">
        <v>21</v>
      </c>
      <c r="C3830" s="38" t="s">
        <v>457</v>
      </c>
      <c r="D3830" s="4">
        <v>2021</v>
      </c>
      <c r="E3830" s="4"/>
      <c r="F3830" s="4">
        <v>2006</v>
      </c>
      <c r="G3830" s="4">
        <v>155</v>
      </c>
      <c r="H3830" s="4">
        <v>2432.7600000000002</v>
      </c>
      <c r="I3830" s="201"/>
      <c r="J3830" s="201"/>
    </row>
    <row r="3831" spans="1:10" s="5" customFormat="1" ht="26.25" hidden="1" customHeight="1" outlineLevel="1" x14ac:dyDescent="0.25">
      <c r="A3831" s="41">
        <v>9524</v>
      </c>
      <c r="B3831" s="4" t="s">
        <v>21</v>
      </c>
      <c r="C3831" s="38" t="s">
        <v>458</v>
      </c>
      <c r="D3831" s="4">
        <v>2021</v>
      </c>
      <c r="E3831" s="4"/>
      <c r="F3831" s="4">
        <v>1044</v>
      </c>
      <c r="G3831" s="4">
        <v>10</v>
      </c>
      <c r="H3831" s="4">
        <v>1388.241</v>
      </c>
      <c r="I3831" s="201"/>
      <c r="J3831" s="201"/>
    </row>
    <row r="3832" spans="1:10" s="5" customFormat="1" ht="26.25" hidden="1" customHeight="1" outlineLevel="1" x14ac:dyDescent="0.25">
      <c r="A3832" s="41">
        <v>9504</v>
      </c>
      <c r="B3832" s="4" t="s">
        <v>21</v>
      </c>
      <c r="C3832" s="38" t="s">
        <v>902</v>
      </c>
      <c r="D3832" s="4">
        <v>2021</v>
      </c>
      <c r="E3832" s="4"/>
      <c r="F3832" s="4">
        <v>1315</v>
      </c>
      <c r="G3832" s="4">
        <v>100</v>
      </c>
      <c r="H3832" s="4">
        <v>1885.1780000000001</v>
      </c>
      <c r="I3832" s="201"/>
      <c r="J3832" s="201"/>
    </row>
    <row r="3833" spans="1:10" s="5" customFormat="1" ht="26.25" hidden="1" customHeight="1" outlineLevel="1" x14ac:dyDescent="0.25">
      <c r="A3833" s="41">
        <v>9649</v>
      </c>
      <c r="B3833" s="4" t="s">
        <v>21</v>
      </c>
      <c r="C3833" s="38" t="s">
        <v>519</v>
      </c>
      <c r="D3833" s="4">
        <v>2021</v>
      </c>
      <c r="E3833" s="4"/>
      <c r="F3833" s="4">
        <v>20</v>
      </c>
      <c r="G3833" s="4">
        <v>15</v>
      </c>
      <c r="H3833" s="4">
        <v>68</v>
      </c>
      <c r="I3833" s="201"/>
      <c r="J3833" s="201"/>
    </row>
    <row r="3834" spans="1:10" s="5" customFormat="1" ht="26.25" hidden="1" customHeight="1" outlineLevel="1" x14ac:dyDescent="0.25">
      <c r="A3834" s="41">
        <v>9667</v>
      </c>
      <c r="B3834" s="4" t="s">
        <v>21</v>
      </c>
      <c r="C3834" s="38" t="s">
        <v>560</v>
      </c>
      <c r="D3834" s="4">
        <v>2021</v>
      </c>
      <c r="E3834" s="4"/>
      <c r="F3834" s="4">
        <v>85</v>
      </c>
      <c r="G3834" s="4">
        <v>70</v>
      </c>
      <c r="H3834" s="4">
        <v>336</v>
      </c>
      <c r="I3834" s="201"/>
      <c r="J3834" s="201"/>
    </row>
    <row r="3835" spans="1:10" s="5" customFormat="1" ht="26.25" hidden="1" customHeight="1" outlineLevel="1" x14ac:dyDescent="0.25">
      <c r="A3835" s="41">
        <v>9654</v>
      </c>
      <c r="B3835" s="4" t="s">
        <v>21</v>
      </c>
      <c r="C3835" s="38" t="s">
        <v>903</v>
      </c>
      <c r="D3835" s="4">
        <v>2021</v>
      </c>
      <c r="E3835" s="4"/>
      <c r="F3835" s="4">
        <v>80</v>
      </c>
      <c r="G3835" s="4">
        <v>15</v>
      </c>
      <c r="H3835" s="4">
        <v>91</v>
      </c>
      <c r="I3835" s="201"/>
      <c r="J3835" s="201"/>
    </row>
    <row r="3836" spans="1:10" s="5" customFormat="1" ht="26.25" hidden="1" customHeight="1" outlineLevel="1" x14ac:dyDescent="0.25">
      <c r="A3836" s="41">
        <v>9585</v>
      </c>
      <c r="B3836" s="4" t="s">
        <v>21</v>
      </c>
      <c r="C3836" s="38" t="s">
        <v>904</v>
      </c>
      <c r="D3836" s="4">
        <v>2021</v>
      </c>
      <c r="E3836" s="4"/>
      <c r="F3836" s="4">
        <v>30</v>
      </c>
      <c r="G3836" s="4">
        <v>100</v>
      </c>
      <c r="H3836" s="4">
        <v>73</v>
      </c>
      <c r="I3836" s="201"/>
      <c r="J3836" s="201"/>
    </row>
    <row r="3837" spans="1:10" s="5" customFormat="1" ht="17.25" customHeight="1" collapsed="1" x14ac:dyDescent="0.25">
      <c r="A3837" s="4"/>
      <c r="B3837" s="324" t="s">
        <v>22</v>
      </c>
      <c r="C3837" s="324" t="s">
        <v>2097</v>
      </c>
      <c r="D3837" s="324"/>
      <c r="E3837" s="319" t="s">
        <v>13</v>
      </c>
      <c r="F3837" s="319"/>
      <c r="G3837" s="319"/>
      <c r="H3837" s="319"/>
      <c r="I3837" s="218"/>
      <c r="J3837" s="218"/>
    </row>
    <row r="3838" spans="1:10" s="5" customFormat="1" ht="17.25" customHeight="1" x14ac:dyDescent="0.25">
      <c r="A3838" s="4"/>
      <c r="B3838" s="340"/>
      <c r="C3838" s="340"/>
      <c r="D3838" s="340"/>
      <c r="E3838" s="328"/>
      <c r="F3838" s="328"/>
      <c r="G3838" s="328"/>
      <c r="H3838" s="328"/>
      <c r="I3838" s="219"/>
      <c r="J3838" s="219"/>
    </row>
    <row r="3839" spans="1:10" s="5" customFormat="1" ht="17.25" customHeight="1" x14ac:dyDescent="0.25">
      <c r="A3839" s="4"/>
      <c r="B3839" s="341"/>
      <c r="C3839" s="341"/>
      <c r="D3839" s="341"/>
      <c r="E3839" s="320"/>
      <c r="F3839" s="320"/>
      <c r="G3839" s="320"/>
      <c r="H3839" s="320"/>
      <c r="I3839" s="219"/>
      <c r="J3839" s="219"/>
    </row>
    <row r="3840" spans="1:10" s="5" customFormat="1" ht="17.25" customHeight="1" x14ac:dyDescent="0.25">
      <c r="A3840" s="4"/>
      <c r="B3840" s="11" t="s">
        <v>22</v>
      </c>
      <c r="C3840" s="12" t="s">
        <v>57</v>
      </c>
      <c r="D3840" s="11">
        <v>2021</v>
      </c>
      <c r="E3840" s="11" t="s">
        <v>13</v>
      </c>
      <c r="F3840" s="33">
        <f>SUMIF($D$3843:$D$3874,$D$3840,$F$3843:$F$3874)</f>
        <v>7339</v>
      </c>
      <c r="G3840" s="34">
        <f>SUMIF($D$3843:$D$3874,$D$3840,$G$3843:$G$3874)</f>
        <v>165</v>
      </c>
      <c r="H3840" s="34">
        <f>SUMIF($D$3843:$D$3874,$D$3840,$H$3843:$H$3874)</f>
        <v>8576.075789999999</v>
      </c>
    </row>
    <row r="3841" spans="1:36" s="26" customFormat="1" ht="17.25" customHeight="1" x14ac:dyDescent="0.25">
      <c r="A3841" s="4"/>
      <c r="B3841" s="11" t="s">
        <v>22</v>
      </c>
      <c r="C3841" s="12" t="s">
        <v>57</v>
      </c>
      <c r="D3841" s="11">
        <v>2022</v>
      </c>
      <c r="E3841" s="11" t="s">
        <v>13</v>
      </c>
      <c r="F3841" s="11">
        <f>SUMIF($D$3843:$D$3874,$D$3841,$F$3843:$F$3874)</f>
        <v>5493</v>
      </c>
      <c r="G3841" s="14">
        <f>SUMIF($D$3843:$D$3874,$D$3841,$G$3843:$G$3874)</f>
        <v>1149</v>
      </c>
      <c r="H3841" s="14">
        <f>SUMIF($D$3843:$D$3874,$D$3841,$H$3843:$H$3874)</f>
        <v>9464.3567000000003</v>
      </c>
      <c r="I3841" s="220"/>
      <c r="J3841" s="220"/>
      <c r="K3841" s="5"/>
      <c r="L3841" s="5"/>
      <c r="M3841" s="5"/>
      <c r="N3841" s="5"/>
      <c r="O3841" s="5"/>
      <c r="P3841" s="5"/>
      <c r="Q3841" s="5"/>
      <c r="R3841" s="5"/>
      <c r="S3841" s="5"/>
      <c r="T3841" s="5"/>
      <c r="U3841" s="5"/>
      <c r="V3841" s="5"/>
      <c r="W3841" s="5"/>
      <c r="X3841" s="5"/>
      <c r="Y3841" s="5"/>
      <c r="Z3841" s="5"/>
      <c r="AA3841" s="5"/>
      <c r="AB3841" s="5"/>
      <c r="AC3841" s="5"/>
      <c r="AD3841" s="5"/>
      <c r="AE3841" s="5"/>
      <c r="AF3841" s="5"/>
      <c r="AG3841" s="5"/>
      <c r="AH3841" s="5"/>
      <c r="AI3841" s="5"/>
      <c r="AJ3841" s="5"/>
    </row>
    <row r="3842" spans="1:36" s="5" customFormat="1" ht="15.75" x14ac:dyDescent="0.25">
      <c r="A3842" s="4"/>
      <c r="B3842" s="11" t="s">
        <v>22</v>
      </c>
      <c r="C3842" s="12" t="s">
        <v>57</v>
      </c>
      <c r="D3842" s="11">
        <v>2023</v>
      </c>
      <c r="E3842" s="11" t="s">
        <v>13</v>
      </c>
      <c r="F3842" s="11">
        <f>SUMIF($D$3843:$D$3874,$D$3842,$F$3843:$F$3874)</f>
        <v>18891</v>
      </c>
      <c r="G3842" s="14">
        <f>SUMIF($D$3843:$D$3874,$D$3842,$G$3843:$G$3874)</f>
        <v>1066</v>
      </c>
      <c r="H3842" s="14">
        <f>SUMIF($D$3843:$D$3874,$D$3842,$H$3843:$H$3874)</f>
        <v>33441.985200000003</v>
      </c>
      <c r="I3842" s="220"/>
      <c r="J3842" s="220"/>
    </row>
    <row r="3843" spans="1:36" s="5" customFormat="1" ht="141.75" hidden="1" outlineLevel="1" x14ac:dyDescent="0.25">
      <c r="A3843" s="4">
        <v>454</v>
      </c>
      <c r="B3843" s="4" t="s">
        <v>22</v>
      </c>
      <c r="C3843" s="38" t="s">
        <v>2905</v>
      </c>
      <c r="D3843" s="4">
        <v>2022</v>
      </c>
      <c r="E3843" s="4" t="s">
        <v>13</v>
      </c>
      <c r="F3843" s="4">
        <v>3214</v>
      </c>
      <c r="G3843" s="4">
        <v>150</v>
      </c>
      <c r="H3843" s="4">
        <v>4509.17</v>
      </c>
      <c r="I3843" s="201"/>
      <c r="J3843" s="201"/>
    </row>
    <row r="3844" spans="1:36" s="5" customFormat="1" ht="126" hidden="1" outlineLevel="1" x14ac:dyDescent="0.25">
      <c r="A3844" s="4">
        <v>457</v>
      </c>
      <c r="B3844" s="4" t="s">
        <v>22</v>
      </c>
      <c r="C3844" s="38" t="s">
        <v>2428</v>
      </c>
      <c r="D3844" s="4">
        <v>2022</v>
      </c>
      <c r="E3844" s="4" t="s">
        <v>13</v>
      </c>
      <c r="F3844" s="4">
        <v>1023</v>
      </c>
      <c r="G3844" s="4">
        <v>15</v>
      </c>
      <c r="H3844" s="4">
        <v>1964.6226999999999</v>
      </c>
      <c r="I3844" s="201"/>
      <c r="J3844" s="201"/>
    </row>
    <row r="3845" spans="1:36" s="5" customFormat="1" ht="126" hidden="1" outlineLevel="1" x14ac:dyDescent="0.25">
      <c r="A3845" s="4">
        <v>5667</v>
      </c>
      <c r="B3845" s="4" t="s">
        <v>22</v>
      </c>
      <c r="C3845" s="38" t="s">
        <v>3114</v>
      </c>
      <c r="D3845" s="4">
        <v>2022</v>
      </c>
      <c r="E3845" s="4" t="s">
        <v>13</v>
      </c>
      <c r="F3845" s="4">
        <v>10</v>
      </c>
      <c r="G3845" s="4">
        <v>150</v>
      </c>
      <c r="H3845" s="4">
        <v>163.13200000000001</v>
      </c>
      <c r="I3845" s="201"/>
      <c r="J3845" s="201"/>
    </row>
    <row r="3846" spans="1:36" s="5" customFormat="1" ht="157.5" hidden="1" outlineLevel="1" x14ac:dyDescent="0.25">
      <c r="A3846" s="4">
        <v>5421</v>
      </c>
      <c r="B3846" s="4" t="s">
        <v>22</v>
      </c>
      <c r="C3846" s="38" t="s">
        <v>2918</v>
      </c>
      <c r="D3846" s="4">
        <v>2022</v>
      </c>
      <c r="E3846" s="4" t="s">
        <v>13</v>
      </c>
      <c r="F3846" s="4">
        <v>10</v>
      </c>
      <c r="G3846" s="4">
        <v>130</v>
      </c>
      <c r="H3846" s="4">
        <v>177.21100000000001</v>
      </c>
      <c r="I3846" s="201"/>
      <c r="J3846" s="201"/>
    </row>
    <row r="3847" spans="1:36" s="5" customFormat="1" ht="189" hidden="1" outlineLevel="1" x14ac:dyDescent="0.25">
      <c r="A3847" s="4">
        <v>5690</v>
      </c>
      <c r="B3847" s="4" t="s">
        <v>22</v>
      </c>
      <c r="C3847" s="38" t="s">
        <v>2508</v>
      </c>
      <c r="D3847" s="4">
        <v>2022</v>
      </c>
      <c r="E3847" s="4" t="s">
        <v>13</v>
      </c>
      <c r="F3847" s="4">
        <v>30</v>
      </c>
      <c r="G3847" s="4">
        <v>10</v>
      </c>
      <c r="H3847" s="4">
        <v>119.614</v>
      </c>
      <c r="I3847" s="201"/>
      <c r="J3847" s="201"/>
    </row>
    <row r="3848" spans="1:36" s="5" customFormat="1" ht="157.5" hidden="1" outlineLevel="1" x14ac:dyDescent="0.25">
      <c r="A3848" s="4">
        <v>5422</v>
      </c>
      <c r="B3848" s="4" t="s">
        <v>22</v>
      </c>
      <c r="C3848" s="38" t="s">
        <v>2517</v>
      </c>
      <c r="D3848" s="4">
        <v>2022</v>
      </c>
      <c r="E3848" s="4" t="s">
        <v>13</v>
      </c>
      <c r="F3848" s="4">
        <v>220</v>
      </c>
      <c r="G3848" s="4">
        <v>25</v>
      </c>
      <c r="H3848" s="4">
        <v>339.99799999999999</v>
      </c>
      <c r="I3848" s="201"/>
      <c r="J3848" s="201"/>
    </row>
    <row r="3849" spans="1:36" s="5" customFormat="1" ht="141.75" hidden="1" outlineLevel="1" x14ac:dyDescent="0.25">
      <c r="A3849" s="4">
        <v>5834</v>
      </c>
      <c r="B3849" s="4" t="s">
        <v>22</v>
      </c>
      <c r="C3849" s="38" t="s">
        <v>2540</v>
      </c>
      <c r="D3849" s="4">
        <v>2022</v>
      </c>
      <c r="E3849" s="4" t="s">
        <v>13</v>
      </c>
      <c r="F3849" s="4">
        <v>10</v>
      </c>
      <c r="G3849" s="4">
        <v>100</v>
      </c>
      <c r="H3849" s="4">
        <v>92.194999999999993</v>
      </c>
      <c r="I3849" s="201"/>
      <c r="J3849" s="201"/>
    </row>
    <row r="3850" spans="1:36" s="5" customFormat="1" ht="157.5" hidden="1" outlineLevel="1" x14ac:dyDescent="0.25">
      <c r="A3850" s="4">
        <v>5420</v>
      </c>
      <c r="B3850" s="4" t="s">
        <v>22</v>
      </c>
      <c r="C3850" s="38" t="s">
        <v>2541</v>
      </c>
      <c r="D3850" s="4">
        <v>2022</v>
      </c>
      <c r="E3850" s="4" t="s">
        <v>13</v>
      </c>
      <c r="F3850" s="4">
        <v>250</v>
      </c>
      <c r="G3850" s="4">
        <v>30</v>
      </c>
      <c r="H3850" s="4">
        <v>371.48</v>
      </c>
      <c r="I3850" s="201"/>
      <c r="J3850" s="201"/>
    </row>
    <row r="3851" spans="1:36" s="5" customFormat="1" ht="157.5" hidden="1" outlineLevel="1" x14ac:dyDescent="0.25">
      <c r="A3851" s="4">
        <v>5436</v>
      </c>
      <c r="B3851" s="4" t="s">
        <v>22</v>
      </c>
      <c r="C3851" s="38" t="s">
        <v>2549</v>
      </c>
      <c r="D3851" s="4">
        <v>2022</v>
      </c>
      <c r="E3851" s="4" t="s">
        <v>13</v>
      </c>
      <c r="F3851" s="4">
        <v>220</v>
      </c>
      <c r="G3851" s="4">
        <v>15</v>
      </c>
      <c r="H3851" s="4">
        <v>335.39699999999999</v>
      </c>
      <c r="I3851" s="201"/>
      <c r="J3851" s="201"/>
    </row>
    <row r="3852" spans="1:36" s="5" customFormat="1" ht="126" hidden="1" outlineLevel="1" x14ac:dyDescent="0.25">
      <c r="A3852" s="4">
        <v>5418</v>
      </c>
      <c r="B3852" s="4" t="s">
        <v>22</v>
      </c>
      <c r="C3852" s="38" t="s">
        <v>3115</v>
      </c>
      <c r="D3852" s="4">
        <v>2022</v>
      </c>
      <c r="E3852" s="4" t="s">
        <v>13</v>
      </c>
      <c r="F3852" s="4">
        <v>100</v>
      </c>
      <c r="G3852" s="4">
        <v>287</v>
      </c>
      <c r="H3852" s="4">
        <v>234</v>
      </c>
      <c r="I3852" s="201"/>
      <c r="J3852" s="201"/>
    </row>
    <row r="3853" spans="1:36" s="5" customFormat="1" ht="157.5" hidden="1" outlineLevel="1" x14ac:dyDescent="0.25">
      <c r="A3853" s="4">
        <v>5767</v>
      </c>
      <c r="B3853" s="4" t="s">
        <v>22</v>
      </c>
      <c r="C3853" s="38" t="s">
        <v>2559</v>
      </c>
      <c r="D3853" s="4">
        <v>2022</v>
      </c>
      <c r="E3853" s="4" t="s">
        <v>13</v>
      </c>
      <c r="F3853" s="4">
        <v>7</v>
      </c>
      <c r="G3853" s="4">
        <v>15</v>
      </c>
      <c r="H3853" s="4">
        <v>111.551</v>
      </c>
      <c r="I3853" s="201"/>
      <c r="J3853" s="201"/>
    </row>
    <row r="3854" spans="1:36" s="5" customFormat="1" ht="173.25" hidden="1" outlineLevel="1" x14ac:dyDescent="0.25">
      <c r="A3854" s="4">
        <v>5768</v>
      </c>
      <c r="B3854" s="4" t="s">
        <v>22</v>
      </c>
      <c r="C3854" s="38" t="s">
        <v>2560</v>
      </c>
      <c r="D3854" s="4">
        <v>2022</v>
      </c>
      <c r="E3854" s="4" t="s">
        <v>13</v>
      </c>
      <c r="F3854" s="4">
        <v>170</v>
      </c>
      <c r="G3854" s="4">
        <v>62</v>
      </c>
      <c r="H3854" s="4">
        <v>297.98599999999999</v>
      </c>
      <c r="I3854" s="201"/>
      <c r="J3854" s="201"/>
    </row>
    <row r="3855" spans="1:36" s="5" customFormat="1" ht="79.5" hidden="1" customHeight="1" outlineLevel="1" x14ac:dyDescent="0.25">
      <c r="A3855" s="4">
        <v>430</v>
      </c>
      <c r="B3855" s="4" t="s">
        <v>22</v>
      </c>
      <c r="C3855" s="38" t="s">
        <v>2718</v>
      </c>
      <c r="D3855" s="4">
        <v>2022</v>
      </c>
      <c r="E3855" s="4" t="s">
        <v>13</v>
      </c>
      <c r="F3855" s="4">
        <v>229</v>
      </c>
      <c r="G3855" s="4">
        <v>160</v>
      </c>
      <c r="H3855" s="4">
        <v>748</v>
      </c>
      <c r="I3855" s="201"/>
      <c r="J3855" s="201"/>
    </row>
    <row r="3856" spans="1:36" s="5" customFormat="1" ht="126" hidden="1" outlineLevel="1" x14ac:dyDescent="0.25">
      <c r="A3856" s="4">
        <v>5510</v>
      </c>
      <c r="B3856" s="4" t="s">
        <v>22</v>
      </c>
      <c r="C3856" s="38" t="s">
        <v>8636</v>
      </c>
      <c r="D3856" s="4">
        <v>2023</v>
      </c>
      <c r="E3856" s="4" t="s">
        <v>29</v>
      </c>
      <c r="F3856" s="4">
        <v>28</v>
      </c>
      <c r="G3856" s="41">
        <v>15</v>
      </c>
      <c r="H3856" s="41">
        <v>150</v>
      </c>
      <c r="I3856" s="221"/>
      <c r="J3856" s="221"/>
    </row>
    <row r="3857" spans="1:10" s="5" customFormat="1" ht="141.75" hidden="1" outlineLevel="1" x14ac:dyDescent="0.25">
      <c r="A3857" s="4">
        <v>621</v>
      </c>
      <c r="B3857" s="4" t="s">
        <v>22</v>
      </c>
      <c r="C3857" s="38" t="s">
        <v>9161</v>
      </c>
      <c r="D3857" s="4">
        <v>2023</v>
      </c>
      <c r="E3857" s="4" t="s">
        <v>13</v>
      </c>
      <c r="F3857" s="4">
        <v>15</v>
      </c>
      <c r="G3857" s="41">
        <v>382</v>
      </c>
      <c r="H3857" s="41">
        <v>1697.4291800000001</v>
      </c>
      <c r="I3857" s="221"/>
      <c r="J3857" s="221"/>
    </row>
    <row r="3858" spans="1:10" s="5" customFormat="1" ht="126" hidden="1" outlineLevel="1" x14ac:dyDescent="0.25">
      <c r="A3858" s="4">
        <v>3221</v>
      </c>
      <c r="B3858" s="4" t="s">
        <v>22</v>
      </c>
      <c r="C3858" s="38" t="s">
        <v>8774</v>
      </c>
      <c r="D3858" s="4">
        <v>2023</v>
      </c>
      <c r="E3858" s="4" t="s">
        <v>13</v>
      </c>
      <c r="F3858" s="4">
        <v>4900</v>
      </c>
      <c r="G3858" s="41">
        <v>15</v>
      </c>
      <c r="H3858" s="41">
        <v>6068.7565500000001</v>
      </c>
      <c r="I3858" s="221"/>
      <c r="J3858" s="221"/>
    </row>
    <row r="3859" spans="1:10" s="5" customFormat="1" ht="110.25" hidden="1" outlineLevel="1" x14ac:dyDescent="0.25">
      <c r="A3859" s="4">
        <v>1038</v>
      </c>
      <c r="B3859" s="4" t="s">
        <v>22</v>
      </c>
      <c r="C3859" s="38" t="s">
        <v>8775</v>
      </c>
      <c r="D3859" s="4">
        <v>2023</v>
      </c>
      <c r="E3859" s="4" t="s">
        <v>13</v>
      </c>
      <c r="F3859" s="4">
        <v>140</v>
      </c>
      <c r="G3859" s="41">
        <v>15</v>
      </c>
      <c r="H3859" s="41">
        <v>235.28413</v>
      </c>
      <c r="I3859" s="221"/>
      <c r="J3859" s="221"/>
    </row>
    <row r="3860" spans="1:10" s="5" customFormat="1" ht="63.75" hidden="1" customHeight="1" outlineLevel="1" x14ac:dyDescent="0.25">
      <c r="A3860" s="4">
        <v>613</v>
      </c>
      <c r="B3860" s="4" t="s">
        <v>22</v>
      </c>
      <c r="C3860" s="38" t="s">
        <v>8776</v>
      </c>
      <c r="D3860" s="4">
        <v>2023</v>
      </c>
      <c r="E3860" s="4" t="s">
        <v>13</v>
      </c>
      <c r="F3860" s="4">
        <v>15</v>
      </c>
      <c r="G3860" s="41">
        <v>15</v>
      </c>
      <c r="H3860" s="41">
        <v>160.54944</v>
      </c>
      <c r="I3860" s="221"/>
      <c r="J3860" s="221"/>
    </row>
    <row r="3861" spans="1:10" s="5" customFormat="1" ht="141.75" hidden="1" outlineLevel="1" x14ac:dyDescent="0.25">
      <c r="A3861" s="4">
        <v>692</v>
      </c>
      <c r="B3861" s="4" t="s">
        <v>22</v>
      </c>
      <c r="C3861" s="38" t="s">
        <v>8779</v>
      </c>
      <c r="D3861" s="4">
        <v>2023</v>
      </c>
      <c r="E3861" s="4" t="s">
        <v>13</v>
      </c>
      <c r="F3861" s="4">
        <v>269</v>
      </c>
      <c r="G3861" s="41">
        <v>10</v>
      </c>
      <c r="H3861" s="41">
        <v>551.15093000000002</v>
      </c>
      <c r="I3861" s="221"/>
      <c r="J3861" s="221"/>
    </row>
    <row r="3862" spans="1:10" s="5" customFormat="1" ht="126" hidden="1" outlineLevel="1" x14ac:dyDescent="0.25">
      <c r="A3862" s="4">
        <v>3126</v>
      </c>
      <c r="B3862" s="4" t="s">
        <v>22</v>
      </c>
      <c r="C3862" s="38" t="s">
        <v>9354</v>
      </c>
      <c r="D3862" s="4">
        <v>2023</v>
      </c>
      <c r="E3862" s="4" t="s">
        <v>13</v>
      </c>
      <c r="F3862" s="4">
        <v>5</v>
      </c>
      <c r="G3862" s="41">
        <v>72</v>
      </c>
      <c r="H3862" s="41">
        <v>68.182990000000004</v>
      </c>
      <c r="I3862" s="221"/>
      <c r="J3862" s="221"/>
    </row>
    <row r="3863" spans="1:10" s="5" customFormat="1" ht="157.5" hidden="1" outlineLevel="1" x14ac:dyDescent="0.25">
      <c r="A3863" s="4">
        <v>3281</v>
      </c>
      <c r="B3863" s="4" t="s">
        <v>22</v>
      </c>
      <c r="C3863" s="38" t="s">
        <v>8784</v>
      </c>
      <c r="D3863" s="4">
        <v>2023</v>
      </c>
      <c r="E3863" s="4" t="s">
        <v>13</v>
      </c>
      <c r="F3863" s="4">
        <v>150</v>
      </c>
      <c r="G3863" s="41">
        <v>7</v>
      </c>
      <c r="H3863" s="41">
        <v>184.18178</v>
      </c>
      <c r="I3863" s="221"/>
      <c r="J3863" s="221"/>
    </row>
    <row r="3864" spans="1:10" s="5" customFormat="1" ht="126" hidden="1" outlineLevel="1" x14ac:dyDescent="0.25">
      <c r="A3864" s="4">
        <v>975</v>
      </c>
      <c r="B3864" s="4" t="s">
        <v>22</v>
      </c>
      <c r="C3864" s="38" t="s">
        <v>8786</v>
      </c>
      <c r="D3864" s="4">
        <v>2023</v>
      </c>
      <c r="E3864" s="4" t="s">
        <v>13</v>
      </c>
      <c r="F3864" s="4">
        <v>10</v>
      </c>
      <c r="G3864" s="41">
        <v>15</v>
      </c>
      <c r="H3864" s="41">
        <v>112.06084</v>
      </c>
      <c r="I3864" s="221"/>
      <c r="J3864" s="221"/>
    </row>
    <row r="3865" spans="1:10" s="5" customFormat="1" ht="173.25" hidden="1" outlineLevel="1" x14ac:dyDescent="0.25">
      <c r="A3865" s="4">
        <v>3015</v>
      </c>
      <c r="B3865" s="4" t="s">
        <v>22</v>
      </c>
      <c r="C3865" s="38" t="s">
        <v>8787</v>
      </c>
      <c r="D3865" s="4">
        <v>2023</v>
      </c>
      <c r="E3865" s="4" t="s">
        <v>13</v>
      </c>
      <c r="F3865" s="4">
        <v>3804</v>
      </c>
      <c r="G3865" s="41">
        <v>30</v>
      </c>
      <c r="H3865" s="41">
        <v>6897.4299600000004</v>
      </c>
      <c r="I3865" s="221"/>
      <c r="J3865" s="221"/>
    </row>
    <row r="3866" spans="1:10" s="5" customFormat="1" ht="141.75" hidden="1" outlineLevel="1" x14ac:dyDescent="0.25">
      <c r="A3866" s="4">
        <v>3170</v>
      </c>
      <c r="B3866" s="4" t="s">
        <v>22</v>
      </c>
      <c r="C3866" s="38" t="s">
        <v>9173</v>
      </c>
      <c r="D3866" s="4">
        <v>2023</v>
      </c>
      <c r="E3866" s="4" t="s">
        <v>13</v>
      </c>
      <c r="F3866" s="4">
        <v>2380</v>
      </c>
      <c r="G3866" s="41">
        <v>45</v>
      </c>
      <c r="H3866" s="41">
        <v>4967.91</v>
      </c>
      <c r="I3866" s="221"/>
      <c r="J3866" s="221"/>
    </row>
    <row r="3867" spans="1:10" s="5" customFormat="1" ht="126" hidden="1" outlineLevel="1" x14ac:dyDescent="0.25">
      <c r="A3867" s="4">
        <v>3191</v>
      </c>
      <c r="B3867" s="4" t="s">
        <v>22</v>
      </c>
      <c r="C3867" s="38" t="s">
        <v>9176</v>
      </c>
      <c r="D3867" s="4">
        <v>2023</v>
      </c>
      <c r="E3867" s="4" t="s">
        <v>13</v>
      </c>
      <c r="F3867" s="4">
        <v>1116</v>
      </c>
      <c r="G3867" s="41">
        <v>15</v>
      </c>
      <c r="H3867" s="41">
        <v>1789.15362</v>
      </c>
      <c r="I3867" s="221"/>
      <c r="J3867" s="221"/>
    </row>
    <row r="3868" spans="1:10" s="5" customFormat="1" ht="157.5" hidden="1" outlineLevel="1" x14ac:dyDescent="0.25">
      <c r="A3868" s="4">
        <v>4992</v>
      </c>
      <c r="B3868" s="4" t="s">
        <v>22</v>
      </c>
      <c r="C3868" s="38" t="s">
        <v>8788</v>
      </c>
      <c r="D3868" s="4">
        <v>2023</v>
      </c>
      <c r="E3868" s="4" t="s">
        <v>13</v>
      </c>
      <c r="F3868" s="4">
        <v>3355</v>
      </c>
      <c r="G3868" s="41">
        <v>30</v>
      </c>
      <c r="H3868" s="41">
        <v>5840.6496699999998</v>
      </c>
      <c r="I3868" s="221"/>
      <c r="J3868" s="221"/>
    </row>
    <row r="3869" spans="1:10" s="5" customFormat="1" ht="157.5" hidden="1" outlineLevel="1" x14ac:dyDescent="0.25">
      <c r="A3869" s="4">
        <v>4993</v>
      </c>
      <c r="B3869" s="4" t="s">
        <v>22</v>
      </c>
      <c r="C3869" s="38" t="s">
        <v>9179</v>
      </c>
      <c r="D3869" s="4">
        <v>2023</v>
      </c>
      <c r="E3869" s="4" t="s">
        <v>13</v>
      </c>
      <c r="F3869" s="4">
        <v>535</v>
      </c>
      <c r="G3869" s="41">
        <v>95</v>
      </c>
      <c r="H3869" s="41">
        <v>852.69032000000004</v>
      </c>
      <c r="I3869" s="221"/>
      <c r="J3869" s="221"/>
    </row>
    <row r="3870" spans="1:10" s="5" customFormat="1" ht="126" hidden="1" outlineLevel="1" x14ac:dyDescent="0.25">
      <c r="A3870" s="4">
        <v>4994</v>
      </c>
      <c r="B3870" s="4" t="s">
        <v>22</v>
      </c>
      <c r="C3870" s="38" t="s">
        <v>8790</v>
      </c>
      <c r="D3870" s="4">
        <v>2023</v>
      </c>
      <c r="E3870" s="4" t="s">
        <v>13</v>
      </c>
      <c r="F3870" s="4">
        <v>14</v>
      </c>
      <c r="G3870" s="41">
        <v>150</v>
      </c>
      <c r="H3870" s="41">
        <v>170.85103000000001</v>
      </c>
      <c r="I3870" s="221"/>
      <c r="J3870" s="221"/>
    </row>
    <row r="3871" spans="1:10" s="5" customFormat="1" ht="157.5" hidden="1" outlineLevel="1" x14ac:dyDescent="0.25">
      <c r="A3871" s="4">
        <v>1769</v>
      </c>
      <c r="B3871" s="4" t="s">
        <v>22</v>
      </c>
      <c r="C3871" s="38" t="s">
        <v>8791</v>
      </c>
      <c r="D3871" s="4">
        <v>2023</v>
      </c>
      <c r="E3871" s="4" t="s">
        <v>13</v>
      </c>
      <c r="F3871" s="4">
        <v>138</v>
      </c>
      <c r="G3871" s="41">
        <v>5</v>
      </c>
      <c r="H3871" s="41">
        <v>414.99522999999999</v>
      </c>
      <c r="I3871" s="221"/>
      <c r="J3871" s="221"/>
    </row>
    <row r="3872" spans="1:10" s="5" customFormat="1" ht="126" hidden="1" outlineLevel="1" x14ac:dyDescent="0.25">
      <c r="A3872" s="4">
        <v>3030</v>
      </c>
      <c r="B3872" s="4" t="s">
        <v>22</v>
      </c>
      <c r="C3872" s="38" t="s">
        <v>9180</v>
      </c>
      <c r="D3872" s="4">
        <v>2023</v>
      </c>
      <c r="E3872" s="4" t="s">
        <v>13</v>
      </c>
      <c r="F3872" s="4">
        <v>2017</v>
      </c>
      <c r="G3872" s="41">
        <v>150</v>
      </c>
      <c r="H3872" s="41">
        <v>3280.7095300000001</v>
      </c>
      <c r="I3872" s="221"/>
      <c r="J3872" s="221"/>
    </row>
    <row r="3873" spans="1:36" s="5" customFormat="1" ht="30" hidden="1" customHeight="1" outlineLevel="1" x14ac:dyDescent="0.25">
      <c r="A3873" s="42">
        <v>1190</v>
      </c>
      <c r="B3873" s="4" t="s">
        <v>22</v>
      </c>
      <c r="C3873" s="38" t="s">
        <v>207</v>
      </c>
      <c r="D3873" s="4">
        <v>2021</v>
      </c>
      <c r="E3873" s="4"/>
      <c r="F3873" s="4">
        <v>6873</v>
      </c>
      <c r="G3873" s="4">
        <v>150</v>
      </c>
      <c r="H3873" s="4">
        <v>7631.8903399999999</v>
      </c>
      <c r="I3873" s="201"/>
      <c r="J3873" s="201"/>
    </row>
    <row r="3874" spans="1:36" s="5" customFormat="1" ht="30" hidden="1" customHeight="1" outlineLevel="1" x14ac:dyDescent="0.25">
      <c r="A3874" s="41">
        <v>9486</v>
      </c>
      <c r="B3874" s="4" t="s">
        <v>22</v>
      </c>
      <c r="C3874" s="61" t="s">
        <v>664</v>
      </c>
      <c r="D3874" s="4">
        <v>2021</v>
      </c>
      <c r="E3874" s="4"/>
      <c r="F3874" s="4">
        <v>466</v>
      </c>
      <c r="G3874" s="4">
        <v>15</v>
      </c>
      <c r="H3874" s="4">
        <v>944.18544999999995</v>
      </c>
      <c r="I3874" s="201"/>
      <c r="J3874" s="201"/>
    </row>
    <row r="3875" spans="1:36" s="5" customFormat="1" ht="30" customHeight="1" collapsed="1" x14ac:dyDescent="0.25">
      <c r="A3875" s="148"/>
      <c r="B3875" s="321" t="s">
        <v>48</v>
      </c>
      <c r="C3875" s="329" t="s">
        <v>2098</v>
      </c>
      <c r="D3875" s="329"/>
      <c r="E3875" s="321" t="s">
        <v>13632</v>
      </c>
      <c r="F3875" s="321"/>
      <c r="G3875" s="321"/>
      <c r="H3875" s="321"/>
      <c r="I3875" s="214"/>
      <c r="J3875" s="214"/>
    </row>
    <row r="3876" spans="1:36" s="5" customFormat="1" ht="30" customHeight="1" x14ac:dyDescent="0.25">
      <c r="A3876" s="148"/>
      <c r="B3876" s="322"/>
      <c r="C3876" s="350"/>
      <c r="D3876" s="350"/>
      <c r="E3876" s="322"/>
      <c r="F3876" s="322"/>
      <c r="G3876" s="322"/>
      <c r="H3876" s="322"/>
      <c r="I3876" s="215"/>
      <c r="J3876" s="215"/>
    </row>
    <row r="3877" spans="1:36" s="5" customFormat="1" ht="30" customHeight="1" x14ac:dyDescent="0.25">
      <c r="A3877" s="148"/>
      <c r="B3877" s="7" t="s">
        <v>48</v>
      </c>
      <c r="C3877" s="8" t="s">
        <v>13634</v>
      </c>
      <c r="D3877" s="194" t="s">
        <v>13631</v>
      </c>
      <c r="E3877" s="7" t="s">
        <v>13632</v>
      </c>
      <c r="F3877" s="7">
        <v>1000</v>
      </c>
      <c r="G3877" s="7"/>
      <c r="H3877" s="150">
        <v>8295.4742000000006</v>
      </c>
      <c r="I3877" s="223"/>
      <c r="J3877" s="223"/>
    </row>
    <row r="3878" spans="1:36" s="5" customFormat="1" ht="30" hidden="1" customHeight="1" x14ac:dyDescent="0.25">
      <c r="A3878" s="148"/>
      <c r="B3878" s="123"/>
      <c r="C3878" s="149"/>
      <c r="D3878" s="123"/>
      <c r="E3878" s="123"/>
      <c r="F3878" s="123"/>
      <c r="G3878" s="123"/>
      <c r="H3878" s="123"/>
      <c r="I3878" s="201"/>
      <c r="J3878" s="201"/>
    </row>
    <row r="3879" spans="1:36" s="5" customFormat="1" ht="23.25" customHeight="1" x14ac:dyDescent="0.25">
      <c r="A3879" s="6"/>
      <c r="B3879" s="321" t="s">
        <v>48</v>
      </c>
      <c r="C3879" s="329" t="s">
        <v>2098</v>
      </c>
      <c r="D3879" s="329"/>
      <c r="E3879" s="321" t="s">
        <v>47</v>
      </c>
      <c r="F3879" s="321"/>
      <c r="G3879" s="321"/>
      <c r="H3879" s="321"/>
      <c r="I3879" s="214"/>
      <c r="J3879" s="214"/>
    </row>
    <row r="3880" spans="1:36" s="5" customFormat="1" ht="30.75" customHeight="1" x14ac:dyDescent="0.25">
      <c r="A3880" s="172"/>
      <c r="B3880" s="322"/>
      <c r="C3880" s="350"/>
      <c r="D3880" s="350"/>
      <c r="E3880" s="322"/>
      <c r="F3880" s="322"/>
      <c r="G3880" s="322"/>
      <c r="H3880" s="322"/>
      <c r="I3880" s="215"/>
      <c r="J3880" s="215"/>
    </row>
    <row r="3881" spans="1:36" s="9" customFormat="1" ht="17.25" customHeight="1" x14ac:dyDescent="0.25">
      <c r="A3881" s="172"/>
      <c r="B3881" s="7" t="s">
        <v>48</v>
      </c>
      <c r="C3881" s="8" t="s">
        <v>57</v>
      </c>
      <c r="D3881" s="7">
        <v>2021</v>
      </c>
      <c r="E3881" s="7" t="s">
        <v>47</v>
      </c>
      <c r="F3881" s="7">
        <f>SUMIF($D$3887:$D$3889,$D$3881,$F$3887:$F$3889)</f>
        <v>13036</v>
      </c>
      <c r="G3881" s="7">
        <f>SUMIF($D$3887:$D$3889,$D$3881,$G$3887:$G$3889)</f>
        <v>198799</v>
      </c>
      <c r="H3881" s="10">
        <f>SUMIF($D$3887:$D$3889,$D$3881,$H$3887:$H$3889)</f>
        <v>160594.58982319999</v>
      </c>
      <c r="I3881" s="205"/>
      <c r="J3881" s="205"/>
      <c r="K3881" s="5"/>
      <c r="L3881" s="5"/>
      <c r="M3881" s="5"/>
      <c r="N3881" s="5"/>
      <c r="O3881" s="5"/>
      <c r="P3881" s="5"/>
      <c r="Q3881" s="5"/>
      <c r="R3881" s="5"/>
      <c r="S3881" s="5"/>
      <c r="T3881" s="5"/>
      <c r="U3881" s="5"/>
      <c r="V3881" s="5"/>
      <c r="W3881" s="5"/>
      <c r="X3881" s="5"/>
      <c r="Y3881" s="5"/>
      <c r="Z3881" s="5"/>
      <c r="AA3881" s="5"/>
      <c r="AB3881" s="5"/>
      <c r="AC3881" s="5"/>
      <c r="AD3881" s="5"/>
      <c r="AE3881" s="5"/>
      <c r="AF3881" s="5"/>
      <c r="AG3881" s="5"/>
      <c r="AH3881" s="5"/>
      <c r="AI3881" s="5"/>
      <c r="AJ3881" s="5"/>
    </row>
    <row r="3882" spans="1:36" s="26" customFormat="1" ht="17.25" customHeight="1" x14ac:dyDescent="0.25">
      <c r="A3882" s="172"/>
      <c r="B3882" s="7" t="s">
        <v>48</v>
      </c>
      <c r="C3882" s="8" t="s">
        <v>57</v>
      </c>
      <c r="D3882" s="7">
        <v>2022</v>
      </c>
      <c r="E3882" s="7" t="s">
        <v>47</v>
      </c>
      <c r="F3882" s="7">
        <f>SUMIF($D$3887:$D$3889,$D$3882,$F$3887:$F$3889)</f>
        <v>0</v>
      </c>
      <c r="G3882" s="7">
        <f>SUMIF($D$3887:$D$3889,$D$3882,$G$3887:$G$3889)</f>
        <v>0</v>
      </c>
      <c r="H3882" s="10">
        <f>SUMIF($D$3887:$D$3889,$D$3882,$H$3887:$H$3889)</f>
        <v>0</v>
      </c>
      <c r="I3882" s="205"/>
      <c r="J3882" s="205"/>
      <c r="K3882" s="5"/>
      <c r="L3882" s="5"/>
      <c r="M3882" s="5"/>
      <c r="N3882" s="5"/>
      <c r="O3882" s="5"/>
      <c r="P3882" s="5"/>
      <c r="Q3882" s="5"/>
      <c r="R3882" s="5"/>
      <c r="S3882" s="5"/>
      <c r="T3882" s="5"/>
      <c r="U3882" s="5"/>
      <c r="V3882" s="5"/>
      <c r="W3882" s="5"/>
      <c r="X3882" s="5"/>
      <c r="Y3882" s="5"/>
      <c r="Z3882" s="5"/>
      <c r="AA3882" s="5"/>
      <c r="AB3882" s="5"/>
      <c r="AC3882" s="5"/>
      <c r="AD3882" s="5"/>
      <c r="AE3882" s="5"/>
      <c r="AF3882" s="5"/>
      <c r="AG3882" s="5"/>
      <c r="AH3882" s="5"/>
      <c r="AI3882" s="5"/>
      <c r="AJ3882" s="5"/>
    </row>
    <row r="3883" spans="1:36" s="26" customFormat="1" ht="15.75" x14ac:dyDescent="0.25">
      <c r="A3883" s="172"/>
      <c r="B3883" s="7" t="s">
        <v>48</v>
      </c>
      <c r="C3883" s="8" t="s">
        <v>57</v>
      </c>
      <c r="D3883" s="7">
        <v>2023</v>
      </c>
      <c r="E3883" s="7" t="s">
        <v>47</v>
      </c>
      <c r="F3883" s="7">
        <f>SUMIF($D$3884:$D$3888,$D$3883,$F$3884:$F$3888)</f>
        <v>0</v>
      </c>
      <c r="G3883" s="7">
        <f>SUMIF($D$3884:$D$3888,$D$3883,$G$3884:$G$3888)</f>
        <v>0</v>
      </c>
      <c r="H3883" s="10">
        <f>SUMIF($D$3884:$D$3888,$D$3883,$H$3884:$H$3888)</f>
        <v>0</v>
      </c>
      <c r="I3883" s="205"/>
      <c r="J3883" s="205"/>
      <c r="K3883" s="5"/>
      <c r="L3883" s="5"/>
      <c r="M3883" s="5"/>
      <c r="N3883" s="5"/>
      <c r="O3883" s="5"/>
      <c r="P3883" s="5"/>
      <c r="Q3883" s="5"/>
      <c r="R3883" s="5"/>
      <c r="S3883" s="5"/>
      <c r="T3883" s="5"/>
      <c r="U3883" s="5"/>
      <c r="V3883" s="5"/>
      <c r="W3883" s="5"/>
      <c r="X3883" s="5"/>
      <c r="Y3883" s="5"/>
      <c r="Z3883" s="5"/>
      <c r="AA3883" s="5"/>
      <c r="AB3883" s="5"/>
      <c r="AC3883" s="5"/>
      <c r="AD3883" s="5"/>
      <c r="AE3883" s="5"/>
      <c r="AF3883" s="5"/>
      <c r="AG3883" s="5"/>
      <c r="AH3883" s="5"/>
      <c r="AI3883" s="5"/>
      <c r="AJ3883" s="5"/>
    </row>
    <row r="3884" spans="1:36" s="5" customFormat="1" ht="17.25" hidden="1" customHeight="1" outlineLevel="1" x14ac:dyDescent="0.25">
      <c r="A3884" s="4"/>
      <c r="B3884" s="4"/>
      <c r="C3884" s="38"/>
      <c r="D3884" s="4">
        <v>2022</v>
      </c>
      <c r="E3884" s="4" t="s">
        <v>47</v>
      </c>
      <c r="F3884" s="4">
        <v>0</v>
      </c>
      <c r="G3884" s="4"/>
      <c r="H3884" s="41"/>
      <c r="I3884" s="221"/>
      <c r="J3884" s="221"/>
    </row>
    <row r="3885" spans="1:36" s="5" customFormat="1" ht="17.25" hidden="1" customHeight="1" outlineLevel="1" x14ac:dyDescent="0.25">
      <c r="A3885" s="4"/>
      <c r="B3885" s="4"/>
      <c r="C3885" s="38"/>
      <c r="D3885" s="4">
        <v>2022</v>
      </c>
      <c r="E3885" s="4" t="s">
        <v>47</v>
      </c>
      <c r="F3885" s="4">
        <v>0</v>
      </c>
      <c r="G3885" s="4"/>
      <c r="H3885" s="41"/>
      <c r="I3885" s="221"/>
      <c r="J3885" s="221"/>
    </row>
    <row r="3886" spans="1:36" s="5" customFormat="1" ht="17.25" hidden="1" customHeight="1" outlineLevel="1" x14ac:dyDescent="0.25">
      <c r="A3886" s="4"/>
      <c r="B3886" s="4"/>
      <c r="C3886" s="38"/>
      <c r="D3886" s="4">
        <v>2023</v>
      </c>
      <c r="E3886" s="4" t="s">
        <v>47</v>
      </c>
      <c r="F3886" s="4">
        <v>0</v>
      </c>
      <c r="G3886" s="4"/>
      <c r="H3886" s="41"/>
      <c r="I3886" s="221"/>
      <c r="J3886" s="221"/>
    </row>
    <row r="3887" spans="1:36" s="9" customFormat="1" ht="47.25" hidden="1" outlineLevel="1" x14ac:dyDescent="0.25">
      <c r="A3887" s="4">
        <v>1730</v>
      </c>
      <c r="B3887" s="4" t="s">
        <v>48</v>
      </c>
      <c r="C3887" s="38" t="s">
        <v>13635</v>
      </c>
      <c r="D3887" s="4">
        <v>2021</v>
      </c>
      <c r="E3887" s="4" t="s">
        <v>47</v>
      </c>
      <c r="F3887" s="4">
        <v>1665</v>
      </c>
      <c r="G3887" s="4">
        <v>98800</v>
      </c>
      <c r="H3887" s="41">
        <f>18248.5852*1.066</f>
        <v>19452.991823200002</v>
      </c>
      <c r="I3887" s="221"/>
      <c r="J3887" s="221"/>
      <c r="K3887" s="5"/>
      <c r="L3887" s="5"/>
      <c r="M3887" s="5"/>
      <c r="N3887" s="5"/>
      <c r="O3887" s="5"/>
      <c r="P3887" s="5"/>
      <c r="Q3887" s="5"/>
      <c r="R3887" s="5"/>
      <c r="S3887" s="5"/>
      <c r="T3887" s="5"/>
      <c r="U3887" s="5"/>
      <c r="V3887" s="5"/>
      <c r="W3887" s="5"/>
      <c r="X3887" s="5"/>
      <c r="Y3887" s="5"/>
      <c r="Z3887" s="5"/>
      <c r="AA3887" s="5"/>
      <c r="AB3887" s="5"/>
      <c r="AC3887" s="5"/>
      <c r="AD3887" s="5"/>
      <c r="AE3887" s="5"/>
      <c r="AF3887" s="5"/>
      <c r="AG3887" s="5"/>
      <c r="AH3887" s="5"/>
      <c r="AI3887" s="5"/>
      <c r="AJ3887" s="5"/>
    </row>
    <row r="3888" spans="1:36" s="9" customFormat="1" ht="63" hidden="1" outlineLevel="1" x14ac:dyDescent="0.25">
      <c r="A3888" s="4">
        <v>1726</v>
      </c>
      <c r="B3888" s="4" t="s">
        <v>48</v>
      </c>
      <c r="C3888" s="38" t="s">
        <v>13636</v>
      </c>
      <c r="D3888" s="4">
        <v>2021</v>
      </c>
      <c r="E3888" s="4" t="s">
        <v>47</v>
      </c>
      <c r="F3888" s="4">
        <v>11371</v>
      </c>
      <c r="G3888" s="4">
        <v>99999</v>
      </c>
      <c r="H3888" s="41">
        <f>132403*1.066</f>
        <v>141141.598</v>
      </c>
      <c r="I3888" s="221"/>
      <c r="J3888" s="221"/>
      <c r="K3888" s="5"/>
      <c r="L3888" s="5"/>
      <c r="M3888" s="5"/>
      <c r="N3888" s="5"/>
      <c r="O3888" s="5"/>
      <c r="P3888" s="5"/>
      <c r="Q3888" s="5"/>
      <c r="R3888" s="5"/>
      <c r="S3888" s="5"/>
      <c r="T3888" s="5"/>
      <c r="U3888" s="5"/>
      <c r="V3888" s="5"/>
      <c r="W3888" s="5"/>
      <c r="X3888" s="5"/>
      <c r="Y3888" s="5"/>
      <c r="Z3888" s="5"/>
      <c r="AA3888" s="5"/>
      <c r="AB3888" s="5"/>
      <c r="AC3888" s="5"/>
      <c r="AD3888" s="5"/>
      <c r="AE3888" s="5"/>
      <c r="AF3888" s="5"/>
      <c r="AG3888" s="5"/>
      <c r="AH3888" s="5"/>
      <c r="AI3888" s="5"/>
      <c r="AJ3888" s="5"/>
    </row>
    <row r="3889" spans="1:36" s="5" customFormat="1" ht="17.25" hidden="1" customHeight="1" outlineLevel="1" x14ac:dyDescent="0.25">
      <c r="A3889" s="41"/>
      <c r="B3889" s="6"/>
      <c r="C3889" s="38"/>
      <c r="D3889" s="6"/>
      <c r="E3889" s="6"/>
      <c r="F3889" s="6"/>
      <c r="G3889" s="6"/>
      <c r="H3889" s="6"/>
      <c r="I3889" s="206"/>
      <c r="J3889" s="206"/>
    </row>
    <row r="3890" spans="1:36" s="5" customFormat="1" ht="26.25" customHeight="1" collapsed="1" x14ac:dyDescent="0.25">
      <c r="A3890" s="124"/>
      <c r="B3890" s="324" t="s">
        <v>49</v>
      </c>
      <c r="C3890" s="324" t="s">
        <v>2099</v>
      </c>
      <c r="D3890" s="324"/>
      <c r="E3890" s="319" t="s">
        <v>12</v>
      </c>
      <c r="F3890" s="319"/>
      <c r="G3890" s="319"/>
      <c r="H3890" s="319"/>
      <c r="I3890" s="218"/>
      <c r="J3890" s="218"/>
    </row>
    <row r="3891" spans="1:36" s="5" customFormat="1" ht="3.75" hidden="1" customHeight="1" x14ac:dyDescent="0.25">
      <c r="A3891" s="125"/>
      <c r="B3891" s="340"/>
      <c r="C3891" s="340"/>
      <c r="D3891" s="340"/>
      <c r="E3891" s="328"/>
      <c r="F3891" s="328"/>
      <c r="G3891" s="328"/>
      <c r="H3891" s="328"/>
      <c r="I3891" s="219"/>
      <c r="J3891" s="219"/>
    </row>
    <row r="3892" spans="1:36" s="9" customFormat="1" ht="9" hidden="1" customHeight="1" x14ac:dyDescent="0.25">
      <c r="A3892" s="125"/>
      <c r="B3892" s="340"/>
      <c r="C3892" s="340"/>
      <c r="D3892" s="340"/>
      <c r="E3892" s="328"/>
      <c r="F3892" s="328"/>
      <c r="G3892" s="328"/>
      <c r="H3892" s="328"/>
      <c r="I3892" s="219"/>
      <c r="J3892" s="219"/>
      <c r="K3892" s="5"/>
      <c r="L3892" s="5"/>
      <c r="M3892" s="5"/>
      <c r="N3892" s="5"/>
      <c r="O3892" s="5"/>
      <c r="P3892" s="5"/>
      <c r="Q3892" s="5"/>
      <c r="R3892" s="5"/>
      <c r="S3892" s="5"/>
      <c r="T3892" s="5"/>
      <c r="U3892" s="5"/>
      <c r="V3892" s="5"/>
      <c r="W3892" s="5"/>
      <c r="X3892" s="5"/>
      <c r="Y3892" s="5"/>
      <c r="Z3892" s="5"/>
      <c r="AA3892" s="5"/>
      <c r="AB3892" s="5"/>
      <c r="AC3892" s="5"/>
      <c r="AD3892" s="5"/>
      <c r="AE3892" s="5"/>
      <c r="AF3892" s="5"/>
      <c r="AG3892" s="5"/>
      <c r="AH3892" s="5"/>
      <c r="AI3892" s="5"/>
      <c r="AJ3892" s="5"/>
    </row>
    <row r="3893" spans="1:36" s="9" customFormat="1" ht="23.25" customHeight="1" x14ac:dyDescent="0.25">
      <c r="A3893" s="125"/>
      <c r="B3893" s="344"/>
      <c r="C3893" s="341"/>
      <c r="D3893" s="341"/>
      <c r="E3893" s="345"/>
      <c r="F3893" s="320"/>
      <c r="G3893" s="320"/>
      <c r="H3893" s="320"/>
      <c r="I3893" s="219"/>
      <c r="J3893" s="219"/>
      <c r="K3893" s="5"/>
      <c r="L3893" s="5"/>
      <c r="M3893" s="5"/>
      <c r="N3893" s="5"/>
      <c r="O3893" s="5"/>
      <c r="P3893" s="5"/>
      <c r="Q3893" s="5"/>
      <c r="R3893" s="5"/>
      <c r="S3893" s="5"/>
      <c r="T3893" s="5"/>
      <c r="U3893" s="5"/>
      <c r="V3893" s="5"/>
      <c r="W3893" s="5"/>
      <c r="X3893" s="5"/>
      <c r="Y3893" s="5"/>
      <c r="Z3893" s="5"/>
      <c r="AA3893" s="5"/>
      <c r="AB3893" s="5"/>
      <c r="AC3893" s="5"/>
      <c r="AD3893" s="5"/>
      <c r="AE3893" s="5"/>
      <c r="AF3893" s="5"/>
      <c r="AG3893" s="5"/>
      <c r="AH3893" s="5"/>
      <c r="AI3893" s="5"/>
      <c r="AJ3893" s="5"/>
    </row>
    <row r="3894" spans="1:36" s="9" customFormat="1" ht="17.25" customHeight="1" x14ac:dyDescent="0.25">
      <c r="A3894" s="125"/>
      <c r="B3894" s="11" t="s">
        <v>49</v>
      </c>
      <c r="C3894" s="12" t="s">
        <v>57</v>
      </c>
      <c r="D3894" s="11">
        <v>2021</v>
      </c>
      <c r="E3894" s="11" t="s">
        <v>12</v>
      </c>
      <c r="F3894" s="11">
        <f>SUMIF($D$3897:$D$3901,$D$3894,$F$3897:$F$3901)</f>
        <v>0</v>
      </c>
      <c r="G3894" s="11">
        <f>SUMIF($D$3897:$D$3901,$D$3894,$G$3897:$G$3901)</f>
        <v>0</v>
      </c>
      <c r="H3894" s="11">
        <f>SUMIF($D$3897:$D$3901,$D$3894,$H$3897:$H$3901)</f>
        <v>0</v>
      </c>
      <c r="I3894" s="5"/>
      <c r="J3894" s="5"/>
      <c r="K3894" s="5"/>
      <c r="L3894" s="5"/>
      <c r="M3894" s="5"/>
      <c r="N3894" s="5"/>
      <c r="O3894" s="5"/>
      <c r="P3894" s="5"/>
      <c r="Q3894" s="5"/>
      <c r="R3894" s="5"/>
      <c r="S3894" s="5"/>
      <c r="T3894" s="5"/>
      <c r="U3894" s="5"/>
      <c r="V3894" s="5"/>
      <c r="W3894" s="5"/>
      <c r="X3894" s="5"/>
      <c r="Y3894" s="5"/>
      <c r="Z3894" s="5"/>
      <c r="AA3894" s="5"/>
      <c r="AB3894" s="5"/>
      <c r="AC3894" s="5"/>
      <c r="AD3894" s="5"/>
      <c r="AE3894" s="5"/>
      <c r="AF3894" s="5"/>
      <c r="AG3894" s="5"/>
      <c r="AH3894" s="5"/>
      <c r="AI3894" s="5"/>
      <c r="AJ3894" s="5"/>
    </row>
    <row r="3895" spans="1:36" s="26" customFormat="1" ht="17.25" customHeight="1" x14ac:dyDescent="0.25">
      <c r="A3895" s="125"/>
      <c r="B3895" s="11" t="s">
        <v>49</v>
      </c>
      <c r="C3895" s="12" t="s">
        <v>57</v>
      </c>
      <c r="D3895" s="11">
        <v>2022</v>
      </c>
      <c r="E3895" s="11" t="s">
        <v>12</v>
      </c>
      <c r="F3895" s="11">
        <f>SUMIF($D$3897:$D$3901,$D$3895,$F$3897:$F$3901)</f>
        <v>153</v>
      </c>
      <c r="G3895" s="11">
        <f>SUMIF($D$3897:$D$3901,$D$3895,$G$3897:$G$3901)</f>
        <v>24</v>
      </c>
      <c r="H3895" s="14">
        <f>SUMIF($D$3897:$D$3901,$D$3895,$H$3897:$H$3901)</f>
        <v>102.08885000000001</v>
      </c>
      <c r="I3895" s="220"/>
      <c r="J3895" s="220"/>
      <c r="K3895" s="5"/>
      <c r="L3895" s="5"/>
      <c r="M3895" s="5"/>
      <c r="N3895" s="5"/>
      <c r="O3895" s="5"/>
      <c r="P3895" s="5"/>
      <c r="Q3895" s="5"/>
      <c r="R3895" s="5"/>
      <c r="S3895" s="5"/>
      <c r="T3895" s="5"/>
      <c r="U3895" s="5"/>
      <c r="V3895" s="5"/>
      <c r="W3895" s="5"/>
      <c r="X3895" s="5"/>
      <c r="Y3895" s="5"/>
      <c r="Z3895" s="5"/>
      <c r="AA3895" s="5"/>
      <c r="AB3895" s="5"/>
      <c r="AC3895" s="5"/>
      <c r="AD3895" s="5"/>
      <c r="AE3895" s="5"/>
      <c r="AF3895" s="5"/>
      <c r="AG3895" s="5"/>
      <c r="AH3895" s="5"/>
      <c r="AI3895" s="5"/>
      <c r="AJ3895" s="5"/>
    </row>
    <row r="3896" spans="1:36" s="26" customFormat="1" ht="17.25" x14ac:dyDescent="0.25">
      <c r="A3896" s="125"/>
      <c r="B3896" s="11" t="s">
        <v>49</v>
      </c>
      <c r="C3896" s="12" t="s">
        <v>2811</v>
      </c>
      <c r="D3896" s="11">
        <v>2023</v>
      </c>
      <c r="E3896" s="11" t="s">
        <v>12</v>
      </c>
      <c r="F3896" s="11">
        <f>SUMIF($D$3897:$D$3901,$D$3896,$F$3897:$F$3901)</f>
        <v>236</v>
      </c>
      <c r="G3896" s="11">
        <f>SUMIF($D$3897:$D$3901,$D$3896,$G$3897:$G$3901)</f>
        <v>247.2</v>
      </c>
      <c r="H3896" s="14">
        <f>SUMIF($D$3897:$D$3901,$D$3896,$H$3897:$H$3901)</f>
        <v>471.61298999999997</v>
      </c>
      <c r="I3896" s="220"/>
      <c r="J3896" s="220"/>
      <c r="K3896" s="5"/>
      <c r="L3896" s="5"/>
      <c r="M3896" s="5"/>
      <c r="N3896" s="5"/>
      <c r="O3896" s="5"/>
      <c r="P3896" s="5"/>
      <c r="Q3896" s="5"/>
      <c r="R3896" s="5"/>
      <c r="S3896" s="5"/>
      <c r="T3896" s="5"/>
      <c r="U3896" s="5"/>
      <c r="V3896" s="5"/>
      <c r="W3896" s="5"/>
      <c r="X3896" s="5"/>
      <c r="Y3896" s="5"/>
      <c r="Z3896" s="5"/>
      <c r="AA3896" s="5"/>
      <c r="AB3896" s="5"/>
      <c r="AC3896" s="5"/>
      <c r="AD3896" s="5"/>
      <c r="AE3896" s="5"/>
      <c r="AF3896" s="5"/>
      <c r="AG3896" s="5"/>
      <c r="AH3896" s="5"/>
      <c r="AI3896" s="5"/>
      <c r="AJ3896" s="5"/>
    </row>
    <row r="3897" spans="1:36" s="5" customFormat="1" ht="94.5" hidden="1" outlineLevel="1" x14ac:dyDescent="0.25">
      <c r="A3897" s="4">
        <v>2995</v>
      </c>
      <c r="B3897" s="4" t="s">
        <v>49</v>
      </c>
      <c r="C3897" s="38" t="s">
        <v>9355</v>
      </c>
      <c r="D3897" s="4">
        <v>2023</v>
      </c>
      <c r="E3897" s="4" t="s">
        <v>3133</v>
      </c>
      <c r="F3897" s="4">
        <v>201</v>
      </c>
      <c r="G3897" s="4">
        <v>60</v>
      </c>
      <c r="H3897" s="41">
        <v>54</v>
      </c>
      <c r="I3897" s="221"/>
      <c r="J3897" s="221"/>
    </row>
    <row r="3898" spans="1:36" s="5" customFormat="1" ht="141.75" hidden="1" outlineLevel="1" x14ac:dyDescent="0.25">
      <c r="A3898" s="4">
        <v>4996</v>
      </c>
      <c r="B3898" s="4" t="s">
        <v>49</v>
      </c>
      <c r="C3898" s="38" t="s">
        <v>9356</v>
      </c>
      <c r="D3898" s="4">
        <v>2023</v>
      </c>
      <c r="E3898" s="4" t="s">
        <v>12</v>
      </c>
      <c r="F3898" s="4">
        <v>10</v>
      </c>
      <c r="G3898" s="4">
        <v>87.2</v>
      </c>
      <c r="H3898" s="41">
        <v>238.65671</v>
      </c>
      <c r="I3898" s="221"/>
      <c r="J3898" s="221"/>
    </row>
    <row r="3899" spans="1:36" s="5" customFormat="1" ht="89.25" hidden="1" customHeight="1" outlineLevel="1" x14ac:dyDescent="0.25">
      <c r="A3899" s="4">
        <v>3145</v>
      </c>
      <c r="B3899" s="4" t="s">
        <v>49</v>
      </c>
      <c r="C3899" s="38" t="s">
        <v>9181</v>
      </c>
      <c r="D3899" s="4">
        <v>2023</v>
      </c>
      <c r="E3899" s="4" t="s">
        <v>12</v>
      </c>
      <c r="F3899" s="4">
        <v>25</v>
      </c>
      <c r="G3899" s="4">
        <v>100</v>
      </c>
      <c r="H3899" s="41">
        <v>178.95627999999999</v>
      </c>
      <c r="I3899" s="221"/>
      <c r="J3899" s="221"/>
    </row>
    <row r="3900" spans="1:36" s="5" customFormat="1" ht="54.75" hidden="1" customHeight="1" outlineLevel="1" x14ac:dyDescent="0.25">
      <c r="A3900" s="4">
        <v>318</v>
      </c>
      <c r="B3900" s="4" t="s">
        <v>49</v>
      </c>
      <c r="C3900" s="38" t="s">
        <v>3118</v>
      </c>
      <c r="D3900" s="4">
        <v>2022</v>
      </c>
      <c r="E3900" s="4" t="s">
        <v>12</v>
      </c>
      <c r="F3900" s="4">
        <v>35</v>
      </c>
      <c r="G3900" s="4">
        <v>10</v>
      </c>
      <c r="H3900" s="4">
        <v>37</v>
      </c>
      <c r="I3900" s="201"/>
      <c r="J3900" s="201"/>
    </row>
    <row r="3901" spans="1:36" s="5" customFormat="1" ht="94.5" hidden="1" outlineLevel="1" x14ac:dyDescent="0.25">
      <c r="A3901" s="4">
        <v>2720</v>
      </c>
      <c r="B3901" s="4" t="s">
        <v>49</v>
      </c>
      <c r="C3901" s="38" t="s">
        <v>3116</v>
      </c>
      <c r="D3901" s="4">
        <v>2022</v>
      </c>
      <c r="E3901" s="4" t="s">
        <v>12</v>
      </c>
      <c r="F3901" s="4">
        <v>118</v>
      </c>
      <c r="G3901" s="4">
        <v>14</v>
      </c>
      <c r="H3901" s="4">
        <v>65.088850000000008</v>
      </c>
      <c r="I3901" s="201"/>
      <c r="J3901" s="201"/>
    </row>
    <row r="3902" spans="1:36" s="5" customFormat="1" ht="17.25" customHeight="1" collapsed="1" x14ac:dyDescent="0.25">
      <c r="A3902" s="4"/>
      <c r="B3902" s="319" t="s">
        <v>49</v>
      </c>
      <c r="C3902" s="324" t="s">
        <v>2099</v>
      </c>
      <c r="D3902" s="319"/>
      <c r="E3902" s="319" t="s">
        <v>13</v>
      </c>
      <c r="F3902" s="319"/>
      <c r="G3902" s="319"/>
      <c r="H3902" s="319"/>
      <c r="I3902" s="218"/>
      <c r="J3902" s="218"/>
    </row>
    <row r="3903" spans="1:36" s="5" customFormat="1" ht="17.25" customHeight="1" x14ac:dyDescent="0.25">
      <c r="A3903" s="4"/>
      <c r="B3903" s="328"/>
      <c r="C3903" s="340"/>
      <c r="D3903" s="328"/>
      <c r="E3903" s="328"/>
      <c r="F3903" s="328"/>
      <c r="G3903" s="328"/>
      <c r="H3903" s="328"/>
      <c r="I3903" s="219"/>
      <c r="J3903" s="219"/>
    </row>
    <row r="3904" spans="1:36" s="9" customFormat="1" ht="17.25" customHeight="1" x14ac:dyDescent="0.25">
      <c r="A3904" s="4"/>
      <c r="B3904" s="328"/>
      <c r="C3904" s="340"/>
      <c r="D3904" s="328"/>
      <c r="E3904" s="328"/>
      <c r="F3904" s="328"/>
      <c r="G3904" s="328"/>
      <c r="H3904" s="328"/>
      <c r="I3904" s="219"/>
      <c r="J3904" s="219"/>
      <c r="K3904" s="5"/>
      <c r="L3904" s="5"/>
      <c r="M3904" s="5"/>
      <c r="N3904" s="5"/>
      <c r="O3904" s="5"/>
      <c r="P3904" s="5"/>
      <c r="Q3904" s="5"/>
      <c r="R3904" s="5"/>
      <c r="S3904" s="5"/>
      <c r="T3904" s="5"/>
      <c r="U3904" s="5"/>
      <c r="V3904" s="5"/>
      <c r="W3904" s="5"/>
      <c r="X3904" s="5"/>
      <c r="Y3904" s="5"/>
      <c r="Z3904" s="5"/>
      <c r="AA3904" s="5"/>
      <c r="AB3904" s="5"/>
      <c r="AC3904" s="5"/>
      <c r="AD3904" s="5"/>
      <c r="AE3904" s="5"/>
      <c r="AF3904" s="5"/>
      <c r="AG3904" s="5"/>
      <c r="AH3904" s="5"/>
      <c r="AI3904" s="5"/>
      <c r="AJ3904" s="5"/>
    </row>
    <row r="3905" spans="1:36" s="9" customFormat="1" ht="2.25" customHeight="1" x14ac:dyDescent="0.25">
      <c r="A3905" s="4"/>
      <c r="B3905" s="320"/>
      <c r="C3905" s="341"/>
      <c r="D3905" s="320"/>
      <c r="E3905" s="320"/>
      <c r="F3905" s="320"/>
      <c r="G3905" s="320"/>
      <c r="H3905" s="320"/>
      <c r="I3905" s="219"/>
      <c r="J3905" s="219"/>
      <c r="K3905" s="5"/>
      <c r="L3905" s="5"/>
      <c r="M3905" s="5"/>
      <c r="N3905" s="5"/>
      <c r="O3905" s="5"/>
      <c r="P3905" s="5"/>
      <c r="Q3905" s="5"/>
      <c r="R3905" s="5"/>
      <c r="S3905" s="5"/>
      <c r="T3905" s="5"/>
      <c r="U3905" s="5"/>
      <c r="V3905" s="5"/>
      <c r="W3905" s="5"/>
      <c r="X3905" s="5"/>
      <c r="Y3905" s="5"/>
      <c r="Z3905" s="5"/>
      <c r="AA3905" s="5"/>
      <c r="AB3905" s="5"/>
      <c r="AC3905" s="5"/>
      <c r="AD3905" s="5"/>
      <c r="AE3905" s="5"/>
      <c r="AF3905" s="5"/>
      <c r="AG3905" s="5"/>
      <c r="AH3905" s="5"/>
      <c r="AI3905" s="5"/>
      <c r="AJ3905" s="5"/>
    </row>
    <row r="3906" spans="1:36" s="9" customFormat="1" ht="17.25" customHeight="1" x14ac:dyDescent="0.25">
      <c r="A3906" s="4"/>
      <c r="B3906" s="11" t="s">
        <v>49</v>
      </c>
      <c r="C3906" s="12" t="s">
        <v>57</v>
      </c>
      <c r="D3906" s="11">
        <v>2021</v>
      </c>
      <c r="E3906" s="11" t="s">
        <v>13</v>
      </c>
      <c r="F3906" s="11">
        <f>SUMIF($D$3909:$D$3915,$D$3906,$F$3909:$F$3915)</f>
        <v>2553</v>
      </c>
      <c r="G3906" s="11">
        <f>SUMIF($D$3909:$D$3915,$D$3906,$G$3909:$G$3915)</f>
        <v>180</v>
      </c>
      <c r="H3906" s="14">
        <f>SUMIF($D$3909:$D$3915,$D$3906,$H$3909:$H$3915)</f>
        <v>3251.4169999999999</v>
      </c>
      <c r="I3906" s="5"/>
      <c r="J3906" s="5"/>
      <c r="K3906" s="5"/>
      <c r="L3906" s="5"/>
      <c r="M3906" s="5"/>
      <c r="N3906" s="5"/>
      <c r="O3906" s="5"/>
      <c r="P3906" s="5"/>
      <c r="Q3906" s="5"/>
      <c r="R3906" s="5"/>
      <c r="S3906" s="5"/>
      <c r="T3906" s="5"/>
      <c r="U3906" s="5"/>
      <c r="V3906" s="5"/>
      <c r="W3906" s="5"/>
      <c r="X3906" s="5"/>
      <c r="Y3906" s="5"/>
      <c r="Z3906" s="5"/>
      <c r="AA3906" s="5"/>
      <c r="AB3906" s="5"/>
      <c r="AC3906" s="5"/>
      <c r="AD3906" s="5"/>
      <c r="AE3906" s="5"/>
      <c r="AF3906" s="5"/>
      <c r="AG3906" s="5"/>
      <c r="AH3906" s="5"/>
      <c r="AI3906" s="5"/>
      <c r="AJ3906" s="5"/>
    </row>
    <row r="3907" spans="1:36" s="26" customFormat="1" ht="17.25" customHeight="1" x14ac:dyDescent="0.25">
      <c r="A3907" s="4"/>
      <c r="B3907" s="11" t="s">
        <v>49</v>
      </c>
      <c r="C3907" s="12" t="s">
        <v>57</v>
      </c>
      <c r="D3907" s="11">
        <v>2022</v>
      </c>
      <c r="E3907" s="11" t="s">
        <v>13</v>
      </c>
      <c r="F3907" s="11">
        <f>SUMIF($D$3909:$D$3917,$D$3907,$F$3909:$F$3917)</f>
        <v>1960</v>
      </c>
      <c r="G3907" s="11">
        <f>SUMIF($D$3909:$D$3916,$D$3907,$G$3909:$G$3916)</f>
        <v>85</v>
      </c>
      <c r="H3907" s="11">
        <f>SUMIF($D$3909:$D$3915,$D$3907,$H$3909:$H$3915)</f>
        <v>1999</v>
      </c>
      <c r="I3907" s="224"/>
      <c r="J3907" s="224"/>
      <c r="K3907" s="5"/>
      <c r="L3907" s="5"/>
      <c r="M3907" s="5"/>
      <c r="N3907" s="5"/>
      <c r="O3907" s="5"/>
      <c r="P3907" s="5"/>
      <c r="Q3907" s="5"/>
      <c r="R3907" s="5"/>
      <c r="S3907" s="5"/>
      <c r="T3907" s="5"/>
      <c r="U3907" s="5"/>
      <c r="V3907" s="5"/>
      <c r="W3907" s="5"/>
      <c r="X3907" s="5"/>
      <c r="Y3907" s="5"/>
      <c r="Z3907" s="5"/>
      <c r="AA3907" s="5"/>
      <c r="AB3907" s="5"/>
      <c r="AC3907" s="5"/>
      <c r="AD3907" s="5"/>
      <c r="AE3907" s="5"/>
      <c r="AF3907" s="5"/>
      <c r="AG3907" s="5"/>
      <c r="AH3907" s="5"/>
      <c r="AI3907" s="5"/>
      <c r="AJ3907" s="5"/>
    </row>
    <row r="3908" spans="1:36" s="5" customFormat="1" ht="20.25" customHeight="1" x14ac:dyDescent="0.25">
      <c r="A3908" s="41"/>
      <c r="B3908" s="11" t="s">
        <v>49</v>
      </c>
      <c r="C3908" s="12" t="s">
        <v>2811</v>
      </c>
      <c r="D3908" s="11">
        <v>2023</v>
      </c>
      <c r="E3908" s="11" t="s">
        <v>13</v>
      </c>
      <c r="F3908" s="11">
        <f>SUMIF($D$3909:$D$3916,$D$3908,$F$3909:$F$3916)</f>
        <v>10</v>
      </c>
      <c r="G3908" s="11">
        <f>SUMIF($D$3909:$D$3916,$D$3908,$G$3909:$G$3916)</f>
        <v>253</v>
      </c>
      <c r="H3908" s="14">
        <f>SUMIF($D$3909:$D$3916,$D$3908,$H$3909:$H$3916)</f>
        <v>96.343999999999994</v>
      </c>
      <c r="I3908" s="220"/>
      <c r="J3908" s="220"/>
    </row>
    <row r="3909" spans="1:36" s="5" customFormat="1" ht="34.5" hidden="1" customHeight="1" outlineLevel="1" x14ac:dyDescent="0.25">
      <c r="A3909" s="41">
        <v>119</v>
      </c>
      <c r="B3909" s="4" t="s">
        <v>49</v>
      </c>
      <c r="C3909" s="38" t="s">
        <v>2575</v>
      </c>
      <c r="D3909" s="4">
        <v>2022</v>
      </c>
      <c r="E3909" s="4" t="s">
        <v>13</v>
      </c>
      <c r="F3909" s="4">
        <v>10</v>
      </c>
      <c r="G3909" s="4">
        <v>15</v>
      </c>
      <c r="H3909" s="4">
        <v>84</v>
      </c>
      <c r="I3909" s="201"/>
      <c r="J3909" s="201"/>
    </row>
    <row r="3910" spans="1:36" s="5" customFormat="1" ht="34.5" hidden="1" customHeight="1" outlineLevel="1" x14ac:dyDescent="0.25">
      <c r="A3910" s="41">
        <v>156</v>
      </c>
      <c r="B3910" s="4" t="s">
        <v>49</v>
      </c>
      <c r="C3910" s="38" t="s">
        <v>2587</v>
      </c>
      <c r="D3910" s="4">
        <v>2022</v>
      </c>
      <c r="E3910" s="4" t="s">
        <v>13</v>
      </c>
      <c r="F3910" s="4">
        <v>10</v>
      </c>
      <c r="G3910" s="4">
        <v>30</v>
      </c>
      <c r="H3910" s="4">
        <v>40</v>
      </c>
      <c r="I3910" s="201"/>
      <c r="J3910" s="201"/>
    </row>
    <row r="3911" spans="1:36" s="5" customFormat="1" ht="36.75" hidden="1" customHeight="1" outlineLevel="1" x14ac:dyDescent="0.25">
      <c r="A3911" s="41">
        <v>157</v>
      </c>
      <c r="B3911" s="4" t="s">
        <v>49</v>
      </c>
      <c r="C3911" s="38" t="s">
        <v>2588</v>
      </c>
      <c r="D3911" s="4">
        <v>2022</v>
      </c>
      <c r="E3911" s="4" t="s">
        <v>13</v>
      </c>
      <c r="F3911" s="4">
        <v>40</v>
      </c>
      <c r="G3911" s="4">
        <v>15</v>
      </c>
      <c r="H3911" s="4">
        <v>89</v>
      </c>
      <c r="I3911" s="201"/>
      <c r="J3911" s="201"/>
    </row>
    <row r="3912" spans="1:36" s="5" customFormat="1" ht="27" hidden="1" customHeight="1" outlineLevel="1" x14ac:dyDescent="0.25">
      <c r="A3912" s="41">
        <v>261</v>
      </c>
      <c r="B3912" s="4" t="s">
        <v>49</v>
      </c>
      <c r="C3912" s="38" t="s">
        <v>3119</v>
      </c>
      <c r="D3912" s="4">
        <v>2022</v>
      </c>
      <c r="E3912" s="4" t="s">
        <v>13</v>
      </c>
      <c r="F3912" s="4">
        <v>1900</v>
      </c>
      <c r="G3912" s="4">
        <v>25</v>
      </c>
      <c r="H3912" s="4">
        <v>1786</v>
      </c>
      <c r="I3912" s="201"/>
      <c r="J3912" s="201"/>
    </row>
    <row r="3913" spans="1:36" s="5" customFormat="1" ht="27" hidden="1" customHeight="1" outlineLevel="1" x14ac:dyDescent="0.25">
      <c r="A3913" s="41">
        <v>9354</v>
      </c>
      <c r="B3913" s="4" t="s">
        <v>49</v>
      </c>
      <c r="C3913" s="38" t="s">
        <v>259</v>
      </c>
      <c r="D3913" s="4">
        <v>2021</v>
      </c>
      <c r="E3913" s="4" t="s">
        <v>13</v>
      </c>
      <c r="F3913" s="4">
        <v>806</v>
      </c>
      <c r="G3913" s="4">
        <v>15</v>
      </c>
      <c r="H3913" s="4">
        <v>881.31200000000001</v>
      </c>
      <c r="I3913" s="201"/>
      <c r="J3913" s="201"/>
    </row>
    <row r="3914" spans="1:36" s="5" customFormat="1" ht="27" hidden="1" customHeight="1" outlineLevel="1" x14ac:dyDescent="0.25">
      <c r="A3914" s="41">
        <v>9370</v>
      </c>
      <c r="B3914" s="4" t="s">
        <v>49</v>
      </c>
      <c r="C3914" s="38" t="s">
        <v>275</v>
      </c>
      <c r="D3914" s="4">
        <v>2021</v>
      </c>
      <c r="E3914" s="4" t="s">
        <v>13</v>
      </c>
      <c r="F3914" s="4">
        <v>1598</v>
      </c>
      <c r="G3914" s="4">
        <v>15</v>
      </c>
      <c r="H3914" s="4">
        <v>2029.279</v>
      </c>
      <c r="I3914" s="201"/>
      <c r="J3914" s="201"/>
    </row>
    <row r="3915" spans="1:36" s="5" customFormat="1" ht="28.5" hidden="1" customHeight="1" outlineLevel="1" x14ac:dyDescent="0.25">
      <c r="A3915" s="42">
        <v>563</v>
      </c>
      <c r="B3915" s="4" t="s">
        <v>49</v>
      </c>
      <c r="C3915" s="38" t="s">
        <v>276</v>
      </c>
      <c r="D3915" s="4">
        <v>2021</v>
      </c>
      <c r="E3915" s="4" t="s">
        <v>13</v>
      </c>
      <c r="F3915" s="4">
        <v>149</v>
      </c>
      <c r="G3915" s="4">
        <v>150</v>
      </c>
      <c r="H3915" s="4">
        <v>340.82600000000002</v>
      </c>
      <c r="I3915" s="201"/>
      <c r="J3915" s="201"/>
    </row>
    <row r="3916" spans="1:36" s="5" customFormat="1" ht="111.75" hidden="1" customHeight="1" outlineLevel="1" x14ac:dyDescent="0.25">
      <c r="A3916" s="41">
        <v>4814</v>
      </c>
      <c r="B3916" s="4" t="s">
        <v>49</v>
      </c>
      <c r="C3916" s="38" t="s">
        <v>9357</v>
      </c>
      <c r="D3916" s="4">
        <v>2023</v>
      </c>
      <c r="E3916" s="4" t="s">
        <v>13</v>
      </c>
      <c r="F3916" s="4">
        <v>10</v>
      </c>
      <c r="G3916" s="4">
        <v>253</v>
      </c>
      <c r="H3916" s="4">
        <v>96.343999999999994</v>
      </c>
      <c r="I3916" s="201"/>
      <c r="J3916" s="201"/>
    </row>
    <row r="3917" spans="1:36" s="5" customFormat="1" ht="7.5" customHeight="1" collapsed="1" x14ac:dyDescent="0.25">
      <c r="A3917" s="195"/>
      <c r="B3917" s="196"/>
      <c r="C3917" s="197"/>
      <c r="D3917" s="196"/>
      <c r="E3917" s="196"/>
      <c r="F3917" s="196"/>
      <c r="G3917" s="196"/>
      <c r="H3917" s="198"/>
      <c r="I3917" s="201"/>
      <c r="J3917" s="201"/>
    </row>
    <row r="3918" spans="1:36" s="28" customFormat="1" ht="23.25" customHeight="1" x14ac:dyDescent="0.25">
      <c r="A3918" s="192"/>
      <c r="B3918" s="356" t="s">
        <v>54</v>
      </c>
      <c r="C3918" s="357"/>
      <c r="D3918" s="357"/>
      <c r="E3918" s="357"/>
      <c r="F3918" s="357"/>
      <c r="G3918" s="357"/>
      <c r="H3918" s="358"/>
      <c r="I3918" s="202"/>
      <c r="J3918" s="202"/>
      <c r="K3918" s="202"/>
      <c r="L3918" s="15"/>
      <c r="M3918" s="15"/>
      <c r="N3918" s="15"/>
      <c r="O3918" s="15"/>
      <c r="P3918" s="15"/>
      <c r="Q3918" s="15"/>
      <c r="R3918" s="15"/>
      <c r="S3918" s="15"/>
      <c r="T3918" s="15"/>
      <c r="U3918" s="15"/>
      <c r="V3918" s="15"/>
      <c r="W3918" s="15"/>
      <c r="X3918" s="15"/>
      <c r="Y3918" s="15"/>
      <c r="Z3918" s="15"/>
      <c r="AA3918" s="15"/>
      <c r="AB3918" s="15"/>
      <c r="AC3918" s="15"/>
      <c r="AD3918" s="15"/>
      <c r="AE3918" s="15"/>
      <c r="AF3918" s="15"/>
      <c r="AG3918" s="15"/>
      <c r="AH3918" s="15"/>
      <c r="AI3918" s="15"/>
      <c r="AJ3918" s="15"/>
    </row>
    <row r="3919" spans="1:36" s="15" customFormat="1" ht="24.75" customHeight="1" x14ac:dyDescent="0.25">
      <c r="A3919" s="18"/>
      <c r="B3919" s="321" t="s">
        <v>50</v>
      </c>
      <c r="C3919" s="329" t="s">
        <v>2100</v>
      </c>
      <c r="D3919" s="329"/>
      <c r="E3919" s="321" t="s">
        <v>24</v>
      </c>
      <c r="F3919" s="321"/>
      <c r="G3919" s="321"/>
      <c r="H3919" s="321"/>
      <c r="I3919" s="214"/>
      <c r="J3919" s="214"/>
      <c r="K3919" s="214"/>
    </row>
    <row r="3920" spans="1:36" s="15" customFormat="1" ht="22.5" customHeight="1" x14ac:dyDescent="0.25">
      <c r="A3920" s="18"/>
      <c r="B3920" s="323"/>
      <c r="C3920" s="350"/>
      <c r="D3920" s="350"/>
      <c r="E3920" s="322"/>
      <c r="F3920" s="322"/>
      <c r="G3920" s="322"/>
      <c r="H3920" s="322"/>
      <c r="I3920" s="215"/>
      <c r="J3920" s="215"/>
    </row>
    <row r="3921" spans="1:36" s="15" customFormat="1" ht="16.5" customHeight="1" x14ac:dyDescent="0.25">
      <c r="A3921" s="18"/>
      <c r="B3921" s="7" t="s">
        <v>50</v>
      </c>
      <c r="C3921" s="8" t="s">
        <v>57</v>
      </c>
      <c r="D3921" s="7">
        <v>2021</v>
      </c>
      <c r="E3921" s="7" t="s">
        <v>24</v>
      </c>
      <c r="F3921" s="7">
        <f>SUMIF($D$3924:$D$3927,$D$3921,$F$3924:$F$3927)</f>
        <v>0</v>
      </c>
      <c r="G3921" s="10">
        <f>SUMIF($D$3924:$D$3927,$D$3921,$G$3924:$G$3927)</f>
        <v>0</v>
      </c>
      <c r="H3921" s="10">
        <f>SUMIF($D$3924:$D$3927,$D$3921,$H$3924:$H$3927)</f>
        <v>0</v>
      </c>
      <c r="I3921" s="5"/>
      <c r="J3921" s="5"/>
      <c r="K3921" s="5"/>
    </row>
    <row r="3922" spans="1:36" s="27" customFormat="1" ht="16.5" customHeight="1" x14ac:dyDescent="0.25">
      <c r="A3922" s="18"/>
      <c r="B3922" s="7" t="s">
        <v>50</v>
      </c>
      <c r="C3922" s="8" t="s">
        <v>57</v>
      </c>
      <c r="D3922" s="7">
        <v>2022</v>
      </c>
      <c r="E3922" s="7" t="s">
        <v>24</v>
      </c>
      <c r="F3922" s="7">
        <f>SUMIF($D$3924:$D$3927,$D$3922,$F$3924:$F$3927)</f>
        <v>154</v>
      </c>
      <c r="G3922" s="7">
        <f>SUMIF($D$3924:$D$3927,$D$3922,$G$3924:$G$3927)</f>
        <v>116</v>
      </c>
      <c r="H3922" s="10">
        <f>SUMIF($D$3924:$D$3927,$D$3922,$H$3924:$H$3927)</f>
        <v>1011.41785</v>
      </c>
      <c r="I3922" s="205"/>
      <c r="J3922" s="205"/>
      <c r="K3922" s="15"/>
      <c r="L3922" s="15"/>
      <c r="M3922" s="15"/>
      <c r="N3922" s="15"/>
      <c r="O3922" s="15"/>
      <c r="P3922" s="15"/>
      <c r="Q3922" s="15"/>
      <c r="R3922" s="15"/>
      <c r="S3922" s="15"/>
      <c r="T3922" s="15"/>
      <c r="U3922" s="15"/>
      <c r="V3922" s="15"/>
      <c r="W3922" s="15"/>
      <c r="X3922" s="15"/>
      <c r="Y3922" s="15"/>
      <c r="Z3922" s="15"/>
      <c r="AA3922" s="15"/>
      <c r="AB3922" s="15"/>
      <c r="AC3922" s="15"/>
      <c r="AD3922" s="15"/>
      <c r="AE3922" s="15"/>
      <c r="AF3922" s="15"/>
      <c r="AG3922" s="15"/>
      <c r="AH3922" s="15"/>
      <c r="AI3922" s="15"/>
      <c r="AJ3922" s="15"/>
    </row>
    <row r="3923" spans="1:36" s="27" customFormat="1" ht="15.75" x14ac:dyDescent="0.25">
      <c r="A3923" s="18"/>
      <c r="B3923" s="7" t="s">
        <v>50</v>
      </c>
      <c r="C3923" s="8" t="s">
        <v>2811</v>
      </c>
      <c r="D3923" s="7">
        <v>2023</v>
      </c>
      <c r="E3923" s="7" t="s">
        <v>24</v>
      </c>
      <c r="F3923" s="7">
        <f>SUMIF($D$3924:$D$3927,$D$3923,$F$3924:$F$3927)</f>
        <v>0</v>
      </c>
      <c r="G3923" s="7">
        <f>SUMIF($D$3924:$D$3927,$D$3923,$G$3924:$G$3927)</f>
        <v>0</v>
      </c>
      <c r="H3923" s="10">
        <f>SUMIF($D$3924:$D$3927,$D$3923,$H$3924:$H$3927)</f>
        <v>0</v>
      </c>
      <c r="I3923" s="205"/>
      <c r="J3923" s="205"/>
      <c r="K3923" s="15"/>
      <c r="L3923" s="15"/>
      <c r="M3923" s="15"/>
      <c r="N3923" s="15"/>
      <c r="O3923" s="15"/>
      <c r="P3923" s="15"/>
      <c r="Q3923" s="15"/>
      <c r="R3923" s="15"/>
      <c r="S3923" s="15"/>
      <c r="T3923" s="15"/>
      <c r="U3923" s="15"/>
      <c r="V3923" s="15"/>
      <c r="W3923" s="15"/>
      <c r="X3923" s="15"/>
      <c r="Y3923" s="15"/>
      <c r="Z3923" s="15"/>
      <c r="AA3923" s="15"/>
      <c r="AB3923" s="15"/>
      <c r="AC3923" s="15"/>
      <c r="AD3923" s="15"/>
      <c r="AE3923" s="15"/>
      <c r="AF3923" s="15"/>
      <c r="AG3923" s="15"/>
      <c r="AH3923" s="15"/>
      <c r="AI3923" s="15"/>
      <c r="AJ3923" s="15"/>
    </row>
    <row r="3924" spans="1:36" s="15" customFormat="1" ht="83.25" hidden="1" customHeight="1" outlineLevel="1" x14ac:dyDescent="0.25">
      <c r="A3924" s="18">
        <v>4224</v>
      </c>
      <c r="B3924" s="4" t="s">
        <v>50</v>
      </c>
      <c r="C3924" s="22" t="s">
        <v>2894</v>
      </c>
      <c r="D3924" s="4">
        <v>2022</v>
      </c>
      <c r="E3924" s="4" t="s">
        <v>24</v>
      </c>
      <c r="F3924" s="4">
        <v>124</v>
      </c>
      <c r="G3924" s="41">
        <v>104</v>
      </c>
      <c r="H3924" s="41">
        <v>719.24248</v>
      </c>
      <c r="I3924" s="221"/>
      <c r="J3924" s="221"/>
    </row>
    <row r="3925" spans="1:36" s="15" customFormat="1" ht="83.25" hidden="1" customHeight="1" outlineLevel="1" x14ac:dyDescent="0.25">
      <c r="A3925" s="18">
        <v>2429</v>
      </c>
      <c r="B3925" s="4" t="s">
        <v>50</v>
      </c>
      <c r="C3925" s="22" t="s">
        <v>3120</v>
      </c>
      <c r="D3925" s="4">
        <v>2022</v>
      </c>
      <c r="E3925" s="4" t="s">
        <v>24</v>
      </c>
      <c r="F3925" s="4">
        <v>30</v>
      </c>
      <c r="G3925" s="41">
        <v>12</v>
      </c>
      <c r="H3925" s="41">
        <v>292.17536999999999</v>
      </c>
      <c r="I3925" s="221"/>
      <c r="J3925" s="221"/>
    </row>
    <row r="3926" spans="1:36" s="15" customFormat="1" ht="65.25" hidden="1" customHeight="1" outlineLevel="1" x14ac:dyDescent="0.25">
      <c r="A3926" s="18"/>
      <c r="B3926" s="4" t="s">
        <v>50</v>
      </c>
      <c r="C3926" s="22"/>
      <c r="D3926" s="4">
        <v>2023</v>
      </c>
      <c r="E3926" s="4" t="s">
        <v>24</v>
      </c>
      <c r="F3926" s="4">
        <v>0</v>
      </c>
      <c r="G3926" s="41">
        <v>0</v>
      </c>
      <c r="H3926" s="41">
        <v>0</v>
      </c>
      <c r="I3926" s="221"/>
      <c r="J3926" s="221"/>
    </row>
    <row r="3927" spans="1:36" s="15" customFormat="1" ht="15.75" hidden="1" outlineLevel="1" x14ac:dyDescent="0.25">
      <c r="A3927" s="18"/>
      <c r="B3927" s="4" t="s">
        <v>50</v>
      </c>
      <c r="C3927" s="22"/>
      <c r="D3927" s="4">
        <v>2021</v>
      </c>
      <c r="E3927" s="6"/>
      <c r="F3927" s="6"/>
      <c r="G3927" s="40"/>
      <c r="H3927" s="40"/>
      <c r="I3927" s="212"/>
      <c r="J3927" s="212"/>
    </row>
    <row r="3928" spans="1:36" s="15" customFormat="1" ht="15.75" collapsed="1" x14ac:dyDescent="0.25">
      <c r="A3928" s="18"/>
      <c r="B3928" s="319" t="s">
        <v>23</v>
      </c>
      <c r="C3928" s="324" t="s">
        <v>2101</v>
      </c>
      <c r="D3928" s="319"/>
      <c r="E3928" s="319" t="s">
        <v>24</v>
      </c>
      <c r="F3928" s="319"/>
      <c r="G3928" s="319"/>
      <c r="H3928" s="319"/>
      <c r="I3928" s="218"/>
      <c r="J3928" s="218"/>
    </row>
    <row r="3929" spans="1:36" s="15" customFormat="1" ht="8.25" customHeight="1" x14ac:dyDescent="0.25">
      <c r="A3929" s="18"/>
      <c r="B3929" s="328"/>
      <c r="C3929" s="325"/>
      <c r="D3929" s="328"/>
      <c r="E3929" s="328"/>
      <c r="F3929" s="328"/>
      <c r="G3929" s="328"/>
      <c r="H3929" s="328"/>
      <c r="I3929" s="219"/>
      <c r="J3929" s="219"/>
    </row>
    <row r="3930" spans="1:36" s="15" customFormat="1" ht="12.75" customHeight="1" x14ac:dyDescent="0.25">
      <c r="A3930" s="18"/>
      <c r="B3930" s="328"/>
      <c r="C3930" s="325"/>
      <c r="D3930" s="328"/>
      <c r="E3930" s="328"/>
      <c r="F3930" s="328"/>
      <c r="G3930" s="328"/>
      <c r="H3930" s="328"/>
      <c r="I3930" s="219"/>
      <c r="J3930" s="219"/>
    </row>
    <row r="3931" spans="1:36" s="15" customFormat="1" ht="15.75" x14ac:dyDescent="0.25">
      <c r="A3931" s="18"/>
      <c r="B3931" s="320"/>
      <c r="C3931" s="326"/>
      <c r="D3931" s="320"/>
      <c r="E3931" s="320"/>
      <c r="F3931" s="320"/>
      <c r="G3931" s="320"/>
      <c r="H3931" s="320"/>
      <c r="I3931" s="219"/>
      <c r="J3931" s="219"/>
    </row>
    <row r="3932" spans="1:36" s="15" customFormat="1" ht="16.5" customHeight="1" x14ac:dyDescent="0.25">
      <c r="A3932" s="18"/>
      <c r="B3932" s="11" t="s">
        <v>23</v>
      </c>
      <c r="C3932" s="12" t="s">
        <v>57</v>
      </c>
      <c r="D3932" s="11">
        <v>2021</v>
      </c>
      <c r="E3932" s="11" t="s">
        <v>24</v>
      </c>
      <c r="F3932" s="33">
        <f>SUMIF($D$3935:$D$3940,$D$3932,$F$3935:$F$3940)</f>
        <v>5915</v>
      </c>
      <c r="G3932" s="33">
        <f>SUMIF($D$3935:$D$3940,$D$3932,$G$3935:$G$3940)</f>
        <v>295</v>
      </c>
      <c r="H3932" s="34">
        <f>SUMIF($D$3935:$D$3940,$D$3932,$H$3935:$H$3940)</f>
        <v>18920.238000000001</v>
      </c>
      <c r="I3932" s="5"/>
      <c r="J3932" s="5"/>
      <c r="K3932" s="5"/>
    </row>
    <row r="3933" spans="1:36" s="27" customFormat="1" ht="16.5" customHeight="1" x14ac:dyDescent="0.25">
      <c r="A3933" s="18"/>
      <c r="B3933" s="11" t="s">
        <v>23</v>
      </c>
      <c r="C3933" s="12" t="s">
        <v>57</v>
      </c>
      <c r="D3933" s="11">
        <v>2022</v>
      </c>
      <c r="E3933" s="11" t="s">
        <v>24</v>
      </c>
      <c r="F3933" s="33">
        <f>SUMIF($D$3935:$D$3940,$D$3933,$F$3935:$F$3940)</f>
        <v>253</v>
      </c>
      <c r="G3933" s="34">
        <f>SUMIF($D$3935:$D$3940,$D$3933,$G$3935:$G$3940)</f>
        <v>65</v>
      </c>
      <c r="H3933" s="34">
        <f>SUMIF($D$3935:$D$3940,$D$3933,$H$3935:$H$3940)</f>
        <v>1767</v>
      </c>
      <c r="I3933" s="222"/>
      <c r="J3933" s="222"/>
      <c r="K3933" s="15"/>
      <c r="L3933" s="15"/>
      <c r="M3933" s="15"/>
      <c r="N3933" s="15"/>
      <c r="O3933" s="15"/>
      <c r="P3933" s="15"/>
      <c r="Q3933" s="15"/>
      <c r="R3933" s="15"/>
      <c r="S3933" s="15"/>
      <c r="T3933" s="15"/>
      <c r="U3933" s="15"/>
      <c r="V3933" s="15"/>
      <c r="W3933" s="15"/>
      <c r="X3933" s="15"/>
      <c r="Y3933" s="15"/>
      <c r="Z3933" s="15"/>
      <c r="AA3933" s="15"/>
      <c r="AB3933" s="15"/>
      <c r="AC3933" s="15"/>
      <c r="AD3933" s="15"/>
      <c r="AE3933" s="15"/>
      <c r="AF3933" s="15"/>
      <c r="AG3933" s="15"/>
      <c r="AH3933" s="15"/>
      <c r="AI3933" s="15"/>
      <c r="AJ3933" s="15"/>
    </row>
    <row r="3934" spans="1:36" s="27" customFormat="1" ht="15.75" x14ac:dyDescent="0.25">
      <c r="A3934" s="18"/>
      <c r="B3934" s="11" t="s">
        <v>23</v>
      </c>
      <c r="C3934" s="12" t="s">
        <v>57</v>
      </c>
      <c r="D3934" s="11">
        <v>2023</v>
      </c>
      <c r="E3934" s="11" t="s">
        <v>24</v>
      </c>
      <c r="F3934" s="33">
        <f>SUMIF($D$3935:$D$3940,$D$3934,$F$3935:$F$3940)</f>
        <v>0</v>
      </c>
      <c r="G3934" s="34">
        <f>SUMIF($D$3935:$D$3940,$D$3934,$G$3935:$G$3940)</f>
        <v>0</v>
      </c>
      <c r="H3934" s="34">
        <f>SUMIF($D$3935:$D$3940,$D$3934,$H$3935:$H$3940)</f>
        <v>0</v>
      </c>
      <c r="I3934" s="222"/>
      <c r="J3934" s="222"/>
      <c r="K3934" s="15"/>
      <c r="L3934" s="15"/>
      <c r="M3934" s="15"/>
      <c r="N3934" s="15"/>
      <c r="O3934" s="15"/>
      <c r="P3934" s="15"/>
      <c r="Q3934" s="15"/>
      <c r="R3934" s="15"/>
      <c r="S3934" s="15"/>
      <c r="T3934" s="15"/>
      <c r="U3934" s="15"/>
      <c r="V3934" s="15"/>
      <c r="W3934" s="15"/>
      <c r="X3934" s="15"/>
      <c r="Y3934" s="15"/>
      <c r="Z3934" s="15"/>
      <c r="AA3934" s="15"/>
      <c r="AB3934" s="15"/>
      <c r="AC3934" s="15"/>
      <c r="AD3934" s="15"/>
      <c r="AE3934" s="15"/>
      <c r="AF3934" s="15"/>
      <c r="AG3934" s="15"/>
      <c r="AH3934" s="15"/>
      <c r="AI3934" s="15"/>
      <c r="AJ3934" s="15"/>
    </row>
    <row r="3935" spans="1:36" s="15" customFormat="1" ht="78.75" hidden="1" outlineLevel="1" x14ac:dyDescent="0.25">
      <c r="A3935" s="18">
        <v>205</v>
      </c>
      <c r="B3935" s="4" t="s">
        <v>23</v>
      </c>
      <c r="C3935" s="38" t="s">
        <v>2591</v>
      </c>
      <c r="D3935" s="4">
        <v>2022</v>
      </c>
      <c r="E3935" s="4" t="s">
        <v>24</v>
      </c>
      <c r="F3935" s="4">
        <v>105</v>
      </c>
      <c r="G3935" s="41">
        <v>15</v>
      </c>
      <c r="H3935" s="41">
        <v>858</v>
      </c>
      <c r="I3935" s="221"/>
      <c r="J3935" s="221"/>
    </row>
    <row r="3936" spans="1:36" s="15" customFormat="1" ht="63" hidden="1" outlineLevel="1" x14ac:dyDescent="0.25">
      <c r="A3936" s="18">
        <v>250</v>
      </c>
      <c r="B3936" s="4" t="s">
        <v>23</v>
      </c>
      <c r="C3936" s="38" t="s">
        <v>3121</v>
      </c>
      <c r="D3936" s="4">
        <v>2022</v>
      </c>
      <c r="E3936" s="4" t="s">
        <v>24</v>
      </c>
      <c r="F3936" s="4">
        <v>148</v>
      </c>
      <c r="G3936" s="41">
        <v>50</v>
      </c>
      <c r="H3936" s="41">
        <v>909</v>
      </c>
      <c r="I3936" s="221"/>
      <c r="J3936" s="221"/>
    </row>
    <row r="3937" spans="1:36" s="15" customFormat="1" ht="33.75" hidden="1" customHeight="1" outlineLevel="1" x14ac:dyDescent="0.25">
      <c r="A3937" s="46">
        <v>9452</v>
      </c>
      <c r="B3937" s="4" t="s">
        <v>23</v>
      </c>
      <c r="C3937" s="38" t="s">
        <v>133</v>
      </c>
      <c r="D3937" s="4">
        <v>2021</v>
      </c>
      <c r="E3937" s="4" t="s">
        <v>24</v>
      </c>
      <c r="F3937" s="4">
        <v>271</v>
      </c>
      <c r="G3937" s="41">
        <v>15</v>
      </c>
      <c r="H3937" s="41">
        <v>926</v>
      </c>
      <c r="I3937" s="221"/>
      <c r="J3937" s="221"/>
    </row>
    <row r="3938" spans="1:36" s="15" customFormat="1" ht="33.75" hidden="1" customHeight="1" outlineLevel="1" x14ac:dyDescent="0.25">
      <c r="A3938" s="46">
        <v>9575</v>
      </c>
      <c r="B3938" s="4" t="s">
        <v>23</v>
      </c>
      <c r="C3938" s="38" t="s">
        <v>905</v>
      </c>
      <c r="D3938" s="4">
        <v>2021</v>
      </c>
      <c r="E3938" s="4" t="s">
        <v>24</v>
      </c>
      <c r="F3938" s="4">
        <v>5644</v>
      </c>
      <c r="G3938" s="41">
        <v>280</v>
      </c>
      <c r="H3938" s="41">
        <v>17994.238000000001</v>
      </c>
      <c r="I3938" s="221"/>
      <c r="J3938" s="221"/>
    </row>
    <row r="3939" spans="1:36" s="15" customFormat="1" ht="15.75" hidden="1" outlineLevel="1" x14ac:dyDescent="0.25">
      <c r="A3939" s="162"/>
      <c r="B3939" s="4" t="s">
        <v>23</v>
      </c>
      <c r="C3939" s="38"/>
      <c r="D3939" s="4">
        <v>2023</v>
      </c>
      <c r="E3939" s="4" t="s">
        <v>24</v>
      </c>
      <c r="F3939" s="160"/>
      <c r="G3939" s="161"/>
      <c r="H3939" s="161"/>
      <c r="I3939" s="221"/>
      <c r="J3939" s="221"/>
    </row>
    <row r="3940" spans="1:36" s="15" customFormat="1" ht="15.75" hidden="1" outlineLevel="1" x14ac:dyDescent="0.25">
      <c r="A3940" s="46"/>
      <c r="B3940" s="4"/>
      <c r="C3940" s="38"/>
      <c r="D3940" s="4"/>
      <c r="E3940" s="4"/>
      <c r="F3940" s="4"/>
      <c r="G3940" s="41"/>
      <c r="H3940" s="41"/>
      <c r="I3940" s="221"/>
      <c r="J3940" s="221"/>
    </row>
    <row r="3941" spans="1:36" s="15" customFormat="1" ht="13.5" customHeight="1" collapsed="1" x14ac:dyDescent="0.25">
      <c r="A3941" s="91"/>
      <c r="B3941" s="321" t="s">
        <v>25</v>
      </c>
      <c r="C3941" s="329" t="s">
        <v>2102</v>
      </c>
      <c r="D3941" s="321"/>
      <c r="E3941" s="321" t="s">
        <v>24</v>
      </c>
      <c r="F3941" s="321"/>
      <c r="G3941" s="321"/>
      <c r="H3941" s="321"/>
      <c r="I3941" s="214"/>
      <c r="J3941" s="214"/>
    </row>
    <row r="3942" spans="1:36" s="15" customFormat="1" ht="15.75" x14ac:dyDescent="0.25">
      <c r="A3942" s="170"/>
      <c r="B3942" s="322"/>
      <c r="C3942" s="330"/>
      <c r="D3942" s="322"/>
      <c r="E3942" s="322"/>
      <c r="F3942" s="322"/>
      <c r="G3942" s="322"/>
      <c r="H3942" s="322"/>
      <c r="I3942" s="215"/>
      <c r="J3942" s="215"/>
    </row>
    <row r="3943" spans="1:36" s="15" customFormat="1" ht="11.25" customHeight="1" x14ac:dyDescent="0.25">
      <c r="A3943" s="170"/>
      <c r="B3943" s="322"/>
      <c r="C3943" s="330"/>
      <c r="D3943" s="322"/>
      <c r="E3943" s="322"/>
      <c r="F3943" s="322"/>
      <c r="G3943" s="322"/>
      <c r="H3943" s="322"/>
      <c r="I3943" s="215"/>
      <c r="J3943" s="215"/>
    </row>
    <row r="3944" spans="1:36" s="15" customFormat="1" ht="10.5" customHeight="1" x14ac:dyDescent="0.25">
      <c r="A3944" s="170"/>
      <c r="B3944" s="323"/>
      <c r="C3944" s="331"/>
      <c r="D3944" s="323"/>
      <c r="E3944" s="323"/>
      <c r="F3944" s="323"/>
      <c r="G3944" s="323"/>
      <c r="H3944" s="323"/>
      <c r="I3944" s="215"/>
      <c r="J3944" s="215"/>
    </row>
    <row r="3945" spans="1:36" s="15" customFormat="1" ht="16.5" customHeight="1" x14ac:dyDescent="0.25">
      <c r="A3945" s="171"/>
      <c r="B3945" s="7" t="s">
        <v>25</v>
      </c>
      <c r="C3945" s="8" t="s">
        <v>57</v>
      </c>
      <c r="D3945" s="7">
        <v>2021</v>
      </c>
      <c r="E3945" s="7" t="s">
        <v>24</v>
      </c>
      <c r="F3945" s="7">
        <f>SUMIF($D$3948:$D$3953,$D$3945,$F$3948:$F$3953)</f>
        <v>18041</v>
      </c>
      <c r="G3945" s="7">
        <f>SUMIF($D$3948:$D$3953,$D$3945,$G$3948:$G$3953)</f>
        <v>5677</v>
      </c>
      <c r="H3945" s="10">
        <f>SUMIF($D$3948:$D$3953,$D$3945,$H$3948:$H$3953)</f>
        <v>78104.05</v>
      </c>
      <c r="I3945" s="5"/>
      <c r="J3945" s="5"/>
      <c r="K3945" s="5"/>
    </row>
    <row r="3946" spans="1:36" s="27" customFormat="1" ht="16.5" customHeight="1" x14ac:dyDescent="0.25">
      <c r="A3946" s="171"/>
      <c r="B3946" s="7" t="s">
        <v>25</v>
      </c>
      <c r="C3946" s="8" t="s">
        <v>57</v>
      </c>
      <c r="D3946" s="7">
        <v>2022</v>
      </c>
      <c r="E3946" s="7" t="s">
        <v>24</v>
      </c>
      <c r="F3946" s="7">
        <f>SUMIF($D$3948:$D$3953,$D$3946,$F$3948:$F$3953)</f>
        <v>0</v>
      </c>
      <c r="G3946" s="7">
        <f>SUMIF($D$3948:$D$3953,$D$3946,$G$3948:$G$3953)</f>
        <v>0</v>
      </c>
      <c r="H3946" s="10">
        <f>SUMIF($D$3948:$D$3953,$D$3946,$H$3948:$H$3953)</f>
        <v>0</v>
      </c>
      <c r="I3946" s="205"/>
      <c r="J3946" s="205"/>
      <c r="K3946" s="15"/>
      <c r="L3946" s="15"/>
      <c r="M3946" s="15"/>
      <c r="N3946" s="15"/>
      <c r="O3946" s="15"/>
      <c r="P3946" s="15"/>
      <c r="Q3946" s="15"/>
      <c r="R3946" s="15"/>
      <c r="S3946" s="15"/>
      <c r="T3946" s="15"/>
      <c r="U3946" s="15"/>
      <c r="V3946" s="15"/>
      <c r="W3946" s="15"/>
      <c r="X3946" s="15"/>
      <c r="Y3946" s="15"/>
      <c r="Z3946" s="15"/>
      <c r="AA3946" s="15"/>
      <c r="AB3946" s="15"/>
      <c r="AC3946" s="15"/>
      <c r="AD3946" s="15"/>
      <c r="AE3946" s="15"/>
      <c r="AF3946" s="15"/>
      <c r="AG3946" s="15"/>
      <c r="AH3946" s="15"/>
      <c r="AI3946" s="15"/>
      <c r="AJ3946" s="15"/>
    </row>
    <row r="3947" spans="1:36" s="27" customFormat="1" ht="15.75" x14ac:dyDescent="0.25">
      <c r="A3947" s="171"/>
      <c r="B3947" s="7" t="s">
        <v>25</v>
      </c>
      <c r="C3947" s="8" t="s">
        <v>57</v>
      </c>
      <c r="D3947" s="7">
        <v>2023</v>
      </c>
      <c r="E3947" s="7" t="s">
        <v>24</v>
      </c>
      <c r="F3947" s="7">
        <f>SUMIF($D$3948:$D$3953,$D$3947,$F$3948:$F$3953)</f>
        <v>0</v>
      </c>
      <c r="G3947" s="7">
        <f>SUMIF($D$3948:$D$3953,$D$3947,$G$3948:$G$3953)</f>
        <v>0</v>
      </c>
      <c r="H3947" s="10">
        <f>SUMIF($D$3948:$D$3953,$D$3947,$H$3948:$H$3953)</f>
        <v>0</v>
      </c>
      <c r="I3947" s="205"/>
      <c r="J3947" s="205"/>
      <c r="K3947" s="15"/>
      <c r="L3947" s="15"/>
      <c r="M3947" s="15"/>
      <c r="N3947" s="15"/>
      <c r="O3947" s="15"/>
      <c r="P3947" s="15"/>
      <c r="Q3947" s="15"/>
      <c r="R3947" s="15"/>
      <c r="S3947" s="15"/>
      <c r="T3947" s="15"/>
      <c r="U3947" s="15"/>
      <c r="V3947" s="15"/>
      <c r="W3947" s="15"/>
      <c r="X3947" s="15"/>
      <c r="Y3947" s="15"/>
      <c r="Z3947" s="15"/>
      <c r="AA3947" s="15"/>
      <c r="AB3947" s="15"/>
      <c r="AC3947" s="15"/>
      <c r="AD3947" s="15"/>
      <c r="AE3947" s="15"/>
      <c r="AF3947" s="15"/>
      <c r="AG3947" s="15"/>
      <c r="AH3947" s="15"/>
      <c r="AI3947" s="15"/>
      <c r="AJ3947" s="15"/>
    </row>
    <row r="3948" spans="1:36" s="15" customFormat="1" ht="15.75" hidden="1" outlineLevel="1" x14ac:dyDescent="0.25">
      <c r="A3948" s="18"/>
      <c r="B3948" s="4" t="s">
        <v>25</v>
      </c>
      <c r="C3948" s="22"/>
      <c r="D3948" s="4">
        <v>2022</v>
      </c>
      <c r="E3948" s="4" t="s">
        <v>24</v>
      </c>
      <c r="F3948" s="4"/>
      <c r="G3948" s="41"/>
      <c r="H3948" s="41"/>
      <c r="I3948" s="221"/>
      <c r="J3948" s="221"/>
    </row>
    <row r="3949" spans="1:36" s="15" customFormat="1" ht="15.75" hidden="1" outlineLevel="1" x14ac:dyDescent="0.25">
      <c r="A3949" s="18"/>
      <c r="B3949" s="4" t="s">
        <v>25</v>
      </c>
      <c r="C3949" s="22"/>
      <c r="D3949" s="4">
        <v>2023</v>
      </c>
      <c r="E3949" s="4" t="s">
        <v>24</v>
      </c>
      <c r="F3949" s="4"/>
      <c r="G3949" s="41"/>
      <c r="H3949" s="41"/>
      <c r="I3949" s="221"/>
      <c r="J3949" s="221"/>
    </row>
    <row r="3950" spans="1:36" s="15" customFormat="1" ht="42.75" hidden="1" customHeight="1" outlineLevel="1" x14ac:dyDescent="0.25">
      <c r="A3950" s="46">
        <v>9574</v>
      </c>
      <c r="B3950" s="4" t="s">
        <v>25</v>
      </c>
      <c r="C3950" s="22" t="s">
        <v>193</v>
      </c>
      <c r="D3950" s="4">
        <v>2021</v>
      </c>
      <c r="E3950" s="4" t="s">
        <v>24</v>
      </c>
      <c r="F3950" s="4">
        <v>15916</v>
      </c>
      <c r="G3950" s="41">
        <v>2002</v>
      </c>
      <c r="H3950" s="41">
        <v>65765</v>
      </c>
      <c r="I3950" s="221"/>
      <c r="J3950" s="221"/>
    </row>
    <row r="3951" spans="1:36" s="15" customFormat="1" ht="35.25" hidden="1" customHeight="1" outlineLevel="1" x14ac:dyDescent="0.25">
      <c r="A3951" s="46">
        <v>9266</v>
      </c>
      <c r="B3951" s="4" t="s">
        <v>25</v>
      </c>
      <c r="C3951" s="22" t="s">
        <v>8034</v>
      </c>
      <c r="D3951" s="4">
        <v>2021</v>
      </c>
      <c r="E3951" s="4" t="s">
        <v>24</v>
      </c>
      <c r="F3951" s="4">
        <v>560</v>
      </c>
      <c r="G3951" s="41">
        <v>3420</v>
      </c>
      <c r="H3951" s="41">
        <v>3397</v>
      </c>
      <c r="I3951" s="221"/>
      <c r="J3951" s="221"/>
    </row>
    <row r="3952" spans="1:36" s="15" customFormat="1" ht="35.25" hidden="1" customHeight="1" outlineLevel="1" x14ac:dyDescent="0.25">
      <c r="A3952" s="45">
        <v>449</v>
      </c>
      <c r="B3952" s="4" t="s">
        <v>25</v>
      </c>
      <c r="C3952" s="22" t="s">
        <v>278</v>
      </c>
      <c r="D3952" s="4">
        <v>2021</v>
      </c>
      <c r="E3952" s="4" t="s">
        <v>24</v>
      </c>
      <c r="F3952" s="4">
        <v>625</v>
      </c>
      <c r="G3952" s="41">
        <v>150</v>
      </c>
      <c r="H3952" s="41">
        <v>2724.5940000000001</v>
      </c>
      <c r="I3952" s="221"/>
      <c r="J3952" s="221"/>
    </row>
    <row r="3953" spans="1:36" s="15" customFormat="1" ht="35.25" hidden="1" customHeight="1" outlineLevel="1" x14ac:dyDescent="0.25">
      <c r="A3953" s="46">
        <v>9079</v>
      </c>
      <c r="B3953" s="4" t="s">
        <v>25</v>
      </c>
      <c r="C3953" s="22" t="s">
        <v>279</v>
      </c>
      <c r="D3953" s="4">
        <v>2021</v>
      </c>
      <c r="E3953" s="4" t="s">
        <v>24</v>
      </c>
      <c r="F3953" s="4">
        <v>940</v>
      </c>
      <c r="G3953" s="41">
        <v>105</v>
      </c>
      <c r="H3953" s="41">
        <v>6217.4560000000001</v>
      </c>
      <c r="I3953" s="221"/>
      <c r="J3953" s="221"/>
    </row>
    <row r="3954" spans="1:36" s="15" customFormat="1" ht="15.75" collapsed="1" x14ac:dyDescent="0.25">
      <c r="A3954" s="18"/>
      <c r="B3954" s="319" t="s">
        <v>26</v>
      </c>
      <c r="C3954" s="327" t="s">
        <v>2103</v>
      </c>
      <c r="D3954" s="319"/>
      <c r="E3954" s="319" t="s">
        <v>24</v>
      </c>
      <c r="F3954" s="319"/>
      <c r="G3954" s="319"/>
      <c r="H3954" s="319"/>
      <c r="I3954" s="218"/>
      <c r="J3954" s="218"/>
    </row>
    <row r="3955" spans="1:36" s="15" customFormat="1" ht="11.25" customHeight="1" x14ac:dyDescent="0.25">
      <c r="A3955" s="18"/>
      <c r="B3955" s="328"/>
      <c r="C3955" s="325"/>
      <c r="D3955" s="328"/>
      <c r="E3955" s="328"/>
      <c r="F3955" s="328"/>
      <c r="G3955" s="328"/>
      <c r="H3955" s="328"/>
      <c r="I3955" s="219"/>
      <c r="J3955" s="219"/>
    </row>
    <row r="3956" spans="1:36" s="15" customFormat="1" ht="15.75" x14ac:dyDescent="0.25">
      <c r="A3956" s="18"/>
      <c r="B3956" s="328"/>
      <c r="C3956" s="325"/>
      <c r="D3956" s="328"/>
      <c r="E3956" s="328"/>
      <c r="F3956" s="328"/>
      <c r="G3956" s="328"/>
      <c r="H3956" s="328"/>
      <c r="I3956" s="219"/>
      <c r="J3956" s="219"/>
    </row>
    <row r="3957" spans="1:36" s="15" customFormat="1" ht="12" customHeight="1" x14ac:dyDescent="0.25">
      <c r="A3957" s="18"/>
      <c r="B3957" s="320"/>
      <c r="C3957" s="326"/>
      <c r="D3957" s="320"/>
      <c r="E3957" s="320"/>
      <c r="F3957" s="320"/>
      <c r="G3957" s="320"/>
      <c r="H3957" s="320"/>
      <c r="I3957" s="219"/>
      <c r="J3957" s="219"/>
    </row>
    <row r="3958" spans="1:36" s="15" customFormat="1" ht="15" customHeight="1" x14ac:dyDescent="0.25">
      <c r="A3958" s="18"/>
      <c r="B3958" s="11" t="s">
        <v>26</v>
      </c>
      <c r="C3958" s="12" t="s">
        <v>57</v>
      </c>
      <c r="D3958" s="11">
        <v>2021</v>
      </c>
      <c r="E3958" s="11" t="s">
        <v>24</v>
      </c>
      <c r="F3958" s="14">
        <f>SUMIF($D$3961:$D$3966,$D$3958,$F$3961:$F$3966)</f>
        <v>656</v>
      </c>
      <c r="G3958" s="14">
        <f>SUMIF($D$3961:$D$3966,$D$3958,$G$3961:$G$3966)</f>
        <v>4574.2</v>
      </c>
      <c r="H3958" s="14">
        <f>SUMIF($D$3961:$D$3966,$D$3958,$H$3961:$H$3966)</f>
        <v>3377</v>
      </c>
      <c r="I3958" s="5"/>
      <c r="J3958" s="5"/>
      <c r="K3958" s="5"/>
    </row>
    <row r="3959" spans="1:36" s="27" customFormat="1" ht="16.5" customHeight="1" x14ac:dyDescent="0.25">
      <c r="A3959" s="18"/>
      <c r="B3959" s="11" t="s">
        <v>26</v>
      </c>
      <c r="C3959" s="12" t="s">
        <v>57</v>
      </c>
      <c r="D3959" s="11">
        <v>2022</v>
      </c>
      <c r="E3959" s="11" t="s">
        <v>24</v>
      </c>
      <c r="F3959" s="14">
        <f>SUMIF($D$3961:$D$3966,$D$3959,$F$3961:$F$3966)</f>
        <v>0</v>
      </c>
      <c r="G3959" s="14">
        <f>SUMIF($D$3961:$D$3966,$D$3959,$G$3961:$G$3966)</f>
        <v>0</v>
      </c>
      <c r="H3959" s="14">
        <f>SUMIF($D$3961:$D$3966,$D$3959,$H$3961:$H$3966)</f>
        <v>0</v>
      </c>
      <c r="I3959" s="220"/>
      <c r="J3959" s="220"/>
      <c r="K3959" s="15"/>
      <c r="L3959" s="15"/>
      <c r="M3959" s="15"/>
      <c r="N3959" s="15"/>
      <c r="O3959" s="15"/>
      <c r="P3959" s="15"/>
      <c r="Q3959" s="15"/>
      <c r="R3959" s="15"/>
      <c r="S3959" s="15"/>
      <c r="T3959" s="15"/>
      <c r="U3959" s="15"/>
      <c r="V3959" s="15"/>
      <c r="W3959" s="15"/>
      <c r="X3959" s="15"/>
      <c r="Y3959" s="15"/>
      <c r="Z3959" s="15"/>
      <c r="AA3959" s="15"/>
      <c r="AB3959" s="15"/>
      <c r="AC3959" s="15"/>
      <c r="AD3959" s="15"/>
      <c r="AE3959" s="15"/>
      <c r="AF3959" s="15"/>
      <c r="AG3959" s="15"/>
      <c r="AH3959" s="15"/>
      <c r="AI3959" s="15"/>
      <c r="AJ3959" s="15"/>
    </row>
    <row r="3960" spans="1:36" s="27" customFormat="1" ht="15.75" x14ac:dyDescent="0.25">
      <c r="A3960" s="18"/>
      <c r="B3960" s="11" t="s">
        <v>26</v>
      </c>
      <c r="C3960" s="12" t="s">
        <v>57</v>
      </c>
      <c r="D3960" s="11">
        <v>2023</v>
      </c>
      <c r="E3960" s="11" t="s">
        <v>24</v>
      </c>
      <c r="F3960" s="14">
        <f>SUMIF($D$3961:$D$3966,$D$3960,$F$3961:$F$3966)</f>
        <v>1688</v>
      </c>
      <c r="G3960" s="14">
        <f>SUMIF($D$3961:$D$3966,$D$3960,$G$3961:$G$3966)</f>
        <v>4886</v>
      </c>
      <c r="H3960" s="14">
        <f>SUMIF($D$3961:$D$3966,$D$3960,$H$3961:$H$3966)</f>
        <v>14364</v>
      </c>
      <c r="I3960" s="220"/>
      <c r="J3960" s="220"/>
      <c r="K3960" s="15"/>
      <c r="L3960" s="15"/>
      <c r="M3960" s="15"/>
      <c r="N3960" s="15"/>
      <c r="O3960" s="15"/>
      <c r="P3960" s="15"/>
      <c r="Q3960" s="15"/>
      <c r="R3960" s="15"/>
      <c r="S3960" s="15"/>
      <c r="T3960" s="15"/>
      <c r="U3960" s="15"/>
      <c r="V3960" s="15"/>
      <c r="W3960" s="15"/>
      <c r="X3960" s="15"/>
      <c r="Y3960" s="15"/>
      <c r="Z3960" s="15"/>
      <c r="AA3960" s="15"/>
      <c r="AB3960" s="15"/>
      <c r="AC3960" s="15"/>
      <c r="AD3960" s="15"/>
      <c r="AE3960" s="15"/>
      <c r="AF3960" s="15"/>
      <c r="AG3960" s="15"/>
      <c r="AH3960" s="15"/>
      <c r="AI3960" s="15"/>
      <c r="AJ3960" s="15"/>
    </row>
    <row r="3961" spans="1:36" s="15" customFormat="1" ht="15.75" hidden="1" outlineLevel="1" x14ac:dyDescent="0.25">
      <c r="A3961" s="18"/>
      <c r="B3961" s="4" t="s">
        <v>26</v>
      </c>
      <c r="C3961" s="22"/>
      <c r="D3961" s="4">
        <v>2022</v>
      </c>
      <c r="E3961" s="4" t="s">
        <v>24</v>
      </c>
      <c r="F3961" s="41"/>
      <c r="G3961" s="41"/>
      <c r="H3961" s="41"/>
      <c r="I3961" s="221"/>
      <c r="J3961" s="221"/>
    </row>
    <row r="3962" spans="1:36" s="15" customFormat="1" ht="94.5" hidden="1" outlineLevel="1" x14ac:dyDescent="0.25">
      <c r="A3962" s="18">
        <v>4503</v>
      </c>
      <c r="B3962" s="4" t="s">
        <v>26</v>
      </c>
      <c r="C3962" s="38" t="s">
        <v>9215</v>
      </c>
      <c r="D3962" s="4">
        <v>2023</v>
      </c>
      <c r="E3962" s="4" t="s">
        <v>24</v>
      </c>
      <c r="F3962" s="4">
        <v>388</v>
      </c>
      <c r="G3962" s="41">
        <v>900</v>
      </c>
      <c r="H3962" s="41">
        <v>2791</v>
      </c>
      <c r="I3962" s="221"/>
      <c r="J3962" s="221"/>
    </row>
    <row r="3963" spans="1:36" s="15" customFormat="1" ht="65.25" hidden="1" customHeight="1" outlineLevel="1" x14ac:dyDescent="0.25">
      <c r="A3963" s="18">
        <v>4414</v>
      </c>
      <c r="B3963" s="4" t="s">
        <v>26</v>
      </c>
      <c r="C3963" s="38" t="s">
        <v>9358</v>
      </c>
      <c r="D3963" s="4">
        <v>2023</v>
      </c>
      <c r="E3963" s="4" t="s">
        <v>24</v>
      </c>
      <c r="F3963" s="41">
        <v>1300</v>
      </c>
      <c r="G3963" s="41">
        <v>3986</v>
      </c>
      <c r="H3963" s="41">
        <v>11573</v>
      </c>
      <c r="I3963" s="221"/>
      <c r="J3963" s="221"/>
    </row>
    <row r="3964" spans="1:36" s="15" customFormat="1" ht="84.75" hidden="1" customHeight="1" outlineLevel="1" x14ac:dyDescent="0.25">
      <c r="A3964" s="18">
        <v>9088</v>
      </c>
      <c r="B3964" s="4" t="s">
        <v>26</v>
      </c>
      <c r="C3964" s="22" t="s">
        <v>2085</v>
      </c>
      <c r="D3964" s="4">
        <v>2021</v>
      </c>
      <c r="E3964" s="4" t="s">
        <v>24</v>
      </c>
      <c r="F3964" s="4">
        <v>72</v>
      </c>
      <c r="G3964" s="4">
        <v>149</v>
      </c>
      <c r="H3964" s="4">
        <v>670</v>
      </c>
      <c r="I3964" s="201"/>
      <c r="J3964" s="201"/>
    </row>
    <row r="3965" spans="1:36" s="15" customFormat="1" ht="94.5" hidden="1" outlineLevel="1" x14ac:dyDescent="0.25">
      <c r="A3965" s="18">
        <v>1437</v>
      </c>
      <c r="B3965" s="4" t="s">
        <v>26</v>
      </c>
      <c r="C3965" s="22" t="s">
        <v>2086</v>
      </c>
      <c r="D3965" s="4">
        <v>2021</v>
      </c>
      <c r="E3965" s="4" t="s">
        <v>24</v>
      </c>
      <c r="F3965" s="41">
        <v>584</v>
      </c>
      <c r="G3965" s="41">
        <v>4425.2</v>
      </c>
      <c r="H3965" s="41">
        <v>2707</v>
      </c>
      <c r="I3965" s="221"/>
      <c r="J3965" s="221"/>
    </row>
    <row r="3966" spans="1:36" s="15" customFormat="1" ht="15.75" hidden="1" outlineLevel="1" x14ac:dyDescent="0.25">
      <c r="A3966" s="18"/>
      <c r="B3966" s="4" t="s">
        <v>26</v>
      </c>
      <c r="C3966" s="22"/>
      <c r="D3966" s="4">
        <v>2021</v>
      </c>
      <c r="E3966" s="4"/>
      <c r="F3966" s="41">
        <v>0</v>
      </c>
      <c r="G3966" s="41">
        <v>0</v>
      </c>
      <c r="H3966" s="41">
        <v>0</v>
      </c>
      <c r="I3966" s="221"/>
      <c r="J3966" s="221"/>
    </row>
    <row r="3967" spans="1:36" s="16" customFormat="1" ht="33" customHeight="1" collapsed="1" x14ac:dyDescent="0.25">
      <c r="A3967" s="43"/>
      <c r="B3967" s="63"/>
      <c r="C3967" s="122" t="s">
        <v>2105</v>
      </c>
      <c r="D3967" s="18"/>
      <c r="E3967" s="18"/>
      <c r="F3967" s="18"/>
      <c r="G3967" s="18"/>
      <c r="H3967" s="18"/>
      <c r="I3967" s="90"/>
      <c r="J3967" s="90"/>
      <c r="K3967" s="15"/>
      <c r="L3967" s="15"/>
      <c r="M3967" s="15"/>
      <c r="N3967" s="15"/>
      <c r="O3967" s="15"/>
      <c r="P3967" s="15"/>
      <c r="Q3967" s="15"/>
      <c r="R3967" s="15"/>
      <c r="S3967" s="15"/>
      <c r="T3967" s="15"/>
      <c r="U3967" s="15"/>
      <c r="V3967" s="15"/>
      <c r="W3967" s="15"/>
      <c r="X3967" s="15"/>
      <c r="Y3967" s="15"/>
      <c r="Z3967" s="15"/>
      <c r="AA3967" s="15"/>
      <c r="AB3967" s="15"/>
      <c r="AC3967" s="15"/>
      <c r="AD3967" s="15"/>
      <c r="AE3967" s="15"/>
      <c r="AF3967" s="15"/>
      <c r="AG3967" s="15"/>
      <c r="AH3967" s="15"/>
      <c r="AI3967" s="15"/>
      <c r="AJ3967" s="15"/>
    </row>
    <row r="3968" spans="1:36" s="16" customFormat="1" ht="15.75" x14ac:dyDescent="0.25">
      <c r="A3968" s="43"/>
      <c r="B3968" s="319" t="s">
        <v>27</v>
      </c>
      <c r="C3968" s="324" t="s">
        <v>2106</v>
      </c>
      <c r="D3968" s="324"/>
      <c r="E3968" s="319" t="s">
        <v>24</v>
      </c>
      <c r="F3968" s="324"/>
      <c r="G3968" s="324"/>
      <c r="H3968" s="324"/>
      <c r="I3968" s="225"/>
      <c r="J3968" s="225"/>
      <c r="K3968" s="15"/>
      <c r="L3968" s="15"/>
      <c r="M3968" s="15"/>
      <c r="N3968" s="15"/>
      <c r="O3968" s="15"/>
      <c r="P3968" s="15"/>
      <c r="Q3968" s="15"/>
      <c r="R3968" s="15"/>
      <c r="S3968" s="15"/>
      <c r="T3968" s="15"/>
      <c r="U3968" s="15"/>
      <c r="V3968" s="15"/>
      <c r="W3968" s="15"/>
      <c r="X3968" s="15"/>
      <c r="Y3968" s="15"/>
      <c r="Z3968" s="15"/>
      <c r="AA3968" s="15"/>
      <c r="AB3968" s="15"/>
      <c r="AC3968" s="15"/>
      <c r="AD3968" s="15"/>
      <c r="AE3968" s="15"/>
      <c r="AF3968" s="15"/>
      <c r="AG3968" s="15"/>
      <c r="AH3968" s="15"/>
      <c r="AI3968" s="15"/>
      <c r="AJ3968" s="15"/>
    </row>
    <row r="3969" spans="1:36" s="16" customFormat="1" ht="15.75" x14ac:dyDescent="0.25">
      <c r="A3969" s="44"/>
      <c r="B3969" s="328"/>
      <c r="C3969" s="325"/>
      <c r="D3969" s="325"/>
      <c r="E3969" s="328" t="s">
        <v>24</v>
      </c>
      <c r="F3969" s="325"/>
      <c r="G3969" s="325"/>
      <c r="H3969" s="325"/>
      <c r="I3969" s="226"/>
      <c r="J3969" s="226"/>
      <c r="K3969" s="15"/>
      <c r="L3969" s="15"/>
      <c r="M3969" s="15"/>
      <c r="N3969" s="15"/>
      <c r="O3969" s="15"/>
      <c r="P3969" s="15"/>
      <c r="Q3969" s="15"/>
      <c r="R3969" s="15"/>
      <c r="S3969" s="15"/>
      <c r="T3969" s="15"/>
      <c r="U3969" s="15"/>
      <c r="V3969" s="15"/>
      <c r="W3969" s="15"/>
      <c r="X3969" s="15"/>
      <c r="Y3969" s="15"/>
      <c r="Z3969" s="15"/>
      <c r="AA3969" s="15"/>
      <c r="AB3969" s="15"/>
      <c r="AC3969" s="15"/>
      <c r="AD3969" s="15"/>
      <c r="AE3969" s="15"/>
      <c r="AF3969" s="15"/>
      <c r="AG3969" s="15"/>
      <c r="AH3969" s="15"/>
      <c r="AI3969" s="15"/>
      <c r="AJ3969" s="15"/>
    </row>
    <row r="3970" spans="1:36" s="16" customFormat="1" ht="6" customHeight="1" x14ac:dyDescent="0.25">
      <c r="A3970" s="43"/>
      <c r="B3970" s="328"/>
      <c r="C3970" s="325"/>
      <c r="D3970" s="325"/>
      <c r="E3970" s="328"/>
      <c r="F3970" s="325"/>
      <c r="G3970" s="325"/>
      <c r="H3970" s="325"/>
      <c r="I3970" s="226"/>
      <c r="J3970" s="226"/>
      <c r="K3970" s="15"/>
      <c r="L3970" s="15"/>
      <c r="M3970" s="15"/>
      <c r="N3970" s="15"/>
      <c r="O3970" s="15"/>
      <c r="P3970" s="15"/>
      <c r="Q3970" s="15"/>
      <c r="R3970" s="15"/>
      <c r="S3970" s="15"/>
      <c r="T3970" s="15"/>
      <c r="U3970" s="15"/>
      <c r="V3970" s="15"/>
      <c r="W3970" s="15"/>
      <c r="X3970" s="15"/>
      <c r="Y3970" s="15"/>
      <c r="Z3970" s="15"/>
      <c r="AA3970" s="15"/>
      <c r="AB3970" s="15"/>
      <c r="AC3970" s="15"/>
      <c r="AD3970" s="15"/>
      <c r="AE3970" s="15"/>
      <c r="AF3970" s="15"/>
      <c r="AG3970" s="15"/>
      <c r="AH3970" s="15"/>
      <c r="AI3970" s="15"/>
      <c r="AJ3970" s="15"/>
    </row>
    <row r="3971" spans="1:36" s="16" customFormat="1" ht="9" customHeight="1" x14ac:dyDescent="0.25">
      <c r="A3971" s="43"/>
      <c r="B3971" s="320"/>
      <c r="C3971" s="326"/>
      <c r="D3971" s="326"/>
      <c r="E3971" s="320"/>
      <c r="F3971" s="326"/>
      <c r="G3971" s="326"/>
      <c r="H3971" s="326"/>
      <c r="I3971" s="226"/>
      <c r="J3971" s="226"/>
      <c r="K3971" s="15"/>
      <c r="L3971" s="15"/>
      <c r="M3971" s="15"/>
      <c r="N3971" s="15"/>
      <c r="O3971" s="15"/>
      <c r="P3971" s="15"/>
      <c r="Q3971" s="15"/>
      <c r="R3971" s="15"/>
      <c r="S3971" s="15"/>
      <c r="T3971" s="15"/>
      <c r="U3971" s="15"/>
      <c r="V3971" s="15"/>
      <c r="W3971" s="15"/>
      <c r="X3971" s="15"/>
      <c r="Y3971" s="15"/>
      <c r="Z3971" s="15"/>
      <c r="AA3971" s="15"/>
      <c r="AB3971" s="15"/>
      <c r="AC3971" s="15"/>
      <c r="AD3971" s="15"/>
      <c r="AE3971" s="15"/>
      <c r="AF3971" s="15"/>
      <c r="AG3971" s="15"/>
      <c r="AH3971" s="15"/>
      <c r="AI3971" s="15"/>
      <c r="AJ3971" s="15"/>
    </row>
    <row r="3972" spans="1:36" s="16" customFormat="1" ht="16.5" customHeight="1" x14ac:dyDescent="0.25">
      <c r="A3972" s="43"/>
      <c r="B3972" s="11" t="s">
        <v>27</v>
      </c>
      <c r="C3972" s="12" t="s">
        <v>57</v>
      </c>
      <c r="D3972" s="11">
        <v>2021</v>
      </c>
      <c r="E3972" s="11" t="s">
        <v>24</v>
      </c>
      <c r="F3972" s="11">
        <f>SUMIF($D$3975:$D$3984,$D$3972,$F$3975:$F$3984)</f>
        <v>12295</v>
      </c>
      <c r="G3972" s="14">
        <f>SUMIF($D$3975:$D$3984,$D$3972,$G$3975:$G$3984)</f>
        <v>712</v>
      </c>
      <c r="H3972" s="14">
        <f>SUMIF($D$3975:$D$3984,$D$3972,$H$3975:$H$3984)</f>
        <v>38335</v>
      </c>
      <c r="I3972" s="5"/>
      <c r="J3972" s="5"/>
      <c r="K3972" s="5"/>
      <c r="L3972" s="15"/>
      <c r="M3972" s="15"/>
      <c r="N3972" s="15"/>
      <c r="O3972" s="15"/>
      <c r="P3972" s="15"/>
      <c r="Q3972" s="15"/>
      <c r="R3972" s="15"/>
      <c r="S3972" s="15"/>
      <c r="T3972" s="15"/>
      <c r="U3972" s="15"/>
      <c r="V3972" s="15"/>
      <c r="W3972" s="15"/>
      <c r="X3972" s="15"/>
      <c r="Y3972" s="15"/>
      <c r="Z3972" s="15"/>
      <c r="AA3972" s="15"/>
      <c r="AB3972" s="15"/>
      <c r="AC3972" s="15"/>
      <c r="AD3972" s="15"/>
      <c r="AE3972" s="15"/>
      <c r="AF3972" s="15"/>
      <c r="AG3972" s="15"/>
      <c r="AH3972" s="15"/>
      <c r="AI3972" s="15"/>
      <c r="AJ3972" s="15"/>
    </row>
    <row r="3973" spans="1:36" s="27" customFormat="1" ht="16.5" customHeight="1" x14ac:dyDescent="0.25">
      <c r="A3973" s="18"/>
      <c r="B3973" s="11" t="s">
        <v>27</v>
      </c>
      <c r="C3973" s="12" t="s">
        <v>57</v>
      </c>
      <c r="D3973" s="11">
        <v>2022</v>
      </c>
      <c r="E3973" s="11" t="s">
        <v>24</v>
      </c>
      <c r="F3973" s="11">
        <f>SUMIF($D$3975:$D$3984,$D$3973,$F$3975:$F$3984)</f>
        <v>805</v>
      </c>
      <c r="G3973" s="11">
        <f>SUMIF($D$3975:$D$3984,$D$3973,$G$3975:$G$3984)</f>
        <v>405</v>
      </c>
      <c r="H3973" s="11">
        <f>SUMIF($D$3975:$D$3984,$D$3973,$H$3975:$H$3984)</f>
        <v>5853</v>
      </c>
      <c r="I3973" s="224"/>
      <c r="J3973" s="224"/>
      <c r="K3973" s="15"/>
      <c r="L3973" s="15"/>
      <c r="M3973" s="15"/>
      <c r="N3973" s="15"/>
      <c r="O3973" s="15"/>
      <c r="P3973" s="15"/>
      <c r="Q3973" s="15"/>
      <c r="R3973" s="15"/>
      <c r="S3973" s="15"/>
      <c r="T3973" s="15"/>
      <c r="U3973" s="15"/>
      <c r="V3973" s="15"/>
      <c r="W3973" s="15"/>
      <c r="X3973" s="15"/>
      <c r="Y3973" s="15"/>
      <c r="Z3973" s="15"/>
      <c r="AA3973" s="15"/>
      <c r="AB3973" s="15"/>
      <c r="AC3973" s="15"/>
      <c r="AD3973" s="15"/>
      <c r="AE3973" s="15"/>
      <c r="AF3973" s="15"/>
      <c r="AG3973" s="15"/>
      <c r="AH3973" s="15"/>
      <c r="AI3973" s="15"/>
      <c r="AJ3973" s="15"/>
    </row>
    <row r="3974" spans="1:36" s="27" customFormat="1" ht="15.75" x14ac:dyDescent="0.25">
      <c r="A3974" s="18"/>
      <c r="B3974" s="11" t="s">
        <v>27</v>
      </c>
      <c r="C3974" s="12" t="s">
        <v>2811</v>
      </c>
      <c r="D3974" s="11">
        <v>2023</v>
      </c>
      <c r="E3974" s="11" t="s">
        <v>24</v>
      </c>
      <c r="F3974" s="11">
        <f>SUMIF($D$3975:$D$3984,$D$3974,$F$3975:$F$3984)</f>
        <v>1403</v>
      </c>
      <c r="G3974" s="11">
        <f>SUMIF($D$3975:$D$3984,$D$3974,$G$3975:$G$3984)</f>
        <v>194</v>
      </c>
      <c r="H3974" s="14">
        <f>SUMIF($D$3975:$D$3984,$D$3974,$H$3975:$H$3984)</f>
        <v>8032.4678100000001</v>
      </c>
      <c r="I3974" s="220"/>
      <c r="J3974" s="220"/>
      <c r="K3974" s="15"/>
      <c r="L3974" s="15"/>
      <c r="M3974" s="15"/>
      <c r="N3974" s="15"/>
      <c r="O3974" s="15"/>
      <c r="P3974" s="15"/>
      <c r="Q3974" s="15"/>
      <c r="R3974" s="15"/>
      <c r="S3974" s="15"/>
      <c r="T3974" s="15"/>
      <c r="U3974" s="15"/>
      <c r="V3974" s="15"/>
      <c r="W3974" s="15"/>
      <c r="X3974" s="15"/>
      <c r="Y3974" s="15"/>
      <c r="Z3974" s="15"/>
      <c r="AA3974" s="15"/>
      <c r="AB3974" s="15"/>
      <c r="AC3974" s="15"/>
      <c r="AD3974" s="15"/>
      <c r="AE3974" s="15"/>
      <c r="AF3974" s="15"/>
      <c r="AG3974" s="15"/>
      <c r="AH3974" s="15"/>
      <c r="AI3974" s="15"/>
      <c r="AJ3974" s="15"/>
    </row>
    <row r="3975" spans="1:36" s="5" customFormat="1" ht="22.5" hidden="1" customHeight="1" outlineLevel="1" x14ac:dyDescent="0.25">
      <c r="A3975" s="4">
        <v>329</v>
      </c>
      <c r="B3975" s="4" t="s">
        <v>27</v>
      </c>
      <c r="C3975" s="38" t="s">
        <v>3122</v>
      </c>
      <c r="D3975" s="4">
        <v>2022</v>
      </c>
      <c r="E3975" s="4" t="s">
        <v>24</v>
      </c>
      <c r="F3975" s="4">
        <v>225</v>
      </c>
      <c r="G3975" s="4">
        <v>90</v>
      </c>
      <c r="H3975" s="41">
        <v>2411</v>
      </c>
      <c r="I3975" s="221"/>
      <c r="J3975" s="221"/>
    </row>
    <row r="3976" spans="1:36" s="5" customFormat="1" ht="22.5" hidden="1" customHeight="1" outlineLevel="1" x14ac:dyDescent="0.25">
      <c r="A3976" s="4">
        <v>354</v>
      </c>
      <c r="B3976" s="4" t="s">
        <v>27</v>
      </c>
      <c r="C3976" s="38" t="s">
        <v>3123</v>
      </c>
      <c r="D3976" s="4">
        <v>2022</v>
      </c>
      <c r="E3976" s="4" t="s">
        <v>24</v>
      </c>
      <c r="F3976" s="4">
        <v>135</v>
      </c>
      <c r="G3976" s="4">
        <v>15</v>
      </c>
      <c r="H3976" s="41">
        <v>979</v>
      </c>
      <c r="I3976" s="221"/>
      <c r="J3976" s="221"/>
    </row>
    <row r="3977" spans="1:36" s="5" customFormat="1" ht="22.5" hidden="1" customHeight="1" outlineLevel="1" x14ac:dyDescent="0.25">
      <c r="A3977" s="4">
        <v>401</v>
      </c>
      <c r="B3977" s="4" t="s">
        <v>27</v>
      </c>
      <c r="C3977" s="38" t="s">
        <v>3124</v>
      </c>
      <c r="D3977" s="4">
        <v>2022</v>
      </c>
      <c r="E3977" s="4" t="s">
        <v>24</v>
      </c>
      <c r="F3977" s="4">
        <v>72</v>
      </c>
      <c r="G3977" s="4">
        <v>150</v>
      </c>
      <c r="H3977" s="41">
        <v>675</v>
      </c>
      <c r="I3977" s="221"/>
      <c r="J3977" s="221"/>
    </row>
    <row r="3978" spans="1:36" s="5" customFormat="1" ht="22.5" hidden="1" customHeight="1" outlineLevel="1" x14ac:dyDescent="0.25">
      <c r="A3978" s="4">
        <v>422</v>
      </c>
      <c r="B3978" s="4" t="s">
        <v>27</v>
      </c>
      <c r="C3978" s="38" t="s">
        <v>3125</v>
      </c>
      <c r="D3978" s="4">
        <v>2022</v>
      </c>
      <c r="E3978" s="4" t="s">
        <v>24</v>
      </c>
      <c r="F3978" s="4">
        <v>373</v>
      </c>
      <c r="G3978" s="4">
        <v>150</v>
      </c>
      <c r="H3978" s="41">
        <v>1788</v>
      </c>
      <c r="I3978" s="221"/>
      <c r="J3978" s="221"/>
    </row>
    <row r="3979" spans="1:36" s="5" customFormat="1" ht="22.5" hidden="1" customHeight="1" outlineLevel="1" x14ac:dyDescent="0.25">
      <c r="A3979" s="18">
        <v>3182</v>
      </c>
      <c r="B3979" s="4" t="s">
        <v>27</v>
      </c>
      <c r="C3979" s="38" t="s">
        <v>8360</v>
      </c>
      <c r="D3979" s="4">
        <v>2023</v>
      </c>
      <c r="E3979" s="4" t="s">
        <v>24</v>
      </c>
      <c r="F3979" s="4">
        <v>312</v>
      </c>
      <c r="G3979" s="4">
        <v>9</v>
      </c>
      <c r="H3979" s="41">
        <v>1955.96471</v>
      </c>
      <c r="I3979" s="221"/>
      <c r="J3979" s="221"/>
    </row>
    <row r="3980" spans="1:36" s="5" customFormat="1" ht="22.5" hidden="1" customHeight="1" outlineLevel="1" x14ac:dyDescent="0.25">
      <c r="A3980" s="18">
        <v>3165</v>
      </c>
      <c r="B3980" s="4" t="s">
        <v>27</v>
      </c>
      <c r="C3980" s="38" t="s">
        <v>9064</v>
      </c>
      <c r="D3980" s="4">
        <v>2023</v>
      </c>
      <c r="E3980" s="4" t="s">
        <v>24</v>
      </c>
      <c r="F3980" s="4">
        <v>932</v>
      </c>
      <c r="G3980" s="4">
        <v>15</v>
      </c>
      <c r="H3980" s="41">
        <v>4815</v>
      </c>
      <c r="I3980" s="221"/>
      <c r="J3980" s="221"/>
    </row>
    <row r="3981" spans="1:36" s="5" customFormat="1" ht="22.5" hidden="1" customHeight="1" outlineLevel="1" x14ac:dyDescent="0.25">
      <c r="A3981" s="18">
        <v>551</v>
      </c>
      <c r="B3981" s="4" t="s">
        <v>27</v>
      </c>
      <c r="C3981" s="38" t="s">
        <v>9074</v>
      </c>
      <c r="D3981" s="4">
        <v>2023</v>
      </c>
      <c r="E3981" s="4" t="s">
        <v>24</v>
      </c>
      <c r="F3981" s="4">
        <v>70</v>
      </c>
      <c r="G3981" s="4">
        <v>90</v>
      </c>
      <c r="H3981" s="41">
        <v>369.78287</v>
      </c>
      <c r="I3981" s="221"/>
      <c r="J3981" s="221"/>
    </row>
    <row r="3982" spans="1:36" s="5" customFormat="1" ht="22.5" hidden="1" customHeight="1" outlineLevel="1" x14ac:dyDescent="0.25">
      <c r="A3982" s="18">
        <v>1077</v>
      </c>
      <c r="B3982" s="4" t="s">
        <v>27</v>
      </c>
      <c r="C3982" s="38" t="s">
        <v>9140</v>
      </c>
      <c r="D3982" s="4">
        <v>2023</v>
      </c>
      <c r="E3982" s="4" t="s">
        <v>24</v>
      </c>
      <c r="F3982" s="4">
        <v>89</v>
      </c>
      <c r="G3982" s="4">
        <v>80</v>
      </c>
      <c r="H3982" s="41">
        <v>891.72023000000002</v>
      </c>
      <c r="I3982" s="221"/>
      <c r="J3982" s="221"/>
    </row>
    <row r="3983" spans="1:36" s="5" customFormat="1" ht="22.5" hidden="1" customHeight="1" outlineLevel="1" x14ac:dyDescent="0.25">
      <c r="A3983" s="41">
        <v>9573</v>
      </c>
      <c r="B3983" s="4" t="s">
        <v>27</v>
      </c>
      <c r="C3983" s="38" t="s">
        <v>906</v>
      </c>
      <c r="D3983" s="4">
        <v>2021</v>
      </c>
      <c r="E3983" s="4" t="s">
        <v>24</v>
      </c>
      <c r="F3983" s="4">
        <v>12295</v>
      </c>
      <c r="G3983" s="4">
        <v>712</v>
      </c>
      <c r="H3983" s="41">
        <v>38335</v>
      </c>
      <c r="I3983" s="221"/>
      <c r="J3983" s="221"/>
    </row>
    <row r="3984" spans="1:36" s="15" customFormat="1" ht="15.75" hidden="1" outlineLevel="1" x14ac:dyDescent="0.25">
      <c r="A3984" s="18"/>
      <c r="B3984" s="4"/>
      <c r="C3984" s="22"/>
      <c r="D3984" s="4"/>
      <c r="E3984" s="18"/>
      <c r="F3984" s="4"/>
      <c r="G3984" s="41"/>
      <c r="H3984" s="41"/>
      <c r="I3984" s="221"/>
      <c r="J3984" s="221"/>
    </row>
    <row r="3985" spans="1:36" s="15" customFormat="1" ht="11.25" customHeight="1" collapsed="1" x14ac:dyDescent="0.25">
      <c r="A3985" s="18"/>
      <c r="B3985" s="321" t="s">
        <v>2</v>
      </c>
      <c r="C3985" s="329" t="s">
        <v>2107</v>
      </c>
      <c r="D3985" s="329"/>
      <c r="E3985" s="329" t="s">
        <v>0</v>
      </c>
      <c r="F3985" s="329"/>
      <c r="G3985" s="329"/>
      <c r="H3985" s="329"/>
      <c r="I3985" s="203"/>
      <c r="J3985" s="203"/>
    </row>
    <row r="3986" spans="1:36" s="16" customFormat="1" ht="11.25" customHeight="1" x14ac:dyDescent="0.25">
      <c r="A3986" s="18"/>
      <c r="B3986" s="322"/>
      <c r="C3986" s="330"/>
      <c r="D3986" s="346"/>
      <c r="E3986" s="330" t="s">
        <v>0</v>
      </c>
      <c r="F3986" s="330"/>
      <c r="G3986" s="330"/>
      <c r="H3986" s="330"/>
      <c r="I3986" s="227"/>
      <c r="J3986" s="227"/>
      <c r="K3986" s="15"/>
      <c r="L3986" s="15"/>
      <c r="M3986" s="15"/>
      <c r="N3986" s="15"/>
      <c r="O3986" s="15"/>
      <c r="P3986" s="15"/>
      <c r="Q3986" s="15"/>
      <c r="R3986" s="15"/>
      <c r="S3986" s="15"/>
      <c r="T3986" s="15"/>
      <c r="U3986" s="15"/>
      <c r="V3986" s="15"/>
      <c r="W3986" s="15"/>
      <c r="X3986" s="15"/>
      <c r="Y3986" s="15"/>
      <c r="Z3986" s="15"/>
      <c r="AA3986" s="15"/>
      <c r="AB3986" s="15"/>
      <c r="AC3986" s="15"/>
      <c r="AD3986" s="15"/>
      <c r="AE3986" s="15"/>
      <c r="AF3986" s="15"/>
      <c r="AG3986" s="15"/>
      <c r="AH3986" s="15"/>
      <c r="AI3986" s="15"/>
      <c r="AJ3986" s="15"/>
    </row>
    <row r="3987" spans="1:36" s="16" customFormat="1" ht="11.25" customHeight="1" x14ac:dyDescent="0.25">
      <c r="A3987" s="18"/>
      <c r="B3987" s="322"/>
      <c r="C3987" s="330"/>
      <c r="D3987" s="346"/>
      <c r="E3987" s="330"/>
      <c r="F3987" s="330"/>
      <c r="G3987" s="330"/>
      <c r="H3987" s="330"/>
      <c r="I3987" s="227"/>
      <c r="J3987" s="227"/>
      <c r="K3987" s="15"/>
      <c r="L3987" s="15"/>
      <c r="M3987" s="15"/>
      <c r="N3987" s="15"/>
      <c r="O3987" s="15"/>
      <c r="P3987" s="15"/>
      <c r="Q3987" s="15"/>
      <c r="R3987" s="15"/>
      <c r="S3987" s="15"/>
      <c r="T3987" s="15"/>
      <c r="U3987" s="15"/>
      <c r="V3987" s="15"/>
      <c r="W3987" s="15"/>
      <c r="X3987" s="15"/>
      <c r="Y3987" s="15"/>
      <c r="Z3987" s="15"/>
      <c r="AA3987" s="15"/>
      <c r="AB3987" s="15"/>
      <c r="AC3987" s="15"/>
      <c r="AD3987" s="15"/>
      <c r="AE3987" s="15"/>
      <c r="AF3987" s="15"/>
      <c r="AG3987" s="15"/>
      <c r="AH3987" s="15"/>
      <c r="AI3987" s="15"/>
      <c r="AJ3987" s="15"/>
    </row>
    <row r="3988" spans="1:36" s="16" customFormat="1" ht="15.75" x14ac:dyDescent="0.25">
      <c r="A3988" s="18"/>
      <c r="B3988" s="323"/>
      <c r="C3988" s="331"/>
      <c r="D3988" s="347"/>
      <c r="E3988" s="331"/>
      <c r="F3988" s="331"/>
      <c r="G3988" s="331"/>
      <c r="H3988" s="331"/>
      <c r="I3988" s="227"/>
      <c r="J3988" s="227"/>
      <c r="K3988" s="15"/>
      <c r="L3988" s="15"/>
      <c r="M3988" s="15"/>
      <c r="N3988" s="15"/>
      <c r="O3988" s="15"/>
      <c r="P3988" s="15"/>
      <c r="Q3988" s="15"/>
      <c r="R3988" s="15"/>
      <c r="S3988" s="15"/>
      <c r="T3988" s="15"/>
      <c r="U3988" s="15"/>
      <c r="V3988" s="15"/>
      <c r="W3988" s="15"/>
      <c r="X3988" s="15"/>
      <c r="Y3988" s="15"/>
      <c r="Z3988" s="15"/>
      <c r="AA3988" s="15"/>
      <c r="AB3988" s="15"/>
      <c r="AC3988" s="15"/>
      <c r="AD3988" s="15"/>
      <c r="AE3988" s="15"/>
      <c r="AF3988" s="15"/>
      <c r="AG3988" s="15"/>
      <c r="AH3988" s="15"/>
      <c r="AI3988" s="15"/>
      <c r="AJ3988" s="15"/>
    </row>
    <row r="3989" spans="1:36" s="16" customFormat="1" ht="16.5" customHeight="1" x14ac:dyDescent="0.25">
      <c r="A3989" s="43"/>
      <c r="B3989" s="7" t="s">
        <v>2</v>
      </c>
      <c r="C3989" s="8" t="s">
        <v>57</v>
      </c>
      <c r="D3989" s="7">
        <v>2021</v>
      </c>
      <c r="E3989" s="7" t="s">
        <v>0</v>
      </c>
      <c r="F3989" s="7">
        <f>SUMIF($D$3992:$D$3997,$D$3989,$F$3992:$F$3997)</f>
        <v>1643</v>
      </c>
      <c r="G3989" s="7">
        <f>SUMIF($D$3992:$D$3997,$D$3989,$G$3992:$G$3997)</f>
        <v>815</v>
      </c>
      <c r="H3989" s="10">
        <f>SUMIF($D$3992:$D$3997,$D$3989,$H$3992:$H$3997)</f>
        <v>3474.9059999999999</v>
      </c>
      <c r="I3989" s="5"/>
      <c r="J3989" s="5"/>
      <c r="K3989" s="5"/>
      <c r="L3989" s="15"/>
      <c r="M3989" s="15"/>
      <c r="N3989" s="15"/>
      <c r="O3989" s="15"/>
      <c r="P3989" s="15"/>
      <c r="Q3989" s="15"/>
      <c r="R3989" s="15"/>
      <c r="S3989" s="15"/>
      <c r="T3989" s="15"/>
      <c r="U3989" s="15"/>
      <c r="V3989" s="15"/>
      <c r="W3989" s="15"/>
      <c r="X3989" s="15"/>
      <c r="Y3989" s="15"/>
      <c r="Z3989" s="15"/>
      <c r="AA3989" s="15"/>
      <c r="AB3989" s="15"/>
      <c r="AC3989" s="15"/>
      <c r="AD3989" s="15"/>
      <c r="AE3989" s="15"/>
      <c r="AF3989" s="15"/>
      <c r="AG3989" s="15"/>
      <c r="AH3989" s="15"/>
      <c r="AI3989" s="15"/>
      <c r="AJ3989" s="15"/>
    </row>
    <row r="3990" spans="1:36" s="27" customFormat="1" ht="16.5" customHeight="1" x14ac:dyDescent="0.25">
      <c r="A3990" s="18"/>
      <c r="B3990" s="7" t="s">
        <v>2</v>
      </c>
      <c r="C3990" s="8" t="s">
        <v>57</v>
      </c>
      <c r="D3990" s="7">
        <v>2022</v>
      </c>
      <c r="E3990" s="7" t="s">
        <v>0</v>
      </c>
      <c r="F3990" s="7">
        <f>SUMIF($D$3992:$D$3997,$D$3990,$F$3992:$F$3997)</f>
        <v>542</v>
      </c>
      <c r="G3990" s="7">
        <f>SUMIF($D$3992:$D$3997,$D$3990,$G$3992:$G$3997)</f>
        <v>50</v>
      </c>
      <c r="H3990" s="10">
        <f>SUMIF($D$3992:$D$3997,$D$3990,$H$3992:$H$3997)</f>
        <v>1600</v>
      </c>
      <c r="I3990" s="205"/>
      <c r="J3990" s="205"/>
      <c r="K3990" s="15"/>
      <c r="L3990" s="15"/>
      <c r="M3990" s="15"/>
      <c r="N3990" s="15"/>
      <c r="O3990" s="15"/>
      <c r="P3990" s="15"/>
      <c r="Q3990" s="15"/>
      <c r="R3990" s="15"/>
      <c r="S3990" s="15"/>
      <c r="T3990" s="15"/>
      <c r="U3990" s="15"/>
      <c r="V3990" s="15"/>
      <c r="W3990" s="15"/>
      <c r="X3990" s="15"/>
      <c r="Y3990" s="15"/>
      <c r="Z3990" s="15"/>
      <c r="AA3990" s="15"/>
      <c r="AB3990" s="15"/>
      <c r="AC3990" s="15"/>
      <c r="AD3990" s="15"/>
      <c r="AE3990" s="15"/>
      <c r="AF3990" s="15"/>
      <c r="AG3990" s="15"/>
      <c r="AH3990" s="15"/>
      <c r="AI3990" s="15"/>
      <c r="AJ3990" s="15"/>
    </row>
    <row r="3991" spans="1:36" s="27" customFormat="1" ht="15.75" x14ac:dyDescent="0.25">
      <c r="A3991" s="18"/>
      <c r="B3991" s="7" t="s">
        <v>2</v>
      </c>
      <c r="C3991" s="8" t="s">
        <v>2811</v>
      </c>
      <c r="D3991" s="7">
        <v>2023</v>
      </c>
      <c r="E3991" s="7" t="s">
        <v>0</v>
      </c>
      <c r="F3991" s="7">
        <f>SUMIF($D$3992:$D$3997,$D$3991,$F$3992:$F$3997)</f>
        <v>790</v>
      </c>
      <c r="G3991" s="7">
        <f>SUMIF($D$3992:$D$3997,$D$3991,$G$3992:$G$3997)</f>
        <v>205</v>
      </c>
      <c r="H3991" s="10">
        <f>SUMIF($D$3992:$D$3997,$D$3991,$H$3992:$H$3997)</f>
        <v>1361.17851</v>
      </c>
      <c r="I3991" s="205"/>
      <c r="J3991" s="205"/>
      <c r="K3991" s="15"/>
      <c r="L3991" s="15"/>
      <c r="M3991" s="15"/>
      <c r="N3991" s="15"/>
      <c r="O3991" s="15"/>
      <c r="P3991" s="15"/>
      <c r="Q3991" s="15"/>
      <c r="R3991" s="15"/>
      <c r="S3991" s="15"/>
      <c r="T3991" s="15"/>
      <c r="U3991" s="15"/>
      <c r="V3991" s="15"/>
      <c r="W3991" s="15"/>
      <c r="X3991" s="15"/>
      <c r="Y3991" s="15"/>
      <c r="Z3991" s="15"/>
      <c r="AA3991" s="15"/>
      <c r="AB3991" s="15"/>
      <c r="AC3991" s="15"/>
      <c r="AD3991" s="15"/>
      <c r="AE3991" s="15"/>
      <c r="AF3991" s="15"/>
      <c r="AG3991" s="15"/>
      <c r="AH3991" s="15"/>
      <c r="AI3991" s="15"/>
      <c r="AJ3991" s="15"/>
    </row>
    <row r="3992" spans="1:36" s="15" customFormat="1" ht="33" hidden="1" customHeight="1" outlineLevel="1" x14ac:dyDescent="0.25">
      <c r="A3992" s="18">
        <v>250</v>
      </c>
      <c r="B3992" s="4" t="s">
        <v>2</v>
      </c>
      <c r="C3992" s="38" t="s">
        <v>3121</v>
      </c>
      <c r="D3992" s="4">
        <v>2022</v>
      </c>
      <c r="E3992" s="4" t="s">
        <v>0</v>
      </c>
      <c r="F3992" s="4">
        <v>542</v>
      </c>
      <c r="G3992" s="4">
        <v>50</v>
      </c>
      <c r="H3992" s="4">
        <v>1600</v>
      </c>
      <c r="I3992" s="201"/>
      <c r="J3992" s="201"/>
    </row>
    <row r="3993" spans="1:36" s="15" customFormat="1" ht="33" hidden="1" customHeight="1" outlineLevel="1" x14ac:dyDescent="0.25">
      <c r="A3993" s="18">
        <v>5174</v>
      </c>
      <c r="B3993" s="4" t="s">
        <v>2</v>
      </c>
      <c r="C3993" s="38" t="s">
        <v>9144</v>
      </c>
      <c r="D3993" s="4">
        <v>2023</v>
      </c>
      <c r="E3993" s="4" t="s">
        <v>0</v>
      </c>
      <c r="F3993" s="4">
        <v>60</v>
      </c>
      <c r="G3993" s="4">
        <v>100</v>
      </c>
      <c r="H3993" s="41">
        <v>278.17851000000002</v>
      </c>
      <c r="I3993" s="221"/>
      <c r="J3993" s="221"/>
    </row>
    <row r="3994" spans="1:36" s="15" customFormat="1" ht="33" hidden="1" customHeight="1" outlineLevel="1" x14ac:dyDescent="0.25">
      <c r="A3994" s="18">
        <v>430</v>
      </c>
      <c r="B3994" s="4" t="s">
        <v>2</v>
      </c>
      <c r="C3994" s="38" t="s">
        <v>9359</v>
      </c>
      <c r="D3994" s="4">
        <v>2023</v>
      </c>
      <c r="E3994" s="4" t="s">
        <v>0</v>
      </c>
      <c r="F3994" s="4">
        <v>730</v>
      </c>
      <c r="G3994" s="4">
        <v>105</v>
      </c>
      <c r="H3994" s="41">
        <v>1083</v>
      </c>
      <c r="I3994" s="221"/>
      <c r="J3994" s="221"/>
    </row>
    <row r="3995" spans="1:36" s="15" customFormat="1" ht="33" hidden="1" customHeight="1" outlineLevel="1" x14ac:dyDescent="0.25">
      <c r="A3995" s="18">
        <v>3748</v>
      </c>
      <c r="B3995" s="4" t="s">
        <v>2</v>
      </c>
      <c r="C3995" s="22" t="s">
        <v>267</v>
      </c>
      <c r="D3995" s="4">
        <v>2021</v>
      </c>
      <c r="E3995" s="4" t="s">
        <v>0</v>
      </c>
      <c r="F3995" s="4">
        <v>48</v>
      </c>
      <c r="G3995" s="41">
        <v>65</v>
      </c>
      <c r="H3995" s="41">
        <v>1126.9059999999999</v>
      </c>
      <c r="I3995" s="221"/>
      <c r="J3995" s="221"/>
    </row>
    <row r="3996" spans="1:36" s="15" customFormat="1" ht="33" hidden="1" customHeight="1" outlineLevel="1" x14ac:dyDescent="0.25">
      <c r="A3996" s="46">
        <v>9669</v>
      </c>
      <c r="B3996" s="4" t="s">
        <v>2</v>
      </c>
      <c r="C3996" s="22" t="s">
        <v>908</v>
      </c>
      <c r="D3996" s="4">
        <v>2021</v>
      </c>
      <c r="E3996" s="4" t="s">
        <v>0</v>
      </c>
      <c r="F3996" s="4">
        <v>1595</v>
      </c>
      <c r="G3996" s="4">
        <v>750</v>
      </c>
      <c r="H3996" s="41">
        <v>2348</v>
      </c>
      <c r="I3996" s="221"/>
      <c r="J3996" s="221"/>
    </row>
    <row r="3997" spans="1:36" s="15" customFormat="1" ht="15.75" hidden="1" outlineLevel="1" x14ac:dyDescent="0.25">
      <c r="A3997" s="131"/>
      <c r="B3997" s="123"/>
      <c r="C3997" s="104"/>
      <c r="D3997" s="123"/>
      <c r="E3997" s="123"/>
      <c r="F3997" s="123"/>
      <c r="G3997" s="123"/>
      <c r="H3997" s="148"/>
      <c r="I3997" s="221"/>
      <c r="J3997" s="221"/>
    </row>
    <row r="3998" spans="1:36" s="15" customFormat="1" ht="13.5" customHeight="1" collapsed="1" x14ac:dyDescent="0.25">
      <c r="A3998" s="332"/>
      <c r="B3998" s="321" t="s">
        <v>2</v>
      </c>
      <c r="C3998" s="329" t="s">
        <v>2107</v>
      </c>
      <c r="D3998" s="321"/>
      <c r="E3998" s="321" t="s">
        <v>24</v>
      </c>
      <c r="F3998" s="321"/>
      <c r="G3998" s="321"/>
      <c r="H3998" s="321"/>
      <c r="I3998" s="214"/>
      <c r="J3998" s="214"/>
    </row>
    <row r="3999" spans="1:36" s="16" customFormat="1" ht="13.5" customHeight="1" x14ac:dyDescent="0.25">
      <c r="A3999" s="338"/>
      <c r="B3999" s="322"/>
      <c r="C3999" s="330"/>
      <c r="D3999" s="322"/>
      <c r="E3999" s="322" t="s">
        <v>24</v>
      </c>
      <c r="F3999" s="322"/>
      <c r="G3999" s="322"/>
      <c r="H3999" s="322"/>
      <c r="I3999" s="215"/>
      <c r="J3999" s="215"/>
      <c r="K3999" s="15"/>
      <c r="L3999" s="15"/>
      <c r="M3999" s="15"/>
      <c r="N3999" s="15"/>
      <c r="O3999" s="15"/>
      <c r="P3999" s="15"/>
      <c r="Q3999" s="15"/>
      <c r="R3999" s="15"/>
      <c r="S3999" s="15"/>
      <c r="T3999" s="15"/>
      <c r="U3999" s="15"/>
      <c r="V3999" s="15"/>
      <c r="W3999" s="15"/>
      <c r="X3999" s="15"/>
      <c r="Y3999" s="15"/>
      <c r="Z3999" s="15"/>
      <c r="AA3999" s="15"/>
      <c r="AB3999" s="15"/>
      <c r="AC3999" s="15"/>
      <c r="AD3999" s="15"/>
      <c r="AE3999" s="15"/>
      <c r="AF3999" s="15"/>
      <c r="AG3999" s="15"/>
      <c r="AH3999" s="15"/>
      <c r="AI3999" s="15"/>
      <c r="AJ3999" s="15"/>
    </row>
    <row r="4000" spans="1:36" s="16" customFormat="1" ht="15.75" x14ac:dyDescent="0.25">
      <c r="A4000" s="338"/>
      <c r="B4000" s="322"/>
      <c r="C4000" s="330"/>
      <c r="D4000" s="322"/>
      <c r="E4000" s="322"/>
      <c r="F4000" s="322"/>
      <c r="G4000" s="322"/>
      <c r="H4000" s="322"/>
      <c r="I4000" s="215"/>
      <c r="J4000" s="215"/>
      <c r="K4000" s="15"/>
      <c r="L4000" s="15"/>
      <c r="M4000" s="15"/>
      <c r="N4000" s="15"/>
      <c r="O4000" s="15"/>
      <c r="P4000" s="15"/>
      <c r="Q4000" s="15"/>
      <c r="R4000" s="15"/>
      <c r="S4000" s="15"/>
      <c r="T4000" s="15"/>
      <c r="U4000" s="15"/>
      <c r="V4000" s="15"/>
      <c r="W4000" s="15"/>
      <c r="X4000" s="15"/>
      <c r="Y4000" s="15"/>
      <c r="Z4000" s="15"/>
      <c r="AA4000" s="15"/>
      <c r="AB4000" s="15"/>
      <c r="AC4000" s="15"/>
      <c r="AD4000" s="15"/>
      <c r="AE4000" s="15"/>
      <c r="AF4000" s="15"/>
      <c r="AG4000" s="15"/>
      <c r="AH4000" s="15"/>
      <c r="AI4000" s="15"/>
      <c r="AJ4000" s="15"/>
    </row>
    <row r="4001" spans="1:36" s="16" customFormat="1" ht="10.5" customHeight="1" x14ac:dyDescent="0.25">
      <c r="A4001" s="339"/>
      <c r="B4001" s="323"/>
      <c r="C4001" s="331"/>
      <c r="D4001" s="323"/>
      <c r="E4001" s="323"/>
      <c r="F4001" s="323"/>
      <c r="G4001" s="323"/>
      <c r="H4001" s="323"/>
      <c r="I4001" s="215"/>
      <c r="J4001" s="215"/>
      <c r="K4001" s="15"/>
      <c r="L4001" s="15"/>
      <c r="M4001" s="15"/>
      <c r="N4001" s="15"/>
      <c r="O4001" s="15"/>
      <c r="P4001" s="15"/>
      <c r="Q4001" s="15"/>
      <c r="R4001" s="15"/>
      <c r="S4001" s="15"/>
      <c r="T4001" s="15"/>
      <c r="U4001" s="15"/>
      <c r="V4001" s="15"/>
      <c r="W4001" s="15"/>
      <c r="X4001" s="15"/>
      <c r="Y4001" s="15"/>
      <c r="Z4001" s="15"/>
      <c r="AA4001" s="15"/>
      <c r="AB4001" s="15"/>
      <c r="AC4001" s="15"/>
      <c r="AD4001" s="15"/>
      <c r="AE4001" s="15"/>
      <c r="AF4001" s="15"/>
      <c r="AG4001" s="15"/>
      <c r="AH4001" s="15"/>
      <c r="AI4001" s="15"/>
      <c r="AJ4001" s="15"/>
    </row>
    <row r="4002" spans="1:36" s="16" customFormat="1" ht="15.75" x14ac:dyDescent="0.25">
      <c r="A4002" s="43"/>
      <c r="B4002" s="7" t="s">
        <v>2</v>
      </c>
      <c r="C4002" s="8" t="s">
        <v>57</v>
      </c>
      <c r="D4002" s="7">
        <v>2021</v>
      </c>
      <c r="E4002" s="7" t="s">
        <v>24</v>
      </c>
      <c r="F4002" s="7">
        <f>SUMIF($D$4005:$D$4013,$D$4002,$F$4005:$F$4013)</f>
        <v>190</v>
      </c>
      <c r="G4002" s="10">
        <f>SUMIF($D$4005:$D$4013,$D$4002,$G$4005:$G$4013)</f>
        <v>15</v>
      </c>
      <c r="H4002" s="10">
        <f>SUMIF($D$4005:$D$4013,$D$4002,$H$4005:$H$4013)</f>
        <v>668.24158</v>
      </c>
      <c r="I4002" s="5"/>
      <c r="J4002" s="5"/>
      <c r="K4002" s="5"/>
      <c r="L4002" s="15"/>
      <c r="M4002" s="15"/>
      <c r="N4002" s="15"/>
      <c r="O4002" s="15"/>
      <c r="P4002" s="15"/>
      <c r="Q4002" s="15"/>
      <c r="R4002" s="15"/>
      <c r="S4002" s="15"/>
      <c r="T4002" s="15"/>
      <c r="U4002" s="15"/>
      <c r="V4002" s="15"/>
      <c r="W4002" s="15"/>
      <c r="X4002" s="15"/>
      <c r="Y4002" s="15"/>
      <c r="Z4002" s="15"/>
      <c r="AA4002" s="15"/>
      <c r="AB4002" s="15"/>
      <c r="AC4002" s="15"/>
      <c r="AD4002" s="15"/>
      <c r="AE4002" s="15"/>
      <c r="AF4002" s="15"/>
      <c r="AG4002" s="15"/>
      <c r="AH4002" s="15"/>
      <c r="AI4002" s="15"/>
      <c r="AJ4002" s="15"/>
    </row>
    <row r="4003" spans="1:36" s="27" customFormat="1" ht="15.75" x14ac:dyDescent="0.25">
      <c r="A4003" s="18"/>
      <c r="B4003" s="7" t="s">
        <v>2</v>
      </c>
      <c r="C4003" s="8" t="s">
        <v>57</v>
      </c>
      <c r="D4003" s="7">
        <v>2022</v>
      </c>
      <c r="E4003" s="7" t="s">
        <v>24</v>
      </c>
      <c r="F4003" s="7">
        <f>SUMIF($D$4005:$D$4013,$D$4003,$F$4005:$F$4013)</f>
        <v>1979</v>
      </c>
      <c r="G4003" s="10">
        <f>SUMIF($D$4005:$D$4013,$D$4003,$G$4005:$G$4013)</f>
        <v>738.67000000000007</v>
      </c>
      <c r="H4003" s="10">
        <f>SUMIF($D$4005:$D$4013,$D$4003,$H$4005:$H$4013)</f>
        <v>9307.9056099999998</v>
      </c>
      <c r="I4003" s="205"/>
      <c r="J4003" s="205"/>
      <c r="K4003" s="15"/>
      <c r="L4003" s="15"/>
      <c r="M4003" s="15"/>
      <c r="N4003" s="15"/>
      <c r="O4003" s="15"/>
      <c r="P4003" s="15"/>
      <c r="Q4003" s="15"/>
      <c r="R4003" s="15"/>
      <c r="S4003" s="15"/>
      <c r="T4003" s="15"/>
      <c r="U4003" s="15"/>
      <c r="V4003" s="15"/>
      <c r="W4003" s="15"/>
      <c r="X4003" s="15"/>
      <c r="Y4003" s="15"/>
      <c r="Z4003" s="15"/>
      <c r="AA4003" s="15"/>
      <c r="AB4003" s="15"/>
      <c r="AC4003" s="15"/>
      <c r="AD4003" s="15"/>
      <c r="AE4003" s="15"/>
      <c r="AF4003" s="15"/>
      <c r="AG4003" s="15"/>
      <c r="AH4003" s="15"/>
      <c r="AI4003" s="15"/>
      <c r="AJ4003" s="15"/>
    </row>
    <row r="4004" spans="1:36" s="27" customFormat="1" ht="15.75" x14ac:dyDescent="0.25">
      <c r="A4004" s="18"/>
      <c r="B4004" s="7" t="s">
        <v>2</v>
      </c>
      <c r="C4004" s="8" t="s">
        <v>57</v>
      </c>
      <c r="D4004" s="7">
        <v>2023</v>
      </c>
      <c r="E4004" s="7" t="s">
        <v>24</v>
      </c>
      <c r="F4004" s="7">
        <f>SUMIF($D$4005:$D$4013,$D$4004,$F$4005:$F$4013)</f>
        <v>425</v>
      </c>
      <c r="G4004" s="10">
        <f>SUMIF($D$4005:$D$4013,$D$4004,$G$4005:$G$4013)</f>
        <v>80</v>
      </c>
      <c r="H4004" s="10">
        <f>SUMIF($D$4005:$D$4013,$D$4004,$H$4005:$H$4013)</f>
        <v>2256.5942599999998</v>
      </c>
      <c r="I4004" s="205"/>
      <c r="J4004" s="205"/>
      <c r="K4004" s="15"/>
      <c r="L4004" s="15"/>
      <c r="M4004" s="15"/>
      <c r="N4004" s="15"/>
      <c r="O4004" s="15"/>
      <c r="P4004" s="15"/>
      <c r="Q4004" s="15"/>
      <c r="R4004" s="15"/>
      <c r="S4004" s="15"/>
      <c r="T4004" s="15"/>
      <c r="U4004" s="15"/>
      <c r="V4004" s="15"/>
      <c r="W4004" s="15"/>
      <c r="X4004" s="15"/>
      <c r="Y4004" s="15"/>
      <c r="Z4004" s="15"/>
      <c r="AA4004" s="15"/>
      <c r="AB4004" s="15"/>
      <c r="AC4004" s="15"/>
      <c r="AD4004" s="15"/>
      <c r="AE4004" s="15"/>
      <c r="AF4004" s="15"/>
      <c r="AG4004" s="15"/>
      <c r="AH4004" s="15"/>
      <c r="AI4004" s="15"/>
      <c r="AJ4004" s="15"/>
    </row>
    <row r="4005" spans="1:36" s="15" customFormat="1" ht="27" hidden="1" customHeight="1" outlineLevel="1" x14ac:dyDescent="0.25">
      <c r="A4005" s="18">
        <v>4124</v>
      </c>
      <c r="B4005" s="4" t="s">
        <v>2</v>
      </c>
      <c r="C4005" s="22" t="s">
        <v>2197</v>
      </c>
      <c r="D4005" s="4">
        <v>2022</v>
      </c>
      <c r="E4005" s="4" t="s">
        <v>24</v>
      </c>
      <c r="F4005" s="4">
        <v>82</v>
      </c>
      <c r="G4005" s="41">
        <v>108.67</v>
      </c>
      <c r="H4005" s="41">
        <v>410.90561000000002</v>
      </c>
      <c r="I4005" s="221"/>
      <c r="J4005" s="221"/>
    </row>
    <row r="4006" spans="1:36" s="15" customFormat="1" ht="27" hidden="1" customHeight="1" outlineLevel="1" x14ac:dyDescent="0.25">
      <c r="A4006" s="18">
        <v>4745</v>
      </c>
      <c r="B4006" s="4" t="s">
        <v>2</v>
      </c>
      <c r="C4006" s="22" t="s">
        <v>2854</v>
      </c>
      <c r="D4006" s="4">
        <v>2022</v>
      </c>
      <c r="E4006" s="4" t="s">
        <v>24</v>
      </c>
      <c r="F4006" s="4">
        <v>1075</v>
      </c>
      <c r="G4006" s="41" t="s">
        <v>806</v>
      </c>
      <c r="H4006" s="41">
        <v>5256</v>
      </c>
      <c r="I4006" s="221"/>
      <c r="J4006" s="221"/>
    </row>
    <row r="4007" spans="1:36" s="15" customFormat="1" ht="27" hidden="1" customHeight="1" outlineLevel="1" x14ac:dyDescent="0.25">
      <c r="A4007" s="18">
        <v>104</v>
      </c>
      <c r="B4007" s="4" t="s">
        <v>2</v>
      </c>
      <c r="C4007" s="22" t="s">
        <v>2617</v>
      </c>
      <c r="D4007" s="4">
        <v>2022</v>
      </c>
      <c r="E4007" s="4" t="s">
        <v>24</v>
      </c>
      <c r="F4007" s="4">
        <v>472</v>
      </c>
      <c r="G4007" s="41">
        <v>30</v>
      </c>
      <c r="H4007" s="41">
        <v>2935</v>
      </c>
      <c r="I4007" s="221"/>
      <c r="J4007" s="221"/>
    </row>
    <row r="4008" spans="1:36" s="15" customFormat="1" ht="27" hidden="1" customHeight="1" outlineLevel="1" x14ac:dyDescent="0.25">
      <c r="A4008" s="18">
        <v>166</v>
      </c>
      <c r="B4008" s="4" t="s">
        <v>2</v>
      </c>
      <c r="C4008" s="22" t="s">
        <v>3126</v>
      </c>
      <c r="D4008" s="4">
        <v>2022</v>
      </c>
      <c r="E4008" s="4" t="s">
        <v>24</v>
      </c>
      <c r="F4008" s="4">
        <v>350</v>
      </c>
      <c r="G4008" s="41">
        <v>600</v>
      </c>
      <c r="H4008" s="41">
        <v>706</v>
      </c>
      <c r="I4008" s="221"/>
      <c r="J4008" s="221"/>
    </row>
    <row r="4009" spans="1:36" s="15" customFormat="1" ht="27" hidden="1" customHeight="1" outlineLevel="1" x14ac:dyDescent="0.25">
      <c r="A4009" s="18">
        <v>3152</v>
      </c>
      <c r="B4009" s="4" t="s">
        <v>2</v>
      </c>
      <c r="C4009" s="38" t="s">
        <v>9360</v>
      </c>
      <c r="D4009" s="4">
        <v>2023</v>
      </c>
      <c r="E4009" s="4" t="s">
        <v>24</v>
      </c>
      <c r="F4009" s="4">
        <v>300</v>
      </c>
      <c r="G4009" s="41">
        <v>50</v>
      </c>
      <c r="H4009" s="41">
        <v>1746.4109999999998</v>
      </c>
      <c r="I4009" s="221"/>
      <c r="J4009" s="221"/>
    </row>
    <row r="4010" spans="1:36" s="15" customFormat="1" ht="27" hidden="1" customHeight="1" outlineLevel="1" x14ac:dyDescent="0.25">
      <c r="A4010" s="18">
        <v>9576</v>
      </c>
      <c r="B4010" s="4" t="s">
        <v>2</v>
      </c>
      <c r="C4010" s="38" t="s">
        <v>9281</v>
      </c>
      <c r="D4010" s="4">
        <v>2023</v>
      </c>
      <c r="E4010" s="4" t="s">
        <v>24</v>
      </c>
      <c r="F4010" s="4">
        <v>35</v>
      </c>
      <c r="G4010" s="41">
        <v>15</v>
      </c>
      <c r="H4010" s="41">
        <v>187.54900000000001</v>
      </c>
      <c r="I4010" s="221"/>
      <c r="J4010" s="221"/>
    </row>
    <row r="4011" spans="1:36" s="15" customFormat="1" ht="27" hidden="1" customHeight="1" outlineLevel="1" x14ac:dyDescent="0.25">
      <c r="A4011" s="18">
        <v>3191</v>
      </c>
      <c r="B4011" s="4" t="s">
        <v>2</v>
      </c>
      <c r="C4011" s="38" t="s">
        <v>9176</v>
      </c>
      <c r="D4011" s="4">
        <v>2023</v>
      </c>
      <c r="E4011" s="4" t="s">
        <v>24</v>
      </c>
      <c r="F4011" s="4">
        <v>90</v>
      </c>
      <c r="G4011" s="4">
        <v>15</v>
      </c>
      <c r="H4011" s="41">
        <v>322.63425999999998</v>
      </c>
      <c r="I4011" s="221"/>
      <c r="J4011" s="221"/>
    </row>
    <row r="4012" spans="1:36" s="15" customFormat="1" ht="27" hidden="1" customHeight="1" outlineLevel="1" x14ac:dyDescent="0.25">
      <c r="A4012" s="18">
        <v>2540</v>
      </c>
      <c r="B4012" s="4" t="s">
        <v>2</v>
      </c>
      <c r="C4012" s="22" t="s">
        <v>907</v>
      </c>
      <c r="D4012" s="4">
        <v>2021</v>
      </c>
      <c r="E4012" s="18" t="s">
        <v>24</v>
      </c>
      <c r="F4012" s="4">
        <v>190</v>
      </c>
      <c r="G4012" s="41">
        <v>15</v>
      </c>
      <c r="H4012" s="41">
        <v>668.24158</v>
      </c>
      <c r="I4012" s="221"/>
      <c r="J4012" s="221"/>
    </row>
    <row r="4013" spans="1:36" s="15" customFormat="1" ht="15.75" hidden="1" outlineLevel="1" x14ac:dyDescent="0.25">
      <c r="A4013" s="162"/>
      <c r="B4013" s="160"/>
      <c r="C4013" s="163"/>
      <c r="D4013" s="160"/>
      <c r="E4013" s="162"/>
      <c r="F4013" s="160"/>
      <c r="G4013" s="161"/>
      <c r="H4013" s="161"/>
      <c r="I4013" s="221"/>
      <c r="J4013" s="221"/>
    </row>
    <row r="4014" spans="1:36" s="15" customFormat="1" ht="47.25" collapsed="1" x14ac:dyDescent="0.25">
      <c r="A4014" s="18"/>
      <c r="B4014" s="72" t="s">
        <v>3127</v>
      </c>
      <c r="C4014" s="136" t="s">
        <v>3128</v>
      </c>
      <c r="D4014" s="72"/>
      <c r="E4014" s="72" t="s">
        <v>24</v>
      </c>
      <c r="F4014" s="72"/>
      <c r="G4014" s="137"/>
      <c r="H4014" s="137"/>
      <c r="I4014" s="228"/>
      <c r="J4014" s="228"/>
    </row>
    <row r="4015" spans="1:36" s="15" customFormat="1" ht="15.75" x14ac:dyDescent="0.25">
      <c r="A4015" s="18"/>
      <c r="B4015" s="11" t="s">
        <v>3127</v>
      </c>
      <c r="C4015" s="12" t="s">
        <v>57</v>
      </c>
      <c r="D4015" s="11">
        <v>2021</v>
      </c>
      <c r="E4015" s="11" t="s">
        <v>24</v>
      </c>
      <c r="F4015" s="11">
        <f>SUMIF($D$4018:$D$4023,$D$4015,$F$4018:$F$4023)</f>
        <v>0</v>
      </c>
      <c r="G4015" s="14">
        <f>SUMIF($D$4018:$D$4023,$D$4015,$G$4018:$G$4023)</f>
        <v>0</v>
      </c>
      <c r="H4015" s="14">
        <f>SUMIF($D$4018:$D$4023,$D$4015,$H$4018:$H$4023)</f>
        <v>0</v>
      </c>
      <c r="I4015" s="5"/>
      <c r="J4015" s="5"/>
      <c r="K4015" s="5"/>
    </row>
    <row r="4016" spans="1:36" s="15" customFormat="1" ht="15.75" x14ac:dyDescent="0.25">
      <c r="A4016" s="18"/>
      <c r="B4016" s="11" t="s">
        <v>3127</v>
      </c>
      <c r="C4016" s="12" t="s">
        <v>57</v>
      </c>
      <c r="D4016" s="11">
        <v>2022</v>
      </c>
      <c r="E4016" s="11" t="s">
        <v>24</v>
      </c>
      <c r="F4016" s="11">
        <f>SUMIF($D$4018:$D$4023,$D$4016,$F$4018:$F$4023)</f>
        <v>7163</v>
      </c>
      <c r="G4016" s="14">
        <f>SUMIF($D$4018:$D$4023,$D$4016,$G$4018:$G$4023)</f>
        <v>1330.67</v>
      </c>
      <c r="H4016" s="14">
        <f>SUMIF($D$4018:$D$4023,$D$4016,$H$4018:$H$4023)</f>
        <v>39400</v>
      </c>
      <c r="I4016" s="220"/>
      <c r="J4016" s="220"/>
    </row>
    <row r="4017" spans="1:36" s="15" customFormat="1" ht="15.75" x14ac:dyDescent="0.25">
      <c r="A4017" s="18"/>
      <c r="B4017" s="11" t="s">
        <v>3127</v>
      </c>
      <c r="C4017" s="12" t="s">
        <v>57</v>
      </c>
      <c r="D4017" s="11">
        <v>2023</v>
      </c>
      <c r="E4017" s="11" t="s">
        <v>24</v>
      </c>
      <c r="F4017" s="11">
        <f>SUMIF($D$4018:$D$4023,$D$4017,$F$4018:$F$4023)</f>
        <v>358</v>
      </c>
      <c r="G4017" s="14">
        <f>SUMIF($D$4018:$D$4023,$D$4017,$G$4018:$G$4023)</f>
        <v>675</v>
      </c>
      <c r="H4017" s="14">
        <f>SUMIF($D$4018:$D$4023,$D$4017,$H$4018:$H$4023)</f>
        <v>3307.9879100000003</v>
      </c>
      <c r="I4017" s="220"/>
      <c r="J4017" s="220"/>
    </row>
    <row r="4018" spans="1:36" s="15" customFormat="1" ht="27" hidden="1" customHeight="1" outlineLevel="1" x14ac:dyDescent="0.25">
      <c r="A4018" s="18">
        <v>100</v>
      </c>
      <c r="B4018" s="4" t="s">
        <v>3127</v>
      </c>
      <c r="C4018" s="22" t="s">
        <v>2921</v>
      </c>
      <c r="D4018" s="4">
        <v>2022</v>
      </c>
      <c r="E4018" s="4" t="s">
        <v>24</v>
      </c>
      <c r="F4018" s="4">
        <v>963</v>
      </c>
      <c r="G4018" s="117">
        <v>150</v>
      </c>
      <c r="H4018" s="41">
        <v>5744</v>
      </c>
      <c r="I4018" s="221"/>
      <c r="J4018" s="221"/>
    </row>
    <row r="4019" spans="1:36" s="15" customFormat="1" ht="27" hidden="1" customHeight="1" outlineLevel="1" x14ac:dyDescent="0.25">
      <c r="A4019" s="18">
        <v>3</v>
      </c>
      <c r="B4019" s="4" t="s">
        <v>3127</v>
      </c>
      <c r="C4019" s="22" t="s">
        <v>3129</v>
      </c>
      <c r="D4019" s="4">
        <v>2022</v>
      </c>
      <c r="E4019" s="4" t="s">
        <v>24</v>
      </c>
      <c r="F4019" s="4">
        <v>6200</v>
      </c>
      <c r="G4019" s="117">
        <v>1180.67</v>
      </c>
      <c r="H4019" s="41">
        <v>33656</v>
      </c>
      <c r="I4019" s="221"/>
      <c r="J4019" s="221"/>
    </row>
    <row r="4020" spans="1:36" s="15" customFormat="1" ht="27" hidden="1" customHeight="1" outlineLevel="1" x14ac:dyDescent="0.25">
      <c r="A4020" s="18">
        <v>5013</v>
      </c>
      <c r="B4020" s="4" t="s">
        <v>3127</v>
      </c>
      <c r="C4020" s="38" t="s">
        <v>9361</v>
      </c>
      <c r="D4020" s="4">
        <v>2023</v>
      </c>
      <c r="E4020" s="4" t="s">
        <v>24</v>
      </c>
      <c r="F4020" s="4">
        <v>50</v>
      </c>
      <c r="G4020" s="41">
        <v>330</v>
      </c>
      <c r="H4020" s="41">
        <v>333.80903000000001</v>
      </c>
      <c r="I4020" s="221"/>
      <c r="J4020" s="221"/>
    </row>
    <row r="4021" spans="1:36" s="15" customFormat="1" ht="27" hidden="1" customHeight="1" outlineLevel="1" x14ac:dyDescent="0.25">
      <c r="A4021" s="18">
        <v>5011</v>
      </c>
      <c r="B4021" s="4" t="s">
        <v>3127</v>
      </c>
      <c r="C4021" s="38" t="s">
        <v>9362</v>
      </c>
      <c r="D4021" s="4">
        <v>2023</v>
      </c>
      <c r="E4021" s="4" t="s">
        <v>24</v>
      </c>
      <c r="F4021" s="4">
        <v>258</v>
      </c>
      <c r="G4021" s="41">
        <v>195</v>
      </c>
      <c r="H4021" s="41">
        <v>2333.1788800000004</v>
      </c>
      <c r="I4021" s="221"/>
      <c r="J4021" s="221"/>
    </row>
    <row r="4022" spans="1:36" s="15" customFormat="1" ht="27" hidden="1" customHeight="1" outlineLevel="1" x14ac:dyDescent="0.25">
      <c r="A4022" s="18">
        <v>2966</v>
      </c>
      <c r="B4022" s="4" t="s">
        <v>3127</v>
      </c>
      <c r="C4022" s="38" t="s">
        <v>9217</v>
      </c>
      <c r="D4022" s="4">
        <v>2023</v>
      </c>
      <c r="E4022" s="4" t="s">
        <v>24</v>
      </c>
      <c r="F4022" s="4">
        <v>50</v>
      </c>
      <c r="G4022" s="41">
        <v>150</v>
      </c>
      <c r="H4022" s="41">
        <v>641</v>
      </c>
      <c r="I4022" s="221"/>
      <c r="J4022" s="221"/>
    </row>
    <row r="4023" spans="1:36" s="15" customFormat="1" ht="15.75" hidden="1" outlineLevel="1" x14ac:dyDescent="0.25">
      <c r="A4023" s="18"/>
      <c r="B4023" s="4" t="s">
        <v>3127</v>
      </c>
      <c r="C4023" s="118"/>
      <c r="D4023" s="123">
        <v>2021</v>
      </c>
      <c r="E4023" s="116"/>
      <c r="F4023" s="116"/>
      <c r="G4023" s="119"/>
      <c r="H4023" s="119"/>
      <c r="I4023" s="212"/>
      <c r="J4023" s="212"/>
    </row>
    <row r="4024" spans="1:36" s="9" customFormat="1" ht="15.75" collapsed="1" x14ac:dyDescent="0.25">
      <c r="A4024" s="38"/>
      <c r="B4024" s="329" t="s">
        <v>1</v>
      </c>
      <c r="C4024" s="329" t="s">
        <v>2104</v>
      </c>
      <c r="D4024" s="321"/>
      <c r="E4024" s="321" t="s">
        <v>0</v>
      </c>
      <c r="F4024" s="321"/>
      <c r="G4024" s="321"/>
      <c r="H4024" s="321"/>
      <c r="I4024" s="214"/>
      <c r="J4024" s="214"/>
      <c r="K4024" s="5"/>
      <c r="L4024" s="5"/>
      <c r="M4024" s="5"/>
      <c r="N4024" s="5"/>
      <c r="O4024" s="5"/>
      <c r="P4024" s="5"/>
      <c r="Q4024" s="5"/>
      <c r="R4024" s="5"/>
      <c r="S4024" s="5"/>
      <c r="T4024" s="5"/>
      <c r="U4024" s="5"/>
      <c r="V4024" s="5"/>
      <c r="W4024" s="5"/>
      <c r="X4024" s="5"/>
      <c r="Y4024" s="5"/>
      <c r="Z4024" s="5"/>
      <c r="AA4024" s="5"/>
      <c r="AB4024" s="5"/>
      <c r="AC4024" s="5"/>
      <c r="AD4024" s="5"/>
      <c r="AE4024" s="5"/>
      <c r="AF4024" s="5"/>
      <c r="AG4024" s="5"/>
      <c r="AH4024" s="5"/>
      <c r="AI4024" s="5"/>
      <c r="AJ4024" s="5"/>
    </row>
    <row r="4025" spans="1:36" s="15" customFormat="1" ht="15.75" x14ac:dyDescent="0.25">
      <c r="A4025" s="170"/>
      <c r="B4025" s="330"/>
      <c r="C4025" s="330"/>
      <c r="D4025" s="322"/>
      <c r="E4025" s="322"/>
      <c r="F4025" s="322"/>
      <c r="G4025" s="322"/>
      <c r="H4025" s="322"/>
      <c r="I4025" s="215"/>
      <c r="J4025" s="215"/>
    </row>
    <row r="4026" spans="1:36" s="16" customFormat="1" ht="15.75" x14ac:dyDescent="0.25">
      <c r="A4026" s="170"/>
      <c r="B4026" s="331"/>
      <c r="C4026" s="331"/>
      <c r="D4026" s="323"/>
      <c r="E4026" s="323"/>
      <c r="F4026" s="323"/>
      <c r="G4026" s="323"/>
      <c r="H4026" s="323"/>
      <c r="I4026" s="215"/>
      <c r="J4026" s="215"/>
      <c r="K4026" s="15"/>
      <c r="L4026" s="15"/>
      <c r="M4026" s="15"/>
      <c r="N4026" s="15"/>
      <c r="O4026" s="15"/>
      <c r="P4026" s="15"/>
      <c r="Q4026" s="15"/>
      <c r="R4026" s="15"/>
      <c r="S4026" s="15"/>
      <c r="T4026" s="15"/>
      <c r="U4026" s="15"/>
      <c r="V4026" s="15"/>
      <c r="W4026" s="15"/>
      <c r="X4026" s="15"/>
      <c r="Y4026" s="15"/>
      <c r="Z4026" s="15"/>
      <c r="AA4026" s="15"/>
      <c r="AB4026" s="15"/>
      <c r="AC4026" s="15"/>
      <c r="AD4026" s="15"/>
      <c r="AE4026" s="15"/>
      <c r="AF4026" s="15"/>
      <c r="AG4026" s="15"/>
      <c r="AH4026" s="15"/>
      <c r="AI4026" s="15"/>
      <c r="AJ4026" s="15"/>
    </row>
    <row r="4027" spans="1:36" s="16" customFormat="1" ht="22.5" customHeight="1" x14ac:dyDescent="0.25">
      <c r="A4027" s="170"/>
      <c r="B4027" s="7" t="s">
        <v>1</v>
      </c>
      <c r="C4027" s="8" t="s">
        <v>57</v>
      </c>
      <c r="D4027" s="7">
        <v>2021</v>
      </c>
      <c r="E4027" s="7" t="s">
        <v>0</v>
      </c>
      <c r="F4027" s="7">
        <f>SUMIF($D$4030:$D$4034,$D$4027,$F$4030:$F$4034)</f>
        <v>0</v>
      </c>
      <c r="G4027" s="7">
        <f>SUMIF($D$4030:$D$4034,$D$4027,$G$4030:$G$4034)</f>
        <v>0</v>
      </c>
      <c r="H4027" s="10">
        <f>SUMIF($D$4030:$D$4034,$D$4027,$H$4030:$H$4034)</f>
        <v>0</v>
      </c>
      <c r="I4027" s="5"/>
      <c r="J4027" s="5"/>
      <c r="K4027" s="5"/>
      <c r="L4027" s="15"/>
      <c r="M4027" s="15"/>
      <c r="N4027" s="15"/>
      <c r="O4027" s="15"/>
      <c r="P4027" s="15"/>
      <c r="Q4027" s="15"/>
      <c r="R4027" s="15"/>
      <c r="S4027" s="15"/>
      <c r="T4027" s="15"/>
      <c r="U4027" s="15"/>
      <c r="V4027" s="15"/>
      <c r="W4027" s="15"/>
      <c r="X4027" s="15"/>
      <c r="Y4027" s="15"/>
      <c r="Z4027" s="15"/>
      <c r="AA4027" s="15"/>
      <c r="AB4027" s="15"/>
      <c r="AC4027" s="15"/>
      <c r="AD4027" s="15"/>
      <c r="AE4027" s="15"/>
      <c r="AF4027" s="15"/>
      <c r="AG4027" s="15"/>
      <c r="AH4027" s="15"/>
      <c r="AI4027" s="15"/>
      <c r="AJ4027" s="15"/>
    </row>
    <row r="4028" spans="1:36" s="27" customFormat="1" ht="15.75" customHeight="1" x14ac:dyDescent="0.25">
      <c r="A4028" s="170"/>
      <c r="B4028" s="7" t="s">
        <v>1</v>
      </c>
      <c r="C4028" s="8" t="s">
        <v>57</v>
      </c>
      <c r="D4028" s="7">
        <v>2022</v>
      </c>
      <c r="E4028" s="7" t="s">
        <v>0</v>
      </c>
      <c r="F4028" s="7">
        <f>SUMIF($D$4030:$D$4034,$D$4028,$F$4030:$F$4034)</f>
        <v>892</v>
      </c>
      <c r="G4028" s="7">
        <f>SUMIF($D$4030:$D$4034,$D$4028,$G$4030:$G$4034)</f>
        <v>897</v>
      </c>
      <c r="H4028" s="10">
        <f>SUMIF($D$4030:$D$4034,$D$4028,$H$4030:$H$4034)</f>
        <v>6138.3219500000005</v>
      </c>
      <c r="I4028" s="205"/>
      <c r="J4028" s="205"/>
      <c r="K4028" s="15"/>
      <c r="L4028" s="15"/>
      <c r="M4028" s="15"/>
      <c r="N4028" s="15"/>
      <c r="O4028" s="15"/>
      <c r="P4028" s="15"/>
      <c r="Q4028" s="15"/>
      <c r="R4028" s="15"/>
      <c r="S4028" s="15"/>
      <c r="T4028" s="15"/>
      <c r="U4028" s="15"/>
      <c r="V4028" s="15"/>
      <c r="W4028" s="15"/>
      <c r="X4028" s="15"/>
      <c r="Y4028" s="15"/>
      <c r="Z4028" s="15"/>
      <c r="AA4028" s="15"/>
      <c r="AB4028" s="15"/>
      <c r="AC4028" s="15"/>
      <c r="AD4028" s="15"/>
      <c r="AE4028" s="15"/>
      <c r="AF4028" s="15"/>
      <c r="AG4028" s="15"/>
      <c r="AH4028" s="15"/>
      <c r="AI4028" s="15"/>
      <c r="AJ4028" s="15"/>
    </row>
    <row r="4029" spans="1:36" s="27" customFormat="1" ht="15.75" x14ac:dyDescent="0.25">
      <c r="A4029" s="170"/>
      <c r="B4029" s="7" t="s">
        <v>1</v>
      </c>
      <c r="C4029" s="8" t="s">
        <v>2811</v>
      </c>
      <c r="D4029" s="7">
        <v>2023</v>
      </c>
      <c r="E4029" s="7" t="s">
        <v>0</v>
      </c>
      <c r="F4029" s="7">
        <f>SUMIF($D$4030:$D$4034,$D$4029,$F$4030:$F$4034)</f>
        <v>190</v>
      </c>
      <c r="G4029" s="7">
        <f>SUMIF($D$4030:$D$4034,$D$4029,$G$4030:$G$4034)</f>
        <v>600</v>
      </c>
      <c r="H4029" s="10">
        <f>SUMIF($D$4030:$D$4034,$D$4029,$H$4030:$H$4034)</f>
        <v>701.97699999999998</v>
      </c>
      <c r="I4029" s="205"/>
      <c r="J4029" s="205"/>
      <c r="K4029" s="15"/>
      <c r="L4029" s="15"/>
      <c r="M4029" s="15"/>
      <c r="N4029" s="15"/>
      <c r="O4029" s="15"/>
      <c r="P4029" s="15"/>
      <c r="Q4029" s="15"/>
      <c r="R4029" s="15"/>
      <c r="S4029" s="15"/>
      <c r="T4029" s="15"/>
      <c r="U4029" s="15"/>
      <c r="V4029" s="15"/>
      <c r="W4029" s="15"/>
      <c r="X4029" s="15"/>
      <c r="Y4029" s="15"/>
      <c r="Z4029" s="15"/>
      <c r="AA4029" s="15"/>
      <c r="AB4029" s="15"/>
      <c r="AC4029" s="15"/>
      <c r="AD4029" s="15"/>
      <c r="AE4029" s="15"/>
      <c r="AF4029" s="15"/>
      <c r="AG4029" s="15"/>
      <c r="AH4029" s="15"/>
      <c r="AI4029" s="15"/>
      <c r="AJ4029" s="15"/>
    </row>
    <row r="4030" spans="1:36" s="15" customFormat="1" ht="29.25" hidden="1" customHeight="1" outlineLevel="1" x14ac:dyDescent="0.25">
      <c r="A4030" s="18">
        <v>3000</v>
      </c>
      <c r="B4030" s="4" t="s">
        <v>1</v>
      </c>
      <c r="C4030" s="38" t="s">
        <v>2933</v>
      </c>
      <c r="D4030" s="4">
        <v>2022</v>
      </c>
      <c r="E4030" s="4" t="s">
        <v>0</v>
      </c>
      <c r="F4030" s="4">
        <v>112</v>
      </c>
      <c r="G4030" s="4">
        <v>147</v>
      </c>
      <c r="H4030" s="4">
        <v>381.99700000000001</v>
      </c>
      <c r="I4030" s="201"/>
      <c r="J4030" s="201"/>
    </row>
    <row r="4031" spans="1:36" s="15" customFormat="1" ht="29.25" hidden="1" customHeight="1" outlineLevel="1" x14ac:dyDescent="0.25">
      <c r="A4031" s="18">
        <v>4549</v>
      </c>
      <c r="B4031" s="4" t="s">
        <v>1</v>
      </c>
      <c r="C4031" s="38" t="s">
        <v>3130</v>
      </c>
      <c r="D4031" s="4">
        <v>2022</v>
      </c>
      <c r="E4031" s="4" t="s">
        <v>0</v>
      </c>
      <c r="F4031" s="4">
        <v>310</v>
      </c>
      <c r="G4031" s="4">
        <v>150</v>
      </c>
      <c r="H4031" s="4">
        <v>4807.3249500000002</v>
      </c>
      <c r="I4031" s="201"/>
      <c r="J4031" s="201"/>
    </row>
    <row r="4032" spans="1:36" s="15" customFormat="1" ht="29.25" hidden="1" customHeight="1" outlineLevel="1" x14ac:dyDescent="0.25">
      <c r="A4032" s="18">
        <v>166</v>
      </c>
      <c r="B4032" s="4" t="s">
        <v>1</v>
      </c>
      <c r="C4032" s="38" t="s">
        <v>3126</v>
      </c>
      <c r="D4032" s="4">
        <v>2022</v>
      </c>
      <c r="E4032" s="4" t="s">
        <v>0</v>
      </c>
      <c r="F4032" s="4">
        <v>470</v>
      </c>
      <c r="G4032" s="4">
        <v>600</v>
      </c>
      <c r="H4032" s="4">
        <v>949</v>
      </c>
      <c r="I4032" s="201"/>
      <c r="J4032" s="201"/>
    </row>
    <row r="4033" spans="1:36" s="15" customFormat="1" ht="29.25" hidden="1" customHeight="1" outlineLevel="1" x14ac:dyDescent="0.25">
      <c r="A4033" s="133">
        <v>3055</v>
      </c>
      <c r="B4033" s="134" t="s">
        <v>1</v>
      </c>
      <c r="C4033" s="135" t="s">
        <v>9363</v>
      </c>
      <c r="D4033" s="139">
        <v>2023</v>
      </c>
      <c r="E4033" s="139" t="s">
        <v>0</v>
      </c>
      <c r="F4033" s="139">
        <v>190</v>
      </c>
      <c r="G4033" s="139">
        <v>600</v>
      </c>
      <c r="H4033" s="140">
        <v>701.97699999999998</v>
      </c>
      <c r="I4033" s="229"/>
      <c r="J4033" s="229"/>
    </row>
    <row r="4034" spans="1:36" s="15" customFormat="1" ht="15.75" hidden="1" outlineLevel="1" x14ac:dyDescent="0.25">
      <c r="A4034" s="18"/>
      <c r="B4034" s="154"/>
      <c r="C4034" s="118"/>
      <c r="D4034" s="154"/>
      <c r="E4034" s="154"/>
      <c r="F4034" s="154"/>
      <c r="G4034" s="154"/>
      <c r="H4034" s="119"/>
      <c r="I4034" s="212"/>
      <c r="J4034" s="212"/>
    </row>
    <row r="4035" spans="1:36" s="15" customFormat="1" ht="15.75" collapsed="1" x14ac:dyDescent="0.25">
      <c r="A4035" s="332"/>
      <c r="B4035" s="319" t="s">
        <v>909</v>
      </c>
      <c r="C4035" s="324" t="s">
        <v>2108</v>
      </c>
      <c r="D4035" s="324"/>
      <c r="E4035" s="319" t="s">
        <v>24</v>
      </c>
      <c r="F4035" s="324"/>
      <c r="G4035" s="324"/>
      <c r="H4035" s="324"/>
      <c r="I4035" s="225"/>
      <c r="J4035" s="225"/>
    </row>
    <row r="4036" spans="1:36" s="24" customFormat="1" ht="15.75" x14ac:dyDescent="0.25">
      <c r="A4036" s="338"/>
      <c r="B4036" s="328"/>
      <c r="C4036" s="325"/>
      <c r="D4036" s="325"/>
      <c r="E4036" s="328"/>
      <c r="F4036" s="325"/>
      <c r="G4036" s="325"/>
      <c r="H4036" s="325"/>
      <c r="I4036" s="226"/>
      <c r="J4036" s="226"/>
      <c r="K4036" s="15"/>
      <c r="L4036" s="15"/>
      <c r="M4036" s="15"/>
      <c r="N4036" s="15"/>
      <c r="O4036" s="15"/>
      <c r="P4036" s="15"/>
      <c r="Q4036" s="15"/>
      <c r="R4036" s="15"/>
      <c r="S4036" s="15"/>
      <c r="T4036" s="15"/>
      <c r="U4036" s="15"/>
      <c r="V4036" s="15"/>
      <c r="W4036" s="15"/>
      <c r="X4036" s="15"/>
      <c r="Y4036" s="15"/>
      <c r="Z4036" s="15"/>
      <c r="AA4036" s="15"/>
      <c r="AB4036" s="15"/>
      <c r="AC4036" s="15"/>
      <c r="AD4036" s="15"/>
      <c r="AE4036" s="15"/>
      <c r="AF4036" s="15"/>
      <c r="AG4036" s="15"/>
      <c r="AH4036" s="15"/>
      <c r="AI4036" s="15"/>
      <c r="AJ4036" s="15"/>
    </row>
    <row r="4037" spans="1:36" s="24" customFormat="1" ht="13.5" customHeight="1" x14ac:dyDescent="0.25">
      <c r="A4037" s="338"/>
      <c r="B4037" s="328"/>
      <c r="C4037" s="325"/>
      <c r="D4037" s="325"/>
      <c r="E4037" s="328"/>
      <c r="F4037" s="325"/>
      <c r="G4037" s="325"/>
      <c r="H4037" s="325"/>
      <c r="I4037" s="226"/>
      <c r="J4037" s="226"/>
      <c r="K4037" s="15"/>
      <c r="L4037" s="15"/>
      <c r="M4037" s="15"/>
      <c r="N4037" s="15"/>
      <c r="O4037" s="15"/>
      <c r="P4037" s="15"/>
      <c r="Q4037" s="15"/>
      <c r="R4037" s="15"/>
      <c r="S4037" s="15"/>
      <c r="T4037" s="15"/>
      <c r="U4037" s="15"/>
      <c r="V4037" s="15"/>
      <c r="W4037" s="15"/>
      <c r="X4037" s="15"/>
      <c r="Y4037" s="15"/>
      <c r="Z4037" s="15"/>
      <c r="AA4037" s="15"/>
      <c r="AB4037" s="15"/>
      <c r="AC4037" s="15"/>
      <c r="AD4037" s="15"/>
      <c r="AE4037" s="15"/>
      <c r="AF4037" s="15"/>
      <c r="AG4037" s="15"/>
      <c r="AH4037" s="15"/>
      <c r="AI4037" s="15"/>
      <c r="AJ4037" s="15"/>
    </row>
    <row r="4038" spans="1:36" s="24" customFormat="1" ht="15.75" hidden="1" customHeight="1" x14ac:dyDescent="0.25">
      <c r="A4038" s="339"/>
      <c r="B4038" s="320"/>
      <c r="C4038" s="326"/>
      <c r="D4038" s="326"/>
      <c r="E4038" s="320"/>
      <c r="F4038" s="326"/>
      <c r="G4038" s="326"/>
      <c r="H4038" s="326"/>
      <c r="I4038" s="226"/>
      <c r="J4038" s="226"/>
      <c r="K4038" s="15"/>
      <c r="L4038" s="15"/>
      <c r="M4038" s="15"/>
      <c r="N4038" s="15"/>
      <c r="O4038" s="15"/>
      <c r="P4038" s="15"/>
      <c r="Q4038" s="15"/>
      <c r="R4038" s="15"/>
      <c r="S4038" s="15"/>
      <c r="T4038" s="15"/>
      <c r="U4038" s="15"/>
      <c r="V4038" s="15"/>
      <c r="W4038" s="15"/>
      <c r="X4038" s="15"/>
      <c r="Y4038" s="15"/>
      <c r="Z4038" s="15"/>
      <c r="AA4038" s="15"/>
      <c r="AB4038" s="15"/>
      <c r="AC4038" s="15"/>
      <c r="AD4038" s="15"/>
      <c r="AE4038" s="15"/>
      <c r="AF4038" s="15"/>
      <c r="AG4038" s="15"/>
      <c r="AH4038" s="15"/>
      <c r="AI4038" s="15"/>
      <c r="AJ4038" s="15"/>
    </row>
    <row r="4039" spans="1:36" s="15" customFormat="1" ht="15.75" customHeight="1" x14ac:dyDescent="0.25">
      <c r="A4039" s="18"/>
      <c r="B4039" s="11" t="s">
        <v>909</v>
      </c>
      <c r="C4039" s="12" t="s">
        <v>57</v>
      </c>
      <c r="D4039" s="11">
        <v>2021</v>
      </c>
      <c r="E4039" s="11" t="s">
        <v>24</v>
      </c>
      <c r="F4039" s="20">
        <f>SUMIF($D$4042:$D$4050,$D$4039,$F$4042:$F$4050)</f>
        <v>129</v>
      </c>
      <c r="G4039" s="20">
        <f>SUMIF($D$4042:$D$4050,$D$4039,$G$4042:$G$4050)</f>
        <v>160</v>
      </c>
      <c r="H4039" s="14">
        <f ca="1">SUMIF($D$4042:$H$4050,$D$4039,$H$4042:$H$4050)</f>
        <v>458.53017</v>
      </c>
      <c r="I4039" s="5"/>
      <c r="J4039" s="5"/>
      <c r="K4039" s="5"/>
    </row>
    <row r="4040" spans="1:36" s="15" customFormat="1" ht="16.5" customHeight="1" x14ac:dyDescent="0.25">
      <c r="A4040" s="18"/>
      <c r="B4040" s="11" t="s">
        <v>909</v>
      </c>
      <c r="C4040" s="12" t="s">
        <v>57</v>
      </c>
      <c r="D4040" s="11">
        <v>2022</v>
      </c>
      <c r="E4040" s="64" t="s">
        <v>24</v>
      </c>
      <c r="F4040" s="20">
        <f>SUMIF($D$4042:$D$4050,$D$4040,$F$4042:$F$4050)</f>
        <v>0</v>
      </c>
      <c r="G4040" s="20">
        <f>SUMIF($D$4042:$D$4050,$D$4040,$G$4042:$G$4050)</f>
        <v>0</v>
      </c>
      <c r="H4040" s="14">
        <f ca="1">SUMIF($D$4042:$H$4050,$D$4040,$H$4042:$H$4050)</f>
        <v>0</v>
      </c>
      <c r="I4040" s="220"/>
      <c r="J4040" s="220"/>
    </row>
    <row r="4041" spans="1:36" s="15" customFormat="1" ht="15.75" x14ac:dyDescent="0.25">
      <c r="A4041" s="18"/>
      <c r="B4041" s="11" t="s">
        <v>909</v>
      </c>
      <c r="C4041" s="12" t="s">
        <v>2811</v>
      </c>
      <c r="D4041" s="11">
        <v>2023</v>
      </c>
      <c r="E4041" s="64" t="s">
        <v>24</v>
      </c>
      <c r="F4041" s="20">
        <f ca="1">SUMIF($D$4042:$H$4050,$D$4041,$F$4042:$F$4050)</f>
        <v>1257</v>
      </c>
      <c r="G4041" s="20">
        <f>SUMIF($D$4042:$D$4050,$D$4041,$G$4042:$G$4050)</f>
        <v>1350</v>
      </c>
      <c r="H4041" s="129">
        <f ca="1">SUMIF($D$4042:$H$4050,$D$4041,$H$4042:$H$4050)</f>
        <v>5459.4392949999983</v>
      </c>
      <c r="I4041" s="230"/>
      <c r="J4041" s="230"/>
    </row>
    <row r="4042" spans="1:36" s="15" customFormat="1" ht="15.75" hidden="1" outlineLevel="1" x14ac:dyDescent="0.25">
      <c r="A4042" s="18"/>
      <c r="B4042" s="4" t="s">
        <v>909</v>
      </c>
      <c r="C4042" s="38"/>
      <c r="D4042" s="4">
        <v>2022</v>
      </c>
      <c r="E4042" s="4" t="s">
        <v>24</v>
      </c>
      <c r="F4042" s="18"/>
      <c r="G4042" s="18"/>
      <c r="H4042" s="18"/>
      <c r="I4042" s="90"/>
      <c r="J4042" s="90"/>
    </row>
    <row r="4043" spans="1:36" s="15" customFormat="1" ht="39" hidden="1" customHeight="1" outlineLevel="1" x14ac:dyDescent="0.25">
      <c r="A4043" s="18">
        <v>5012</v>
      </c>
      <c r="B4043" s="4" t="s">
        <v>909</v>
      </c>
      <c r="C4043" s="38" t="s">
        <v>9238</v>
      </c>
      <c r="D4043" s="4">
        <v>2023</v>
      </c>
      <c r="E4043" s="4" t="s">
        <v>24</v>
      </c>
      <c r="F4043" s="4">
        <v>1016.9999999999999</v>
      </c>
      <c r="G4043" s="4">
        <v>800</v>
      </c>
      <c r="H4043" s="4">
        <v>3471.8272949999987</v>
      </c>
      <c r="I4043" s="201"/>
      <c r="J4043" s="201"/>
    </row>
    <row r="4044" spans="1:36" s="15" customFormat="1" ht="39" hidden="1" customHeight="1" outlineLevel="1" x14ac:dyDescent="0.25">
      <c r="A4044" s="18">
        <v>5174</v>
      </c>
      <c r="B4044" s="4" t="s">
        <v>909</v>
      </c>
      <c r="C4044" s="38" t="s">
        <v>9144</v>
      </c>
      <c r="D4044" s="4">
        <v>2023</v>
      </c>
      <c r="E4044" s="126" t="s">
        <v>24</v>
      </c>
      <c r="F4044" s="18">
        <v>186</v>
      </c>
      <c r="G4044" s="18">
        <v>100</v>
      </c>
      <c r="H4044" s="18">
        <v>585.79439000000002</v>
      </c>
      <c r="I4044" s="90"/>
      <c r="J4044" s="90"/>
    </row>
    <row r="4045" spans="1:36" s="15" customFormat="1" ht="78.75" hidden="1" outlineLevel="1" x14ac:dyDescent="0.25">
      <c r="A4045" s="18">
        <v>3044</v>
      </c>
      <c r="B4045" s="4" t="s">
        <v>909</v>
      </c>
      <c r="C4045" s="38" t="s">
        <v>9365</v>
      </c>
      <c r="D4045" s="4">
        <v>2023</v>
      </c>
      <c r="E4045" s="4" t="s">
        <v>24</v>
      </c>
      <c r="F4045" s="4">
        <v>18</v>
      </c>
      <c r="G4045" s="4">
        <v>150</v>
      </c>
      <c r="H4045" s="4">
        <v>461.39760999999999</v>
      </c>
      <c r="I4045" s="201"/>
      <c r="J4045" s="201"/>
    </row>
    <row r="4046" spans="1:36" s="15" customFormat="1" ht="78" hidden="1" customHeight="1" outlineLevel="1" x14ac:dyDescent="0.25">
      <c r="A4046" s="18">
        <v>3043</v>
      </c>
      <c r="B4046" s="4" t="s">
        <v>909</v>
      </c>
      <c r="C4046" s="38" t="s">
        <v>9366</v>
      </c>
      <c r="D4046" s="4">
        <v>2023</v>
      </c>
      <c r="E4046" s="4" t="s">
        <v>24</v>
      </c>
      <c r="F4046" s="4">
        <v>18</v>
      </c>
      <c r="G4046" s="4">
        <v>150</v>
      </c>
      <c r="H4046" s="4">
        <v>470.21000000000004</v>
      </c>
      <c r="I4046" s="201"/>
      <c r="J4046" s="201"/>
    </row>
    <row r="4047" spans="1:36" s="15" customFormat="1" ht="83.25" hidden="1" customHeight="1" outlineLevel="1" x14ac:dyDescent="0.25">
      <c r="A4047" s="18">
        <v>3047</v>
      </c>
      <c r="B4047" s="4" t="s">
        <v>909</v>
      </c>
      <c r="C4047" s="38" t="s">
        <v>9367</v>
      </c>
      <c r="D4047" s="4">
        <v>2023</v>
      </c>
      <c r="E4047" s="4" t="s">
        <v>24</v>
      </c>
      <c r="F4047" s="4">
        <v>18</v>
      </c>
      <c r="G4047" s="4">
        <v>150</v>
      </c>
      <c r="H4047" s="4">
        <v>470.21000000000004</v>
      </c>
      <c r="I4047" s="201"/>
      <c r="J4047" s="201"/>
    </row>
    <row r="4048" spans="1:36" s="15" customFormat="1" ht="29.25" hidden="1" customHeight="1" outlineLevel="1" x14ac:dyDescent="0.25">
      <c r="A4048" s="45">
        <v>3749</v>
      </c>
      <c r="B4048" s="4" t="s">
        <v>909</v>
      </c>
      <c r="C4048" s="38" t="s">
        <v>206</v>
      </c>
      <c r="D4048" s="4">
        <v>2021</v>
      </c>
      <c r="E4048" s="4" t="s">
        <v>24</v>
      </c>
      <c r="F4048" s="18">
        <v>78</v>
      </c>
      <c r="G4048" s="18">
        <v>100</v>
      </c>
      <c r="H4048" s="18">
        <v>382.69968999999998</v>
      </c>
      <c r="I4048" s="90"/>
      <c r="J4048" s="90"/>
    </row>
    <row r="4049" spans="1:36" s="15" customFormat="1" ht="29.25" hidden="1" customHeight="1" outlineLevel="1" x14ac:dyDescent="0.25">
      <c r="A4049" s="46">
        <v>9679</v>
      </c>
      <c r="B4049" s="4" t="s">
        <v>909</v>
      </c>
      <c r="C4049" s="38" t="s">
        <v>208</v>
      </c>
      <c r="D4049" s="4">
        <v>2021</v>
      </c>
      <c r="E4049" s="4" t="s">
        <v>24</v>
      </c>
      <c r="F4049" s="18">
        <v>51</v>
      </c>
      <c r="G4049" s="18">
        <v>60</v>
      </c>
      <c r="H4049" s="18">
        <v>75.830479999999994</v>
      </c>
      <c r="I4049" s="90"/>
      <c r="J4049" s="90"/>
    </row>
    <row r="4050" spans="1:36" s="15" customFormat="1" ht="29.25" hidden="1" customHeight="1" outlineLevel="1" x14ac:dyDescent="0.25">
      <c r="A4050" s="46"/>
      <c r="B4050" s="123"/>
      <c r="C4050" s="118"/>
      <c r="D4050" s="123"/>
      <c r="E4050" s="123"/>
      <c r="F4050" s="153"/>
      <c r="G4050" s="153"/>
      <c r="H4050" s="153"/>
      <c r="I4050" s="90"/>
      <c r="J4050" s="90"/>
    </row>
    <row r="4051" spans="1:36" s="15" customFormat="1" ht="15.75" collapsed="1" x14ac:dyDescent="0.25">
      <c r="A4051" s="18"/>
      <c r="B4051" s="321" t="s">
        <v>28</v>
      </c>
      <c r="C4051" s="329" t="s">
        <v>2109</v>
      </c>
      <c r="D4051" s="321"/>
      <c r="E4051" s="321" t="s">
        <v>24</v>
      </c>
      <c r="F4051" s="321"/>
      <c r="G4051" s="321"/>
      <c r="H4051" s="321"/>
      <c r="I4051" s="214"/>
      <c r="J4051" s="214"/>
    </row>
    <row r="4052" spans="1:36" s="16" customFormat="1" ht="15.75" x14ac:dyDescent="0.25">
      <c r="A4052" s="18"/>
      <c r="B4052" s="322"/>
      <c r="C4052" s="330"/>
      <c r="D4052" s="322"/>
      <c r="E4052" s="322" t="s">
        <v>24</v>
      </c>
      <c r="F4052" s="322"/>
      <c r="G4052" s="322"/>
      <c r="H4052" s="322"/>
      <c r="I4052" s="215"/>
      <c r="J4052" s="215"/>
      <c r="K4052" s="15"/>
      <c r="L4052" s="15"/>
      <c r="M4052" s="15"/>
      <c r="N4052" s="15"/>
      <c r="O4052" s="15"/>
      <c r="P4052" s="15"/>
      <c r="Q4052" s="15"/>
      <c r="R4052" s="15"/>
      <c r="S4052" s="15"/>
      <c r="T4052" s="15"/>
      <c r="U4052" s="15"/>
      <c r="V4052" s="15"/>
      <c r="W4052" s="15"/>
      <c r="X4052" s="15"/>
      <c r="Y4052" s="15"/>
      <c r="Z4052" s="15"/>
      <c r="AA4052" s="15"/>
      <c r="AB4052" s="15"/>
      <c r="AC4052" s="15"/>
      <c r="AD4052" s="15"/>
      <c r="AE4052" s="15"/>
      <c r="AF4052" s="15"/>
      <c r="AG4052" s="15"/>
      <c r="AH4052" s="15"/>
      <c r="AI4052" s="15"/>
      <c r="AJ4052" s="15"/>
    </row>
    <row r="4053" spans="1:36" s="16" customFormat="1" ht="15.75" customHeight="1" x14ac:dyDescent="0.25">
      <c r="A4053" s="18"/>
      <c r="B4053" s="322"/>
      <c r="C4053" s="330"/>
      <c r="D4053" s="322"/>
      <c r="E4053" s="322"/>
      <c r="F4053" s="322"/>
      <c r="G4053" s="322"/>
      <c r="H4053" s="322"/>
      <c r="I4053" s="215"/>
      <c r="J4053" s="215"/>
      <c r="K4053" s="15"/>
      <c r="L4053" s="15"/>
      <c r="M4053" s="15"/>
      <c r="N4053" s="15"/>
      <c r="O4053" s="15"/>
      <c r="P4053" s="15"/>
      <c r="Q4053" s="15"/>
      <c r="R4053" s="15"/>
      <c r="S4053" s="15"/>
      <c r="T4053" s="15"/>
      <c r="U4053" s="15"/>
      <c r="V4053" s="15"/>
      <c r="W4053" s="15"/>
      <c r="X4053" s="15"/>
      <c r="Y4053" s="15"/>
      <c r="Z4053" s="15"/>
      <c r="AA4053" s="15"/>
      <c r="AB4053" s="15"/>
      <c r="AC4053" s="15"/>
      <c r="AD4053" s="15"/>
      <c r="AE4053" s="15"/>
      <c r="AF4053" s="15"/>
      <c r="AG4053" s="15"/>
      <c r="AH4053" s="15"/>
      <c r="AI4053" s="15"/>
      <c r="AJ4053" s="15"/>
    </row>
    <row r="4054" spans="1:36" s="16" customFormat="1" ht="15.75" hidden="1" customHeight="1" x14ac:dyDescent="0.25">
      <c r="A4054" s="43"/>
      <c r="B4054" s="323"/>
      <c r="C4054" s="331"/>
      <c r="D4054" s="323"/>
      <c r="E4054" s="323"/>
      <c r="F4054" s="323"/>
      <c r="G4054" s="323"/>
      <c r="H4054" s="323"/>
      <c r="I4054" s="215"/>
      <c r="J4054" s="215"/>
      <c r="K4054" s="15"/>
      <c r="L4054" s="15"/>
      <c r="M4054" s="15"/>
      <c r="N4054" s="15"/>
      <c r="O4054" s="15"/>
      <c r="P4054" s="15"/>
      <c r="Q4054" s="15"/>
      <c r="R4054" s="15"/>
      <c r="S4054" s="15"/>
      <c r="T4054" s="15"/>
      <c r="U4054" s="15"/>
      <c r="V4054" s="15"/>
      <c r="W4054" s="15"/>
      <c r="X4054" s="15"/>
      <c r="Y4054" s="15"/>
      <c r="Z4054" s="15"/>
      <c r="AA4054" s="15"/>
      <c r="AB4054" s="15"/>
      <c r="AC4054" s="15"/>
      <c r="AD4054" s="15"/>
      <c r="AE4054" s="15"/>
      <c r="AF4054" s="15"/>
      <c r="AG4054" s="15"/>
      <c r="AH4054" s="15"/>
      <c r="AI4054" s="15"/>
      <c r="AJ4054" s="15"/>
    </row>
    <row r="4055" spans="1:36" s="16" customFormat="1" ht="16.5" customHeight="1" x14ac:dyDescent="0.25">
      <c r="A4055" s="43"/>
      <c r="B4055" s="7" t="s">
        <v>28</v>
      </c>
      <c r="C4055" s="8" t="s">
        <v>57</v>
      </c>
      <c r="D4055" s="7">
        <v>2021</v>
      </c>
      <c r="E4055" s="7" t="s">
        <v>24</v>
      </c>
      <c r="F4055" s="7">
        <f>SUMIF($D$4058:$D$4063,$D$4055,$F$4058:$F$4063)</f>
        <v>1358</v>
      </c>
      <c r="G4055" s="7">
        <f>SUMIF($D$4058:$D$4063,$D$4055,$G$4058:$G$4063)</f>
        <v>600</v>
      </c>
      <c r="H4055" s="10">
        <f>SUMIF($D$4058:$D$4063,$D$4055,$H$4058:$H$4063)</f>
        <v>6960.4026000000003</v>
      </c>
      <c r="I4055" s="5"/>
      <c r="J4055" s="5"/>
      <c r="K4055" s="5"/>
      <c r="L4055" s="15"/>
      <c r="M4055" s="15"/>
      <c r="N4055" s="15"/>
      <c r="O4055" s="15"/>
      <c r="P4055" s="15"/>
      <c r="Q4055" s="15"/>
      <c r="R4055" s="15"/>
      <c r="S4055" s="15"/>
      <c r="T4055" s="15"/>
      <c r="U4055" s="15"/>
      <c r="V4055" s="15"/>
      <c r="W4055" s="15"/>
      <c r="X4055" s="15"/>
      <c r="Y4055" s="15"/>
      <c r="Z4055" s="15"/>
      <c r="AA4055" s="15"/>
      <c r="AB4055" s="15"/>
      <c r="AC4055" s="15"/>
      <c r="AD4055" s="15"/>
      <c r="AE4055" s="15"/>
      <c r="AF4055" s="15"/>
      <c r="AG4055" s="15"/>
      <c r="AH4055" s="15"/>
      <c r="AI4055" s="15"/>
      <c r="AJ4055" s="15"/>
    </row>
    <row r="4056" spans="1:36" s="27" customFormat="1" ht="16.5" customHeight="1" x14ac:dyDescent="0.25">
      <c r="A4056" s="18"/>
      <c r="B4056" s="7" t="s">
        <v>28</v>
      </c>
      <c r="C4056" s="8" t="s">
        <v>57</v>
      </c>
      <c r="D4056" s="7">
        <v>2022</v>
      </c>
      <c r="E4056" s="7" t="s">
        <v>24</v>
      </c>
      <c r="F4056" s="7">
        <f>SUMIF($D$4058:$D$4063,$D$4056,$F$4058:$F$4063)</f>
        <v>246</v>
      </c>
      <c r="G4056" s="7">
        <f>SUMIF($D$4058:$D$4063,$D$4056,$G$4058:$G$4063)</f>
        <v>2147</v>
      </c>
      <c r="H4056" s="10">
        <f>SUMIF($D$4058:$D$4063,$D$4056,$H$4058:$H$4063)</f>
        <v>1144.181</v>
      </c>
      <c r="I4056" s="205"/>
      <c r="J4056" s="205"/>
      <c r="K4056" s="15"/>
      <c r="L4056" s="15"/>
      <c r="M4056" s="15"/>
      <c r="N4056" s="15"/>
      <c r="O4056" s="15"/>
      <c r="P4056" s="15"/>
      <c r="Q4056" s="15"/>
      <c r="R4056" s="15"/>
      <c r="S4056" s="15"/>
      <c r="T4056" s="15"/>
      <c r="U4056" s="15"/>
      <c r="V4056" s="15"/>
      <c r="W4056" s="15"/>
      <c r="X4056" s="15"/>
      <c r="Y4056" s="15"/>
      <c r="Z4056" s="15"/>
      <c r="AA4056" s="15"/>
      <c r="AB4056" s="15"/>
      <c r="AC4056" s="15"/>
      <c r="AD4056" s="15"/>
      <c r="AE4056" s="15"/>
      <c r="AF4056" s="15"/>
      <c r="AG4056" s="15"/>
      <c r="AH4056" s="15"/>
      <c r="AI4056" s="15"/>
      <c r="AJ4056" s="15"/>
    </row>
    <row r="4057" spans="1:36" s="27" customFormat="1" ht="15.75" x14ac:dyDescent="0.25">
      <c r="A4057" s="18"/>
      <c r="B4057" s="7" t="s">
        <v>28</v>
      </c>
      <c r="C4057" s="8" t="s">
        <v>57</v>
      </c>
      <c r="D4057" s="7">
        <v>2023</v>
      </c>
      <c r="E4057" s="7" t="s">
        <v>24</v>
      </c>
      <c r="F4057" s="7">
        <f>SUMIF($D$4058:$D$4063,$D$4057,$F$4058:$F$4063)</f>
        <v>0</v>
      </c>
      <c r="G4057" s="7">
        <f>SUMIF($D$4058:$D$4063,$D$4057,$G$4058:$G$4063)</f>
        <v>0</v>
      </c>
      <c r="H4057" s="10">
        <f>SUMIF($D$4058:$D$4063,$D$4057,$H$4058:$H$4063)</f>
        <v>0</v>
      </c>
      <c r="I4057" s="205"/>
      <c r="J4057" s="205"/>
      <c r="K4057" s="15"/>
      <c r="L4057" s="15"/>
      <c r="M4057" s="15"/>
      <c r="N4057" s="15"/>
      <c r="O4057" s="15"/>
      <c r="P4057" s="15"/>
      <c r="Q4057" s="15"/>
      <c r="R4057" s="15"/>
      <c r="S4057" s="15"/>
      <c r="T4057" s="15"/>
      <c r="U4057" s="15"/>
      <c r="V4057" s="15"/>
      <c r="W4057" s="15"/>
      <c r="X4057" s="15"/>
      <c r="Y4057" s="15"/>
      <c r="Z4057" s="15"/>
      <c r="AA4057" s="15"/>
      <c r="AB4057" s="15"/>
      <c r="AC4057" s="15"/>
      <c r="AD4057" s="15"/>
      <c r="AE4057" s="15"/>
      <c r="AF4057" s="15"/>
      <c r="AG4057" s="15"/>
      <c r="AH4057" s="15"/>
      <c r="AI4057" s="15"/>
      <c r="AJ4057" s="15"/>
    </row>
    <row r="4058" spans="1:36" s="27" customFormat="1" ht="33.75" hidden="1" customHeight="1" outlineLevel="1" x14ac:dyDescent="0.25">
      <c r="A4058" s="18">
        <v>3000</v>
      </c>
      <c r="B4058" s="4" t="s">
        <v>28</v>
      </c>
      <c r="C4058" s="38" t="s">
        <v>2933</v>
      </c>
      <c r="D4058" s="4">
        <v>2022</v>
      </c>
      <c r="E4058" s="4" t="s">
        <v>24</v>
      </c>
      <c r="F4058" s="4">
        <v>36</v>
      </c>
      <c r="G4058" s="4">
        <v>147</v>
      </c>
      <c r="H4058" s="41">
        <v>104.181</v>
      </c>
      <c r="I4058" s="221"/>
      <c r="J4058" s="221"/>
      <c r="K4058" s="15"/>
      <c r="L4058" s="15"/>
      <c r="M4058" s="15"/>
      <c r="N4058" s="15"/>
      <c r="O4058" s="15"/>
      <c r="P4058" s="15"/>
      <c r="Q4058" s="15"/>
      <c r="R4058" s="15"/>
      <c r="S4058" s="15"/>
      <c r="T4058" s="15"/>
      <c r="U4058" s="15"/>
      <c r="V4058" s="15"/>
      <c r="W4058" s="15"/>
      <c r="X4058" s="15"/>
      <c r="Y4058" s="15"/>
      <c r="Z4058" s="15"/>
      <c r="AA4058" s="15"/>
      <c r="AB4058" s="15"/>
      <c r="AC4058" s="15"/>
      <c r="AD4058" s="15"/>
      <c r="AE4058" s="15"/>
      <c r="AF4058" s="15"/>
      <c r="AG4058" s="15"/>
      <c r="AH4058" s="15"/>
      <c r="AI4058" s="15"/>
      <c r="AJ4058" s="15"/>
    </row>
    <row r="4059" spans="1:36" s="27" customFormat="1" ht="33.75" hidden="1" customHeight="1" outlineLevel="1" x14ac:dyDescent="0.25">
      <c r="A4059" s="18">
        <v>4550</v>
      </c>
      <c r="B4059" s="4" t="s">
        <v>28</v>
      </c>
      <c r="C4059" s="38" t="s">
        <v>3110</v>
      </c>
      <c r="D4059" s="4">
        <v>2022</v>
      </c>
      <c r="E4059" s="4" t="s">
        <v>24</v>
      </c>
      <c r="F4059" s="4">
        <v>70</v>
      </c>
      <c r="G4059" s="4">
        <v>2000</v>
      </c>
      <c r="H4059" s="41">
        <v>356</v>
      </c>
      <c r="I4059" s="221"/>
      <c r="J4059" s="221"/>
      <c r="K4059" s="15"/>
      <c r="L4059" s="15"/>
      <c r="M4059" s="15"/>
      <c r="N4059" s="15"/>
      <c r="O4059" s="15"/>
      <c r="P4059" s="15"/>
      <c r="Q4059" s="15"/>
      <c r="R4059" s="15"/>
      <c r="S4059" s="15"/>
      <c r="T4059" s="15"/>
      <c r="U4059" s="15"/>
      <c r="V4059" s="15"/>
      <c r="W4059" s="15"/>
      <c r="X4059" s="15"/>
      <c r="Y4059" s="15"/>
      <c r="Z4059" s="15"/>
      <c r="AA4059" s="15"/>
      <c r="AB4059" s="15"/>
      <c r="AC4059" s="15"/>
      <c r="AD4059" s="15"/>
      <c r="AE4059" s="15"/>
      <c r="AF4059" s="15"/>
      <c r="AG4059" s="15"/>
      <c r="AH4059" s="15"/>
      <c r="AI4059" s="15"/>
      <c r="AJ4059" s="15"/>
    </row>
    <row r="4060" spans="1:36" s="27" customFormat="1" ht="33.75" hidden="1" customHeight="1" outlineLevel="1" x14ac:dyDescent="0.25">
      <c r="A4060" s="18">
        <v>4745</v>
      </c>
      <c r="B4060" s="4" t="s">
        <v>28</v>
      </c>
      <c r="C4060" s="38" t="s">
        <v>2854</v>
      </c>
      <c r="D4060" s="4">
        <v>2022</v>
      </c>
      <c r="E4060" s="4" t="s">
        <v>24</v>
      </c>
      <c r="F4060" s="4">
        <v>140</v>
      </c>
      <c r="G4060" s="4" t="s">
        <v>806</v>
      </c>
      <c r="H4060" s="4">
        <v>684</v>
      </c>
      <c r="I4060" s="201"/>
      <c r="J4060" s="201"/>
      <c r="K4060" s="15"/>
      <c r="L4060" s="15"/>
      <c r="M4060" s="15"/>
      <c r="N4060" s="15"/>
      <c r="O4060" s="15"/>
      <c r="P4060" s="15"/>
      <c r="Q4060" s="15"/>
      <c r="R4060" s="15"/>
      <c r="S4060" s="15"/>
      <c r="T4060" s="15"/>
      <c r="U4060" s="15"/>
      <c r="V4060" s="15"/>
      <c r="W4060" s="15"/>
      <c r="X4060" s="15"/>
      <c r="Y4060" s="15"/>
      <c r="Z4060" s="15"/>
      <c r="AA4060" s="15"/>
      <c r="AB4060" s="15"/>
      <c r="AC4060" s="15"/>
      <c r="AD4060" s="15"/>
      <c r="AE4060" s="15"/>
      <c r="AF4060" s="15"/>
      <c r="AG4060" s="15"/>
      <c r="AH4060" s="15"/>
      <c r="AI4060" s="15"/>
      <c r="AJ4060" s="15"/>
    </row>
    <row r="4061" spans="1:36" s="15" customFormat="1" ht="33.75" hidden="1" customHeight="1" outlineLevel="1" x14ac:dyDescent="0.25">
      <c r="A4061" s="51">
        <v>9579</v>
      </c>
      <c r="B4061" s="4" t="s">
        <v>28</v>
      </c>
      <c r="C4061" s="22" t="s">
        <v>910</v>
      </c>
      <c r="D4061" s="4">
        <v>2021</v>
      </c>
      <c r="E4061" s="4" t="s">
        <v>24</v>
      </c>
      <c r="F4061" s="4">
        <v>1128</v>
      </c>
      <c r="G4061" s="41">
        <v>150</v>
      </c>
      <c r="H4061" s="41">
        <v>6349</v>
      </c>
      <c r="I4061" s="221"/>
      <c r="J4061" s="221"/>
    </row>
    <row r="4062" spans="1:36" s="15" customFormat="1" ht="33.75" hidden="1" customHeight="1" outlineLevel="1" x14ac:dyDescent="0.25">
      <c r="A4062" s="46">
        <v>9615</v>
      </c>
      <c r="B4062" s="4" t="s">
        <v>28</v>
      </c>
      <c r="C4062" s="22" t="s">
        <v>932</v>
      </c>
      <c r="D4062" s="4">
        <v>2021</v>
      </c>
      <c r="E4062" s="4" t="s">
        <v>24</v>
      </c>
      <c r="F4062" s="4">
        <v>230</v>
      </c>
      <c r="G4062" s="41">
        <v>450</v>
      </c>
      <c r="H4062" s="41">
        <v>611.40260000000001</v>
      </c>
      <c r="I4062" s="221"/>
      <c r="J4062" s="221"/>
    </row>
    <row r="4063" spans="1:36" s="15" customFormat="1" ht="8.25" customHeight="1" collapsed="1" x14ac:dyDescent="0.25">
      <c r="A4063" s="186"/>
      <c r="B4063" s="185"/>
      <c r="C4063" s="193"/>
      <c r="D4063" s="186"/>
      <c r="E4063" s="186"/>
      <c r="F4063" s="186"/>
      <c r="G4063" s="186"/>
      <c r="H4063" s="186"/>
      <c r="I4063" s="90"/>
      <c r="J4063" s="90"/>
    </row>
    <row r="4064" spans="1:36" s="16" customFormat="1" ht="27" customHeight="1" x14ac:dyDescent="0.25">
      <c r="A4064" s="189"/>
      <c r="B4064" s="190"/>
      <c r="C4064" s="191" t="s">
        <v>2110</v>
      </c>
      <c r="D4064" s="192"/>
      <c r="E4064" s="192"/>
      <c r="F4064" s="192"/>
      <c r="G4064" s="192"/>
      <c r="H4064" s="192"/>
      <c r="I4064" s="90"/>
      <c r="J4064" s="90"/>
      <c r="K4064" s="15"/>
      <c r="L4064" s="15"/>
      <c r="M4064" s="15"/>
      <c r="N4064" s="15"/>
      <c r="O4064" s="15"/>
      <c r="P4064" s="15"/>
      <c r="Q4064" s="15"/>
      <c r="R4064" s="15"/>
      <c r="S4064" s="15"/>
      <c r="T4064" s="15"/>
      <c r="U4064" s="15"/>
      <c r="V4064" s="15"/>
      <c r="W4064" s="15"/>
      <c r="X4064" s="15"/>
      <c r="Y4064" s="15"/>
      <c r="Z4064" s="15"/>
      <c r="AA4064" s="15"/>
      <c r="AB4064" s="15"/>
      <c r="AC4064" s="15"/>
      <c r="AD4064" s="15"/>
      <c r="AE4064" s="15"/>
      <c r="AF4064" s="15"/>
      <c r="AG4064" s="15"/>
      <c r="AH4064" s="15"/>
      <c r="AI4064" s="15"/>
      <c r="AJ4064" s="15"/>
    </row>
    <row r="4065" spans="1:36" s="27" customFormat="1" ht="60.75" customHeight="1" x14ac:dyDescent="0.25">
      <c r="A4065" s="130"/>
      <c r="B4065" s="69" t="s">
        <v>2088</v>
      </c>
      <c r="C4065" s="70" t="s">
        <v>2111</v>
      </c>
      <c r="D4065" s="71"/>
      <c r="E4065" s="72" t="s">
        <v>24</v>
      </c>
      <c r="F4065" s="71"/>
      <c r="G4065" s="71"/>
      <c r="H4065" s="71"/>
      <c r="I4065" s="231"/>
      <c r="J4065" s="231"/>
      <c r="K4065" s="15"/>
      <c r="L4065" s="15"/>
      <c r="M4065" s="15"/>
      <c r="N4065" s="15"/>
      <c r="O4065" s="15"/>
      <c r="P4065" s="15"/>
      <c r="Q4065" s="15"/>
      <c r="R4065" s="15"/>
      <c r="S4065" s="15"/>
      <c r="T4065" s="15"/>
      <c r="U4065" s="15"/>
      <c r="V4065" s="15"/>
      <c r="W4065" s="15"/>
      <c r="X4065" s="15"/>
      <c r="Y4065" s="15"/>
      <c r="Z4065" s="15"/>
      <c r="AA4065" s="15"/>
      <c r="AB4065" s="15"/>
      <c r="AC4065" s="15"/>
      <c r="AD4065" s="15"/>
      <c r="AE4065" s="15"/>
      <c r="AF4065" s="15"/>
      <c r="AG4065" s="15"/>
      <c r="AH4065" s="15"/>
      <c r="AI4065" s="15"/>
      <c r="AJ4065" s="15"/>
    </row>
    <row r="4066" spans="1:36" s="27" customFormat="1" ht="21.75" customHeight="1" x14ac:dyDescent="0.25">
      <c r="A4066" s="50"/>
      <c r="B4066" s="11" t="s">
        <v>2088</v>
      </c>
      <c r="C4066" s="12" t="s">
        <v>57</v>
      </c>
      <c r="D4066" s="11">
        <v>2021</v>
      </c>
      <c r="E4066" s="11" t="s">
        <v>24</v>
      </c>
      <c r="F4066" s="11">
        <f>SUMIF($D$4069:$D$4072,$D$4066,$F$4069:$F$4072)</f>
        <v>0</v>
      </c>
      <c r="G4066" s="14">
        <f>SUMIF($D$4069:$D$4072,$D$4066,$G$4069:$G$4072)</f>
        <v>0</v>
      </c>
      <c r="H4066" s="14">
        <f>SUMIF($D$4069:$D$4072,$D$4066,$H$4069:$H$4072)</f>
        <v>0</v>
      </c>
      <c r="I4066" s="5"/>
      <c r="J4066" s="5"/>
      <c r="K4066" s="5"/>
      <c r="L4066" s="15"/>
      <c r="M4066" s="15"/>
      <c r="N4066" s="15"/>
      <c r="O4066" s="15"/>
      <c r="P4066" s="15"/>
      <c r="Q4066" s="15"/>
      <c r="R4066" s="15"/>
      <c r="S4066" s="15"/>
      <c r="T4066" s="15"/>
      <c r="U4066" s="15"/>
      <c r="V4066" s="15"/>
      <c r="W4066" s="15"/>
      <c r="X4066" s="15"/>
      <c r="Y4066" s="15"/>
      <c r="Z4066" s="15"/>
      <c r="AA4066" s="15"/>
      <c r="AB4066" s="15"/>
      <c r="AC4066" s="15"/>
      <c r="AD4066" s="15"/>
      <c r="AE4066" s="15"/>
      <c r="AF4066" s="15"/>
      <c r="AG4066" s="15"/>
      <c r="AH4066" s="15"/>
      <c r="AI4066" s="15"/>
      <c r="AJ4066" s="15"/>
    </row>
    <row r="4067" spans="1:36" s="27" customFormat="1" ht="21.75" customHeight="1" x14ac:dyDescent="0.25">
      <c r="A4067" s="50"/>
      <c r="B4067" s="11" t="s">
        <v>2088</v>
      </c>
      <c r="C4067" s="12" t="s">
        <v>57</v>
      </c>
      <c r="D4067" s="11">
        <v>2022</v>
      </c>
      <c r="E4067" s="11" t="s">
        <v>24</v>
      </c>
      <c r="F4067" s="11">
        <f>SUMIF($D$4069:$D$4072,$D$4067,$F$4069:$F$4072)</f>
        <v>51</v>
      </c>
      <c r="G4067" s="14">
        <f>SUMIF($D$4069:$D$4072,$D$4067,$G$4069:$G$4072)</f>
        <v>194.71</v>
      </c>
      <c r="H4067" s="14">
        <f>SUMIF($D$4069:$D$4072,$D$4067,$H$4069:$H$4072)</f>
        <v>515.24699999999996</v>
      </c>
      <c r="I4067" s="220"/>
      <c r="J4067" s="220"/>
      <c r="K4067" s="15"/>
      <c r="L4067" s="15"/>
      <c r="M4067" s="15"/>
      <c r="N4067" s="15"/>
      <c r="O4067" s="15"/>
      <c r="P4067" s="15"/>
      <c r="Q4067" s="15"/>
      <c r="R4067" s="15"/>
      <c r="S4067" s="15"/>
      <c r="T4067" s="15"/>
      <c r="U4067" s="15"/>
      <c r="V4067" s="15"/>
      <c r="W4067" s="15"/>
      <c r="X4067" s="15"/>
      <c r="Y4067" s="15"/>
      <c r="Z4067" s="15"/>
      <c r="AA4067" s="15"/>
      <c r="AB4067" s="15"/>
      <c r="AC4067" s="15"/>
      <c r="AD4067" s="15"/>
      <c r="AE4067" s="15"/>
      <c r="AF4067" s="15"/>
      <c r="AG4067" s="15"/>
      <c r="AH4067" s="15"/>
      <c r="AI4067" s="15"/>
      <c r="AJ4067" s="15"/>
    </row>
    <row r="4068" spans="1:36" s="27" customFormat="1" ht="15.75" x14ac:dyDescent="0.25">
      <c r="A4068" s="50"/>
      <c r="B4068" s="11" t="s">
        <v>2088</v>
      </c>
      <c r="C4068" s="12" t="s">
        <v>57</v>
      </c>
      <c r="D4068" s="11">
        <v>2023</v>
      </c>
      <c r="E4068" s="11" t="s">
        <v>24</v>
      </c>
      <c r="F4068" s="11">
        <f>SUMIF($D$4069:$D$4072,$D$4068,$F$4069:$F$4072)</f>
        <v>505</v>
      </c>
      <c r="G4068" s="14">
        <f>SUMIF($D$4069:$D$4072,$D$4068,$G$4069:$G$4072)</f>
        <v>185</v>
      </c>
      <c r="H4068" s="14">
        <f>SUMIF($D$4069:$D$4072,$D$4068,$H$4069:$H$4072)</f>
        <v>4329.8860500000001</v>
      </c>
      <c r="I4068" s="220"/>
      <c r="J4068" s="220"/>
      <c r="K4068" s="15"/>
      <c r="L4068" s="15"/>
      <c r="M4068" s="15"/>
      <c r="N4068" s="15"/>
      <c r="O4068" s="15"/>
      <c r="P4068" s="15"/>
      <c r="Q4068" s="15"/>
      <c r="R4068" s="15"/>
      <c r="S4068" s="15"/>
      <c r="T4068" s="15"/>
      <c r="U4068" s="15"/>
      <c r="V4068" s="15"/>
      <c r="W4068" s="15"/>
      <c r="X4068" s="15"/>
      <c r="Y4068" s="15"/>
      <c r="Z4068" s="15"/>
      <c r="AA4068" s="15"/>
      <c r="AB4068" s="15"/>
      <c r="AC4068" s="15"/>
      <c r="AD4068" s="15"/>
      <c r="AE4068" s="15"/>
      <c r="AF4068" s="15"/>
      <c r="AG4068" s="15"/>
      <c r="AH4068" s="15"/>
      <c r="AI4068" s="15"/>
      <c r="AJ4068" s="15"/>
    </row>
    <row r="4069" spans="1:36" s="15" customFormat="1" ht="94.5" hidden="1" outlineLevel="1" x14ac:dyDescent="0.25">
      <c r="A4069" s="18">
        <v>2711</v>
      </c>
      <c r="B4069" s="4" t="s">
        <v>2088</v>
      </c>
      <c r="C4069" s="98" t="s">
        <v>2830</v>
      </c>
      <c r="D4069" s="4">
        <v>2022</v>
      </c>
      <c r="E4069" s="4" t="s">
        <v>24</v>
      </c>
      <c r="F4069" s="4">
        <v>51</v>
      </c>
      <c r="G4069" s="4">
        <v>194.71</v>
      </c>
      <c r="H4069" s="4">
        <v>515.24699999999996</v>
      </c>
      <c r="I4069" s="201"/>
      <c r="J4069" s="201"/>
    </row>
    <row r="4070" spans="1:36" s="15" customFormat="1" ht="126" hidden="1" outlineLevel="1" x14ac:dyDescent="0.25">
      <c r="A4070" s="18">
        <v>21</v>
      </c>
      <c r="B4070" s="4" t="s">
        <v>2088</v>
      </c>
      <c r="C4070" s="38" t="s">
        <v>9146</v>
      </c>
      <c r="D4070" s="4">
        <v>2023</v>
      </c>
      <c r="E4070" s="4" t="s">
        <v>24</v>
      </c>
      <c r="F4070" s="4">
        <v>17</v>
      </c>
      <c r="G4070" s="4">
        <v>160</v>
      </c>
      <c r="H4070" s="4">
        <v>533.66040999999996</v>
      </c>
      <c r="I4070" s="201"/>
      <c r="J4070" s="201"/>
    </row>
    <row r="4071" spans="1:36" s="15" customFormat="1" ht="110.25" hidden="1" outlineLevel="1" x14ac:dyDescent="0.25">
      <c r="A4071" s="18">
        <v>5052</v>
      </c>
      <c r="B4071" s="4" t="s">
        <v>2088</v>
      </c>
      <c r="C4071" s="38" t="s">
        <v>8548</v>
      </c>
      <c r="D4071" s="4">
        <v>2023</v>
      </c>
      <c r="E4071" s="4" t="s">
        <v>24</v>
      </c>
      <c r="F4071" s="4">
        <v>102</v>
      </c>
      <c r="G4071" s="4">
        <v>10</v>
      </c>
      <c r="H4071" s="4">
        <v>1763.2256399999999</v>
      </c>
      <c r="I4071" s="201"/>
      <c r="J4071" s="201"/>
    </row>
    <row r="4072" spans="1:36" s="15" customFormat="1" ht="54" hidden="1" customHeight="1" outlineLevel="1" x14ac:dyDescent="0.25">
      <c r="A4072" s="127">
        <v>3165</v>
      </c>
      <c r="B4072" s="4" t="s">
        <v>2088</v>
      </c>
      <c r="C4072" s="38" t="s">
        <v>9064</v>
      </c>
      <c r="D4072" s="4">
        <v>2023</v>
      </c>
      <c r="E4072" s="4" t="s">
        <v>24</v>
      </c>
      <c r="F4072" s="4">
        <v>386</v>
      </c>
      <c r="G4072" s="41">
        <v>15</v>
      </c>
      <c r="H4072" s="41">
        <v>2033</v>
      </c>
      <c r="I4072" s="221"/>
      <c r="J4072" s="221"/>
    </row>
    <row r="4073" spans="1:36" s="15" customFormat="1" ht="63" customHeight="1" collapsed="1" x14ac:dyDescent="0.25">
      <c r="A4073" s="4"/>
      <c r="B4073" s="65" t="s">
        <v>3131</v>
      </c>
      <c r="C4073" s="66" t="s">
        <v>3132</v>
      </c>
      <c r="D4073" s="67"/>
      <c r="E4073" s="68" t="s">
        <v>0</v>
      </c>
      <c r="F4073" s="67"/>
      <c r="G4073" s="67"/>
      <c r="H4073" s="67"/>
      <c r="I4073" s="232"/>
      <c r="J4073" s="232"/>
    </row>
    <row r="4074" spans="1:36" s="15" customFormat="1" ht="15.75" x14ac:dyDescent="0.25">
      <c r="A4074" s="50"/>
      <c r="B4074" s="7" t="s">
        <v>3131</v>
      </c>
      <c r="C4074" s="8" t="s">
        <v>57</v>
      </c>
      <c r="D4074" s="7">
        <v>2021</v>
      </c>
      <c r="E4074" s="7" t="s">
        <v>0</v>
      </c>
      <c r="F4074" s="7">
        <v>0</v>
      </c>
      <c r="G4074" s="10">
        <v>0</v>
      </c>
      <c r="H4074" s="10">
        <v>0</v>
      </c>
      <c r="I4074" s="5"/>
      <c r="J4074" s="5"/>
      <c r="K4074" s="5"/>
    </row>
    <row r="4075" spans="1:36" s="15" customFormat="1" ht="15.75" x14ac:dyDescent="0.25">
      <c r="A4075" s="50"/>
      <c r="B4075" s="7" t="s">
        <v>3131</v>
      </c>
      <c r="C4075" s="8" t="s">
        <v>57</v>
      </c>
      <c r="D4075" s="7">
        <v>2022</v>
      </c>
      <c r="E4075" s="7" t="s">
        <v>0</v>
      </c>
      <c r="F4075" s="7">
        <f>SUMIF($D$4077:$D$4079,$D$4075,$F$4077:$F$4079)</f>
        <v>28</v>
      </c>
      <c r="G4075" s="10">
        <f>SUMIF($D$4077:$D$4079,$D$4075,$G$4077:$G$4079)</f>
        <v>10</v>
      </c>
      <c r="H4075" s="10">
        <f>SUMIF($D$4077:$D$4079,$D$4075,$H$4077:$H$4079)</f>
        <v>227.26900000000001</v>
      </c>
      <c r="I4075" s="205"/>
      <c r="J4075" s="205"/>
    </row>
    <row r="4076" spans="1:36" s="15" customFormat="1" ht="15.75" x14ac:dyDescent="0.25">
      <c r="A4076" s="50"/>
      <c r="B4076" s="7" t="s">
        <v>3131</v>
      </c>
      <c r="C4076" s="8" t="s">
        <v>2811</v>
      </c>
      <c r="D4076" s="7">
        <v>2023</v>
      </c>
      <c r="E4076" s="7" t="s">
        <v>0</v>
      </c>
      <c r="F4076" s="7">
        <f>SUMIF($D$4077:$D$4079,$D$4076,$F$4077:$F$4079)</f>
        <v>330</v>
      </c>
      <c r="G4076" s="10">
        <f>SUMIF($D$4077:$D$4079,$D$4076,$G$4077:$G$4079)</f>
        <v>270</v>
      </c>
      <c r="H4076" s="10">
        <f>SUMIF($D$4077:$D$4079,$D$4076,$H$4077:$H$4079)</f>
        <v>5312.0588800000005</v>
      </c>
      <c r="I4076" s="205"/>
      <c r="J4076" s="205"/>
    </row>
    <row r="4077" spans="1:36" s="15" customFormat="1" ht="47.25" hidden="1" outlineLevel="1" x14ac:dyDescent="0.25">
      <c r="A4077" s="18">
        <v>2983</v>
      </c>
      <c r="B4077" s="4" t="s">
        <v>3131</v>
      </c>
      <c r="C4077" s="38" t="s">
        <v>2875</v>
      </c>
      <c r="D4077" s="18">
        <v>2022</v>
      </c>
      <c r="E4077" s="18" t="s">
        <v>3133</v>
      </c>
      <c r="F4077" s="4">
        <v>28</v>
      </c>
      <c r="G4077" s="4">
        <v>10</v>
      </c>
      <c r="H4077" s="4">
        <v>227.26900000000001</v>
      </c>
      <c r="I4077" s="201"/>
      <c r="J4077" s="201"/>
    </row>
    <row r="4078" spans="1:36" s="15" customFormat="1" ht="48" hidden="1" customHeight="1" outlineLevel="1" x14ac:dyDescent="0.25">
      <c r="A4078" s="18">
        <v>3114</v>
      </c>
      <c r="B4078" s="4" t="s">
        <v>13627</v>
      </c>
      <c r="C4078" s="38" t="s">
        <v>9154</v>
      </c>
      <c r="D4078" s="4">
        <v>2023</v>
      </c>
      <c r="E4078" s="4" t="s">
        <v>0</v>
      </c>
      <c r="F4078" s="4">
        <v>290</v>
      </c>
      <c r="G4078" s="4">
        <v>190</v>
      </c>
      <c r="H4078" s="41">
        <v>4775.4320000000007</v>
      </c>
      <c r="I4078" s="221"/>
      <c r="J4078" s="221"/>
    </row>
    <row r="4079" spans="1:36" s="15" customFormat="1" ht="48" hidden="1" customHeight="1" outlineLevel="1" x14ac:dyDescent="0.25">
      <c r="A4079" s="18">
        <v>5061</v>
      </c>
      <c r="B4079" s="4" t="s">
        <v>13627</v>
      </c>
      <c r="C4079" s="38" t="s">
        <v>8549</v>
      </c>
      <c r="D4079" s="4">
        <v>2023</v>
      </c>
      <c r="E4079" s="4" t="s">
        <v>24</v>
      </c>
      <c r="F4079" s="4">
        <v>40</v>
      </c>
      <c r="G4079" s="41">
        <v>80</v>
      </c>
      <c r="H4079" s="41">
        <v>536.62688000000003</v>
      </c>
      <c r="I4079" s="221"/>
      <c r="J4079" s="221"/>
    </row>
    <row r="4080" spans="1:36" s="15" customFormat="1" ht="66.75" customHeight="1" collapsed="1" x14ac:dyDescent="0.25">
      <c r="A4080" s="4"/>
      <c r="B4080" s="65" t="s">
        <v>3131</v>
      </c>
      <c r="C4080" s="66" t="s">
        <v>3132</v>
      </c>
      <c r="D4080" s="67"/>
      <c r="E4080" s="68" t="s">
        <v>13628</v>
      </c>
      <c r="F4080" s="67"/>
      <c r="G4080" s="67"/>
      <c r="H4080" s="67"/>
      <c r="I4080" s="232"/>
      <c r="J4080" s="232"/>
    </row>
    <row r="4081" spans="1:36" s="15" customFormat="1" ht="15.75" x14ac:dyDescent="0.25">
      <c r="A4081" s="4"/>
      <c r="B4081" s="7" t="s">
        <v>3131</v>
      </c>
      <c r="C4081" s="8" t="s">
        <v>57</v>
      </c>
      <c r="D4081" s="7">
        <v>2021</v>
      </c>
      <c r="E4081" s="7" t="s">
        <v>13628</v>
      </c>
      <c r="F4081" s="7">
        <f>SUMIF($D$4084:$D$4088,$D$4081,$F$4084:$F$4088)</f>
        <v>0</v>
      </c>
      <c r="G4081" s="7">
        <f>SUMIF($D$4084:$D$4088,$D$4081,$G$4084:$G$4088)</f>
        <v>0</v>
      </c>
      <c r="H4081" s="10">
        <f>SUMIF($D$4084:$D$4088,$D$4081,$H$4084:$H$4088)</f>
        <v>0</v>
      </c>
      <c r="I4081" s="5"/>
      <c r="J4081" s="5"/>
      <c r="K4081" s="5"/>
    </row>
    <row r="4082" spans="1:36" s="15" customFormat="1" ht="15.75" x14ac:dyDescent="0.25">
      <c r="A4082" s="4"/>
      <c r="B4082" s="7" t="s">
        <v>3131</v>
      </c>
      <c r="C4082" s="8" t="s">
        <v>57</v>
      </c>
      <c r="D4082" s="7">
        <v>2022</v>
      </c>
      <c r="E4082" s="7" t="s">
        <v>13628</v>
      </c>
      <c r="F4082" s="7">
        <f>SUMIF($D$4084:$D$4087,$D$4082,$F$4084:$F$4087)</f>
        <v>0</v>
      </c>
      <c r="G4082" s="7">
        <f>SUMIF($D$4084:$D$4087,$D$4082,$G$4084:$G$4087)</f>
        <v>0</v>
      </c>
      <c r="H4082" s="7">
        <f>SUMIF($D$4084:$D$4087,$D$4082,$H$4084:$H$4087)</f>
        <v>0</v>
      </c>
      <c r="I4082" s="233"/>
      <c r="J4082" s="233"/>
    </row>
    <row r="4083" spans="1:36" s="15" customFormat="1" ht="15.75" x14ac:dyDescent="0.25">
      <c r="A4083" s="4"/>
      <c r="B4083" s="7" t="s">
        <v>3131</v>
      </c>
      <c r="C4083" s="8" t="s">
        <v>2811</v>
      </c>
      <c r="D4083" s="7">
        <v>2023</v>
      </c>
      <c r="E4083" s="7" t="s">
        <v>13628</v>
      </c>
      <c r="F4083" s="7">
        <f>SUMIF($D$4084:$D$4088,$D$4083,$F$4084:$F$4088)</f>
        <v>898</v>
      </c>
      <c r="G4083" s="7">
        <f>SUMIF($D$4084:$D$4088,$D$4083,$G$4084:$G$4088)</f>
        <v>956</v>
      </c>
      <c r="H4083" s="10">
        <f>SUMIF($D$4084:$D$4088,$D$4083,$H$4084:$H$4088)</f>
        <v>13303.70415</v>
      </c>
      <c r="I4083" s="205"/>
      <c r="J4083" s="205"/>
    </row>
    <row r="4084" spans="1:36" s="15" customFormat="1" ht="46.5" hidden="1" customHeight="1" outlineLevel="1" x14ac:dyDescent="0.25">
      <c r="A4084" s="18">
        <v>6163</v>
      </c>
      <c r="B4084" s="4" t="s">
        <v>13627</v>
      </c>
      <c r="C4084" s="38" t="s">
        <v>9019</v>
      </c>
      <c r="D4084" s="4">
        <v>2023</v>
      </c>
      <c r="E4084" s="4" t="s">
        <v>24</v>
      </c>
      <c r="F4084" s="4">
        <v>100</v>
      </c>
      <c r="G4084" s="41">
        <v>400</v>
      </c>
      <c r="H4084" s="41">
        <v>1851.1899999999998</v>
      </c>
      <c r="I4084" s="221"/>
      <c r="J4084" s="221"/>
    </row>
    <row r="4085" spans="1:36" s="15" customFormat="1" ht="46.5" hidden="1" customHeight="1" outlineLevel="1" x14ac:dyDescent="0.25">
      <c r="A4085" s="18">
        <v>3006</v>
      </c>
      <c r="B4085" s="4" t="s">
        <v>13627</v>
      </c>
      <c r="C4085" s="38" t="s">
        <v>9022</v>
      </c>
      <c r="D4085" s="4">
        <v>2023</v>
      </c>
      <c r="E4085" s="4" t="s">
        <v>24</v>
      </c>
      <c r="F4085" s="4">
        <v>370</v>
      </c>
      <c r="G4085" s="41">
        <v>150</v>
      </c>
      <c r="H4085" s="41">
        <v>4340.58</v>
      </c>
      <c r="I4085" s="221"/>
      <c r="J4085" s="221"/>
    </row>
    <row r="4086" spans="1:36" s="15" customFormat="1" ht="46.5" hidden="1" customHeight="1" outlineLevel="1" x14ac:dyDescent="0.25">
      <c r="A4086" s="18">
        <v>3059</v>
      </c>
      <c r="B4086" s="4" t="s">
        <v>13627</v>
      </c>
      <c r="C4086" s="38" t="s">
        <v>9330</v>
      </c>
      <c r="D4086" s="4">
        <v>2023</v>
      </c>
      <c r="E4086" s="4" t="s">
        <v>24</v>
      </c>
      <c r="F4086" s="4">
        <v>224</v>
      </c>
      <c r="G4086" s="41">
        <v>150</v>
      </c>
      <c r="H4086" s="41">
        <v>3020.6190000000001</v>
      </c>
      <c r="I4086" s="221"/>
      <c r="J4086" s="221"/>
    </row>
    <row r="4087" spans="1:36" s="15" customFormat="1" ht="46.5" hidden="1" customHeight="1" outlineLevel="1" x14ac:dyDescent="0.25">
      <c r="A4087" s="18">
        <v>6711</v>
      </c>
      <c r="B4087" s="4" t="s">
        <v>13627</v>
      </c>
      <c r="C4087" s="38" t="s">
        <v>9047</v>
      </c>
      <c r="D4087" s="4">
        <v>2023</v>
      </c>
      <c r="E4087" s="4" t="s">
        <v>24</v>
      </c>
      <c r="F4087" s="4">
        <v>193</v>
      </c>
      <c r="G4087" s="41">
        <v>75</v>
      </c>
      <c r="H4087" s="41">
        <v>3683.895</v>
      </c>
      <c r="I4087" s="221"/>
      <c r="J4087" s="221"/>
    </row>
    <row r="4088" spans="1:36" s="15" customFormat="1" ht="46.5" hidden="1" customHeight="1" outlineLevel="1" x14ac:dyDescent="0.25">
      <c r="A4088" s="18">
        <v>4242</v>
      </c>
      <c r="B4088" s="4" t="s">
        <v>13627</v>
      </c>
      <c r="C4088" s="38" t="s">
        <v>9063</v>
      </c>
      <c r="D4088" s="4">
        <v>2023</v>
      </c>
      <c r="E4088" s="126" t="s">
        <v>24</v>
      </c>
      <c r="F4088" s="18">
        <v>11</v>
      </c>
      <c r="G4088" s="18">
        <v>181</v>
      </c>
      <c r="H4088" s="46">
        <v>407.42014999999998</v>
      </c>
      <c r="I4088" s="234"/>
      <c r="J4088" s="234"/>
    </row>
    <row r="4089" spans="1:36" s="15" customFormat="1" ht="27" customHeight="1" collapsed="1" x14ac:dyDescent="0.25">
      <c r="A4089" s="18"/>
      <c r="B4089" s="335" t="s">
        <v>55</v>
      </c>
      <c r="C4089" s="336"/>
      <c r="D4089" s="336"/>
      <c r="E4089" s="336"/>
      <c r="F4089" s="336"/>
      <c r="G4089" s="336"/>
      <c r="H4089" s="337"/>
      <c r="I4089" s="202"/>
      <c r="J4089" s="202"/>
    </row>
    <row r="4090" spans="1:36" s="15" customFormat="1" ht="31.5" x14ac:dyDescent="0.25">
      <c r="A4090" s="18"/>
      <c r="B4090" s="72" t="s">
        <v>30</v>
      </c>
      <c r="C4090" s="73" t="s">
        <v>2112</v>
      </c>
      <c r="D4090" s="71"/>
      <c r="E4090" s="76" t="s">
        <v>29</v>
      </c>
      <c r="F4090" s="71"/>
      <c r="G4090" s="71"/>
      <c r="H4090" s="71"/>
      <c r="I4090" s="231"/>
      <c r="J4090" s="231"/>
    </row>
    <row r="4091" spans="1:36" s="16" customFormat="1" ht="16.5" customHeight="1" x14ac:dyDescent="0.25">
      <c r="A4091" s="43"/>
      <c r="B4091" s="11" t="s">
        <v>30</v>
      </c>
      <c r="C4091" s="12" t="s">
        <v>57</v>
      </c>
      <c r="D4091" s="11">
        <v>2021</v>
      </c>
      <c r="E4091" s="20" t="s">
        <v>29</v>
      </c>
      <c r="F4091" s="11">
        <f>SUMIF($D$4094:$D$4097,$D$4091,$F$4094:$F$4097)</f>
        <v>2</v>
      </c>
      <c r="G4091" s="11">
        <f>SUMIF($D$4094:$D$4097,$D$4091,$G$4094:$G$4097)</f>
        <v>299</v>
      </c>
      <c r="H4091" s="14">
        <f>SUMIF($D$4094:$D$4097,$D$4091,$H$4094:$H$4097)</f>
        <v>3546</v>
      </c>
      <c r="I4091" s="5"/>
      <c r="J4091" s="5"/>
      <c r="K4091" s="5"/>
      <c r="L4091" s="15"/>
      <c r="M4091" s="15"/>
      <c r="N4091" s="15"/>
      <c r="O4091" s="15"/>
      <c r="P4091" s="15"/>
      <c r="Q4091" s="15"/>
      <c r="R4091" s="15"/>
      <c r="S4091" s="15"/>
      <c r="T4091" s="15"/>
      <c r="U4091" s="15"/>
      <c r="V4091" s="15"/>
      <c r="W4091" s="15"/>
      <c r="X4091" s="15"/>
      <c r="Y4091" s="15"/>
      <c r="Z4091" s="15"/>
      <c r="AA4091" s="15"/>
      <c r="AB4091" s="15"/>
      <c r="AC4091" s="15"/>
      <c r="AD4091" s="15"/>
      <c r="AE4091" s="15"/>
      <c r="AF4091" s="15"/>
      <c r="AG4091" s="15"/>
      <c r="AH4091" s="15"/>
      <c r="AI4091" s="15"/>
      <c r="AJ4091" s="15"/>
    </row>
    <row r="4092" spans="1:36" s="27" customFormat="1" ht="16.5" customHeight="1" x14ac:dyDescent="0.25">
      <c r="A4092" s="18"/>
      <c r="B4092" s="11" t="s">
        <v>30</v>
      </c>
      <c r="C4092" s="12" t="s">
        <v>57</v>
      </c>
      <c r="D4092" s="11">
        <v>2022</v>
      </c>
      <c r="E4092" s="20" t="s">
        <v>29</v>
      </c>
      <c r="F4092" s="11">
        <f>SUMIF($D$4094:$D$4097,$D$4092,$F$4094:$F$4097)</f>
        <v>0</v>
      </c>
      <c r="G4092" s="11">
        <f>SUMIF($D$4094:$D$4097,$D$4092,$G$4094:$G$4097)</f>
        <v>0</v>
      </c>
      <c r="H4092" s="11">
        <f>SUMIF($D$4094:$D$4097,$D$4092,$H$4094:$H$4097)</f>
        <v>0</v>
      </c>
      <c r="I4092" s="224"/>
      <c r="J4092" s="224"/>
      <c r="K4092" s="15"/>
      <c r="L4092" s="15"/>
      <c r="M4092" s="15"/>
      <c r="N4092" s="15"/>
      <c r="O4092" s="15"/>
      <c r="P4092" s="15"/>
      <c r="Q4092" s="15"/>
      <c r="R4092" s="15"/>
      <c r="S4092" s="15"/>
      <c r="T4092" s="15"/>
      <c r="U4092" s="15"/>
      <c r="V4092" s="15"/>
      <c r="W4092" s="15"/>
      <c r="X4092" s="15"/>
      <c r="Y4092" s="15"/>
      <c r="Z4092" s="15"/>
      <c r="AA4092" s="15"/>
      <c r="AB4092" s="15"/>
      <c r="AC4092" s="15"/>
      <c r="AD4092" s="15"/>
      <c r="AE4092" s="15"/>
      <c r="AF4092" s="15"/>
      <c r="AG4092" s="15"/>
      <c r="AH4092" s="15"/>
      <c r="AI4092" s="15"/>
      <c r="AJ4092" s="15"/>
    </row>
    <row r="4093" spans="1:36" s="15" customFormat="1" ht="15.75" x14ac:dyDescent="0.25">
      <c r="A4093" s="18"/>
      <c r="B4093" s="11" t="s">
        <v>30</v>
      </c>
      <c r="C4093" s="12" t="s">
        <v>57</v>
      </c>
      <c r="D4093" s="11">
        <v>2023</v>
      </c>
      <c r="E4093" s="20" t="s">
        <v>29</v>
      </c>
      <c r="F4093" s="11">
        <f>SUMIF($D$4094:$D$4097,$D$4093,$F$4094:$F$4097)</f>
        <v>1</v>
      </c>
      <c r="G4093" s="11">
        <f>SUMIF($D$4094:$D$4097,$D$4093,$G$4094:$G$4097)</f>
        <v>15</v>
      </c>
      <c r="H4093" s="14">
        <f>SUMIF($D$4094:$D$4097,$D$4093,$H$4094:$H$4097)</f>
        <v>1712.95039</v>
      </c>
      <c r="I4093" s="220"/>
      <c r="J4093" s="220"/>
    </row>
    <row r="4094" spans="1:36" s="15" customFormat="1" ht="15.75" hidden="1" outlineLevel="1" x14ac:dyDescent="0.25">
      <c r="A4094" s="18"/>
      <c r="B4094" s="4" t="s">
        <v>30</v>
      </c>
      <c r="C4094" s="22"/>
      <c r="D4094" s="4">
        <v>2022</v>
      </c>
      <c r="E4094" s="18" t="s">
        <v>29</v>
      </c>
      <c r="F4094" s="4"/>
      <c r="G4094" s="41"/>
      <c r="H4094" s="41"/>
      <c r="I4094" s="221"/>
      <c r="J4094" s="221"/>
    </row>
    <row r="4095" spans="1:36" s="15" customFormat="1" ht="94.5" hidden="1" outlineLevel="1" x14ac:dyDescent="0.25">
      <c r="A4095" s="18">
        <v>3535</v>
      </c>
      <c r="B4095" s="4" t="s">
        <v>30</v>
      </c>
      <c r="C4095" s="38" t="s">
        <v>13355</v>
      </c>
      <c r="D4095" s="18">
        <v>2023</v>
      </c>
      <c r="E4095" s="18" t="s">
        <v>29</v>
      </c>
      <c r="F4095" s="41">
        <v>1</v>
      </c>
      <c r="G4095" s="41">
        <v>15</v>
      </c>
      <c r="H4095" s="41">
        <v>1712.95039</v>
      </c>
      <c r="I4095" s="221"/>
      <c r="J4095" s="221"/>
    </row>
    <row r="4096" spans="1:36" s="15" customFormat="1" ht="34.5" hidden="1" customHeight="1" outlineLevel="1" x14ac:dyDescent="0.25">
      <c r="A4096" s="46">
        <v>9088</v>
      </c>
      <c r="B4096" s="4" t="s">
        <v>30</v>
      </c>
      <c r="C4096" s="22" t="s">
        <v>911</v>
      </c>
      <c r="D4096" s="4">
        <v>2021</v>
      </c>
      <c r="E4096" s="18" t="s">
        <v>29</v>
      </c>
      <c r="F4096" s="4">
        <v>1</v>
      </c>
      <c r="G4096" s="41">
        <v>149</v>
      </c>
      <c r="H4096" s="41">
        <v>2290</v>
      </c>
      <c r="I4096" s="221"/>
      <c r="J4096" s="221"/>
    </row>
    <row r="4097" spans="1:36" s="15" customFormat="1" ht="34.5" hidden="1" customHeight="1" outlineLevel="1" x14ac:dyDescent="0.25">
      <c r="A4097" s="46">
        <v>9579</v>
      </c>
      <c r="B4097" s="4" t="s">
        <v>30</v>
      </c>
      <c r="C4097" s="22" t="s">
        <v>910</v>
      </c>
      <c r="D4097" s="4">
        <v>2021</v>
      </c>
      <c r="E4097" s="18" t="s">
        <v>29</v>
      </c>
      <c r="F4097" s="4">
        <v>1</v>
      </c>
      <c r="G4097" s="41">
        <v>150</v>
      </c>
      <c r="H4097" s="41">
        <v>1256</v>
      </c>
      <c r="I4097" s="221"/>
      <c r="J4097" s="221"/>
    </row>
    <row r="4098" spans="1:36" s="15" customFormat="1" ht="29.25" customHeight="1" collapsed="1" x14ac:dyDescent="0.25">
      <c r="A4098" s="18"/>
      <c r="B4098" s="335" t="s">
        <v>56</v>
      </c>
      <c r="C4098" s="336"/>
      <c r="D4098" s="336"/>
      <c r="E4098" s="336"/>
      <c r="F4098" s="336"/>
      <c r="G4098" s="336"/>
      <c r="H4098" s="337"/>
      <c r="I4098" s="202"/>
      <c r="J4098" s="202"/>
    </row>
    <row r="4099" spans="1:36" s="16" customFormat="1" ht="47.25" x14ac:dyDescent="0.25">
      <c r="A4099" s="43"/>
      <c r="B4099" s="60" t="s">
        <v>32</v>
      </c>
      <c r="C4099" s="74" t="s">
        <v>2113</v>
      </c>
      <c r="D4099" s="67"/>
      <c r="E4099" s="68" t="s">
        <v>33</v>
      </c>
      <c r="F4099" s="67"/>
      <c r="G4099" s="67"/>
      <c r="H4099" s="67"/>
      <c r="I4099" s="232"/>
      <c r="J4099" s="232"/>
      <c r="K4099" s="232"/>
      <c r="L4099" s="15"/>
      <c r="M4099" s="15"/>
      <c r="N4099" s="15"/>
      <c r="O4099" s="15"/>
      <c r="P4099" s="15"/>
      <c r="Q4099" s="15"/>
      <c r="R4099" s="15"/>
      <c r="S4099" s="15"/>
      <c r="T4099" s="15"/>
      <c r="U4099" s="15"/>
      <c r="V4099" s="15"/>
      <c r="W4099" s="15"/>
      <c r="X4099" s="15"/>
      <c r="Y4099" s="15"/>
      <c r="Z4099" s="15"/>
      <c r="AA4099" s="15"/>
      <c r="AB4099" s="15"/>
      <c r="AC4099" s="15"/>
      <c r="AD4099" s="15"/>
      <c r="AE4099" s="15"/>
      <c r="AF4099" s="15"/>
      <c r="AG4099" s="15"/>
      <c r="AH4099" s="15"/>
      <c r="AI4099" s="15"/>
      <c r="AJ4099" s="15"/>
    </row>
    <row r="4100" spans="1:36" s="16" customFormat="1" ht="16.5" customHeight="1" x14ac:dyDescent="0.25">
      <c r="A4100" s="18"/>
      <c r="B4100" s="7" t="s">
        <v>32</v>
      </c>
      <c r="C4100" s="8" t="s">
        <v>57</v>
      </c>
      <c r="D4100" s="19">
        <v>2021</v>
      </c>
      <c r="E4100" s="7" t="s">
        <v>33</v>
      </c>
      <c r="F4100" s="7">
        <f>SUMIF($D$4103:$D$4266,$D$4100,$F$4103:$F$4266)</f>
        <v>50</v>
      </c>
      <c r="G4100" s="10">
        <f>SUMIF($D$4103:$D$4266,$D$4100,$G$4103:$G$4266)</f>
        <v>899.5</v>
      </c>
      <c r="H4100" s="10">
        <f>SUMIF($D$4103:$D$4266,$D$4100,$H$4103:$H$4266)</f>
        <v>22161.878040000007</v>
      </c>
      <c r="I4100" s="5"/>
      <c r="J4100" s="5"/>
      <c r="K4100" s="5"/>
      <c r="L4100" s="15"/>
      <c r="M4100" s="15"/>
      <c r="N4100" s="15"/>
      <c r="O4100" s="15"/>
      <c r="P4100" s="15"/>
      <c r="Q4100" s="15"/>
      <c r="R4100" s="15"/>
      <c r="S4100" s="15"/>
      <c r="T4100" s="15"/>
      <c r="U4100" s="15"/>
      <c r="V4100" s="15"/>
      <c r="W4100" s="15"/>
      <c r="X4100" s="15"/>
      <c r="Y4100" s="15"/>
      <c r="Z4100" s="15"/>
      <c r="AA4100" s="15"/>
      <c r="AB4100" s="15"/>
      <c r="AC4100" s="15"/>
      <c r="AD4100" s="15"/>
      <c r="AE4100" s="15"/>
      <c r="AF4100" s="15"/>
      <c r="AG4100" s="15"/>
      <c r="AH4100" s="15"/>
      <c r="AI4100" s="15"/>
      <c r="AJ4100" s="15"/>
    </row>
    <row r="4101" spans="1:36" s="27" customFormat="1" ht="16.5" customHeight="1" x14ac:dyDescent="0.25">
      <c r="A4101" s="18"/>
      <c r="B4101" s="7" t="s">
        <v>32</v>
      </c>
      <c r="C4101" s="8" t="s">
        <v>57</v>
      </c>
      <c r="D4101" s="19">
        <v>2022</v>
      </c>
      <c r="E4101" s="7" t="s">
        <v>33</v>
      </c>
      <c r="F4101" s="7">
        <f>SUMIF($D$4103:$D$4266,$D$4101,$F$4103:$F$4266)</f>
        <v>58</v>
      </c>
      <c r="G4101" s="10">
        <f>SUMIF($D$4103:$D$4266,$D$4101,$G$4103:$G$4266)</f>
        <v>832.5</v>
      </c>
      <c r="H4101" s="10">
        <f>SUMIF($D$4103:$D$4266,$D$4101,$H$4103:$H$4266)</f>
        <v>28845.219720000001</v>
      </c>
      <c r="I4101" s="205"/>
      <c r="J4101" s="205"/>
      <c r="K4101" s="15"/>
      <c r="L4101" s="15"/>
      <c r="M4101" s="15"/>
      <c r="N4101" s="15"/>
      <c r="O4101" s="15"/>
      <c r="P4101" s="15"/>
      <c r="Q4101" s="15"/>
      <c r="R4101" s="15"/>
      <c r="S4101" s="15"/>
      <c r="T4101" s="15"/>
      <c r="U4101" s="15"/>
      <c r="V4101" s="15"/>
      <c r="W4101" s="15"/>
      <c r="X4101" s="15"/>
      <c r="Y4101" s="15"/>
      <c r="Z4101" s="15"/>
      <c r="AA4101" s="15"/>
      <c r="AB4101" s="15"/>
      <c r="AC4101" s="15"/>
      <c r="AD4101" s="15"/>
      <c r="AE4101" s="15"/>
      <c r="AF4101" s="15"/>
      <c r="AG4101" s="15"/>
      <c r="AH4101" s="15"/>
      <c r="AI4101" s="15"/>
      <c r="AJ4101" s="15"/>
    </row>
    <row r="4102" spans="1:36" s="27" customFormat="1" ht="15.75" x14ac:dyDescent="0.25">
      <c r="A4102" s="18"/>
      <c r="B4102" s="7" t="s">
        <v>32</v>
      </c>
      <c r="C4102" s="8" t="s">
        <v>2811</v>
      </c>
      <c r="D4102" s="19">
        <v>2023</v>
      </c>
      <c r="E4102" s="7" t="s">
        <v>33</v>
      </c>
      <c r="F4102" s="7">
        <f>SUMIF($D$4103:$D$4266,$D$4102,$F$4103:$F$4266)</f>
        <v>56</v>
      </c>
      <c r="G4102" s="10">
        <f>SUMIF($D$4103:$D$4266,$D$4102,$G$4103:$G$4266)</f>
        <v>819.5</v>
      </c>
      <c r="H4102" s="10">
        <f>SUMIF($D$4103:$D$4266,$D$4102,$H$4103:$H$4266)</f>
        <v>33208.774749999997</v>
      </c>
      <c r="I4102" s="205"/>
      <c r="J4102" s="205"/>
      <c r="K4102" s="15"/>
      <c r="L4102" s="15"/>
      <c r="M4102" s="15"/>
      <c r="N4102" s="15"/>
      <c r="O4102" s="15"/>
      <c r="P4102" s="15"/>
      <c r="Q4102" s="15"/>
      <c r="R4102" s="15"/>
      <c r="S4102" s="15"/>
      <c r="T4102" s="15"/>
      <c r="U4102" s="15"/>
      <c r="V4102" s="15"/>
      <c r="W4102" s="15"/>
      <c r="X4102" s="15"/>
      <c r="Y4102" s="15"/>
      <c r="Z4102" s="15"/>
      <c r="AA4102" s="15"/>
      <c r="AB4102" s="15"/>
      <c r="AC4102" s="15"/>
      <c r="AD4102" s="15"/>
      <c r="AE4102" s="15"/>
      <c r="AF4102" s="15"/>
      <c r="AG4102" s="15"/>
      <c r="AH4102" s="15"/>
      <c r="AI4102" s="15"/>
      <c r="AJ4102" s="15"/>
    </row>
    <row r="4103" spans="1:36" s="15" customFormat="1" ht="36" hidden="1" customHeight="1" outlineLevel="1" x14ac:dyDescent="0.25">
      <c r="A4103" s="18">
        <v>2926</v>
      </c>
      <c r="B4103" s="4" t="s">
        <v>32</v>
      </c>
      <c r="C4103" s="38" t="s">
        <v>2128</v>
      </c>
      <c r="D4103" s="18">
        <v>2022</v>
      </c>
      <c r="E4103" s="4" t="s">
        <v>33</v>
      </c>
      <c r="F4103" s="4">
        <v>1</v>
      </c>
      <c r="G4103" s="41">
        <v>15</v>
      </c>
      <c r="H4103" s="4">
        <v>478</v>
      </c>
      <c r="I4103" s="201"/>
      <c r="J4103" s="201"/>
    </row>
    <row r="4104" spans="1:36" s="15" customFormat="1" ht="33.75" hidden="1" customHeight="1" outlineLevel="1" x14ac:dyDescent="0.25">
      <c r="A4104" s="18">
        <v>2927</v>
      </c>
      <c r="B4104" s="4" t="s">
        <v>32</v>
      </c>
      <c r="C4104" s="38" t="s">
        <v>2132</v>
      </c>
      <c r="D4104" s="18">
        <v>2022</v>
      </c>
      <c r="E4104" s="4" t="s">
        <v>33</v>
      </c>
      <c r="F4104" s="4">
        <v>1</v>
      </c>
      <c r="G4104" s="41">
        <v>10</v>
      </c>
      <c r="H4104" s="4">
        <f>0.55655*(1000)</f>
        <v>556.54999999999995</v>
      </c>
      <c r="I4104" s="201"/>
      <c r="J4104" s="201"/>
    </row>
    <row r="4105" spans="1:36" s="15" customFormat="1" ht="32.25" hidden="1" customHeight="1" outlineLevel="1" x14ac:dyDescent="0.25">
      <c r="A4105" s="18">
        <v>2771</v>
      </c>
      <c r="B4105" s="4" t="s">
        <v>32</v>
      </c>
      <c r="C4105" s="38" t="s">
        <v>2140</v>
      </c>
      <c r="D4105" s="18">
        <v>2022</v>
      </c>
      <c r="E4105" s="4" t="s">
        <v>33</v>
      </c>
      <c r="F4105" s="4">
        <v>1</v>
      </c>
      <c r="G4105" s="41">
        <v>15</v>
      </c>
      <c r="H4105" s="4">
        <f>0.20378*(1000)</f>
        <v>203.78</v>
      </c>
      <c r="I4105" s="201"/>
      <c r="J4105" s="201"/>
    </row>
    <row r="4106" spans="1:36" s="15" customFormat="1" ht="51" hidden="1" customHeight="1" outlineLevel="1" x14ac:dyDescent="0.25">
      <c r="A4106" s="18">
        <v>2795</v>
      </c>
      <c r="B4106" s="4" t="s">
        <v>32</v>
      </c>
      <c r="C4106" s="38" t="s">
        <v>2148</v>
      </c>
      <c r="D4106" s="18">
        <v>2022</v>
      </c>
      <c r="E4106" s="4" t="s">
        <v>33</v>
      </c>
      <c r="F4106" s="4">
        <v>1</v>
      </c>
      <c r="G4106" s="41">
        <v>15</v>
      </c>
      <c r="H4106" s="4">
        <f>0.161987*(1000)</f>
        <v>161.98699999999999</v>
      </c>
      <c r="I4106" s="201"/>
      <c r="J4106" s="201"/>
    </row>
    <row r="4107" spans="1:36" s="15" customFormat="1" ht="34.5" hidden="1" customHeight="1" outlineLevel="1" x14ac:dyDescent="0.25">
      <c r="A4107" s="18">
        <v>2717</v>
      </c>
      <c r="B4107" s="4" t="s">
        <v>32</v>
      </c>
      <c r="C4107" s="38" t="s">
        <v>2181</v>
      </c>
      <c r="D4107" s="18">
        <v>2022</v>
      </c>
      <c r="E4107" s="4" t="s">
        <v>33</v>
      </c>
      <c r="F4107" s="4">
        <v>1</v>
      </c>
      <c r="G4107" s="41">
        <v>15</v>
      </c>
      <c r="H4107" s="4">
        <f>0.51658757*(1000)</f>
        <v>516.58757000000003</v>
      </c>
      <c r="I4107" s="201"/>
      <c r="J4107" s="201"/>
    </row>
    <row r="4108" spans="1:36" s="15" customFormat="1" ht="33.75" hidden="1" customHeight="1" outlineLevel="1" x14ac:dyDescent="0.25">
      <c r="A4108" s="18">
        <v>4127</v>
      </c>
      <c r="B4108" s="4" t="s">
        <v>32</v>
      </c>
      <c r="C4108" s="38" t="s">
        <v>2247</v>
      </c>
      <c r="D4108" s="18">
        <v>2022</v>
      </c>
      <c r="E4108" s="4" t="s">
        <v>33</v>
      </c>
      <c r="F4108" s="4">
        <v>1</v>
      </c>
      <c r="G4108" s="41">
        <v>15</v>
      </c>
      <c r="H4108" s="4">
        <f>0.640078*(1000)</f>
        <v>640.07800000000009</v>
      </c>
      <c r="I4108" s="201"/>
      <c r="J4108" s="201"/>
    </row>
    <row r="4109" spans="1:36" s="15" customFormat="1" ht="42" hidden="1" customHeight="1" outlineLevel="1" x14ac:dyDescent="0.25">
      <c r="A4109" s="18">
        <v>1465</v>
      </c>
      <c r="B4109" s="4" t="s">
        <v>32</v>
      </c>
      <c r="C4109" s="38" t="s">
        <v>2261</v>
      </c>
      <c r="D4109" s="18">
        <v>2022</v>
      </c>
      <c r="E4109" s="4" t="s">
        <v>33</v>
      </c>
      <c r="F4109" s="4">
        <v>1</v>
      </c>
      <c r="G4109" s="41">
        <v>15</v>
      </c>
      <c r="H4109" s="4">
        <v>482.44445000000002</v>
      </c>
      <c r="I4109" s="201"/>
      <c r="J4109" s="201"/>
    </row>
    <row r="4110" spans="1:36" s="15" customFormat="1" ht="16.5" hidden="1" customHeight="1" outlineLevel="1" x14ac:dyDescent="0.25">
      <c r="A4110" s="18">
        <v>1467</v>
      </c>
      <c r="B4110" s="4" t="s">
        <v>32</v>
      </c>
      <c r="C4110" s="38" t="s">
        <v>2263</v>
      </c>
      <c r="D4110" s="18">
        <v>2022</v>
      </c>
      <c r="E4110" s="4" t="s">
        <v>33</v>
      </c>
      <c r="F4110" s="4">
        <v>1</v>
      </c>
      <c r="G4110" s="41">
        <v>15</v>
      </c>
      <c r="H4110" s="4">
        <v>458.55973999999998</v>
      </c>
      <c r="I4110" s="201"/>
      <c r="J4110" s="201"/>
    </row>
    <row r="4111" spans="1:36" s="15" customFormat="1" ht="39" hidden="1" customHeight="1" outlineLevel="1" x14ac:dyDescent="0.25">
      <c r="A4111" s="18">
        <v>1230</v>
      </c>
      <c r="B4111" s="4" t="s">
        <v>32</v>
      </c>
      <c r="C4111" s="38" t="s">
        <v>2264</v>
      </c>
      <c r="D4111" s="18">
        <v>2022</v>
      </c>
      <c r="E4111" s="4" t="s">
        <v>33</v>
      </c>
      <c r="F4111" s="4">
        <v>1</v>
      </c>
      <c r="G4111" s="41">
        <v>10</v>
      </c>
      <c r="H4111" s="4">
        <v>463.92514999999997</v>
      </c>
      <c r="I4111" s="201"/>
      <c r="J4111" s="201"/>
    </row>
    <row r="4112" spans="1:36" s="15" customFormat="1" ht="33.75" hidden="1" customHeight="1" outlineLevel="1" x14ac:dyDescent="0.25">
      <c r="A4112" s="18">
        <v>1196</v>
      </c>
      <c r="B4112" s="4" t="s">
        <v>32</v>
      </c>
      <c r="C4112" s="38" t="s">
        <v>2270</v>
      </c>
      <c r="D4112" s="18">
        <v>2022</v>
      </c>
      <c r="E4112" s="4" t="s">
        <v>33</v>
      </c>
      <c r="F4112" s="4">
        <v>1</v>
      </c>
      <c r="G4112" s="41">
        <v>15</v>
      </c>
      <c r="H4112" s="4">
        <v>514.34452999999996</v>
      </c>
      <c r="I4112" s="201"/>
      <c r="J4112" s="201"/>
    </row>
    <row r="4113" spans="1:10" s="15" customFormat="1" ht="16.5" hidden="1" customHeight="1" outlineLevel="1" x14ac:dyDescent="0.25">
      <c r="A4113" s="18">
        <v>1150</v>
      </c>
      <c r="B4113" s="4" t="s">
        <v>32</v>
      </c>
      <c r="C4113" s="38" t="s">
        <v>2272</v>
      </c>
      <c r="D4113" s="18">
        <v>2022</v>
      </c>
      <c r="E4113" s="4" t="s">
        <v>33</v>
      </c>
      <c r="F4113" s="4">
        <v>1</v>
      </c>
      <c r="G4113" s="41">
        <v>15</v>
      </c>
      <c r="H4113" s="4">
        <v>534.98041000000001</v>
      </c>
      <c r="I4113" s="201"/>
      <c r="J4113" s="201"/>
    </row>
    <row r="4114" spans="1:10" s="15" customFormat="1" ht="16.5" hidden="1" customHeight="1" outlineLevel="1" x14ac:dyDescent="0.25">
      <c r="A4114" s="18">
        <v>1162</v>
      </c>
      <c r="B4114" s="4" t="s">
        <v>32</v>
      </c>
      <c r="C4114" s="38" t="s">
        <v>2275</v>
      </c>
      <c r="D4114" s="18">
        <v>2022</v>
      </c>
      <c r="E4114" s="4" t="s">
        <v>33</v>
      </c>
      <c r="F4114" s="4">
        <v>1</v>
      </c>
      <c r="G4114" s="41">
        <v>15</v>
      </c>
      <c r="H4114" s="4">
        <v>542.64164000000005</v>
      </c>
      <c r="I4114" s="201"/>
      <c r="J4114" s="201"/>
    </row>
    <row r="4115" spans="1:10" s="15" customFormat="1" ht="16.5" hidden="1" customHeight="1" outlineLevel="1" x14ac:dyDescent="0.25">
      <c r="A4115" s="18">
        <v>1229</v>
      </c>
      <c r="B4115" s="4" t="s">
        <v>32</v>
      </c>
      <c r="C4115" s="38" t="s">
        <v>2305</v>
      </c>
      <c r="D4115" s="18">
        <v>2022</v>
      </c>
      <c r="E4115" s="4" t="s">
        <v>33</v>
      </c>
      <c r="F4115" s="4">
        <v>1</v>
      </c>
      <c r="G4115" s="41">
        <v>15</v>
      </c>
      <c r="H4115" s="4">
        <v>522.73523999999998</v>
      </c>
      <c r="I4115" s="201"/>
      <c r="J4115" s="201"/>
    </row>
    <row r="4116" spans="1:10" s="15" customFormat="1" ht="16.5" hidden="1" customHeight="1" outlineLevel="1" x14ac:dyDescent="0.25">
      <c r="A4116" s="18">
        <v>1057</v>
      </c>
      <c r="B4116" s="4" t="s">
        <v>32</v>
      </c>
      <c r="C4116" s="38" t="s">
        <v>2309</v>
      </c>
      <c r="D4116" s="18">
        <v>2022</v>
      </c>
      <c r="E4116" s="4" t="s">
        <v>33</v>
      </c>
      <c r="F4116" s="4">
        <v>1</v>
      </c>
      <c r="G4116" s="41">
        <v>15</v>
      </c>
      <c r="H4116" s="4">
        <v>548.87419999999997</v>
      </c>
      <c r="I4116" s="201"/>
      <c r="J4116" s="201"/>
    </row>
    <row r="4117" spans="1:10" s="15" customFormat="1" ht="16.5" hidden="1" customHeight="1" outlineLevel="1" x14ac:dyDescent="0.25">
      <c r="A4117" s="18">
        <v>1132</v>
      </c>
      <c r="B4117" s="4" t="s">
        <v>32</v>
      </c>
      <c r="C4117" s="38" t="s">
        <v>2310</v>
      </c>
      <c r="D4117" s="18">
        <v>2022</v>
      </c>
      <c r="E4117" s="4" t="s">
        <v>33</v>
      </c>
      <c r="F4117" s="4">
        <v>1</v>
      </c>
      <c r="G4117" s="41">
        <v>15</v>
      </c>
      <c r="H4117" s="4">
        <v>562.74640999999997</v>
      </c>
      <c r="I4117" s="201"/>
      <c r="J4117" s="201"/>
    </row>
    <row r="4118" spans="1:10" s="15" customFormat="1" ht="16.5" hidden="1" customHeight="1" outlineLevel="1" x14ac:dyDescent="0.25">
      <c r="A4118" s="18">
        <v>1491</v>
      </c>
      <c r="B4118" s="4" t="s">
        <v>32</v>
      </c>
      <c r="C4118" s="38" t="s">
        <v>2313</v>
      </c>
      <c r="D4118" s="18">
        <v>2022</v>
      </c>
      <c r="E4118" s="4" t="s">
        <v>33</v>
      </c>
      <c r="F4118" s="4">
        <v>1</v>
      </c>
      <c r="G4118" s="41">
        <v>15</v>
      </c>
      <c r="H4118" s="4">
        <v>539.08167000000003</v>
      </c>
      <c r="I4118" s="201"/>
      <c r="J4118" s="201"/>
    </row>
    <row r="4119" spans="1:10" s="15" customFormat="1" ht="16.5" hidden="1" customHeight="1" outlineLevel="1" x14ac:dyDescent="0.25">
      <c r="A4119" s="18">
        <v>1047</v>
      </c>
      <c r="B4119" s="4" t="s">
        <v>32</v>
      </c>
      <c r="C4119" s="38" t="s">
        <v>2322</v>
      </c>
      <c r="D4119" s="18">
        <v>2022</v>
      </c>
      <c r="E4119" s="4" t="s">
        <v>33</v>
      </c>
      <c r="F4119" s="4">
        <v>1</v>
      </c>
      <c r="G4119" s="41">
        <v>15</v>
      </c>
      <c r="H4119" s="4">
        <v>576.00863000000004</v>
      </c>
      <c r="I4119" s="201"/>
      <c r="J4119" s="201"/>
    </row>
    <row r="4120" spans="1:10" s="15" customFormat="1" ht="16.5" hidden="1" customHeight="1" outlineLevel="1" x14ac:dyDescent="0.25">
      <c r="A4120" s="18">
        <v>1174</v>
      </c>
      <c r="B4120" s="4" t="s">
        <v>32</v>
      </c>
      <c r="C4120" s="38" t="s">
        <v>2343</v>
      </c>
      <c r="D4120" s="18">
        <v>2022</v>
      </c>
      <c r="E4120" s="4" t="s">
        <v>33</v>
      </c>
      <c r="F4120" s="4">
        <v>1</v>
      </c>
      <c r="G4120" s="41">
        <v>15</v>
      </c>
      <c r="H4120" s="4">
        <v>468.67406999999997</v>
      </c>
      <c r="I4120" s="201"/>
      <c r="J4120" s="201"/>
    </row>
    <row r="4121" spans="1:10" s="15" customFormat="1" ht="33.75" hidden="1" customHeight="1" outlineLevel="1" x14ac:dyDescent="0.25">
      <c r="A4121" s="18">
        <v>1085</v>
      </c>
      <c r="B4121" s="4" t="s">
        <v>32</v>
      </c>
      <c r="C4121" s="38" t="s">
        <v>2354</v>
      </c>
      <c r="D4121" s="18">
        <v>2022</v>
      </c>
      <c r="E4121" s="4" t="s">
        <v>33</v>
      </c>
      <c r="F4121" s="4">
        <v>1</v>
      </c>
      <c r="G4121" s="41">
        <v>15</v>
      </c>
      <c r="H4121" s="4">
        <v>539.70627000000002</v>
      </c>
      <c r="I4121" s="201"/>
      <c r="J4121" s="201"/>
    </row>
    <row r="4122" spans="1:10" s="15" customFormat="1" ht="16.5" hidden="1" customHeight="1" outlineLevel="1" x14ac:dyDescent="0.25">
      <c r="A4122" s="18">
        <v>1199</v>
      </c>
      <c r="B4122" s="4" t="s">
        <v>32</v>
      </c>
      <c r="C4122" s="38" t="s">
        <v>2363</v>
      </c>
      <c r="D4122" s="18">
        <v>2022</v>
      </c>
      <c r="E4122" s="4" t="s">
        <v>33</v>
      </c>
      <c r="F4122" s="4">
        <v>1</v>
      </c>
      <c r="G4122" s="41">
        <v>15</v>
      </c>
      <c r="H4122" s="4">
        <v>412.34136000000001</v>
      </c>
      <c r="I4122" s="201"/>
      <c r="J4122" s="201"/>
    </row>
    <row r="4123" spans="1:10" s="15" customFormat="1" ht="16.5" hidden="1" customHeight="1" outlineLevel="1" x14ac:dyDescent="0.25">
      <c r="A4123" s="18">
        <v>1430</v>
      </c>
      <c r="B4123" s="4" t="s">
        <v>32</v>
      </c>
      <c r="C4123" s="38" t="s">
        <v>2368</v>
      </c>
      <c r="D4123" s="18">
        <v>2022</v>
      </c>
      <c r="E4123" s="4" t="s">
        <v>33</v>
      </c>
      <c r="F4123" s="4">
        <v>1</v>
      </c>
      <c r="G4123" s="41">
        <v>15</v>
      </c>
      <c r="H4123" s="4">
        <v>543.48085000000003</v>
      </c>
      <c r="I4123" s="201"/>
      <c r="J4123" s="201"/>
    </row>
    <row r="4124" spans="1:10" s="15" customFormat="1" ht="16.5" hidden="1" customHeight="1" outlineLevel="1" x14ac:dyDescent="0.25">
      <c r="A4124" s="18">
        <v>1579</v>
      </c>
      <c r="B4124" s="4" t="s">
        <v>32</v>
      </c>
      <c r="C4124" s="38" t="s">
        <v>2374</v>
      </c>
      <c r="D4124" s="18">
        <v>2022</v>
      </c>
      <c r="E4124" s="4" t="s">
        <v>33</v>
      </c>
      <c r="F4124" s="4">
        <v>1</v>
      </c>
      <c r="G4124" s="41">
        <v>15</v>
      </c>
      <c r="H4124" s="4">
        <v>594.61662000000001</v>
      </c>
      <c r="I4124" s="201"/>
      <c r="J4124" s="201"/>
    </row>
    <row r="4125" spans="1:10" s="15" customFormat="1" ht="16.5" hidden="1" customHeight="1" outlineLevel="1" x14ac:dyDescent="0.25">
      <c r="A4125" s="18">
        <v>1043</v>
      </c>
      <c r="B4125" s="4" t="s">
        <v>32</v>
      </c>
      <c r="C4125" s="38" t="s">
        <v>2378</v>
      </c>
      <c r="D4125" s="18">
        <v>2022</v>
      </c>
      <c r="E4125" s="4" t="s">
        <v>33</v>
      </c>
      <c r="F4125" s="4">
        <v>1</v>
      </c>
      <c r="G4125" s="41">
        <v>15</v>
      </c>
      <c r="H4125" s="4">
        <v>638.76441</v>
      </c>
      <c r="I4125" s="201"/>
      <c r="J4125" s="201"/>
    </row>
    <row r="4126" spans="1:10" s="15" customFormat="1" ht="21.75" hidden="1" customHeight="1" outlineLevel="1" x14ac:dyDescent="0.25">
      <c r="A4126" s="18">
        <v>456</v>
      </c>
      <c r="B4126" s="4" t="s">
        <v>32</v>
      </c>
      <c r="C4126" s="38" t="s">
        <v>3134</v>
      </c>
      <c r="D4126" s="18">
        <v>2022</v>
      </c>
      <c r="E4126" s="4" t="s">
        <v>33</v>
      </c>
      <c r="F4126" s="4">
        <v>1</v>
      </c>
      <c r="G4126" s="41">
        <v>15</v>
      </c>
      <c r="H4126" s="4">
        <v>353.74633999999998</v>
      </c>
      <c r="I4126" s="201"/>
      <c r="J4126" s="201"/>
    </row>
    <row r="4127" spans="1:10" s="15" customFormat="1" ht="16.5" hidden="1" customHeight="1" outlineLevel="1" x14ac:dyDescent="0.25">
      <c r="A4127" s="18">
        <v>457</v>
      </c>
      <c r="B4127" s="4" t="s">
        <v>32</v>
      </c>
      <c r="C4127" s="38" t="s">
        <v>2428</v>
      </c>
      <c r="D4127" s="18">
        <v>2022</v>
      </c>
      <c r="E4127" s="4" t="s">
        <v>33</v>
      </c>
      <c r="F4127" s="4">
        <v>1</v>
      </c>
      <c r="G4127" s="41">
        <v>15</v>
      </c>
      <c r="H4127" s="4">
        <v>320.59685000000002</v>
      </c>
      <c r="I4127" s="201"/>
      <c r="J4127" s="201"/>
    </row>
    <row r="4128" spans="1:10" s="15" customFormat="1" ht="16.5" hidden="1" customHeight="1" outlineLevel="1" x14ac:dyDescent="0.25">
      <c r="A4128" s="18">
        <v>462</v>
      </c>
      <c r="B4128" s="4" t="s">
        <v>32</v>
      </c>
      <c r="C4128" s="38" t="s">
        <v>2450</v>
      </c>
      <c r="D4128" s="18">
        <v>2022</v>
      </c>
      <c r="E4128" s="4" t="s">
        <v>33</v>
      </c>
      <c r="F4128" s="4">
        <v>1</v>
      </c>
      <c r="G4128" s="41">
        <v>15</v>
      </c>
      <c r="H4128" s="4">
        <v>444.39708000000002</v>
      </c>
      <c r="I4128" s="201"/>
      <c r="J4128" s="201"/>
    </row>
    <row r="4129" spans="1:10" s="15" customFormat="1" ht="16.5" hidden="1" customHeight="1" outlineLevel="1" x14ac:dyDescent="0.25">
      <c r="A4129" s="18">
        <v>465</v>
      </c>
      <c r="B4129" s="4" t="s">
        <v>32</v>
      </c>
      <c r="C4129" s="38" t="s">
        <v>2454</v>
      </c>
      <c r="D4129" s="18">
        <v>2022</v>
      </c>
      <c r="E4129" s="4" t="s">
        <v>33</v>
      </c>
      <c r="F4129" s="4">
        <v>1</v>
      </c>
      <c r="G4129" s="41">
        <v>15</v>
      </c>
      <c r="H4129" s="4">
        <v>675.35366999999997</v>
      </c>
      <c r="I4129" s="201"/>
      <c r="J4129" s="201"/>
    </row>
    <row r="4130" spans="1:10" s="15" customFormat="1" ht="16.5" hidden="1" customHeight="1" outlineLevel="1" x14ac:dyDescent="0.25">
      <c r="A4130" s="18">
        <v>467</v>
      </c>
      <c r="B4130" s="4" t="s">
        <v>32</v>
      </c>
      <c r="C4130" s="38" t="s">
        <v>2455</v>
      </c>
      <c r="D4130" s="18">
        <v>2022</v>
      </c>
      <c r="E4130" s="4" t="s">
        <v>33</v>
      </c>
      <c r="F4130" s="4">
        <v>1</v>
      </c>
      <c r="G4130" s="41">
        <v>15</v>
      </c>
      <c r="H4130" s="4">
        <v>490.81760000000003</v>
      </c>
      <c r="I4130" s="201"/>
      <c r="J4130" s="201"/>
    </row>
    <row r="4131" spans="1:10" s="15" customFormat="1" ht="16.5" hidden="1" customHeight="1" outlineLevel="1" x14ac:dyDescent="0.25">
      <c r="A4131" s="18">
        <v>470</v>
      </c>
      <c r="B4131" s="4" t="s">
        <v>32</v>
      </c>
      <c r="C4131" s="38" t="s">
        <v>2462</v>
      </c>
      <c r="D4131" s="18">
        <v>2022</v>
      </c>
      <c r="E4131" s="4" t="s">
        <v>33</v>
      </c>
      <c r="F4131" s="4">
        <v>1</v>
      </c>
      <c r="G4131" s="41">
        <v>15</v>
      </c>
      <c r="H4131" s="4">
        <v>513.91995999999995</v>
      </c>
      <c r="I4131" s="201"/>
      <c r="J4131" s="201"/>
    </row>
    <row r="4132" spans="1:10" s="15" customFormat="1" ht="16.5" hidden="1" customHeight="1" outlineLevel="1" x14ac:dyDescent="0.25">
      <c r="A4132" s="18">
        <v>2007</v>
      </c>
      <c r="B4132" s="4" t="s">
        <v>32</v>
      </c>
      <c r="C4132" s="38" t="s">
        <v>3085</v>
      </c>
      <c r="D4132" s="18">
        <v>2022</v>
      </c>
      <c r="E4132" s="4" t="s">
        <v>33</v>
      </c>
      <c r="F4132" s="4">
        <v>1</v>
      </c>
      <c r="G4132" s="41">
        <v>15</v>
      </c>
      <c r="H4132" s="4">
        <v>495.55599999999998</v>
      </c>
      <c r="I4132" s="201"/>
      <c r="J4132" s="201"/>
    </row>
    <row r="4133" spans="1:10" s="15" customFormat="1" ht="16.5" hidden="1" customHeight="1" outlineLevel="1" x14ac:dyDescent="0.25">
      <c r="A4133" s="18">
        <v>1869</v>
      </c>
      <c r="B4133" s="4" t="s">
        <v>32</v>
      </c>
      <c r="C4133" s="38" t="s">
        <v>3086</v>
      </c>
      <c r="D4133" s="18">
        <v>2022</v>
      </c>
      <c r="E4133" s="4" t="s">
        <v>33</v>
      </c>
      <c r="F4133" s="4">
        <v>1</v>
      </c>
      <c r="G4133" s="41">
        <v>4</v>
      </c>
      <c r="H4133" s="4">
        <v>394.88900000000001</v>
      </c>
      <c r="I4133" s="201"/>
      <c r="J4133" s="201"/>
    </row>
    <row r="4134" spans="1:10" s="15" customFormat="1" ht="16.5" hidden="1" customHeight="1" outlineLevel="1" x14ac:dyDescent="0.25">
      <c r="A4134" s="18">
        <v>1940</v>
      </c>
      <c r="B4134" s="4" t="s">
        <v>32</v>
      </c>
      <c r="C4134" s="38" t="s">
        <v>3087</v>
      </c>
      <c r="D4134" s="18">
        <v>2022</v>
      </c>
      <c r="E4134" s="4" t="s">
        <v>33</v>
      </c>
      <c r="F4134" s="4">
        <v>1</v>
      </c>
      <c r="G4134" s="41">
        <v>10</v>
      </c>
      <c r="H4134" s="4">
        <v>479.78699999999998</v>
      </c>
      <c r="I4134" s="201"/>
      <c r="J4134" s="201"/>
    </row>
    <row r="4135" spans="1:10" s="15" customFormat="1" ht="33.75" hidden="1" customHeight="1" outlineLevel="1" x14ac:dyDescent="0.25">
      <c r="A4135" s="18">
        <v>2242</v>
      </c>
      <c r="B4135" s="4" t="s">
        <v>32</v>
      </c>
      <c r="C4135" s="38" t="s">
        <v>3089</v>
      </c>
      <c r="D4135" s="18">
        <v>2022</v>
      </c>
      <c r="E4135" s="4" t="s">
        <v>33</v>
      </c>
      <c r="F4135" s="4">
        <v>1</v>
      </c>
      <c r="G4135" s="41">
        <v>15</v>
      </c>
      <c r="H4135" s="4">
        <v>592.64200000000005</v>
      </c>
      <c r="I4135" s="201"/>
      <c r="J4135" s="201"/>
    </row>
    <row r="4136" spans="1:10" s="15" customFormat="1" ht="16.5" hidden="1" customHeight="1" outlineLevel="1" x14ac:dyDescent="0.25">
      <c r="A4136" s="18">
        <v>2007</v>
      </c>
      <c r="B4136" s="4" t="s">
        <v>32</v>
      </c>
      <c r="C4136" s="38" t="s">
        <v>3085</v>
      </c>
      <c r="D4136" s="18">
        <v>2022</v>
      </c>
      <c r="E4136" s="4" t="s">
        <v>33</v>
      </c>
      <c r="F4136" s="4">
        <v>1</v>
      </c>
      <c r="G4136" s="41">
        <v>15</v>
      </c>
      <c r="H4136" s="4">
        <v>495.55599999999998</v>
      </c>
      <c r="I4136" s="201"/>
      <c r="J4136" s="201"/>
    </row>
    <row r="4137" spans="1:10" s="15" customFormat="1" ht="24" hidden="1" customHeight="1" outlineLevel="1" x14ac:dyDescent="0.25">
      <c r="A4137" s="18">
        <v>1869</v>
      </c>
      <c r="B4137" s="4" t="s">
        <v>32</v>
      </c>
      <c r="C4137" s="38" t="s">
        <v>3086</v>
      </c>
      <c r="D4137" s="18">
        <v>2022</v>
      </c>
      <c r="E4137" s="4" t="s">
        <v>33</v>
      </c>
      <c r="F4137" s="4">
        <v>1</v>
      </c>
      <c r="G4137" s="41">
        <v>4</v>
      </c>
      <c r="H4137" s="4">
        <v>394.88900000000001</v>
      </c>
      <c r="I4137" s="201"/>
      <c r="J4137" s="201"/>
    </row>
    <row r="4138" spans="1:10" s="15" customFormat="1" ht="16.5" hidden="1" customHeight="1" outlineLevel="1" x14ac:dyDescent="0.25">
      <c r="A4138" s="18">
        <v>1940</v>
      </c>
      <c r="B4138" s="4" t="s">
        <v>32</v>
      </c>
      <c r="C4138" s="38" t="s">
        <v>3087</v>
      </c>
      <c r="D4138" s="18">
        <v>2022</v>
      </c>
      <c r="E4138" s="4" t="s">
        <v>33</v>
      </c>
      <c r="F4138" s="4">
        <v>1</v>
      </c>
      <c r="G4138" s="41">
        <v>10</v>
      </c>
      <c r="H4138" s="4">
        <v>479.78699999999998</v>
      </c>
      <c r="I4138" s="201"/>
      <c r="J4138" s="201"/>
    </row>
    <row r="4139" spans="1:10" s="15" customFormat="1" ht="16.5" hidden="1" customHeight="1" outlineLevel="1" x14ac:dyDescent="0.25">
      <c r="A4139" s="18">
        <v>2242</v>
      </c>
      <c r="B4139" s="4" t="s">
        <v>32</v>
      </c>
      <c r="C4139" s="38" t="s">
        <v>3089</v>
      </c>
      <c r="D4139" s="18">
        <v>2022</v>
      </c>
      <c r="E4139" s="4" t="s">
        <v>33</v>
      </c>
      <c r="F4139" s="4">
        <v>1</v>
      </c>
      <c r="G4139" s="41">
        <v>15</v>
      </c>
      <c r="H4139" s="4">
        <v>592.64200000000005</v>
      </c>
      <c r="I4139" s="201"/>
      <c r="J4139" s="201"/>
    </row>
    <row r="4140" spans="1:10" s="15" customFormat="1" ht="16.5" hidden="1" customHeight="1" outlineLevel="1" x14ac:dyDescent="0.25">
      <c r="A4140" s="18">
        <v>2429</v>
      </c>
      <c r="B4140" s="4" t="s">
        <v>32</v>
      </c>
      <c r="C4140" s="38" t="s">
        <v>3120</v>
      </c>
      <c r="D4140" s="18">
        <v>2022</v>
      </c>
      <c r="E4140" s="4" t="s">
        <v>33</v>
      </c>
      <c r="F4140" s="4">
        <v>1</v>
      </c>
      <c r="G4140" s="41">
        <v>12</v>
      </c>
      <c r="H4140" s="4">
        <v>1435.059</v>
      </c>
      <c r="I4140" s="201"/>
      <c r="J4140" s="201"/>
    </row>
    <row r="4141" spans="1:10" s="15" customFormat="1" ht="16.5" hidden="1" customHeight="1" outlineLevel="1" x14ac:dyDescent="0.25">
      <c r="A4141" s="18">
        <v>2253</v>
      </c>
      <c r="B4141" s="4" t="s">
        <v>32</v>
      </c>
      <c r="C4141" s="38" t="s">
        <v>3047</v>
      </c>
      <c r="D4141" s="18">
        <v>2022</v>
      </c>
      <c r="E4141" s="4" t="s">
        <v>33</v>
      </c>
      <c r="F4141" s="4">
        <v>1</v>
      </c>
      <c r="G4141" s="41">
        <v>14</v>
      </c>
      <c r="H4141" s="4">
        <v>482.46499999999997</v>
      </c>
      <c r="I4141" s="201"/>
      <c r="J4141" s="201"/>
    </row>
    <row r="4142" spans="1:10" s="15" customFormat="1" ht="16.5" hidden="1" customHeight="1" outlineLevel="1" x14ac:dyDescent="0.25">
      <c r="A4142" s="18">
        <v>2544</v>
      </c>
      <c r="B4142" s="4" t="s">
        <v>32</v>
      </c>
      <c r="C4142" s="38" t="s">
        <v>3056</v>
      </c>
      <c r="D4142" s="18">
        <v>2022</v>
      </c>
      <c r="E4142" s="4" t="s">
        <v>33</v>
      </c>
      <c r="F4142" s="4">
        <v>1</v>
      </c>
      <c r="G4142" s="41">
        <v>15</v>
      </c>
      <c r="H4142" s="4">
        <v>844.69399999999996</v>
      </c>
      <c r="I4142" s="201"/>
      <c r="J4142" s="201"/>
    </row>
    <row r="4143" spans="1:10" s="15" customFormat="1" ht="16.5" hidden="1" customHeight="1" outlineLevel="1" x14ac:dyDescent="0.25">
      <c r="A4143" s="18">
        <v>2565</v>
      </c>
      <c r="B4143" s="4" t="s">
        <v>32</v>
      </c>
      <c r="C4143" s="38" t="s">
        <v>3078</v>
      </c>
      <c r="D4143" s="18">
        <v>2022</v>
      </c>
      <c r="E4143" s="4" t="s">
        <v>33</v>
      </c>
      <c r="F4143" s="4">
        <v>1</v>
      </c>
      <c r="G4143" s="41">
        <v>15</v>
      </c>
      <c r="H4143" s="4">
        <v>609.4</v>
      </c>
      <c r="I4143" s="201"/>
      <c r="J4143" s="201"/>
    </row>
    <row r="4144" spans="1:10" s="15" customFormat="1" ht="16.5" hidden="1" customHeight="1" outlineLevel="1" x14ac:dyDescent="0.25">
      <c r="A4144" s="18">
        <v>5690</v>
      </c>
      <c r="B4144" s="4" t="s">
        <v>32</v>
      </c>
      <c r="C4144" s="38" t="s">
        <v>2508</v>
      </c>
      <c r="D4144" s="18">
        <v>2022</v>
      </c>
      <c r="E4144" s="4" t="s">
        <v>33</v>
      </c>
      <c r="F4144" s="4">
        <v>1</v>
      </c>
      <c r="G4144" s="41">
        <v>10</v>
      </c>
      <c r="H4144" s="4">
        <v>249.89400000000001</v>
      </c>
      <c r="I4144" s="201"/>
      <c r="J4144" s="201"/>
    </row>
    <row r="4145" spans="1:10" s="15" customFormat="1" ht="16.5" hidden="1" customHeight="1" outlineLevel="1" x14ac:dyDescent="0.25">
      <c r="A4145" s="18">
        <v>5835</v>
      </c>
      <c r="B4145" s="4" t="s">
        <v>32</v>
      </c>
      <c r="C4145" s="38" t="s">
        <v>2529</v>
      </c>
      <c r="D4145" s="18">
        <v>2022</v>
      </c>
      <c r="E4145" s="4" t="s">
        <v>33</v>
      </c>
      <c r="F4145" s="4">
        <v>1</v>
      </c>
      <c r="G4145" s="41">
        <v>15</v>
      </c>
      <c r="H4145" s="4">
        <v>105.706</v>
      </c>
      <c r="I4145" s="201"/>
      <c r="J4145" s="201"/>
    </row>
    <row r="4146" spans="1:10" s="15" customFormat="1" ht="33.75" hidden="1" customHeight="1" outlineLevel="1" x14ac:dyDescent="0.25">
      <c r="A4146" s="18">
        <v>5436</v>
      </c>
      <c r="B4146" s="4" t="s">
        <v>32</v>
      </c>
      <c r="C4146" s="38" t="s">
        <v>2549</v>
      </c>
      <c r="D4146" s="18">
        <v>2022</v>
      </c>
      <c r="E4146" s="4" t="s">
        <v>33</v>
      </c>
      <c r="F4146" s="4">
        <v>1</v>
      </c>
      <c r="G4146" s="41">
        <v>15</v>
      </c>
      <c r="H4146" s="4">
        <v>333.67</v>
      </c>
      <c r="I4146" s="201"/>
      <c r="J4146" s="201"/>
    </row>
    <row r="4147" spans="1:10" s="15" customFormat="1" ht="16.5" hidden="1" customHeight="1" outlineLevel="1" x14ac:dyDescent="0.25">
      <c r="A4147" s="18">
        <v>5767</v>
      </c>
      <c r="B4147" s="4" t="s">
        <v>32</v>
      </c>
      <c r="C4147" s="38" t="s">
        <v>2559</v>
      </c>
      <c r="D4147" s="18">
        <v>2022</v>
      </c>
      <c r="E4147" s="4" t="s">
        <v>33</v>
      </c>
      <c r="F4147" s="4">
        <v>1</v>
      </c>
      <c r="G4147" s="41">
        <v>15</v>
      </c>
      <c r="H4147" s="4">
        <v>412.84399999999999</v>
      </c>
      <c r="I4147" s="201"/>
      <c r="J4147" s="201"/>
    </row>
    <row r="4148" spans="1:10" s="15" customFormat="1" ht="16.5" hidden="1" customHeight="1" outlineLevel="1" x14ac:dyDescent="0.25">
      <c r="A4148" s="18">
        <v>119</v>
      </c>
      <c r="B4148" s="4" t="s">
        <v>32</v>
      </c>
      <c r="C4148" s="38" t="s">
        <v>2575</v>
      </c>
      <c r="D4148" s="18">
        <v>2022</v>
      </c>
      <c r="E4148" s="4" t="s">
        <v>33</v>
      </c>
      <c r="F4148" s="4">
        <v>1</v>
      </c>
      <c r="G4148" s="41">
        <v>15</v>
      </c>
      <c r="H4148" s="4">
        <v>395</v>
      </c>
      <c r="I4148" s="201"/>
      <c r="J4148" s="201"/>
    </row>
    <row r="4149" spans="1:10" s="15" customFormat="1" ht="16.5" hidden="1" customHeight="1" outlineLevel="1" x14ac:dyDescent="0.25">
      <c r="A4149" s="18">
        <v>157</v>
      </c>
      <c r="B4149" s="4" t="s">
        <v>32</v>
      </c>
      <c r="C4149" s="38" t="s">
        <v>2588</v>
      </c>
      <c r="D4149" s="18">
        <v>2022</v>
      </c>
      <c r="E4149" s="4" t="s">
        <v>33</v>
      </c>
      <c r="F4149" s="4">
        <v>1</v>
      </c>
      <c r="G4149" s="41">
        <v>15</v>
      </c>
      <c r="H4149" s="4">
        <v>389</v>
      </c>
      <c r="I4149" s="201"/>
      <c r="J4149" s="201"/>
    </row>
    <row r="4150" spans="1:10" s="15" customFormat="1" ht="16.5" hidden="1" customHeight="1" outlineLevel="1" x14ac:dyDescent="0.25">
      <c r="A4150" s="18">
        <v>205</v>
      </c>
      <c r="B4150" s="4" t="s">
        <v>32</v>
      </c>
      <c r="C4150" s="38" t="s">
        <v>2591</v>
      </c>
      <c r="D4150" s="18">
        <v>2022</v>
      </c>
      <c r="E4150" s="4" t="s">
        <v>33</v>
      </c>
      <c r="F4150" s="4">
        <v>1</v>
      </c>
      <c r="G4150" s="41">
        <v>15</v>
      </c>
      <c r="H4150" s="4">
        <v>330</v>
      </c>
      <c r="I4150" s="201"/>
      <c r="J4150" s="201"/>
    </row>
    <row r="4151" spans="1:10" s="15" customFormat="1" ht="16.5" hidden="1" customHeight="1" outlineLevel="1" x14ac:dyDescent="0.25">
      <c r="A4151" s="18">
        <v>207</v>
      </c>
      <c r="B4151" s="4" t="s">
        <v>32</v>
      </c>
      <c r="C4151" s="38" t="s">
        <v>2594</v>
      </c>
      <c r="D4151" s="18">
        <v>2022</v>
      </c>
      <c r="E4151" s="4" t="s">
        <v>33</v>
      </c>
      <c r="F4151" s="4">
        <v>1</v>
      </c>
      <c r="G4151" s="41">
        <v>15</v>
      </c>
      <c r="H4151" s="4">
        <v>611</v>
      </c>
      <c r="I4151" s="201"/>
      <c r="J4151" s="201"/>
    </row>
    <row r="4152" spans="1:10" s="15" customFormat="1" ht="16.5" hidden="1" customHeight="1" outlineLevel="1" x14ac:dyDescent="0.25">
      <c r="A4152" s="18">
        <v>155</v>
      </c>
      <c r="B4152" s="4" t="s">
        <v>32</v>
      </c>
      <c r="C4152" s="38" t="s">
        <v>2600</v>
      </c>
      <c r="D4152" s="18">
        <v>2022</v>
      </c>
      <c r="E4152" s="4" t="s">
        <v>33</v>
      </c>
      <c r="F4152" s="4">
        <v>1</v>
      </c>
      <c r="G4152" s="41">
        <v>15</v>
      </c>
      <c r="H4152" s="4">
        <v>385</v>
      </c>
      <c r="I4152" s="201"/>
      <c r="J4152" s="201"/>
    </row>
    <row r="4153" spans="1:10" s="15" customFormat="1" ht="16.5" hidden="1" customHeight="1" outlineLevel="1" x14ac:dyDescent="0.25">
      <c r="A4153" s="18">
        <v>104</v>
      </c>
      <c r="B4153" s="4" t="s">
        <v>32</v>
      </c>
      <c r="C4153" s="38" t="s">
        <v>2617</v>
      </c>
      <c r="D4153" s="18">
        <v>2022</v>
      </c>
      <c r="E4153" s="4" t="s">
        <v>33</v>
      </c>
      <c r="F4153" s="4">
        <v>1</v>
      </c>
      <c r="G4153" s="41">
        <v>30</v>
      </c>
      <c r="H4153" s="4">
        <v>399</v>
      </c>
      <c r="I4153" s="201"/>
      <c r="J4153" s="201"/>
    </row>
    <row r="4154" spans="1:10" s="15" customFormat="1" ht="16.5" hidden="1" customHeight="1" outlineLevel="1" x14ac:dyDescent="0.25">
      <c r="A4154" s="18">
        <v>103</v>
      </c>
      <c r="B4154" s="4" t="s">
        <v>32</v>
      </c>
      <c r="C4154" s="38" t="s">
        <v>2619</v>
      </c>
      <c r="D4154" s="18">
        <v>2022</v>
      </c>
      <c r="E4154" s="4" t="s">
        <v>33</v>
      </c>
      <c r="F4154" s="4">
        <v>1</v>
      </c>
      <c r="G4154" s="41">
        <v>15</v>
      </c>
      <c r="H4154" s="4">
        <v>532</v>
      </c>
      <c r="I4154" s="201"/>
      <c r="J4154" s="201"/>
    </row>
    <row r="4155" spans="1:10" s="15" customFormat="1" ht="16.5" hidden="1" customHeight="1" outlineLevel="1" x14ac:dyDescent="0.25">
      <c r="A4155" s="18">
        <v>16</v>
      </c>
      <c r="B4155" s="4" t="s">
        <v>32</v>
      </c>
      <c r="C4155" s="38" t="s">
        <v>2622</v>
      </c>
      <c r="D4155" s="18">
        <v>2022</v>
      </c>
      <c r="E4155" s="4" t="s">
        <v>33</v>
      </c>
      <c r="F4155" s="4">
        <v>1</v>
      </c>
      <c r="G4155" s="41">
        <v>15</v>
      </c>
      <c r="H4155" s="4">
        <v>507</v>
      </c>
      <c r="I4155" s="201"/>
      <c r="J4155" s="201"/>
    </row>
    <row r="4156" spans="1:10" s="15" customFormat="1" ht="16.5" hidden="1" customHeight="1" outlineLevel="1" x14ac:dyDescent="0.25">
      <c r="A4156" s="18">
        <v>94</v>
      </c>
      <c r="B4156" s="4" t="s">
        <v>32</v>
      </c>
      <c r="C4156" s="38" t="s">
        <v>2648</v>
      </c>
      <c r="D4156" s="18">
        <v>2022</v>
      </c>
      <c r="E4156" s="4" t="s">
        <v>33</v>
      </c>
      <c r="F4156" s="4">
        <v>1</v>
      </c>
      <c r="G4156" s="41">
        <v>7.5</v>
      </c>
      <c r="H4156" s="4">
        <v>247</v>
      </c>
      <c r="I4156" s="201"/>
      <c r="J4156" s="201"/>
    </row>
    <row r="4157" spans="1:10" s="15" customFormat="1" ht="16.5" hidden="1" customHeight="1" outlineLevel="1" x14ac:dyDescent="0.25">
      <c r="A4157" s="18">
        <v>224</v>
      </c>
      <c r="B4157" s="4" t="s">
        <v>32</v>
      </c>
      <c r="C4157" s="38" t="s">
        <v>2864</v>
      </c>
      <c r="D4157" s="18">
        <v>2022</v>
      </c>
      <c r="E4157" s="4" t="s">
        <v>33</v>
      </c>
      <c r="F4157" s="4">
        <v>1</v>
      </c>
      <c r="G4157" s="41">
        <v>15</v>
      </c>
      <c r="H4157" s="4">
        <v>467</v>
      </c>
      <c r="I4157" s="201"/>
      <c r="J4157" s="201"/>
    </row>
    <row r="4158" spans="1:10" s="15" customFormat="1" ht="16.5" hidden="1" customHeight="1" outlineLevel="1" x14ac:dyDescent="0.25">
      <c r="A4158" s="18">
        <v>396</v>
      </c>
      <c r="B4158" s="4" t="s">
        <v>32</v>
      </c>
      <c r="C4158" s="38" t="s">
        <v>2710</v>
      </c>
      <c r="D4158" s="18">
        <v>2022</v>
      </c>
      <c r="E4158" s="4" t="s">
        <v>33</v>
      </c>
      <c r="F4158" s="4">
        <v>1</v>
      </c>
      <c r="G4158" s="41">
        <v>21</v>
      </c>
      <c r="H4158" s="4">
        <v>598</v>
      </c>
      <c r="I4158" s="201"/>
      <c r="J4158" s="201"/>
    </row>
    <row r="4159" spans="1:10" s="15" customFormat="1" ht="16.5" hidden="1" customHeight="1" outlineLevel="1" x14ac:dyDescent="0.25">
      <c r="A4159" s="18">
        <v>427</v>
      </c>
      <c r="B4159" s="4" t="s">
        <v>32</v>
      </c>
      <c r="C4159" s="38" t="s">
        <v>2717</v>
      </c>
      <c r="D4159" s="18">
        <v>2022</v>
      </c>
      <c r="E4159" s="4" t="s">
        <v>33</v>
      </c>
      <c r="F4159" s="4">
        <v>1</v>
      </c>
      <c r="G4159" s="41">
        <v>15</v>
      </c>
      <c r="H4159" s="4">
        <v>638</v>
      </c>
      <c r="I4159" s="201"/>
      <c r="J4159" s="201"/>
    </row>
    <row r="4160" spans="1:10" s="15" customFormat="1" ht="16.5" hidden="1" customHeight="1" outlineLevel="1" x14ac:dyDescent="0.25">
      <c r="A4160" s="18">
        <v>397</v>
      </c>
      <c r="B4160" s="4" t="s">
        <v>32</v>
      </c>
      <c r="C4160" s="38" t="s">
        <v>2720</v>
      </c>
      <c r="D4160" s="18">
        <v>2022</v>
      </c>
      <c r="E4160" s="4" t="s">
        <v>33</v>
      </c>
      <c r="F4160" s="4">
        <v>1</v>
      </c>
      <c r="G4160" s="41">
        <v>15</v>
      </c>
      <c r="H4160" s="4">
        <v>648</v>
      </c>
      <c r="I4160" s="201"/>
      <c r="J4160" s="201"/>
    </row>
    <row r="4161" spans="1:10" s="15" customFormat="1" ht="30.75" hidden="1" customHeight="1" outlineLevel="1" x14ac:dyDescent="0.25">
      <c r="A4161" s="18">
        <v>618</v>
      </c>
      <c r="B4161" s="6" t="s">
        <v>32</v>
      </c>
      <c r="C4161" s="38" t="s">
        <v>8048</v>
      </c>
      <c r="D4161" s="23">
        <v>2023</v>
      </c>
      <c r="E4161" s="6" t="s">
        <v>33</v>
      </c>
      <c r="F4161" s="6">
        <v>1</v>
      </c>
      <c r="G4161" s="40">
        <v>15</v>
      </c>
      <c r="H4161" s="40">
        <v>694.16800000000001</v>
      </c>
      <c r="I4161" s="212"/>
      <c r="J4161" s="212"/>
    </row>
    <row r="4162" spans="1:10" s="15" customFormat="1" ht="30.75" hidden="1" customHeight="1" outlineLevel="1" x14ac:dyDescent="0.25">
      <c r="A4162" s="18">
        <v>3226</v>
      </c>
      <c r="B4162" s="6" t="s">
        <v>32</v>
      </c>
      <c r="C4162" s="38" t="s">
        <v>9368</v>
      </c>
      <c r="D4162" s="23">
        <v>2023</v>
      </c>
      <c r="E4162" s="6" t="s">
        <v>33</v>
      </c>
      <c r="F4162" s="6">
        <v>1</v>
      </c>
      <c r="G4162" s="40">
        <v>15</v>
      </c>
      <c r="H4162" s="40">
        <v>2353.5</v>
      </c>
      <c r="I4162" s="212"/>
      <c r="J4162" s="212"/>
    </row>
    <row r="4163" spans="1:10" s="15" customFormat="1" ht="30.75" hidden="1" customHeight="1" outlineLevel="1" x14ac:dyDescent="0.25">
      <c r="A4163" s="18">
        <v>1230</v>
      </c>
      <c r="B4163" s="6" t="s">
        <v>32</v>
      </c>
      <c r="C4163" s="38" t="s">
        <v>8087</v>
      </c>
      <c r="D4163" s="23">
        <v>2023</v>
      </c>
      <c r="E4163" s="6" t="s">
        <v>33</v>
      </c>
      <c r="F4163" s="6">
        <v>1</v>
      </c>
      <c r="G4163" s="40">
        <v>15</v>
      </c>
      <c r="H4163" s="40">
        <v>589.46</v>
      </c>
      <c r="I4163" s="212"/>
      <c r="J4163" s="212"/>
    </row>
    <row r="4164" spans="1:10" s="15" customFormat="1" ht="30.75" hidden="1" customHeight="1" outlineLevel="1" x14ac:dyDescent="0.25">
      <c r="A4164" s="18">
        <v>3241</v>
      </c>
      <c r="B4164" s="6" t="s">
        <v>32</v>
      </c>
      <c r="C4164" s="38" t="s">
        <v>8104</v>
      </c>
      <c r="D4164" s="23">
        <v>2023</v>
      </c>
      <c r="E4164" s="6" t="s">
        <v>33</v>
      </c>
      <c r="F4164" s="6">
        <v>1</v>
      </c>
      <c r="G4164" s="40">
        <v>5</v>
      </c>
      <c r="H4164" s="40">
        <v>770.47</v>
      </c>
      <c r="I4164" s="212"/>
      <c r="J4164" s="212"/>
    </row>
    <row r="4165" spans="1:10" s="15" customFormat="1" ht="30.75" hidden="1" customHeight="1" outlineLevel="1" x14ac:dyDescent="0.25">
      <c r="A4165" s="18">
        <v>671</v>
      </c>
      <c r="B4165" s="6" t="s">
        <v>32</v>
      </c>
      <c r="C4165" s="38" t="s">
        <v>8139</v>
      </c>
      <c r="D4165" s="23">
        <v>2023</v>
      </c>
      <c r="E4165" s="6" t="s">
        <v>33</v>
      </c>
      <c r="F4165" s="6">
        <v>1</v>
      </c>
      <c r="G4165" s="40">
        <v>15</v>
      </c>
      <c r="H4165" s="40">
        <v>813.85879999999997</v>
      </c>
      <c r="I4165" s="212"/>
      <c r="J4165" s="212"/>
    </row>
    <row r="4166" spans="1:10" s="15" customFormat="1" ht="30.75" hidden="1" customHeight="1" outlineLevel="1" x14ac:dyDescent="0.25">
      <c r="A4166" s="18">
        <v>3236</v>
      </c>
      <c r="B4166" s="6" t="s">
        <v>32</v>
      </c>
      <c r="C4166" s="38" t="s">
        <v>8149</v>
      </c>
      <c r="D4166" s="23">
        <v>2023</v>
      </c>
      <c r="E4166" s="6" t="s">
        <v>33</v>
      </c>
      <c r="F4166" s="6">
        <v>1</v>
      </c>
      <c r="G4166" s="40">
        <v>15</v>
      </c>
      <c r="H4166" s="40">
        <v>819.12049999999999</v>
      </c>
      <c r="I4166" s="212"/>
      <c r="J4166" s="212"/>
    </row>
    <row r="4167" spans="1:10" s="15" customFormat="1" ht="30.75" hidden="1" customHeight="1" outlineLevel="1" x14ac:dyDescent="0.25">
      <c r="A4167" s="18">
        <v>3280</v>
      </c>
      <c r="B4167" s="6" t="s">
        <v>32</v>
      </c>
      <c r="C4167" s="38" t="s">
        <v>8163</v>
      </c>
      <c r="D4167" s="23">
        <v>2023</v>
      </c>
      <c r="E4167" s="6" t="s">
        <v>33</v>
      </c>
      <c r="F4167" s="6">
        <v>1</v>
      </c>
      <c r="G4167" s="40">
        <v>15</v>
      </c>
      <c r="H4167" s="40">
        <v>814.72889999999995</v>
      </c>
      <c r="I4167" s="212"/>
      <c r="J4167" s="212"/>
    </row>
    <row r="4168" spans="1:10" s="15" customFormat="1" ht="30.75" hidden="1" customHeight="1" outlineLevel="1" x14ac:dyDescent="0.25">
      <c r="A4168" s="18">
        <v>634</v>
      </c>
      <c r="B4168" s="6" t="s">
        <v>32</v>
      </c>
      <c r="C4168" s="38" t="s">
        <v>8182</v>
      </c>
      <c r="D4168" s="23">
        <v>2023</v>
      </c>
      <c r="E4168" s="6" t="s">
        <v>33</v>
      </c>
      <c r="F4168" s="6">
        <v>1</v>
      </c>
      <c r="G4168" s="40">
        <v>15</v>
      </c>
      <c r="H4168" s="40">
        <v>683.41800000000001</v>
      </c>
      <c r="I4168" s="212"/>
      <c r="J4168" s="212"/>
    </row>
    <row r="4169" spans="1:10" s="15" customFormat="1" ht="30.75" hidden="1" customHeight="1" outlineLevel="1" x14ac:dyDescent="0.25">
      <c r="A4169" s="18">
        <v>633</v>
      </c>
      <c r="B4169" s="6" t="s">
        <v>32</v>
      </c>
      <c r="C4169" s="38" t="s">
        <v>8202</v>
      </c>
      <c r="D4169" s="23">
        <v>2023</v>
      </c>
      <c r="E4169" s="6" t="s">
        <v>33</v>
      </c>
      <c r="F4169" s="6">
        <v>1</v>
      </c>
      <c r="G4169" s="40">
        <v>10</v>
      </c>
      <c r="H4169" s="40">
        <v>539.10599999999999</v>
      </c>
      <c r="I4169" s="212"/>
      <c r="J4169" s="212"/>
    </row>
    <row r="4170" spans="1:10" s="15" customFormat="1" ht="30.75" hidden="1" customHeight="1" outlineLevel="1" x14ac:dyDescent="0.25">
      <c r="A4170" s="18">
        <v>3182</v>
      </c>
      <c r="B4170" s="6" t="s">
        <v>32</v>
      </c>
      <c r="C4170" s="38" t="s">
        <v>8360</v>
      </c>
      <c r="D4170" s="23">
        <v>2023</v>
      </c>
      <c r="E4170" s="6" t="s">
        <v>33</v>
      </c>
      <c r="F4170" s="6">
        <v>1</v>
      </c>
      <c r="G4170" s="40">
        <v>9</v>
      </c>
      <c r="H4170" s="40">
        <v>738.32571000000007</v>
      </c>
      <c r="I4170" s="212"/>
      <c r="J4170" s="212"/>
    </row>
    <row r="4171" spans="1:10" s="15" customFormat="1" ht="30.75" hidden="1" customHeight="1" outlineLevel="1" x14ac:dyDescent="0.25">
      <c r="A4171" s="18">
        <v>3995</v>
      </c>
      <c r="B4171" s="6" t="s">
        <v>32</v>
      </c>
      <c r="C4171" s="38" t="s">
        <v>8362</v>
      </c>
      <c r="D4171" s="23">
        <v>2023</v>
      </c>
      <c r="E4171" s="6" t="s">
        <v>33</v>
      </c>
      <c r="F4171" s="6">
        <v>1</v>
      </c>
      <c r="G4171" s="40">
        <v>15</v>
      </c>
      <c r="H4171" s="40">
        <v>536.67984999999999</v>
      </c>
      <c r="I4171" s="212"/>
      <c r="J4171" s="212"/>
    </row>
    <row r="4172" spans="1:10" s="15" customFormat="1" ht="30.75" hidden="1" customHeight="1" outlineLevel="1" x14ac:dyDescent="0.25">
      <c r="A4172" s="18">
        <v>4033</v>
      </c>
      <c r="B4172" s="6" t="s">
        <v>32</v>
      </c>
      <c r="C4172" s="38" t="s">
        <v>8368</v>
      </c>
      <c r="D4172" s="23">
        <v>2023</v>
      </c>
      <c r="E4172" s="6" t="s">
        <v>33</v>
      </c>
      <c r="F4172" s="6">
        <v>1</v>
      </c>
      <c r="G4172" s="40">
        <v>15</v>
      </c>
      <c r="H4172" s="40">
        <v>503.86973</v>
      </c>
      <c r="I4172" s="212"/>
      <c r="J4172" s="212"/>
    </row>
    <row r="4173" spans="1:10" s="15" customFormat="1" ht="30.75" hidden="1" customHeight="1" outlineLevel="1" x14ac:dyDescent="0.25">
      <c r="A4173" s="18">
        <v>2825</v>
      </c>
      <c r="B4173" s="6" t="s">
        <v>32</v>
      </c>
      <c r="C4173" s="38" t="s">
        <v>8369</v>
      </c>
      <c r="D4173" s="23">
        <v>2023</v>
      </c>
      <c r="E4173" s="6" t="s">
        <v>33</v>
      </c>
      <c r="F4173" s="6">
        <v>1</v>
      </c>
      <c r="G4173" s="40">
        <v>15</v>
      </c>
      <c r="H4173" s="40">
        <v>413.05122</v>
      </c>
      <c r="I4173" s="212"/>
      <c r="J4173" s="212"/>
    </row>
    <row r="4174" spans="1:10" s="15" customFormat="1" ht="30.75" hidden="1" customHeight="1" outlineLevel="1" x14ac:dyDescent="0.25">
      <c r="A4174" s="18">
        <v>3210</v>
      </c>
      <c r="B4174" s="6" t="s">
        <v>32</v>
      </c>
      <c r="C4174" s="38" t="s">
        <v>8370</v>
      </c>
      <c r="D4174" s="23">
        <v>2023</v>
      </c>
      <c r="E4174" s="6" t="s">
        <v>33</v>
      </c>
      <c r="F4174" s="6">
        <v>1</v>
      </c>
      <c r="G4174" s="40">
        <v>15</v>
      </c>
      <c r="H4174" s="40">
        <v>567.55712999999992</v>
      </c>
      <c r="I4174" s="212"/>
      <c r="J4174" s="212"/>
    </row>
    <row r="4175" spans="1:10" s="15" customFormat="1" ht="30.75" hidden="1" customHeight="1" outlineLevel="1" x14ac:dyDescent="0.25">
      <c r="A4175" s="18">
        <v>901</v>
      </c>
      <c r="B4175" s="6" t="s">
        <v>32</v>
      </c>
      <c r="C4175" s="38" t="s">
        <v>8372</v>
      </c>
      <c r="D4175" s="23">
        <v>2023</v>
      </c>
      <c r="E4175" s="6" t="s">
        <v>33</v>
      </c>
      <c r="F4175" s="6">
        <v>1</v>
      </c>
      <c r="G4175" s="40">
        <v>15</v>
      </c>
      <c r="H4175" s="40">
        <v>546.67924000000005</v>
      </c>
      <c r="I4175" s="212"/>
      <c r="J4175" s="212"/>
    </row>
    <row r="4176" spans="1:10" s="15" customFormat="1" ht="30.75" hidden="1" customHeight="1" outlineLevel="1" x14ac:dyDescent="0.25">
      <c r="A4176" s="18">
        <v>3243</v>
      </c>
      <c r="B4176" s="6" t="s">
        <v>32</v>
      </c>
      <c r="C4176" s="38" t="s">
        <v>8376</v>
      </c>
      <c r="D4176" s="23">
        <v>2023</v>
      </c>
      <c r="E4176" s="6" t="s">
        <v>33</v>
      </c>
      <c r="F4176" s="6">
        <v>1</v>
      </c>
      <c r="G4176" s="40">
        <v>15</v>
      </c>
      <c r="H4176" s="40">
        <v>575.41183000000001</v>
      </c>
      <c r="I4176" s="212"/>
      <c r="J4176" s="212"/>
    </row>
    <row r="4177" spans="1:10" s="15" customFormat="1" ht="30.75" hidden="1" customHeight="1" outlineLevel="1" x14ac:dyDescent="0.25">
      <c r="A4177" s="18">
        <v>4074</v>
      </c>
      <c r="B4177" s="6" t="s">
        <v>32</v>
      </c>
      <c r="C4177" s="38" t="s">
        <v>8377</v>
      </c>
      <c r="D4177" s="23">
        <v>2023</v>
      </c>
      <c r="E4177" s="6" t="s">
        <v>33</v>
      </c>
      <c r="F4177" s="6">
        <v>1</v>
      </c>
      <c r="G4177" s="40">
        <v>15</v>
      </c>
      <c r="H4177" s="40">
        <v>737.31952999999999</v>
      </c>
      <c r="I4177" s="212"/>
      <c r="J4177" s="212"/>
    </row>
    <row r="4178" spans="1:10" s="15" customFormat="1" ht="30.75" hidden="1" customHeight="1" outlineLevel="1" x14ac:dyDescent="0.25">
      <c r="A4178" s="18">
        <v>3230</v>
      </c>
      <c r="B4178" s="6" t="s">
        <v>32</v>
      </c>
      <c r="C4178" s="38" t="s">
        <v>8378</v>
      </c>
      <c r="D4178" s="23">
        <v>2023</v>
      </c>
      <c r="E4178" s="6" t="s">
        <v>33</v>
      </c>
      <c r="F4178" s="6">
        <v>1</v>
      </c>
      <c r="G4178" s="40">
        <v>15</v>
      </c>
      <c r="H4178" s="40">
        <v>710.17171999999994</v>
      </c>
      <c r="I4178" s="212"/>
      <c r="J4178" s="212"/>
    </row>
    <row r="4179" spans="1:10" s="15" customFormat="1" ht="30.75" hidden="1" customHeight="1" outlineLevel="1" x14ac:dyDescent="0.25">
      <c r="A4179" s="18">
        <v>3334</v>
      </c>
      <c r="B4179" s="6" t="s">
        <v>32</v>
      </c>
      <c r="C4179" s="38" t="s">
        <v>8379</v>
      </c>
      <c r="D4179" s="23">
        <v>2023</v>
      </c>
      <c r="E4179" s="6" t="s">
        <v>33</v>
      </c>
      <c r="F4179" s="6">
        <v>1</v>
      </c>
      <c r="G4179" s="40">
        <v>15</v>
      </c>
      <c r="H4179" s="40">
        <v>648.11426000000006</v>
      </c>
      <c r="I4179" s="212"/>
      <c r="J4179" s="212"/>
    </row>
    <row r="4180" spans="1:10" s="15" customFormat="1" ht="30.75" hidden="1" customHeight="1" outlineLevel="1" x14ac:dyDescent="0.25">
      <c r="A4180" s="18">
        <v>3229</v>
      </c>
      <c r="B4180" s="6" t="s">
        <v>32</v>
      </c>
      <c r="C4180" s="38" t="s">
        <v>8380</v>
      </c>
      <c r="D4180" s="23">
        <v>2023</v>
      </c>
      <c r="E4180" s="6" t="s">
        <v>33</v>
      </c>
      <c r="F4180" s="6">
        <v>1</v>
      </c>
      <c r="G4180" s="152">
        <v>11.5</v>
      </c>
      <c r="H4180" s="40">
        <v>644.63539000000003</v>
      </c>
      <c r="I4180" s="212"/>
      <c r="J4180" s="212"/>
    </row>
    <row r="4181" spans="1:10" s="15" customFormat="1" ht="30.75" hidden="1" customHeight="1" outlineLevel="1" x14ac:dyDescent="0.25">
      <c r="A4181" s="18">
        <v>4189</v>
      </c>
      <c r="B4181" s="6" t="s">
        <v>32</v>
      </c>
      <c r="C4181" s="38" t="s">
        <v>8382</v>
      </c>
      <c r="D4181" s="23">
        <v>2023</v>
      </c>
      <c r="E4181" s="6" t="s">
        <v>33</v>
      </c>
      <c r="F4181" s="6">
        <v>1</v>
      </c>
      <c r="G4181" s="40">
        <v>15</v>
      </c>
      <c r="H4181" s="40">
        <v>632.13618999999994</v>
      </c>
      <c r="I4181" s="212"/>
      <c r="J4181" s="212"/>
    </row>
    <row r="4182" spans="1:10" s="15" customFormat="1" ht="30.75" hidden="1" customHeight="1" outlineLevel="1" x14ac:dyDescent="0.25">
      <c r="A4182" s="18">
        <v>324</v>
      </c>
      <c r="B4182" s="6" t="s">
        <v>32</v>
      </c>
      <c r="C4182" s="38" t="s">
        <v>8384</v>
      </c>
      <c r="D4182" s="23">
        <v>2023</v>
      </c>
      <c r="E4182" s="6" t="s">
        <v>33</v>
      </c>
      <c r="F4182" s="6">
        <v>1</v>
      </c>
      <c r="G4182" s="40">
        <v>10</v>
      </c>
      <c r="H4182" s="40">
        <v>619.84177</v>
      </c>
      <c r="I4182" s="212"/>
      <c r="J4182" s="212"/>
    </row>
    <row r="4183" spans="1:10" s="15" customFormat="1" ht="30.75" hidden="1" customHeight="1" outlineLevel="1" x14ac:dyDescent="0.25">
      <c r="A4183" s="18">
        <v>3186</v>
      </c>
      <c r="B4183" s="6" t="s">
        <v>32</v>
      </c>
      <c r="C4183" s="38" t="s">
        <v>8395</v>
      </c>
      <c r="D4183" s="23">
        <v>2023</v>
      </c>
      <c r="E4183" s="6" t="s">
        <v>33</v>
      </c>
      <c r="F4183" s="6">
        <v>1</v>
      </c>
      <c r="G4183" s="40">
        <v>15</v>
      </c>
      <c r="H4183" s="40">
        <v>641.65800000000002</v>
      </c>
      <c r="I4183" s="212"/>
      <c r="J4183" s="212"/>
    </row>
    <row r="4184" spans="1:10" s="15" customFormat="1" ht="30.75" hidden="1" customHeight="1" outlineLevel="1" x14ac:dyDescent="0.25">
      <c r="A4184" s="18">
        <v>3178</v>
      </c>
      <c r="B4184" s="6" t="s">
        <v>32</v>
      </c>
      <c r="C4184" s="38" t="s">
        <v>8396</v>
      </c>
      <c r="D4184" s="23">
        <v>2023</v>
      </c>
      <c r="E4184" s="6" t="s">
        <v>33</v>
      </c>
      <c r="F4184" s="6">
        <v>1</v>
      </c>
      <c r="G4184" s="40">
        <v>10</v>
      </c>
      <c r="H4184" s="40">
        <v>528.20000000000005</v>
      </c>
      <c r="I4184" s="212"/>
      <c r="J4184" s="212"/>
    </row>
    <row r="4185" spans="1:10" s="15" customFormat="1" ht="30.75" hidden="1" customHeight="1" outlineLevel="1" x14ac:dyDescent="0.25">
      <c r="A4185" s="18">
        <v>2283</v>
      </c>
      <c r="B4185" s="6" t="s">
        <v>32</v>
      </c>
      <c r="C4185" s="38" t="s">
        <v>8486</v>
      </c>
      <c r="D4185" s="23">
        <v>2023</v>
      </c>
      <c r="E4185" s="6" t="s">
        <v>33</v>
      </c>
      <c r="F4185" s="6">
        <v>1</v>
      </c>
      <c r="G4185" s="40">
        <v>6</v>
      </c>
      <c r="H4185" s="40">
        <v>651.34333000000004</v>
      </c>
      <c r="I4185" s="212"/>
      <c r="J4185" s="212"/>
    </row>
    <row r="4186" spans="1:10" s="15" customFormat="1" ht="30.75" hidden="1" customHeight="1" outlineLevel="1" x14ac:dyDescent="0.25">
      <c r="A4186" s="18">
        <v>3235</v>
      </c>
      <c r="B4186" s="6" t="s">
        <v>32</v>
      </c>
      <c r="C4186" s="38" t="s">
        <v>9225</v>
      </c>
      <c r="D4186" s="23">
        <v>2023</v>
      </c>
      <c r="E4186" s="6" t="s">
        <v>33</v>
      </c>
      <c r="F4186" s="6">
        <v>1</v>
      </c>
      <c r="G4186" s="40">
        <v>15</v>
      </c>
      <c r="H4186" s="40">
        <v>663.79</v>
      </c>
      <c r="I4186" s="212"/>
      <c r="J4186" s="212"/>
    </row>
    <row r="4187" spans="1:10" s="15" customFormat="1" ht="30.75" hidden="1" customHeight="1" outlineLevel="1" x14ac:dyDescent="0.25">
      <c r="A4187" s="18">
        <v>3846</v>
      </c>
      <c r="B4187" s="6" t="s">
        <v>32</v>
      </c>
      <c r="C4187" s="38" t="s">
        <v>9271</v>
      </c>
      <c r="D4187" s="23">
        <v>2023</v>
      </c>
      <c r="E4187" s="6" t="s">
        <v>33</v>
      </c>
      <c r="F4187" s="6">
        <v>1</v>
      </c>
      <c r="G4187" s="40">
        <v>15</v>
      </c>
      <c r="H4187" s="40">
        <v>497.55899999999997</v>
      </c>
      <c r="I4187" s="212"/>
      <c r="J4187" s="212"/>
    </row>
    <row r="4188" spans="1:10" s="15" customFormat="1" ht="30.75" hidden="1" customHeight="1" outlineLevel="1" x14ac:dyDescent="0.25">
      <c r="A4188" s="18">
        <v>3237</v>
      </c>
      <c r="B4188" s="6" t="s">
        <v>32</v>
      </c>
      <c r="C4188" s="38" t="s">
        <v>9229</v>
      </c>
      <c r="D4188" s="23">
        <v>2023</v>
      </c>
      <c r="E4188" s="6" t="s">
        <v>33</v>
      </c>
      <c r="F4188" s="6">
        <v>1</v>
      </c>
      <c r="G4188" s="40">
        <v>10</v>
      </c>
      <c r="H4188" s="40">
        <v>693.32400000000007</v>
      </c>
      <c r="I4188" s="212"/>
      <c r="J4188" s="212"/>
    </row>
    <row r="4189" spans="1:10" s="15" customFormat="1" ht="30.75" hidden="1" customHeight="1" outlineLevel="1" x14ac:dyDescent="0.25">
      <c r="A4189" s="18">
        <v>413</v>
      </c>
      <c r="B4189" s="6" t="s">
        <v>32</v>
      </c>
      <c r="C4189" s="38" t="s">
        <v>9066</v>
      </c>
      <c r="D4189" s="23">
        <v>2023</v>
      </c>
      <c r="E4189" s="6" t="s">
        <v>33</v>
      </c>
      <c r="F4189" s="6">
        <v>1</v>
      </c>
      <c r="G4189" s="40">
        <v>15</v>
      </c>
      <c r="H4189" s="40">
        <v>391.05400000000003</v>
      </c>
      <c r="I4189" s="212"/>
      <c r="J4189" s="212"/>
    </row>
    <row r="4190" spans="1:10" s="15" customFormat="1" ht="30.75" hidden="1" customHeight="1" outlineLevel="1" x14ac:dyDescent="0.25">
      <c r="A4190" s="18">
        <v>4732</v>
      </c>
      <c r="B4190" s="6" t="s">
        <v>32</v>
      </c>
      <c r="C4190" s="38" t="s">
        <v>9231</v>
      </c>
      <c r="D4190" s="23">
        <v>2023</v>
      </c>
      <c r="E4190" s="6" t="s">
        <v>33</v>
      </c>
      <c r="F4190" s="6">
        <v>1</v>
      </c>
      <c r="G4190" s="40">
        <v>15</v>
      </c>
      <c r="H4190" s="40">
        <v>758.65499999999997</v>
      </c>
      <c r="I4190" s="212"/>
      <c r="J4190" s="212"/>
    </row>
    <row r="4191" spans="1:10" s="15" customFormat="1" ht="30.75" hidden="1" customHeight="1" outlineLevel="1" x14ac:dyDescent="0.25">
      <c r="A4191" s="18">
        <v>4788</v>
      </c>
      <c r="B4191" s="6" t="s">
        <v>32</v>
      </c>
      <c r="C4191" s="38" t="s">
        <v>9236</v>
      </c>
      <c r="D4191" s="23">
        <v>2023</v>
      </c>
      <c r="E4191" s="6" t="s">
        <v>33</v>
      </c>
      <c r="F4191" s="6">
        <v>1</v>
      </c>
      <c r="G4191" s="40">
        <v>15</v>
      </c>
      <c r="H4191" s="40">
        <v>830.33199999999999</v>
      </c>
      <c r="I4191" s="212"/>
      <c r="J4191" s="212"/>
    </row>
    <row r="4192" spans="1:10" s="15" customFormat="1" ht="30.75" hidden="1" customHeight="1" outlineLevel="1" x14ac:dyDescent="0.25">
      <c r="A4192" s="18">
        <v>3328</v>
      </c>
      <c r="B4192" s="6" t="s">
        <v>32</v>
      </c>
      <c r="C4192" s="38" t="s">
        <v>9069</v>
      </c>
      <c r="D4192" s="23">
        <v>2023</v>
      </c>
      <c r="E4192" s="6" t="s">
        <v>33</v>
      </c>
      <c r="F4192" s="6">
        <v>1</v>
      </c>
      <c r="G4192" s="40">
        <v>15</v>
      </c>
      <c r="H4192" s="40">
        <v>620.76</v>
      </c>
      <c r="I4192" s="212"/>
      <c r="J4192" s="212"/>
    </row>
    <row r="4193" spans="1:10" s="15" customFormat="1" ht="30.75" hidden="1" customHeight="1" outlineLevel="1" x14ac:dyDescent="0.25">
      <c r="A4193" s="18">
        <v>4007</v>
      </c>
      <c r="B4193" s="6" t="s">
        <v>32</v>
      </c>
      <c r="C4193" s="38" t="s">
        <v>8506</v>
      </c>
      <c r="D4193" s="23">
        <v>2023</v>
      </c>
      <c r="E4193" s="6" t="s">
        <v>33</v>
      </c>
      <c r="F4193" s="6">
        <v>1</v>
      </c>
      <c r="G4193" s="40">
        <v>15</v>
      </c>
      <c r="H4193" s="40">
        <v>494.87742000000003</v>
      </c>
      <c r="I4193" s="212"/>
      <c r="J4193" s="212"/>
    </row>
    <row r="4194" spans="1:10" s="15" customFormat="1" ht="30.75" hidden="1" customHeight="1" outlineLevel="1" x14ac:dyDescent="0.25">
      <c r="A4194" s="18">
        <v>3249</v>
      </c>
      <c r="B4194" s="6" t="s">
        <v>32</v>
      </c>
      <c r="C4194" s="38" t="s">
        <v>8586</v>
      </c>
      <c r="D4194" s="23">
        <v>2023</v>
      </c>
      <c r="E4194" s="6" t="s">
        <v>33</v>
      </c>
      <c r="F4194" s="6">
        <v>1</v>
      </c>
      <c r="G4194" s="40">
        <v>15</v>
      </c>
      <c r="H4194" s="40">
        <v>892.19459000000006</v>
      </c>
      <c r="I4194" s="212"/>
      <c r="J4194" s="212"/>
    </row>
    <row r="4195" spans="1:10" s="15" customFormat="1" ht="30.75" hidden="1" customHeight="1" outlineLevel="1" x14ac:dyDescent="0.25">
      <c r="A4195" s="18">
        <v>776</v>
      </c>
      <c r="B4195" s="6" t="s">
        <v>32</v>
      </c>
      <c r="C4195" s="38" t="s">
        <v>9077</v>
      </c>
      <c r="D4195" s="23">
        <v>2023</v>
      </c>
      <c r="E4195" s="6" t="s">
        <v>33</v>
      </c>
      <c r="F4195" s="6">
        <v>1</v>
      </c>
      <c r="G4195" s="40">
        <v>15</v>
      </c>
      <c r="H4195" s="40">
        <v>282.30144000000001</v>
      </c>
      <c r="I4195" s="212"/>
      <c r="J4195" s="212"/>
    </row>
    <row r="4196" spans="1:10" s="15" customFormat="1" ht="30.75" hidden="1" customHeight="1" outlineLevel="1" x14ac:dyDescent="0.25">
      <c r="A4196" s="18">
        <v>2824</v>
      </c>
      <c r="B4196" s="6" t="s">
        <v>32</v>
      </c>
      <c r="C4196" s="38" t="s">
        <v>8621</v>
      </c>
      <c r="D4196" s="23">
        <v>2023</v>
      </c>
      <c r="E4196" s="6" t="s">
        <v>33</v>
      </c>
      <c r="F4196" s="6">
        <v>1</v>
      </c>
      <c r="G4196" s="40">
        <v>15</v>
      </c>
      <c r="H4196" s="40">
        <v>221.35166000000001</v>
      </c>
      <c r="I4196" s="212"/>
      <c r="J4196" s="212"/>
    </row>
    <row r="4197" spans="1:10" s="15" customFormat="1" ht="30.75" hidden="1" customHeight="1" outlineLevel="1" x14ac:dyDescent="0.25">
      <c r="A4197" s="18">
        <v>358</v>
      </c>
      <c r="B4197" s="6" t="s">
        <v>32</v>
      </c>
      <c r="C4197" s="38" t="s">
        <v>8628</v>
      </c>
      <c r="D4197" s="23">
        <v>2023</v>
      </c>
      <c r="E4197" s="6" t="s">
        <v>33</v>
      </c>
      <c r="F4197" s="6">
        <v>1</v>
      </c>
      <c r="G4197" s="40">
        <v>15</v>
      </c>
      <c r="H4197" s="40">
        <v>238.54542000000001</v>
      </c>
      <c r="I4197" s="212"/>
      <c r="J4197" s="212"/>
    </row>
    <row r="4198" spans="1:10" s="15" customFormat="1" ht="30.75" hidden="1" customHeight="1" outlineLevel="1" x14ac:dyDescent="0.25">
      <c r="A4198" s="18">
        <v>5510</v>
      </c>
      <c r="B4198" s="6" t="s">
        <v>32</v>
      </c>
      <c r="C4198" s="38" t="s">
        <v>8636</v>
      </c>
      <c r="D4198" s="23">
        <v>2023</v>
      </c>
      <c r="E4198" s="6" t="s">
        <v>33</v>
      </c>
      <c r="F4198" s="6">
        <v>1</v>
      </c>
      <c r="G4198" s="40">
        <v>15</v>
      </c>
      <c r="H4198" s="40">
        <v>610.54732000000001</v>
      </c>
      <c r="I4198" s="212"/>
      <c r="J4198" s="212"/>
    </row>
    <row r="4199" spans="1:10" s="15" customFormat="1" ht="30.75" hidden="1" customHeight="1" outlineLevel="1" x14ac:dyDescent="0.25">
      <c r="A4199" s="18">
        <v>333</v>
      </c>
      <c r="B4199" s="6" t="s">
        <v>32</v>
      </c>
      <c r="C4199" s="38" t="s">
        <v>8668</v>
      </c>
      <c r="D4199" s="23">
        <v>2023</v>
      </c>
      <c r="E4199" s="6" t="s">
        <v>33</v>
      </c>
      <c r="F4199" s="6">
        <v>1</v>
      </c>
      <c r="G4199" s="40">
        <v>15</v>
      </c>
      <c r="H4199" s="40">
        <v>216.59015000000002</v>
      </c>
      <c r="I4199" s="212"/>
      <c r="J4199" s="212"/>
    </row>
    <row r="4200" spans="1:10" s="15" customFormat="1" ht="30.75" hidden="1" customHeight="1" outlineLevel="1" x14ac:dyDescent="0.25">
      <c r="A4200" s="18">
        <v>5054</v>
      </c>
      <c r="B4200" s="6" t="s">
        <v>32</v>
      </c>
      <c r="C4200" s="38" t="s">
        <v>8675</v>
      </c>
      <c r="D4200" s="23">
        <v>2023</v>
      </c>
      <c r="E4200" s="6" t="s">
        <v>33</v>
      </c>
      <c r="F4200" s="6">
        <v>1</v>
      </c>
      <c r="G4200" s="40">
        <v>15</v>
      </c>
      <c r="H4200" s="40">
        <v>710.63262000000009</v>
      </c>
      <c r="I4200" s="212"/>
      <c r="J4200" s="212"/>
    </row>
    <row r="4201" spans="1:10" s="15" customFormat="1" ht="30.75" hidden="1" customHeight="1" outlineLevel="1" x14ac:dyDescent="0.25">
      <c r="A4201" s="18">
        <v>463</v>
      </c>
      <c r="B4201" s="6" t="s">
        <v>32</v>
      </c>
      <c r="C4201" s="38" t="s">
        <v>8691</v>
      </c>
      <c r="D4201" s="23">
        <v>2023</v>
      </c>
      <c r="E4201" s="6" t="s">
        <v>33</v>
      </c>
      <c r="F4201" s="6">
        <v>1</v>
      </c>
      <c r="G4201" s="40">
        <v>15</v>
      </c>
      <c r="H4201" s="40">
        <v>309</v>
      </c>
      <c r="I4201" s="212"/>
      <c r="J4201" s="212"/>
    </row>
    <row r="4202" spans="1:10" s="15" customFormat="1" ht="30.75" hidden="1" customHeight="1" outlineLevel="1" x14ac:dyDescent="0.25">
      <c r="A4202" s="18">
        <v>5034</v>
      </c>
      <c r="B4202" s="6" t="s">
        <v>32</v>
      </c>
      <c r="C4202" s="38" t="s">
        <v>9352</v>
      </c>
      <c r="D4202" s="23">
        <v>2023</v>
      </c>
      <c r="E4202" s="6" t="s">
        <v>33</v>
      </c>
      <c r="F4202" s="6">
        <v>1</v>
      </c>
      <c r="G4202" s="40">
        <v>15</v>
      </c>
      <c r="H4202" s="40">
        <v>273.61306000000002</v>
      </c>
      <c r="I4202" s="212"/>
      <c r="J4202" s="212"/>
    </row>
    <row r="4203" spans="1:10" s="15" customFormat="1" ht="30.75" hidden="1" customHeight="1" outlineLevel="1" x14ac:dyDescent="0.25">
      <c r="A4203" s="18">
        <v>3214</v>
      </c>
      <c r="B4203" s="6" t="s">
        <v>32</v>
      </c>
      <c r="C4203" s="38" t="s">
        <v>8737</v>
      </c>
      <c r="D4203" s="23">
        <v>2023</v>
      </c>
      <c r="E4203" s="6" t="s">
        <v>33</v>
      </c>
      <c r="F4203" s="6">
        <v>1</v>
      </c>
      <c r="G4203" s="40">
        <v>15</v>
      </c>
      <c r="H4203" s="40">
        <v>264.75094999999999</v>
      </c>
      <c r="I4203" s="212"/>
      <c r="J4203" s="212"/>
    </row>
    <row r="4204" spans="1:10" s="15" customFormat="1" ht="30.75" hidden="1" customHeight="1" outlineLevel="1" x14ac:dyDescent="0.25">
      <c r="A4204" s="18">
        <v>3300</v>
      </c>
      <c r="B4204" s="6" t="s">
        <v>32</v>
      </c>
      <c r="C4204" s="38" t="s">
        <v>8756</v>
      </c>
      <c r="D4204" s="23">
        <v>2023</v>
      </c>
      <c r="E4204" s="6" t="s">
        <v>33</v>
      </c>
      <c r="F4204" s="6">
        <v>1</v>
      </c>
      <c r="G4204" s="40">
        <v>15</v>
      </c>
      <c r="H4204" s="40">
        <v>375.93966</v>
      </c>
      <c r="I4204" s="212"/>
      <c r="J4204" s="212"/>
    </row>
    <row r="4205" spans="1:10" s="15" customFormat="1" ht="30.75" hidden="1" customHeight="1" outlineLevel="1" x14ac:dyDescent="0.25">
      <c r="A4205" s="18">
        <v>3282</v>
      </c>
      <c r="B4205" s="6" t="s">
        <v>32</v>
      </c>
      <c r="C4205" s="38" t="s">
        <v>8757</v>
      </c>
      <c r="D4205" s="23">
        <v>2023</v>
      </c>
      <c r="E4205" s="6" t="s">
        <v>33</v>
      </c>
      <c r="F4205" s="6">
        <v>1</v>
      </c>
      <c r="G4205" s="40">
        <v>15</v>
      </c>
      <c r="H4205" s="40">
        <v>366.13136000000003</v>
      </c>
      <c r="I4205" s="212"/>
      <c r="J4205" s="212"/>
    </row>
    <row r="4206" spans="1:10" s="15" customFormat="1" ht="30.75" hidden="1" customHeight="1" outlineLevel="1" x14ac:dyDescent="0.25">
      <c r="A4206" s="18">
        <v>609</v>
      </c>
      <c r="B4206" s="6" t="s">
        <v>32</v>
      </c>
      <c r="C4206" s="38" t="s">
        <v>8798</v>
      </c>
      <c r="D4206" s="23">
        <v>2023</v>
      </c>
      <c r="E4206" s="6" t="s">
        <v>33</v>
      </c>
      <c r="F4206" s="6">
        <v>1</v>
      </c>
      <c r="G4206" s="40">
        <v>45</v>
      </c>
      <c r="H4206" s="40">
        <v>495</v>
      </c>
      <c r="I4206" s="212"/>
      <c r="J4206" s="212"/>
    </row>
    <row r="4207" spans="1:10" s="15" customFormat="1" ht="30.75" hidden="1" customHeight="1" outlineLevel="1" x14ac:dyDescent="0.25">
      <c r="A4207" s="18">
        <v>4422</v>
      </c>
      <c r="B4207" s="6" t="s">
        <v>32</v>
      </c>
      <c r="C4207" s="38" t="s">
        <v>8822</v>
      </c>
      <c r="D4207" s="23">
        <v>2023</v>
      </c>
      <c r="E4207" s="6" t="s">
        <v>33</v>
      </c>
      <c r="F4207" s="6">
        <v>1</v>
      </c>
      <c r="G4207" s="40">
        <v>15</v>
      </c>
      <c r="H4207" s="40">
        <v>459</v>
      </c>
      <c r="I4207" s="212"/>
      <c r="J4207" s="212"/>
    </row>
    <row r="4208" spans="1:10" s="15" customFormat="1" ht="30.75" hidden="1" customHeight="1" outlineLevel="1" x14ac:dyDescent="0.25">
      <c r="A4208" s="18">
        <v>1305</v>
      </c>
      <c r="B4208" s="6" t="s">
        <v>32</v>
      </c>
      <c r="C4208" s="38" t="s">
        <v>8839</v>
      </c>
      <c r="D4208" s="23">
        <v>2023</v>
      </c>
      <c r="E4208" s="6" t="s">
        <v>33</v>
      </c>
      <c r="F4208" s="6">
        <v>1</v>
      </c>
      <c r="G4208" s="40">
        <v>15</v>
      </c>
      <c r="H4208" s="40">
        <v>423</v>
      </c>
      <c r="I4208" s="212"/>
      <c r="J4208" s="212"/>
    </row>
    <row r="4209" spans="1:10" s="15" customFormat="1" ht="30.75" hidden="1" customHeight="1" outlineLevel="1" x14ac:dyDescent="0.25">
      <c r="A4209" s="18">
        <v>571</v>
      </c>
      <c r="B4209" s="6" t="s">
        <v>32</v>
      </c>
      <c r="C4209" s="38" t="s">
        <v>8841</v>
      </c>
      <c r="D4209" s="23">
        <v>2023</v>
      </c>
      <c r="E4209" s="6" t="s">
        <v>33</v>
      </c>
      <c r="F4209" s="6">
        <v>1</v>
      </c>
      <c r="G4209" s="40">
        <v>15</v>
      </c>
      <c r="H4209" s="40">
        <v>656</v>
      </c>
      <c r="I4209" s="212"/>
      <c r="J4209" s="212"/>
    </row>
    <row r="4210" spans="1:10" s="15" customFormat="1" ht="30.75" hidden="1" customHeight="1" outlineLevel="1" x14ac:dyDescent="0.25">
      <c r="A4210" s="18">
        <v>1054</v>
      </c>
      <c r="B4210" s="6" t="s">
        <v>32</v>
      </c>
      <c r="C4210" s="38" t="s">
        <v>8884</v>
      </c>
      <c r="D4210" s="23">
        <v>2023</v>
      </c>
      <c r="E4210" s="6" t="s">
        <v>33</v>
      </c>
      <c r="F4210" s="6">
        <v>1</v>
      </c>
      <c r="G4210" s="40">
        <v>15</v>
      </c>
      <c r="H4210" s="40">
        <v>547</v>
      </c>
      <c r="I4210" s="212"/>
      <c r="J4210" s="212"/>
    </row>
    <row r="4211" spans="1:10" s="15" customFormat="1" ht="30.75" hidden="1" customHeight="1" outlineLevel="1" x14ac:dyDescent="0.25">
      <c r="A4211" s="18">
        <v>680</v>
      </c>
      <c r="B4211" s="6" t="s">
        <v>32</v>
      </c>
      <c r="C4211" s="38" t="s">
        <v>8887</v>
      </c>
      <c r="D4211" s="23">
        <v>2023</v>
      </c>
      <c r="E4211" s="6" t="s">
        <v>33</v>
      </c>
      <c r="F4211" s="6">
        <v>1</v>
      </c>
      <c r="G4211" s="40">
        <v>15</v>
      </c>
      <c r="H4211" s="40">
        <v>554</v>
      </c>
      <c r="I4211" s="212"/>
      <c r="J4211" s="212"/>
    </row>
    <row r="4212" spans="1:10" s="15" customFormat="1" ht="30.75" hidden="1" customHeight="1" outlineLevel="1" x14ac:dyDescent="0.25">
      <c r="A4212" s="18">
        <v>3247</v>
      </c>
      <c r="B4212" s="6" t="s">
        <v>32</v>
      </c>
      <c r="C4212" s="38" t="s">
        <v>8900</v>
      </c>
      <c r="D4212" s="23">
        <v>2023</v>
      </c>
      <c r="E4212" s="6" t="s">
        <v>33</v>
      </c>
      <c r="F4212" s="6">
        <v>1</v>
      </c>
      <c r="G4212" s="40">
        <v>15</v>
      </c>
      <c r="H4212" s="40">
        <v>838</v>
      </c>
      <c r="I4212" s="212"/>
      <c r="J4212" s="212"/>
    </row>
    <row r="4213" spans="1:10" s="15" customFormat="1" ht="30.75" hidden="1" customHeight="1" outlineLevel="1" x14ac:dyDescent="0.25">
      <c r="A4213" s="18">
        <v>1317</v>
      </c>
      <c r="B4213" s="6" t="s">
        <v>32</v>
      </c>
      <c r="C4213" s="38" t="s">
        <v>8905</v>
      </c>
      <c r="D4213" s="23">
        <v>2023</v>
      </c>
      <c r="E4213" s="6" t="s">
        <v>33</v>
      </c>
      <c r="F4213" s="6">
        <v>1</v>
      </c>
      <c r="G4213" s="40">
        <v>15</v>
      </c>
      <c r="H4213" s="40">
        <v>283</v>
      </c>
      <c r="I4213" s="212"/>
      <c r="J4213" s="212"/>
    </row>
    <row r="4214" spans="1:10" s="15" customFormat="1" ht="30.75" hidden="1" customHeight="1" outlineLevel="1" x14ac:dyDescent="0.25">
      <c r="A4214" s="18">
        <v>4538</v>
      </c>
      <c r="B4214" s="6" t="s">
        <v>32</v>
      </c>
      <c r="C4214" s="38" t="s">
        <v>8992</v>
      </c>
      <c r="D4214" s="23">
        <v>2023</v>
      </c>
      <c r="E4214" s="6" t="s">
        <v>33</v>
      </c>
      <c r="F4214" s="6">
        <v>1</v>
      </c>
      <c r="G4214" s="40">
        <v>15</v>
      </c>
      <c r="H4214" s="40">
        <v>276</v>
      </c>
      <c r="I4214" s="212"/>
      <c r="J4214" s="212"/>
    </row>
    <row r="4215" spans="1:10" s="15" customFormat="1" ht="30.75" hidden="1" customHeight="1" outlineLevel="1" x14ac:dyDescent="0.25">
      <c r="A4215" s="18">
        <v>485</v>
      </c>
      <c r="B4215" s="6" t="s">
        <v>32</v>
      </c>
      <c r="C4215" s="38" t="s">
        <v>9008</v>
      </c>
      <c r="D4215" s="23">
        <v>2023</v>
      </c>
      <c r="E4215" s="6" t="s">
        <v>33</v>
      </c>
      <c r="F4215" s="6">
        <v>1</v>
      </c>
      <c r="G4215" s="40">
        <v>15</v>
      </c>
      <c r="H4215" s="40">
        <v>736</v>
      </c>
      <c r="I4215" s="212"/>
      <c r="J4215" s="212"/>
    </row>
    <row r="4216" spans="1:10" s="15" customFormat="1" ht="30.75" hidden="1" customHeight="1" outlineLevel="1" x14ac:dyDescent="0.25">
      <c r="A4216" s="18">
        <v>3213</v>
      </c>
      <c r="B4216" s="6" t="s">
        <v>32</v>
      </c>
      <c r="C4216" s="38" t="s">
        <v>9369</v>
      </c>
      <c r="D4216" s="23">
        <v>2023</v>
      </c>
      <c r="E4216" s="6" t="s">
        <v>33</v>
      </c>
      <c r="F4216" s="6">
        <v>1</v>
      </c>
      <c r="G4216" s="40">
        <v>13</v>
      </c>
      <c r="H4216" s="40">
        <v>457</v>
      </c>
      <c r="I4216" s="212"/>
      <c r="J4216" s="212"/>
    </row>
    <row r="4217" spans="1:10" s="15" customFormat="1" ht="25.5" hidden="1" customHeight="1" outlineLevel="1" x14ac:dyDescent="0.25">
      <c r="A4217" s="45">
        <v>794</v>
      </c>
      <c r="B4217" s="4" t="s">
        <v>32</v>
      </c>
      <c r="C4217" s="22" t="s">
        <v>297</v>
      </c>
      <c r="D4217" s="18">
        <v>2021</v>
      </c>
      <c r="E4217" s="4"/>
      <c r="F4217" s="4">
        <v>1</v>
      </c>
      <c r="G4217" s="41">
        <v>15</v>
      </c>
      <c r="H4217" s="41">
        <v>803</v>
      </c>
      <c r="I4217" s="221"/>
      <c r="J4217" s="221"/>
    </row>
    <row r="4218" spans="1:10" s="15" customFormat="1" ht="25.5" hidden="1" customHeight="1" outlineLevel="1" x14ac:dyDescent="0.25">
      <c r="A4218" s="46">
        <v>9746</v>
      </c>
      <c r="B4218" s="4" t="s">
        <v>32</v>
      </c>
      <c r="C4218" s="22" t="s">
        <v>332</v>
      </c>
      <c r="D4218" s="18">
        <v>2021</v>
      </c>
      <c r="E4218" s="4"/>
      <c r="F4218" s="4">
        <v>1</v>
      </c>
      <c r="G4218" s="41">
        <v>15</v>
      </c>
      <c r="H4218" s="41">
        <v>370</v>
      </c>
      <c r="I4218" s="221"/>
      <c r="J4218" s="221"/>
    </row>
    <row r="4219" spans="1:10" s="15" customFormat="1" ht="25.5" hidden="1" customHeight="1" outlineLevel="1" x14ac:dyDescent="0.25">
      <c r="A4219" s="45">
        <v>1267</v>
      </c>
      <c r="B4219" s="4" t="s">
        <v>32</v>
      </c>
      <c r="C4219" s="22" t="s">
        <v>337</v>
      </c>
      <c r="D4219" s="18">
        <v>2021</v>
      </c>
      <c r="E4219" s="4"/>
      <c r="F4219" s="4">
        <v>1</v>
      </c>
      <c r="G4219" s="41">
        <v>15</v>
      </c>
      <c r="H4219" s="41">
        <v>371</v>
      </c>
      <c r="I4219" s="221"/>
      <c r="J4219" s="221"/>
    </row>
    <row r="4220" spans="1:10" s="15" customFormat="1" ht="25.5" hidden="1" customHeight="1" outlineLevel="1" x14ac:dyDescent="0.25">
      <c r="A4220" s="45">
        <v>1265</v>
      </c>
      <c r="B4220" s="4" t="s">
        <v>32</v>
      </c>
      <c r="C4220" s="22" t="s">
        <v>355</v>
      </c>
      <c r="D4220" s="18">
        <v>2021</v>
      </c>
      <c r="E4220" s="4"/>
      <c r="F4220" s="4">
        <v>1</v>
      </c>
      <c r="G4220" s="41">
        <v>15</v>
      </c>
      <c r="H4220" s="41">
        <v>465</v>
      </c>
      <c r="I4220" s="221"/>
      <c r="J4220" s="221"/>
    </row>
    <row r="4221" spans="1:10" s="15" customFormat="1" ht="25.5" hidden="1" customHeight="1" outlineLevel="1" x14ac:dyDescent="0.25">
      <c r="A4221" s="45">
        <v>3824</v>
      </c>
      <c r="B4221" s="4" t="s">
        <v>32</v>
      </c>
      <c r="C4221" s="22" t="s">
        <v>90</v>
      </c>
      <c r="D4221" s="18">
        <v>2021</v>
      </c>
      <c r="E4221" s="4"/>
      <c r="F4221" s="4">
        <v>1</v>
      </c>
      <c r="G4221" s="41" t="s">
        <v>358</v>
      </c>
      <c r="H4221" s="41">
        <v>424</v>
      </c>
      <c r="I4221" s="221"/>
      <c r="J4221" s="221"/>
    </row>
    <row r="4222" spans="1:10" s="15" customFormat="1" ht="25.5" hidden="1" customHeight="1" outlineLevel="1" x14ac:dyDescent="0.25">
      <c r="A4222" s="46">
        <v>9598</v>
      </c>
      <c r="B4222" s="4" t="s">
        <v>32</v>
      </c>
      <c r="C4222" s="22" t="s">
        <v>477</v>
      </c>
      <c r="D4222" s="18">
        <v>2021</v>
      </c>
      <c r="E4222" s="4"/>
      <c r="F4222" s="4">
        <v>1</v>
      </c>
      <c r="G4222" s="41">
        <v>15</v>
      </c>
      <c r="H4222" s="41">
        <v>467</v>
      </c>
      <c r="I4222" s="221"/>
      <c r="J4222" s="221"/>
    </row>
    <row r="4223" spans="1:10" s="15" customFormat="1" ht="25.5" hidden="1" customHeight="1" outlineLevel="1" x14ac:dyDescent="0.25">
      <c r="A4223" s="45">
        <v>3757</v>
      </c>
      <c r="B4223" s="4" t="s">
        <v>32</v>
      </c>
      <c r="C4223" s="22" t="s">
        <v>478</v>
      </c>
      <c r="D4223" s="18">
        <v>2021</v>
      </c>
      <c r="E4223" s="4"/>
      <c r="F4223" s="4">
        <v>1</v>
      </c>
      <c r="G4223" s="41">
        <v>5</v>
      </c>
      <c r="H4223" s="41">
        <v>464</v>
      </c>
      <c r="I4223" s="221"/>
      <c r="J4223" s="221"/>
    </row>
    <row r="4224" spans="1:10" s="15" customFormat="1" ht="25.5" hidden="1" customHeight="1" outlineLevel="1" x14ac:dyDescent="0.25">
      <c r="A4224" s="46">
        <v>9602</v>
      </c>
      <c r="B4224" s="4" t="s">
        <v>32</v>
      </c>
      <c r="C4224" s="22" t="s">
        <v>494</v>
      </c>
      <c r="D4224" s="18">
        <v>2021</v>
      </c>
      <c r="E4224" s="4"/>
      <c r="F4224" s="4">
        <v>1</v>
      </c>
      <c r="G4224" s="41">
        <v>15</v>
      </c>
      <c r="H4224" s="41">
        <v>431</v>
      </c>
      <c r="I4224" s="221"/>
      <c r="J4224" s="221"/>
    </row>
    <row r="4225" spans="1:10" s="15" customFormat="1" ht="25.5" hidden="1" customHeight="1" outlineLevel="1" x14ac:dyDescent="0.25">
      <c r="A4225" s="46">
        <v>9453</v>
      </c>
      <c r="B4225" s="4" t="s">
        <v>32</v>
      </c>
      <c r="C4225" s="22" t="s">
        <v>515</v>
      </c>
      <c r="D4225" s="18">
        <v>2021</v>
      </c>
      <c r="E4225" s="4"/>
      <c r="F4225" s="4">
        <v>1</v>
      </c>
      <c r="G4225" s="41">
        <v>20</v>
      </c>
      <c r="H4225" s="41">
        <v>551</v>
      </c>
      <c r="I4225" s="221"/>
      <c r="J4225" s="221"/>
    </row>
    <row r="4226" spans="1:10" s="15" customFormat="1" ht="25.5" hidden="1" customHeight="1" outlineLevel="1" x14ac:dyDescent="0.25">
      <c r="A4226" s="46">
        <v>9649</v>
      </c>
      <c r="B4226" s="4" t="s">
        <v>32</v>
      </c>
      <c r="C4226" s="22" t="s">
        <v>519</v>
      </c>
      <c r="D4226" s="18">
        <v>2021</v>
      </c>
      <c r="E4226" s="4"/>
      <c r="F4226" s="4">
        <v>1</v>
      </c>
      <c r="G4226" s="41">
        <v>15</v>
      </c>
      <c r="H4226" s="41">
        <v>451</v>
      </c>
      <c r="I4226" s="221"/>
      <c r="J4226" s="221"/>
    </row>
    <row r="4227" spans="1:10" s="15" customFormat="1" ht="25.5" hidden="1" customHeight="1" outlineLevel="1" x14ac:dyDescent="0.25">
      <c r="A4227" s="45">
        <v>920</v>
      </c>
      <c r="B4227" s="4" t="s">
        <v>32</v>
      </c>
      <c r="C4227" s="22" t="s">
        <v>522</v>
      </c>
      <c r="D4227" s="18">
        <v>2021</v>
      </c>
      <c r="E4227" s="4"/>
      <c r="F4227" s="4">
        <v>1</v>
      </c>
      <c r="G4227" s="41">
        <v>15</v>
      </c>
      <c r="H4227" s="41">
        <v>503</v>
      </c>
      <c r="I4227" s="221"/>
      <c r="J4227" s="221"/>
    </row>
    <row r="4228" spans="1:10" s="15" customFormat="1" ht="25.5" hidden="1" customHeight="1" outlineLevel="1" x14ac:dyDescent="0.25">
      <c r="A4228" s="45">
        <v>3750</v>
      </c>
      <c r="B4228" s="4" t="s">
        <v>32</v>
      </c>
      <c r="C4228" s="22" t="s">
        <v>524</v>
      </c>
      <c r="D4228" s="18">
        <v>2021</v>
      </c>
      <c r="E4228" s="4"/>
      <c r="F4228" s="4">
        <v>1</v>
      </c>
      <c r="G4228" s="41">
        <v>15</v>
      </c>
      <c r="H4228" s="41">
        <v>408</v>
      </c>
      <c r="I4228" s="221"/>
      <c r="J4228" s="221"/>
    </row>
    <row r="4229" spans="1:10" s="15" customFormat="1" ht="25.5" hidden="1" customHeight="1" outlineLevel="1" x14ac:dyDescent="0.25">
      <c r="A4229" s="46">
        <v>9590</v>
      </c>
      <c r="B4229" s="4" t="s">
        <v>32</v>
      </c>
      <c r="C4229" s="22" t="s">
        <v>525</v>
      </c>
      <c r="D4229" s="18">
        <v>2021</v>
      </c>
      <c r="E4229" s="4"/>
      <c r="F4229" s="4">
        <v>1</v>
      </c>
      <c r="G4229" s="41">
        <v>15</v>
      </c>
      <c r="H4229" s="41">
        <v>379</v>
      </c>
      <c r="I4229" s="221"/>
      <c r="J4229" s="221"/>
    </row>
    <row r="4230" spans="1:10" s="15" customFormat="1" ht="25.5" hidden="1" customHeight="1" outlineLevel="1" x14ac:dyDescent="0.25">
      <c r="A4230" s="46">
        <v>9657</v>
      </c>
      <c r="B4230" s="4" t="s">
        <v>32</v>
      </c>
      <c r="C4230" s="22" t="s">
        <v>539</v>
      </c>
      <c r="D4230" s="18">
        <v>2021</v>
      </c>
      <c r="E4230" s="4"/>
      <c r="F4230" s="4">
        <v>1</v>
      </c>
      <c r="G4230" s="41">
        <v>15</v>
      </c>
      <c r="H4230" s="41">
        <v>323</v>
      </c>
      <c r="I4230" s="221"/>
      <c r="J4230" s="221"/>
    </row>
    <row r="4231" spans="1:10" s="15" customFormat="1" ht="25.5" hidden="1" customHeight="1" outlineLevel="1" x14ac:dyDescent="0.25">
      <c r="A4231" s="46">
        <v>9608</v>
      </c>
      <c r="B4231" s="4" t="s">
        <v>32</v>
      </c>
      <c r="C4231" s="22" t="s">
        <v>544</v>
      </c>
      <c r="D4231" s="18">
        <v>2021</v>
      </c>
      <c r="E4231" s="4"/>
      <c r="F4231" s="4">
        <v>1</v>
      </c>
      <c r="G4231" s="41">
        <v>15</v>
      </c>
      <c r="H4231" s="41">
        <v>397</v>
      </c>
      <c r="I4231" s="221"/>
      <c r="J4231" s="221"/>
    </row>
    <row r="4232" spans="1:10" s="15" customFormat="1" ht="25.5" hidden="1" customHeight="1" outlineLevel="1" x14ac:dyDescent="0.25">
      <c r="A4232" s="46">
        <v>9584</v>
      </c>
      <c r="B4232" s="4" t="s">
        <v>32</v>
      </c>
      <c r="C4232" s="22" t="s">
        <v>548</v>
      </c>
      <c r="D4232" s="18">
        <v>2021</v>
      </c>
      <c r="E4232" s="4"/>
      <c r="F4232" s="4">
        <v>1</v>
      </c>
      <c r="G4232" s="41">
        <v>14</v>
      </c>
      <c r="H4232" s="41">
        <v>438</v>
      </c>
      <c r="I4232" s="221"/>
      <c r="J4232" s="221"/>
    </row>
    <row r="4233" spans="1:10" s="15" customFormat="1" ht="25.5" hidden="1" customHeight="1" outlineLevel="1" x14ac:dyDescent="0.25">
      <c r="A4233" s="46">
        <v>9582</v>
      </c>
      <c r="B4233" s="4" t="s">
        <v>32</v>
      </c>
      <c r="C4233" s="22" t="s">
        <v>551</v>
      </c>
      <c r="D4233" s="18">
        <v>2021</v>
      </c>
      <c r="E4233" s="4"/>
      <c r="F4233" s="4">
        <v>1</v>
      </c>
      <c r="G4233" s="41">
        <v>14</v>
      </c>
      <c r="H4233" s="41">
        <v>389</v>
      </c>
      <c r="I4233" s="221"/>
      <c r="J4233" s="221"/>
    </row>
    <row r="4234" spans="1:10" s="15" customFormat="1" ht="25.5" hidden="1" customHeight="1" outlineLevel="1" x14ac:dyDescent="0.25">
      <c r="A4234" s="46">
        <v>9587</v>
      </c>
      <c r="B4234" s="4" t="s">
        <v>32</v>
      </c>
      <c r="C4234" s="22" t="s">
        <v>553</v>
      </c>
      <c r="D4234" s="18">
        <v>2021</v>
      </c>
      <c r="E4234" s="4"/>
      <c r="F4234" s="4">
        <v>1</v>
      </c>
      <c r="G4234" s="41">
        <v>10</v>
      </c>
      <c r="H4234" s="41">
        <v>450</v>
      </c>
      <c r="I4234" s="221"/>
      <c r="J4234" s="221"/>
    </row>
    <row r="4235" spans="1:10" s="15" customFormat="1" ht="25.5" hidden="1" customHeight="1" outlineLevel="1" x14ac:dyDescent="0.25">
      <c r="A4235" s="46">
        <v>9606</v>
      </c>
      <c r="B4235" s="4" t="s">
        <v>32</v>
      </c>
      <c r="C4235" s="38" t="s">
        <v>558</v>
      </c>
      <c r="D4235" s="18">
        <v>2021</v>
      </c>
      <c r="E4235" s="4"/>
      <c r="F4235" s="4">
        <v>1</v>
      </c>
      <c r="G4235" s="41">
        <v>15</v>
      </c>
      <c r="H4235" s="41">
        <v>451</v>
      </c>
      <c r="I4235" s="221"/>
      <c r="J4235" s="221"/>
    </row>
    <row r="4236" spans="1:10" s="15" customFormat="1" ht="25.5" hidden="1" customHeight="1" outlineLevel="1" x14ac:dyDescent="0.25">
      <c r="A4236" s="46">
        <v>9651</v>
      </c>
      <c r="B4236" s="4" t="s">
        <v>32</v>
      </c>
      <c r="C4236" s="22" t="s">
        <v>562</v>
      </c>
      <c r="D4236" s="18">
        <v>2021</v>
      </c>
      <c r="E4236" s="4"/>
      <c r="F4236" s="4">
        <v>1</v>
      </c>
      <c r="G4236" s="41">
        <v>5</v>
      </c>
      <c r="H4236" s="41">
        <v>324</v>
      </c>
      <c r="I4236" s="221"/>
      <c r="J4236" s="221"/>
    </row>
    <row r="4237" spans="1:10" s="15" customFormat="1" ht="25.5" hidden="1" customHeight="1" outlineLevel="1" x14ac:dyDescent="0.25">
      <c r="A4237" s="46">
        <v>9648</v>
      </c>
      <c r="B4237" s="4" t="s">
        <v>32</v>
      </c>
      <c r="C4237" s="22" t="s">
        <v>859</v>
      </c>
      <c r="D4237" s="18">
        <v>2021</v>
      </c>
      <c r="E4237" s="4"/>
      <c r="F4237" s="4">
        <v>1</v>
      </c>
      <c r="G4237" s="41">
        <v>45</v>
      </c>
      <c r="H4237" s="41">
        <v>711</v>
      </c>
      <c r="I4237" s="221"/>
      <c r="J4237" s="221"/>
    </row>
    <row r="4238" spans="1:10" s="15" customFormat="1" ht="25.5" hidden="1" customHeight="1" outlineLevel="1" x14ac:dyDescent="0.25">
      <c r="A4238" s="46">
        <v>9604</v>
      </c>
      <c r="B4238" s="4" t="s">
        <v>32</v>
      </c>
      <c r="C4238" s="22" t="s">
        <v>752</v>
      </c>
      <c r="D4238" s="18">
        <v>2021</v>
      </c>
      <c r="E4238" s="4"/>
      <c r="F4238" s="4">
        <v>1</v>
      </c>
      <c r="G4238" s="41">
        <v>15</v>
      </c>
      <c r="H4238" s="41">
        <v>496</v>
      </c>
      <c r="I4238" s="221"/>
      <c r="J4238" s="221"/>
    </row>
    <row r="4239" spans="1:10" s="15" customFormat="1" ht="25.5" hidden="1" customHeight="1" outlineLevel="1" x14ac:dyDescent="0.25">
      <c r="A4239" s="46">
        <v>9661</v>
      </c>
      <c r="B4239" s="4" t="s">
        <v>32</v>
      </c>
      <c r="C4239" s="22" t="s">
        <v>888</v>
      </c>
      <c r="D4239" s="18">
        <v>2021</v>
      </c>
      <c r="E4239" s="4"/>
      <c r="F4239" s="4">
        <v>1</v>
      </c>
      <c r="G4239" s="41">
        <v>15</v>
      </c>
      <c r="H4239" s="41">
        <v>495</v>
      </c>
      <c r="I4239" s="221"/>
      <c r="J4239" s="221"/>
    </row>
    <row r="4240" spans="1:10" s="15" customFormat="1" ht="25.5" hidden="1" customHeight="1" outlineLevel="1" x14ac:dyDescent="0.25">
      <c r="A4240" s="46">
        <v>9354</v>
      </c>
      <c r="B4240" s="4" t="s">
        <v>32</v>
      </c>
      <c r="C4240" s="22" t="s">
        <v>259</v>
      </c>
      <c r="D4240" s="18">
        <v>2021</v>
      </c>
      <c r="E4240" s="4"/>
      <c r="F4240" s="4">
        <v>1</v>
      </c>
      <c r="G4240" s="41">
        <v>15</v>
      </c>
      <c r="H4240" s="41">
        <v>336.80599999999998</v>
      </c>
      <c r="I4240" s="221"/>
      <c r="J4240" s="221"/>
    </row>
    <row r="4241" spans="1:10" s="15" customFormat="1" ht="25.5" hidden="1" customHeight="1" outlineLevel="1" x14ac:dyDescent="0.25">
      <c r="A4241" s="46">
        <v>9421</v>
      </c>
      <c r="B4241" s="4" t="s">
        <v>32</v>
      </c>
      <c r="C4241" s="22" t="s">
        <v>143</v>
      </c>
      <c r="D4241" s="18">
        <v>2021</v>
      </c>
      <c r="E4241" s="4"/>
      <c r="F4241" s="4">
        <v>1</v>
      </c>
      <c r="G4241" s="41">
        <v>15</v>
      </c>
      <c r="H4241" s="41">
        <v>423.55799999999999</v>
      </c>
      <c r="I4241" s="221"/>
      <c r="J4241" s="221"/>
    </row>
    <row r="4242" spans="1:10" s="15" customFormat="1" ht="25.5" hidden="1" customHeight="1" outlineLevel="1" x14ac:dyDescent="0.25">
      <c r="A4242" s="46">
        <v>9360</v>
      </c>
      <c r="B4242" s="4" t="s">
        <v>32</v>
      </c>
      <c r="C4242" s="22" t="s">
        <v>146</v>
      </c>
      <c r="D4242" s="18">
        <v>2021</v>
      </c>
      <c r="E4242" s="4"/>
      <c r="F4242" s="4">
        <v>1</v>
      </c>
      <c r="G4242" s="41">
        <v>15</v>
      </c>
      <c r="H4242" s="41">
        <v>225.09800000000001</v>
      </c>
      <c r="I4242" s="221"/>
      <c r="J4242" s="221"/>
    </row>
    <row r="4243" spans="1:10" s="15" customFormat="1" ht="25.5" hidden="1" customHeight="1" outlineLevel="1" x14ac:dyDescent="0.25">
      <c r="A4243" s="46">
        <v>9078</v>
      </c>
      <c r="B4243" s="4" t="s">
        <v>32</v>
      </c>
      <c r="C4243" s="22" t="s">
        <v>148</v>
      </c>
      <c r="D4243" s="18">
        <v>2021</v>
      </c>
      <c r="E4243" s="4"/>
      <c r="F4243" s="4">
        <v>1</v>
      </c>
      <c r="G4243" s="41">
        <v>15</v>
      </c>
      <c r="H4243" s="41">
        <v>228.262</v>
      </c>
      <c r="I4243" s="221"/>
      <c r="J4243" s="221"/>
    </row>
    <row r="4244" spans="1:10" s="15" customFormat="1" ht="25.5" hidden="1" customHeight="1" outlineLevel="1" x14ac:dyDescent="0.25">
      <c r="A4244" s="45">
        <v>3713</v>
      </c>
      <c r="B4244" s="4" t="s">
        <v>32</v>
      </c>
      <c r="C4244" s="22" t="s">
        <v>202</v>
      </c>
      <c r="D4244" s="18">
        <v>2021</v>
      </c>
      <c r="E4244" s="4"/>
      <c r="F4244" s="4">
        <v>1</v>
      </c>
      <c r="G4244" s="41">
        <v>15</v>
      </c>
      <c r="H4244" s="41">
        <v>396.14299999999997</v>
      </c>
      <c r="I4244" s="221"/>
      <c r="J4244" s="221"/>
    </row>
    <row r="4245" spans="1:10" s="15" customFormat="1" ht="25.5" hidden="1" customHeight="1" outlineLevel="1" x14ac:dyDescent="0.25">
      <c r="A4245" s="46">
        <v>9367</v>
      </c>
      <c r="B4245" s="4" t="s">
        <v>32</v>
      </c>
      <c r="C4245" s="22" t="s">
        <v>166</v>
      </c>
      <c r="D4245" s="18">
        <v>2021</v>
      </c>
      <c r="E4245" s="4"/>
      <c r="F4245" s="4">
        <v>1</v>
      </c>
      <c r="G4245" s="41">
        <v>15</v>
      </c>
      <c r="H4245" s="41">
        <v>394.98399999999998</v>
      </c>
      <c r="I4245" s="221"/>
      <c r="J4245" s="221"/>
    </row>
    <row r="4246" spans="1:10" s="15" customFormat="1" ht="25.5" hidden="1" customHeight="1" outlineLevel="1" x14ac:dyDescent="0.25">
      <c r="A4246" s="46">
        <v>9357</v>
      </c>
      <c r="B4246" s="4" t="s">
        <v>32</v>
      </c>
      <c r="C4246" s="22" t="s">
        <v>167</v>
      </c>
      <c r="D4246" s="18">
        <v>2021</v>
      </c>
      <c r="E4246" s="4"/>
      <c r="F4246" s="4">
        <v>1</v>
      </c>
      <c r="G4246" s="41">
        <v>20</v>
      </c>
      <c r="H4246" s="41">
        <v>585.00199999999995</v>
      </c>
      <c r="I4246" s="221"/>
      <c r="J4246" s="221"/>
    </row>
    <row r="4247" spans="1:10" s="15" customFormat="1" ht="25.5" hidden="1" customHeight="1" outlineLevel="1" x14ac:dyDescent="0.25">
      <c r="A4247" s="46">
        <v>9366</v>
      </c>
      <c r="B4247" s="4" t="s">
        <v>32</v>
      </c>
      <c r="C4247" s="22" t="s">
        <v>169</v>
      </c>
      <c r="D4247" s="18">
        <v>2021</v>
      </c>
      <c r="E4247" s="4"/>
      <c r="F4247" s="4">
        <v>1</v>
      </c>
      <c r="G4247" s="41">
        <v>10</v>
      </c>
      <c r="H4247" s="41">
        <v>418.29899999999998</v>
      </c>
      <c r="I4247" s="221"/>
      <c r="J4247" s="221"/>
    </row>
    <row r="4248" spans="1:10" s="15" customFormat="1" ht="25.5" hidden="1" customHeight="1" outlineLevel="1" x14ac:dyDescent="0.25">
      <c r="A4248" s="46">
        <v>9356</v>
      </c>
      <c r="B4248" s="4" t="s">
        <v>32</v>
      </c>
      <c r="C4248" s="22" t="s">
        <v>182</v>
      </c>
      <c r="D4248" s="18">
        <v>2021</v>
      </c>
      <c r="E4248" s="4"/>
      <c r="F4248" s="4">
        <v>1</v>
      </c>
      <c r="G4248" s="41">
        <v>75</v>
      </c>
      <c r="H4248" s="41">
        <v>478.18700000000001</v>
      </c>
      <c r="I4248" s="221"/>
      <c r="J4248" s="221"/>
    </row>
    <row r="4249" spans="1:10" s="15" customFormat="1" ht="25.5" hidden="1" customHeight="1" outlineLevel="1" x14ac:dyDescent="0.25">
      <c r="A4249" s="45">
        <v>3881</v>
      </c>
      <c r="B4249" s="4" t="s">
        <v>32</v>
      </c>
      <c r="C4249" s="22" t="s">
        <v>590</v>
      </c>
      <c r="D4249" s="18">
        <v>2021</v>
      </c>
      <c r="E4249" s="4"/>
      <c r="F4249" s="4">
        <v>1</v>
      </c>
      <c r="G4249" s="41">
        <v>14</v>
      </c>
      <c r="H4249" s="41">
        <v>469.59553</v>
      </c>
      <c r="I4249" s="221"/>
      <c r="J4249" s="221"/>
    </row>
    <row r="4250" spans="1:10" s="15" customFormat="1" ht="25.5" hidden="1" customHeight="1" outlineLevel="1" x14ac:dyDescent="0.25">
      <c r="A4250" s="46">
        <v>9511</v>
      </c>
      <c r="B4250" s="4" t="s">
        <v>32</v>
      </c>
      <c r="C4250" s="22" t="s">
        <v>596</v>
      </c>
      <c r="D4250" s="18">
        <v>2021</v>
      </c>
      <c r="E4250" s="4"/>
      <c r="F4250" s="4">
        <v>1</v>
      </c>
      <c r="G4250" s="41">
        <v>15</v>
      </c>
      <c r="H4250" s="41">
        <v>451.52823000000001</v>
      </c>
      <c r="I4250" s="221"/>
      <c r="J4250" s="221"/>
    </row>
    <row r="4251" spans="1:10" s="15" customFormat="1" ht="25.5" hidden="1" customHeight="1" outlineLevel="1" x14ac:dyDescent="0.25">
      <c r="A4251" s="45">
        <v>728</v>
      </c>
      <c r="B4251" s="4" t="s">
        <v>32</v>
      </c>
      <c r="C4251" s="22" t="s">
        <v>769</v>
      </c>
      <c r="D4251" s="18">
        <v>2021</v>
      </c>
      <c r="E4251" s="4"/>
      <c r="F4251" s="4">
        <v>1</v>
      </c>
      <c r="G4251" s="41">
        <v>10</v>
      </c>
      <c r="H4251" s="41">
        <v>764.83618999999999</v>
      </c>
      <c r="I4251" s="221"/>
      <c r="J4251" s="221"/>
    </row>
    <row r="4252" spans="1:10" s="15" customFormat="1" ht="25.5" hidden="1" customHeight="1" outlineLevel="1" x14ac:dyDescent="0.25">
      <c r="A4252" s="46">
        <v>9447</v>
      </c>
      <c r="B4252" s="4" t="s">
        <v>32</v>
      </c>
      <c r="C4252" s="22" t="s">
        <v>676</v>
      </c>
      <c r="D4252" s="18">
        <v>2021</v>
      </c>
      <c r="E4252" s="4"/>
      <c r="F4252" s="4">
        <v>1</v>
      </c>
      <c r="G4252" s="41">
        <v>10</v>
      </c>
      <c r="H4252" s="41">
        <v>341.56781000000001</v>
      </c>
      <c r="I4252" s="221"/>
      <c r="J4252" s="221"/>
    </row>
    <row r="4253" spans="1:10" s="15" customFormat="1" ht="25.5" hidden="1" customHeight="1" outlineLevel="1" x14ac:dyDescent="0.25">
      <c r="A4253" s="46">
        <v>9494</v>
      </c>
      <c r="B4253" s="4" t="s">
        <v>32</v>
      </c>
      <c r="C4253" s="22" t="s">
        <v>608</v>
      </c>
      <c r="D4253" s="18">
        <v>2021</v>
      </c>
      <c r="E4253" s="4"/>
      <c r="F4253" s="4">
        <v>1</v>
      </c>
      <c r="G4253" s="41">
        <v>8</v>
      </c>
      <c r="H4253" s="41">
        <v>256.25148000000002</v>
      </c>
      <c r="I4253" s="221"/>
      <c r="J4253" s="221"/>
    </row>
    <row r="4254" spans="1:10" s="15" customFormat="1" ht="25.5" hidden="1" customHeight="1" outlineLevel="1" x14ac:dyDescent="0.25">
      <c r="A4254" s="46">
        <v>9623</v>
      </c>
      <c r="B4254" s="4" t="s">
        <v>32</v>
      </c>
      <c r="C4254" s="22" t="s">
        <v>773</v>
      </c>
      <c r="D4254" s="18">
        <v>2021</v>
      </c>
      <c r="E4254" s="4"/>
      <c r="F4254" s="4">
        <v>1</v>
      </c>
      <c r="G4254" s="41">
        <v>9.5</v>
      </c>
      <c r="H4254" s="41">
        <v>381.80041999999997</v>
      </c>
      <c r="I4254" s="221"/>
      <c r="J4254" s="221"/>
    </row>
    <row r="4255" spans="1:10" s="15" customFormat="1" ht="25.5" hidden="1" customHeight="1" outlineLevel="1" x14ac:dyDescent="0.25">
      <c r="A4255" s="45">
        <v>726</v>
      </c>
      <c r="B4255" s="4" t="s">
        <v>32</v>
      </c>
      <c r="C4255" s="22" t="s">
        <v>774</v>
      </c>
      <c r="D4255" s="18">
        <v>2021</v>
      </c>
      <c r="E4255" s="4"/>
      <c r="F4255" s="4">
        <v>1</v>
      </c>
      <c r="G4255" s="41">
        <v>15</v>
      </c>
      <c r="H4255" s="41">
        <v>386.23066</v>
      </c>
      <c r="I4255" s="221"/>
      <c r="J4255" s="221"/>
    </row>
    <row r="4256" spans="1:10" s="15" customFormat="1" ht="25.5" hidden="1" customHeight="1" outlineLevel="1" x14ac:dyDescent="0.25">
      <c r="A4256" s="46">
        <v>9527</v>
      </c>
      <c r="B4256" s="4" t="s">
        <v>32</v>
      </c>
      <c r="C4256" s="22" t="s">
        <v>776</v>
      </c>
      <c r="D4256" s="18">
        <v>2021</v>
      </c>
      <c r="E4256" s="4"/>
      <c r="F4256" s="4">
        <v>1</v>
      </c>
      <c r="G4256" s="41">
        <v>15</v>
      </c>
      <c r="H4256" s="41">
        <v>397.15661999999998</v>
      </c>
      <c r="I4256" s="221"/>
      <c r="J4256" s="221"/>
    </row>
    <row r="4257" spans="1:36" s="15" customFormat="1" ht="25.5" hidden="1" customHeight="1" outlineLevel="1" x14ac:dyDescent="0.25">
      <c r="A4257" s="46">
        <v>9622</v>
      </c>
      <c r="B4257" s="4" t="s">
        <v>32</v>
      </c>
      <c r="C4257" s="22" t="s">
        <v>652</v>
      </c>
      <c r="D4257" s="18">
        <v>2021</v>
      </c>
      <c r="E4257" s="4"/>
      <c r="F4257" s="4">
        <v>1</v>
      </c>
      <c r="G4257" s="41">
        <v>10</v>
      </c>
      <c r="H4257" s="41">
        <v>456.76065</v>
      </c>
      <c r="I4257" s="221"/>
      <c r="J4257" s="221"/>
    </row>
    <row r="4258" spans="1:36" s="15" customFormat="1" ht="25.5" hidden="1" customHeight="1" outlineLevel="1" x14ac:dyDescent="0.25">
      <c r="A4258" s="46">
        <v>9621</v>
      </c>
      <c r="B4258" s="4" t="s">
        <v>32</v>
      </c>
      <c r="C4258" s="22" t="s">
        <v>657</v>
      </c>
      <c r="D4258" s="18">
        <v>2021</v>
      </c>
      <c r="E4258" s="4"/>
      <c r="F4258" s="4">
        <v>1</v>
      </c>
      <c r="G4258" s="41">
        <v>15</v>
      </c>
      <c r="H4258" s="41">
        <v>374.25853999999998</v>
      </c>
      <c r="I4258" s="221"/>
      <c r="J4258" s="221"/>
    </row>
    <row r="4259" spans="1:36" s="15" customFormat="1" ht="25.5" hidden="1" customHeight="1" outlineLevel="1" x14ac:dyDescent="0.25">
      <c r="A4259" s="46">
        <v>9617</v>
      </c>
      <c r="B4259" s="4" t="s">
        <v>32</v>
      </c>
      <c r="C4259" s="22" t="s">
        <v>659</v>
      </c>
      <c r="D4259" s="18">
        <v>2021</v>
      </c>
      <c r="E4259" s="4"/>
      <c r="F4259" s="4">
        <v>1</v>
      </c>
      <c r="G4259" s="41">
        <v>15</v>
      </c>
      <c r="H4259" s="41">
        <v>431.75900999999999</v>
      </c>
      <c r="I4259" s="221"/>
      <c r="J4259" s="221"/>
    </row>
    <row r="4260" spans="1:36" s="15" customFormat="1" ht="25.5" hidden="1" customHeight="1" outlineLevel="1" x14ac:dyDescent="0.25">
      <c r="A4260" s="46">
        <v>9620</v>
      </c>
      <c r="B4260" s="4" t="s">
        <v>32</v>
      </c>
      <c r="C4260" s="22" t="s">
        <v>660</v>
      </c>
      <c r="D4260" s="18">
        <v>2021</v>
      </c>
      <c r="E4260" s="4"/>
      <c r="F4260" s="4">
        <v>1</v>
      </c>
      <c r="G4260" s="41">
        <v>15</v>
      </c>
      <c r="H4260" s="41">
        <v>462.08717999999999</v>
      </c>
      <c r="I4260" s="221"/>
      <c r="J4260" s="221"/>
    </row>
    <row r="4261" spans="1:36" s="15" customFormat="1" ht="25.5" hidden="1" customHeight="1" outlineLevel="1" x14ac:dyDescent="0.25">
      <c r="A4261" s="46">
        <v>9484</v>
      </c>
      <c r="B4261" s="4" t="s">
        <v>32</v>
      </c>
      <c r="C4261" s="22" t="s">
        <v>661</v>
      </c>
      <c r="D4261" s="18">
        <v>2021</v>
      </c>
      <c r="E4261" s="4"/>
      <c r="F4261" s="4">
        <v>1</v>
      </c>
      <c r="G4261" s="41">
        <v>15</v>
      </c>
      <c r="H4261" s="41">
        <v>437.30633</v>
      </c>
      <c r="I4261" s="221"/>
      <c r="J4261" s="221"/>
    </row>
    <row r="4262" spans="1:36" s="15" customFormat="1" ht="25.5" hidden="1" customHeight="1" outlineLevel="1" x14ac:dyDescent="0.25">
      <c r="A4262" s="46">
        <v>9873</v>
      </c>
      <c r="B4262" s="4" t="s">
        <v>32</v>
      </c>
      <c r="C4262" s="22" t="s">
        <v>684</v>
      </c>
      <c r="D4262" s="18">
        <v>2021</v>
      </c>
      <c r="E4262" s="4"/>
      <c r="F4262" s="4">
        <v>1</v>
      </c>
      <c r="G4262" s="41">
        <v>10</v>
      </c>
      <c r="H4262" s="41">
        <v>312.21343999999999</v>
      </c>
      <c r="I4262" s="221"/>
      <c r="J4262" s="221"/>
    </row>
    <row r="4263" spans="1:36" s="15" customFormat="1" ht="25.5" hidden="1" customHeight="1" outlineLevel="1" x14ac:dyDescent="0.25">
      <c r="A4263" s="46">
        <v>9491</v>
      </c>
      <c r="B4263" s="4" t="s">
        <v>32</v>
      </c>
      <c r="C4263" s="22" t="s">
        <v>687</v>
      </c>
      <c r="D4263" s="18">
        <v>2021</v>
      </c>
      <c r="E4263" s="4"/>
      <c r="F4263" s="4">
        <v>1</v>
      </c>
      <c r="G4263" s="41">
        <v>10</v>
      </c>
      <c r="H4263" s="41">
        <v>578.13243999999997</v>
      </c>
      <c r="I4263" s="221"/>
      <c r="J4263" s="221"/>
    </row>
    <row r="4264" spans="1:36" s="15" customFormat="1" ht="25.5" hidden="1" customHeight="1" outlineLevel="1" x14ac:dyDescent="0.25">
      <c r="A4264" s="46">
        <v>9448</v>
      </c>
      <c r="B4264" s="4" t="s">
        <v>32</v>
      </c>
      <c r="C4264" s="22" t="s">
        <v>696</v>
      </c>
      <c r="D4264" s="18">
        <v>2021</v>
      </c>
      <c r="E4264" s="4"/>
      <c r="F4264" s="4">
        <v>1</v>
      </c>
      <c r="G4264" s="41">
        <v>15</v>
      </c>
      <c r="H4264" s="41">
        <v>568.54322999999999</v>
      </c>
      <c r="I4264" s="221"/>
      <c r="J4264" s="221"/>
    </row>
    <row r="4265" spans="1:36" s="15" customFormat="1" ht="25.5" hidden="1" customHeight="1" outlineLevel="1" x14ac:dyDescent="0.25">
      <c r="A4265" s="46">
        <v>9526</v>
      </c>
      <c r="B4265" s="4" t="s">
        <v>32</v>
      </c>
      <c r="C4265" s="22" t="s">
        <v>912</v>
      </c>
      <c r="D4265" s="18">
        <v>2021</v>
      </c>
      <c r="E4265" s="4"/>
      <c r="F4265" s="4">
        <v>1</v>
      </c>
      <c r="G4265" s="41">
        <v>150</v>
      </c>
      <c r="H4265" s="41">
        <v>328.99086999999997</v>
      </c>
      <c r="I4265" s="221"/>
      <c r="J4265" s="221"/>
    </row>
    <row r="4266" spans="1:36" s="15" customFormat="1" ht="25.5" hidden="1" customHeight="1" outlineLevel="1" x14ac:dyDescent="0.25">
      <c r="A4266" s="45">
        <v>901</v>
      </c>
      <c r="B4266" s="4" t="s">
        <v>32</v>
      </c>
      <c r="C4266" s="22" t="s">
        <v>913</v>
      </c>
      <c r="D4266" s="18">
        <v>2021</v>
      </c>
      <c r="E4266" s="4"/>
      <c r="F4266" s="4">
        <v>1</v>
      </c>
      <c r="G4266" s="41">
        <v>15</v>
      </c>
      <c r="H4266" s="41">
        <v>715.52040999999997</v>
      </c>
      <c r="I4266" s="221"/>
      <c r="J4266" s="221"/>
    </row>
    <row r="4267" spans="1:36" s="21" customFormat="1" ht="47.25" collapsed="1" x14ac:dyDescent="0.25">
      <c r="A4267" s="18"/>
      <c r="B4267" s="75" t="s">
        <v>32</v>
      </c>
      <c r="C4267" s="74" t="s">
        <v>2113</v>
      </c>
      <c r="D4267" s="67"/>
      <c r="E4267" s="60" t="s">
        <v>31</v>
      </c>
      <c r="F4267" s="67"/>
      <c r="G4267" s="67"/>
      <c r="H4267" s="67"/>
      <c r="I4267" s="232"/>
      <c r="J4267" s="232"/>
      <c r="K4267" s="15"/>
      <c r="L4267" s="15"/>
      <c r="M4267" s="15"/>
      <c r="N4267" s="15"/>
      <c r="O4267" s="15"/>
      <c r="P4267" s="15"/>
      <c r="Q4267" s="15"/>
      <c r="R4267" s="15"/>
      <c r="S4267" s="15"/>
      <c r="T4267" s="15"/>
      <c r="U4267" s="15"/>
      <c r="V4267" s="15"/>
      <c r="W4267" s="15"/>
      <c r="X4267" s="15"/>
      <c r="Y4267" s="15"/>
      <c r="Z4267" s="15"/>
      <c r="AA4267" s="15"/>
      <c r="AB4267" s="15"/>
      <c r="AC4267" s="15"/>
      <c r="AD4267" s="15"/>
      <c r="AE4267" s="15"/>
      <c r="AF4267" s="15"/>
      <c r="AG4267" s="15"/>
      <c r="AH4267" s="15"/>
      <c r="AI4267" s="15"/>
      <c r="AJ4267" s="15"/>
    </row>
    <row r="4268" spans="1:36" s="21" customFormat="1" ht="16.5" customHeight="1" x14ac:dyDescent="0.25">
      <c r="A4268" s="18"/>
      <c r="B4268" s="7" t="s">
        <v>32</v>
      </c>
      <c r="C4268" s="8" t="s">
        <v>57</v>
      </c>
      <c r="D4268" s="19">
        <v>2021</v>
      </c>
      <c r="E4268" s="19" t="s">
        <v>31</v>
      </c>
      <c r="F4268" s="7">
        <f>SUMIF($D$4271:$D$4285,$D$4268,$F$4271:$F$4285)</f>
        <v>6</v>
      </c>
      <c r="G4268" s="7">
        <f>SUMIF($D$4271:$D$4285,$D$4268,$G$4271:$G$4285)</f>
        <v>210</v>
      </c>
      <c r="H4268" s="10">
        <f>SUMIF($D$4271:$D$4285,$D$4268,$H$4271:$H$4285)</f>
        <v>3183.9587000000001</v>
      </c>
      <c r="I4268" s="205"/>
      <c r="J4268" s="5"/>
      <c r="K4268" s="5"/>
      <c r="L4268" s="15"/>
      <c r="M4268" s="15"/>
      <c r="N4268" s="15"/>
      <c r="O4268" s="15"/>
      <c r="P4268" s="15"/>
      <c r="Q4268" s="15"/>
      <c r="R4268" s="15"/>
      <c r="S4268" s="15"/>
      <c r="T4268" s="15"/>
      <c r="U4268" s="15"/>
      <c r="V4268" s="15"/>
      <c r="W4268" s="15"/>
      <c r="X4268" s="15"/>
      <c r="Y4268" s="15"/>
      <c r="Z4268" s="15"/>
      <c r="AA4268" s="15"/>
      <c r="AB4268" s="15"/>
      <c r="AC4268" s="15"/>
      <c r="AD4268" s="15"/>
      <c r="AE4268" s="15"/>
      <c r="AF4268" s="15"/>
      <c r="AG4268" s="15"/>
      <c r="AH4268" s="15"/>
      <c r="AI4268" s="15"/>
      <c r="AJ4268" s="15"/>
    </row>
    <row r="4269" spans="1:36" s="27" customFormat="1" ht="16.5" customHeight="1" x14ac:dyDescent="0.25">
      <c r="A4269" s="18"/>
      <c r="B4269" s="7" t="s">
        <v>32</v>
      </c>
      <c r="C4269" s="8" t="s">
        <v>57</v>
      </c>
      <c r="D4269" s="19">
        <v>2022</v>
      </c>
      <c r="E4269" s="19" t="s">
        <v>31</v>
      </c>
      <c r="F4269" s="7">
        <f>SUMIF($D$4271:$D$4285,$D$4269,$F$4271:$F$4285)</f>
        <v>1</v>
      </c>
      <c r="G4269" s="7">
        <f>SUMIF($D$4271:$D$4285,$D$4269,$G$4271:$G$4285)</f>
        <v>15</v>
      </c>
      <c r="H4269" s="10">
        <f>SUMIF($D$4271:$D$4285,$D$4269,$H$4271:$H$4285)</f>
        <v>585</v>
      </c>
      <c r="I4269" s="205"/>
      <c r="J4269" s="205"/>
      <c r="K4269" s="15"/>
      <c r="L4269" s="15"/>
      <c r="M4269" s="15"/>
      <c r="N4269" s="15"/>
      <c r="O4269" s="15"/>
      <c r="P4269" s="15"/>
      <c r="Q4269" s="15"/>
      <c r="R4269" s="15"/>
      <c r="S4269" s="15"/>
      <c r="T4269" s="15"/>
      <c r="U4269" s="15"/>
      <c r="V4269" s="15"/>
      <c r="W4269" s="15"/>
      <c r="X4269" s="15"/>
      <c r="Y4269" s="15"/>
      <c r="Z4269" s="15"/>
      <c r="AA4269" s="15"/>
      <c r="AB4269" s="15"/>
      <c r="AC4269" s="15"/>
      <c r="AD4269" s="15"/>
      <c r="AE4269" s="15"/>
      <c r="AF4269" s="15"/>
      <c r="AG4269" s="15"/>
      <c r="AH4269" s="15"/>
      <c r="AI4269" s="15"/>
      <c r="AJ4269" s="15"/>
    </row>
    <row r="4270" spans="1:36" s="27" customFormat="1" ht="15.75" x14ac:dyDescent="0.25">
      <c r="A4270" s="18"/>
      <c r="B4270" s="7" t="s">
        <v>32</v>
      </c>
      <c r="C4270" s="8" t="s">
        <v>57</v>
      </c>
      <c r="D4270" s="19">
        <v>2023</v>
      </c>
      <c r="E4270" s="19" t="s">
        <v>31</v>
      </c>
      <c r="F4270" s="7">
        <f>SUMIF($D$4271:$D$4285,$D$4270,$F$4271:$F$4285)</f>
        <v>8</v>
      </c>
      <c r="G4270" s="7">
        <f>SUMIF($D$4271:$D$4285,$D$4270,$G$4271:$G$4285)</f>
        <v>118</v>
      </c>
      <c r="H4270" s="10">
        <f>SUMIF($D$4271:$D$4285,$D$4270,$H$4271:$H$4285)</f>
        <v>5481.0976500000006</v>
      </c>
      <c r="I4270" s="205"/>
      <c r="J4270" s="205"/>
      <c r="K4270" s="15"/>
      <c r="L4270" s="15"/>
      <c r="M4270" s="15"/>
      <c r="N4270" s="15"/>
      <c r="O4270" s="15"/>
      <c r="P4270" s="15"/>
      <c r="Q4270" s="15"/>
      <c r="R4270" s="15"/>
      <c r="S4270" s="15"/>
      <c r="T4270" s="15"/>
      <c r="U4270" s="15"/>
      <c r="V4270" s="15"/>
      <c r="W4270" s="15"/>
      <c r="X4270" s="15"/>
      <c r="Y4270" s="15"/>
      <c r="Z4270" s="15"/>
      <c r="AA4270" s="15"/>
      <c r="AB4270" s="15"/>
      <c r="AC4270" s="15"/>
      <c r="AD4270" s="15"/>
      <c r="AE4270" s="15"/>
      <c r="AF4270" s="15"/>
      <c r="AG4270" s="15"/>
      <c r="AH4270" s="15"/>
      <c r="AI4270" s="15"/>
      <c r="AJ4270" s="15"/>
    </row>
    <row r="4271" spans="1:36" s="15" customFormat="1" ht="27.75" hidden="1" customHeight="1" outlineLevel="1" x14ac:dyDescent="0.25">
      <c r="A4271" s="18">
        <v>424</v>
      </c>
      <c r="B4271" s="4" t="s">
        <v>32</v>
      </c>
      <c r="C4271" s="22" t="s">
        <v>3135</v>
      </c>
      <c r="D4271" s="18">
        <v>2022</v>
      </c>
      <c r="E4271" s="18" t="s">
        <v>31</v>
      </c>
      <c r="F4271" s="4">
        <v>1</v>
      </c>
      <c r="G4271" s="41">
        <v>15</v>
      </c>
      <c r="H4271" s="41">
        <v>585</v>
      </c>
      <c r="I4271" s="221"/>
      <c r="J4271" s="221"/>
    </row>
    <row r="4272" spans="1:36" s="15" customFormat="1" ht="27.75" hidden="1" customHeight="1" outlineLevel="1" x14ac:dyDescent="0.25">
      <c r="A4272" s="18">
        <v>361</v>
      </c>
      <c r="B4272" s="6" t="s">
        <v>32</v>
      </c>
      <c r="C4272" s="38" t="s">
        <v>9023</v>
      </c>
      <c r="D4272" s="18">
        <v>2023</v>
      </c>
      <c r="E4272" s="18" t="s">
        <v>31</v>
      </c>
      <c r="F4272" s="4">
        <v>1</v>
      </c>
      <c r="G4272" s="4">
        <v>15</v>
      </c>
      <c r="H4272" s="41">
        <v>910.73</v>
      </c>
      <c r="I4272" s="221"/>
      <c r="J4272" s="221"/>
    </row>
    <row r="4273" spans="1:36" s="15" customFormat="1" ht="27.75" hidden="1" customHeight="1" outlineLevel="1" x14ac:dyDescent="0.25">
      <c r="A4273" s="18">
        <v>4032</v>
      </c>
      <c r="B4273" s="6" t="s">
        <v>32</v>
      </c>
      <c r="C4273" s="38" t="s">
        <v>8363</v>
      </c>
      <c r="D4273" s="18">
        <v>2023</v>
      </c>
      <c r="E4273" s="18" t="s">
        <v>31</v>
      </c>
      <c r="F4273" s="4">
        <v>1</v>
      </c>
      <c r="G4273" s="4">
        <v>15</v>
      </c>
      <c r="H4273" s="41">
        <v>720.57961999999998</v>
      </c>
      <c r="I4273" s="221"/>
      <c r="J4273" s="221"/>
    </row>
    <row r="4274" spans="1:36" s="15" customFormat="1" ht="27.75" hidden="1" customHeight="1" outlineLevel="1" x14ac:dyDescent="0.25">
      <c r="A4274" s="18">
        <v>484</v>
      </c>
      <c r="B4274" s="6" t="s">
        <v>32</v>
      </c>
      <c r="C4274" s="38" t="s">
        <v>8365</v>
      </c>
      <c r="D4274" s="18">
        <v>2023</v>
      </c>
      <c r="E4274" s="18" t="s">
        <v>31</v>
      </c>
      <c r="F4274" s="4">
        <v>1</v>
      </c>
      <c r="G4274" s="4">
        <v>15</v>
      </c>
      <c r="H4274" s="41">
        <v>658.73453000000006</v>
      </c>
      <c r="I4274" s="221"/>
      <c r="J4274" s="221"/>
    </row>
    <row r="4275" spans="1:36" s="15" customFormat="1" ht="27.75" hidden="1" customHeight="1" outlineLevel="1" x14ac:dyDescent="0.25">
      <c r="A4275" s="18">
        <v>376</v>
      </c>
      <c r="B4275" s="6" t="s">
        <v>32</v>
      </c>
      <c r="C4275" s="38" t="s">
        <v>8374</v>
      </c>
      <c r="D4275" s="18">
        <v>2023</v>
      </c>
      <c r="E4275" s="18" t="s">
        <v>31</v>
      </c>
      <c r="F4275" s="4">
        <v>1</v>
      </c>
      <c r="G4275" s="4">
        <v>15</v>
      </c>
      <c r="H4275" s="41">
        <v>560.26364999999998</v>
      </c>
      <c r="I4275" s="221"/>
      <c r="J4275" s="221"/>
    </row>
    <row r="4276" spans="1:36" s="15" customFormat="1" ht="27.75" hidden="1" customHeight="1" outlineLevel="1" x14ac:dyDescent="0.25">
      <c r="A4276" s="18">
        <v>3242</v>
      </c>
      <c r="B4276" s="6" t="s">
        <v>32</v>
      </c>
      <c r="C4276" s="38" t="s">
        <v>8383</v>
      </c>
      <c r="D4276" s="18">
        <v>2023</v>
      </c>
      <c r="E4276" s="18" t="s">
        <v>31</v>
      </c>
      <c r="F4276" s="4">
        <v>1</v>
      </c>
      <c r="G4276" s="4">
        <v>15</v>
      </c>
      <c r="H4276" s="41">
        <v>625.19254000000001</v>
      </c>
      <c r="I4276" s="221"/>
      <c r="J4276" s="221"/>
    </row>
    <row r="4277" spans="1:36" s="15" customFormat="1" ht="27.75" hidden="1" customHeight="1" outlineLevel="1" x14ac:dyDescent="0.25">
      <c r="A4277" s="18">
        <v>3231</v>
      </c>
      <c r="B4277" s="6" t="s">
        <v>32</v>
      </c>
      <c r="C4277" s="38" t="s">
        <v>8478</v>
      </c>
      <c r="D4277" s="18">
        <v>2023</v>
      </c>
      <c r="E4277" s="18" t="s">
        <v>31</v>
      </c>
      <c r="F4277" s="4">
        <v>1</v>
      </c>
      <c r="G4277" s="4">
        <v>13</v>
      </c>
      <c r="H4277" s="41">
        <v>607.63099999999997</v>
      </c>
      <c r="I4277" s="221"/>
      <c r="J4277" s="221"/>
    </row>
    <row r="4278" spans="1:36" s="15" customFormat="1" ht="27" hidden="1" customHeight="1" outlineLevel="1" x14ac:dyDescent="0.25">
      <c r="A4278" s="18">
        <v>3183</v>
      </c>
      <c r="B4278" s="6" t="s">
        <v>32</v>
      </c>
      <c r="C4278" s="38" t="s">
        <v>9281</v>
      </c>
      <c r="D4278" s="18">
        <v>2023</v>
      </c>
      <c r="E4278" s="18" t="s">
        <v>31</v>
      </c>
      <c r="F4278" s="4">
        <v>1</v>
      </c>
      <c r="G4278" s="4">
        <v>15</v>
      </c>
      <c r="H4278" s="41">
        <v>718.93899999999996</v>
      </c>
      <c r="I4278" s="221"/>
      <c r="J4278" s="221"/>
    </row>
    <row r="4279" spans="1:36" s="15" customFormat="1" ht="27" hidden="1" customHeight="1" outlineLevel="1" x14ac:dyDescent="0.25">
      <c r="A4279" s="18">
        <v>1205</v>
      </c>
      <c r="B4279" s="6" t="s">
        <v>32</v>
      </c>
      <c r="C4279" s="38" t="s">
        <v>8585</v>
      </c>
      <c r="D4279" s="18">
        <v>2023</v>
      </c>
      <c r="E4279" s="18" t="s">
        <v>31</v>
      </c>
      <c r="F4279" s="4">
        <v>1</v>
      </c>
      <c r="G4279" s="4">
        <v>15</v>
      </c>
      <c r="H4279" s="41">
        <v>679.02731000000006</v>
      </c>
      <c r="I4279" s="221"/>
      <c r="J4279" s="221"/>
    </row>
    <row r="4280" spans="1:36" s="15" customFormat="1" ht="27" hidden="1" customHeight="1" outlineLevel="1" x14ac:dyDescent="0.25">
      <c r="A4280" s="45">
        <v>1282</v>
      </c>
      <c r="B4280" s="4" t="s">
        <v>32</v>
      </c>
      <c r="C4280" s="38" t="s">
        <v>291</v>
      </c>
      <c r="D4280" s="18">
        <v>2021</v>
      </c>
      <c r="E4280" s="18" t="s">
        <v>31</v>
      </c>
      <c r="F4280" s="4">
        <v>1</v>
      </c>
      <c r="G4280" s="41">
        <v>20</v>
      </c>
      <c r="H4280" s="41">
        <v>715</v>
      </c>
      <c r="I4280" s="221"/>
      <c r="J4280" s="221"/>
    </row>
    <row r="4281" spans="1:36" s="15" customFormat="1" ht="27" hidden="1" customHeight="1" outlineLevel="1" x14ac:dyDescent="0.25">
      <c r="A4281" s="46">
        <v>9632</v>
      </c>
      <c r="B4281" s="4" t="s">
        <v>32</v>
      </c>
      <c r="C4281" s="38" t="s">
        <v>742</v>
      </c>
      <c r="D4281" s="18">
        <v>2021</v>
      </c>
      <c r="E4281" s="18" t="s">
        <v>31</v>
      </c>
      <c r="F4281" s="4">
        <v>1</v>
      </c>
      <c r="G4281" s="41">
        <v>60</v>
      </c>
      <c r="H4281" s="41">
        <v>732</v>
      </c>
      <c r="I4281" s="221"/>
      <c r="J4281" s="221"/>
    </row>
    <row r="4282" spans="1:36" s="15" customFormat="1" ht="27" hidden="1" customHeight="1" outlineLevel="1" x14ac:dyDescent="0.25">
      <c r="A4282" s="46">
        <v>9610</v>
      </c>
      <c r="B4282" s="4" t="s">
        <v>32</v>
      </c>
      <c r="C4282" s="38" t="s">
        <v>914</v>
      </c>
      <c r="D4282" s="18">
        <v>2021</v>
      </c>
      <c r="E4282" s="18" t="s">
        <v>31</v>
      </c>
      <c r="F4282" s="4">
        <v>1</v>
      </c>
      <c r="G4282" s="41">
        <v>30</v>
      </c>
      <c r="H4282" s="41">
        <v>236</v>
      </c>
      <c r="I4282" s="221"/>
      <c r="J4282" s="221"/>
    </row>
    <row r="4283" spans="1:36" s="15" customFormat="1" ht="27" hidden="1" customHeight="1" outlineLevel="1" x14ac:dyDescent="0.25">
      <c r="A4283" s="46">
        <v>9672</v>
      </c>
      <c r="B4283" s="4" t="s">
        <v>32</v>
      </c>
      <c r="C4283" s="38" t="s">
        <v>749</v>
      </c>
      <c r="D4283" s="18">
        <v>2021</v>
      </c>
      <c r="E4283" s="18" t="s">
        <v>31</v>
      </c>
      <c r="F4283" s="4">
        <v>1</v>
      </c>
      <c r="G4283" s="41">
        <v>70</v>
      </c>
      <c r="H4283" s="41">
        <v>671</v>
      </c>
      <c r="I4283" s="221"/>
      <c r="J4283" s="221"/>
    </row>
    <row r="4284" spans="1:36" s="15" customFormat="1" ht="27" hidden="1" customHeight="1" outlineLevel="1" x14ac:dyDescent="0.25">
      <c r="A4284" s="46">
        <v>9611</v>
      </c>
      <c r="B4284" s="4" t="s">
        <v>32</v>
      </c>
      <c r="C4284" s="38" t="s">
        <v>751</v>
      </c>
      <c r="D4284" s="18">
        <v>2021</v>
      </c>
      <c r="E4284" s="18" t="s">
        <v>31</v>
      </c>
      <c r="F4284" s="4">
        <v>1</v>
      </c>
      <c r="G4284" s="41">
        <v>15</v>
      </c>
      <c r="H4284" s="41">
        <v>506</v>
      </c>
      <c r="I4284" s="221"/>
      <c r="J4284" s="221"/>
    </row>
    <row r="4285" spans="1:36" s="15" customFormat="1" ht="27" hidden="1" customHeight="1" outlineLevel="1" x14ac:dyDescent="0.25">
      <c r="A4285" s="46">
        <v>9456</v>
      </c>
      <c r="B4285" s="4" t="s">
        <v>32</v>
      </c>
      <c r="C4285" s="38" t="s">
        <v>678</v>
      </c>
      <c r="D4285" s="18">
        <v>2021</v>
      </c>
      <c r="E4285" s="18" t="s">
        <v>31</v>
      </c>
      <c r="F4285" s="4">
        <v>1</v>
      </c>
      <c r="G4285" s="41">
        <v>15</v>
      </c>
      <c r="H4285" s="41">
        <v>323.95870000000002</v>
      </c>
      <c r="I4285" s="221"/>
      <c r="J4285" s="221"/>
    </row>
    <row r="4286" spans="1:36" s="15" customFormat="1" ht="47.25" collapsed="1" x14ac:dyDescent="0.25">
      <c r="A4286" s="18"/>
      <c r="B4286" s="72" t="s">
        <v>34</v>
      </c>
      <c r="C4286" s="73" t="s">
        <v>2114</v>
      </c>
      <c r="D4286" s="71"/>
      <c r="E4286" s="76" t="s">
        <v>33</v>
      </c>
      <c r="F4286" s="71"/>
      <c r="G4286" s="71"/>
      <c r="H4286" s="71"/>
      <c r="I4286" s="231"/>
      <c r="J4286" s="231"/>
    </row>
    <row r="4287" spans="1:36" s="15" customFormat="1" ht="16.5" customHeight="1" x14ac:dyDescent="0.25">
      <c r="A4287" s="18"/>
      <c r="B4287" s="11" t="s">
        <v>34</v>
      </c>
      <c r="C4287" s="12" t="s">
        <v>57</v>
      </c>
      <c r="D4287" s="20">
        <v>2021</v>
      </c>
      <c r="E4287" s="11" t="s">
        <v>33</v>
      </c>
      <c r="F4287" s="11">
        <f>SUMIF($D$4290:$D$4352,$D$4287,$F$4290:$F$4352)</f>
        <v>23</v>
      </c>
      <c r="G4287" s="14">
        <f>SUMIF($D$4290:$D$4352,$D$4287,$G$4290:$G$4352)</f>
        <v>342</v>
      </c>
      <c r="H4287" s="14">
        <f>SUMIF($D$4290:$D$4352,$D$4287,$H$4290:$H$4352)</f>
        <v>11374.810510000001</v>
      </c>
      <c r="I4287" s="220"/>
      <c r="J4287" s="5"/>
      <c r="K4287" s="5"/>
    </row>
    <row r="4288" spans="1:36" s="27" customFormat="1" ht="16.5" customHeight="1" x14ac:dyDescent="0.25">
      <c r="A4288" s="18"/>
      <c r="B4288" s="11" t="s">
        <v>34</v>
      </c>
      <c r="C4288" s="12" t="s">
        <v>57</v>
      </c>
      <c r="D4288" s="20">
        <v>2022</v>
      </c>
      <c r="E4288" s="11" t="s">
        <v>33</v>
      </c>
      <c r="F4288" s="11">
        <f>SUMIF($D$4290:$D$4352,$D$4288,$F$4290:$F$4352)</f>
        <v>27</v>
      </c>
      <c r="G4288" s="14">
        <f>SUMIF($D$4290:$D$4352,$D$4288,$G$4290:$G$4352)</f>
        <v>375</v>
      </c>
      <c r="H4288" s="14">
        <f>SUMIF($D$4290:$D$4352,$D$4288,$H$4290:$H$4352)</f>
        <v>14239.77504</v>
      </c>
      <c r="I4288" s="220"/>
      <c r="J4288" s="220"/>
      <c r="K4288" s="15"/>
      <c r="L4288" s="15"/>
      <c r="M4288" s="15"/>
      <c r="N4288" s="15"/>
      <c r="O4288" s="15"/>
      <c r="P4288" s="15"/>
      <c r="Q4288" s="15"/>
      <c r="R4288" s="15"/>
      <c r="S4288" s="15"/>
      <c r="T4288" s="15"/>
      <c r="U4288" s="15"/>
      <c r="V4288" s="15"/>
      <c r="W4288" s="15"/>
      <c r="X4288" s="15"/>
      <c r="Y4288" s="15"/>
      <c r="Z4288" s="15"/>
      <c r="AA4288" s="15"/>
      <c r="AB4288" s="15"/>
      <c r="AC4288" s="15"/>
      <c r="AD4288" s="15"/>
      <c r="AE4288" s="15"/>
      <c r="AF4288" s="15"/>
      <c r="AG4288" s="15"/>
      <c r="AH4288" s="15"/>
      <c r="AI4288" s="15"/>
      <c r="AJ4288" s="15"/>
    </row>
    <row r="4289" spans="1:36" s="27" customFormat="1" ht="15.75" x14ac:dyDescent="0.25">
      <c r="A4289" s="18"/>
      <c r="B4289" s="11" t="s">
        <v>34</v>
      </c>
      <c r="C4289" s="12" t="s">
        <v>57</v>
      </c>
      <c r="D4289" s="20">
        <v>2023</v>
      </c>
      <c r="E4289" s="11" t="s">
        <v>33</v>
      </c>
      <c r="F4289" s="11">
        <f>SUMIF($D$4290:$D$4352,$D$4289,$F$4290:$F$4352)</f>
        <v>14</v>
      </c>
      <c r="G4289" s="14">
        <f>SUMIF($D$4290:$D$4352,$D$4289,$G$4290:$G$4352)</f>
        <v>330</v>
      </c>
      <c r="H4289" s="14">
        <f>SUMIF($D$4290:$D$4352,$D$4289,$H$4290:$H$4352)</f>
        <v>7786.0327900000011</v>
      </c>
      <c r="I4289" s="220"/>
      <c r="J4289" s="220"/>
      <c r="K4289" s="15"/>
      <c r="L4289" s="15"/>
      <c r="M4289" s="15"/>
      <c r="N4289" s="15"/>
      <c r="O4289" s="15"/>
      <c r="P4289" s="15"/>
      <c r="Q4289" s="15"/>
      <c r="R4289" s="15"/>
      <c r="S4289" s="15"/>
      <c r="T4289" s="15"/>
      <c r="U4289" s="15"/>
      <c r="V4289" s="15"/>
      <c r="W4289" s="15"/>
      <c r="X4289" s="15"/>
      <c r="Y4289" s="15"/>
      <c r="Z4289" s="15"/>
      <c r="AA4289" s="15"/>
      <c r="AB4289" s="15"/>
      <c r="AC4289" s="15"/>
      <c r="AD4289" s="15"/>
      <c r="AE4289" s="15"/>
      <c r="AF4289" s="15"/>
      <c r="AG4289" s="15"/>
      <c r="AH4289" s="15"/>
      <c r="AI4289" s="15"/>
      <c r="AJ4289" s="15"/>
    </row>
    <row r="4290" spans="1:36" s="15" customFormat="1" ht="110.25" hidden="1" outlineLevel="1" x14ac:dyDescent="0.25">
      <c r="A4290" s="18">
        <v>2718</v>
      </c>
      <c r="B4290" s="4" t="s">
        <v>34</v>
      </c>
      <c r="C4290" s="22" t="s">
        <v>2182</v>
      </c>
      <c r="D4290" s="18">
        <v>2022</v>
      </c>
      <c r="E4290" s="18" t="s">
        <v>33</v>
      </c>
      <c r="F4290" s="18">
        <v>1</v>
      </c>
      <c r="G4290" s="18">
        <v>25</v>
      </c>
      <c r="H4290" s="18">
        <v>490.33517000000001</v>
      </c>
      <c r="I4290" s="90"/>
      <c r="J4290" s="90"/>
    </row>
    <row r="4291" spans="1:36" s="15" customFormat="1" ht="126" hidden="1" outlineLevel="1" x14ac:dyDescent="0.25">
      <c r="A4291" s="18">
        <v>2718</v>
      </c>
      <c r="B4291" s="4" t="s">
        <v>34</v>
      </c>
      <c r="C4291" s="22" t="s">
        <v>2133</v>
      </c>
      <c r="D4291" s="18">
        <v>2022</v>
      </c>
      <c r="E4291" s="18" t="s">
        <v>33</v>
      </c>
      <c r="F4291" s="18">
        <v>1</v>
      </c>
      <c r="G4291" s="18">
        <v>25</v>
      </c>
      <c r="H4291" s="18">
        <v>283.97899999999998</v>
      </c>
      <c r="I4291" s="90"/>
      <c r="J4291" s="90"/>
    </row>
    <row r="4292" spans="1:36" s="15" customFormat="1" ht="141.75" hidden="1" outlineLevel="1" x14ac:dyDescent="0.25">
      <c r="A4292" s="18">
        <v>1492</v>
      </c>
      <c r="B4292" s="4" t="s">
        <v>34</v>
      </c>
      <c r="C4292" s="22" t="s">
        <v>2324</v>
      </c>
      <c r="D4292" s="18">
        <v>2022</v>
      </c>
      <c r="E4292" s="18" t="s">
        <v>33</v>
      </c>
      <c r="F4292" s="18">
        <v>1</v>
      </c>
      <c r="G4292" s="18">
        <v>15</v>
      </c>
      <c r="H4292" s="18">
        <v>598.27706000000001</v>
      </c>
      <c r="I4292" s="90"/>
      <c r="J4292" s="90"/>
    </row>
    <row r="4293" spans="1:36" s="15" customFormat="1" ht="126" hidden="1" outlineLevel="1" x14ac:dyDescent="0.25">
      <c r="A4293" s="18">
        <v>473</v>
      </c>
      <c r="B4293" s="4" t="s">
        <v>34</v>
      </c>
      <c r="C4293" s="22" t="s">
        <v>2469</v>
      </c>
      <c r="D4293" s="18">
        <v>2022</v>
      </c>
      <c r="E4293" s="18" t="s">
        <v>33</v>
      </c>
      <c r="F4293" s="18">
        <v>1</v>
      </c>
      <c r="G4293" s="18">
        <v>15</v>
      </c>
      <c r="H4293" s="18">
        <v>795.18380999999999</v>
      </c>
      <c r="I4293" s="90"/>
      <c r="J4293" s="90"/>
    </row>
    <row r="4294" spans="1:36" s="15" customFormat="1" ht="110.25" hidden="1" outlineLevel="1" x14ac:dyDescent="0.25">
      <c r="A4294" s="18">
        <v>4791</v>
      </c>
      <c r="B4294" s="4" t="s">
        <v>34</v>
      </c>
      <c r="C4294" s="22" t="s">
        <v>2844</v>
      </c>
      <c r="D4294" s="18">
        <v>2022</v>
      </c>
      <c r="E4294" s="18" t="s">
        <v>33</v>
      </c>
      <c r="F4294" s="18">
        <v>1</v>
      </c>
      <c r="G4294" s="18" t="s">
        <v>358</v>
      </c>
      <c r="H4294" s="18">
        <v>604</v>
      </c>
      <c r="I4294" s="90"/>
      <c r="J4294" s="90"/>
    </row>
    <row r="4295" spans="1:36" s="15" customFormat="1" ht="157.5" hidden="1" outlineLevel="1" x14ac:dyDescent="0.25">
      <c r="A4295" s="18">
        <v>4603</v>
      </c>
      <c r="B4295" s="4" t="s">
        <v>34</v>
      </c>
      <c r="C4295" s="22" t="s">
        <v>2846</v>
      </c>
      <c r="D4295" s="18">
        <v>2022</v>
      </c>
      <c r="E4295" s="18" t="s">
        <v>33</v>
      </c>
      <c r="F4295" s="18">
        <v>1</v>
      </c>
      <c r="G4295" s="18" t="s">
        <v>2847</v>
      </c>
      <c r="H4295" s="18">
        <v>386</v>
      </c>
      <c r="I4295" s="90"/>
      <c r="J4295" s="90"/>
    </row>
    <row r="4296" spans="1:36" s="15" customFormat="1" ht="126" hidden="1" outlineLevel="1" x14ac:dyDescent="0.25">
      <c r="A4296" s="18">
        <v>4914</v>
      </c>
      <c r="B4296" s="4" t="s">
        <v>34</v>
      </c>
      <c r="C4296" s="22" t="s">
        <v>2963</v>
      </c>
      <c r="D4296" s="18">
        <v>2022</v>
      </c>
      <c r="E4296" s="18" t="s">
        <v>33</v>
      </c>
      <c r="F4296" s="18">
        <v>1</v>
      </c>
      <c r="G4296" s="18">
        <v>15</v>
      </c>
      <c r="H4296" s="18">
        <v>716</v>
      </c>
      <c r="I4296" s="90"/>
      <c r="J4296" s="90"/>
    </row>
    <row r="4297" spans="1:36" s="15" customFormat="1" ht="78.75" hidden="1" outlineLevel="1" x14ac:dyDescent="0.25">
      <c r="A4297" s="18">
        <v>121</v>
      </c>
      <c r="B4297" s="4" t="s">
        <v>34</v>
      </c>
      <c r="C4297" s="22" t="s">
        <v>2574</v>
      </c>
      <c r="D4297" s="18">
        <v>2022</v>
      </c>
      <c r="E4297" s="18" t="s">
        <v>33</v>
      </c>
      <c r="F4297" s="18">
        <v>1</v>
      </c>
      <c r="G4297" s="18">
        <v>15</v>
      </c>
      <c r="H4297" s="18">
        <v>516</v>
      </c>
      <c r="I4297" s="90"/>
      <c r="J4297" s="90"/>
    </row>
    <row r="4298" spans="1:36" s="15" customFormat="1" ht="78.75" hidden="1" outlineLevel="1" x14ac:dyDescent="0.25">
      <c r="A4298" s="18">
        <v>117</v>
      </c>
      <c r="B4298" s="4" t="s">
        <v>34</v>
      </c>
      <c r="C4298" s="22" t="s">
        <v>2582</v>
      </c>
      <c r="D4298" s="18">
        <v>2022</v>
      </c>
      <c r="E4298" s="18" t="s">
        <v>33</v>
      </c>
      <c r="F4298" s="18">
        <v>1</v>
      </c>
      <c r="G4298" s="18">
        <v>15</v>
      </c>
      <c r="H4298" s="18">
        <v>540</v>
      </c>
      <c r="I4298" s="90"/>
      <c r="J4298" s="90"/>
    </row>
    <row r="4299" spans="1:36" s="15" customFormat="1" ht="78.75" hidden="1" outlineLevel="1" x14ac:dyDescent="0.25">
      <c r="A4299" s="18">
        <v>201</v>
      </c>
      <c r="B4299" s="4" t="s">
        <v>34</v>
      </c>
      <c r="C4299" s="22" t="s">
        <v>2597</v>
      </c>
      <c r="D4299" s="18">
        <v>2022</v>
      </c>
      <c r="E4299" s="18" t="s">
        <v>33</v>
      </c>
      <c r="F4299" s="18">
        <v>1</v>
      </c>
      <c r="G4299" s="18">
        <v>15</v>
      </c>
      <c r="H4299" s="18">
        <v>641</v>
      </c>
      <c r="I4299" s="90"/>
      <c r="J4299" s="90"/>
    </row>
    <row r="4300" spans="1:36" s="15" customFormat="1" ht="78.75" hidden="1" outlineLevel="1" x14ac:dyDescent="0.25">
      <c r="A4300" s="18">
        <v>183</v>
      </c>
      <c r="B4300" s="4" t="s">
        <v>34</v>
      </c>
      <c r="C4300" s="22" t="s">
        <v>2614</v>
      </c>
      <c r="D4300" s="18">
        <v>2022</v>
      </c>
      <c r="E4300" s="18" t="s">
        <v>33</v>
      </c>
      <c r="F4300" s="18">
        <v>1</v>
      </c>
      <c r="G4300" s="18">
        <v>15</v>
      </c>
      <c r="H4300" s="18">
        <v>459</v>
      </c>
      <c r="I4300" s="90"/>
      <c r="J4300" s="90"/>
    </row>
    <row r="4301" spans="1:36" s="15" customFormat="1" ht="94.5" hidden="1" outlineLevel="1" x14ac:dyDescent="0.25">
      <c r="A4301" s="18">
        <v>357</v>
      </c>
      <c r="B4301" s="4" t="s">
        <v>34</v>
      </c>
      <c r="C4301" s="22" t="s">
        <v>2713</v>
      </c>
      <c r="D4301" s="18">
        <v>2022</v>
      </c>
      <c r="E4301" s="18" t="s">
        <v>33</v>
      </c>
      <c r="F4301" s="18">
        <v>1</v>
      </c>
      <c r="G4301" s="18">
        <v>15</v>
      </c>
      <c r="H4301" s="18">
        <v>617</v>
      </c>
      <c r="I4301" s="90"/>
      <c r="J4301" s="90"/>
    </row>
    <row r="4302" spans="1:36" s="15" customFormat="1" ht="78.75" hidden="1" outlineLevel="1" x14ac:dyDescent="0.25">
      <c r="A4302" s="18">
        <v>382</v>
      </c>
      <c r="B4302" s="4" t="s">
        <v>34</v>
      </c>
      <c r="C4302" s="22" t="s">
        <v>2732</v>
      </c>
      <c r="D4302" s="18">
        <v>2022</v>
      </c>
      <c r="E4302" s="18" t="s">
        <v>33</v>
      </c>
      <c r="F4302" s="18">
        <v>1</v>
      </c>
      <c r="G4302" s="18">
        <v>15</v>
      </c>
      <c r="H4302" s="18">
        <v>457</v>
      </c>
      <c r="I4302" s="90"/>
      <c r="J4302" s="90"/>
    </row>
    <row r="4303" spans="1:36" s="15" customFormat="1" ht="78.75" hidden="1" outlineLevel="1" x14ac:dyDescent="0.25">
      <c r="A4303" s="18">
        <v>121</v>
      </c>
      <c r="B4303" s="4" t="s">
        <v>34</v>
      </c>
      <c r="C4303" s="22" t="s">
        <v>2574</v>
      </c>
      <c r="D4303" s="18">
        <v>2022</v>
      </c>
      <c r="E4303" s="18" t="s">
        <v>33</v>
      </c>
      <c r="F4303" s="18">
        <v>1</v>
      </c>
      <c r="G4303" s="18">
        <v>15</v>
      </c>
      <c r="H4303" s="18">
        <v>516</v>
      </c>
      <c r="I4303" s="90"/>
      <c r="J4303" s="90"/>
    </row>
    <row r="4304" spans="1:36" s="15" customFormat="1" ht="78.75" hidden="1" outlineLevel="1" x14ac:dyDescent="0.25">
      <c r="A4304" s="18">
        <v>117</v>
      </c>
      <c r="B4304" s="4" t="s">
        <v>34</v>
      </c>
      <c r="C4304" s="22" t="s">
        <v>2582</v>
      </c>
      <c r="D4304" s="18">
        <v>2022</v>
      </c>
      <c r="E4304" s="18" t="s">
        <v>33</v>
      </c>
      <c r="F4304" s="18">
        <v>1</v>
      </c>
      <c r="G4304" s="18">
        <v>15</v>
      </c>
      <c r="H4304" s="18">
        <v>540</v>
      </c>
      <c r="I4304" s="90"/>
      <c r="J4304" s="90"/>
    </row>
    <row r="4305" spans="1:10" s="15" customFormat="1" ht="78.75" hidden="1" outlineLevel="1" x14ac:dyDescent="0.25">
      <c r="A4305" s="18">
        <v>201</v>
      </c>
      <c r="B4305" s="4" t="s">
        <v>34</v>
      </c>
      <c r="C4305" s="22" t="s">
        <v>2597</v>
      </c>
      <c r="D4305" s="18">
        <v>2022</v>
      </c>
      <c r="E4305" s="18" t="s">
        <v>33</v>
      </c>
      <c r="F4305" s="18">
        <v>1</v>
      </c>
      <c r="G4305" s="18">
        <v>15</v>
      </c>
      <c r="H4305" s="18">
        <v>641</v>
      </c>
      <c r="I4305" s="90"/>
      <c r="J4305" s="90"/>
    </row>
    <row r="4306" spans="1:10" s="15" customFormat="1" ht="78.75" hidden="1" outlineLevel="1" x14ac:dyDescent="0.25">
      <c r="A4306" s="18">
        <v>183</v>
      </c>
      <c r="B4306" s="4" t="s">
        <v>34</v>
      </c>
      <c r="C4306" s="22" t="s">
        <v>2614</v>
      </c>
      <c r="D4306" s="18">
        <v>2022</v>
      </c>
      <c r="E4306" s="18" t="s">
        <v>33</v>
      </c>
      <c r="F4306" s="18">
        <v>1</v>
      </c>
      <c r="G4306" s="18">
        <v>15</v>
      </c>
      <c r="H4306" s="18">
        <v>459</v>
      </c>
      <c r="I4306" s="90"/>
      <c r="J4306" s="90"/>
    </row>
    <row r="4307" spans="1:10" s="15" customFormat="1" ht="94.5" hidden="1" outlineLevel="1" x14ac:dyDescent="0.25">
      <c r="A4307" s="18">
        <v>357</v>
      </c>
      <c r="B4307" s="4" t="s">
        <v>34</v>
      </c>
      <c r="C4307" s="22" t="s">
        <v>2713</v>
      </c>
      <c r="D4307" s="18">
        <v>2022</v>
      </c>
      <c r="E4307" s="18" t="s">
        <v>33</v>
      </c>
      <c r="F4307" s="18">
        <v>1</v>
      </c>
      <c r="G4307" s="18">
        <v>15</v>
      </c>
      <c r="H4307" s="18">
        <v>617</v>
      </c>
      <c r="I4307" s="90"/>
      <c r="J4307" s="90"/>
    </row>
    <row r="4308" spans="1:10" s="15" customFormat="1" ht="78.75" hidden="1" outlineLevel="1" x14ac:dyDescent="0.25">
      <c r="A4308" s="18">
        <v>382</v>
      </c>
      <c r="B4308" s="4" t="s">
        <v>34</v>
      </c>
      <c r="C4308" s="22" t="s">
        <v>2732</v>
      </c>
      <c r="D4308" s="18">
        <v>2022</v>
      </c>
      <c r="E4308" s="18" t="s">
        <v>33</v>
      </c>
      <c r="F4308" s="18">
        <v>1</v>
      </c>
      <c r="G4308" s="18">
        <v>15</v>
      </c>
      <c r="H4308" s="18">
        <v>457</v>
      </c>
      <c r="I4308" s="90"/>
      <c r="J4308" s="90"/>
    </row>
    <row r="4309" spans="1:10" s="15" customFormat="1" ht="110.25" hidden="1" outlineLevel="1" x14ac:dyDescent="0.25">
      <c r="A4309" s="18">
        <v>5396</v>
      </c>
      <c r="B4309" s="4" t="s">
        <v>34</v>
      </c>
      <c r="C4309" s="22" t="s">
        <v>2774</v>
      </c>
      <c r="D4309" s="18">
        <v>2022</v>
      </c>
      <c r="E4309" s="18" t="s">
        <v>33</v>
      </c>
      <c r="F4309" s="18">
        <v>1</v>
      </c>
      <c r="G4309" s="18">
        <v>15</v>
      </c>
      <c r="H4309" s="18">
        <v>400</v>
      </c>
      <c r="I4309" s="90"/>
      <c r="J4309" s="90"/>
    </row>
    <row r="4310" spans="1:10" s="15" customFormat="1" ht="141.75" hidden="1" outlineLevel="1" x14ac:dyDescent="0.25">
      <c r="A4310" s="18">
        <v>5397</v>
      </c>
      <c r="B4310" s="4" t="s">
        <v>34</v>
      </c>
      <c r="C4310" s="22" t="s">
        <v>2775</v>
      </c>
      <c r="D4310" s="18">
        <v>2022</v>
      </c>
      <c r="E4310" s="18" t="s">
        <v>33</v>
      </c>
      <c r="F4310" s="18">
        <v>1</v>
      </c>
      <c r="G4310" s="18">
        <v>15</v>
      </c>
      <c r="H4310" s="18">
        <v>320</v>
      </c>
      <c r="I4310" s="90"/>
      <c r="J4310" s="90"/>
    </row>
    <row r="4311" spans="1:10" s="15" customFormat="1" ht="141.75" hidden="1" outlineLevel="1" x14ac:dyDescent="0.25">
      <c r="A4311" s="18">
        <v>5077</v>
      </c>
      <c r="B4311" s="4" t="s">
        <v>34</v>
      </c>
      <c r="C4311" s="22" t="s">
        <v>2781</v>
      </c>
      <c r="D4311" s="18">
        <v>2022</v>
      </c>
      <c r="E4311" s="18" t="s">
        <v>33</v>
      </c>
      <c r="F4311" s="18">
        <v>1</v>
      </c>
      <c r="G4311" s="18">
        <v>15</v>
      </c>
      <c r="H4311" s="18">
        <v>305</v>
      </c>
      <c r="I4311" s="90"/>
      <c r="J4311" s="90"/>
    </row>
    <row r="4312" spans="1:10" s="15" customFormat="1" ht="126" hidden="1" outlineLevel="1" x14ac:dyDescent="0.25">
      <c r="A4312" s="18">
        <v>5058</v>
      </c>
      <c r="B4312" s="4" t="s">
        <v>34</v>
      </c>
      <c r="C4312" s="22" t="s">
        <v>2791</v>
      </c>
      <c r="D4312" s="18">
        <v>2022</v>
      </c>
      <c r="E4312" s="18" t="s">
        <v>33</v>
      </c>
      <c r="F4312" s="18">
        <v>1</v>
      </c>
      <c r="G4312" s="18">
        <v>8</v>
      </c>
      <c r="H4312" s="18">
        <v>444</v>
      </c>
      <c r="I4312" s="90"/>
      <c r="J4312" s="90"/>
    </row>
    <row r="4313" spans="1:10" s="15" customFormat="1" ht="110.25" hidden="1" outlineLevel="1" x14ac:dyDescent="0.25">
      <c r="A4313" s="18">
        <v>5301</v>
      </c>
      <c r="B4313" s="4" t="s">
        <v>34</v>
      </c>
      <c r="C4313" s="22" t="s">
        <v>3136</v>
      </c>
      <c r="D4313" s="18">
        <v>2022</v>
      </c>
      <c r="E4313" s="18" t="s">
        <v>33</v>
      </c>
      <c r="F4313" s="18">
        <v>1</v>
      </c>
      <c r="G4313" s="18">
        <v>15</v>
      </c>
      <c r="H4313" s="18">
        <v>848</v>
      </c>
      <c r="I4313" s="90"/>
      <c r="J4313" s="90"/>
    </row>
    <row r="4314" spans="1:10" s="15" customFormat="1" ht="63" hidden="1" outlineLevel="1" x14ac:dyDescent="0.25">
      <c r="A4314" s="18">
        <v>43</v>
      </c>
      <c r="B4314" s="4" t="s">
        <v>34</v>
      </c>
      <c r="C4314" s="22" t="s">
        <v>2638</v>
      </c>
      <c r="D4314" s="18">
        <v>2022</v>
      </c>
      <c r="E4314" s="18" t="s">
        <v>33</v>
      </c>
      <c r="F4314" s="4">
        <v>1</v>
      </c>
      <c r="G4314" s="41">
        <v>7</v>
      </c>
      <c r="H4314" s="41">
        <v>463</v>
      </c>
      <c r="I4314" s="221"/>
      <c r="J4314" s="221"/>
    </row>
    <row r="4315" spans="1:10" s="15" customFormat="1" ht="126" hidden="1" outlineLevel="1" x14ac:dyDescent="0.25">
      <c r="A4315" s="18">
        <v>5099</v>
      </c>
      <c r="B4315" s="4" t="s">
        <v>34</v>
      </c>
      <c r="C4315" s="22" t="s">
        <v>2804</v>
      </c>
      <c r="D4315" s="18">
        <v>2022</v>
      </c>
      <c r="E4315" s="18" t="s">
        <v>33</v>
      </c>
      <c r="F4315" s="18">
        <v>1</v>
      </c>
      <c r="G4315" s="18">
        <v>15</v>
      </c>
      <c r="H4315" s="18">
        <v>613</v>
      </c>
      <c r="I4315" s="90"/>
      <c r="J4315" s="90"/>
    </row>
    <row r="4316" spans="1:10" s="15" customFormat="1" ht="126" hidden="1" outlineLevel="1" x14ac:dyDescent="0.25">
      <c r="A4316" s="18">
        <v>5100</v>
      </c>
      <c r="B4316" s="4" t="s">
        <v>34</v>
      </c>
      <c r="C4316" s="22" t="s">
        <v>2805</v>
      </c>
      <c r="D4316" s="18">
        <v>2022</v>
      </c>
      <c r="E4316" s="18" t="s">
        <v>33</v>
      </c>
      <c r="F4316" s="18">
        <v>1</v>
      </c>
      <c r="G4316" s="18">
        <v>10</v>
      </c>
      <c r="H4316" s="18">
        <v>513</v>
      </c>
      <c r="I4316" s="90"/>
      <c r="J4316" s="90"/>
    </row>
    <row r="4317" spans="1:10" s="15" customFormat="1" ht="38.25" hidden="1" customHeight="1" outlineLevel="1" x14ac:dyDescent="0.25">
      <c r="A4317" s="18">
        <v>253</v>
      </c>
      <c r="B4317" s="6" t="s">
        <v>34</v>
      </c>
      <c r="C4317" s="38" t="s">
        <v>8367</v>
      </c>
      <c r="D4317" s="23">
        <v>2023</v>
      </c>
      <c r="E4317" s="6" t="s">
        <v>33</v>
      </c>
      <c r="F4317" s="6">
        <v>1</v>
      </c>
      <c r="G4317" s="40">
        <v>15</v>
      </c>
      <c r="H4317" s="40">
        <v>629.97071000000005</v>
      </c>
      <c r="I4317" s="212"/>
      <c r="J4317" s="212"/>
    </row>
    <row r="4318" spans="1:10" s="15" customFormat="1" ht="38.25" hidden="1" customHeight="1" outlineLevel="1" x14ac:dyDescent="0.25">
      <c r="A4318" s="18">
        <v>3173</v>
      </c>
      <c r="B4318" s="6" t="s">
        <v>34</v>
      </c>
      <c r="C4318" s="38" t="s">
        <v>8399</v>
      </c>
      <c r="D4318" s="23">
        <v>2023</v>
      </c>
      <c r="E4318" s="6" t="s">
        <v>33</v>
      </c>
      <c r="F4318" s="6">
        <v>2</v>
      </c>
      <c r="G4318" s="40">
        <v>20</v>
      </c>
      <c r="H4318" s="40">
        <v>1676.807</v>
      </c>
      <c r="I4318" s="212"/>
      <c r="J4318" s="212"/>
    </row>
    <row r="4319" spans="1:10" s="15" customFormat="1" ht="38.25" hidden="1" customHeight="1" outlineLevel="1" x14ac:dyDescent="0.25">
      <c r="A4319" s="18">
        <v>280</v>
      </c>
      <c r="B4319" s="6" t="s">
        <v>34</v>
      </c>
      <c r="C4319" s="38" t="s">
        <v>8411</v>
      </c>
      <c r="D4319" s="23">
        <v>2023</v>
      </c>
      <c r="E4319" s="6" t="s">
        <v>33</v>
      </c>
      <c r="F4319" s="6">
        <v>1</v>
      </c>
      <c r="G4319" s="40">
        <v>15</v>
      </c>
      <c r="H4319" s="40">
        <v>373.67561000000001</v>
      </c>
      <c r="I4319" s="212"/>
      <c r="J4319" s="212"/>
    </row>
    <row r="4320" spans="1:10" s="15" customFormat="1" ht="38.25" hidden="1" customHeight="1" outlineLevel="1" x14ac:dyDescent="0.25">
      <c r="A4320" s="18">
        <v>539</v>
      </c>
      <c r="B4320" s="6" t="s">
        <v>34</v>
      </c>
      <c r="C4320" s="38" t="s">
        <v>8421</v>
      </c>
      <c r="D4320" s="23">
        <v>2023</v>
      </c>
      <c r="E4320" s="6" t="s">
        <v>33</v>
      </c>
      <c r="F4320" s="6">
        <v>1</v>
      </c>
      <c r="G4320" s="40">
        <v>15</v>
      </c>
      <c r="H4320" s="40">
        <v>388.20936</v>
      </c>
      <c r="I4320" s="212"/>
      <c r="J4320" s="212"/>
    </row>
    <row r="4321" spans="1:10" s="15" customFormat="1" ht="38.25" hidden="1" customHeight="1" outlineLevel="1" x14ac:dyDescent="0.25">
      <c r="A4321" s="18">
        <v>4238</v>
      </c>
      <c r="B4321" s="6" t="s">
        <v>34</v>
      </c>
      <c r="C4321" s="38" t="s">
        <v>8427</v>
      </c>
      <c r="D4321" s="23">
        <v>2023</v>
      </c>
      <c r="E4321" s="6" t="s">
        <v>33</v>
      </c>
      <c r="F4321" s="6">
        <v>1</v>
      </c>
      <c r="G4321" s="40">
        <v>15</v>
      </c>
      <c r="H4321" s="40">
        <v>816.99274000000003</v>
      </c>
      <c r="I4321" s="212"/>
      <c r="J4321" s="212"/>
    </row>
    <row r="4322" spans="1:10" s="15" customFormat="1" ht="38.25" hidden="1" customHeight="1" outlineLevel="1" x14ac:dyDescent="0.25">
      <c r="A4322" s="18">
        <v>1348</v>
      </c>
      <c r="B4322" s="6" t="s">
        <v>34</v>
      </c>
      <c r="C4322" s="38" t="s">
        <v>9080</v>
      </c>
      <c r="D4322" s="23">
        <v>2023</v>
      </c>
      <c r="E4322" s="6" t="s">
        <v>33</v>
      </c>
      <c r="F4322" s="6">
        <v>1</v>
      </c>
      <c r="G4322" s="40">
        <v>15</v>
      </c>
      <c r="H4322" s="40">
        <v>719.91932000000008</v>
      </c>
      <c r="I4322" s="212"/>
      <c r="J4322" s="212"/>
    </row>
    <row r="4323" spans="1:10" s="15" customFormat="1" ht="38.25" hidden="1" customHeight="1" outlineLevel="1" x14ac:dyDescent="0.25">
      <c r="A4323" s="18">
        <v>2872</v>
      </c>
      <c r="B4323" s="6" t="s">
        <v>34</v>
      </c>
      <c r="C4323" s="38" t="s">
        <v>8921</v>
      </c>
      <c r="D4323" s="23">
        <v>2023</v>
      </c>
      <c r="E4323" s="6" t="s">
        <v>33</v>
      </c>
      <c r="F4323" s="6">
        <v>1</v>
      </c>
      <c r="G4323" s="40">
        <v>15</v>
      </c>
      <c r="H4323" s="40">
        <v>510</v>
      </c>
      <c r="I4323" s="212"/>
      <c r="J4323" s="212"/>
    </row>
    <row r="4324" spans="1:10" s="15" customFormat="1" ht="38.25" hidden="1" customHeight="1" outlineLevel="1" x14ac:dyDescent="0.25">
      <c r="A4324" s="18">
        <v>1958</v>
      </c>
      <c r="B4324" s="6" t="s">
        <v>34</v>
      </c>
      <c r="C4324" s="38" t="s">
        <v>8929</v>
      </c>
      <c r="D4324" s="23">
        <v>2023</v>
      </c>
      <c r="E4324" s="6" t="s">
        <v>33</v>
      </c>
      <c r="F4324" s="6">
        <v>1</v>
      </c>
      <c r="G4324" s="40">
        <v>10</v>
      </c>
      <c r="H4324" s="40">
        <v>571</v>
      </c>
      <c r="I4324" s="212"/>
      <c r="J4324" s="212"/>
    </row>
    <row r="4325" spans="1:10" s="15" customFormat="1" ht="38.25" hidden="1" customHeight="1" outlineLevel="1" x14ac:dyDescent="0.25">
      <c r="A4325" s="18">
        <v>4522</v>
      </c>
      <c r="B4325" s="6" t="s">
        <v>34</v>
      </c>
      <c r="C4325" s="38" t="s">
        <v>8966</v>
      </c>
      <c r="D4325" s="23">
        <v>2023</v>
      </c>
      <c r="E4325" s="6" t="s">
        <v>33</v>
      </c>
      <c r="F4325" s="6">
        <v>1</v>
      </c>
      <c r="G4325" s="40">
        <v>15</v>
      </c>
      <c r="H4325" s="40">
        <v>521</v>
      </c>
      <c r="I4325" s="212"/>
      <c r="J4325" s="212"/>
    </row>
    <row r="4326" spans="1:10" s="15" customFormat="1" ht="38.25" hidden="1" customHeight="1" outlineLevel="1" x14ac:dyDescent="0.25">
      <c r="A4326" s="18">
        <v>3254</v>
      </c>
      <c r="B4326" s="6" t="s">
        <v>34</v>
      </c>
      <c r="C4326" s="38" t="s">
        <v>9100</v>
      </c>
      <c r="D4326" s="23">
        <v>2023</v>
      </c>
      <c r="E4326" s="6" t="s">
        <v>33</v>
      </c>
      <c r="F4326" s="6">
        <v>1</v>
      </c>
      <c r="G4326" s="40">
        <v>15</v>
      </c>
      <c r="H4326" s="40">
        <v>202</v>
      </c>
      <c r="I4326" s="212"/>
      <c r="J4326" s="212"/>
    </row>
    <row r="4327" spans="1:10" s="15" customFormat="1" ht="38.25" hidden="1" customHeight="1" outlineLevel="1" x14ac:dyDescent="0.25">
      <c r="A4327" s="18">
        <v>3415</v>
      </c>
      <c r="B4327" s="6" t="s">
        <v>34</v>
      </c>
      <c r="C4327" s="38" t="s">
        <v>9210</v>
      </c>
      <c r="D4327" s="23">
        <v>2023</v>
      </c>
      <c r="E4327" s="6" t="s">
        <v>33</v>
      </c>
      <c r="F4327" s="6">
        <v>1</v>
      </c>
      <c r="G4327" s="40">
        <v>15</v>
      </c>
      <c r="H4327" s="40">
        <v>505</v>
      </c>
      <c r="I4327" s="212"/>
      <c r="J4327" s="212"/>
    </row>
    <row r="4328" spans="1:10" s="15" customFormat="1" ht="38.25" hidden="1" customHeight="1" outlineLevel="1" x14ac:dyDescent="0.25">
      <c r="A4328" s="18">
        <v>430</v>
      </c>
      <c r="B4328" s="6" t="s">
        <v>34</v>
      </c>
      <c r="C4328" s="38" t="s">
        <v>9359</v>
      </c>
      <c r="D4328" s="23">
        <v>2023</v>
      </c>
      <c r="E4328" s="6" t="s">
        <v>33</v>
      </c>
      <c r="F4328" s="6">
        <v>1</v>
      </c>
      <c r="G4328" s="40">
        <v>150</v>
      </c>
      <c r="H4328" s="40">
        <v>414</v>
      </c>
      <c r="I4328" s="212"/>
      <c r="J4328" s="212"/>
    </row>
    <row r="4329" spans="1:10" s="15" customFormat="1" ht="38.25" hidden="1" customHeight="1" outlineLevel="1" x14ac:dyDescent="0.25">
      <c r="A4329" s="18"/>
      <c r="B4329" s="6" t="s">
        <v>34</v>
      </c>
      <c r="C4329" s="38" t="s">
        <v>8459</v>
      </c>
      <c r="D4329" s="23">
        <v>2023</v>
      </c>
      <c r="E4329" s="23" t="s">
        <v>33</v>
      </c>
      <c r="F4329" s="6">
        <v>1</v>
      </c>
      <c r="G4329" s="6">
        <v>15</v>
      </c>
      <c r="H4329" s="40">
        <v>457.45805000000001</v>
      </c>
      <c r="I4329" s="212"/>
      <c r="J4329" s="212"/>
    </row>
    <row r="4330" spans="1:10" s="15" customFormat="1" ht="32.25" hidden="1" customHeight="1" outlineLevel="1" x14ac:dyDescent="0.25">
      <c r="A4330" s="46">
        <v>9507</v>
      </c>
      <c r="B4330" s="4" t="s">
        <v>34</v>
      </c>
      <c r="C4330" s="22" t="s">
        <v>424</v>
      </c>
      <c r="D4330" s="18">
        <v>2021</v>
      </c>
      <c r="E4330" s="18" t="s">
        <v>33</v>
      </c>
      <c r="F4330" s="18">
        <v>1</v>
      </c>
      <c r="G4330" s="18">
        <v>10</v>
      </c>
      <c r="H4330" s="18">
        <v>550.18899999999996</v>
      </c>
      <c r="I4330" s="90"/>
      <c r="J4330" s="90"/>
    </row>
    <row r="4331" spans="1:10" s="15" customFormat="1" ht="32.25" hidden="1" customHeight="1" outlineLevel="1" x14ac:dyDescent="0.25">
      <c r="A4331" s="46">
        <v>9519</v>
      </c>
      <c r="B4331" s="4" t="s">
        <v>34</v>
      </c>
      <c r="C4331" s="22" t="s">
        <v>426</v>
      </c>
      <c r="D4331" s="18">
        <v>2021</v>
      </c>
      <c r="E4331" s="18" t="s">
        <v>33</v>
      </c>
      <c r="F4331" s="18">
        <v>1</v>
      </c>
      <c r="G4331" s="18">
        <v>15</v>
      </c>
      <c r="H4331" s="18">
        <v>493.64299999999997</v>
      </c>
      <c r="I4331" s="90"/>
      <c r="J4331" s="90"/>
    </row>
    <row r="4332" spans="1:10" s="15" customFormat="1" ht="32.25" hidden="1" customHeight="1" outlineLevel="1" x14ac:dyDescent="0.25">
      <c r="A4332" s="46">
        <v>9515</v>
      </c>
      <c r="B4332" s="4" t="s">
        <v>34</v>
      </c>
      <c r="C4332" s="22" t="s">
        <v>432</v>
      </c>
      <c r="D4332" s="18">
        <v>2021</v>
      </c>
      <c r="E4332" s="18" t="s">
        <v>33</v>
      </c>
      <c r="F4332" s="18">
        <v>1</v>
      </c>
      <c r="G4332" s="18">
        <v>15</v>
      </c>
      <c r="H4332" s="18">
        <v>507.28500000000003</v>
      </c>
      <c r="I4332" s="90"/>
      <c r="J4332" s="90"/>
    </row>
    <row r="4333" spans="1:10" s="15" customFormat="1" ht="32.25" hidden="1" customHeight="1" outlineLevel="1" x14ac:dyDescent="0.25">
      <c r="A4333" s="46">
        <v>9496</v>
      </c>
      <c r="B4333" s="4" t="s">
        <v>34</v>
      </c>
      <c r="C4333" s="22" t="s">
        <v>436</v>
      </c>
      <c r="D4333" s="18">
        <v>2021</v>
      </c>
      <c r="E4333" s="18" t="s">
        <v>33</v>
      </c>
      <c r="F4333" s="18">
        <v>1</v>
      </c>
      <c r="G4333" s="18">
        <v>15</v>
      </c>
      <c r="H4333" s="18">
        <v>443.25700000000001</v>
      </c>
      <c r="I4333" s="90"/>
      <c r="J4333" s="90"/>
    </row>
    <row r="4334" spans="1:10" s="15" customFormat="1" ht="32.25" hidden="1" customHeight="1" outlineLevel="1" x14ac:dyDescent="0.25">
      <c r="A4334" s="46">
        <v>9505</v>
      </c>
      <c r="B4334" s="4" t="s">
        <v>34</v>
      </c>
      <c r="C4334" s="35" t="s">
        <v>441</v>
      </c>
      <c r="D4334" s="18">
        <v>2021</v>
      </c>
      <c r="E4334" s="18" t="s">
        <v>33</v>
      </c>
      <c r="F4334" s="18">
        <v>1</v>
      </c>
      <c r="G4334" s="18">
        <v>15</v>
      </c>
      <c r="H4334" s="18">
        <v>342.447</v>
      </c>
      <c r="I4334" s="90"/>
      <c r="J4334" s="90"/>
    </row>
    <row r="4335" spans="1:10" s="15" customFormat="1" ht="32.25" hidden="1" customHeight="1" outlineLevel="1" x14ac:dyDescent="0.25">
      <c r="A4335" s="46">
        <v>9502</v>
      </c>
      <c r="B4335" s="4" t="s">
        <v>34</v>
      </c>
      <c r="C4335" s="22" t="s">
        <v>452</v>
      </c>
      <c r="D4335" s="18">
        <v>2021</v>
      </c>
      <c r="E4335" s="18" t="s">
        <v>33</v>
      </c>
      <c r="F4335" s="18">
        <v>1</v>
      </c>
      <c r="G4335" s="18">
        <v>15</v>
      </c>
      <c r="H4335" s="18">
        <v>572.31100000000004</v>
      </c>
      <c r="I4335" s="90"/>
      <c r="J4335" s="90"/>
    </row>
    <row r="4336" spans="1:10" s="15" customFormat="1" ht="32.25" hidden="1" customHeight="1" outlineLevel="1" x14ac:dyDescent="0.25">
      <c r="A4336" s="46">
        <v>9495</v>
      </c>
      <c r="B4336" s="4" t="s">
        <v>34</v>
      </c>
      <c r="C4336" s="22" t="s">
        <v>453</v>
      </c>
      <c r="D4336" s="18">
        <v>2021</v>
      </c>
      <c r="E4336" s="18" t="s">
        <v>33</v>
      </c>
      <c r="F4336" s="18">
        <v>1</v>
      </c>
      <c r="G4336" s="18">
        <v>15</v>
      </c>
      <c r="H4336" s="18">
        <v>592.37199999999996</v>
      </c>
      <c r="I4336" s="90"/>
      <c r="J4336" s="90"/>
    </row>
    <row r="4337" spans="1:10" s="15" customFormat="1" ht="32.25" hidden="1" customHeight="1" outlineLevel="1" x14ac:dyDescent="0.25">
      <c r="A4337" s="46">
        <v>9499</v>
      </c>
      <c r="B4337" s="4" t="s">
        <v>34</v>
      </c>
      <c r="C4337" s="22" t="s">
        <v>454</v>
      </c>
      <c r="D4337" s="18">
        <v>2021</v>
      </c>
      <c r="E4337" s="18" t="s">
        <v>33</v>
      </c>
      <c r="F4337" s="18">
        <v>1</v>
      </c>
      <c r="G4337" s="18">
        <v>15</v>
      </c>
      <c r="H4337" s="18">
        <v>467.52800000000002</v>
      </c>
      <c r="I4337" s="90"/>
      <c r="J4337" s="90"/>
    </row>
    <row r="4338" spans="1:10" s="15" customFormat="1" ht="32.25" hidden="1" customHeight="1" outlineLevel="1" x14ac:dyDescent="0.25">
      <c r="A4338" s="46">
        <v>9500</v>
      </c>
      <c r="B4338" s="4" t="s">
        <v>34</v>
      </c>
      <c r="C4338" s="22" t="s">
        <v>455</v>
      </c>
      <c r="D4338" s="18">
        <v>2021</v>
      </c>
      <c r="E4338" s="18" t="s">
        <v>33</v>
      </c>
      <c r="F4338" s="18">
        <v>1</v>
      </c>
      <c r="G4338" s="18">
        <v>15</v>
      </c>
      <c r="H4338" s="18">
        <v>580.02700000000004</v>
      </c>
      <c r="I4338" s="90"/>
      <c r="J4338" s="90"/>
    </row>
    <row r="4339" spans="1:10" s="15" customFormat="1" ht="32.25" hidden="1" customHeight="1" outlineLevel="1" x14ac:dyDescent="0.25">
      <c r="A4339" s="46">
        <v>9524</v>
      </c>
      <c r="B4339" s="4" t="s">
        <v>34</v>
      </c>
      <c r="C4339" s="22" t="s">
        <v>458</v>
      </c>
      <c r="D4339" s="18">
        <v>2021</v>
      </c>
      <c r="E4339" s="18" t="s">
        <v>33</v>
      </c>
      <c r="F4339" s="18">
        <v>1</v>
      </c>
      <c r="G4339" s="18">
        <v>10</v>
      </c>
      <c r="H4339" s="18">
        <v>528.33699999999999</v>
      </c>
      <c r="I4339" s="90"/>
      <c r="J4339" s="90"/>
    </row>
    <row r="4340" spans="1:10" s="15" customFormat="1" ht="32.25" hidden="1" customHeight="1" outlineLevel="1" x14ac:dyDescent="0.25">
      <c r="A4340" s="18">
        <v>10900</v>
      </c>
      <c r="B4340" s="4" t="s">
        <v>34</v>
      </c>
      <c r="C4340" s="22" t="s">
        <v>476</v>
      </c>
      <c r="D4340" s="18">
        <v>2021</v>
      </c>
      <c r="E4340" s="18" t="s">
        <v>33</v>
      </c>
      <c r="F4340" s="18">
        <v>1</v>
      </c>
      <c r="G4340" s="18">
        <v>15</v>
      </c>
      <c r="H4340" s="18">
        <v>447</v>
      </c>
      <c r="I4340" s="90"/>
      <c r="J4340" s="90"/>
    </row>
    <row r="4341" spans="1:10" s="15" customFormat="1" ht="32.25" hidden="1" customHeight="1" outlineLevel="1" x14ac:dyDescent="0.25">
      <c r="A4341" s="46">
        <v>9090</v>
      </c>
      <c r="B4341" s="4" t="s">
        <v>34</v>
      </c>
      <c r="C4341" s="22" t="s">
        <v>482</v>
      </c>
      <c r="D4341" s="18">
        <v>2021</v>
      </c>
      <c r="E4341" s="18" t="s">
        <v>33</v>
      </c>
      <c r="F4341" s="18">
        <v>1</v>
      </c>
      <c r="G4341" s="18">
        <v>15</v>
      </c>
      <c r="H4341" s="18">
        <v>174</v>
      </c>
      <c r="I4341" s="90"/>
      <c r="J4341" s="90"/>
    </row>
    <row r="4342" spans="1:10" s="15" customFormat="1" ht="32.25" hidden="1" customHeight="1" outlineLevel="1" x14ac:dyDescent="0.25">
      <c r="A4342" s="46">
        <v>9662</v>
      </c>
      <c r="B4342" s="4" t="s">
        <v>34</v>
      </c>
      <c r="C4342" s="22" t="s">
        <v>483</v>
      </c>
      <c r="D4342" s="18">
        <v>2021</v>
      </c>
      <c r="E4342" s="18" t="s">
        <v>33</v>
      </c>
      <c r="F4342" s="18">
        <v>1</v>
      </c>
      <c r="G4342" s="18">
        <v>15</v>
      </c>
      <c r="H4342" s="18">
        <v>577</v>
      </c>
      <c r="I4342" s="90"/>
      <c r="J4342" s="90"/>
    </row>
    <row r="4343" spans="1:10" s="15" customFormat="1" ht="32.25" hidden="1" customHeight="1" outlineLevel="1" x14ac:dyDescent="0.25">
      <c r="A4343" s="45">
        <v>909</v>
      </c>
      <c r="B4343" s="4" t="s">
        <v>34</v>
      </c>
      <c r="C4343" s="22" t="s">
        <v>520</v>
      </c>
      <c r="D4343" s="18">
        <v>2021</v>
      </c>
      <c r="E4343" s="18" t="s">
        <v>33</v>
      </c>
      <c r="F4343" s="18">
        <v>1</v>
      </c>
      <c r="G4343" s="18">
        <v>15</v>
      </c>
      <c r="H4343" s="18">
        <v>1007</v>
      </c>
      <c r="I4343" s="90"/>
      <c r="J4343" s="90"/>
    </row>
    <row r="4344" spans="1:10" s="15" customFormat="1" ht="32.25" hidden="1" customHeight="1" outlineLevel="1" x14ac:dyDescent="0.25">
      <c r="A4344" s="46">
        <v>9594</v>
      </c>
      <c r="B4344" s="4" t="s">
        <v>34</v>
      </c>
      <c r="C4344" s="22" t="s">
        <v>541</v>
      </c>
      <c r="D4344" s="18">
        <v>2021</v>
      </c>
      <c r="E4344" s="18" t="s">
        <v>33</v>
      </c>
      <c r="F4344" s="18">
        <v>1</v>
      </c>
      <c r="G4344" s="18">
        <v>15</v>
      </c>
      <c r="H4344" s="18">
        <v>420</v>
      </c>
      <c r="I4344" s="90"/>
      <c r="J4344" s="90"/>
    </row>
    <row r="4345" spans="1:10" s="15" customFormat="1" ht="32.25" hidden="1" customHeight="1" outlineLevel="1" x14ac:dyDescent="0.25">
      <c r="A4345" s="46">
        <v>9593</v>
      </c>
      <c r="B4345" s="4" t="s">
        <v>34</v>
      </c>
      <c r="C4345" s="22" t="s">
        <v>552</v>
      </c>
      <c r="D4345" s="18">
        <v>2021</v>
      </c>
      <c r="E4345" s="18" t="s">
        <v>33</v>
      </c>
      <c r="F4345" s="18">
        <v>1</v>
      </c>
      <c r="G4345" s="18">
        <v>15</v>
      </c>
      <c r="H4345" s="18">
        <v>459</v>
      </c>
      <c r="I4345" s="90"/>
      <c r="J4345" s="90"/>
    </row>
    <row r="4346" spans="1:10" s="15" customFormat="1" ht="32.25" hidden="1" customHeight="1" outlineLevel="1" x14ac:dyDescent="0.25">
      <c r="A4346" s="46">
        <v>9588</v>
      </c>
      <c r="B4346" s="4" t="s">
        <v>34</v>
      </c>
      <c r="C4346" s="22" t="s">
        <v>744</v>
      </c>
      <c r="D4346" s="18">
        <v>2021</v>
      </c>
      <c r="E4346" s="18" t="s">
        <v>33</v>
      </c>
      <c r="F4346" s="18">
        <v>1</v>
      </c>
      <c r="G4346" s="18">
        <v>30</v>
      </c>
      <c r="H4346" s="18">
        <v>402</v>
      </c>
      <c r="I4346" s="90"/>
      <c r="J4346" s="90"/>
    </row>
    <row r="4347" spans="1:10" s="15" customFormat="1" ht="32.25" hidden="1" customHeight="1" outlineLevel="1" x14ac:dyDescent="0.25">
      <c r="A4347" s="46">
        <v>9450</v>
      </c>
      <c r="B4347" s="4" t="s">
        <v>34</v>
      </c>
      <c r="C4347" s="22" t="s">
        <v>117</v>
      </c>
      <c r="D4347" s="18">
        <v>2021</v>
      </c>
      <c r="E4347" s="18" t="s">
        <v>33</v>
      </c>
      <c r="F4347" s="18">
        <v>1</v>
      </c>
      <c r="G4347" s="18">
        <v>7</v>
      </c>
      <c r="H4347" s="18">
        <v>217</v>
      </c>
      <c r="I4347" s="90"/>
      <c r="J4347" s="90"/>
    </row>
    <row r="4348" spans="1:10" s="15" customFormat="1" ht="32.25" hidden="1" customHeight="1" outlineLevel="1" x14ac:dyDescent="0.25">
      <c r="A4348" s="46">
        <v>9452</v>
      </c>
      <c r="B4348" s="4" t="s">
        <v>34</v>
      </c>
      <c r="C4348" s="22" t="s">
        <v>133</v>
      </c>
      <c r="D4348" s="18">
        <v>2021</v>
      </c>
      <c r="E4348" s="18" t="s">
        <v>33</v>
      </c>
      <c r="F4348" s="18">
        <v>1</v>
      </c>
      <c r="G4348" s="18">
        <v>15</v>
      </c>
      <c r="H4348" s="18">
        <v>694</v>
      </c>
      <c r="I4348" s="90"/>
      <c r="J4348" s="90"/>
    </row>
    <row r="4349" spans="1:10" s="15" customFormat="1" ht="32.25" hidden="1" customHeight="1" outlineLevel="1" x14ac:dyDescent="0.25">
      <c r="A4349" s="46">
        <v>9640</v>
      </c>
      <c r="B4349" s="4" t="s">
        <v>34</v>
      </c>
      <c r="C4349" s="22" t="s">
        <v>758</v>
      </c>
      <c r="D4349" s="18">
        <v>2021</v>
      </c>
      <c r="E4349" s="18" t="s">
        <v>33</v>
      </c>
      <c r="F4349" s="18">
        <v>1</v>
      </c>
      <c r="G4349" s="18">
        <v>15</v>
      </c>
      <c r="H4349" s="18">
        <v>409.07398999999998</v>
      </c>
      <c r="I4349" s="90"/>
      <c r="J4349" s="90"/>
    </row>
    <row r="4350" spans="1:10" s="15" customFormat="1" ht="32.25" hidden="1" customHeight="1" outlineLevel="1" x14ac:dyDescent="0.25">
      <c r="A4350" s="46">
        <v>9483</v>
      </c>
      <c r="B4350" s="4" t="s">
        <v>34</v>
      </c>
      <c r="C4350" s="22" t="s">
        <v>772</v>
      </c>
      <c r="D4350" s="18">
        <v>2021</v>
      </c>
      <c r="E4350" s="18" t="s">
        <v>33</v>
      </c>
      <c r="F4350" s="18">
        <v>1</v>
      </c>
      <c r="G4350" s="18">
        <v>15</v>
      </c>
      <c r="H4350" s="18">
        <v>423.37563</v>
      </c>
      <c r="I4350" s="90"/>
      <c r="J4350" s="90"/>
    </row>
    <row r="4351" spans="1:10" s="15" customFormat="1" ht="32.25" hidden="1" customHeight="1" outlineLevel="1" x14ac:dyDescent="0.25">
      <c r="A4351" s="46">
        <v>9512</v>
      </c>
      <c r="B4351" s="4" t="s">
        <v>34</v>
      </c>
      <c r="C4351" s="22" t="s">
        <v>679</v>
      </c>
      <c r="D4351" s="18">
        <v>2021</v>
      </c>
      <c r="E4351" s="18" t="s">
        <v>33</v>
      </c>
      <c r="F4351" s="18">
        <v>1</v>
      </c>
      <c r="G4351" s="18">
        <v>15</v>
      </c>
      <c r="H4351" s="18">
        <v>625.52018999999996</v>
      </c>
      <c r="I4351" s="90"/>
      <c r="J4351" s="90"/>
    </row>
    <row r="4352" spans="1:10" s="15" customFormat="1" ht="32.25" hidden="1" customHeight="1" outlineLevel="1" x14ac:dyDescent="0.25">
      <c r="A4352" s="46">
        <v>9485</v>
      </c>
      <c r="B4352" s="4" t="s">
        <v>34</v>
      </c>
      <c r="C4352" s="22" t="s">
        <v>915</v>
      </c>
      <c r="D4352" s="18">
        <v>2021</v>
      </c>
      <c r="E4352" s="18" t="s">
        <v>33</v>
      </c>
      <c r="F4352" s="18">
        <v>1</v>
      </c>
      <c r="G4352" s="18">
        <v>15</v>
      </c>
      <c r="H4352" s="18">
        <v>442.44470000000001</v>
      </c>
      <c r="I4352" s="90"/>
      <c r="J4352" s="90"/>
    </row>
    <row r="4353" spans="1:36" s="16" customFormat="1" ht="47.25" collapsed="1" x14ac:dyDescent="0.25">
      <c r="A4353" s="18"/>
      <c r="B4353" s="72" t="s">
        <v>34</v>
      </c>
      <c r="C4353" s="73" t="s">
        <v>2114</v>
      </c>
      <c r="D4353" s="71"/>
      <c r="E4353" s="72" t="s">
        <v>31</v>
      </c>
      <c r="F4353" s="71"/>
      <c r="G4353" s="71"/>
      <c r="H4353" s="71"/>
      <c r="I4353" s="231"/>
      <c r="J4353" s="231"/>
      <c r="K4353" s="15"/>
      <c r="L4353" s="15"/>
      <c r="M4353" s="15"/>
      <c r="N4353" s="15"/>
      <c r="O4353" s="15"/>
      <c r="P4353" s="15"/>
      <c r="Q4353" s="15"/>
      <c r="R4353" s="15"/>
      <c r="S4353" s="15"/>
      <c r="T4353" s="15"/>
      <c r="U4353" s="15"/>
      <c r="V4353" s="15"/>
      <c r="W4353" s="15"/>
      <c r="X4353" s="15"/>
      <c r="Y4353" s="15"/>
      <c r="Z4353" s="15"/>
      <c r="AA4353" s="15"/>
      <c r="AB4353" s="15"/>
      <c r="AC4353" s="15"/>
      <c r="AD4353" s="15"/>
      <c r="AE4353" s="15"/>
      <c r="AF4353" s="15"/>
      <c r="AG4353" s="15"/>
      <c r="AH4353" s="15"/>
      <c r="AI4353" s="15"/>
      <c r="AJ4353" s="15"/>
    </row>
    <row r="4354" spans="1:36" s="16" customFormat="1" ht="16.5" customHeight="1" x14ac:dyDescent="0.25">
      <c r="A4354" s="18"/>
      <c r="B4354" s="11" t="s">
        <v>34</v>
      </c>
      <c r="C4354" s="12" t="s">
        <v>57</v>
      </c>
      <c r="D4354" s="20">
        <v>2021</v>
      </c>
      <c r="E4354" s="20" t="s">
        <v>31</v>
      </c>
      <c r="F4354" s="11">
        <f>SUMIF($D$4357:$D$4360,$D$4354,$F$4357:$F$4360)</f>
        <v>0</v>
      </c>
      <c r="G4354" s="11">
        <f>SUMIF($D$4357:$D$4360,$D$4354,$G$4357:$G$4360)</f>
        <v>0</v>
      </c>
      <c r="H4354" s="14">
        <f>SUMIF($D$4357:$D$4360,$D$4354,$H$4357:$H$4360)</f>
        <v>0</v>
      </c>
      <c r="I4354" s="220"/>
      <c r="J4354" s="5"/>
      <c r="K4354" s="5"/>
      <c r="L4354" s="15"/>
      <c r="M4354" s="15"/>
      <c r="N4354" s="15"/>
      <c r="O4354" s="15"/>
      <c r="P4354" s="15"/>
      <c r="Q4354" s="15"/>
      <c r="R4354" s="15"/>
      <c r="S4354" s="15"/>
      <c r="T4354" s="15"/>
      <c r="U4354" s="15"/>
      <c r="V4354" s="15"/>
      <c r="W4354" s="15"/>
      <c r="X4354" s="15"/>
      <c r="Y4354" s="15"/>
      <c r="Z4354" s="15"/>
      <c r="AA4354" s="15"/>
      <c r="AB4354" s="15"/>
      <c r="AC4354" s="15"/>
      <c r="AD4354" s="15"/>
      <c r="AE4354" s="15"/>
      <c r="AF4354" s="15"/>
      <c r="AG4354" s="15"/>
      <c r="AH4354" s="15"/>
      <c r="AI4354" s="15"/>
      <c r="AJ4354" s="15"/>
    </row>
    <row r="4355" spans="1:36" s="27" customFormat="1" ht="16.5" customHeight="1" x14ac:dyDescent="0.25">
      <c r="A4355" s="18"/>
      <c r="B4355" s="11" t="s">
        <v>34</v>
      </c>
      <c r="C4355" s="12" t="s">
        <v>57</v>
      </c>
      <c r="D4355" s="20">
        <v>2022</v>
      </c>
      <c r="E4355" s="20" t="s">
        <v>31</v>
      </c>
      <c r="F4355" s="11">
        <f>SUMIF($D$4357:$D$4360,$D$4355,$F$4357:$F$4360)</f>
        <v>2</v>
      </c>
      <c r="G4355" s="11">
        <f>SUMIF($D$4357:$D$4360,$D$4355,$G$4357:$G$4360)</f>
        <v>30</v>
      </c>
      <c r="H4355" s="14">
        <f>SUMIF($D$4357:$D$4360,$D$4355,$H$4357:$H$4360)</f>
        <v>1374.90959</v>
      </c>
      <c r="I4355" s="220"/>
      <c r="J4355" s="220"/>
      <c r="K4355" s="15"/>
      <c r="L4355" s="15"/>
      <c r="M4355" s="15"/>
      <c r="N4355" s="15"/>
      <c r="O4355" s="15"/>
      <c r="P4355" s="15"/>
      <c r="Q4355" s="15"/>
      <c r="R4355" s="15"/>
      <c r="S4355" s="15"/>
      <c r="T4355" s="15"/>
      <c r="U4355" s="15"/>
      <c r="V4355" s="15"/>
      <c r="W4355" s="15"/>
      <c r="X4355" s="15"/>
      <c r="Y4355" s="15"/>
      <c r="Z4355" s="15"/>
      <c r="AA4355" s="15"/>
      <c r="AB4355" s="15"/>
      <c r="AC4355" s="15"/>
      <c r="AD4355" s="15"/>
      <c r="AE4355" s="15"/>
      <c r="AF4355" s="15"/>
      <c r="AG4355" s="15"/>
      <c r="AH4355" s="15"/>
      <c r="AI4355" s="15"/>
      <c r="AJ4355" s="15"/>
    </row>
    <row r="4356" spans="1:36" s="27" customFormat="1" ht="15.75" x14ac:dyDescent="0.25">
      <c r="A4356" s="18"/>
      <c r="B4356" s="11" t="s">
        <v>34</v>
      </c>
      <c r="C4356" s="12" t="s">
        <v>57</v>
      </c>
      <c r="D4356" s="20">
        <v>2023</v>
      </c>
      <c r="E4356" s="20" t="s">
        <v>31</v>
      </c>
      <c r="F4356" s="11">
        <f>SUMIF($D$4357:$D$4360,$D$4356,$F$4357:$F$4360)</f>
        <v>1</v>
      </c>
      <c r="G4356" s="11">
        <f>SUMIF($D$4357:$D$4360,$D$4356,$G$4357:$G$4360)</f>
        <v>7</v>
      </c>
      <c r="H4356" s="14">
        <f>SUMIF($D$4357:$D$4360,$D$4356,$H$4357:$H$4360)</f>
        <v>879.32909999999993</v>
      </c>
      <c r="I4356" s="220"/>
      <c r="J4356" s="220"/>
      <c r="K4356" s="15"/>
      <c r="L4356" s="15"/>
      <c r="M4356" s="15"/>
      <c r="N4356" s="15"/>
      <c r="O4356" s="15"/>
      <c r="P4356" s="15"/>
      <c r="Q4356" s="15"/>
      <c r="R4356" s="15"/>
      <c r="S4356" s="15"/>
      <c r="T4356" s="15"/>
      <c r="U4356" s="15"/>
      <c r="V4356" s="15"/>
      <c r="W4356" s="15"/>
      <c r="X4356" s="15"/>
      <c r="Y4356" s="15"/>
      <c r="Z4356" s="15"/>
      <c r="AA4356" s="15"/>
      <c r="AB4356" s="15"/>
      <c r="AC4356" s="15"/>
      <c r="AD4356" s="15"/>
      <c r="AE4356" s="15"/>
      <c r="AF4356" s="15"/>
      <c r="AG4356" s="15"/>
      <c r="AH4356" s="15"/>
      <c r="AI4356" s="15"/>
      <c r="AJ4356" s="15"/>
    </row>
    <row r="4357" spans="1:36" s="15" customFormat="1" ht="126" hidden="1" outlineLevel="1" x14ac:dyDescent="0.25">
      <c r="A4357" s="18">
        <v>1663</v>
      </c>
      <c r="B4357" s="4" t="s">
        <v>34</v>
      </c>
      <c r="C4357" s="22" t="s">
        <v>2903</v>
      </c>
      <c r="D4357" s="18">
        <v>2022</v>
      </c>
      <c r="E4357" s="18" t="s">
        <v>31</v>
      </c>
      <c r="F4357" s="4">
        <v>1</v>
      </c>
      <c r="G4357" s="41">
        <v>15</v>
      </c>
      <c r="H4357" s="41">
        <v>566.73560999999995</v>
      </c>
      <c r="I4357" s="221"/>
      <c r="J4357" s="221"/>
    </row>
    <row r="4358" spans="1:36" s="15" customFormat="1" ht="110.25" hidden="1" outlineLevel="1" x14ac:dyDescent="0.25">
      <c r="A4358" s="18">
        <v>474</v>
      </c>
      <c r="B4358" s="4" t="s">
        <v>34</v>
      </c>
      <c r="C4358" s="22" t="s">
        <v>2495</v>
      </c>
      <c r="D4358" s="18">
        <v>2022</v>
      </c>
      <c r="E4358" s="18" t="s">
        <v>31</v>
      </c>
      <c r="F4358" s="4">
        <v>1</v>
      </c>
      <c r="G4358" s="41">
        <v>15</v>
      </c>
      <c r="H4358" s="41">
        <v>808.17398000000003</v>
      </c>
      <c r="I4358" s="221"/>
      <c r="J4358" s="221"/>
    </row>
    <row r="4359" spans="1:36" s="15" customFormat="1" ht="131.25" hidden="1" customHeight="1" outlineLevel="1" x14ac:dyDescent="0.25">
      <c r="A4359" s="18">
        <v>1679</v>
      </c>
      <c r="B4359" s="4" t="s">
        <v>34</v>
      </c>
      <c r="C4359" s="38" t="s">
        <v>8381</v>
      </c>
      <c r="D4359" s="18">
        <v>2023</v>
      </c>
      <c r="E4359" s="18" t="s">
        <v>31</v>
      </c>
      <c r="F4359" s="4">
        <v>1</v>
      </c>
      <c r="G4359" s="4">
        <v>7</v>
      </c>
      <c r="H4359" s="41">
        <v>879.32909999999993</v>
      </c>
      <c r="I4359" s="221"/>
      <c r="J4359" s="221"/>
    </row>
    <row r="4360" spans="1:36" s="15" customFormat="1" ht="15.75" hidden="1" outlineLevel="1" x14ac:dyDescent="0.25">
      <c r="A4360" s="18"/>
      <c r="B4360" s="4" t="s">
        <v>34</v>
      </c>
      <c r="C4360" s="22"/>
      <c r="D4360" s="18">
        <v>2021</v>
      </c>
      <c r="E4360" s="18" t="s">
        <v>31</v>
      </c>
      <c r="F4360" s="4"/>
      <c r="G4360" s="41"/>
      <c r="H4360" s="41"/>
      <c r="I4360" s="221"/>
      <c r="J4360" s="221"/>
    </row>
    <row r="4361" spans="1:36" s="16" customFormat="1" ht="47.25" collapsed="1" x14ac:dyDescent="0.25">
      <c r="A4361" s="18"/>
      <c r="B4361" s="60" t="s">
        <v>35</v>
      </c>
      <c r="C4361" s="74" t="s">
        <v>2115</v>
      </c>
      <c r="D4361" s="67"/>
      <c r="E4361" s="68" t="s">
        <v>33</v>
      </c>
      <c r="F4361" s="67"/>
      <c r="G4361" s="67"/>
      <c r="H4361" s="67"/>
      <c r="I4361" s="232"/>
      <c r="J4361" s="232"/>
      <c r="K4361" s="15"/>
      <c r="L4361" s="15"/>
      <c r="M4361" s="15"/>
      <c r="N4361" s="15"/>
      <c r="O4361" s="15"/>
      <c r="P4361" s="15"/>
      <c r="Q4361" s="15"/>
      <c r="R4361" s="15"/>
      <c r="S4361" s="15"/>
      <c r="T4361" s="15"/>
      <c r="U4361" s="15"/>
      <c r="V4361" s="15"/>
      <c r="W4361" s="15"/>
      <c r="X4361" s="15"/>
      <c r="Y4361" s="15"/>
      <c r="Z4361" s="15"/>
      <c r="AA4361" s="15"/>
      <c r="AB4361" s="15"/>
      <c r="AC4361" s="15"/>
      <c r="AD4361" s="15"/>
      <c r="AE4361" s="15"/>
      <c r="AF4361" s="15"/>
      <c r="AG4361" s="15"/>
      <c r="AH4361" s="15"/>
      <c r="AI4361" s="15"/>
      <c r="AJ4361" s="15"/>
    </row>
    <row r="4362" spans="1:36" s="15" customFormat="1" ht="16.5" customHeight="1" x14ac:dyDescent="0.25">
      <c r="A4362" s="18"/>
      <c r="B4362" s="7" t="s">
        <v>35</v>
      </c>
      <c r="C4362" s="8" t="s">
        <v>57</v>
      </c>
      <c r="D4362" s="19">
        <v>2021</v>
      </c>
      <c r="E4362" s="7" t="s">
        <v>33</v>
      </c>
      <c r="F4362" s="7">
        <f>SUMIF($D$4365:$D$4460,$D$4362,$F$4365:$F$4460)</f>
        <v>23</v>
      </c>
      <c r="G4362" s="7">
        <f>SUMIF($D$4365:$D$4460,$D$4362,$G$4365:$G$4460)</f>
        <v>976</v>
      </c>
      <c r="H4362" s="10">
        <f>SUMIF($D$4365:$D$4460,$D$4362,$H$4365:$H$4460)</f>
        <v>11663.040169999998</v>
      </c>
      <c r="I4362" s="205"/>
      <c r="J4362" s="5"/>
      <c r="K4362" s="5"/>
    </row>
    <row r="4363" spans="1:36" s="15" customFormat="1" ht="16.5" customHeight="1" x14ac:dyDescent="0.25">
      <c r="A4363" s="18"/>
      <c r="B4363" s="7" t="s">
        <v>35</v>
      </c>
      <c r="C4363" s="8" t="s">
        <v>57</v>
      </c>
      <c r="D4363" s="19">
        <v>2022</v>
      </c>
      <c r="E4363" s="7" t="s">
        <v>33</v>
      </c>
      <c r="F4363" s="7">
        <f>SUMIF($D$4365:$D$4460,$D$4363,$F$4365:$F$4460)</f>
        <v>54</v>
      </c>
      <c r="G4363" s="7">
        <f>SUMIF($D$4365:$D$4460,$D$4363,$G$4365:$G$4460)</f>
        <v>1828.5</v>
      </c>
      <c r="H4363" s="10">
        <f>SUMIF($D$4365:$D$4460,$D$4363,$H$4365:$H$4460)</f>
        <v>31604.81567</v>
      </c>
      <c r="I4363" s="205"/>
      <c r="J4363" s="205"/>
    </row>
    <row r="4364" spans="1:36" s="15" customFormat="1" ht="15.75" x14ac:dyDescent="0.25">
      <c r="A4364" s="18"/>
      <c r="B4364" s="7" t="s">
        <v>35</v>
      </c>
      <c r="C4364" s="8" t="s">
        <v>2811</v>
      </c>
      <c r="D4364" s="19">
        <v>2023</v>
      </c>
      <c r="E4364" s="7" t="s">
        <v>33</v>
      </c>
      <c r="F4364" s="7">
        <f>SUMIF($D$4365:$D$4460,$D$4364,$F$4365:$F$4460)</f>
        <v>35</v>
      </c>
      <c r="G4364" s="7">
        <f>SUMIF($D$4365:$D$4460,$D$4364,$G$4365:$G$4460)</f>
        <v>1566.2</v>
      </c>
      <c r="H4364" s="10">
        <f>SUMIF($D$4365:$D$4460,$D$4364,$H$4365:$H$4460)</f>
        <v>21845.97206</v>
      </c>
      <c r="I4364" s="205"/>
      <c r="J4364" s="205"/>
    </row>
    <row r="4365" spans="1:36" s="15" customFormat="1" ht="35.25" hidden="1" customHeight="1" outlineLevel="1" x14ac:dyDescent="0.25">
      <c r="A4365" s="18">
        <v>2722</v>
      </c>
      <c r="B4365" s="4" t="s">
        <v>35</v>
      </c>
      <c r="C4365" s="22" t="s">
        <v>2816</v>
      </c>
      <c r="D4365" s="18">
        <v>2022</v>
      </c>
      <c r="E4365" s="18" t="s">
        <v>33</v>
      </c>
      <c r="F4365" s="18">
        <v>1</v>
      </c>
      <c r="G4365" s="18">
        <v>28</v>
      </c>
      <c r="H4365" s="18">
        <v>531.59699999999998</v>
      </c>
      <c r="I4365" s="90"/>
      <c r="J4365" s="90"/>
    </row>
    <row r="4366" spans="1:36" s="15" customFormat="1" ht="35.25" hidden="1" customHeight="1" outlineLevel="1" x14ac:dyDescent="0.25">
      <c r="A4366" s="18">
        <v>2784</v>
      </c>
      <c r="B4366" s="4" t="s">
        <v>35</v>
      </c>
      <c r="C4366" s="22" t="s">
        <v>2147</v>
      </c>
      <c r="D4366" s="18">
        <v>2022</v>
      </c>
      <c r="E4366" s="18" t="s">
        <v>33</v>
      </c>
      <c r="F4366" s="18">
        <v>1</v>
      </c>
      <c r="G4366" s="18">
        <v>30</v>
      </c>
      <c r="H4366" s="18">
        <f>0.29667*(1000)</f>
        <v>296.67</v>
      </c>
      <c r="I4366" s="90"/>
      <c r="J4366" s="90"/>
    </row>
    <row r="4367" spans="1:36" s="15" customFormat="1" ht="35.25" hidden="1" customHeight="1" outlineLevel="1" x14ac:dyDescent="0.25">
      <c r="A4367" s="18">
        <v>2863</v>
      </c>
      <c r="B4367" s="4" t="s">
        <v>35</v>
      </c>
      <c r="C4367" s="22" t="s">
        <v>2158</v>
      </c>
      <c r="D4367" s="18">
        <v>2022</v>
      </c>
      <c r="E4367" s="18" t="s">
        <v>33</v>
      </c>
      <c r="F4367" s="18">
        <v>1</v>
      </c>
      <c r="G4367" s="18">
        <v>45</v>
      </c>
      <c r="H4367" s="18">
        <f>0.271805*(1000)</f>
        <v>271.80500000000001</v>
      </c>
      <c r="I4367" s="90"/>
      <c r="J4367" s="90"/>
    </row>
    <row r="4368" spans="1:36" s="15" customFormat="1" ht="35.25" hidden="1" customHeight="1" outlineLevel="1" x14ac:dyDescent="0.25">
      <c r="A4368" s="18">
        <v>2920</v>
      </c>
      <c r="B4368" s="4" t="s">
        <v>35</v>
      </c>
      <c r="C4368" s="22" t="s">
        <v>2822</v>
      </c>
      <c r="D4368" s="18">
        <v>2022</v>
      </c>
      <c r="E4368" s="18" t="s">
        <v>33</v>
      </c>
      <c r="F4368" s="18">
        <v>1</v>
      </c>
      <c r="G4368" s="18">
        <v>15</v>
      </c>
      <c r="H4368" s="18">
        <f>0.384268*(1000)</f>
        <v>384.26799999999997</v>
      </c>
      <c r="I4368" s="90"/>
      <c r="J4368" s="90"/>
    </row>
    <row r="4369" spans="1:10" s="15" customFormat="1" ht="35.25" hidden="1" customHeight="1" outlineLevel="1" x14ac:dyDescent="0.25">
      <c r="A4369" s="18">
        <v>4112</v>
      </c>
      <c r="B4369" s="4" t="s">
        <v>35</v>
      </c>
      <c r="C4369" s="22" t="s">
        <v>2179</v>
      </c>
      <c r="D4369" s="18">
        <v>2022</v>
      </c>
      <c r="E4369" s="18" t="s">
        <v>33</v>
      </c>
      <c r="F4369" s="18">
        <v>1</v>
      </c>
      <c r="G4369" s="18">
        <v>45</v>
      </c>
      <c r="H4369" s="18">
        <f>0.708811*(1000)</f>
        <v>708.81099999999992</v>
      </c>
      <c r="I4369" s="90"/>
      <c r="J4369" s="90"/>
    </row>
    <row r="4370" spans="1:10" s="15" customFormat="1" ht="35.25" hidden="1" customHeight="1" outlineLevel="1" x14ac:dyDescent="0.25">
      <c r="A4370" s="18">
        <v>4114</v>
      </c>
      <c r="B4370" s="4" t="s">
        <v>35</v>
      </c>
      <c r="C4370" s="22" t="s">
        <v>2180</v>
      </c>
      <c r="D4370" s="18">
        <v>2022</v>
      </c>
      <c r="E4370" s="18" t="s">
        <v>33</v>
      </c>
      <c r="F4370" s="18">
        <v>1</v>
      </c>
      <c r="G4370" s="18">
        <v>15</v>
      </c>
      <c r="H4370" s="18">
        <f>0.65013942*(1000)</f>
        <v>650.13941999999997</v>
      </c>
      <c r="I4370" s="90"/>
      <c r="J4370" s="90"/>
    </row>
    <row r="4371" spans="1:10" s="15" customFormat="1" ht="35.25" hidden="1" customHeight="1" outlineLevel="1" x14ac:dyDescent="0.25">
      <c r="A4371" s="18">
        <v>2862</v>
      </c>
      <c r="B4371" s="4" t="s">
        <v>35</v>
      </c>
      <c r="C4371" s="22" t="s">
        <v>2187</v>
      </c>
      <c r="D4371" s="18">
        <v>2022</v>
      </c>
      <c r="E4371" s="18" t="s">
        <v>33</v>
      </c>
      <c r="F4371" s="18">
        <v>1</v>
      </c>
      <c r="G4371" s="18">
        <v>50</v>
      </c>
      <c r="H4371" s="18">
        <f>0.24232663*(1000)</f>
        <v>242.32662999999999</v>
      </c>
      <c r="I4371" s="90"/>
      <c r="J4371" s="90"/>
    </row>
    <row r="4372" spans="1:10" s="15" customFormat="1" ht="35.25" hidden="1" customHeight="1" outlineLevel="1" x14ac:dyDescent="0.25">
      <c r="A4372" s="18">
        <v>2915</v>
      </c>
      <c r="B4372" s="4" t="s">
        <v>35</v>
      </c>
      <c r="C4372" s="22" t="s">
        <v>2190</v>
      </c>
      <c r="D4372" s="18">
        <v>2022</v>
      </c>
      <c r="E4372" s="18" t="s">
        <v>33</v>
      </c>
      <c r="F4372" s="18">
        <v>1</v>
      </c>
      <c r="G4372" s="18">
        <v>80</v>
      </c>
      <c r="H4372" s="18">
        <f>0.30578279*(1000)</f>
        <v>305.78279000000003</v>
      </c>
      <c r="I4372" s="90"/>
      <c r="J4372" s="90"/>
    </row>
    <row r="4373" spans="1:10" s="15" customFormat="1" ht="35.25" hidden="1" customHeight="1" outlineLevel="1" x14ac:dyDescent="0.25">
      <c r="A4373" s="18">
        <v>2991</v>
      </c>
      <c r="B4373" s="4" t="s">
        <v>35</v>
      </c>
      <c r="C4373" s="22" t="s">
        <v>2889</v>
      </c>
      <c r="D4373" s="18">
        <v>2022</v>
      </c>
      <c r="E4373" s="18" t="s">
        <v>33</v>
      </c>
      <c r="F4373" s="18">
        <v>1</v>
      </c>
      <c r="G4373" s="18">
        <v>80</v>
      </c>
      <c r="H4373" s="18">
        <f>0.1496381*(1000)</f>
        <v>149.63810000000001</v>
      </c>
      <c r="I4373" s="90"/>
      <c r="J4373" s="90"/>
    </row>
    <row r="4374" spans="1:10" s="15" customFormat="1" ht="35.25" hidden="1" customHeight="1" outlineLevel="1" x14ac:dyDescent="0.25">
      <c r="A4374" s="18">
        <v>4126</v>
      </c>
      <c r="B4374" s="4" t="s">
        <v>35</v>
      </c>
      <c r="C4374" s="22" t="s">
        <v>2198</v>
      </c>
      <c r="D4374" s="18">
        <v>2022</v>
      </c>
      <c r="E4374" s="18" t="s">
        <v>33</v>
      </c>
      <c r="F4374" s="18">
        <v>1</v>
      </c>
      <c r="G4374" s="18">
        <v>80</v>
      </c>
      <c r="H4374" s="18">
        <f>0.69041567*(1000)</f>
        <v>690.41567000000009</v>
      </c>
      <c r="I4374" s="90"/>
      <c r="J4374" s="90"/>
    </row>
    <row r="4375" spans="1:10" s="15" customFormat="1" ht="35.25" hidden="1" customHeight="1" outlineLevel="1" x14ac:dyDescent="0.25">
      <c r="A4375" s="18">
        <v>4223</v>
      </c>
      <c r="B4375" s="4" t="s">
        <v>35</v>
      </c>
      <c r="C4375" s="22" t="s">
        <v>2236</v>
      </c>
      <c r="D4375" s="18">
        <v>2022</v>
      </c>
      <c r="E4375" s="18" t="s">
        <v>33</v>
      </c>
      <c r="F4375" s="18">
        <v>1</v>
      </c>
      <c r="G4375" s="18">
        <v>90</v>
      </c>
      <c r="H4375" s="18">
        <f>0.68623833*(1000)</f>
        <v>686.23833000000002</v>
      </c>
      <c r="I4375" s="90"/>
      <c r="J4375" s="90"/>
    </row>
    <row r="4376" spans="1:10" s="15" customFormat="1" ht="35.25" hidden="1" customHeight="1" outlineLevel="1" x14ac:dyDescent="0.25">
      <c r="A4376" s="18">
        <v>1547</v>
      </c>
      <c r="B4376" s="4" t="s">
        <v>35</v>
      </c>
      <c r="C4376" s="22" t="s">
        <v>2253</v>
      </c>
      <c r="D4376" s="18">
        <v>2022</v>
      </c>
      <c r="E4376" s="18" t="s">
        <v>33</v>
      </c>
      <c r="F4376" s="18">
        <v>1</v>
      </c>
      <c r="G4376" s="18">
        <v>52</v>
      </c>
      <c r="H4376" s="18">
        <v>591.96999000000005</v>
      </c>
      <c r="I4376" s="90"/>
      <c r="J4376" s="90"/>
    </row>
    <row r="4377" spans="1:10" s="15" customFormat="1" ht="35.25" hidden="1" customHeight="1" outlineLevel="1" x14ac:dyDescent="0.25">
      <c r="A4377" s="18">
        <v>1592</v>
      </c>
      <c r="B4377" s="4" t="s">
        <v>35</v>
      </c>
      <c r="C4377" s="22" t="s">
        <v>2268</v>
      </c>
      <c r="D4377" s="18">
        <v>2022</v>
      </c>
      <c r="E4377" s="18" t="s">
        <v>33</v>
      </c>
      <c r="F4377" s="18">
        <v>1</v>
      </c>
      <c r="G4377" s="18">
        <v>30</v>
      </c>
      <c r="H4377" s="18">
        <v>503.37961999999999</v>
      </c>
      <c r="I4377" s="90"/>
      <c r="J4377" s="90"/>
    </row>
    <row r="4378" spans="1:10" s="15" customFormat="1" ht="35.25" hidden="1" customHeight="1" outlineLevel="1" x14ac:dyDescent="0.25">
      <c r="A4378" s="18">
        <v>1591</v>
      </c>
      <c r="B4378" s="4" t="s">
        <v>35</v>
      </c>
      <c r="C4378" s="22" t="s">
        <v>2273</v>
      </c>
      <c r="D4378" s="18">
        <v>2022</v>
      </c>
      <c r="E4378" s="18" t="s">
        <v>33</v>
      </c>
      <c r="F4378" s="18">
        <v>1</v>
      </c>
      <c r="G4378" s="18">
        <v>25</v>
      </c>
      <c r="H4378" s="18">
        <v>546.14095999999995</v>
      </c>
      <c r="I4378" s="90"/>
      <c r="J4378" s="90"/>
    </row>
    <row r="4379" spans="1:10" s="15" customFormat="1" ht="35.25" hidden="1" customHeight="1" outlineLevel="1" x14ac:dyDescent="0.25">
      <c r="A4379" s="18">
        <v>1434</v>
      </c>
      <c r="B4379" s="4" t="s">
        <v>35</v>
      </c>
      <c r="C4379" s="22" t="s">
        <v>2283</v>
      </c>
      <c r="D4379" s="18">
        <v>2022</v>
      </c>
      <c r="E4379" s="18" t="s">
        <v>33</v>
      </c>
      <c r="F4379" s="18">
        <v>1</v>
      </c>
      <c r="G4379" s="18">
        <v>25</v>
      </c>
      <c r="H4379" s="18">
        <v>559.43848000000003</v>
      </c>
      <c r="I4379" s="90"/>
      <c r="J4379" s="90"/>
    </row>
    <row r="4380" spans="1:10" s="15" customFormat="1" ht="35.25" hidden="1" customHeight="1" outlineLevel="1" x14ac:dyDescent="0.25">
      <c r="A4380" s="18">
        <v>463</v>
      </c>
      <c r="B4380" s="4" t="s">
        <v>35</v>
      </c>
      <c r="C4380" s="22" t="s">
        <v>2452</v>
      </c>
      <c r="D4380" s="18">
        <v>2022</v>
      </c>
      <c r="E4380" s="18" t="s">
        <v>33</v>
      </c>
      <c r="F4380" s="18">
        <v>1</v>
      </c>
      <c r="G4380" s="18">
        <v>50</v>
      </c>
      <c r="H4380" s="18">
        <v>754.00117999999998</v>
      </c>
      <c r="I4380" s="90"/>
      <c r="J4380" s="90"/>
    </row>
    <row r="4381" spans="1:10" s="15" customFormat="1" ht="35.25" hidden="1" customHeight="1" outlineLevel="1" x14ac:dyDescent="0.25">
      <c r="A4381" s="18">
        <v>4792</v>
      </c>
      <c r="B4381" s="4" t="s">
        <v>35</v>
      </c>
      <c r="C4381" s="22" t="s">
        <v>2842</v>
      </c>
      <c r="D4381" s="18">
        <v>2022</v>
      </c>
      <c r="E4381" s="18" t="s">
        <v>33</v>
      </c>
      <c r="F4381" s="18">
        <v>1</v>
      </c>
      <c r="G4381" s="18">
        <v>30.3</v>
      </c>
      <c r="H4381" s="18">
        <v>604</v>
      </c>
      <c r="I4381" s="90"/>
      <c r="J4381" s="90"/>
    </row>
    <row r="4382" spans="1:10" s="15" customFormat="1" ht="35.25" hidden="1" customHeight="1" outlineLevel="1" x14ac:dyDescent="0.25">
      <c r="A4382" s="18">
        <v>4604</v>
      </c>
      <c r="B4382" s="4" t="s">
        <v>35</v>
      </c>
      <c r="C4382" s="22" t="s">
        <v>2849</v>
      </c>
      <c r="D4382" s="18">
        <v>2022</v>
      </c>
      <c r="E4382" s="18" t="s">
        <v>33</v>
      </c>
      <c r="F4382" s="18">
        <v>1</v>
      </c>
      <c r="G4382" s="18">
        <v>25</v>
      </c>
      <c r="H4382" s="18">
        <v>436</v>
      </c>
      <c r="I4382" s="90"/>
      <c r="J4382" s="90"/>
    </row>
    <row r="4383" spans="1:10" s="15" customFormat="1" ht="35.25" hidden="1" customHeight="1" outlineLevel="1" x14ac:dyDescent="0.25">
      <c r="A4383" s="18">
        <v>4877</v>
      </c>
      <c r="B4383" s="4" t="s">
        <v>35</v>
      </c>
      <c r="C4383" s="22" t="s">
        <v>2851</v>
      </c>
      <c r="D4383" s="18">
        <v>2022</v>
      </c>
      <c r="E4383" s="18" t="s">
        <v>33</v>
      </c>
      <c r="F4383" s="18">
        <v>1</v>
      </c>
      <c r="G4383" s="18">
        <v>40</v>
      </c>
      <c r="H4383" s="18">
        <v>652</v>
      </c>
      <c r="I4383" s="90"/>
      <c r="J4383" s="90"/>
    </row>
    <row r="4384" spans="1:10" s="15" customFormat="1" ht="35.25" hidden="1" customHeight="1" outlineLevel="1" x14ac:dyDescent="0.25">
      <c r="A4384" s="18">
        <v>4878</v>
      </c>
      <c r="B4384" s="4" t="s">
        <v>35</v>
      </c>
      <c r="C4384" s="22" t="s">
        <v>2852</v>
      </c>
      <c r="D4384" s="18">
        <v>2022</v>
      </c>
      <c r="E4384" s="18" t="s">
        <v>33</v>
      </c>
      <c r="F4384" s="18">
        <v>1</v>
      </c>
      <c r="G4384" s="18">
        <v>90</v>
      </c>
      <c r="H4384" s="18">
        <v>716</v>
      </c>
      <c r="I4384" s="90"/>
      <c r="J4384" s="90"/>
    </row>
    <row r="4385" spans="1:10" s="15" customFormat="1" ht="35.25" hidden="1" customHeight="1" outlineLevel="1" x14ac:dyDescent="0.25">
      <c r="A4385" s="18">
        <v>4899</v>
      </c>
      <c r="B4385" s="4" t="s">
        <v>35</v>
      </c>
      <c r="C4385" s="22" t="s">
        <v>2855</v>
      </c>
      <c r="D4385" s="18">
        <v>2022</v>
      </c>
      <c r="E4385" s="18" t="s">
        <v>33</v>
      </c>
      <c r="F4385" s="18">
        <v>1</v>
      </c>
      <c r="G4385" s="18">
        <v>47</v>
      </c>
      <c r="H4385" s="18">
        <v>790</v>
      </c>
      <c r="I4385" s="90"/>
      <c r="J4385" s="90"/>
    </row>
    <row r="4386" spans="1:10" s="15" customFormat="1" ht="35.25" hidden="1" customHeight="1" outlineLevel="1" x14ac:dyDescent="0.25">
      <c r="A4386" s="18">
        <v>4589</v>
      </c>
      <c r="B4386" s="4" t="s">
        <v>35</v>
      </c>
      <c r="C4386" s="22" t="s">
        <v>2964</v>
      </c>
      <c r="D4386" s="18">
        <v>2022</v>
      </c>
      <c r="E4386" s="18" t="s">
        <v>33</v>
      </c>
      <c r="F4386" s="18">
        <v>1</v>
      </c>
      <c r="G4386" s="18">
        <v>20</v>
      </c>
      <c r="H4386" s="18">
        <v>364.43900000000002</v>
      </c>
      <c r="I4386" s="90"/>
      <c r="J4386" s="90"/>
    </row>
    <row r="4387" spans="1:10" s="15" customFormat="1" ht="35.25" hidden="1" customHeight="1" outlineLevel="1" x14ac:dyDescent="0.25">
      <c r="A4387" s="18">
        <v>4829</v>
      </c>
      <c r="B4387" s="4" t="s">
        <v>35</v>
      </c>
      <c r="C4387" s="22" t="s">
        <v>2977</v>
      </c>
      <c r="D4387" s="18">
        <v>2022</v>
      </c>
      <c r="E4387" s="18" t="s">
        <v>33</v>
      </c>
      <c r="F4387" s="18">
        <v>1</v>
      </c>
      <c r="G4387" s="18">
        <v>15</v>
      </c>
      <c r="H4387" s="18">
        <v>453.78000000000003</v>
      </c>
      <c r="I4387" s="90"/>
      <c r="J4387" s="90"/>
    </row>
    <row r="4388" spans="1:10" s="15" customFormat="1" ht="35.25" hidden="1" customHeight="1" outlineLevel="1" x14ac:dyDescent="0.25">
      <c r="A4388" s="18">
        <v>2069</v>
      </c>
      <c r="B4388" s="4" t="s">
        <v>35</v>
      </c>
      <c r="C4388" s="22" t="s">
        <v>3095</v>
      </c>
      <c r="D4388" s="18">
        <v>2022</v>
      </c>
      <c r="E4388" s="18" t="s">
        <v>33</v>
      </c>
      <c r="F4388" s="18">
        <v>1</v>
      </c>
      <c r="G4388" s="18">
        <v>80</v>
      </c>
      <c r="H4388" s="18">
        <v>439.43150000000003</v>
      </c>
      <c r="I4388" s="90"/>
      <c r="J4388" s="90"/>
    </row>
    <row r="4389" spans="1:10" s="15" customFormat="1" ht="35.25" hidden="1" customHeight="1" outlineLevel="1" x14ac:dyDescent="0.25">
      <c r="A4389" s="18">
        <v>5885</v>
      </c>
      <c r="B4389" s="4" t="s">
        <v>35</v>
      </c>
      <c r="C4389" s="22" t="s">
        <v>2553</v>
      </c>
      <c r="D4389" s="18">
        <v>2022</v>
      </c>
      <c r="E4389" s="18" t="s">
        <v>33</v>
      </c>
      <c r="F4389" s="18">
        <v>1</v>
      </c>
      <c r="G4389" s="18">
        <v>30</v>
      </c>
      <c r="H4389" s="18">
        <v>706.03200000000004</v>
      </c>
      <c r="I4389" s="90"/>
      <c r="J4389" s="90"/>
    </row>
    <row r="4390" spans="1:10" s="15" customFormat="1" ht="35.25" hidden="1" customHeight="1" outlineLevel="1" x14ac:dyDescent="0.25">
      <c r="A4390" s="18">
        <v>5768</v>
      </c>
      <c r="B4390" s="4" t="s">
        <v>35</v>
      </c>
      <c r="C4390" s="22" t="s">
        <v>2560</v>
      </c>
      <c r="D4390" s="18">
        <v>2022</v>
      </c>
      <c r="E4390" s="18" t="s">
        <v>33</v>
      </c>
      <c r="F4390" s="18">
        <v>1</v>
      </c>
      <c r="G4390" s="18">
        <v>62</v>
      </c>
      <c r="H4390" s="18">
        <v>562.51099999999997</v>
      </c>
      <c r="I4390" s="90"/>
      <c r="J4390" s="90"/>
    </row>
    <row r="4391" spans="1:10" s="15" customFormat="1" ht="35.25" hidden="1" customHeight="1" outlineLevel="1" x14ac:dyDescent="0.25">
      <c r="A4391" s="18">
        <v>181</v>
      </c>
      <c r="B4391" s="4" t="s">
        <v>35</v>
      </c>
      <c r="C4391" s="22" t="s">
        <v>2578</v>
      </c>
      <c r="D4391" s="18">
        <v>2022</v>
      </c>
      <c r="E4391" s="18" t="s">
        <v>33</v>
      </c>
      <c r="F4391" s="18">
        <v>1</v>
      </c>
      <c r="G4391" s="18">
        <v>15</v>
      </c>
      <c r="H4391" s="18">
        <v>533</v>
      </c>
      <c r="I4391" s="90"/>
      <c r="J4391" s="90"/>
    </row>
    <row r="4392" spans="1:10" s="15" customFormat="1" ht="35.25" hidden="1" customHeight="1" outlineLevel="1" x14ac:dyDescent="0.25">
      <c r="A4392" s="18">
        <v>261</v>
      </c>
      <c r="B4392" s="4" t="s">
        <v>35</v>
      </c>
      <c r="C4392" s="22" t="s">
        <v>2924</v>
      </c>
      <c r="D4392" s="18">
        <v>2022</v>
      </c>
      <c r="E4392" s="18" t="s">
        <v>33</v>
      </c>
      <c r="F4392" s="18">
        <v>1</v>
      </c>
      <c r="G4392" s="18">
        <v>25</v>
      </c>
      <c r="H4392" s="18">
        <v>508</v>
      </c>
      <c r="I4392" s="90"/>
      <c r="J4392" s="90"/>
    </row>
    <row r="4393" spans="1:10" s="15" customFormat="1" ht="35.25" hidden="1" customHeight="1" outlineLevel="1" x14ac:dyDescent="0.25">
      <c r="A4393" s="18">
        <v>355</v>
      </c>
      <c r="B4393" s="4" t="s">
        <v>35</v>
      </c>
      <c r="C4393" s="22" t="s">
        <v>2709</v>
      </c>
      <c r="D4393" s="18">
        <v>2022</v>
      </c>
      <c r="E4393" s="18" t="s">
        <v>33</v>
      </c>
      <c r="F4393" s="18">
        <v>1</v>
      </c>
      <c r="G4393" s="18">
        <v>60</v>
      </c>
      <c r="H4393" s="18">
        <v>770</v>
      </c>
      <c r="I4393" s="90"/>
      <c r="J4393" s="90"/>
    </row>
    <row r="4394" spans="1:10" s="15" customFormat="1" ht="35.25" hidden="1" customHeight="1" outlineLevel="1" x14ac:dyDescent="0.25">
      <c r="A4394" s="18">
        <v>398</v>
      </c>
      <c r="B4394" s="4" t="s">
        <v>35</v>
      </c>
      <c r="C4394" s="22" t="s">
        <v>2711</v>
      </c>
      <c r="D4394" s="18">
        <v>2022</v>
      </c>
      <c r="E4394" s="18" t="s">
        <v>33</v>
      </c>
      <c r="F4394" s="18">
        <v>1</v>
      </c>
      <c r="G4394" s="18">
        <v>30</v>
      </c>
      <c r="H4394" s="18">
        <v>574</v>
      </c>
      <c r="I4394" s="90"/>
      <c r="J4394" s="90"/>
    </row>
    <row r="4395" spans="1:10" s="15" customFormat="1" ht="35.25" hidden="1" customHeight="1" outlineLevel="1" x14ac:dyDescent="0.25">
      <c r="A4395" s="18">
        <v>423</v>
      </c>
      <c r="B4395" s="4" t="s">
        <v>35</v>
      </c>
      <c r="C4395" s="22" t="s">
        <v>2871</v>
      </c>
      <c r="D4395" s="18">
        <v>2022</v>
      </c>
      <c r="E4395" s="18" t="s">
        <v>33</v>
      </c>
      <c r="F4395" s="18">
        <v>1</v>
      </c>
      <c r="G4395" s="18">
        <v>45</v>
      </c>
      <c r="H4395" s="18">
        <v>760</v>
      </c>
      <c r="I4395" s="90"/>
      <c r="J4395" s="90"/>
    </row>
    <row r="4396" spans="1:10" s="15" customFormat="1" ht="35.25" hidden="1" customHeight="1" outlineLevel="1" x14ac:dyDescent="0.25">
      <c r="A4396" s="18">
        <v>432</v>
      </c>
      <c r="B4396" s="4" t="s">
        <v>35</v>
      </c>
      <c r="C4396" s="22" t="s">
        <v>2874</v>
      </c>
      <c r="D4396" s="18">
        <v>2022</v>
      </c>
      <c r="E4396" s="18" t="s">
        <v>33</v>
      </c>
      <c r="F4396" s="18">
        <v>1</v>
      </c>
      <c r="G4396" s="18">
        <v>15</v>
      </c>
      <c r="H4396" s="18">
        <v>622</v>
      </c>
      <c r="I4396" s="90"/>
      <c r="J4396" s="90"/>
    </row>
    <row r="4397" spans="1:10" s="15" customFormat="1" ht="35.25" hidden="1" customHeight="1" outlineLevel="1" x14ac:dyDescent="0.25">
      <c r="A4397" s="18">
        <v>181</v>
      </c>
      <c r="B4397" s="4" t="s">
        <v>35</v>
      </c>
      <c r="C4397" s="22" t="s">
        <v>2578</v>
      </c>
      <c r="D4397" s="18">
        <v>2022</v>
      </c>
      <c r="E4397" s="18" t="s">
        <v>33</v>
      </c>
      <c r="F4397" s="18">
        <v>1</v>
      </c>
      <c r="G4397" s="18">
        <v>15</v>
      </c>
      <c r="H4397" s="18">
        <v>533</v>
      </c>
      <c r="I4397" s="90"/>
      <c r="J4397" s="90"/>
    </row>
    <row r="4398" spans="1:10" s="15" customFormat="1" ht="35.25" hidden="1" customHeight="1" outlineLevel="1" x14ac:dyDescent="0.25">
      <c r="A4398" s="18">
        <v>261</v>
      </c>
      <c r="B4398" s="4" t="s">
        <v>35</v>
      </c>
      <c r="C4398" s="22" t="s">
        <v>2924</v>
      </c>
      <c r="D4398" s="18">
        <v>2022</v>
      </c>
      <c r="E4398" s="18" t="s">
        <v>33</v>
      </c>
      <c r="F4398" s="18">
        <v>1</v>
      </c>
      <c r="G4398" s="18">
        <v>25</v>
      </c>
      <c r="H4398" s="18">
        <v>508</v>
      </c>
      <c r="I4398" s="90"/>
      <c r="J4398" s="90"/>
    </row>
    <row r="4399" spans="1:10" s="15" customFormat="1" ht="35.25" hidden="1" customHeight="1" outlineLevel="1" x14ac:dyDescent="0.25">
      <c r="A4399" s="18">
        <v>355</v>
      </c>
      <c r="B4399" s="4" t="s">
        <v>35</v>
      </c>
      <c r="C4399" s="22" t="s">
        <v>2709</v>
      </c>
      <c r="D4399" s="18">
        <v>2022</v>
      </c>
      <c r="E4399" s="18" t="s">
        <v>33</v>
      </c>
      <c r="F4399" s="18">
        <v>1</v>
      </c>
      <c r="G4399" s="18">
        <v>60</v>
      </c>
      <c r="H4399" s="18">
        <v>770</v>
      </c>
      <c r="I4399" s="90"/>
      <c r="J4399" s="90"/>
    </row>
    <row r="4400" spans="1:10" s="15" customFormat="1" ht="35.25" hidden="1" customHeight="1" outlineLevel="1" x14ac:dyDescent="0.25">
      <c r="A4400" s="18">
        <v>398</v>
      </c>
      <c r="B4400" s="4" t="s">
        <v>35</v>
      </c>
      <c r="C4400" s="22" t="s">
        <v>2711</v>
      </c>
      <c r="D4400" s="18">
        <v>2022</v>
      </c>
      <c r="E4400" s="18" t="s">
        <v>33</v>
      </c>
      <c r="F4400" s="18">
        <v>1</v>
      </c>
      <c r="G4400" s="18">
        <v>30</v>
      </c>
      <c r="H4400" s="18">
        <v>574</v>
      </c>
      <c r="I4400" s="90"/>
      <c r="J4400" s="90"/>
    </row>
    <row r="4401" spans="1:10" s="15" customFormat="1" ht="35.25" hidden="1" customHeight="1" outlineLevel="1" x14ac:dyDescent="0.25">
      <c r="A4401" s="18">
        <v>5056</v>
      </c>
      <c r="B4401" s="4" t="s">
        <v>35</v>
      </c>
      <c r="C4401" s="38" t="s">
        <v>3147</v>
      </c>
      <c r="D4401" s="18">
        <v>2022</v>
      </c>
      <c r="E4401" s="18" t="s">
        <v>33</v>
      </c>
      <c r="F4401" s="4">
        <v>16</v>
      </c>
      <c r="G4401" s="4">
        <v>269.2</v>
      </c>
      <c r="H4401" s="4">
        <v>10474</v>
      </c>
      <c r="I4401" s="201"/>
      <c r="J4401" s="201"/>
    </row>
    <row r="4402" spans="1:10" s="15" customFormat="1" ht="35.25" hidden="1" customHeight="1" outlineLevel="1" x14ac:dyDescent="0.25">
      <c r="A4402" s="18">
        <v>423</v>
      </c>
      <c r="B4402" s="4" t="s">
        <v>35</v>
      </c>
      <c r="C4402" s="22" t="s">
        <v>2871</v>
      </c>
      <c r="D4402" s="18">
        <v>2022</v>
      </c>
      <c r="E4402" s="18" t="s">
        <v>33</v>
      </c>
      <c r="F4402" s="18">
        <v>1</v>
      </c>
      <c r="G4402" s="18">
        <v>45</v>
      </c>
      <c r="H4402" s="18">
        <v>760</v>
      </c>
      <c r="I4402" s="90"/>
      <c r="J4402" s="90"/>
    </row>
    <row r="4403" spans="1:10" s="15" customFormat="1" ht="35.25" hidden="1" customHeight="1" outlineLevel="1" x14ac:dyDescent="0.25">
      <c r="A4403" s="18">
        <v>432</v>
      </c>
      <c r="B4403" s="4" t="s">
        <v>35</v>
      </c>
      <c r="C4403" s="22" t="s">
        <v>2874</v>
      </c>
      <c r="D4403" s="18">
        <v>2022</v>
      </c>
      <c r="E4403" s="18" t="s">
        <v>33</v>
      </c>
      <c r="F4403" s="18">
        <v>1</v>
      </c>
      <c r="G4403" s="18">
        <v>15</v>
      </c>
      <c r="H4403" s="18">
        <v>622</v>
      </c>
      <c r="I4403" s="90"/>
      <c r="J4403" s="90"/>
    </row>
    <row r="4404" spans="1:10" s="15" customFormat="1" ht="29.25" hidden="1" customHeight="1" outlineLevel="1" x14ac:dyDescent="0.25">
      <c r="A4404" s="18">
        <v>3026</v>
      </c>
      <c r="B4404" s="6" t="s">
        <v>35</v>
      </c>
      <c r="C4404" s="38" t="s">
        <v>8100</v>
      </c>
      <c r="D4404" s="23">
        <v>2023</v>
      </c>
      <c r="E4404" s="4" t="s">
        <v>33</v>
      </c>
      <c r="F4404" s="6">
        <v>1</v>
      </c>
      <c r="G4404" s="6">
        <v>80</v>
      </c>
      <c r="H4404" s="40">
        <v>940.99</v>
      </c>
      <c r="I4404" s="212"/>
      <c r="J4404" s="212"/>
    </row>
    <row r="4405" spans="1:10" s="15" customFormat="1" ht="29.25" hidden="1" customHeight="1" outlineLevel="1" x14ac:dyDescent="0.25">
      <c r="A4405" s="18">
        <v>3024</v>
      </c>
      <c r="B4405" s="6" t="s">
        <v>35</v>
      </c>
      <c r="C4405" s="38" t="s">
        <v>8147</v>
      </c>
      <c r="D4405" s="23">
        <v>2023</v>
      </c>
      <c r="E4405" s="4" t="s">
        <v>33</v>
      </c>
      <c r="F4405" s="6">
        <v>1</v>
      </c>
      <c r="G4405" s="6">
        <v>80</v>
      </c>
      <c r="H4405" s="40">
        <v>930.01100000000008</v>
      </c>
      <c r="I4405" s="212"/>
      <c r="J4405" s="212"/>
    </row>
    <row r="4406" spans="1:10" s="15" customFormat="1" ht="29.25" hidden="1" customHeight="1" outlineLevel="1" x14ac:dyDescent="0.25">
      <c r="A4406" s="18">
        <v>1088</v>
      </c>
      <c r="B4406" s="6" t="s">
        <v>35</v>
      </c>
      <c r="C4406" s="38" t="s">
        <v>8105</v>
      </c>
      <c r="D4406" s="23">
        <v>2023</v>
      </c>
      <c r="E4406" s="4" t="s">
        <v>33</v>
      </c>
      <c r="F4406" s="6">
        <v>1</v>
      </c>
      <c r="G4406" s="6">
        <v>45</v>
      </c>
      <c r="H4406" s="40">
        <v>883.56200000000001</v>
      </c>
      <c r="I4406" s="212"/>
      <c r="J4406" s="212"/>
    </row>
    <row r="4407" spans="1:10" s="15" customFormat="1" ht="29.25" hidden="1" customHeight="1" outlineLevel="1" x14ac:dyDescent="0.25">
      <c r="A4407" s="18">
        <v>3018</v>
      </c>
      <c r="B4407" s="6" t="s">
        <v>35</v>
      </c>
      <c r="C4407" s="38" t="s">
        <v>9033</v>
      </c>
      <c r="D4407" s="23">
        <v>2023</v>
      </c>
      <c r="E4407" s="4" t="s">
        <v>33</v>
      </c>
      <c r="F4407" s="6">
        <v>1</v>
      </c>
      <c r="G4407" s="6">
        <v>50</v>
      </c>
      <c r="H4407" s="40">
        <v>659.53890000000001</v>
      </c>
      <c r="I4407" s="212"/>
      <c r="J4407" s="212"/>
    </row>
    <row r="4408" spans="1:10" s="15" customFormat="1" ht="29.25" hidden="1" customHeight="1" outlineLevel="1" x14ac:dyDescent="0.25">
      <c r="A4408" s="18">
        <v>4025</v>
      </c>
      <c r="B4408" s="6" t="s">
        <v>35</v>
      </c>
      <c r="C4408" s="38" t="s">
        <v>8366</v>
      </c>
      <c r="D4408" s="23">
        <v>2023</v>
      </c>
      <c r="E4408" s="4" t="s">
        <v>33</v>
      </c>
      <c r="F4408" s="6">
        <v>1</v>
      </c>
      <c r="G4408" s="6">
        <v>75</v>
      </c>
      <c r="H4408" s="40">
        <v>841.15806999999995</v>
      </c>
      <c r="I4408" s="212"/>
      <c r="J4408" s="212"/>
    </row>
    <row r="4409" spans="1:10" s="15" customFormat="1" ht="29.25" hidden="1" customHeight="1" outlineLevel="1" x14ac:dyDescent="0.25">
      <c r="A4409" s="18">
        <v>675</v>
      </c>
      <c r="B4409" s="6" t="s">
        <v>35</v>
      </c>
      <c r="C4409" s="38" t="s">
        <v>9121</v>
      </c>
      <c r="D4409" s="23">
        <v>2023</v>
      </c>
      <c r="E4409" s="4" t="s">
        <v>33</v>
      </c>
      <c r="F4409" s="6">
        <v>1</v>
      </c>
      <c r="G4409" s="6">
        <v>45</v>
      </c>
      <c r="H4409" s="40">
        <v>416.51799999999997</v>
      </c>
      <c r="I4409" s="212"/>
      <c r="J4409" s="212"/>
    </row>
    <row r="4410" spans="1:10" s="15" customFormat="1" ht="29.25" hidden="1" customHeight="1" outlineLevel="1" x14ac:dyDescent="0.25">
      <c r="A4410" s="18">
        <v>461</v>
      </c>
      <c r="B4410" s="6" t="s">
        <v>35</v>
      </c>
      <c r="C4410" s="38" t="s">
        <v>9223</v>
      </c>
      <c r="D4410" s="23">
        <v>2023</v>
      </c>
      <c r="E4410" s="4" t="s">
        <v>33</v>
      </c>
      <c r="F4410" s="6">
        <v>1</v>
      </c>
      <c r="G4410" s="6">
        <v>45</v>
      </c>
      <c r="H4410" s="40">
        <v>836.18979999999999</v>
      </c>
      <c r="I4410" s="212"/>
      <c r="J4410" s="212"/>
    </row>
    <row r="4411" spans="1:10" s="15" customFormat="1" ht="29.25" hidden="1" customHeight="1" outlineLevel="1" x14ac:dyDescent="0.25">
      <c r="A4411" s="18">
        <v>3265</v>
      </c>
      <c r="B4411" s="6" t="s">
        <v>35</v>
      </c>
      <c r="C4411" s="38" t="s">
        <v>9265</v>
      </c>
      <c r="D4411" s="23">
        <v>2023</v>
      </c>
      <c r="E4411" s="4" t="s">
        <v>33</v>
      </c>
      <c r="F4411" s="6">
        <v>1</v>
      </c>
      <c r="G4411" s="6">
        <v>45</v>
      </c>
      <c r="H4411" s="40">
        <v>877.7589999999999</v>
      </c>
      <c r="I4411" s="212"/>
      <c r="J4411" s="212"/>
    </row>
    <row r="4412" spans="1:10" s="15" customFormat="1" ht="29.25" hidden="1" customHeight="1" outlineLevel="1" x14ac:dyDescent="0.25">
      <c r="A4412" s="18">
        <v>3092</v>
      </c>
      <c r="B4412" s="6" t="s">
        <v>35</v>
      </c>
      <c r="C4412" s="38" t="s">
        <v>9299</v>
      </c>
      <c r="D4412" s="23">
        <v>2023</v>
      </c>
      <c r="E4412" s="4" t="s">
        <v>33</v>
      </c>
      <c r="F4412" s="6">
        <v>1</v>
      </c>
      <c r="G4412" s="6">
        <v>40</v>
      </c>
      <c r="H4412" s="40">
        <v>503.96499999999997</v>
      </c>
      <c r="I4412" s="212"/>
      <c r="J4412" s="212"/>
    </row>
    <row r="4413" spans="1:10" s="15" customFormat="1" ht="29.25" hidden="1" customHeight="1" outlineLevel="1" x14ac:dyDescent="0.25">
      <c r="A4413" s="18">
        <v>3060</v>
      </c>
      <c r="B4413" s="6" t="s">
        <v>35</v>
      </c>
      <c r="C4413" s="38" t="s">
        <v>9235</v>
      </c>
      <c r="D4413" s="23">
        <v>2023</v>
      </c>
      <c r="E4413" s="4" t="s">
        <v>33</v>
      </c>
      <c r="F4413" s="6">
        <v>1</v>
      </c>
      <c r="G4413" s="6">
        <v>50</v>
      </c>
      <c r="H4413" s="40">
        <v>740.13300000000004</v>
      </c>
      <c r="I4413" s="212"/>
      <c r="J4413" s="212"/>
    </row>
    <row r="4414" spans="1:10" s="15" customFormat="1" ht="29.25" hidden="1" customHeight="1" outlineLevel="1" x14ac:dyDescent="0.25">
      <c r="A4414" s="18">
        <v>4790</v>
      </c>
      <c r="B4414" s="6" t="s">
        <v>35</v>
      </c>
      <c r="C4414" s="38" t="s">
        <v>9067</v>
      </c>
      <c r="D4414" s="23">
        <v>2023</v>
      </c>
      <c r="E4414" s="4" t="s">
        <v>33</v>
      </c>
      <c r="F4414" s="6">
        <v>1</v>
      </c>
      <c r="G4414" s="6">
        <v>54.2</v>
      </c>
      <c r="H4414" s="40">
        <v>850.26800000000003</v>
      </c>
      <c r="I4414" s="212"/>
      <c r="J4414" s="212"/>
    </row>
    <row r="4415" spans="1:10" s="15" customFormat="1" ht="29.25" hidden="1" customHeight="1" outlineLevel="1" x14ac:dyDescent="0.25">
      <c r="A4415" s="18">
        <v>5051</v>
      </c>
      <c r="B4415" s="6" t="s">
        <v>35</v>
      </c>
      <c r="C4415" s="38" t="s">
        <v>8547</v>
      </c>
      <c r="D4415" s="23">
        <v>2023</v>
      </c>
      <c r="E4415" s="4" t="s">
        <v>33</v>
      </c>
      <c r="F4415" s="6">
        <v>1</v>
      </c>
      <c r="G4415" s="6">
        <v>30</v>
      </c>
      <c r="H4415" s="40">
        <v>317.81187</v>
      </c>
      <c r="I4415" s="212"/>
      <c r="J4415" s="212"/>
    </row>
    <row r="4416" spans="1:10" s="15" customFormat="1" ht="29.25" hidden="1" customHeight="1" outlineLevel="1" x14ac:dyDescent="0.25">
      <c r="A4416" s="18">
        <v>5052</v>
      </c>
      <c r="B4416" s="6" t="s">
        <v>35</v>
      </c>
      <c r="C4416" s="38" t="s">
        <v>8548</v>
      </c>
      <c r="D4416" s="23">
        <v>2023</v>
      </c>
      <c r="E4416" s="4" t="s">
        <v>33</v>
      </c>
      <c r="F4416" s="6">
        <v>1</v>
      </c>
      <c r="G4416" s="6">
        <v>10</v>
      </c>
      <c r="H4416" s="40">
        <v>792.58976000000007</v>
      </c>
      <c r="I4416" s="212"/>
      <c r="J4416" s="212"/>
    </row>
    <row r="4417" spans="1:10" s="15" customFormat="1" ht="29.25" hidden="1" customHeight="1" outlineLevel="1" x14ac:dyDescent="0.25">
      <c r="A4417" s="18">
        <v>287</v>
      </c>
      <c r="B4417" s="6" t="s">
        <v>35</v>
      </c>
      <c r="C4417" s="38" t="s">
        <v>9071</v>
      </c>
      <c r="D4417" s="23">
        <v>2023</v>
      </c>
      <c r="E4417" s="4" t="s">
        <v>33</v>
      </c>
      <c r="F4417" s="6">
        <v>1</v>
      </c>
      <c r="G4417" s="6">
        <v>82</v>
      </c>
      <c r="H4417" s="40">
        <v>780.6257599999999</v>
      </c>
      <c r="I4417" s="212"/>
      <c r="J4417" s="212"/>
    </row>
    <row r="4418" spans="1:10" s="15" customFormat="1" ht="29.25" hidden="1" customHeight="1" outlineLevel="1" x14ac:dyDescent="0.25">
      <c r="A4418" s="18">
        <v>1077</v>
      </c>
      <c r="B4418" s="6" t="s">
        <v>35</v>
      </c>
      <c r="C4418" s="38" t="s">
        <v>9140</v>
      </c>
      <c r="D4418" s="23">
        <v>2023</v>
      </c>
      <c r="E4418" s="4" t="s">
        <v>33</v>
      </c>
      <c r="F4418" s="6">
        <v>1</v>
      </c>
      <c r="G4418" s="6">
        <v>80</v>
      </c>
      <c r="H4418" s="40">
        <v>822.78372000000002</v>
      </c>
      <c r="I4418" s="212"/>
      <c r="J4418" s="212"/>
    </row>
    <row r="4419" spans="1:10" s="15" customFormat="1" ht="29.25" hidden="1" customHeight="1" outlineLevel="1" x14ac:dyDescent="0.25">
      <c r="A4419" s="18">
        <v>5172</v>
      </c>
      <c r="B4419" s="6" t="s">
        <v>35</v>
      </c>
      <c r="C4419" s="38" t="s">
        <v>9078</v>
      </c>
      <c r="D4419" s="23">
        <v>2023</v>
      </c>
      <c r="E4419" s="4" t="s">
        <v>33</v>
      </c>
      <c r="F4419" s="6">
        <v>1</v>
      </c>
      <c r="G4419" s="6">
        <v>30</v>
      </c>
      <c r="H4419" s="40">
        <v>786.44468000000006</v>
      </c>
      <c r="I4419" s="212"/>
      <c r="J4419" s="212"/>
    </row>
    <row r="4420" spans="1:10" s="15" customFormat="1" ht="29.25" hidden="1" customHeight="1" outlineLevel="1" x14ac:dyDescent="0.25">
      <c r="A4420" s="18">
        <v>820</v>
      </c>
      <c r="B4420" s="6" t="s">
        <v>35</v>
      </c>
      <c r="C4420" s="38" t="s">
        <v>9079</v>
      </c>
      <c r="D4420" s="23">
        <v>2023</v>
      </c>
      <c r="E4420" s="4" t="s">
        <v>33</v>
      </c>
      <c r="F4420" s="6">
        <v>1</v>
      </c>
      <c r="G4420" s="6">
        <v>41</v>
      </c>
      <c r="H4420" s="40">
        <v>822.11659999999995</v>
      </c>
      <c r="I4420" s="212"/>
      <c r="J4420" s="212"/>
    </row>
    <row r="4421" spans="1:10" s="15" customFormat="1" ht="29.25" hidden="1" customHeight="1" outlineLevel="1" x14ac:dyDescent="0.25">
      <c r="A4421" s="18">
        <v>5509</v>
      </c>
      <c r="B4421" s="6" t="s">
        <v>35</v>
      </c>
      <c r="C4421" s="38" t="s">
        <v>8635</v>
      </c>
      <c r="D4421" s="23">
        <v>2023</v>
      </c>
      <c r="E4421" s="4" t="s">
        <v>33</v>
      </c>
      <c r="F4421" s="6">
        <v>1</v>
      </c>
      <c r="G4421" s="6">
        <v>30</v>
      </c>
      <c r="H4421" s="40">
        <v>461.40098</v>
      </c>
      <c r="I4421" s="212"/>
      <c r="J4421" s="212"/>
    </row>
    <row r="4422" spans="1:10" s="15" customFormat="1" ht="29.25" hidden="1" customHeight="1" outlineLevel="1" x14ac:dyDescent="0.25">
      <c r="A4422" s="18">
        <v>2984</v>
      </c>
      <c r="B4422" s="6" t="s">
        <v>35</v>
      </c>
      <c r="C4422" s="38" t="s">
        <v>8656</v>
      </c>
      <c r="D4422" s="23">
        <v>2023</v>
      </c>
      <c r="E4422" s="4" t="s">
        <v>33</v>
      </c>
      <c r="F4422" s="6">
        <v>1</v>
      </c>
      <c r="G4422" s="6">
        <v>30</v>
      </c>
      <c r="H4422" s="40">
        <v>272.11817000000002</v>
      </c>
      <c r="I4422" s="212"/>
      <c r="J4422" s="212"/>
    </row>
    <row r="4423" spans="1:10" s="15" customFormat="1" ht="29.25" hidden="1" customHeight="1" outlineLevel="1" x14ac:dyDescent="0.25">
      <c r="A4423" s="18">
        <v>3025</v>
      </c>
      <c r="B4423" s="6" t="s">
        <v>35</v>
      </c>
      <c r="C4423" s="38" t="s">
        <v>9086</v>
      </c>
      <c r="D4423" s="23">
        <v>2023</v>
      </c>
      <c r="E4423" s="4" t="s">
        <v>33</v>
      </c>
      <c r="F4423" s="6">
        <v>1</v>
      </c>
      <c r="G4423" s="6">
        <v>50</v>
      </c>
      <c r="H4423" s="40">
        <v>497.44333</v>
      </c>
      <c r="I4423" s="212"/>
      <c r="J4423" s="212"/>
    </row>
    <row r="4424" spans="1:10" s="15" customFormat="1" ht="29.25" hidden="1" customHeight="1" outlineLevel="1" x14ac:dyDescent="0.25">
      <c r="A4424" s="18">
        <v>5798</v>
      </c>
      <c r="B4424" s="6" t="s">
        <v>35</v>
      </c>
      <c r="C4424" s="38" t="s">
        <v>8728</v>
      </c>
      <c r="D4424" s="23">
        <v>2023</v>
      </c>
      <c r="E4424" s="4" t="s">
        <v>33</v>
      </c>
      <c r="F4424" s="6">
        <v>1</v>
      </c>
      <c r="G4424" s="6">
        <v>35</v>
      </c>
      <c r="H4424" s="40">
        <v>362</v>
      </c>
      <c r="I4424" s="212"/>
      <c r="J4424" s="212"/>
    </row>
    <row r="4425" spans="1:10" s="15" customFormat="1" ht="29.25" hidden="1" customHeight="1" outlineLevel="1" x14ac:dyDescent="0.25">
      <c r="A4425" s="18">
        <v>5152</v>
      </c>
      <c r="B4425" s="6" t="s">
        <v>35</v>
      </c>
      <c r="C4425" s="38" t="s">
        <v>8751</v>
      </c>
      <c r="D4425" s="23">
        <v>2023</v>
      </c>
      <c r="E4425" s="4" t="s">
        <v>33</v>
      </c>
      <c r="F4425" s="6">
        <v>1</v>
      </c>
      <c r="G4425" s="6">
        <v>60</v>
      </c>
      <c r="H4425" s="40">
        <v>336.24966000000001</v>
      </c>
      <c r="I4425" s="212"/>
      <c r="J4425" s="212"/>
    </row>
    <row r="4426" spans="1:10" s="15" customFormat="1" ht="29.25" hidden="1" customHeight="1" outlineLevel="1" x14ac:dyDescent="0.25">
      <c r="A4426" s="18">
        <v>5797</v>
      </c>
      <c r="B4426" s="6" t="s">
        <v>35</v>
      </c>
      <c r="C4426" s="38" t="s">
        <v>9353</v>
      </c>
      <c r="D4426" s="23">
        <v>2023</v>
      </c>
      <c r="E4426" s="4" t="s">
        <v>33</v>
      </c>
      <c r="F4426" s="6">
        <v>1</v>
      </c>
      <c r="G4426" s="6">
        <v>35</v>
      </c>
      <c r="H4426" s="40">
        <v>375.29476</v>
      </c>
      <c r="I4426" s="212"/>
      <c r="J4426" s="212"/>
    </row>
    <row r="4427" spans="1:10" s="15" customFormat="1" ht="29.25" hidden="1" customHeight="1" outlineLevel="1" x14ac:dyDescent="0.25">
      <c r="A4427" s="18">
        <v>3621</v>
      </c>
      <c r="B4427" s="6" t="s">
        <v>35</v>
      </c>
      <c r="C4427" s="38" t="s">
        <v>9370</v>
      </c>
      <c r="D4427" s="23">
        <v>2023</v>
      </c>
      <c r="E4427" s="4" t="s">
        <v>33</v>
      </c>
      <c r="F4427" s="6">
        <v>1</v>
      </c>
      <c r="G4427" s="6">
        <v>30</v>
      </c>
      <c r="H4427" s="40">
        <v>470</v>
      </c>
      <c r="I4427" s="212"/>
      <c r="J4427" s="212"/>
    </row>
    <row r="4428" spans="1:10" s="15" customFormat="1" ht="29.25" hidden="1" customHeight="1" outlineLevel="1" x14ac:dyDescent="0.25">
      <c r="A4428" s="18">
        <v>654</v>
      </c>
      <c r="B4428" s="6" t="s">
        <v>35</v>
      </c>
      <c r="C4428" s="38" t="s">
        <v>8855</v>
      </c>
      <c r="D4428" s="23">
        <v>2023</v>
      </c>
      <c r="E4428" s="4" t="s">
        <v>33</v>
      </c>
      <c r="F4428" s="6">
        <v>1</v>
      </c>
      <c r="G4428" s="6">
        <v>30</v>
      </c>
      <c r="H4428" s="40">
        <v>450</v>
      </c>
      <c r="I4428" s="212"/>
      <c r="J4428" s="212"/>
    </row>
    <row r="4429" spans="1:10" s="15" customFormat="1" ht="29.25" hidden="1" customHeight="1" outlineLevel="1" x14ac:dyDescent="0.25">
      <c r="A4429" s="18">
        <v>550</v>
      </c>
      <c r="B4429" s="6" t="s">
        <v>35</v>
      </c>
      <c r="C4429" s="38" t="s">
        <v>8871</v>
      </c>
      <c r="D4429" s="23">
        <v>2023</v>
      </c>
      <c r="E4429" s="4" t="s">
        <v>33</v>
      </c>
      <c r="F4429" s="6">
        <v>1</v>
      </c>
      <c r="G4429" s="6">
        <v>30</v>
      </c>
      <c r="H4429" s="40">
        <v>302</v>
      </c>
      <c r="I4429" s="212"/>
      <c r="J4429" s="212"/>
    </row>
    <row r="4430" spans="1:10" s="15" customFormat="1" ht="29.25" hidden="1" customHeight="1" outlineLevel="1" x14ac:dyDescent="0.25">
      <c r="A4430" s="18">
        <v>1631</v>
      </c>
      <c r="B4430" s="6" t="s">
        <v>35</v>
      </c>
      <c r="C4430" s="38" t="s">
        <v>8924</v>
      </c>
      <c r="D4430" s="23">
        <v>2023</v>
      </c>
      <c r="E4430" s="4" t="s">
        <v>33</v>
      </c>
      <c r="F4430" s="6">
        <v>1</v>
      </c>
      <c r="G4430" s="6">
        <v>30</v>
      </c>
      <c r="H4430" s="40">
        <v>453</v>
      </c>
      <c r="I4430" s="212"/>
      <c r="J4430" s="212"/>
    </row>
    <row r="4431" spans="1:10" s="15" customFormat="1" ht="29.25" hidden="1" customHeight="1" outlineLevel="1" x14ac:dyDescent="0.25">
      <c r="A4431" s="18">
        <v>1321</v>
      </c>
      <c r="B4431" s="6" t="s">
        <v>35</v>
      </c>
      <c r="C4431" s="38" t="s">
        <v>8934</v>
      </c>
      <c r="D4431" s="23">
        <v>2023</v>
      </c>
      <c r="E4431" s="4" t="s">
        <v>33</v>
      </c>
      <c r="F4431" s="6">
        <v>1</v>
      </c>
      <c r="G4431" s="6">
        <v>20</v>
      </c>
      <c r="H4431" s="40">
        <v>196</v>
      </c>
      <c r="I4431" s="212"/>
      <c r="J4431" s="212"/>
    </row>
    <row r="4432" spans="1:10" s="15" customFormat="1" ht="29.25" hidden="1" customHeight="1" outlineLevel="1" x14ac:dyDescent="0.25">
      <c r="A4432" s="18">
        <v>2092</v>
      </c>
      <c r="B4432" s="6" t="s">
        <v>35</v>
      </c>
      <c r="C4432" s="38" t="s">
        <v>8953</v>
      </c>
      <c r="D4432" s="23">
        <v>2023</v>
      </c>
      <c r="E4432" s="4" t="s">
        <v>33</v>
      </c>
      <c r="F4432" s="6">
        <v>1</v>
      </c>
      <c r="G4432" s="6">
        <v>16</v>
      </c>
      <c r="H4432" s="40">
        <v>437</v>
      </c>
      <c r="I4432" s="212"/>
      <c r="J4432" s="212"/>
    </row>
    <row r="4433" spans="1:10" s="15" customFormat="1" ht="29.25" hidden="1" customHeight="1" outlineLevel="1" x14ac:dyDescent="0.25">
      <c r="A4433" s="18">
        <v>4523</v>
      </c>
      <c r="B4433" s="6" t="s">
        <v>35</v>
      </c>
      <c r="C4433" s="38" t="s">
        <v>8965</v>
      </c>
      <c r="D4433" s="23">
        <v>2023</v>
      </c>
      <c r="E4433" s="4" t="s">
        <v>33</v>
      </c>
      <c r="F4433" s="6">
        <v>1</v>
      </c>
      <c r="G4433" s="6">
        <v>50</v>
      </c>
      <c r="H4433" s="40">
        <v>469</v>
      </c>
      <c r="I4433" s="212"/>
      <c r="J4433" s="212"/>
    </row>
    <row r="4434" spans="1:10" s="15" customFormat="1" ht="29.25" hidden="1" customHeight="1" outlineLevel="1" x14ac:dyDescent="0.25">
      <c r="A4434" s="18">
        <v>738</v>
      </c>
      <c r="B4434" s="6" t="s">
        <v>35</v>
      </c>
      <c r="C4434" s="38" t="s">
        <v>9186</v>
      </c>
      <c r="D4434" s="23">
        <v>2023</v>
      </c>
      <c r="E4434" s="4" t="s">
        <v>33</v>
      </c>
      <c r="F4434" s="6">
        <v>1</v>
      </c>
      <c r="G4434" s="6">
        <v>23</v>
      </c>
      <c r="H4434" s="40">
        <v>851</v>
      </c>
      <c r="I4434" s="212"/>
      <c r="J4434" s="212"/>
    </row>
    <row r="4435" spans="1:10" s="15" customFormat="1" ht="29.25" hidden="1" customHeight="1" outlineLevel="1" x14ac:dyDescent="0.25">
      <c r="A4435" s="18">
        <v>3439</v>
      </c>
      <c r="B4435" s="6" t="s">
        <v>35</v>
      </c>
      <c r="C4435" s="38" t="s">
        <v>9092</v>
      </c>
      <c r="D4435" s="23">
        <v>2023</v>
      </c>
      <c r="E4435" s="4" t="s">
        <v>33</v>
      </c>
      <c r="F4435" s="6">
        <v>1</v>
      </c>
      <c r="G4435" s="6">
        <v>30</v>
      </c>
      <c r="H4435" s="40">
        <v>398</v>
      </c>
      <c r="I4435" s="212"/>
      <c r="J4435" s="212"/>
    </row>
    <row r="4436" spans="1:10" s="15" customFormat="1" ht="29.25" hidden="1" customHeight="1" outlineLevel="1" x14ac:dyDescent="0.25">
      <c r="A4436" s="18">
        <v>796</v>
      </c>
      <c r="B4436" s="6" t="s">
        <v>35</v>
      </c>
      <c r="C4436" s="38" t="s">
        <v>9099</v>
      </c>
      <c r="D4436" s="23">
        <v>2023</v>
      </c>
      <c r="E4436" s="4" t="s">
        <v>33</v>
      </c>
      <c r="F4436" s="6">
        <v>1</v>
      </c>
      <c r="G4436" s="6">
        <v>45</v>
      </c>
      <c r="H4436" s="40">
        <v>794</v>
      </c>
      <c r="I4436" s="212"/>
      <c r="J4436" s="212"/>
    </row>
    <row r="4437" spans="1:10" s="15" customFormat="1" ht="29.25" hidden="1" customHeight="1" outlineLevel="1" x14ac:dyDescent="0.25">
      <c r="A4437" s="18">
        <v>1183</v>
      </c>
      <c r="B4437" s="6" t="s">
        <v>35</v>
      </c>
      <c r="C4437" s="38" t="s">
        <v>9104</v>
      </c>
      <c r="D4437" s="23">
        <v>2023</v>
      </c>
      <c r="E4437" s="4" t="s">
        <v>33</v>
      </c>
      <c r="F4437" s="6">
        <v>1</v>
      </c>
      <c r="G4437" s="6">
        <v>110</v>
      </c>
      <c r="H4437" s="40">
        <v>1204</v>
      </c>
      <c r="I4437" s="212"/>
      <c r="J4437" s="212"/>
    </row>
    <row r="4438" spans="1:10" s="15" customFormat="1" ht="29.25" hidden="1" customHeight="1" outlineLevel="1" x14ac:dyDescent="0.25">
      <c r="A4438" s="18">
        <v>660</v>
      </c>
      <c r="B4438" s="6" t="s">
        <v>35</v>
      </c>
      <c r="C4438" s="38" t="s">
        <v>9110</v>
      </c>
      <c r="D4438" s="23">
        <v>2023</v>
      </c>
      <c r="E4438" s="4" t="s">
        <v>33</v>
      </c>
      <c r="F4438" s="6">
        <v>1</v>
      </c>
      <c r="G4438" s="6">
        <v>30</v>
      </c>
      <c r="H4438" s="40">
        <v>715</v>
      </c>
      <c r="I4438" s="212"/>
      <c r="J4438" s="212"/>
    </row>
    <row r="4439" spans="1:10" s="15" customFormat="1" ht="32.25" hidden="1" customHeight="1" outlineLevel="1" x14ac:dyDescent="0.25">
      <c r="A4439" s="46">
        <v>9522</v>
      </c>
      <c r="B4439" s="4" t="s">
        <v>35</v>
      </c>
      <c r="C4439" s="22" t="s">
        <v>61</v>
      </c>
      <c r="D4439" s="18">
        <v>2021</v>
      </c>
      <c r="E4439" s="18"/>
      <c r="F4439" s="18">
        <v>1</v>
      </c>
      <c r="G4439" s="18">
        <v>15</v>
      </c>
      <c r="H4439" s="18">
        <v>386.91</v>
      </c>
      <c r="I4439" s="90"/>
      <c r="J4439" s="90"/>
    </row>
    <row r="4440" spans="1:10" s="15" customFormat="1" ht="32.25" hidden="1" customHeight="1" outlineLevel="1" x14ac:dyDescent="0.25">
      <c r="A4440" s="46">
        <v>9733</v>
      </c>
      <c r="B4440" s="4" t="s">
        <v>35</v>
      </c>
      <c r="C4440" s="22" t="s">
        <v>66</v>
      </c>
      <c r="D4440" s="18">
        <v>2021</v>
      </c>
      <c r="E4440" s="18"/>
      <c r="F4440" s="18">
        <v>1</v>
      </c>
      <c r="G4440" s="18">
        <v>15</v>
      </c>
      <c r="H4440" s="18">
        <v>343.74299999999999</v>
      </c>
      <c r="I4440" s="90"/>
      <c r="J4440" s="90"/>
    </row>
    <row r="4441" spans="1:10" s="15" customFormat="1" ht="32.25" hidden="1" customHeight="1" outlineLevel="1" x14ac:dyDescent="0.25">
      <c r="A4441" s="45">
        <v>1285</v>
      </c>
      <c r="B4441" s="4" t="s">
        <v>35</v>
      </c>
      <c r="C4441" s="22" t="s">
        <v>223</v>
      </c>
      <c r="D4441" s="18">
        <v>2021</v>
      </c>
      <c r="E4441" s="18"/>
      <c r="F4441" s="18">
        <v>1</v>
      </c>
      <c r="G4441" s="18">
        <v>30</v>
      </c>
      <c r="H4441" s="18">
        <v>452.92338999999998</v>
      </c>
      <c r="I4441" s="90"/>
      <c r="J4441" s="90"/>
    </row>
    <row r="4442" spans="1:10" s="15" customFormat="1" ht="32.25" hidden="1" customHeight="1" outlineLevel="1" x14ac:dyDescent="0.25">
      <c r="A4442" s="46">
        <v>9650</v>
      </c>
      <c r="B4442" s="4" t="s">
        <v>35</v>
      </c>
      <c r="C4442" s="22" t="s">
        <v>890</v>
      </c>
      <c r="D4442" s="18">
        <v>2021</v>
      </c>
      <c r="E4442" s="18"/>
      <c r="F4442" s="18">
        <v>1</v>
      </c>
      <c r="G4442" s="18">
        <v>70</v>
      </c>
      <c r="H4442" s="18">
        <v>827</v>
      </c>
      <c r="I4442" s="90"/>
      <c r="J4442" s="90"/>
    </row>
    <row r="4443" spans="1:10" s="15" customFormat="1" ht="32.25" hidden="1" customHeight="1" outlineLevel="1" x14ac:dyDescent="0.25">
      <c r="A4443" s="46">
        <v>9666</v>
      </c>
      <c r="B4443" s="4" t="s">
        <v>35</v>
      </c>
      <c r="C4443" s="22" t="s">
        <v>753</v>
      </c>
      <c r="D4443" s="18">
        <v>2021</v>
      </c>
      <c r="E4443" s="18"/>
      <c r="F4443" s="18">
        <v>1</v>
      </c>
      <c r="G4443" s="18">
        <v>90</v>
      </c>
      <c r="H4443" s="18">
        <v>492</v>
      </c>
      <c r="I4443" s="90"/>
      <c r="J4443" s="90"/>
    </row>
    <row r="4444" spans="1:10" s="15" customFormat="1" ht="32.25" hidden="1" customHeight="1" outlineLevel="1" x14ac:dyDescent="0.25">
      <c r="A4444" s="45">
        <v>433</v>
      </c>
      <c r="B4444" s="4" t="s">
        <v>35</v>
      </c>
      <c r="C4444" s="22" t="s">
        <v>139</v>
      </c>
      <c r="D4444" s="18">
        <v>2021</v>
      </c>
      <c r="E4444" s="18"/>
      <c r="F4444" s="18">
        <v>1</v>
      </c>
      <c r="G4444" s="18">
        <v>45</v>
      </c>
      <c r="H4444" s="18">
        <v>374.34100000000001</v>
      </c>
      <c r="I4444" s="90"/>
      <c r="J4444" s="90"/>
    </row>
    <row r="4445" spans="1:10" s="15" customFormat="1" ht="32.25" hidden="1" customHeight="1" outlineLevel="1" x14ac:dyDescent="0.25">
      <c r="A4445" s="46">
        <v>9369</v>
      </c>
      <c r="B4445" s="4" t="s">
        <v>35</v>
      </c>
      <c r="C4445" s="22" t="s">
        <v>197</v>
      </c>
      <c r="D4445" s="18">
        <v>2021</v>
      </c>
      <c r="E4445" s="18"/>
      <c r="F4445" s="18">
        <v>1</v>
      </c>
      <c r="G4445" s="18">
        <v>75</v>
      </c>
      <c r="H4445" s="18">
        <v>387.637</v>
      </c>
      <c r="I4445" s="90"/>
      <c r="J4445" s="90"/>
    </row>
    <row r="4446" spans="1:10" s="15" customFormat="1" ht="32.25" hidden="1" customHeight="1" outlineLevel="1" x14ac:dyDescent="0.25">
      <c r="A4446" s="46">
        <v>9358</v>
      </c>
      <c r="B4446" s="4" t="s">
        <v>35</v>
      </c>
      <c r="C4446" s="38" t="s">
        <v>198</v>
      </c>
      <c r="D4446" s="18">
        <v>2021</v>
      </c>
      <c r="E4446" s="18"/>
      <c r="F4446" s="18">
        <v>1</v>
      </c>
      <c r="G4446" s="18">
        <v>45</v>
      </c>
      <c r="H4446" s="18">
        <v>372.72399999999999</v>
      </c>
      <c r="I4446" s="90"/>
      <c r="J4446" s="90"/>
    </row>
    <row r="4447" spans="1:10" s="15" customFormat="1" ht="32.25" hidden="1" customHeight="1" outlineLevel="1" x14ac:dyDescent="0.25">
      <c r="A4447" s="46">
        <v>9373</v>
      </c>
      <c r="B4447" s="4" t="s">
        <v>35</v>
      </c>
      <c r="C4447" s="22" t="s">
        <v>168</v>
      </c>
      <c r="D4447" s="18">
        <v>2021</v>
      </c>
      <c r="E4447" s="18"/>
      <c r="F4447" s="18">
        <v>1</v>
      </c>
      <c r="G4447" s="18">
        <v>25</v>
      </c>
      <c r="H4447" s="18">
        <v>456.21199999999999</v>
      </c>
      <c r="I4447" s="90"/>
      <c r="J4447" s="90"/>
    </row>
    <row r="4448" spans="1:10" s="15" customFormat="1" ht="32.25" hidden="1" customHeight="1" outlineLevel="1" x14ac:dyDescent="0.25">
      <c r="A4448" s="45">
        <v>3800</v>
      </c>
      <c r="B4448" s="4" t="s">
        <v>35</v>
      </c>
      <c r="C4448" s="22" t="s">
        <v>203</v>
      </c>
      <c r="D4448" s="18">
        <v>2021</v>
      </c>
      <c r="E4448" s="18"/>
      <c r="F4448" s="18">
        <v>1</v>
      </c>
      <c r="G4448" s="18">
        <v>30</v>
      </c>
      <c r="H4448" s="18">
        <v>597.49199999999996</v>
      </c>
      <c r="I4448" s="90"/>
      <c r="J4448" s="90"/>
    </row>
    <row r="4449" spans="1:36" s="15" customFormat="1" ht="32.25" hidden="1" customHeight="1" outlineLevel="1" x14ac:dyDescent="0.25">
      <c r="A4449" s="46">
        <v>9359</v>
      </c>
      <c r="B4449" s="4" t="s">
        <v>35</v>
      </c>
      <c r="C4449" s="22" t="s">
        <v>172</v>
      </c>
      <c r="D4449" s="18">
        <v>2021</v>
      </c>
      <c r="E4449" s="18"/>
      <c r="F4449" s="18">
        <v>1</v>
      </c>
      <c r="G4449" s="18">
        <v>60</v>
      </c>
      <c r="H4449" s="18">
        <v>546.12300000000005</v>
      </c>
      <c r="I4449" s="90"/>
      <c r="J4449" s="90"/>
    </row>
    <row r="4450" spans="1:36" s="15" customFormat="1" ht="32.25" hidden="1" customHeight="1" outlineLevel="1" x14ac:dyDescent="0.25">
      <c r="A4450" s="46">
        <v>9355</v>
      </c>
      <c r="B4450" s="4" t="s">
        <v>35</v>
      </c>
      <c r="C4450" s="22" t="s">
        <v>173</v>
      </c>
      <c r="D4450" s="18">
        <v>2021</v>
      </c>
      <c r="E4450" s="18"/>
      <c r="F4450" s="18">
        <v>1</v>
      </c>
      <c r="G4450" s="18">
        <v>50</v>
      </c>
      <c r="H4450" s="18">
        <v>439.06200000000001</v>
      </c>
      <c r="I4450" s="90"/>
      <c r="J4450" s="90"/>
    </row>
    <row r="4451" spans="1:36" s="15" customFormat="1" ht="32.25" hidden="1" customHeight="1" outlineLevel="1" x14ac:dyDescent="0.25">
      <c r="A4451" s="46">
        <v>9572</v>
      </c>
      <c r="B4451" s="4" t="s">
        <v>35</v>
      </c>
      <c r="C4451" s="22" t="s">
        <v>181</v>
      </c>
      <c r="D4451" s="18">
        <v>2021</v>
      </c>
      <c r="E4451" s="18"/>
      <c r="F4451" s="18">
        <v>2</v>
      </c>
      <c r="G4451" s="18">
        <v>60</v>
      </c>
      <c r="H4451" s="18">
        <v>969.37400000000002</v>
      </c>
      <c r="I4451" s="90"/>
      <c r="J4451" s="90"/>
    </row>
    <row r="4452" spans="1:36" s="15" customFormat="1" ht="32.25" hidden="1" customHeight="1" outlineLevel="1" x14ac:dyDescent="0.25">
      <c r="A4452" s="46">
        <v>9370</v>
      </c>
      <c r="B4452" s="4" t="s">
        <v>35</v>
      </c>
      <c r="C4452" s="22" t="s">
        <v>275</v>
      </c>
      <c r="D4452" s="18">
        <v>2021</v>
      </c>
      <c r="E4452" s="18"/>
      <c r="F4452" s="18">
        <v>1</v>
      </c>
      <c r="G4452" s="18">
        <v>15</v>
      </c>
      <c r="H4452" s="18">
        <v>409.666</v>
      </c>
      <c r="I4452" s="90"/>
      <c r="J4452" s="90"/>
    </row>
    <row r="4453" spans="1:36" s="15" customFormat="1" ht="32.25" hidden="1" customHeight="1" outlineLevel="1" x14ac:dyDescent="0.25">
      <c r="A4453" s="46">
        <v>9371</v>
      </c>
      <c r="B4453" s="4" t="s">
        <v>35</v>
      </c>
      <c r="C4453" s="22" t="s">
        <v>188</v>
      </c>
      <c r="D4453" s="18">
        <v>2021</v>
      </c>
      <c r="E4453" s="18"/>
      <c r="F4453" s="18">
        <v>1</v>
      </c>
      <c r="G4453" s="18">
        <v>30</v>
      </c>
      <c r="H4453" s="18">
        <v>434.77499999999998</v>
      </c>
      <c r="I4453" s="90"/>
      <c r="J4453" s="90"/>
    </row>
    <row r="4454" spans="1:36" s="15" customFormat="1" ht="32.25" hidden="1" customHeight="1" outlineLevel="1" x14ac:dyDescent="0.25">
      <c r="A4454" s="46">
        <v>9442</v>
      </c>
      <c r="B4454" s="4" t="s">
        <v>35</v>
      </c>
      <c r="C4454" s="22" t="s">
        <v>204</v>
      </c>
      <c r="D4454" s="18">
        <v>2021</v>
      </c>
      <c r="E4454" s="18"/>
      <c r="F4454" s="18">
        <v>1</v>
      </c>
      <c r="G4454" s="18">
        <v>70</v>
      </c>
      <c r="H4454" s="18">
        <v>443.911</v>
      </c>
      <c r="I4454" s="90"/>
      <c r="J4454" s="90"/>
    </row>
    <row r="4455" spans="1:36" s="15" customFormat="1" ht="32.25" hidden="1" customHeight="1" outlineLevel="1" x14ac:dyDescent="0.25">
      <c r="A4455" s="45">
        <v>764</v>
      </c>
      <c r="B4455" s="4" t="s">
        <v>35</v>
      </c>
      <c r="C4455" s="22" t="s">
        <v>762</v>
      </c>
      <c r="D4455" s="18">
        <v>2021</v>
      </c>
      <c r="E4455" s="18"/>
      <c r="F4455" s="18">
        <v>1</v>
      </c>
      <c r="G4455" s="18">
        <v>95</v>
      </c>
      <c r="H4455" s="18">
        <v>785.82695999999999</v>
      </c>
      <c r="I4455" s="90"/>
      <c r="J4455" s="90"/>
    </row>
    <row r="4456" spans="1:36" s="15" customFormat="1" ht="32.25" hidden="1" customHeight="1" outlineLevel="1" x14ac:dyDescent="0.25">
      <c r="A4456" s="46">
        <v>9487</v>
      </c>
      <c r="B4456" s="4" t="s">
        <v>35</v>
      </c>
      <c r="C4456" s="22" t="s">
        <v>767</v>
      </c>
      <c r="D4456" s="18">
        <v>2021</v>
      </c>
      <c r="E4456" s="18"/>
      <c r="F4456" s="18">
        <v>1</v>
      </c>
      <c r="G4456" s="18">
        <v>45</v>
      </c>
      <c r="H4456" s="18">
        <v>803.11577999999997</v>
      </c>
      <c r="I4456" s="90"/>
      <c r="J4456" s="90"/>
    </row>
    <row r="4457" spans="1:36" s="15" customFormat="1" ht="32.25" hidden="1" customHeight="1" outlineLevel="1" x14ac:dyDescent="0.25">
      <c r="A4457" s="46">
        <v>9678</v>
      </c>
      <c r="B4457" s="4" t="s">
        <v>35</v>
      </c>
      <c r="C4457" s="22" t="s">
        <v>768</v>
      </c>
      <c r="D4457" s="18">
        <v>2021</v>
      </c>
      <c r="E4457" s="18"/>
      <c r="F4457" s="18">
        <v>1</v>
      </c>
      <c r="G4457" s="18">
        <v>46</v>
      </c>
      <c r="H4457" s="18">
        <v>727.51543000000004</v>
      </c>
      <c r="I4457" s="90"/>
      <c r="J4457" s="90"/>
    </row>
    <row r="4458" spans="1:36" s="15" customFormat="1" ht="32.25" hidden="1" customHeight="1" outlineLevel="1" x14ac:dyDescent="0.25">
      <c r="A4458" s="46">
        <v>9641</v>
      </c>
      <c r="B4458" s="4" t="s">
        <v>36</v>
      </c>
      <c r="C4458" s="22" t="s">
        <v>121</v>
      </c>
      <c r="D4458" s="18">
        <v>2021</v>
      </c>
      <c r="E4458" s="18"/>
      <c r="F4458" s="18">
        <v>1</v>
      </c>
      <c r="G4458" s="18">
        <v>30</v>
      </c>
      <c r="H4458" s="18">
        <v>427.71417000000002</v>
      </c>
      <c r="I4458" s="90"/>
      <c r="J4458" s="90"/>
    </row>
    <row r="4459" spans="1:36" s="15" customFormat="1" ht="32.25" hidden="1" customHeight="1" outlineLevel="1" x14ac:dyDescent="0.25">
      <c r="A4459" s="45">
        <v>969</v>
      </c>
      <c r="B4459" s="4" t="s">
        <v>35</v>
      </c>
      <c r="C4459" s="22" t="s">
        <v>651</v>
      </c>
      <c r="D4459" s="18">
        <v>2021</v>
      </c>
      <c r="E4459" s="18"/>
      <c r="F4459" s="18">
        <v>1</v>
      </c>
      <c r="G4459" s="18">
        <v>15</v>
      </c>
      <c r="H4459" s="18">
        <v>643.87747999999999</v>
      </c>
      <c r="I4459" s="90"/>
      <c r="J4459" s="90"/>
    </row>
    <row r="4460" spans="1:36" s="15" customFormat="1" ht="32.25" hidden="1" customHeight="1" outlineLevel="1" x14ac:dyDescent="0.25">
      <c r="A4460" s="46">
        <v>9881</v>
      </c>
      <c r="B4460" s="4" t="s">
        <v>35</v>
      </c>
      <c r="C4460" s="22" t="s">
        <v>877</v>
      </c>
      <c r="D4460" s="18">
        <v>2021</v>
      </c>
      <c r="E4460" s="18"/>
      <c r="F4460" s="18">
        <v>1</v>
      </c>
      <c r="G4460" s="18">
        <v>20</v>
      </c>
      <c r="H4460" s="18">
        <v>341.09696000000002</v>
      </c>
      <c r="I4460" s="90"/>
      <c r="J4460" s="90"/>
    </row>
    <row r="4461" spans="1:36" s="15" customFormat="1" ht="47.25" collapsed="1" x14ac:dyDescent="0.25">
      <c r="A4461" s="132"/>
      <c r="B4461" s="60" t="s">
        <v>35</v>
      </c>
      <c r="C4461" s="74" t="s">
        <v>2115</v>
      </c>
      <c r="D4461" s="67"/>
      <c r="E4461" s="60" t="s">
        <v>31</v>
      </c>
      <c r="F4461" s="67"/>
      <c r="G4461" s="67"/>
      <c r="H4461" s="67"/>
      <c r="I4461" s="232"/>
      <c r="J4461" s="232"/>
    </row>
    <row r="4462" spans="1:36" s="16" customFormat="1" ht="16.5" customHeight="1" x14ac:dyDescent="0.25">
      <c r="A4462" s="18"/>
      <c r="B4462" s="7" t="s">
        <v>35</v>
      </c>
      <c r="C4462" s="8" t="s">
        <v>57</v>
      </c>
      <c r="D4462" s="19">
        <v>2021</v>
      </c>
      <c r="E4462" s="19" t="s">
        <v>31</v>
      </c>
      <c r="F4462" s="7">
        <f>SUMIF($D$4465:$D$4479,$D$4462,$F$4465:$F$4479)</f>
        <v>2</v>
      </c>
      <c r="G4462" s="7">
        <f>SUMIF($D$4465:$D$4479,$D$4462,$G$4465:$G$4479)</f>
        <v>75</v>
      </c>
      <c r="H4462" s="10">
        <f>SUMIF($D$4465:$D$4479,$D$4462,$H$4465:$H$4479)</f>
        <v>964</v>
      </c>
      <c r="I4462" s="205"/>
      <c r="J4462" s="5"/>
      <c r="K4462" s="5"/>
      <c r="L4462" s="15"/>
      <c r="M4462" s="15"/>
      <c r="N4462" s="15"/>
      <c r="O4462" s="15"/>
      <c r="P4462" s="15"/>
      <c r="Q4462" s="15"/>
      <c r="R4462" s="15"/>
      <c r="S4462" s="15"/>
      <c r="T4462" s="15"/>
      <c r="U4462" s="15"/>
      <c r="V4462" s="15"/>
      <c r="W4462" s="15"/>
      <c r="X4462" s="15"/>
      <c r="Y4462" s="15"/>
      <c r="Z4462" s="15"/>
      <c r="AA4462" s="15"/>
      <c r="AB4462" s="15"/>
      <c r="AC4462" s="15"/>
      <c r="AD4462" s="15"/>
      <c r="AE4462" s="15"/>
      <c r="AF4462" s="15"/>
      <c r="AG4462" s="15"/>
      <c r="AH4462" s="15"/>
      <c r="AI4462" s="15"/>
      <c r="AJ4462" s="15"/>
    </row>
    <row r="4463" spans="1:36" s="27" customFormat="1" ht="16.5" customHeight="1" x14ac:dyDescent="0.25">
      <c r="A4463" s="18"/>
      <c r="B4463" s="7" t="s">
        <v>35</v>
      </c>
      <c r="C4463" s="8" t="s">
        <v>57</v>
      </c>
      <c r="D4463" s="19">
        <v>2022</v>
      </c>
      <c r="E4463" s="19" t="s">
        <v>31</v>
      </c>
      <c r="F4463" s="7">
        <f>SUMIF($D$4465:$D$4479,$D$4463,$F$4465:$F$4479)</f>
        <v>8</v>
      </c>
      <c r="G4463" s="7">
        <f>SUMIF($D$4465:$D$4479,$D$4463,$G$4465:$G$4479)</f>
        <v>220</v>
      </c>
      <c r="H4463" s="10">
        <f>SUMIF($D$4465:$D$4479,$D$4463,$H$4465:$H$4479)</f>
        <v>4375.4199499999995</v>
      </c>
      <c r="I4463" s="205"/>
      <c r="J4463" s="205"/>
      <c r="K4463" s="15"/>
      <c r="L4463" s="15"/>
      <c r="M4463" s="15"/>
      <c r="N4463" s="15"/>
      <c r="O4463" s="15"/>
      <c r="P4463" s="15"/>
      <c r="Q4463" s="15"/>
      <c r="R4463" s="15"/>
      <c r="S4463" s="15"/>
      <c r="T4463" s="15"/>
      <c r="U4463" s="15"/>
      <c r="V4463" s="15"/>
      <c r="W4463" s="15"/>
      <c r="X4463" s="15"/>
      <c r="Y4463" s="15"/>
      <c r="Z4463" s="15"/>
      <c r="AA4463" s="15"/>
      <c r="AB4463" s="15"/>
      <c r="AC4463" s="15"/>
      <c r="AD4463" s="15"/>
      <c r="AE4463" s="15"/>
      <c r="AF4463" s="15"/>
      <c r="AG4463" s="15"/>
      <c r="AH4463" s="15"/>
      <c r="AI4463" s="15"/>
      <c r="AJ4463" s="15"/>
    </row>
    <row r="4464" spans="1:36" s="27" customFormat="1" ht="15.75" x14ac:dyDescent="0.25">
      <c r="A4464" s="18"/>
      <c r="B4464" s="7" t="s">
        <v>35</v>
      </c>
      <c r="C4464" s="8" t="s">
        <v>57</v>
      </c>
      <c r="D4464" s="19">
        <v>2023</v>
      </c>
      <c r="E4464" s="19" t="s">
        <v>31</v>
      </c>
      <c r="F4464" s="7">
        <f>SUMIF($D$4465:$D$4479,$D$4464,$F$4465:$F$4479)</f>
        <v>5</v>
      </c>
      <c r="G4464" s="7">
        <f>SUMIF($D$4465:$D$4479,$D$4464,$G$4465:$G$4479)</f>
        <v>345</v>
      </c>
      <c r="H4464" s="10">
        <f>SUMIF($D$4465:$D$4479,$D$4464,$H$4465:$H$4479)</f>
        <v>2814.5429199999999</v>
      </c>
      <c r="I4464" s="205"/>
      <c r="J4464" s="205"/>
      <c r="K4464" s="15"/>
      <c r="L4464" s="15"/>
      <c r="M4464" s="15"/>
      <c r="N4464" s="15"/>
      <c r="O4464" s="15"/>
      <c r="P4464" s="15"/>
      <c r="Q4464" s="15"/>
      <c r="R4464" s="15"/>
      <c r="S4464" s="15"/>
      <c r="T4464" s="15"/>
      <c r="U4464" s="15"/>
      <c r="V4464" s="15"/>
      <c r="W4464" s="15"/>
      <c r="X4464" s="15"/>
      <c r="Y4464" s="15"/>
      <c r="Z4464" s="15"/>
      <c r="AA4464" s="15"/>
      <c r="AB4464" s="15"/>
      <c r="AC4464" s="15"/>
      <c r="AD4464" s="15"/>
      <c r="AE4464" s="15"/>
      <c r="AF4464" s="15"/>
      <c r="AG4464" s="15"/>
      <c r="AH4464" s="15"/>
      <c r="AI4464" s="15"/>
      <c r="AJ4464" s="15"/>
    </row>
    <row r="4465" spans="1:10" s="15" customFormat="1" ht="24.75" hidden="1" customHeight="1" outlineLevel="1" x14ac:dyDescent="0.25">
      <c r="A4465" s="18">
        <v>1520</v>
      </c>
      <c r="B4465" s="4" t="s">
        <v>35</v>
      </c>
      <c r="C4465" s="22" t="s">
        <v>2289</v>
      </c>
      <c r="D4465" s="18">
        <v>2022</v>
      </c>
      <c r="E4465" s="18" t="s">
        <v>31</v>
      </c>
      <c r="F4465" s="18">
        <v>1</v>
      </c>
      <c r="G4465" s="18">
        <v>50</v>
      </c>
      <c r="H4465" s="18">
        <v>689.59861000000001</v>
      </c>
      <c r="I4465" s="90"/>
      <c r="J4465" s="90"/>
    </row>
    <row r="4466" spans="1:10" s="15" customFormat="1" ht="24.75" hidden="1" customHeight="1" outlineLevel="1" x14ac:dyDescent="0.25">
      <c r="A4466" s="18">
        <v>458</v>
      </c>
      <c r="B4466" s="4" t="s">
        <v>35</v>
      </c>
      <c r="C4466" s="22" t="s">
        <v>2438</v>
      </c>
      <c r="D4466" s="18">
        <v>2022</v>
      </c>
      <c r="E4466" s="18" t="s">
        <v>31</v>
      </c>
      <c r="F4466" s="18">
        <v>1</v>
      </c>
      <c r="G4466" s="18">
        <v>10</v>
      </c>
      <c r="H4466" s="18">
        <v>600.82133999999996</v>
      </c>
      <c r="I4466" s="90"/>
      <c r="J4466" s="90"/>
    </row>
    <row r="4467" spans="1:10" s="15" customFormat="1" ht="24.75" hidden="1" customHeight="1" outlineLevel="1" x14ac:dyDescent="0.25">
      <c r="A4467" s="18">
        <v>4944</v>
      </c>
      <c r="B4467" s="4" t="s">
        <v>35</v>
      </c>
      <c r="C4467" s="22" t="s">
        <v>2983</v>
      </c>
      <c r="D4467" s="18">
        <v>2022</v>
      </c>
      <c r="E4467" s="18" t="s">
        <v>31</v>
      </c>
      <c r="F4467" s="18">
        <v>1</v>
      </c>
      <c r="G4467" s="18">
        <v>30</v>
      </c>
      <c r="H4467" s="18">
        <v>741</v>
      </c>
      <c r="I4467" s="90"/>
      <c r="J4467" s="90"/>
    </row>
    <row r="4468" spans="1:10" s="15" customFormat="1" ht="24.75" hidden="1" customHeight="1" outlineLevel="1" x14ac:dyDescent="0.25">
      <c r="A4468" s="18">
        <v>5021</v>
      </c>
      <c r="B4468" s="4" t="s">
        <v>35</v>
      </c>
      <c r="C4468" s="22" t="s">
        <v>2987</v>
      </c>
      <c r="D4468" s="18">
        <v>2022</v>
      </c>
      <c r="E4468" s="18" t="s">
        <v>31</v>
      </c>
      <c r="F4468" s="18">
        <v>1</v>
      </c>
      <c r="G4468" s="18" t="s">
        <v>393</v>
      </c>
      <c r="H4468" s="18">
        <v>804</v>
      </c>
      <c r="I4468" s="90"/>
      <c r="J4468" s="90"/>
    </row>
    <row r="4469" spans="1:10" s="15" customFormat="1" ht="24.75" hidden="1" customHeight="1" outlineLevel="1" x14ac:dyDescent="0.25">
      <c r="A4469" s="18">
        <v>180</v>
      </c>
      <c r="B4469" s="4" t="s">
        <v>35</v>
      </c>
      <c r="C4469" s="22" t="s">
        <v>2920</v>
      </c>
      <c r="D4469" s="18">
        <v>2022</v>
      </c>
      <c r="E4469" s="18" t="s">
        <v>31</v>
      </c>
      <c r="F4469" s="18">
        <v>1</v>
      </c>
      <c r="G4469" s="18">
        <v>50</v>
      </c>
      <c r="H4469" s="18">
        <v>493</v>
      </c>
      <c r="I4469" s="90"/>
      <c r="J4469" s="90"/>
    </row>
    <row r="4470" spans="1:10" s="15" customFormat="1" ht="24.75" hidden="1" customHeight="1" outlineLevel="1" x14ac:dyDescent="0.25">
      <c r="A4470" s="18">
        <v>283</v>
      </c>
      <c r="B4470" s="4" t="s">
        <v>35</v>
      </c>
      <c r="C4470" s="22" t="s">
        <v>2677</v>
      </c>
      <c r="D4470" s="18">
        <v>2022</v>
      </c>
      <c r="E4470" s="18" t="s">
        <v>31</v>
      </c>
      <c r="F4470" s="18">
        <v>1</v>
      </c>
      <c r="G4470" s="18">
        <v>15</v>
      </c>
      <c r="H4470" s="18">
        <v>277</v>
      </c>
      <c r="I4470" s="90"/>
      <c r="J4470" s="90"/>
    </row>
    <row r="4471" spans="1:10" s="15" customFormat="1" ht="24.75" hidden="1" customHeight="1" outlineLevel="1" x14ac:dyDescent="0.25">
      <c r="A4471" s="18">
        <v>180</v>
      </c>
      <c r="B4471" s="4" t="s">
        <v>35</v>
      </c>
      <c r="C4471" s="22" t="s">
        <v>2920</v>
      </c>
      <c r="D4471" s="18">
        <v>2022</v>
      </c>
      <c r="E4471" s="18" t="s">
        <v>31</v>
      </c>
      <c r="F4471" s="18">
        <v>1</v>
      </c>
      <c r="G4471" s="18">
        <v>50</v>
      </c>
      <c r="H4471" s="18">
        <v>493</v>
      </c>
      <c r="I4471" s="90"/>
      <c r="J4471" s="90"/>
    </row>
    <row r="4472" spans="1:10" s="15" customFormat="1" ht="24.75" hidden="1" customHeight="1" outlineLevel="1" x14ac:dyDescent="0.25">
      <c r="A4472" s="18">
        <v>283</v>
      </c>
      <c r="B4472" s="4" t="s">
        <v>35</v>
      </c>
      <c r="C4472" s="22" t="s">
        <v>2677</v>
      </c>
      <c r="D4472" s="18">
        <v>2022</v>
      </c>
      <c r="E4472" s="18" t="s">
        <v>31</v>
      </c>
      <c r="F4472" s="18">
        <v>1</v>
      </c>
      <c r="G4472" s="18">
        <v>15</v>
      </c>
      <c r="H4472" s="18">
        <v>277</v>
      </c>
      <c r="I4472" s="90"/>
      <c r="J4472" s="90"/>
    </row>
    <row r="4473" spans="1:10" s="15" customFormat="1" ht="24.75" hidden="1" customHeight="1" outlineLevel="1" x14ac:dyDescent="0.25">
      <c r="A4473" s="18">
        <v>6403</v>
      </c>
      <c r="B4473" s="4" t="s">
        <v>35</v>
      </c>
      <c r="C4473" s="38" t="s">
        <v>8106</v>
      </c>
      <c r="D4473" s="18">
        <v>2023</v>
      </c>
      <c r="E4473" s="18" t="s">
        <v>31</v>
      </c>
      <c r="F4473" s="4">
        <v>1</v>
      </c>
      <c r="G4473" s="4">
        <v>60</v>
      </c>
      <c r="H4473" s="41">
        <v>725.21800000000007</v>
      </c>
      <c r="I4473" s="221"/>
      <c r="J4473" s="221"/>
    </row>
    <row r="4474" spans="1:10" s="15" customFormat="1" ht="24.75" hidden="1" customHeight="1" outlineLevel="1" x14ac:dyDescent="0.25">
      <c r="A4474" s="18">
        <v>4034</v>
      </c>
      <c r="B4474" s="4" t="s">
        <v>35</v>
      </c>
      <c r="C4474" s="38" t="s">
        <v>8373</v>
      </c>
      <c r="D4474" s="18">
        <v>2023</v>
      </c>
      <c r="E4474" s="18" t="s">
        <v>31</v>
      </c>
      <c r="F4474" s="4">
        <v>1</v>
      </c>
      <c r="G4474" s="4">
        <v>90</v>
      </c>
      <c r="H4474" s="41">
        <v>849.21173999999996</v>
      </c>
      <c r="I4474" s="221"/>
      <c r="J4474" s="221"/>
    </row>
    <row r="4475" spans="1:10" s="15" customFormat="1" ht="24.75" hidden="1" customHeight="1" outlineLevel="1" x14ac:dyDescent="0.25">
      <c r="A4475" s="18">
        <v>3028</v>
      </c>
      <c r="B4475" s="4" t="s">
        <v>35</v>
      </c>
      <c r="C4475" s="38" t="s">
        <v>8677</v>
      </c>
      <c r="D4475" s="18">
        <v>2023</v>
      </c>
      <c r="E4475" s="18" t="s">
        <v>31</v>
      </c>
      <c r="F4475" s="4">
        <v>1</v>
      </c>
      <c r="G4475" s="4">
        <v>50</v>
      </c>
      <c r="H4475" s="41">
        <v>147.11318</v>
      </c>
      <c r="I4475" s="221"/>
      <c r="J4475" s="221"/>
    </row>
    <row r="4476" spans="1:10" s="15" customFormat="1" ht="24.75" hidden="1" customHeight="1" outlineLevel="1" x14ac:dyDescent="0.25">
      <c r="A4476" s="18">
        <v>3368</v>
      </c>
      <c r="B4476" s="4" t="s">
        <v>35</v>
      </c>
      <c r="C4476" s="38" t="s">
        <v>8819</v>
      </c>
      <c r="D4476" s="18">
        <v>2023</v>
      </c>
      <c r="E4476" s="18" t="s">
        <v>31</v>
      </c>
      <c r="F4476" s="4">
        <v>1</v>
      </c>
      <c r="G4476" s="4">
        <v>100</v>
      </c>
      <c r="H4476" s="41">
        <v>464</v>
      </c>
      <c r="I4476" s="221"/>
      <c r="J4476" s="221"/>
    </row>
    <row r="4477" spans="1:10" s="15" customFormat="1" ht="24.75" hidden="1" customHeight="1" outlineLevel="1" x14ac:dyDescent="0.25">
      <c r="A4477" s="18">
        <v>668</v>
      </c>
      <c r="B4477" s="4" t="s">
        <v>35</v>
      </c>
      <c r="C4477" s="38" t="s">
        <v>8890</v>
      </c>
      <c r="D4477" s="18">
        <v>2023</v>
      </c>
      <c r="E4477" s="18" t="s">
        <v>31</v>
      </c>
      <c r="F4477" s="4">
        <v>1</v>
      </c>
      <c r="G4477" s="4">
        <v>45</v>
      </c>
      <c r="H4477" s="41">
        <v>629</v>
      </c>
      <c r="I4477" s="221"/>
      <c r="J4477" s="221"/>
    </row>
    <row r="4478" spans="1:10" s="39" customFormat="1" ht="24.75" hidden="1" customHeight="1" outlineLevel="1" x14ac:dyDescent="0.25">
      <c r="A4478" s="46">
        <v>9609</v>
      </c>
      <c r="B4478" s="120" t="s">
        <v>35</v>
      </c>
      <c r="C4478" s="77" t="s">
        <v>724</v>
      </c>
      <c r="D4478" s="18">
        <v>2021</v>
      </c>
      <c r="E4478" s="18" t="s">
        <v>31</v>
      </c>
      <c r="F4478" s="18">
        <v>1</v>
      </c>
      <c r="G4478" s="18">
        <v>25</v>
      </c>
      <c r="H4478" s="18">
        <v>469</v>
      </c>
      <c r="I4478" s="90"/>
      <c r="J4478" s="90"/>
    </row>
    <row r="4479" spans="1:10" s="39" customFormat="1" ht="24.75" hidden="1" customHeight="1" outlineLevel="1" x14ac:dyDescent="0.25">
      <c r="A4479" s="46">
        <v>9674</v>
      </c>
      <c r="B4479" s="120" t="s">
        <v>35</v>
      </c>
      <c r="C4479" s="77" t="s">
        <v>500</v>
      </c>
      <c r="D4479" s="18">
        <v>2021</v>
      </c>
      <c r="E4479" s="18" t="s">
        <v>31</v>
      </c>
      <c r="F4479" s="18">
        <v>1</v>
      </c>
      <c r="G4479" s="18">
        <v>50</v>
      </c>
      <c r="H4479" s="18">
        <v>495</v>
      </c>
      <c r="I4479" s="90"/>
      <c r="J4479" s="90"/>
    </row>
    <row r="4480" spans="1:10" s="15" customFormat="1" ht="47.25" collapsed="1" x14ac:dyDescent="0.25">
      <c r="A4480" s="18"/>
      <c r="B4480" s="72" t="s">
        <v>36</v>
      </c>
      <c r="C4480" s="73" t="s">
        <v>2116</v>
      </c>
      <c r="D4480" s="71"/>
      <c r="E4480" s="76" t="s">
        <v>33</v>
      </c>
      <c r="F4480" s="71"/>
      <c r="G4480" s="71"/>
      <c r="H4480" s="71"/>
      <c r="I4480" s="231"/>
      <c r="J4480" s="231"/>
    </row>
    <row r="4481" spans="1:36" s="16" customFormat="1" ht="16.5" customHeight="1" x14ac:dyDescent="0.25">
      <c r="A4481" s="18"/>
      <c r="B4481" s="11" t="s">
        <v>36</v>
      </c>
      <c r="C4481" s="12" t="s">
        <v>57</v>
      </c>
      <c r="D4481" s="20">
        <v>2021</v>
      </c>
      <c r="E4481" s="20" t="s">
        <v>33</v>
      </c>
      <c r="F4481" s="11">
        <f>SUMIF($D$4484:$D$4577,$D$4481,$F$4484:$F$4577)</f>
        <v>43</v>
      </c>
      <c r="G4481" s="14">
        <f>SUMIF($D$4484:$D$4577,$D$4481,$G$4484:$G$4577)</f>
        <v>1547</v>
      </c>
      <c r="H4481" s="14">
        <f>SUMIF($D$4484:$D$4577,$D$4481,$H$4484:$H$4577)</f>
        <v>23685.177499999998</v>
      </c>
      <c r="I4481" s="220"/>
      <c r="J4481" s="5"/>
      <c r="K4481" s="5"/>
      <c r="L4481" s="15"/>
      <c r="M4481" s="15"/>
      <c r="N4481" s="15"/>
      <c r="O4481" s="15"/>
      <c r="P4481" s="15"/>
      <c r="Q4481" s="15"/>
      <c r="R4481" s="15"/>
      <c r="S4481" s="15"/>
      <c r="T4481" s="15"/>
      <c r="U4481" s="15"/>
      <c r="V4481" s="15"/>
      <c r="W4481" s="15"/>
      <c r="X4481" s="15"/>
      <c r="Y4481" s="15"/>
      <c r="Z4481" s="15"/>
      <c r="AA4481" s="15"/>
      <c r="AB4481" s="15"/>
      <c r="AC4481" s="15"/>
      <c r="AD4481" s="15"/>
      <c r="AE4481" s="15"/>
      <c r="AF4481" s="15"/>
      <c r="AG4481" s="15"/>
      <c r="AH4481" s="15"/>
      <c r="AI4481" s="15"/>
      <c r="AJ4481" s="15"/>
    </row>
    <row r="4482" spans="1:36" s="27" customFormat="1" ht="16.5" customHeight="1" x14ac:dyDescent="0.25">
      <c r="A4482" s="18"/>
      <c r="B4482" s="11" t="s">
        <v>36</v>
      </c>
      <c r="C4482" s="12" t="s">
        <v>57</v>
      </c>
      <c r="D4482" s="20">
        <v>2022</v>
      </c>
      <c r="E4482" s="20" t="s">
        <v>33</v>
      </c>
      <c r="F4482" s="11">
        <f>SUMIF($D$4484:$D$4577,$D$4482,$F$4484:$F$4577)</f>
        <v>31</v>
      </c>
      <c r="G4482" s="14">
        <f>SUMIF($D$4484:$D$4577,$D$4482,$G$4484:$G$4577)</f>
        <v>1095.5</v>
      </c>
      <c r="H4482" s="14">
        <f>SUMIF($D$4484:$D$4577,$D$4482,$H$4484:$H$4577)</f>
        <v>16902.488519999999</v>
      </c>
      <c r="I4482" s="220"/>
      <c r="J4482" s="220"/>
      <c r="K4482" s="15"/>
      <c r="L4482" s="15"/>
      <c r="M4482" s="15"/>
      <c r="N4482" s="15"/>
      <c r="O4482" s="15"/>
      <c r="P4482" s="15"/>
      <c r="Q4482" s="15"/>
      <c r="R4482" s="15"/>
      <c r="S4482" s="15"/>
      <c r="T4482" s="15"/>
      <c r="U4482" s="15"/>
      <c r="V4482" s="15"/>
      <c r="W4482" s="15"/>
      <c r="X4482" s="15"/>
      <c r="Y4482" s="15"/>
      <c r="Z4482" s="15"/>
      <c r="AA4482" s="15"/>
      <c r="AB4482" s="15"/>
      <c r="AC4482" s="15"/>
      <c r="AD4482" s="15"/>
      <c r="AE4482" s="15"/>
      <c r="AF4482" s="15"/>
      <c r="AG4482" s="15"/>
      <c r="AH4482" s="15"/>
      <c r="AI4482" s="15"/>
      <c r="AJ4482" s="15"/>
    </row>
    <row r="4483" spans="1:36" s="27" customFormat="1" ht="15.75" x14ac:dyDescent="0.25">
      <c r="A4483" s="18"/>
      <c r="B4483" s="11" t="s">
        <v>36</v>
      </c>
      <c r="C4483" s="12" t="s">
        <v>57</v>
      </c>
      <c r="D4483" s="20">
        <v>2023</v>
      </c>
      <c r="E4483" s="20" t="s">
        <v>33</v>
      </c>
      <c r="F4483" s="11">
        <f>SUMIF($D$4484:$D$4577,$D$4483,$F$4484:$F$4577)</f>
        <v>20</v>
      </c>
      <c r="G4483" s="14">
        <f>SUMIF($D$4484:$D$4577,$D$4483,$G$4484:$G$4577)</f>
        <v>574</v>
      </c>
      <c r="H4483" s="14">
        <f>SUMIF($D$4484:$D$4577,$D$4483,$H$4484:$H$4577)</f>
        <v>12053.582420000001</v>
      </c>
      <c r="I4483" s="220"/>
      <c r="J4483" s="220"/>
      <c r="K4483" s="15"/>
      <c r="L4483" s="15"/>
      <c r="M4483" s="15"/>
      <c r="N4483" s="15"/>
      <c r="O4483" s="15"/>
      <c r="P4483" s="15"/>
      <c r="Q4483" s="15"/>
      <c r="R4483" s="15"/>
      <c r="S4483" s="15"/>
      <c r="T4483" s="15"/>
      <c r="U4483" s="15"/>
      <c r="V4483" s="15"/>
      <c r="W4483" s="15"/>
      <c r="X4483" s="15"/>
      <c r="Y4483" s="15"/>
      <c r="Z4483" s="15"/>
      <c r="AA4483" s="15"/>
      <c r="AB4483" s="15"/>
      <c r="AC4483" s="15"/>
      <c r="AD4483" s="15"/>
      <c r="AE4483" s="15"/>
      <c r="AF4483" s="15"/>
      <c r="AG4483" s="15"/>
      <c r="AH4483" s="15"/>
      <c r="AI4483" s="15"/>
      <c r="AJ4483" s="15"/>
    </row>
    <row r="4484" spans="1:36" s="15" customFormat="1" ht="24.75" hidden="1" customHeight="1" outlineLevel="1" x14ac:dyDescent="0.25">
      <c r="A4484" s="18">
        <v>2839</v>
      </c>
      <c r="B4484" s="4" t="s">
        <v>36</v>
      </c>
      <c r="C4484" s="22" t="s">
        <v>2813</v>
      </c>
      <c r="D4484" s="18">
        <v>2022</v>
      </c>
      <c r="E4484" s="18" t="s">
        <v>33</v>
      </c>
      <c r="F4484" s="18">
        <v>1</v>
      </c>
      <c r="G4484" s="18">
        <v>55</v>
      </c>
      <c r="H4484" s="18">
        <v>863.899</v>
      </c>
      <c r="I4484" s="90"/>
      <c r="J4484" s="90"/>
    </row>
    <row r="4485" spans="1:36" s="15" customFormat="1" ht="24.75" hidden="1" customHeight="1" outlineLevel="1" x14ac:dyDescent="0.25">
      <c r="A4485" s="18">
        <v>2814</v>
      </c>
      <c r="B4485" s="4" t="s">
        <v>36</v>
      </c>
      <c r="C4485" s="22" t="s">
        <v>2154</v>
      </c>
      <c r="D4485" s="18">
        <v>2022</v>
      </c>
      <c r="E4485" s="18" t="s">
        <v>33</v>
      </c>
      <c r="F4485" s="18">
        <v>1</v>
      </c>
      <c r="G4485" s="18">
        <v>60</v>
      </c>
      <c r="H4485" s="18">
        <f>0.496573*(1000)</f>
        <v>496.57299999999998</v>
      </c>
      <c r="I4485" s="90"/>
      <c r="J4485" s="90"/>
    </row>
    <row r="4486" spans="1:36" s="15" customFormat="1" ht="24.75" hidden="1" customHeight="1" outlineLevel="1" x14ac:dyDescent="0.25">
      <c r="A4486" s="18">
        <v>2842</v>
      </c>
      <c r="B4486" s="4" t="s">
        <v>36</v>
      </c>
      <c r="C4486" s="22" t="s">
        <v>2175</v>
      </c>
      <c r="D4486" s="18">
        <v>2022</v>
      </c>
      <c r="E4486" s="18" t="s">
        <v>33</v>
      </c>
      <c r="F4486" s="18">
        <v>1</v>
      </c>
      <c r="G4486" s="18">
        <v>30</v>
      </c>
      <c r="H4486" s="18">
        <f>0.228726*(1000)</f>
        <v>228.726</v>
      </c>
      <c r="I4486" s="90"/>
      <c r="J4486" s="90"/>
    </row>
    <row r="4487" spans="1:36" s="15" customFormat="1" ht="24.75" hidden="1" customHeight="1" outlineLevel="1" x14ac:dyDescent="0.25">
      <c r="A4487" s="18">
        <v>2786</v>
      </c>
      <c r="B4487" s="4" t="s">
        <v>36</v>
      </c>
      <c r="C4487" s="22" t="s">
        <v>2183</v>
      </c>
      <c r="D4487" s="18">
        <v>2022</v>
      </c>
      <c r="E4487" s="18" t="s">
        <v>33</v>
      </c>
      <c r="F4487" s="18">
        <v>1</v>
      </c>
      <c r="G4487" s="18">
        <v>60</v>
      </c>
      <c r="H4487" s="18">
        <f>0.74448748*(1000)</f>
        <v>744.48748000000001</v>
      </c>
      <c r="I4487" s="90"/>
      <c r="J4487" s="90"/>
    </row>
    <row r="4488" spans="1:36" s="15" customFormat="1" ht="24.75" hidden="1" customHeight="1" outlineLevel="1" x14ac:dyDescent="0.25">
      <c r="A4488" s="18">
        <v>2734</v>
      </c>
      <c r="B4488" s="4" t="s">
        <v>36</v>
      </c>
      <c r="C4488" s="22" t="s">
        <v>3137</v>
      </c>
      <c r="D4488" s="18">
        <v>2022</v>
      </c>
      <c r="E4488" s="18" t="s">
        <v>33</v>
      </c>
      <c r="F4488" s="18">
        <v>1</v>
      </c>
      <c r="G4488" s="18">
        <v>45</v>
      </c>
      <c r="H4488" s="18">
        <v>314.02499999999998</v>
      </c>
      <c r="I4488" s="90"/>
      <c r="J4488" s="90"/>
    </row>
    <row r="4489" spans="1:36" s="15" customFormat="1" ht="24.75" hidden="1" customHeight="1" outlineLevel="1" x14ac:dyDescent="0.25">
      <c r="A4489" s="18">
        <v>1488</v>
      </c>
      <c r="B4489" s="4" t="s">
        <v>36</v>
      </c>
      <c r="C4489" s="22" t="s">
        <v>2248</v>
      </c>
      <c r="D4489" s="18">
        <v>2022</v>
      </c>
      <c r="E4489" s="18" t="s">
        <v>33</v>
      </c>
      <c r="F4489" s="18">
        <v>1</v>
      </c>
      <c r="G4489" s="18">
        <v>50</v>
      </c>
      <c r="H4489" s="18">
        <v>600.78963999999996</v>
      </c>
      <c r="I4489" s="90"/>
      <c r="J4489" s="90"/>
    </row>
    <row r="4490" spans="1:36" s="15" customFormat="1" ht="24.75" hidden="1" customHeight="1" outlineLevel="1" x14ac:dyDescent="0.25">
      <c r="A4490" s="18">
        <v>1079</v>
      </c>
      <c r="B4490" s="4" t="s">
        <v>36</v>
      </c>
      <c r="C4490" s="22" t="s">
        <v>2250</v>
      </c>
      <c r="D4490" s="18">
        <v>2022</v>
      </c>
      <c r="E4490" s="18" t="s">
        <v>33</v>
      </c>
      <c r="F4490" s="18">
        <v>1</v>
      </c>
      <c r="G4490" s="18">
        <v>35</v>
      </c>
      <c r="H4490" s="18">
        <v>748.44397000000004</v>
      </c>
      <c r="I4490" s="90"/>
      <c r="J4490" s="90"/>
    </row>
    <row r="4491" spans="1:36" s="15" customFormat="1" ht="24.75" hidden="1" customHeight="1" outlineLevel="1" x14ac:dyDescent="0.25">
      <c r="A4491" s="18">
        <v>1486</v>
      </c>
      <c r="B4491" s="4" t="s">
        <v>36</v>
      </c>
      <c r="C4491" s="22" t="s">
        <v>2898</v>
      </c>
      <c r="D4491" s="18">
        <v>2022</v>
      </c>
      <c r="E4491" s="18" t="s">
        <v>33</v>
      </c>
      <c r="F4491" s="18">
        <v>1</v>
      </c>
      <c r="G4491" s="18">
        <v>40</v>
      </c>
      <c r="H4491" s="18">
        <v>676.59974999999997</v>
      </c>
      <c r="I4491" s="90"/>
      <c r="J4491" s="90"/>
    </row>
    <row r="4492" spans="1:36" s="15" customFormat="1" ht="24.75" hidden="1" customHeight="1" outlineLevel="1" x14ac:dyDescent="0.25">
      <c r="A4492" s="18">
        <v>1344</v>
      </c>
      <c r="B4492" s="4" t="s">
        <v>36</v>
      </c>
      <c r="C4492" s="22" t="s">
        <v>3138</v>
      </c>
      <c r="D4492" s="18">
        <v>2022</v>
      </c>
      <c r="E4492" s="18" t="s">
        <v>33</v>
      </c>
      <c r="F4492" s="18">
        <v>1</v>
      </c>
      <c r="G4492" s="18">
        <v>35</v>
      </c>
      <c r="H4492" s="18">
        <v>645.73755000000006</v>
      </c>
      <c r="I4492" s="90"/>
      <c r="J4492" s="90"/>
    </row>
    <row r="4493" spans="1:36" s="15" customFormat="1" ht="24.75" hidden="1" customHeight="1" outlineLevel="1" x14ac:dyDescent="0.25">
      <c r="A4493" s="18">
        <v>1608</v>
      </c>
      <c r="B4493" s="4" t="s">
        <v>36</v>
      </c>
      <c r="C4493" s="22" t="s">
        <v>2377</v>
      </c>
      <c r="D4493" s="18">
        <v>2022</v>
      </c>
      <c r="E4493" s="18" t="s">
        <v>33</v>
      </c>
      <c r="F4493" s="18">
        <v>1</v>
      </c>
      <c r="G4493" s="18">
        <v>75</v>
      </c>
      <c r="H4493" s="18">
        <v>669.58029999999997</v>
      </c>
      <c r="I4493" s="90"/>
      <c r="J4493" s="90"/>
    </row>
    <row r="4494" spans="1:36" s="15" customFormat="1" ht="24.75" hidden="1" customHeight="1" outlineLevel="1" x14ac:dyDescent="0.25">
      <c r="A4494" s="18">
        <v>453</v>
      </c>
      <c r="B4494" s="4" t="s">
        <v>36</v>
      </c>
      <c r="C4494" s="22" t="s">
        <v>2416</v>
      </c>
      <c r="D4494" s="18">
        <v>2022</v>
      </c>
      <c r="E4494" s="18" t="s">
        <v>33</v>
      </c>
      <c r="F4494" s="18">
        <v>1</v>
      </c>
      <c r="G4494" s="18">
        <v>15</v>
      </c>
      <c r="H4494" s="18">
        <v>414.85737999999998</v>
      </c>
      <c r="I4494" s="90"/>
      <c r="J4494" s="90"/>
    </row>
    <row r="4495" spans="1:36" s="15" customFormat="1" ht="24.75" hidden="1" customHeight="1" outlineLevel="1" x14ac:dyDescent="0.25">
      <c r="A4495" s="18">
        <v>528</v>
      </c>
      <c r="B4495" s="4" t="s">
        <v>36</v>
      </c>
      <c r="C4495" s="22" t="s">
        <v>2390</v>
      </c>
      <c r="D4495" s="18">
        <v>2022</v>
      </c>
      <c r="E4495" s="18" t="s">
        <v>33</v>
      </c>
      <c r="F4495" s="18">
        <v>1</v>
      </c>
      <c r="G4495" s="18">
        <v>25</v>
      </c>
      <c r="H4495" s="18">
        <v>333.87943000000001</v>
      </c>
      <c r="I4495" s="90"/>
      <c r="J4495" s="90"/>
    </row>
    <row r="4496" spans="1:36" s="15" customFormat="1" ht="24.75" hidden="1" customHeight="1" outlineLevel="1" x14ac:dyDescent="0.25">
      <c r="A4496" s="18">
        <v>538</v>
      </c>
      <c r="B4496" s="4" t="s">
        <v>36</v>
      </c>
      <c r="C4496" s="22" t="s">
        <v>2396</v>
      </c>
      <c r="D4496" s="18">
        <v>2022</v>
      </c>
      <c r="E4496" s="18" t="s">
        <v>33</v>
      </c>
      <c r="F4496" s="18">
        <v>1</v>
      </c>
      <c r="G4496" s="18">
        <v>15</v>
      </c>
      <c r="H4496" s="18">
        <v>363.53001999999998</v>
      </c>
      <c r="I4496" s="90"/>
      <c r="J4496" s="90"/>
    </row>
    <row r="4497" spans="1:10" s="15" customFormat="1" ht="24.75" hidden="1" customHeight="1" outlineLevel="1" x14ac:dyDescent="0.25">
      <c r="A4497" s="18">
        <v>4674</v>
      </c>
      <c r="B4497" s="4" t="s">
        <v>36</v>
      </c>
      <c r="C4497" s="22" t="s">
        <v>3005</v>
      </c>
      <c r="D4497" s="18">
        <v>2022</v>
      </c>
      <c r="E4497" s="18" t="s">
        <v>33</v>
      </c>
      <c r="F4497" s="18">
        <v>1</v>
      </c>
      <c r="G4497" s="18">
        <v>45.5</v>
      </c>
      <c r="H4497" s="18">
        <v>511.86</v>
      </c>
      <c r="I4497" s="90"/>
      <c r="J4497" s="90"/>
    </row>
    <row r="4498" spans="1:10" s="15" customFormat="1" ht="24.75" hidden="1" customHeight="1" outlineLevel="1" x14ac:dyDescent="0.25">
      <c r="A4498" s="18">
        <v>1944</v>
      </c>
      <c r="B4498" s="4" t="s">
        <v>36</v>
      </c>
      <c r="C4498" s="22" t="s">
        <v>3081</v>
      </c>
      <c r="D4498" s="18">
        <v>2022</v>
      </c>
      <c r="E4498" s="18" t="s">
        <v>33</v>
      </c>
      <c r="F4498" s="18">
        <v>1</v>
      </c>
      <c r="G4498" s="18">
        <v>40</v>
      </c>
      <c r="H4498" s="18">
        <v>523.89200000000005</v>
      </c>
      <c r="I4498" s="90"/>
      <c r="J4498" s="90"/>
    </row>
    <row r="4499" spans="1:10" s="15" customFormat="1" ht="24.75" hidden="1" customHeight="1" outlineLevel="1" x14ac:dyDescent="0.25">
      <c r="A4499" s="18">
        <v>5422</v>
      </c>
      <c r="B4499" s="4" t="s">
        <v>36</v>
      </c>
      <c r="C4499" s="22" t="s">
        <v>2517</v>
      </c>
      <c r="D4499" s="18">
        <v>2022</v>
      </c>
      <c r="E4499" s="18" t="s">
        <v>33</v>
      </c>
      <c r="F4499" s="18">
        <v>1</v>
      </c>
      <c r="G4499" s="18">
        <v>25</v>
      </c>
      <c r="H4499" s="18">
        <v>622.16399999999999</v>
      </c>
      <c r="I4499" s="90"/>
      <c r="J4499" s="90"/>
    </row>
    <row r="4500" spans="1:10" s="15" customFormat="1" ht="24.75" hidden="1" customHeight="1" outlineLevel="1" x14ac:dyDescent="0.25">
      <c r="A4500" s="18">
        <v>5420</v>
      </c>
      <c r="B4500" s="4" t="s">
        <v>36</v>
      </c>
      <c r="C4500" s="22" t="s">
        <v>2541</v>
      </c>
      <c r="D4500" s="18">
        <v>2022</v>
      </c>
      <c r="E4500" s="18" t="s">
        <v>33</v>
      </c>
      <c r="F4500" s="18">
        <v>1</v>
      </c>
      <c r="G4500" s="18">
        <v>30</v>
      </c>
      <c r="H4500" s="18">
        <v>485.44400000000002</v>
      </c>
      <c r="I4500" s="90"/>
      <c r="J4500" s="90"/>
    </row>
    <row r="4501" spans="1:10" s="15" customFormat="1" ht="24.75" hidden="1" customHeight="1" outlineLevel="1" x14ac:dyDescent="0.25">
      <c r="A4501" s="18">
        <v>156</v>
      </c>
      <c r="B4501" s="4" t="s">
        <v>36</v>
      </c>
      <c r="C4501" s="22" t="s">
        <v>2587</v>
      </c>
      <c r="D4501" s="18">
        <v>2022</v>
      </c>
      <c r="E4501" s="18" t="s">
        <v>33</v>
      </c>
      <c r="F4501" s="18">
        <v>1</v>
      </c>
      <c r="G4501" s="18">
        <v>30</v>
      </c>
      <c r="H4501" s="18">
        <v>486</v>
      </c>
      <c r="I4501" s="90"/>
      <c r="J4501" s="90"/>
    </row>
    <row r="4502" spans="1:10" s="15" customFormat="1" ht="24.75" hidden="1" customHeight="1" outlineLevel="1" x14ac:dyDescent="0.25">
      <c r="A4502" s="18">
        <v>251</v>
      </c>
      <c r="B4502" s="4" t="s">
        <v>36</v>
      </c>
      <c r="C4502" s="22" t="s">
        <v>2595</v>
      </c>
      <c r="D4502" s="18">
        <v>2022</v>
      </c>
      <c r="E4502" s="18" t="s">
        <v>33</v>
      </c>
      <c r="F4502" s="18">
        <v>1</v>
      </c>
      <c r="G4502" s="18">
        <v>45</v>
      </c>
      <c r="H4502" s="18">
        <v>950</v>
      </c>
      <c r="I4502" s="90"/>
      <c r="J4502" s="90"/>
    </row>
    <row r="4503" spans="1:10" s="15" customFormat="1" ht="24.75" hidden="1" customHeight="1" outlineLevel="1" x14ac:dyDescent="0.25">
      <c r="A4503" s="18">
        <v>203</v>
      </c>
      <c r="B4503" s="4" t="s">
        <v>36</v>
      </c>
      <c r="C4503" s="22" t="s">
        <v>2596</v>
      </c>
      <c r="D4503" s="18">
        <v>2022</v>
      </c>
      <c r="E4503" s="18" t="s">
        <v>33</v>
      </c>
      <c r="F4503" s="18">
        <v>1</v>
      </c>
      <c r="G4503" s="18">
        <v>30</v>
      </c>
      <c r="H4503" s="18">
        <v>731</v>
      </c>
      <c r="I4503" s="90"/>
      <c r="J4503" s="90"/>
    </row>
    <row r="4504" spans="1:10" s="15" customFormat="1" ht="24.75" hidden="1" customHeight="1" outlineLevel="1" x14ac:dyDescent="0.25">
      <c r="A4504" s="18">
        <v>154</v>
      </c>
      <c r="B4504" s="4" t="s">
        <v>36</v>
      </c>
      <c r="C4504" s="22" t="s">
        <v>2599</v>
      </c>
      <c r="D4504" s="18">
        <v>2022</v>
      </c>
      <c r="E4504" s="18" t="s">
        <v>33</v>
      </c>
      <c r="F4504" s="18">
        <v>1</v>
      </c>
      <c r="G4504" s="18">
        <v>10</v>
      </c>
      <c r="H4504" s="18">
        <v>485</v>
      </c>
      <c r="I4504" s="90"/>
      <c r="J4504" s="90"/>
    </row>
    <row r="4505" spans="1:10" s="15" customFormat="1" ht="24.75" hidden="1" customHeight="1" outlineLevel="1" x14ac:dyDescent="0.25">
      <c r="A4505" s="18">
        <v>46</v>
      </c>
      <c r="B4505" s="4" t="s">
        <v>36</v>
      </c>
      <c r="C4505" s="22" t="s">
        <v>2650</v>
      </c>
      <c r="D4505" s="18">
        <v>2022</v>
      </c>
      <c r="E4505" s="18" t="s">
        <v>33</v>
      </c>
      <c r="F4505" s="18">
        <v>1</v>
      </c>
      <c r="G4505" s="18">
        <v>50</v>
      </c>
      <c r="H4505" s="18">
        <v>524</v>
      </c>
      <c r="I4505" s="90"/>
      <c r="J4505" s="90"/>
    </row>
    <row r="4506" spans="1:10" s="15" customFormat="1" ht="24.75" hidden="1" customHeight="1" outlineLevel="1" x14ac:dyDescent="0.25">
      <c r="A4506" s="18">
        <v>44</v>
      </c>
      <c r="B4506" s="4" t="s">
        <v>36</v>
      </c>
      <c r="C4506" s="22" t="s">
        <v>2651</v>
      </c>
      <c r="D4506" s="18">
        <v>2022</v>
      </c>
      <c r="E4506" s="18" t="s">
        <v>33</v>
      </c>
      <c r="F4506" s="18">
        <v>1</v>
      </c>
      <c r="G4506" s="18">
        <v>30</v>
      </c>
      <c r="H4506" s="18">
        <v>434</v>
      </c>
      <c r="I4506" s="90"/>
      <c r="J4506" s="90"/>
    </row>
    <row r="4507" spans="1:10" s="15" customFormat="1" ht="24.75" hidden="1" customHeight="1" outlineLevel="1" x14ac:dyDescent="0.25">
      <c r="A4507" s="18">
        <v>433</v>
      </c>
      <c r="B4507" s="4" t="s">
        <v>36</v>
      </c>
      <c r="C4507" s="22" t="s">
        <v>2770</v>
      </c>
      <c r="D4507" s="18">
        <v>2022</v>
      </c>
      <c r="E4507" s="18" t="s">
        <v>33</v>
      </c>
      <c r="F4507" s="18">
        <v>1</v>
      </c>
      <c r="G4507" s="18">
        <v>10</v>
      </c>
      <c r="H4507" s="18">
        <v>219</v>
      </c>
      <c r="I4507" s="90"/>
      <c r="J4507" s="90"/>
    </row>
    <row r="4508" spans="1:10" s="15" customFormat="1" ht="24.75" hidden="1" customHeight="1" outlineLevel="1" x14ac:dyDescent="0.25">
      <c r="A4508" s="18">
        <v>156</v>
      </c>
      <c r="B4508" s="4" t="s">
        <v>36</v>
      </c>
      <c r="C4508" s="22" t="s">
        <v>2587</v>
      </c>
      <c r="D4508" s="18">
        <v>2022</v>
      </c>
      <c r="E4508" s="18" t="s">
        <v>33</v>
      </c>
      <c r="F4508" s="18">
        <v>1</v>
      </c>
      <c r="G4508" s="18">
        <v>30</v>
      </c>
      <c r="H4508" s="18">
        <v>486</v>
      </c>
      <c r="I4508" s="90"/>
      <c r="J4508" s="90"/>
    </row>
    <row r="4509" spans="1:10" s="15" customFormat="1" ht="24.75" hidden="1" customHeight="1" outlineLevel="1" x14ac:dyDescent="0.25">
      <c r="A4509" s="18">
        <v>251</v>
      </c>
      <c r="B4509" s="4" t="s">
        <v>36</v>
      </c>
      <c r="C4509" s="22" t="s">
        <v>2595</v>
      </c>
      <c r="D4509" s="18">
        <v>2022</v>
      </c>
      <c r="E4509" s="18" t="s">
        <v>33</v>
      </c>
      <c r="F4509" s="18">
        <v>1</v>
      </c>
      <c r="G4509" s="18">
        <v>45</v>
      </c>
      <c r="H4509" s="18">
        <v>950</v>
      </c>
      <c r="I4509" s="90"/>
      <c r="J4509" s="90"/>
    </row>
    <row r="4510" spans="1:10" s="15" customFormat="1" ht="24.75" hidden="1" customHeight="1" outlineLevel="1" x14ac:dyDescent="0.25">
      <c r="A4510" s="18">
        <v>203</v>
      </c>
      <c r="B4510" s="4" t="s">
        <v>36</v>
      </c>
      <c r="C4510" s="22" t="s">
        <v>2596</v>
      </c>
      <c r="D4510" s="18">
        <v>2022</v>
      </c>
      <c r="E4510" s="18" t="s">
        <v>33</v>
      </c>
      <c r="F4510" s="18">
        <v>1</v>
      </c>
      <c r="G4510" s="18">
        <v>30</v>
      </c>
      <c r="H4510" s="18">
        <v>731</v>
      </c>
      <c r="I4510" s="90"/>
      <c r="J4510" s="90"/>
    </row>
    <row r="4511" spans="1:10" s="15" customFormat="1" ht="24.75" hidden="1" customHeight="1" outlineLevel="1" x14ac:dyDescent="0.25">
      <c r="A4511" s="18">
        <v>154</v>
      </c>
      <c r="B4511" s="4" t="s">
        <v>36</v>
      </c>
      <c r="C4511" s="22" t="s">
        <v>2599</v>
      </c>
      <c r="D4511" s="18">
        <v>2022</v>
      </c>
      <c r="E4511" s="18" t="s">
        <v>33</v>
      </c>
      <c r="F4511" s="18">
        <v>1</v>
      </c>
      <c r="G4511" s="18">
        <v>10</v>
      </c>
      <c r="H4511" s="18">
        <v>485</v>
      </c>
      <c r="I4511" s="90"/>
      <c r="J4511" s="90"/>
    </row>
    <row r="4512" spans="1:10" s="15" customFormat="1" ht="24.75" hidden="1" customHeight="1" outlineLevel="1" x14ac:dyDescent="0.25">
      <c r="A4512" s="18">
        <v>46</v>
      </c>
      <c r="B4512" s="4" t="s">
        <v>36</v>
      </c>
      <c r="C4512" s="22" t="s">
        <v>2650</v>
      </c>
      <c r="D4512" s="18">
        <v>2022</v>
      </c>
      <c r="E4512" s="18" t="s">
        <v>33</v>
      </c>
      <c r="F4512" s="18">
        <v>1</v>
      </c>
      <c r="G4512" s="18">
        <v>50</v>
      </c>
      <c r="H4512" s="18">
        <v>524</v>
      </c>
      <c r="I4512" s="90"/>
      <c r="J4512" s="90"/>
    </row>
    <row r="4513" spans="1:10" s="15" customFormat="1" ht="24.75" hidden="1" customHeight="1" outlineLevel="1" x14ac:dyDescent="0.25">
      <c r="A4513" s="18">
        <v>44</v>
      </c>
      <c r="B4513" s="4" t="s">
        <v>36</v>
      </c>
      <c r="C4513" s="22" t="s">
        <v>2651</v>
      </c>
      <c r="D4513" s="18">
        <v>2022</v>
      </c>
      <c r="E4513" s="18" t="s">
        <v>33</v>
      </c>
      <c r="F4513" s="18">
        <v>1</v>
      </c>
      <c r="G4513" s="18">
        <v>30</v>
      </c>
      <c r="H4513" s="18">
        <v>434</v>
      </c>
      <c r="I4513" s="90"/>
      <c r="J4513" s="90"/>
    </row>
    <row r="4514" spans="1:10" s="15" customFormat="1" ht="24.75" hidden="1" customHeight="1" outlineLevel="1" x14ac:dyDescent="0.25">
      <c r="A4514" s="18">
        <v>433</v>
      </c>
      <c r="B4514" s="4" t="s">
        <v>36</v>
      </c>
      <c r="C4514" s="22" t="s">
        <v>2770</v>
      </c>
      <c r="D4514" s="18">
        <v>2022</v>
      </c>
      <c r="E4514" s="18" t="s">
        <v>33</v>
      </c>
      <c r="F4514" s="18">
        <v>1</v>
      </c>
      <c r="G4514" s="18">
        <v>15</v>
      </c>
      <c r="H4514" s="18">
        <v>219</v>
      </c>
      <c r="I4514" s="90"/>
      <c r="J4514" s="90"/>
    </row>
    <row r="4515" spans="1:10" s="15" customFormat="1" ht="24.75" hidden="1" customHeight="1" outlineLevel="1" x14ac:dyDescent="0.25">
      <c r="A4515" s="18">
        <v>274</v>
      </c>
      <c r="B4515" s="4" t="s">
        <v>36</v>
      </c>
      <c r="C4515" s="38" t="s">
        <v>8371</v>
      </c>
      <c r="D4515" s="18">
        <v>2023</v>
      </c>
      <c r="E4515" s="18" t="s">
        <v>33</v>
      </c>
      <c r="F4515" s="4">
        <v>1</v>
      </c>
      <c r="G4515" s="41">
        <v>85</v>
      </c>
      <c r="H4515" s="41">
        <v>695.35517000000004</v>
      </c>
      <c r="I4515" s="221"/>
      <c r="J4515" s="221"/>
    </row>
    <row r="4516" spans="1:10" s="15" customFormat="1" ht="24.75" hidden="1" customHeight="1" outlineLevel="1" x14ac:dyDescent="0.25">
      <c r="A4516" s="18">
        <v>3067</v>
      </c>
      <c r="B4516" s="4" t="s">
        <v>36</v>
      </c>
      <c r="C4516" s="38" t="s">
        <v>8422</v>
      </c>
      <c r="D4516" s="18">
        <v>2023</v>
      </c>
      <c r="E4516" s="18" t="s">
        <v>33</v>
      </c>
      <c r="F4516" s="4">
        <v>1</v>
      </c>
      <c r="G4516" s="41">
        <v>45</v>
      </c>
      <c r="H4516" s="41">
        <v>1034.71631</v>
      </c>
      <c r="I4516" s="221"/>
      <c r="J4516" s="221"/>
    </row>
    <row r="4517" spans="1:10" s="15" customFormat="1" ht="24.75" hidden="1" customHeight="1" outlineLevel="1" x14ac:dyDescent="0.25">
      <c r="A4517" s="18">
        <v>3033</v>
      </c>
      <c r="B4517" s="4" t="s">
        <v>36</v>
      </c>
      <c r="C4517" s="38" t="s">
        <v>9371</v>
      </c>
      <c r="D4517" s="18">
        <v>2023</v>
      </c>
      <c r="E4517" s="18" t="s">
        <v>33</v>
      </c>
      <c r="F4517" s="4">
        <v>1</v>
      </c>
      <c r="G4517" s="41">
        <v>25</v>
      </c>
      <c r="H4517" s="41">
        <v>495</v>
      </c>
      <c r="I4517" s="221"/>
      <c r="J4517" s="221"/>
    </row>
    <row r="4518" spans="1:10" s="15" customFormat="1" ht="24.75" hidden="1" customHeight="1" outlineLevel="1" x14ac:dyDescent="0.25">
      <c r="A4518" s="18">
        <v>3107</v>
      </c>
      <c r="B4518" s="4" t="s">
        <v>36</v>
      </c>
      <c r="C4518" s="38" t="s">
        <v>8718</v>
      </c>
      <c r="D4518" s="18">
        <v>2023</v>
      </c>
      <c r="E4518" s="18" t="s">
        <v>33</v>
      </c>
      <c r="F4518" s="4">
        <v>1</v>
      </c>
      <c r="G4518" s="41">
        <v>70</v>
      </c>
      <c r="H4518" s="41">
        <v>632.65000000000009</v>
      </c>
      <c r="I4518" s="221"/>
      <c r="J4518" s="221"/>
    </row>
    <row r="4519" spans="1:10" s="15" customFormat="1" ht="24.75" hidden="1" customHeight="1" outlineLevel="1" x14ac:dyDescent="0.25">
      <c r="A4519" s="18">
        <v>621</v>
      </c>
      <c r="B4519" s="4" t="s">
        <v>36</v>
      </c>
      <c r="C4519" s="38" t="s">
        <v>9161</v>
      </c>
      <c r="D4519" s="18">
        <v>2023</v>
      </c>
      <c r="E4519" s="18" t="s">
        <v>33</v>
      </c>
      <c r="F4519" s="4">
        <v>1</v>
      </c>
      <c r="G4519" s="41">
        <v>15</v>
      </c>
      <c r="H4519" s="41">
        <v>642.95659000000001</v>
      </c>
      <c r="I4519" s="221"/>
      <c r="J4519" s="221"/>
    </row>
    <row r="4520" spans="1:10" s="15" customFormat="1" ht="24.75" hidden="1" customHeight="1" outlineLevel="1" x14ac:dyDescent="0.25">
      <c r="A4520" s="18">
        <v>3221</v>
      </c>
      <c r="B4520" s="4" t="s">
        <v>36</v>
      </c>
      <c r="C4520" s="38" t="s">
        <v>8774</v>
      </c>
      <c r="D4520" s="18">
        <v>2023</v>
      </c>
      <c r="E4520" s="18" t="s">
        <v>33</v>
      </c>
      <c r="F4520" s="4">
        <v>1</v>
      </c>
      <c r="G4520" s="41">
        <v>15</v>
      </c>
      <c r="H4520" s="41">
        <v>622.79112999999995</v>
      </c>
      <c r="I4520" s="221"/>
      <c r="J4520" s="221"/>
    </row>
    <row r="4521" spans="1:10" s="15" customFormat="1" ht="24.75" hidden="1" customHeight="1" outlineLevel="1" x14ac:dyDescent="0.25">
      <c r="A4521" s="18">
        <v>1038</v>
      </c>
      <c r="B4521" s="4" t="s">
        <v>36</v>
      </c>
      <c r="C4521" s="38" t="s">
        <v>8775</v>
      </c>
      <c r="D4521" s="18">
        <v>2023</v>
      </c>
      <c r="E4521" s="18" t="s">
        <v>33</v>
      </c>
      <c r="F4521" s="4">
        <v>1</v>
      </c>
      <c r="G4521" s="41">
        <v>15</v>
      </c>
      <c r="H4521" s="41">
        <v>340.25706000000002</v>
      </c>
      <c r="I4521" s="221"/>
      <c r="J4521" s="221"/>
    </row>
    <row r="4522" spans="1:10" s="15" customFormat="1" ht="24.75" hidden="1" customHeight="1" outlineLevel="1" x14ac:dyDescent="0.25">
      <c r="A4522" s="18">
        <v>613</v>
      </c>
      <c r="B4522" s="4" t="s">
        <v>36</v>
      </c>
      <c r="C4522" s="38" t="s">
        <v>8776</v>
      </c>
      <c r="D4522" s="18">
        <v>2023</v>
      </c>
      <c r="E4522" s="18" t="s">
        <v>33</v>
      </c>
      <c r="F4522" s="4">
        <v>1</v>
      </c>
      <c r="G4522" s="41">
        <v>15</v>
      </c>
      <c r="H4522" s="41">
        <v>333.94283999999999</v>
      </c>
      <c r="I4522" s="221"/>
      <c r="J4522" s="221"/>
    </row>
    <row r="4523" spans="1:10" s="15" customFormat="1" ht="24.75" hidden="1" customHeight="1" outlineLevel="1" x14ac:dyDescent="0.25">
      <c r="A4523" s="18">
        <v>692</v>
      </c>
      <c r="B4523" s="4" t="s">
        <v>36</v>
      </c>
      <c r="C4523" s="38" t="s">
        <v>8779</v>
      </c>
      <c r="D4523" s="18">
        <v>2023</v>
      </c>
      <c r="E4523" s="18" t="s">
        <v>33</v>
      </c>
      <c r="F4523" s="4">
        <v>1</v>
      </c>
      <c r="G4523" s="41">
        <v>10</v>
      </c>
      <c r="H4523" s="41">
        <v>593.54714999999999</v>
      </c>
      <c r="I4523" s="221"/>
      <c r="J4523" s="221"/>
    </row>
    <row r="4524" spans="1:10" s="15" customFormat="1" ht="24.75" hidden="1" customHeight="1" outlineLevel="1" x14ac:dyDescent="0.25">
      <c r="A4524" s="18">
        <v>683</v>
      </c>
      <c r="B4524" s="4" t="s">
        <v>36</v>
      </c>
      <c r="C4524" s="38" t="s">
        <v>8782</v>
      </c>
      <c r="D4524" s="18">
        <v>2023</v>
      </c>
      <c r="E4524" s="18" t="s">
        <v>33</v>
      </c>
      <c r="F4524" s="4">
        <v>1</v>
      </c>
      <c r="G4524" s="41">
        <v>7</v>
      </c>
      <c r="H4524" s="41">
        <v>430.90519999999998</v>
      </c>
      <c r="I4524" s="221"/>
      <c r="J4524" s="221"/>
    </row>
    <row r="4525" spans="1:10" s="15" customFormat="1" ht="24.75" hidden="1" customHeight="1" outlineLevel="1" x14ac:dyDescent="0.25">
      <c r="A4525" s="18">
        <v>3281</v>
      </c>
      <c r="B4525" s="4" t="s">
        <v>36</v>
      </c>
      <c r="C4525" s="38" t="s">
        <v>8784</v>
      </c>
      <c r="D4525" s="18">
        <v>2023</v>
      </c>
      <c r="E4525" s="18" t="s">
        <v>33</v>
      </c>
      <c r="F4525" s="4">
        <v>1</v>
      </c>
      <c r="G4525" s="41">
        <v>7</v>
      </c>
      <c r="H4525" s="41">
        <v>390.46537000000001</v>
      </c>
      <c r="I4525" s="221"/>
      <c r="J4525" s="221"/>
    </row>
    <row r="4526" spans="1:10" s="15" customFormat="1" ht="24.75" hidden="1" customHeight="1" outlineLevel="1" x14ac:dyDescent="0.25">
      <c r="A4526" s="18">
        <v>975</v>
      </c>
      <c r="B4526" s="4" t="s">
        <v>36</v>
      </c>
      <c r="C4526" s="38" t="s">
        <v>8786</v>
      </c>
      <c r="D4526" s="18">
        <v>2023</v>
      </c>
      <c r="E4526" s="18" t="s">
        <v>33</v>
      </c>
      <c r="F4526" s="4">
        <v>1</v>
      </c>
      <c r="G4526" s="41">
        <v>15</v>
      </c>
      <c r="H4526" s="41">
        <v>420.22813000000002</v>
      </c>
      <c r="I4526" s="221"/>
      <c r="J4526" s="221"/>
    </row>
    <row r="4527" spans="1:10" s="15" customFormat="1" ht="24.75" hidden="1" customHeight="1" outlineLevel="1" x14ac:dyDescent="0.25">
      <c r="A4527" s="18">
        <v>3015</v>
      </c>
      <c r="B4527" s="4" t="s">
        <v>36</v>
      </c>
      <c r="C4527" s="38" t="s">
        <v>8787</v>
      </c>
      <c r="D4527" s="18">
        <v>2023</v>
      </c>
      <c r="E4527" s="18" t="s">
        <v>33</v>
      </c>
      <c r="F4527" s="4">
        <v>1</v>
      </c>
      <c r="G4527" s="41">
        <v>30</v>
      </c>
      <c r="H4527" s="41">
        <v>766.38111000000004</v>
      </c>
      <c r="I4527" s="221"/>
      <c r="J4527" s="221"/>
    </row>
    <row r="4528" spans="1:10" s="15" customFormat="1" ht="24.75" hidden="1" customHeight="1" outlineLevel="1" x14ac:dyDescent="0.25">
      <c r="A4528" s="18">
        <v>3170</v>
      </c>
      <c r="B4528" s="4" t="s">
        <v>36</v>
      </c>
      <c r="C4528" s="38" t="s">
        <v>9173</v>
      </c>
      <c r="D4528" s="18">
        <v>2023</v>
      </c>
      <c r="E4528" s="18" t="s">
        <v>33</v>
      </c>
      <c r="F4528" s="4">
        <v>1</v>
      </c>
      <c r="G4528" s="41">
        <v>45</v>
      </c>
      <c r="H4528" s="41">
        <v>596.14881000000003</v>
      </c>
      <c r="I4528" s="221"/>
      <c r="J4528" s="221"/>
    </row>
    <row r="4529" spans="1:10" s="15" customFormat="1" ht="24.75" hidden="1" customHeight="1" outlineLevel="1" x14ac:dyDescent="0.25">
      <c r="A4529" s="18">
        <v>3191</v>
      </c>
      <c r="B4529" s="4" t="s">
        <v>36</v>
      </c>
      <c r="C4529" s="38" t="s">
        <v>9176</v>
      </c>
      <c r="D4529" s="18">
        <v>2023</v>
      </c>
      <c r="E4529" s="18" t="s">
        <v>33</v>
      </c>
      <c r="F4529" s="4">
        <v>1</v>
      </c>
      <c r="G4529" s="41">
        <v>15</v>
      </c>
      <c r="H4529" s="41">
        <v>586.60774000000004</v>
      </c>
      <c r="I4529" s="221"/>
      <c r="J4529" s="221"/>
    </row>
    <row r="4530" spans="1:10" s="15" customFormat="1" ht="24.75" hidden="1" customHeight="1" outlineLevel="1" x14ac:dyDescent="0.25">
      <c r="A4530" s="18">
        <v>4992</v>
      </c>
      <c r="B4530" s="4" t="s">
        <v>36</v>
      </c>
      <c r="C4530" s="38" t="s">
        <v>8788</v>
      </c>
      <c r="D4530" s="18">
        <v>2023</v>
      </c>
      <c r="E4530" s="18" t="s">
        <v>33</v>
      </c>
      <c r="F4530" s="4">
        <v>1</v>
      </c>
      <c r="G4530" s="41">
        <v>20</v>
      </c>
      <c r="H4530" s="41">
        <v>949.10556999999994</v>
      </c>
      <c r="I4530" s="221"/>
      <c r="J4530" s="221"/>
    </row>
    <row r="4531" spans="1:10" s="15" customFormat="1" ht="157.5" hidden="1" outlineLevel="1" x14ac:dyDescent="0.25">
      <c r="A4531" s="18">
        <v>1769</v>
      </c>
      <c r="B4531" s="4" t="s">
        <v>36</v>
      </c>
      <c r="C4531" s="38" t="s">
        <v>8791</v>
      </c>
      <c r="D4531" s="18">
        <v>2023</v>
      </c>
      <c r="E4531" s="18" t="s">
        <v>33</v>
      </c>
      <c r="F4531" s="4">
        <v>1</v>
      </c>
      <c r="G4531" s="41">
        <v>5</v>
      </c>
      <c r="H4531" s="41">
        <v>609.52423999999996</v>
      </c>
      <c r="I4531" s="221"/>
      <c r="J4531" s="221"/>
    </row>
    <row r="4532" spans="1:10" s="15" customFormat="1" ht="24.75" hidden="1" customHeight="1" outlineLevel="1" x14ac:dyDescent="0.25">
      <c r="A4532" s="18">
        <v>987</v>
      </c>
      <c r="B4532" s="4" t="s">
        <v>36</v>
      </c>
      <c r="C4532" s="38" t="s">
        <v>8847</v>
      </c>
      <c r="D4532" s="18">
        <v>2023</v>
      </c>
      <c r="E4532" s="18" t="s">
        <v>33</v>
      </c>
      <c r="F4532" s="4">
        <v>1</v>
      </c>
      <c r="G4532" s="41">
        <v>30</v>
      </c>
      <c r="H4532" s="41">
        <v>483</v>
      </c>
      <c r="I4532" s="221"/>
      <c r="J4532" s="221"/>
    </row>
    <row r="4533" spans="1:10" s="15" customFormat="1" ht="24.75" hidden="1" customHeight="1" outlineLevel="1" x14ac:dyDescent="0.25">
      <c r="A4533" s="18">
        <v>3007</v>
      </c>
      <c r="B4533" s="4" t="s">
        <v>36</v>
      </c>
      <c r="C4533" s="38" t="s">
        <v>8889</v>
      </c>
      <c r="D4533" s="18">
        <v>2023</v>
      </c>
      <c r="E4533" s="18" t="s">
        <v>33</v>
      </c>
      <c r="F4533" s="4">
        <v>1</v>
      </c>
      <c r="G4533" s="41">
        <v>90</v>
      </c>
      <c r="H4533" s="41">
        <v>898</v>
      </c>
      <c r="I4533" s="221"/>
      <c r="J4533" s="221"/>
    </row>
    <row r="4534" spans="1:10" s="15" customFormat="1" ht="24.75" hidden="1" customHeight="1" outlineLevel="1" x14ac:dyDescent="0.25">
      <c r="A4534" s="18">
        <v>3245</v>
      </c>
      <c r="B4534" s="4" t="s">
        <v>36</v>
      </c>
      <c r="C4534" s="38" t="s">
        <v>8922</v>
      </c>
      <c r="D4534" s="18">
        <v>2023</v>
      </c>
      <c r="E4534" s="18" t="s">
        <v>33</v>
      </c>
      <c r="F4534" s="4">
        <v>1</v>
      </c>
      <c r="G4534" s="41">
        <v>15</v>
      </c>
      <c r="H4534" s="41">
        <v>532</v>
      </c>
      <c r="I4534" s="221"/>
      <c r="J4534" s="221"/>
    </row>
    <row r="4535" spans="1:10" s="15" customFormat="1" ht="24.75" hidden="1" customHeight="1" outlineLevel="1" x14ac:dyDescent="0.25">
      <c r="A4535" s="46">
        <v>9743</v>
      </c>
      <c r="B4535" s="4" t="s">
        <v>36</v>
      </c>
      <c r="C4535" s="22" t="s">
        <v>717</v>
      </c>
      <c r="D4535" s="18">
        <v>2021</v>
      </c>
      <c r="E4535" s="18"/>
      <c r="F4535" s="18">
        <v>1</v>
      </c>
      <c r="G4535" s="18">
        <v>15</v>
      </c>
      <c r="H4535" s="18">
        <v>826</v>
      </c>
      <c r="I4535" s="90"/>
      <c r="J4535" s="90"/>
    </row>
    <row r="4536" spans="1:10" s="15" customFormat="1" ht="24.75" hidden="1" customHeight="1" outlineLevel="1" x14ac:dyDescent="0.25">
      <c r="A4536" s="46">
        <v>9741</v>
      </c>
      <c r="B4536" s="4" t="s">
        <v>36</v>
      </c>
      <c r="C4536" s="22" t="s">
        <v>716</v>
      </c>
      <c r="D4536" s="18">
        <v>2021</v>
      </c>
      <c r="E4536" s="18"/>
      <c r="F4536" s="18">
        <v>1</v>
      </c>
      <c r="G4536" s="18">
        <v>50</v>
      </c>
      <c r="H4536" s="18">
        <v>975</v>
      </c>
      <c r="I4536" s="90"/>
      <c r="J4536" s="90"/>
    </row>
    <row r="4537" spans="1:10" s="15" customFormat="1" ht="24.75" hidden="1" customHeight="1" outlineLevel="1" x14ac:dyDescent="0.25">
      <c r="A4537" s="46">
        <v>9731</v>
      </c>
      <c r="B4537" s="4" t="s">
        <v>36</v>
      </c>
      <c r="C4537" s="22" t="s">
        <v>788</v>
      </c>
      <c r="D4537" s="18">
        <v>2021</v>
      </c>
      <c r="E4537" s="18"/>
      <c r="F4537" s="18">
        <v>1</v>
      </c>
      <c r="G4537" s="18">
        <v>40</v>
      </c>
      <c r="H4537" s="18">
        <v>569</v>
      </c>
      <c r="I4537" s="90"/>
      <c r="J4537" s="90"/>
    </row>
    <row r="4538" spans="1:10" s="15" customFormat="1" ht="24.75" hidden="1" customHeight="1" outlineLevel="1" x14ac:dyDescent="0.25">
      <c r="A4538" s="45">
        <v>1273</v>
      </c>
      <c r="B4538" s="4" t="s">
        <v>36</v>
      </c>
      <c r="C4538" s="22" t="s">
        <v>322</v>
      </c>
      <c r="D4538" s="18">
        <v>2021</v>
      </c>
      <c r="E4538" s="18"/>
      <c r="F4538" s="18">
        <v>1</v>
      </c>
      <c r="G4538" s="18">
        <v>40</v>
      </c>
      <c r="H4538" s="18">
        <v>581</v>
      </c>
      <c r="I4538" s="90"/>
      <c r="J4538" s="90"/>
    </row>
    <row r="4539" spans="1:10" s="15" customFormat="1" ht="24.75" hidden="1" customHeight="1" outlineLevel="1" x14ac:dyDescent="0.25">
      <c r="A4539" s="46">
        <v>9745</v>
      </c>
      <c r="B4539" s="4" t="s">
        <v>36</v>
      </c>
      <c r="C4539" s="22" t="s">
        <v>721</v>
      </c>
      <c r="D4539" s="18">
        <v>2021</v>
      </c>
      <c r="E4539" s="18"/>
      <c r="F4539" s="18">
        <v>1</v>
      </c>
      <c r="G4539" s="18">
        <v>15</v>
      </c>
      <c r="H4539" s="18">
        <v>812</v>
      </c>
      <c r="I4539" s="90"/>
      <c r="J4539" s="90"/>
    </row>
    <row r="4540" spans="1:10" s="15" customFormat="1" ht="24.75" hidden="1" customHeight="1" outlineLevel="1" x14ac:dyDescent="0.25">
      <c r="A4540" s="46">
        <v>10384</v>
      </c>
      <c r="B4540" s="4" t="s">
        <v>36</v>
      </c>
      <c r="C4540" s="22" t="s">
        <v>353</v>
      </c>
      <c r="D4540" s="18">
        <v>2021</v>
      </c>
      <c r="E4540" s="18"/>
      <c r="F4540" s="18">
        <v>1</v>
      </c>
      <c r="G4540" s="18">
        <v>40</v>
      </c>
      <c r="H4540" s="18">
        <v>607</v>
      </c>
      <c r="I4540" s="90"/>
      <c r="J4540" s="90"/>
    </row>
    <row r="4541" spans="1:10" s="15" customFormat="1" ht="24.75" hidden="1" customHeight="1" outlineLevel="1" x14ac:dyDescent="0.25">
      <c r="A4541" s="46">
        <v>9683</v>
      </c>
      <c r="B4541" s="4" t="s">
        <v>36</v>
      </c>
      <c r="C4541" s="22" t="s">
        <v>219</v>
      </c>
      <c r="D4541" s="18">
        <v>2021</v>
      </c>
      <c r="E4541" s="18"/>
      <c r="F4541" s="18">
        <v>1</v>
      </c>
      <c r="G4541" s="18">
        <v>50</v>
      </c>
      <c r="H4541" s="18">
        <v>448.44479999999999</v>
      </c>
      <c r="I4541" s="90"/>
      <c r="J4541" s="90"/>
    </row>
    <row r="4542" spans="1:10" s="15" customFormat="1" ht="24.75" hidden="1" customHeight="1" outlineLevel="1" x14ac:dyDescent="0.25">
      <c r="A4542" s="46">
        <v>9680</v>
      </c>
      <c r="B4542" s="4" t="s">
        <v>36</v>
      </c>
      <c r="C4542" s="22" t="s">
        <v>916</v>
      </c>
      <c r="D4542" s="18">
        <v>2021</v>
      </c>
      <c r="E4542" s="18"/>
      <c r="F4542" s="18">
        <v>1</v>
      </c>
      <c r="G4542" s="18">
        <v>15</v>
      </c>
      <c r="H4542" s="18">
        <v>378.11124000000001</v>
      </c>
      <c r="I4542" s="90"/>
      <c r="J4542" s="90"/>
    </row>
    <row r="4543" spans="1:10" s="15" customFormat="1" ht="24.75" hidden="1" customHeight="1" outlineLevel="1" x14ac:dyDescent="0.25">
      <c r="A4543" s="46">
        <v>9682</v>
      </c>
      <c r="B4543" s="4" t="s">
        <v>36</v>
      </c>
      <c r="C4543" s="22" t="s">
        <v>86</v>
      </c>
      <c r="D4543" s="18">
        <v>2021</v>
      </c>
      <c r="E4543" s="18"/>
      <c r="F4543" s="18">
        <v>1</v>
      </c>
      <c r="G4543" s="18">
        <v>15</v>
      </c>
      <c r="H4543" s="18">
        <v>386.03800000000001</v>
      </c>
      <c r="I4543" s="90"/>
      <c r="J4543" s="90"/>
    </row>
    <row r="4544" spans="1:10" s="15" customFormat="1" ht="24.75" hidden="1" customHeight="1" outlineLevel="1" x14ac:dyDescent="0.25">
      <c r="A4544" s="45">
        <v>1257</v>
      </c>
      <c r="B4544" s="4" t="s">
        <v>36</v>
      </c>
      <c r="C4544" s="22" t="s">
        <v>360</v>
      </c>
      <c r="D4544" s="18">
        <v>2021</v>
      </c>
      <c r="E4544" s="18"/>
      <c r="F4544" s="18">
        <v>1</v>
      </c>
      <c r="G4544" s="18" t="s">
        <v>107</v>
      </c>
      <c r="H4544" s="18">
        <v>759</v>
      </c>
      <c r="I4544" s="90"/>
      <c r="J4544" s="90"/>
    </row>
    <row r="4545" spans="1:10" s="15" customFormat="1" ht="24.75" hidden="1" customHeight="1" outlineLevel="1" x14ac:dyDescent="0.25">
      <c r="A4545" s="46">
        <v>9727</v>
      </c>
      <c r="B4545" s="4" t="s">
        <v>36</v>
      </c>
      <c r="C4545" s="22" t="s">
        <v>95</v>
      </c>
      <c r="D4545" s="18">
        <v>2021</v>
      </c>
      <c r="E4545" s="18"/>
      <c r="F4545" s="18">
        <v>1</v>
      </c>
      <c r="G4545" s="18">
        <v>45</v>
      </c>
      <c r="H4545" s="18">
        <v>637</v>
      </c>
      <c r="I4545" s="90"/>
      <c r="J4545" s="90"/>
    </row>
    <row r="4546" spans="1:10" s="15" customFormat="1" ht="24.75" hidden="1" customHeight="1" outlineLevel="1" x14ac:dyDescent="0.25">
      <c r="A4546" s="45">
        <v>1281</v>
      </c>
      <c r="B4546" s="4" t="s">
        <v>36</v>
      </c>
      <c r="C4546" s="22" t="s">
        <v>96</v>
      </c>
      <c r="D4546" s="18">
        <v>2021</v>
      </c>
      <c r="E4546" s="18"/>
      <c r="F4546" s="18">
        <v>1</v>
      </c>
      <c r="G4546" s="18" t="s">
        <v>384</v>
      </c>
      <c r="H4546" s="18">
        <v>595</v>
      </c>
      <c r="I4546" s="90"/>
      <c r="J4546" s="90"/>
    </row>
    <row r="4547" spans="1:10" s="15" customFormat="1" ht="24.75" hidden="1" customHeight="1" outlineLevel="1" x14ac:dyDescent="0.25">
      <c r="A4547" s="45">
        <v>1259</v>
      </c>
      <c r="B4547" s="4" t="s">
        <v>36</v>
      </c>
      <c r="C4547" s="22" t="s">
        <v>389</v>
      </c>
      <c r="D4547" s="18">
        <v>2021</v>
      </c>
      <c r="E4547" s="18"/>
      <c r="F4547" s="18">
        <v>1</v>
      </c>
      <c r="G4547" s="18">
        <v>30</v>
      </c>
      <c r="H4547" s="18">
        <v>424</v>
      </c>
      <c r="I4547" s="90"/>
      <c r="J4547" s="90"/>
    </row>
    <row r="4548" spans="1:10" s="15" customFormat="1" ht="24.75" hidden="1" customHeight="1" outlineLevel="1" x14ac:dyDescent="0.25">
      <c r="A4548" s="45">
        <v>1262</v>
      </c>
      <c r="B4548" s="4" t="s">
        <v>36</v>
      </c>
      <c r="C4548" s="22" t="s">
        <v>391</v>
      </c>
      <c r="D4548" s="18">
        <v>2021</v>
      </c>
      <c r="E4548" s="18"/>
      <c r="F4548" s="18">
        <v>1</v>
      </c>
      <c r="G4548" s="18">
        <v>30</v>
      </c>
      <c r="H4548" s="18">
        <v>436</v>
      </c>
      <c r="I4548" s="90"/>
      <c r="J4548" s="90"/>
    </row>
    <row r="4549" spans="1:10" s="15" customFormat="1" ht="24.75" hidden="1" customHeight="1" outlineLevel="1" x14ac:dyDescent="0.25">
      <c r="A4549" s="45">
        <v>3825</v>
      </c>
      <c r="B4549" s="4" t="s">
        <v>36</v>
      </c>
      <c r="C4549" s="22" t="s">
        <v>98</v>
      </c>
      <c r="D4549" s="18">
        <v>2021</v>
      </c>
      <c r="E4549" s="18"/>
      <c r="F4549" s="18">
        <v>1</v>
      </c>
      <c r="G4549" s="18" t="s">
        <v>393</v>
      </c>
      <c r="H4549" s="18">
        <v>652</v>
      </c>
      <c r="I4549" s="90"/>
      <c r="J4549" s="90"/>
    </row>
    <row r="4550" spans="1:10" s="15" customFormat="1" ht="24.75" hidden="1" customHeight="1" outlineLevel="1" x14ac:dyDescent="0.25">
      <c r="A4550" s="45">
        <v>3888</v>
      </c>
      <c r="B4550" s="4" t="s">
        <v>36</v>
      </c>
      <c r="C4550" s="22" t="s">
        <v>816</v>
      </c>
      <c r="D4550" s="18">
        <v>2021</v>
      </c>
      <c r="E4550" s="18"/>
      <c r="F4550" s="18">
        <v>1</v>
      </c>
      <c r="G4550" s="18" t="s">
        <v>358</v>
      </c>
      <c r="H4550" s="18">
        <v>565</v>
      </c>
      <c r="I4550" s="90"/>
      <c r="J4550" s="90"/>
    </row>
    <row r="4551" spans="1:10" s="15" customFormat="1" ht="24.75" hidden="1" customHeight="1" outlineLevel="1" x14ac:dyDescent="0.25">
      <c r="A4551" s="45">
        <v>3829</v>
      </c>
      <c r="B4551" s="4" t="s">
        <v>36</v>
      </c>
      <c r="C4551" s="22" t="s">
        <v>102</v>
      </c>
      <c r="D4551" s="18">
        <v>2021</v>
      </c>
      <c r="E4551" s="18"/>
      <c r="F4551" s="18">
        <v>1</v>
      </c>
      <c r="G4551" s="18">
        <v>40</v>
      </c>
      <c r="H4551" s="18">
        <v>484</v>
      </c>
      <c r="I4551" s="90"/>
      <c r="J4551" s="90"/>
    </row>
    <row r="4552" spans="1:10" s="15" customFormat="1" ht="24.75" hidden="1" customHeight="1" outlineLevel="1" x14ac:dyDescent="0.25">
      <c r="A4552" s="46">
        <v>9722</v>
      </c>
      <c r="B4552" s="4" t="s">
        <v>36</v>
      </c>
      <c r="C4552" s="22" t="s">
        <v>106</v>
      </c>
      <c r="D4552" s="18">
        <v>2021</v>
      </c>
      <c r="E4552" s="18"/>
      <c r="F4552" s="18">
        <v>1</v>
      </c>
      <c r="G4552" s="18" t="s">
        <v>107</v>
      </c>
      <c r="H4552" s="18">
        <v>451</v>
      </c>
      <c r="I4552" s="90"/>
      <c r="J4552" s="90"/>
    </row>
    <row r="4553" spans="1:10" s="15" customFormat="1" ht="24.75" hidden="1" customHeight="1" outlineLevel="1" x14ac:dyDescent="0.25">
      <c r="A4553" s="46">
        <v>9094</v>
      </c>
      <c r="B4553" s="4" t="s">
        <v>36</v>
      </c>
      <c r="C4553" s="22" t="s">
        <v>108</v>
      </c>
      <c r="D4553" s="18">
        <v>2021</v>
      </c>
      <c r="E4553" s="18"/>
      <c r="F4553" s="18">
        <v>1</v>
      </c>
      <c r="G4553" s="18" t="s">
        <v>109</v>
      </c>
      <c r="H4553" s="18">
        <v>458</v>
      </c>
      <c r="I4553" s="90"/>
      <c r="J4553" s="90"/>
    </row>
    <row r="4554" spans="1:10" s="15" customFormat="1" ht="24.75" hidden="1" customHeight="1" outlineLevel="1" x14ac:dyDescent="0.25">
      <c r="A4554" s="46">
        <v>9726</v>
      </c>
      <c r="B4554" s="4" t="s">
        <v>36</v>
      </c>
      <c r="C4554" s="22" t="s">
        <v>417</v>
      </c>
      <c r="D4554" s="18">
        <v>2021</v>
      </c>
      <c r="E4554" s="18"/>
      <c r="F4554" s="18">
        <v>1</v>
      </c>
      <c r="G4554" s="18" t="s">
        <v>393</v>
      </c>
      <c r="H4554" s="18">
        <v>353</v>
      </c>
      <c r="I4554" s="90"/>
      <c r="J4554" s="90"/>
    </row>
    <row r="4555" spans="1:10" s="15" customFormat="1" ht="24.75" hidden="1" customHeight="1" outlineLevel="1" x14ac:dyDescent="0.25">
      <c r="A4555" s="45">
        <v>760</v>
      </c>
      <c r="B4555" s="4" t="s">
        <v>36</v>
      </c>
      <c r="C4555" s="22" t="s">
        <v>420</v>
      </c>
      <c r="D4555" s="18">
        <v>2021</v>
      </c>
      <c r="E4555" s="18"/>
      <c r="F4555" s="18">
        <v>1</v>
      </c>
      <c r="G4555" s="18">
        <v>25</v>
      </c>
      <c r="H4555" s="18">
        <v>527.30999999999995</v>
      </c>
      <c r="I4555" s="90"/>
      <c r="J4555" s="90"/>
    </row>
    <row r="4556" spans="1:10" s="15" customFormat="1" ht="24.75" hidden="1" customHeight="1" outlineLevel="1" x14ac:dyDescent="0.25">
      <c r="A4556" s="45">
        <v>736</v>
      </c>
      <c r="B4556" s="4" t="s">
        <v>36</v>
      </c>
      <c r="C4556" s="22" t="s">
        <v>421</v>
      </c>
      <c r="D4556" s="18">
        <v>2021</v>
      </c>
      <c r="E4556" s="18"/>
      <c r="F4556" s="18">
        <v>1</v>
      </c>
      <c r="G4556" s="18">
        <v>15</v>
      </c>
      <c r="H4556" s="18">
        <v>594.99099999999999</v>
      </c>
      <c r="I4556" s="90"/>
      <c r="J4556" s="90"/>
    </row>
    <row r="4557" spans="1:10" s="15" customFormat="1" ht="24.75" hidden="1" customHeight="1" outlineLevel="1" x14ac:dyDescent="0.25">
      <c r="A4557" s="46">
        <v>9520</v>
      </c>
      <c r="B4557" s="4" t="s">
        <v>36</v>
      </c>
      <c r="C4557" s="22" t="s">
        <v>425</v>
      </c>
      <c r="D4557" s="18">
        <v>2021</v>
      </c>
      <c r="E4557" s="18"/>
      <c r="F4557" s="18">
        <v>1</v>
      </c>
      <c r="G4557" s="18">
        <v>50</v>
      </c>
      <c r="H4557" s="18">
        <v>550.89</v>
      </c>
      <c r="I4557" s="90"/>
      <c r="J4557" s="90"/>
    </row>
    <row r="4558" spans="1:10" s="15" customFormat="1" ht="24.75" hidden="1" customHeight="1" outlineLevel="1" x14ac:dyDescent="0.25">
      <c r="A4558" s="46">
        <v>9497</v>
      </c>
      <c r="B4558" s="4" t="s">
        <v>36</v>
      </c>
      <c r="C4558" s="22" t="s">
        <v>446</v>
      </c>
      <c r="D4558" s="18">
        <v>2021</v>
      </c>
      <c r="E4558" s="18"/>
      <c r="F4558" s="18">
        <v>1</v>
      </c>
      <c r="G4558" s="18">
        <v>45</v>
      </c>
      <c r="H4558" s="18">
        <v>463.87900000000002</v>
      </c>
      <c r="I4558" s="90"/>
      <c r="J4558" s="90"/>
    </row>
    <row r="4559" spans="1:10" s="15" customFormat="1" ht="24.75" hidden="1" customHeight="1" outlineLevel="1" x14ac:dyDescent="0.25">
      <c r="A4559" s="46">
        <v>9296</v>
      </c>
      <c r="B4559" s="4" t="s">
        <v>36</v>
      </c>
      <c r="C4559" s="22" t="s">
        <v>917</v>
      </c>
      <c r="D4559" s="18">
        <v>2021</v>
      </c>
      <c r="E4559" s="18"/>
      <c r="F4559" s="18">
        <v>1</v>
      </c>
      <c r="G4559" s="18">
        <v>15</v>
      </c>
      <c r="H4559" s="18">
        <v>162</v>
      </c>
      <c r="I4559" s="90"/>
      <c r="J4559" s="90"/>
    </row>
    <row r="4560" spans="1:10" s="15" customFormat="1" ht="24.75" hidden="1" customHeight="1" outlineLevel="1" x14ac:dyDescent="0.25">
      <c r="A4560" s="46">
        <v>9605</v>
      </c>
      <c r="B4560" s="4" t="s">
        <v>36</v>
      </c>
      <c r="C4560" s="22" t="s">
        <v>737</v>
      </c>
      <c r="D4560" s="18">
        <v>2021</v>
      </c>
      <c r="E4560" s="18"/>
      <c r="F4560" s="18">
        <v>1</v>
      </c>
      <c r="G4560" s="18">
        <v>72</v>
      </c>
      <c r="H4560" s="18">
        <v>612</v>
      </c>
      <c r="I4560" s="90"/>
      <c r="J4560" s="90"/>
    </row>
    <row r="4561" spans="1:10" s="15" customFormat="1" ht="24.75" hidden="1" customHeight="1" outlineLevel="1" x14ac:dyDescent="0.25">
      <c r="A4561" s="46">
        <v>9644</v>
      </c>
      <c r="B4561" s="4" t="s">
        <v>36</v>
      </c>
      <c r="C4561" s="22" t="s">
        <v>526</v>
      </c>
      <c r="D4561" s="18">
        <v>2021</v>
      </c>
      <c r="E4561" s="18"/>
      <c r="F4561" s="18">
        <v>1</v>
      </c>
      <c r="G4561" s="18">
        <v>100</v>
      </c>
      <c r="H4561" s="18">
        <v>621</v>
      </c>
      <c r="I4561" s="90"/>
      <c r="J4561" s="90"/>
    </row>
    <row r="4562" spans="1:10" s="15" customFormat="1" ht="24.75" hidden="1" customHeight="1" outlineLevel="1" x14ac:dyDescent="0.25">
      <c r="A4562" s="46">
        <v>9596</v>
      </c>
      <c r="B4562" s="4" t="s">
        <v>36</v>
      </c>
      <c r="C4562" s="22" t="s">
        <v>528</v>
      </c>
      <c r="D4562" s="18">
        <v>2021</v>
      </c>
      <c r="E4562" s="18"/>
      <c r="F4562" s="18">
        <v>1</v>
      </c>
      <c r="G4562" s="18">
        <v>60</v>
      </c>
      <c r="H4562" s="18">
        <v>518</v>
      </c>
      <c r="I4562" s="90"/>
      <c r="J4562" s="90"/>
    </row>
    <row r="4563" spans="1:10" s="15" customFormat="1" ht="24.75" hidden="1" customHeight="1" outlineLevel="1" x14ac:dyDescent="0.25">
      <c r="A4563" s="46">
        <v>9586</v>
      </c>
      <c r="B4563" s="4" t="s">
        <v>36</v>
      </c>
      <c r="C4563" s="22" t="s">
        <v>559</v>
      </c>
      <c r="D4563" s="18">
        <v>2021</v>
      </c>
      <c r="E4563" s="18"/>
      <c r="F4563" s="18">
        <v>1</v>
      </c>
      <c r="G4563" s="18">
        <v>45</v>
      </c>
      <c r="H4563" s="18">
        <v>664</v>
      </c>
      <c r="I4563" s="90"/>
      <c r="J4563" s="90"/>
    </row>
    <row r="4564" spans="1:10" s="15" customFormat="1" ht="24.75" hidden="1" customHeight="1" outlineLevel="1" x14ac:dyDescent="0.25">
      <c r="A4564" s="46">
        <v>9667</v>
      </c>
      <c r="B4564" s="4" t="s">
        <v>36</v>
      </c>
      <c r="C4564" s="22" t="s">
        <v>560</v>
      </c>
      <c r="D4564" s="18">
        <v>2021</v>
      </c>
      <c r="E4564" s="18"/>
      <c r="F4564" s="18">
        <v>1</v>
      </c>
      <c r="G4564" s="18">
        <v>70</v>
      </c>
      <c r="H4564" s="18">
        <v>486</v>
      </c>
      <c r="I4564" s="90"/>
      <c r="J4564" s="90"/>
    </row>
    <row r="4565" spans="1:10" s="15" customFormat="1" ht="24.75" hidden="1" customHeight="1" outlineLevel="1" x14ac:dyDescent="0.25">
      <c r="A4565" s="46">
        <v>9654</v>
      </c>
      <c r="B4565" s="4" t="s">
        <v>36</v>
      </c>
      <c r="C4565" s="22" t="s">
        <v>903</v>
      </c>
      <c r="D4565" s="18">
        <v>2021</v>
      </c>
      <c r="E4565" s="18"/>
      <c r="F4565" s="18">
        <v>1</v>
      </c>
      <c r="G4565" s="18">
        <v>15</v>
      </c>
      <c r="H4565" s="18">
        <v>417</v>
      </c>
      <c r="I4565" s="90"/>
      <c r="J4565" s="90"/>
    </row>
    <row r="4566" spans="1:10" s="15" customFormat="1" ht="24.75" hidden="1" customHeight="1" outlineLevel="1" x14ac:dyDescent="0.25">
      <c r="A4566" s="45">
        <v>9449</v>
      </c>
      <c r="B4566" s="4" t="s">
        <v>36</v>
      </c>
      <c r="C4566" s="22" t="s">
        <v>918</v>
      </c>
      <c r="D4566" s="18">
        <v>2021</v>
      </c>
      <c r="E4566" s="18"/>
      <c r="F4566" s="18">
        <v>1</v>
      </c>
      <c r="G4566" s="18">
        <v>40</v>
      </c>
      <c r="H4566" s="18">
        <v>462</v>
      </c>
      <c r="I4566" s="90"/>
      <c r="J4566" s="90"/>
    </row>
    <row r="4567" spans="1:10" s="15" customFormat="1" ht="24.75" hidden="1" customHeight="1" outlineLevel="1" x14ac:dyDescent="0.25">
      <c r="A4567" s="45">
        <v>673</v>
      </c>
      <c r="B4567" s="4" t="s">
        <v>36</v>
      </c>
      <c r="C4567" s="22" t="s">
        <v>134</v>
      </c>
      <c r="D4567" s="18">
        <v>2021</v>
      </c>
      <c r="E4567" s="18"/>
      <c r="F4567" s="18">
        <v>1</v>
      </c>
      <c r="G4567" s="18">
        <v>30</v>
      </c>
      <c r="H4567" s="18">
        <v>386</v>
      </c>
      <c r="I4567" s="90"/>
      <c r="J4567" s="90"/>
    </row>
    <row r="4568" spans="1:10" s="15" customFormat="1" ht="24.75" hidden="1" customHeight="1" outlineLevel="1" x14ac:dyDescent="0.25">
      <c r="A4568" s="45">
        <v>444</v>
      </c>
      <c r="B4568" s="4" t="s">
        <v>36</v>
      </c>
      <c r="C4568" s="22" t="s">
        <v>152</v>
      </c>
      <c r="D4568" s="18">
        <v>2021</v>
      </c>
      <c r="E4568" s="18"/>
      <c r="F4568" s="18">
        <v>1</v>
      </c>
      <c r="G4568" s="18">
        <v>70</v>
      </c>
      <c r="H4568" s="18">
        <v>765.94899999999996</v>
      </c>
      <c r="I4568" s="90"/>
      <c r="J4568" s="90"/>
    </row>
    <row r="4569" spans="1:10" s="15" customFormat="1" ht="24.75" hidden="1" customHeight="1" outlineLevel="1" x14ac:dyDescent="0.25">
      <c r="A4569" s="45">
        <v>3712</v>
      </c>
      <c r="B4569" s="4" t="s">
        <v>36</v>
      </c>
      <c r="C4569" s="22" t="s">
        <v>201</v>
      </c>
      <c r="D4569" s="18">
        <v>2021</v>
      </c>
      <c r="E4569" s="18"/>
      <c r="F4569" s="18">
        <v>1</v>
      </c>
      <c r="G4569" s="18">
        <v>80</v>
      </c>
      <c r="H4569" s="18">
        <v>588.37199999999996</v>
      </c>
      <c r="I4569" s="90"/>
      <c r="J4569" s="90"/>
    </row>
    <row r="4570" spans="1:10" s="15" customFormat="1" ht="24.75" hidden="1" customHeight="1" outlineLevel="1" x14ac:dyDescent="0.25">
      <c r="A4570" s="46">
        <v>9639</v>
      </c>
      <c r="B4570" s="4" t="s">
        <v>36</v>
      </c>
      <c r="C4570" s="22" t="s">
        <v>919</v>
      </c>
      <c r="D4570" s="18">
        <v>2021</v>
      </c>
      <c r="E4570" s="18"/>
      <c r="F4570" s="18">
        <v>1</v>
      </c>
      <c r="G4570" s="18">
        <v>50</v>
      </c>
      <c r="H4570" s="18">
        <v>219.625</v>
      </c>
      <c r="I4570" s="90"/>
      <c r="J4570" s="90"/>
    </row>
    <row r="4571" spans="1:10" s="15" customFormat="1" ht="24.75" hidden="1" customHeight="1" outlineLevel="1" x14ac:dyDescent="0.25">
      <c r="A4571" s="46">
        <v>9422</v>
      </c>
      <c r="B4571" s="4" t="s">
        <v>36</v>
      </c>
      <c r="C4571" s="22" t="s">
        <v>187</v>
      </c>
      <c r="D4571" s="18">
        <v>2021</v>
      </c>
      <c r="E4571" s="18"/>
      <c r="F4571" s="18">
        <v>1</v>
      </c>
      <c r="G4571" s="18">
        <v>75</v>
      </c>
      <c r="H4571" s="18">
        <v>571.303</v>
      </c>
      <c r="I4571" s="90"/>
      <c r="J4571" s="90"/>
    </row>
    <row r="4572" spans="1:10" s="15" customFormat="1" ht="24.75" hidden="1" customHeight="1" outlineLevel="1" x14ac:dyDescent="0.25">
      <c r="A4572" s="45">
        <v>3877</v>
      </c>
      <c r="B4572" s="4" t="s">
        <v>36</v>
      </c>
      <c r="C4572" s="22" t="s">
        <v>761</v>
      </c>
      <c r="D4572" s="18">
        <v>2021</v>
      </c>
      <c r="E4572" s="18"/>
      <c r="F4572" s="18">
        <v>1</v>
      </c>
      <c r="G4572" s="18">
        <v>50</v>
      </c>
      <c r="H4572" s="18">
        <v>787.28345000000002</v>
      </c>
      <c r="I4572" s="90"/>
      <c r="J4572" s="90"/>
    </row>
    <row r="4573" spans="1:10" s="15" customFormat="1" ht="24.75" hidden="1" customHeight="1" outlineLevel="1" x14ac:dyDescent="0.25">
      <c r="A4573" s="45">
        <v>3879</v>
      </c>
      <c r="B4573" s="4" t="s">
        <v>36</v>
      </c>
      <c r="C4573" s="22" t="s">
        <v>920</v>
      </c>
      <c r="D4573" s="18">
        <v>2021</v>
      </c>
      <c r="E4573" s="18"/>
      <c r="F4573" s="18">
        <v>1</v>
      </c>
      <c r="G4573" s="18">
        <v>40</v>
      </c>
      <c r="H4573" s="18">
        <v>619.79349000000002</v>
      </c>
      <c r="I4573" s="90"/>
      <c r="J4573" s="90"/>
    </row>
    <row r="4574" spans="1:10" s="15" customFormat="1" ht="24.75" hidden="1" customHeight="1" outlineLevel="1" x14ac:dyDescent="0.25">
      <c r="A4574" s="45">
        <v>1121</v>
      </c>
      <c r="B4574" s="4" t="s">
        <v>36</v>
      </c>
      <c r="C4574" s="22" t="s">
        <v>607</v>
      </c>
      <c r="D4574" s="18">
        <v>2021</v>
      </c>
      <c r="E4574" s="18"/>
      <c r="F4574" s="18">
        <v>1</v>
      </c>
      <c r="G4574" s="18">
        <v>25</v>
      </c>
      <c r="H4574" s="18">
        <v>459.22266999999999</v>
      </c>
      <c r="I4574" s="90"/>
      <c r="J4574" s="90"/>
    </row>
    <row r="4575" spans="1:10" s="15" customFormat="1" ht="24.75" hidden="1" customHeight="1" outlineLevel="1" x14ac:dyDescent="0.25">
      <c r="A4575" s="46">
        <v>9492</v>
      </c>
      <c r="B4575" s="4" t="s">
        <v>36</v>
      </c>
      <c r="C4575" s="22" t="s">
        <v>775</v>
      </c>
      <c r="D4575" s="18">
        <v>2021</v>
      </c>
      <c r="E4575" s="18"/>
      <c r="F4575" s="18">
        <v>1</v>
      </c>
      <c r="G4575" s="18">
        <v>60</v>
      </c>
      <c r="H4575" s="18">
        <v>411.75</v>
      </c>
      <c r="I4575" s="90"/>
      <c r="J4575" s="90"/>
    </row>
    <row r="4576" spans="1:10" s="15" customFormat="1" ht="24.75" hidden="1" customHeight="1" outlineLevel="1" x14ac:dyDescent="0.25">
      <c r="A4576" s="45">
        <v>3882</v>
      </c>
      <c r="B4576" s="4" t="s">
        <v>36</v>
      </c>
      <c r="C4576" s="22" t="s">
        <v>779</v>
      </c>
      <c r="D4576" s="18">
        <v>2021</v>
      </c>
      <c r="E4576" s="18"/>
      <c r="F4576" s="18">
        <v>1</v>
      </c>
      <c r="G4576" s="18">
        <v>45</v>
      </c>
      <c r="H4576" s="18">
        <v>759.70527000000004</v>
      </c>
      <c r="I4576" s="90"/>
      <c r="J4576" s="90"/>
    </row>
    <row r="4577" spans="1:36" s="15" customFormat="1" ht="24.75" hidden="1" customHeight="1" outlineLevel="1" x14ac:dyDescent="0.25">
      <c r="A4577" s="45">
        <v>963</v>
      </c>
      <c r="B4577" s="4" t="s">
        <v>36</v>
      </c>
      <c r="C4577" s="22" t="s">
        <v>787</v>
      </c>
      <c r="D4577" s="18">
        <v>2021</v>
      </c>
      <c r="E4577" s="18"/>
      <c r="F4577" s="18">
        <v>1</v>
      </c>
      <c r="G4577" s="18">
        <v>45</v>
      </c>
      <c r="H4577" s="18">
        <v>640.50958000000003</v>
      </c>
      <c r="I4577" s="90"/>
      <c r="J4577" s="90"/>
    </row>
    <row r="4578" spans="1:36" s="16" customFormat="1" ht="47.25" collapsed="1" x14ac:dyDescent="0.25">
      <c r="A4578" s="18"/>
      <c r="B4578" s="72" t="s">
        <v>36</v>
      </c>
      <c r="C4578" s="73" t="s">
        <v>2116</v>
      </c>
      <c r="D4578" s="71"/>
      <c r="E4578" s="72" t="s">
        <v>31</v>
      </c>
      <c r="F4578" s="71"/>
      <c r="G4578" s="71"/>
      <c r="H4578" s="71"/>
      <c r="I4578" s="231"/>
      <c r="J4578" s="231"/>
      <c r="K4578" s="15"/>
      <c r="L4578" s="15"/>
      <c r="M4578" s="15"/>
      <c r="N4578" s="15"/>
      <c r="O4578" s="15"/>
      <c r="P4578" s="15"/>
      <c r="Q4578" s="15"/>
      <c r="R4578" s="15"/>
      <c r="S4578" s="15"/>
      <c r="T4578" s="15"/>
      <c r="U4578" s="15"/>
      <c r="V4578" s="15"/>
      <c r="W4578" s="15"/>
      <c r="X4578" s="15"/>
      <c r="Y4578" s="15"/>
      <c r="Z4578" s="15"/>
      <c r="AA4578" s="15"/>
      <c r="AB4578" s="15"/>
      <c r="AC4578" s="15"/>
      <c r="AD4578" s="15"/>
      <c r="AE4578" s="15"/>
      <c r="AF4578" s="15"/>
      <c r="AG4578" s="15"/>
      <c r="AH4578" s="15"/>
      <c r="AI4578" s="15"/>
      <c r="AJ4578" s="15"/>
    </row>
    <row r="4579" spans="1:36" s="16" customFormat="1" ht="16.5" customHeight="1" x14ac:dyDescent="0.25">
      <c r="A4579" s="18"/>
      <c r="B4579" s="11" t="s">
        <v>36</v>
      </c>
      <c r="C4579" s="12" t="s">
        <v>57</v>
      </c>
      <c r="D4579" s="20">
        <v>2021</v>
      </c>
      <c r="E4579" s="20" t="s">
        <v>31</v>
      </c>
      <c r="F4579" s="11">
        <f>SUMIF($D$4582:$D$4595,$D$4579,$F$4582:$F$4595)</f>
        <v>2</v>
      </c>
      <c r="G4579" s="11">
        <f>SUMIF($D$4582:$D$4595,$D$4579,$G$4582:$G$4595)</f>
        <v>70</v>
      </c>
      <c r="H4579" s="14">
        <f>SUMIF($D$4582:$D$4595,$D$4579,$H$4582:$H$4595)</f>
        <v>1187</v>
      </c>
      <c r="I4579" s="220"/>
      <c r="J4579" s="5"/>
      <c r="K4579" s="5"/>
      <c r="L4579" s="15"/>
      <c r="M4579" s="15"/>
      <c r="N4579" s="15"/>
      <c r="O4579" s="15"/>
      <c r="P4579" s="15"/>
      <c r="Q4579" s="15"/>
      <c r="R4579" s="15"/>
      <c r="S4579" s="15"/>
      <c r="T4579" s="15"/>
      <c r="U4579" s="15"/>
      <c r="V4579" s="15"/>
      <c r="W4579" s="15"/>
      <c r="X4579" s="15"/>
      <c r="Y4579" s="15"/>
      <c r="Z4579" s="15"/>
      <c r="AA4579" s="15"/>
      <c r="AB4579" s="15"/>
      <c r="AC4579" s="15"/>
      <c r="AD4579" s="15"/>
      <c r="AE4579" s="15"/>
      <c r="AF4579" s="15"/>
      <c r="AG4579" s="15"/>
      <c r="AH4579" s="15"/>
      <c r="AI4579" s="15"/>
      <c r="AJ4579" s="15"/>
    </row>
    <row r="4580" spans="1:36" s="27" customFormat="1" ht="16.5" customHeight="1" x14ac:dyDescent="0.25">
      <c r="A4580" s="18"/>
      <c r="B4580" s="11" t="s">
        <v>36</v>
      </c>
      <c r="C4580" s="12" t="s">
        <v>57</v>
      </c>
      <c r="D4580" s="20">
        <v>2022</v>
      </c>
      <c r="E4580" s="20" t="s">
        <v>31</v>
      </c>
      <c r="F4580" s="11">
        <f>SUMIF($D$4582:$D$4595,$D$4580,$F$4582:$F$4595)</f>
        <v>7</v>
      </c>
      <c r="G4580" s="14">
        <f>SUMIF($D$4582:$D$4595,$D$4580,$G$4582:$G$4595)</f>
        <v>405</v>
      </c>
      <c r="H4580" s="14">
        <f>SUMIF($D$4582:$D$4595,$D$4580,$H$4582:$H$4595)</f>
        <v>4681.8600200000001</v>
      </c>
      <c r="I4580" s="220"/>
      <c r="J4580" s="220"/>
      <c r="K4580" s="15"/>
      <c r="L4580" s="15"/>
      <c r="M4580" s="15"/>
      <c r="N4580" s="15"/>
      <c r="O4580" s="15"/>
      <c r="P4580" s="15"/>
      <c r="Q4580" s="15"/>
      <c r="R4580" s="15"/>
      <c r="S4580" s="15"/>
      <c r="T4580" s="15"/>
      <c r="U4580" s="15"/>
      <c r="V4580" s="15"/>
      <c r="W4580" s="15"/>
      <c r="X4580" s="15"/>
      <c r="Y4580" s="15"/>
      <c r="Z4580" s="15"/>
      <c r="AA4580" s="15"/>
      <c r="AB4580" s="15"/>
      <c r="AC4580" s="15"/>
      <c r="AD4580" s="15"/>
      <c r="AE4580" s="15"/>
      <c r="AF4580" s="15"/>
      <c r="AG4580" s="15"/>
      <c r="AH4580" s="15"/>
      <c r="AI4580" s="15"/>
      <c r="AJ4580" s="15"/>
    </row>
    <row r="4581" spans="1:36" s="27" customFormat="1" ht="15.75" x14ac:dyDescent="0.25">
      <c r="A4581" s="18"/>
      <c r="B4581" s="11" t="s">
        <v>36</v>
      </c>
      <c r="C4581" s="12" t="s">
        <v>57</v>
      </c>
      <c r="D4581" s="20">
        <v>2023</v>
      </c>
      <c r="E4581" s="20" t="s">
        <v>31</v>
      </c>
      <c r="F4581" s="11">
        <f>SUMIF($D$4582:$D$4595,$D$4581,$F$4582:$F$4595)</f>
        <v>4</v>
      </c>
      <c r="G4581" s="14">
        <f>SUMIF($D$4582:$D$4595,$D$4581,$G$4582:$G$4595)</f>
        <v>172</v>
      </c>
      <c r="H4581" s="14">
        <f>SUMIF($D$4582:$D$4595,$D$4581,$H$4582:$H$4595)</f>
        <v>3120.58943</v>
      </c>
      <c r="I4581" s="220"/>
      <c r="J4581" s="220"/>
      <c r="K4581" s="15"/>
      <c r="L4581" s="15"/>
      <c r="M4581" s="15"/>
      <c r="N4581" s="15"/>
      <c r="O4581" s="15"/>
      <c r="P4581" s="15"/>
      <c r="Q4581" s="15"/>
      <c r="R4581" s="15"/>
      <c r="S4581" s="15"/>
      <c r="T4581" s="15"/>
      <c r="U4581" s="15"/>
      <c r="V4581" s="15"/>
      <c r="W4581" s="15"/>
      <c r="X4581" s="15"/>
      <c r="Y4581" s="15"/>
      <c r="Z4581" s="15"/>
      <c r="AA4581" s="15"/>
      <c r="AB4581" s="15"/>
      <c r="AC4581" s="15"/>
      <c r="AD4581" s="15"/>
      <c r="AE4581" s="15"/>
      <c r="AF4581" s="15"/>
      <c r="AG4581" s="15"/>
      <c r="AH4581" s="15"/>
      <c r="AI4581" s="15"/>
      <c r="AJ4581" s="15"/>
    </row>
    <row r="4582" spans="1:36" s="15" customFormat="1" ht="37.5" hidden="1" customHeight="1" outlineLevel="1" x14ac:dyDescent="0.25">
      <c r="A4582" s="18">
        <v>1254</v>
      </c>
      <c r="B4582" s="4" t="s">
        <v>36</v>
      </c>
      <c r="C4582" s="22" t="s">
        <v>2291</v>
      </c>
      <c r="D4582" s="18">
        <v>2022</v>
      </c>
      <c r="E4582" s="18" t="s">
        <v>31</v>
      </c>
      <c r="F4582" s="4">
        <v>1</v>
      </c>
      <c r="G4582" s="4">
        <v>70</v>
      </c>
      <c r="H4582" s="4">
        <v>673.78341</v>
      </c>
      <c r="I4582" s="201"/>
      <c r="J4582" s="201"/>
    </row>
    <row r="4583" spans="1:36" s="15" customFormat="1" ht="37.5" hidden="1" customHeight="1" outlineLevel="1" x14ac:dyDescent="0.25">
      <c r="A4583" s="18">
        <v>459</v>
      </c>
      <c r="B4583" s="4" t="s">
        <v>36</v>
      </c>
      <c r="C4583" s="22" t="s">
        <v>2439</v>
      </c>
      <c r="D4583" s="18">
        <v>2022</v>
      </c>
      <c r="E4583" s="18" t="s">
        <v>31</v>
      </c>
      <c r="F4583" s="4">
        <v>1</v>
      </c>
      <c r="G4583" s="4">
        <v>150</v>
      </c>
      <c r="H4583" s="4">
        <v>1191.0766100000001</v>
      </c>
      <c r="I4583" s="201"/>
      <c r="J4583" s="201"/>
    </row>
    <row r="4584" spans="1:36" s="15" customFormat="1" ht="37.5" hidden="1" customHeight="1" outlineLevel="1" x14ac:dyDescent="0.25">
      <c r="A4584" s="18">
        <v>47</v>
      </c>
      <c r="B4584" s="4" t="s">
        <v>36</v>
      </c>
      <c r="C4584" s="22" t="s">
        <v>2636</v>
      </c>
      <c r="D4584" s="18">
        <v>2022</v>
      </c>
      <c r="E4584" s="18" t="s">
        <v>31</v>
      </c>
      <c r="F4584" s="4">
        <v>1</v>
      </c>
      <c r="G4584" s="4">
        <v>40</v>
      </c>
      <c r="H4584" s="4">
        <v>505</v>
      </c>
      <c r="I4584" s="201"/>
      <c r="J4584" s="201"/>
    </row>
    <row r="4585" spans="1:36" s="15" customFormat="1" ht="63" hidden="1" outlineLevel="1" x14ac:dyDescent="0.25">
      <c r="A4585" s="18">
        <v>250</v>
      </c>
      <c r="B4585" s="4" t="s">
        <v>36</v>
      </c>
      <c r="C4585" s="22" t="s">
        <v>3121</v>
      </c>
      <c r="D4585" s="18">
        <v>2022</v>
      </c>
      <c r="E4585" s="18" t="s">
        <v>31</v>
      </c>
      <c r="F4585" s="4">
        <v>1</v>
      </c>
      <c r="G4585" s="4">
        <v>50</v>
      </c>
      <c r="H4585" s="4">
        <v>449</v>
      </c>
      <c r="I4585" s="201"/>
      <c r="J4585" s="201"/>
    </row>
    <row r="4586" spans="1:36" s="15" customFormat="1" ht="37.5" hidden="1" customHeight="1" outlineLevel="1" x14ac:dyDescent="0.25">
      <c r="A4586" s="18">
        <v>47</v>
      </c>
      <c r="B4586" s="4" t="s">
        <v>36</v>
      </c>
      <c r="C4586" s="22" t="s">
        <v>2636</v>
      </c>
      <c r="D4586" s="18">
        <v>2022</v>
      </c>
      <c r="E4586" s="18" t="s">
        <v>31</v>
      </c>
      <c r="F4586" s="4">
        <v>1</v>
      </c>
      <c r="G4586" s="4">
        <v>40</v>
      </c>
      <c r="H4586" s="4">
        <v>505</v>
      </c>
      <c r="I4586" s="201"/>
      <c r="J4586" s="201"/>
    </row>
    <row r="4587" spans="1:36" s="15" customFormat="1" ht="37.5" hidden="1" customHeight="1" outlineLevel="1" x14ac:dyDescent="0.25">
      <c r="A4587" s="18">
        <v>5059</v>
      </c>
      <c r="B4587" s="4" t="s">
        <v>36</v>
      </c>
      <c r="C4587" s="22" t="s">
        <v>2792</v>
      </c>
      <c r="D4587" s="18">
        <v>2022</v>
      </c>
      <c r="E4587" s="18" t="s">
        <v>31</v>
      </c>
      <c r="F4587" s="4">
        <v>1</v>
      </c>
      <c r="G4587" s="4">
        <v>30</v>
      </c>
      <c r="H4587" s="4">
        <v>424</v>
      </c>
      <c r="I4587" s="201"/>
      <c r="J4587" s="201"/>
    </row>
    <row r="4588" spans="1:36" s="15" customFormat="1" ht="37.5" hidden="1" customHeight="1" outlineLevel="1" x14ac:dyDescent="0.25">
      <c r="A4588" s="18">
        <v>5302</v>
      </c>
      <c r="B4588" s="4" t="s">
        <v>36</v>
      </c>
      <c r="C4588" s="22" t="s">
        <v>2798</v>
      </c>
      <c r="D4588" s="18">
        <v>2022</v>
      </c>
      <c r="E4588" s="18" t="s">
        <v>31</v>
      </c>
      <c r="F4588" s="4">
        <v>1</v>
      </c>
      <c r="G4588" s="4">
        <v>25</v>
      </c>
      <c r="H4588" s="4">
        <v>934</v>
      </c>
      <c r="I4588" s="201"/>
      <c r="J4588" s="201"/>
    </row>
    <row r="4589" spans="1:36" s="15" customFormat="1" ht="37.5" hidden="1" customHeight="1" outlineLevel="1" x14ac:dyDescent="0.25">
      <c r="A4589" s="18">
        <v>3042</v>
      </c>
      <c r="B4589" s="6" t="s">
        <v>36</v>
      </c>
      <c r="C4589" s="38" t="s">
        <v>8364</v>
      </c>
      <c r="D4589" s="18">
        <v>2023</v>
      </c>
      <c r="E4589" s="18" t="s">
        <v>31</v>
      </c>
      <c r="F4589" s="4">
        <v>1</v>
      </c>
      <c r="G4589" s="41">
        <v>27</v>
      </c>
      <c r="H4589" s="41">
        <v>632.46311000000003</v>
      </c>
      <c r="I4589" s="221"/>
      <c r="J4589" s="221"/>
    </row>
    <row r="4590" spans="1:36" s="15" customFormat="1" ht="37.5" hidden="1" customHeight="1" outlineLevel="1" x14ac:dyDescent="0.25">
      <c r="A4590" s="18">
        <v>444</v>
      </c>
      <c r="B4590" s="6" t="s">
        <v>36</v>
      </c>
      <c r="C4590" s="38" t="s">
        <v>8375</v>
      </c>
      <c r="D4590" s="18">
        <v>2023</v>
      </c>
      <c r="E4590" s="18" t="s">
        <v>31</v>
      </c>
      <c r="F4590" s="4">
        <v>1</v>
      </c>
      <c r="G4590" s="41">
        <v>15</v>
      </c>
      <c r="H4590" s="41">
        <v>671.96396000000004</v>
      </c>
      <c r="I4590" s="221"/>
      <c r="J4590" s="221"/>
    </row>
    <row r="4591" spans="1:36" s="15" customFormat="1" ht="37.5" hidden="1" customHeight="1" outlineLevel="1" x14ac:dyDescent="0.25">
      <c r="A4591" s="18">
        <v>3135</v>
      </c>
      <c r="B4591" s="6" t="s">
        <v>36</v>
      </c>
      <c r="C4591" s="38" t="s">
        <v>8475</v>
      </c>
      <c r="D4591" s="18">
        <v>2023</v>
      </c>
      <c r="E4591" s="18" t="s">
        <v>31</v>
      </c>
      <c r="F4591" s="4">
        <v>1</v>
      </c>
      <c r="G4591" s="41">
        <v>50</v>
      </c>
      <c r="H4591" s="41">
        <v>954.10187999999994</v>
      </c>
      <c r="I4591" s="221"/>
      <c r="J4591" s="221"/>
    </row>
    <row r="4592" spans="1:36" s="15" customFormat="1" ht="37.5" hidden="1" customHeight="1" outlineLevel="1" x14ac:dyDescent="0.25">
      <c r="A4592" s="18">
        <v>5061</v>
      </c>
      <c r="B4592" s="6" t="s">
        <v>36</v>
      </c>
      <c r="C4592" s="38" t="s">
        <v>8549</v>
      </c>
      <c r="D4592" s="18">
        <v>2023</v>
      </c>
      <c r="E4592" s="18" t="s">
        <v>31</v>
      </c>
      <c r="F4592" s="4">
        <v>1</v>
      </c>
      <c r="G4592" s="41">
        <v>80</v>
      </c>
      <c r="H4592" s="41">
        <v>862.06047999999998</v>
      </c>
      <c r="I4592" s="221"/>
      <c r="J4592" s="221"/>
    </row>
    <row r="4593" spans="1:36" s="15" customFormat="1" ht="37.5" hidden="1" customHeight="1" outlineLevel="1" x14ac:dyDescent="0.25">
      <c r="A4593" s="46">
        <v>9613</v>
      </c>
      <c r="B4593" s="4" t="s">
        <v>36</v>
      </c>
      <c r="C4593" s="22" t="s">
        <v>736</v>
      </c>
      <c r="D4593" s="18">
        <v>2021</v>
      </c>
      <c r="E4593" s="18"/>
      <c r="F4593" s="4">
        <v>1</v>
      </c>
      <c r="G4593" s="4">
        <v>20</v>
      </c>
      <c r="H4593" s="4">
        <v>737</v>
      </c>
      <c r="I4593" s="201"/>
      <c r="J4593" s="201"/>
    </row>
    <row r="4594" spans="1:36" s="15" customFormat="1" ht="78.75" hidden="1" outlineLevel="1" x14ac:dyDescent="0.25">
      <c r="A4594" s="46">
        <v>9673</v>
      </c>
      <c r="B4594" s="4" t="s">
        <v>36</v>
      </c>
      <c r="C4594" s="22" t="s">
        <v>533</v>
      </c>
      <c r="D4594" s="18">
        <v>2021</v>
      </c>
      <c r="E4594" s="18"/>
      <c r="F4594" s="4">
        <v>1</v>
      </c>
      <c r="G4594" s="4">
        <v>50</v>
      </c>
      <c r="H4594" s="4">
        <v>450</v>
      </c>
      <c r="I4594" s="201"/>
      <c r="J4594" s="201"/>
    </row>
    <row r="4595" spans="1:36" s="15" customFormat="1" ht="18" hidden="1" customHeight="1" outlineLevel="1" x14ac:dyDescent="0.25">
      <c r="A4595" s="46"/>
      <c r="B4595" s="4"/>
      <c r="C4595" s="22"/>
      <c r="D4595" s="18"/>
      <c r="E4595" s="18"/>
      <c r="F4595" s="4"/>
      <c r="G4595" s="4"/>
      <c r="H4595" s="4"/>
      <c r="I4595" s="201"/>
      <c r="J4595" s="201"/>
    </row>
    <row r="4596" spans="1:36" s="15" customFormat="1" ht="47.25" customHeight="1" collapsed="1" x14ac:dyDescent="0.25">
      <c r="A4596" s="18"/>
      <c r="B4596" s="60" t="s">
        <v>37</v>
      </c>
      <c r="C4596" s="74" t="s">
        <v>2117</v>
      </c>
      <c r="D4596" s="67"/>
      <c r="E4596" s="68" t="s">
        <v>33</v>
      </c>
      <c r="F4596" s="60"/>
      <c r="G4596" s="60"/>
      <c r="H4596" s="60"/>
      <c r="I4596" s="214"/>
      <c r="J4596" s="214"/>
    </row>
    <row r="4597" spans="1:36" s="15" customFormat="1" ht="18" customHeight="1" x14ac:dyDescent="0.25">
      <c r="A4597" s="18"/>
      <c r="B4597" s="7" t="s">
        <v>37</v>
      </c>
      <c r="C4597" s="8" t="s">
        <v>57</v>
      </c>
      <c r="D4597" s="19">
        <v>2021</v>
      </c>
      <c r="E4597" s="19" t="s">
        <v>33</v>
      </c>
      <c r="F4597" s="7">
        <f>SUMIF($D$4600:$D$4707,$D$4597,$F$4600:$F$4707)</f>
        <v>31</v>
      </c>
      <c r="G4597" s="10">
        <f>SUMIF($D$4600:$D$4707,$D$4597,$G$4600:$G$4707)</f>
        <v>3567.3</v>
      </c>
      <c r="H4597" s="10">
        <f>SUMIF($D$4600:$D$4707,$D$4597,$H$4600:$H$4707)</f>
        <v>19344.50447</v>
      </c>
      <c r="I4597" s="205"/>
      <c r="J4597" s="5"/>
      <c r="K4597" s="5"/>
    </row>
    <row r="4598" spans="1:36" s="27" customFormat="1" ht="18" customHeight="1" x14ac:dyDescent="0.25">
      <c r="A4598" s="18"/>
      <c r="B4598" s="7" t="s">
        <v>37</v>
      </c>
      <c r="C4598" s="8" t="s">
        <v>57</v>
      </c>
      <c r="D4598" s="19">
        <v>2022</v>
      </c>
      <c r="E4598" s="19" t="s">
        <v>33</v>
      </c>
      <c r="F4598" s="7">
        <f>SUMIF($D$4600:$D$4707,$D$4598,$F$4600:$F$4707)</f>
        <v>28</v>
      </c>
      <c r="G4598" s="10">
        <f>SUMIF($D$4600:$D$4707,$D$4598,$G$4600:$G$4707)</f>
        <v>3274.4</v>
      </c>
      <c r="H4598" s="10">
        <f>SUMIF($D$4600:$D$4707,$D$4598,$H$4600:$H$4707)</f>
        <v>20801.824949999998</v>
      </c>
      <c r="I4598" s="205"/>
      <c r="J4598" s="205"/>
      <c r="K4598" s="15"/>
      <c r="L4598" s="15"/>
      <c r="M4598" s="15"/>
      <c r="N4598" s="15"/>
      <c r="O4598" s="15"/>
      <c r="P4598" s="15"/>
      <c r="Q4598" s="15"/>
      <c r="R4598" s="15"/>
      <c r="S4598" s="15"/>
      <c r="T4598" s="15"/>
      <c r="U4598" s="15"/>
      <c r="V4598" s="15"/>
      <c r="W4598" s="15"/>
      <c r="X4598" s="15"/>
      <c r="Y4598" s="15"/>
      <c r="Z4598" s="15"/>
      <c r="AA4598" s="15"/>
      <c r="AB4598" s="15"/>
      <c r="AC4598" s="15"/>
      <c r="AD4598" s="15"/>
      <c r="AE4598" s="15"/>
      <c r="AF4598" s="15"/>
      <c r="AG4598" s="15"/>
      <c r="AH4598" s="15"/>
      <c r="AI4598" s="15"/>
      <c r="AJ4598" s="15"/>
    </row>
    <row r="4599" spans="1:36" s="27" customFormat="1" ht="18" customHeight="1" x14ac:dyDescent="0.25">
      <c r="A4599" s="18"/>
      <c r="B4599" s="7" t="s">
        <v>37</v>
      </c>
      <c r="C4599" s="8" t="s">
        <v>2811</v>
      </c>
      <c r="D4599" s="19">
        <v>2023</v>
      </c>
      <c r="E4599" s="19" t="s">
        <v>33</v>
      </c>
      <c r="F4599" s="7">
        <f>SUMIF($D$4600:$D$4707,$D$4599,$F$4600:$F$4707)</f>
        <v>50</v>
      </c>
      <c r="G4599" s="10">
        <f>SUMIF($D$4600:$D$4707,$D$4599,$G$4600:$G$4707)</f>
        <v>6917</v>
      </c>
      <c r="H4599" s="10">
        <f>SUMIF($D$4600:$D$4707,$D$4599,$H$4600:$H$4707)</f>
        <v>45321.173840000003</v>
      </c>
      <c r="I4599" s="205"/>
      <c r="J4599" s="205"/>
      <c r="K4599" s="15"/>
      <c r="L4599" s="15"/>
      <c r="M4599" s="15"/>
      <c r="N4599" s="15"/>
      <c r="O4599" s="15"/>
      <c r="P4599" s="15"/>
      <c r="Q4599" s="15"/>
      <c r="R4599" s="15"/>
      <c r="S4599" s="15"/>
      <c r="T4599" s="15"/>
      <c r="U4599" s="15"/>
      <c r="V4599" s="15"/>
      <c r="W4599" s="15"/>
      <c r="X4599" s="15"/>
      <c r="Y4599" s="15"/>
      <c r="Z4599" s="15"/>
      <c r="AA4599" s="15"/>
      <c r="AB4599" s="15"/>
      <c r="AC4599" s="15"/>
      <c r="AD4599" s="15"/>
      <c r="AE4599" s="15"/>
      <c r="AF4599" s="15"/>
      <c r="AG4599" s="15"/>
      <c r="AH4599" s="15"/>
      <c r="AI4599" s="15"/>
      <c r="AJ4599" s="15"/>
    </row>
    <row r="4600" spans="1:36" s="15" customFormat="1" ht="18" hidden="1" customHeight="1" outlineLevel="1" x14ac:dyDescent="0.25">
      <c r="A4600" s="18">
        <v>2796</v>
      </c>
      <c r="B4600" s="4" t="s">
        <v>37</v>
      </c>
      <c r="C4600" s="22" t="s">
        <v>2149</v>
      </c>
      <c r="D4600" s="18">
        <v>2022</v>
      </c>
      <c r="E4600" s="18" t="s">
        <v>33</v>
      </c>
      <c r="F4600" s="4">
        <v>1</v>
      </c>
      <c r="G4600" s="18">
        <v>100</v>
      </c>
      <c r="H4600" s="4">
        <v>484.20099999999996</v>
      </c>
      <c r="I4600" s="201"/>
      <c r="J4600" s="201"/>
    </row>
    <row r="4601" spans="1:36" s="15" customFormat="1" ht="18" hidden="1" customHeight="1" outlineLevel="1" x14ac:dyDescent="0.25">
      <c r="A4601" s="18">
        <v>2993</v>
      </c>
      <c r="B4601" s="4" t="s">
        <v>37</v>
      </c>
      <c r="C4601" s="22" t="s">
        <v>2882</v>
      </c>
      <c r="D4601" s="18">
        <v>2022</v>
      </c>
      <c r="E4601" s="18" t="s">
        <v>33</v>
      </c>
      <c r="F4601" s="4">
        <v>1</v>
      </c>
      <c r="G4601" s="18">
        <v>15</v>
      </c>
      <c r="H4601" s="4">
        <v>780.154</v>
      </c>
      <c r="I4601" s="201"/>
      <c r="J4601" s="201"/>
    </row>
    <row r="4602" spans="1:36" s="15" customFormat="1" ht="27" hidden="1" customHeight="1" outlineLevel="1" x14ac:dyDescent="0.25">
      <c r="A4602" s="18">
        <v>2731</v>
      </c>
      <c r="B4602" s="4" t="s">
        <v>37</v>
      </c>
      <c r="C4602" s="22" t="s">
        <v>2823</v>
      </c>
      <c r="D4602" s="18">
        <v>2022</v>
      </c>
      <c r="E4602" s="18" t="s">
        <v>33</v>
      </c>
      <c r="F4602" s="4">
        <v>1</v>
      </c>
      <c r="G4602" s="18">
        <v>215</v>
      </c>
      <c r="H4602" s="4">
        <v>935.37126000000001</v>
      </c>
      <c r="I4602" s="201"/>
      <c r="J4602" s="201"/>
    </row>
    <row r="4603" spans="1:36" s="15" customFormat="1" ht="27" hidden="1" customHeight="1" outlineLevel="1" x14ac:dyDescent="0.25">
      <c r="A4603" s="18">
        <v>2859</v>
      </c>
      <c r="B4603" s="4" t="s">
        <v>37</v>
      </c>
      <c r="C4603" s="22" t="s">
        <v>2185</v>
      </c>
      <c r="D4603" s="18">
        <v>2022</v>
      </c>
      <c r="E4603" s="18" t="s">
        <v>33</v>
      </c>
      <c r="F4603" s="4">
        <v>1</v>
      </c>
      <c r="G4603" s="18">
        <v>100</v>
      </c>
      <c r="H4603" s="4">
        <v>327.46180000000004</v>
      </c>
      <c r="I4603" s="201"/>
      <c r="J4603" s="201"/>
    </row>
    <row r="4604" spans="1:36" s="15" customFormat="1" ht="27" hidden="1" customHeight="1" outlineLevel="1" x14ac:dyDescent="0.25">
      <c r="A4604" s="18">
        <v>2867</v>
      </c>
      <c r="B4604" s="4" t="s">
        <v>37</v>
      </c>
      <c r="C4604" s="22" t="s">
        <v>2188</v>
      </c>
      <c r="D4604" s="18">
        <v>2022</v>
      </c>
      <c r="E4604" s="18" t="s">
        <v>33</v>
      </c>
      <c r="F4604" s="4">
        <v>1</v>
      </c>
      <c r="G4604" s="18">
        <v>100</v>
      </c>
      <c r="H4604" s="4">
        <v>326.44151999999997</v>
      </c>
      <c r="I4604" s="201"/>
      <c r="J4604" s="201"/>
    </row>
    <row r="4605" spans="1:36" s="15" customFormat="1" ht="27" hidden="1" customHeight="1" outlineLevel="1" x14ac:dyDescent="0.25">
      <c r="A4605" s="18">
        <v>2910</v>
      </c>
      <c r="B4605" s="4" t="s">
        <v>37</v>
      </c>
      <c r="C4605" s="22" t="s">
        <v>2189</v>
      </c>
      <c r="D4605" s="18">
        <v>2022</v>
      </c>
      <c r="E4605" s="18" t="s">
        <v>33</v>
      </c>
      <c r="F4605" s="4">
        <v>1</v>
      </c>
      <c r="G4605" s="18">
        <v>100</v>
      </c>
      <c r="H4605" s="4">
        <v>321.31013000000002</v>
      </c>
      <c r="I4605" s="201"/>
      <c r="J4605" s="201"/>
    </row>
    <row r="4606" spans="1:36" s="15" customFormat="1" ht="27" hidden="1" customHeight="1" outlineLevel="1" x14ac:dyDescent="0.25">
      <c r="A4606" s="18">
        <v>1589</v>
      </c>
      <c r="B4606" s="4" t="s">
        <v>37</v>
      </c>
      <c r="C4606" s="22" t="s">
        <v>2274</v>
      </c>
      <c r="D4606" s="18">
        <v>2022</v>
      </c>
      <c r="E4606" s="18" t="s">
        <v>33</v>
      </c>
      <c r="F4606" s="4">
        <v>1</v>
      </c>
      <c r="G4606" s="18">
        <v>100.6</v>
      </c>
      <c r="H4606" s="4">
        <v>722.04355999999996</v>
      </c>
      <c r="I4606" s="201"/>
      <c r="J4606" s="201"/>
    </row>
    <row r="4607" spans="1:36" s="15" customFormat="1" ht="27" hidden="1" customHeight="1" outlineLevel="1" x14ac:dyDescent="0.25">
      <c r="A4607" s="18">
        <v>464</v>
      </c>
      <c r="B4607" s="4" t="s">
        <v>37</v>
      </c>
      <c r="C4607" s="22" t="s">
        <v>2914</v>
      </c>
      <c r="D4607" s="18">
        <v>2022</v>
      </c>
      <c r="E4607" s="18" t="s">
        <v>33</v>
      </c>
      <c r="F4607" s="4">
        <v>1</v>
      </c>
      <c r="G4607" s="18">
        <v>150</v>
      </c>
      <c r="H4607" s="4">
        <v>844.12368000000004</v>
      </c>
      <c r="I4607" s="201"/>
      <c r="J4607" s="201"/>
    </row>
    <row r="4608" spans="1:36" s="15" customFormat="1" ht="27" hidden="1" customHeight="1" outlineLevel="1" x14ac:dyDescent="0.25">
      <c r="A4608" s="18">
        <v>5048</v>
      </c>
      <c r="B4608" s="4" t="s">
        <v>37</v>
      </c>
      <c r="C4608" s="22" t="s">
        <v>2858</v>
      </c>
      <c r="D4608" s="18">
        <v>2022</v>
      </c>
      <c r="E4608" s="18" t="s">
        <v>33</v>
      </c>
      <c r="F4608" s="4">
        <v>1</v>
      </c>
      <c r="G4608" s="18">
        <v>150</v>
      </c>
      <c r="H4608" s="4">
        <v>889</v>
      </c>
      <c r="I4608" s="201"/>
      <c r="J4608" s="201"/>
    </row>
    <row r="4609" spans="1:10" s="15" customFormat="1" ht="27" hidden="1" customHeight="1" outlineLevel="1" x14ac:dyDescent="0.25">
      <c r="A4609" s="18">
        <v>2543</v>
      </c>
      <c r="B4609" s="4" t="s">
        <v>37</v>
      </c>
      <c r="C4609" s="22" t="s">
        <v>3093</v>
      </c>
      <c r="D4609" s="18">
        <v>2022</v>
      </c>
      <c r="E4609" s="18" t="s">
        <v>33</v>
      </c>
      <c r="F4609" s="4">
        <v>1</v>
      </c>
      <c r="G4609" s="18">
        <v>150</v>
      </c>
      <c r="H4609" s="4">
        <v>1076.31</v>
      </c>
      <c r="I4609" s="201"/>
      <c r="J4609" s="201"/>
    </row>
    <row r="4610" spans="1:10" s="15" customFormat="1" ht="27" hidden="1" customHeight="1" outlineLevel="1" x14ac:dyDescent="0.25">
      <c r="A4610" s="18">
        <v>2068</v>
      </c>
      <c r="B4610" s="4" t="s">
        <v>37</v>
      </c>
      <c r="C4610" s="22" t="s">
        <v>3094</v>
      </c>
      <c r="D4610" s="18">
        <v>2022</v>
      </c>
      <c r="E4610" s="18" t="s">
        <v>33</v>
      </c>
      <c r="F4610" s="4">
        <v>1</v>
      </c>
      <c r="G4610" s="18">
        <v>135</v>
      </c>
      <c r="H4610" s="4">
        <v>885.50099999999998</v>
      </c>
      <c r="I4610" s="201"/>
      <c r="J4610" s="201"/>
    </row>
    <row r="4611" spans="1:10" s="15" customFormat="1" ht="27" hidden="1" customHeight="1" outlineLevel="1" x14ac:dyDescent="0.25">
      <c r="A4611" s="18">
        <v>118</v>
      </c>
      <c r="B4611" s="4" t="s">
        <v>37</v>
      </c>
      <c r="C4611" s="22" t="s">
        <v>2571</v>
      </c>
      <c r="D4611" s="18">
        <v>2022</v>
      </c>
      <c r="E4611" s="18" t="s">
        <v>33</v>
      </c>
      <c r="F4611" s="4">
        <v>1</v>
      </c>
      <c r="G4611" s="18">
        <v>100</v>
      </c>
      <c r="H4611" s="4">
        <v>670</v>
      </c>
      <c r="I4611" s="201"/>
      <c r="J4611" s="201"/>
    </row>
    <row r="4612" spans="1:10" s="15" customFormat="1" ht="27" hidden="1" customHeight="1" outlineLevel="1" x14ac:dyDescent="0.25">
      <c r="A4612" s="18">
        <v>179</v>
      </c>
      <c r="B4612" s="4" t="s">
        <v>37</v>
      </c>
      <c r="C4612" s="22" t="s">
        <v>3139</v>
      </c>
      <c r="D4612" s="18">
        <v>2022</v>
      </c>
      <c r="E4612" s="18" t="s">
        <v>33</v>
      </c>
      <c r="F4612" s="4">
        <v>1</v>
      </c>
      <c r="G4612" s="18">
        <v>100</v>
      </c>
      <c r="H4612" s="4">
        <v>648</v>
      </c>
      <c r="I4612" s="201"/>
      <c r="J4612" s="201"/>
    </row>
    <row r="4613" spans="1:10" s="15" customFormat="1" ht="27" hidden="1" customHeight="1" outlineLevel="1" x14ac:dyDescent="0.25">
      <c r="A4613" s="18">
        <v>130</v>
      </c>
      <c r="B4613" s="4" t="s">
        <v>37</v>
      </c>
      <c r="C4613" s="22" t="s">
        <v>2861</v>
      </c>
      <c r="D4613" s="18">
        <v>2022</v>
      </c>
      <c r="E4613" s="18" t="s">
        <v>33</v>
      </c>
      <c r="F4613" s="4">
        <v>1</v>
      </c>
      <c r="G4613" s="18">
        <v>30</v>
      </c>
      <c r="H4613" s="4">
        <v>836</v>
      </c>
      <c r="I4613" s="201"/>
      <c r="J4613" s="201"/>
    </row>
    <row r="4614" spans="1:10" s="15" customFormat="1" ht="27" hidden="1" customHeight="1" outlineLevel="1" x14ac:dyDescent="0.25">
      <c r="A4614" s="18">
        <v>284</v>
      </c>
      <c r="B4614" s="4" t="s">
        <v>37</v>
      </c>
      <c r="C4614" s="22" t="s">
        <v>2923</v>
      </c>
      <c r="D4614" s="18">
        <v>2022</v>
      </c>
      <c r="E4614" s="18" t="s">
        <v>33</v>
      </c>
      <c r="F4614" s="4">
        <v>1</v>
      </c>
      <c r="G4614" s="18">
        <v>150</v>
      </c>
      <c r="H4614" s="4">
        <v>845</v>
      </c>
      <c r="I4614" s="201"/>
      <c r="J4614" s="201"/>
    </row>
    <row r="4615" spans="1:10" s="15" customFormat="1" ht="27" hidden="1" customHeight="1" outlineLevel="1" x14ac:dyDescent="0.25">
      <c r="A4615" s="18">
        <v>399</v>
      </c>
      <c r="B4615" s="4" t="s">
        <v>37</v>
      </c>
      <c r="C4615" s="22" t="s">
        <v>2925</v>
      </c>
      <c r="D4615" s="18">
        <v>2022</v>
      </c>
      <c r="E4615" s="18" t="s">
        <v>33</v>
      </c>
      <c r="F4615" s="4">
        <v>1</v>
      </c>
      <c r="G4615" s="18">
        <v>150</v>
      </c>
      <c r="H4615" s="4">
        <v>765</v>
      </c>
      <c r="I4615" s="201"/>
      <c r="J4615" s="201"/>
    </row>
    <row r="4616" spans="1:10" s="15" customFormat="1" ht="27" hidden="1" customHeight="1" outlineLevel="1" x14ac:dyDescent="0.25">
      <c r="A4616" s="18">
        <v>425</v>
      </c>
      <c r="B4616" s="4" t="s">
        <v>37</v>
      </c>
      <c r="C4616" s="22" t="s">
        <v>2719</v>
      </c>
      <c r="D4616" s="18">
        <v>2022</v>
      </c>
      <c r="E4616" s="18" t="s">
        <v>33</v>
      </c>
      <c r="F4616" s="4">
        <v>1</v>
      </c>
      <c r="G4616" s="18">
        <v>120</v>
      </c>
      <c r="H4616" s="4">
        <v>838</v>
      </c>
      <c r="I4616" s="201"/>
      <c r="J4616" s="201"/>
    </row>
    <row r="4617" spans="1:10" s="15" customFormat="1" ht="27" hidden="1" customHeight="1" outlineLevel="1" x14ac:dyDescent="0.25">
      <c r="A4617" s="18">
        <v>426</v>
      </c>
      <c r="B4617" s="4" t="s">
        <v>37</v>
      </c>
      <c r="C4617" s="22" t="s">
        <v>2750</v>
      </c>
      <c r="D4617" s="18">
        <v>2022</v>
      </c>
      <c r="E4617" s="18" t="s">
        <v>33</v>
      </c>
      <c r="F4617" s="4">
        <v>1</v>
      </c>
      <c r="G4617" s="18">
        <v>104.4</v>
      </c>
      <c r="H4617" s="4">
        <v>814</v>
      </c>
      <c r="I4617" s="201"/>
      <c r="J4617" s="201"/>
    </row>
    <row r="4618" spans="1:10" s="15" customFormat="1" ht="27" hidden="1" customHeight="1" outlineLevel="1" x14ac:dyDescent="0.25">
      <c r="A4618" s="18">
        <v>118</v>
      </c>
      <c r="B4618" s="4" t="s">
        <v>37</v>
      </c>
      <c r="C4618" s="22" t="s">
        <v>2571</v>
      </c>
      <c r="D4618" s="18">
        <v>2022</v>
      </c>
      <c r="E4618" s="18" t="s">
        <v>33</v>
      </c>
      <c r="F4618" s="4">
        <v>1</v>
      </c>
      <c r="G4618" s="18">
        <v>100</v>
      </c>
      <c r="H4618" s="4">
        <v>670</v>
      </c>
      <c r="I4618" s="201"/>
      <c r="J4618" s="201"/>
    </row>
    <row r="4619" spans="1:10" s="15" customFormat="1" ht="27" hidden="1" customHeight="1" outlineLevel="1" x14ac:dyDescent="0.25">
      <c r="A4619" s="18">
        <v>179</v>
      </c>
      <c r="B4619" s="4" t="s">
        <v>37</v>
      </c>
      <c r="C4619" s="22" t="s">
        <v>3139</v>
      </c>
      <c r="D4619" s="18">
        <v>2022</v>
      </c>
      <c r="E4619" s="18" t="s">
        <v>33</v>
      </c>
      <c r="F4619" s="4">
        <v>1</v>
      </c>
      <c r="G4619" s="18">
        <v>100</v>
      </c>
      <c r="H4619" s="4">
        <v>648</v>
      </c>
      <c r="I4619" s="201"/>
      <c r="J4619" s="201"/>
    </row>
    <row r="4620" spans="1:10" s="15" customFormat="1" ht="27" hidden="1" customHeight="1" outlineLevel="1" x14ac:dyDescent="0.25">
      <c r="A4620" s="18">
        <v>130</v>
      </c>
      <c r="B4620" s="4" t="s">
        <v>37</v>
      </c>
      <c r="C4620" s="22" t="s">
        <v>2861</v>
      </c>
      <c r="D4620" s="18">
        <v>2022</v>
      </c>
      <c r="E4620" s="18" t="s">
        <v>33</v>
      </c>
      <c r="F4620" s="4">
        <v>1</v>
      </c>
      <c r="G4620" s="18">
        <v>30</v>
      </c>
      <c r="H4620" s="4">
        <v>836</v>
      </c>
      <c r="I4620" s="201"/>
      <c r="J4620" s="201"/>
    </row>
    <row r="4621" spans="1:10" s="15" customFormat="1" ht="27" hidden="1" customHeight="1" outlineLevel="1" x14ac:dyDescent="0.25">
      <c r="A4621" s="18">
        <v>284</v>
      </c>
      <c r="B4621" s="4" t="s">
        <v>37</v>
      </c>
      <c r="C4621" s="22" t="s">
        <v>2923</v>
      </c>
      <c r="D4621" s="18">
        <v>2022</v>
      </c>
      <c r="E4621" s="18" t="s">
        <v>33</v>
      </c>
      <c r="F4621" s="4">
        <v>1</v>
      </c>
      <c r="G4621" s="18">
        <v>150</v>
      </c>
      <c r="H4621" s="4">
        <v>845</v>
      </c>
      <c r="I4621" s="201"/>
      <c r="J4621" s="201"/>
    </row>
    <row r="4622" spans="1:10" s="15" customFormat="1" ht="27" hidden="1" customHeight="1" outlineLevel="1" x14ac:dyDescent="0.25">
      <c r="A4622" s="18">
        <v>399</v>
      </c>
      <c r="B4622" s="4" t="s">
        <v>37</v>
      </c>
      <c r="C4622" s="22" t="s">
        <v>2925</v>
      </c>
      <c r="D4622" s="18">
        <v>2022</v>
      </c>
      <c r="E4622" s="18" t="s">
        <v>33</v>
      </c>
      <c r="F4622" s="4">
        <v>1</v>
      </c>
      <c r="G4622" s="18">
        <v>150</v>
      </c>
      <c r="H4622" s="4">
        <v>765</v>
      </c>
      <c r="I4622" s="201"/>
      <c r="J4622" s="201"/>
    </row>
    <row r="4623" spans="1:10" s="15" customFormat="1" ht="27" hidden="1" customHeight="1" outlineLevel="1" x14ac:dyDescent="0.25">
      <c r="A4623" s="18">
        <v>425</v>
      </c>
      <c r="B4623" s="4" t="s">
        <v>37</v>
      </c>
      <c r="C4623" s="22" t="s">
        <v>2719</v>
      </c>
      <c r="D4623" s="18">
        <v>2022</v>
      </c>
      <c r="E4623" s="18" t="s">
        <v>33</v>
      </c>
      <c r="F4623" s="4">
        <v>1</v>
      </c>
      <c r="G4623" s="18">
        <v>120</v>
      </c>
      <c r="H4623" s="4">
        <v>838</v>
      </c>
      <c r="I4623" s="201"/>
      <c r="J4623" s="201"/>
    </row>
    <row r="4624" spans="1:10" s="15" customFormat="1" ht="27" hidden="1" customHeight="1" outlineLevel="1" x14ac:dyDescent="0.25">
      <c r="A4624" s="18">
        <v>426</v>
      </c>
      <c r="B4624" s="4" t="s">
        <v>37</v>
      </c>
      <c r="C4624" s="22" t="s">
        <v>2750</v>
      </c>
      <c r="D4624" s="18">
        <v>2022</v>
      </c>
      <c r="E4624" s="18" t="s">
        <v>33</v>
      </c>
      <c r="F4624" s="4">
        <v>1</v>
      </c>
      <c r="G4624" s="18">
        <v>104.4</v>
      </c>
      <c r="H4624" s="4">
        <v>814</v>
      </c>
      <c r="I4624" s="201"/>
      <c r="J4624" s="201"/>
    </row>
    <row r="4625" spans="1:10" s="15" customFormat="1" ht="27" hidden="1" customHeight="1" outlineLevel="1" x14ac:dyDescent="0.25">
      <c r="A4625" s="18">
        <v>3075</v>
      </c>
      <c r="B4625" s="4" t="s">
        <v>37</v>
      </c>
      <c r="C4625" s="38" t="s">
        <v>8068</v>
      </c>
      <c r="D4625" s="18">
        <v>2023</v>
      </c>
      <c r="E4625" s="18" t="s">
        <v>33</v>
      </c>
      <c r="F4625" s="6">
        <v>1</v>
      </c>
      <c r="G4625" s="41">
        <v>100</v>
      </c>
      <c r="H4625" s="41">
        <v>634.11500000000001</v>
      </c>
      <c r="I4625" s="221"/>
      <c r="J4625" s="221"/>
    </row>
    <row r="4626" spans="1:10" s="15" customFormat="1" ht="27" hidden="1" customHeight="1" outlineLevel="1" x14ac:dyDescent="0.25">
      <c r="A4626" s="18">
        <v>3068</v>
      </c>
      <c r="B4626" s="4" t="s">
        <v>37</v>
      </c>
      <c r="C4626" s="38" t="s">
        <v>9028</v>
      </c>
      <c r="D4626" s="18">
        <v>2023</v>
      </c>
      <c r="E4626" s="18" t="s">
        <v>33</v>
      </c>
      <c r="F4626" s="6">
        <v>1</v>
      </c>
      <c r="G4626" s="41">
        <v>135</v>
      </c>
      <c r="H4626" s="41">
        <v>1083.06</v>
      </c>
      <c r="I4626" s="221"/>
      <c r="J4626" s="221"/>
    </row>
    <row r="4627" spans="1:10" s="15" customFormat="1" ht="27" hidden="1" customHeight="1" outlineLevel="1" x14ac:dyDescent="0.25">
      <c r="A4627" s="18">
        <v>3059</v>
      </c>
      <c r="B4627" s="4" t="s">
        <v>37</v>
      </c>
      <c r="C4627" s="38" t="s">
        <v>9330</v>
      </c>
      <c r="D4627" s="18">
        <v>2023</v>
      </c>
      <c r="E4627" s="18" t="s">
        <v>33</v>
      </c>
      <c r="F4627" s="6">
        <v>1</v>
      </c>
      <c r="G4627" s="41">
        <v>150</v>
      </c>
      <c r="H4627" s="41">
        <v>1181.01</v>
      </c>
      <c r="I4627" s="221"/>
      <c r="J4627" s="221"/>
    </row>
    <row r="4628" spans="1:10" s="15" customFormat="1" ht="27" hidden="1" customHeight="1" outlineLevel="1" x14ac:dyDescent="0.25">
      <c r="A4628" s="18">
        <v>3110</v>
      </c>
      <c r="B4628" s="4" t="s">
        <v>37</v>
      </c>
      <c r="C4628" s="38" t="s">
        <v>9029</v>
      </c>
      <c r="D4628" s="18">
        <v>2023</v>
      </c>
      <c r="E4628" s="18" t="s">
        <v>33</v>
      </c>
      <c r="F4628" s="6">
        <v>1</v>
      </c>
      <c r="G4628" s="41">
        <v>150</v>
      </c>
      <c r="H4628" s="41">
        <v>1058.3800000000001</v>
      </c>
      <c r="I4628" s="221"/>
      <c r="J4628" s="221"/>
    </row>
    <row r="4629" spans="1:10" s="15" customFormat="1" ht="27" hidden="1" customHeight="1" outlineLevel="1" x14ac:dyDescent="0.25">
      <c r="A4629" s="18">
        <v>3072</v>
      </c>
      <c r="B4629" s="4" t="s">
        <v>37</v>
      </c>
      <c r="C4629" s="38" t="s">
        <v>8155</v>
      </c>
      <c r="D4629" s="18">
        <v>2023</v>
      </c>
      <c r="E4629" s="18" t="s">
        <v>33</v>
      </c>
      <c r="F4629" s="6">
        <v>1</v>
      </c>
      <c r="G4629" s="41">
        <v>137</v>
      </c>
      <c r="H4629" s="41">
        <v>906.101</v>
      </c>
      <c r="I4629" s="221"/>
      <c r="J4629" s="221"/>
    </row>
    <row r="4630" spans="1:10" s="15" customFormat="1" ht="27" hidden="1" customHeight="1" outlineLevel="1" x14ac:dyDescent="0.25">
      <c r="A4630" s="18">
        <v>6490</v>
      </c>
      <c r="B4630" s="4" t="s">
        <v>37</v>
      </c>
      <c r="C4630" s="38" t="s">
        <v>9034</v>
      </c>
      <c r="D4630" s="18">
        <v>2023</v>
      </c>
      <c r="E4630" s="18" t="s">
        <v>33</v>
      </c>
      <c r="F4630" s="6">
        <v>1</v>
      </c>
      <c r="G4630" s="41">
        <v>150</v>
      </c>
      <c r="H4630" s="41">
        <v>1280.808</v>
      </c>
      <c r="I4630" s="221"/>
      <c r="J4630" s="221"/>
    </row>
    <row r="4631" spans="1:10" s="15" customFormat="1" ht="27" hidden="1" customHeight="1" outlineLevel="1" x14ac:dyDescent="0.25">
      <c r="A4631" s="18">
        <v>3122</v>
      </c>
      <c r="B4631" s="4" t="s">
        <v>37</v>
      </c>
      <c r="C4631" s="38" t="s">
        <v>9037</v>
      </c>
      <c r="D4631" s="18">
        <v>2023</v>
      </c>
      <c r="E4631" s="18" t="s">
        <v>33</v>
      </c>
      <c r="F4631" s="6">
        <v>1</v>
      </c>
      <c r="G4631" s="41">
        <v>150</v>
      </c>
      <c r="H4631" s="41">
        <v>1173.3144</v>
      </c>
      <c r="I4631" s="221"/>
      <c r="J4631" s="221"/>
    </row>
    <row r="4632" spans="1:10" s="15" customFormat="1" ht="27" hidden="1" customHeight="1" outlineLevel="1" x14ac:dyDescent="0.25">
      <c r="A4632" s="18">
        <v>3146</v>
      </c>
      <c r="B4632" s="4" t="s">
        <v>37</v>
      </c>
      <c r="C4632" s="38" t="s">
        <v>9038</v>
      </c>
      <c r="D4632" s="18">
        <v>2023</v>
      </c>
      <c r="E4632" s="18" t="s">
        <v>33</v>
      </c>
      <c r="F4632" s="6">
        <v>1</v>
      </c>
      <c r="G4632" s="41">
        <v>150</v>
      </c>
      <c r="H4632" s="41">
        <v>943.74990000000003</v>
      </c>
      <c r="I4632" s="221"/>
      <c r="J4632" s="221"/>
    </row>
    <row r="4633" spans="1:10" s="15" customFormat="1" ht="27" hidden="1" customHeight="1" outlineLevel="1" x14ac:dyDescent="0.25">
      <c r="A4633" s="18">
        <v>3084</v>
      </c>
      <c r="B4633" s="4" t="s">
        <v>37</v>
      </c>
      <c r="C4633" s="38" t="s">
        <v>9125</v>
      </c>
      <c r="D4633" s="18">
        <v>2022</v>
      </c>
      <c r="E4633" s="18" t="s">
        <v>33</v>
      </c>
      <c r="F4633" s="6">
        <v>1</v>
      </c>
      <c r="G4633" s="41">
        <v>150</v>
      </c>
      <c r="H4633" s="41">
        <v>819.07500000000005</v>
      </c>
      <c r="I4633" s="221"/>
      <c r="J4633" s="221"/>
    </row>
    <row r="4634" spans="1:10" s="15" customFormat="1" ht="27" hidden="1" customHeight="1" outlineLevel="1" x14ac:dyDescent="0.25">
      <c r="A4634" s="18">
        <v>3119</v>
      </c>
      <c r="B4634" s="4" t="s">
        <v>37</v>
      </c>
      <c r="C4634" s="38" t="s">
        <v>9127</v>
      </c>
      <c r="D4634" s="18">
        <v>2022</v>
      </c>
      <c r="E4634" s="18" t="s">
        <v>33</v>
      </c>
      <c r="F4634" s="6">
        <v>1</v>
      </c>
      <c r="G4634" s="41">
        <v>150</v>
      </c>
      <c r="H4634" s="41">
        <v>707.76700000000005</v>
      </c>
      <c r="I4634" s="221"/>
      <c r="J4634" s="221"/>
    </row>
    <row r="4635" spans="1:10" s="15" customFormat="1" ht="27" hidden="1" customHeight="1" outlineLevel="1" x14ac:dyDescent="0.25">
      <c r="A4635" s="18">
        <v>3158</v>
      </c>
      <c r="B4635" s="4" t="s">
        <v>37</v>
      </c>
      <c r="C4635" s="38" t="s">
        <v>9129</v>
      </c>
      <c r="D4635" s="18">
        <v>2022</v>
      </c>
      <c r="E4635" s="18" t="s">
        <v>33</v>
      </c>
      <c r="F4635" s="6">
        <v>1</v>
      </c>
      <c r="G4635" s="41">
        <v>150</v>
      </c>
      <c r="H4635" s="41">
        <v>851.06500000000005</v>
      </c>
      <c r="I4635" s="221"/>
      <c r="J4635" s="221"/>
    </row>
    <row r="4636" spans="1:10" s="15" customFormat="1" ht="27" hidden="1" customHeight="1" outlineLevel="1" x14ac:dyDescent="0.25">
      <c r="A4636" s="18">
        <v>3029</v>
      </c>
      <c r="B4636" s="4" t="s">
        <v>37</v>
      </c>
      <c r="C4636" s="38" t="s">
        <v>9052</v>
      </c>
      <c r="D4636" s="18">
        <v>2023</v>
      </c>
      <c r="E4636" s="18" t="s">
        <v>33</v>
      </c>
      <c r="F4636" s="6">
        <v>1</v>
      </c>
      <c r="G4636" s="41">
        <v>150</v>
      </c>
      <c r="H4636" s="41">
        <v>860.55440999999996</v>
      </c>
      <c r="I4636" s="221"/>
      <c r="J4636" s="221"/>
    </row>
    <row r="4637" spans="1:10" s="15" customFormat="1" ht="27" hidden="1" customHeight="1" outlineLevel="1" x14ac:dyDescent="0.25">
      <c r="A4637" s="18">
        <v>3347</v>
      </c>
      <c r="B4637" s="4" t="s">
        <v>37</v>
      </c>
      <c r="C4637" s="38" t="s">
        <v>9053</v>
      </c>
      <c r="D4637" s="18">
        <v>2023</v>
      </c>
      <c r="E4637" s="18" t="s">
        <v>33</v>
      </c>
      <c r="F4637" s="6">
        <v>1</v>
      </c>
      <c r="G4637" s="41">
        <v>150</v>
      </c>
      <c r="H4637" s="41">
        <v>869.19519000000003</v>
      </c>
      <c r="I4637" s="221"/>
      <c r="J4637" s="221"/>
    </row>
    <row r="4638" spans="1:10" s="15" customFormat="1" ht="27" hidden="1" customHeight="1" outlineLevel="1" x14ac:dyDescent="0.25">
      <c r="A4638" s="18">
        <v>3050</v>
      </c>
      <c r="B4638" s="4" t="s">
        <v>37</v>
      </c>
      <c r="C4638" s="38" t="s">
        <v>9054</v>
      </c>
      <c r="D4638" s="18">
        <v>2023</v>
      </c>
      <c r="E4638" s="18" t="s">
        <v>33</v>
      </c>
      <c r="F4638" s="6">
        <v>1</v>
      </c>
      <c r="G4638" s="41">
        <v>150</v>
      </c>
      <c r="H4638" s="41">
        <v>770.17316999999991</v>
      </c>
      <c r="I4638" s="221"/>
      <c r="J4638" s="221"/>
    </row>
    <row r="4639" spans="1:10" s="15" customFormat="1" ht="27" hidden="1" customHeight="1" outlineLevel="1" x14ac:dyDescent="0.25">
      <c r="A4639" s="18">
        <v>4240</v>
      </c>
      <c r="B4639" s="4" t="s">
        <v>37</v>
      </c>
      <c r="C4639" s="38" t="s">
        <v>9059</v>
      </c>
      <c r="D4639" s="18">
        <v>2023</v>
      </c>
      <c r="E4639" s="18" t="s">
        <v>33</v>
      </c>
      <c r="F4639" s="6">
        <v>1</v>
      </c>
      <c r="G4639" s="41">
        <v>150</v>
      </c>
      <c r="H4639" s="41">
        <v>1162.1946499999999</v>
      </c>
      <c r="I4639" s="221"/>
      <c r="J4639" s="221"/>
    </row>
    <row r="4640" spans="1:10" s="15" customFormat="1" ht="27" hidden="1" customHeight="1" outlineLevel="1" x14ac:dyDescent="0.25">
      <c r="A4640" s="18">
        <v>3104</v>
      </c>
      <c r="B4640" s="4" t="s">
        <v>37</v>
      </c>
      <c r="C4640" s="38" t="s">
        <v>9336</v>
      </c>
      <c r="D4640" s="18">
        <v>2023</v>
      </c>
      <c r="E4640" s="18" t="s">
        <v>33</v>
      </c>
      <c r="F4640" s="6">
        <v>1</v>
      </c>
      <c r="G4640" s="41">
        <v>150</v>
      </c>
      <c r="H4640" s="41">
        <v>872.05799999999999</v>
      </c>
      <c r="I4640" s="221"/>
      <c r="J4640" s="221"/>
    </row>
    <row r="4641" spans="1:10" s="15" customFormat="1" ht="27" hidden="1" customHeight="1" outlineLevel="1" x14ac:dyDescent="0.25">
      <c r="A4641" s="18">
        <v>4684</v>
      </c>
      <c r="B4641" s="4" t="s">
        <v>37</v>
      </c>
      <c r="C4641" s="38" t="s">
        <v>9226</v>
      </c>
      <c r="D4641" s="18">
        <v>2023</v>
      </c>
      <c r="E4641" s="18" t="s">
        <v>33</v>
      </c>
      <c r="F4641" s="6">
        <v>1</v>
      </c>
      <c r="G4641" s="41">
        <v>150</v>
      </c>
      <c r="H4641" s="41">
        <v>920.45100000000002</v>
      </c>
      <c r="I4641" s="221"/>
      <c r="J4641" s="221"/>
    </row>
    <row r="4642" spans="1:10" s="15" customFormat="1" ht="27" hidden="1" customHeight="1" outlineLevel="1" x14ac:dyDescent="0.25">
      <c r="A4642" s="18">
        <v>4685</v>
      </c>
      <c r="B4642" s="4" t="s">
        <v>37</v>
      </c>
      <c r="C4642" s="38" t="s">
        <v>9227</v>
      </c>
      <c r="D4642" s="18">
        <v>2023</v>
      </c>
      <c r="E4642" s="18" t="s">
        <v>33</v>
      </c>
      <c r="F4642" s="6">
        <v>1</v>
      </c>
      <c r="G4642" s="41">
        <v>150</v>
      </c>
      <c r="H4642" s="41">
        <v>927.50900000000001</v>
      </c>
      <c r="I4642" s="221"/>
      <c r="J4642" s="221"/>
    </row>
    <row r="4643" spans="1:10" s="15" customFormat="1" ht="27" hidden="1" customHeight="1" outlineLevel="1" x14ac:dyDescent="0.25">
      <c r="A4643" s="18">
        <v>4686</v>
      </c>
      <c r="B4643" s="4" t="s">
        <v>37</v>
      </c>
      <c r="C4643" s="38" t="s">
        <v>9338</v>
      </c>
      <c r="D4643" s="18">
        <v>2023</v>
      </c>
      <c r="E4643" s="18" t="s">
        <v>33</v>
      </c>
      <c r="F4643" s="6">
        <v>1</v>
      </c>
      <c r="G4643" s="41">
        <v>147</v>
      </c>
      <c r="H4643" s="41">
        <v>880.98</v>
      </c>
      <c r="I4643" s="221"/>
      <c r="J4643" s="221"/>
    </row>
    <row r="4644" spans="1:10" s="15" customFormat="1" ht="27" hidden="1" customHeight="1" outlineLevel="1" x14ac:dyDescent="0.25">
      <c r="A4644" s="18">
        <v>3120</v>
      </c>
      <c r="B4644" s="4" t="s">
        <v>37</v>
      </c>
      <c r="C4644" s="38" t="s">
        <v>9228</v>
      </c>
      <c r="D4644" s="18">
        <v>2023</v>
      </c>
      <c r="E4644" s="18" t="s">
        <v>33</v>
      </c>
      <c r="F4644" s="6">
        <v>1</v>
      </c>
      <c r="G4644" s="41">
        <v>150</v>
      </c>
      <c r="H4644" s="41">
        <v>911.22699999999998</v>
      </c>
      <c r="I4644" s="221"/>
      <c r="J4644" s="221"/>
    </row>
    <row r="4645" spans="1:10" s="15" customFormat="1" ht="27" hidden="1" customHeight="1" outlineLevel="1" x14ac:dyDescent="0.25">
      <c r="A4645" s="18">
        <v>4706</v>
      </c>
      <c r="B4645" s="4" t="s">
        <v>37</v>
      </c>
      <c r="C4645" s="38" t="s">
        <v>9339</v>
      </c>
      <c r="D4645" s="18">
        <v>2023</v>
      </c>
      <c r="E4645" s="18" t="s">
        <v>33</v>
      </c>
      <c r="F4645" s="6">
        <v>1</v>
      </c>
      <c r="G4645" s="41">
        <v>150</v>
      </c>
      <c r="H4645" s="41">
        <v>971.33</v>
      </c>
      <c r="I4645" s="221"/>
      <c r="J4645" s="221"/>
    </row>
    <row r="4646" spans="1:10" s="15" customFormat="1" ht="27" hidden="1" customHeight="1" outlineLevel="1" x14ac:dyDescent="0.25">
      <c r="A4646" s="18">
        <v>4734</v>
      </c>
      <c r="B4646" s="4" t="s">
        <v>37</v>
      </c>
      <c r="C4646" s="38" t="s">
        <v>9340</v>
      </c>
      <c r="D4646" s="18">
        <v>2023</v>
      </c>
      <c r="E4646" s="18" t="s">
        <v>33</v>
      </c>
      <c r="F4646" s="6">
        <v>1</v>
      </c>
      <c r="G4646" s="41">
        <v>150</v>
      </c>
      <c r="H4646" s="41">
        <v>876.60800000000006</v>
      </c>
      <c r="I4646" s="221"/>
      <c r="J4646" s="221"/>
    </row>
    <row r="4647" spans="1:10" s="15" customFormat="1" ht="27" hidden="1" customHeight="1" outlineLevel="1" x14ac:dyDescent="0.25">
      <c r="A4647" s="18">
        <v>4744</v>
      </c>
      <c r="B4647" s="4" t="s">
        <v>37</v>
      </c>
      <c r="C4647" s="38" t="s">
        <v>9233</v>
      </c>
      <c r="D4647" s="18">
        <v>2023</v>
      </c>
      <c r="E4647" s="18" t="s">
        <v>33</v>
      </c>
      <c r="F4647" s="6">
        <v>1</v>
      </c>
      <c r="G4647" s="41">
        <v>100</v>
      </c>
      <c r="H4647" s="41">
        <v>868.16300000000001</v>
      </c>
      <c r="I4647" s="221"/>
      <c r="J4647" s="221"/>
    </row>
    <row r="4648" spans="1:10" s="15" customFormat="1" ht="27" hidden="1" customHeight="1" outlineLevel="1" x14ac:dyDescent="0.25">
      <c r="A4648" s="18">
        <v>4754</v>
      </c>
      <c r="B4648" s="4" t="s">
        <v>37</v>
      </c>
      <c r="C4648" s="38" t="s">
        <v>9234</v>
      </c>
      <c r="D4648" s="18">
        <v>2023</v>
      </c>
      <c r="E4648" s="18" t="s">
        <v>33</v>
      </c>
      <c r="F4648" s="6">
        <v>1</v>
      </c>
      <c r="G4648" s="41">
        <v>100</v>
      </c>
      <c r="H4648" s="41">
        <v>1077.325</v>
      </c>
      <c r="I4648" s="221"/>
      <c r="J4648" s="221"/>
    </row>
    <row r="4649" spans="1:10" s="15" customFormat="1" ht="27" hidden="1" customHeight="1" outlineLevel="1" x14ac:dyDescent="0.25">
      <c r="A4649" s="18">
        <v>4741</v>
      </c>
      <c r="B4649" s="4" t="s">
        <v>37</v>
      </c>
      <c r="C4649" s="38" t="s">
        <v>9372</v>
      </c>
      <c r="D4649" s="18">
        <v>2023</v>
      </c>
      <c r="E4649" s="18" t="s">
        <v>33</v>
      </c>
      <c r="F4649" s="6">
        <v>1</v>
      </c>
      <c r="G4649" s="41">
        <v>100</v>
      </c>
      <c r="H4649" s="41">
        <v>1063.0980000000002</v>
      </c>
      <c r="I4649" s="221"/>
      <c r="J4649" s="221"/>
    </row>
    <row r="4650" spans="1:10" s="15" customFormat="1" ht="27" hidden="1" customHeight="1" outlineLevel="1" x14ac:dyDescent="0.25">
      <c r="A4650" s="18">
        <v>471</v>
      </c>
      <c r="B4650" s="4" t="s">
        <v>37</v>
      </c>
      <c r="C4650" s="38" t="s">
        <v>9070</v>
      </c>
      <c r="D4650" s="18">
        <v>2023</v>
      </c>
      <c r="E4650" s="18" t="s">
        <v>33</v>
      </c>
      <c r="F4650" s="6">
        <v>1</v>
      </c>
      <c r="G4650" s="41">
        <v>140</v>
      </c>
      <c r="H4650" s="41">
        <v>837.02176999999995</v>
      </c>
      <c r="I4650" s="221"/>
      <c r="J4650" s="221"/>
    </row>
    <row r="4651" spans="1:10" s="15" customFormat="1" ht="27" hidden="1" customHeight="1" outlineLevel="1" x14ac:dyDescent="0.25">
      <c r="A4651" s="18">
        <v>427</v>
      </c>
      <c r="B4651" s="4" t="s">
        <v>37</v>
      </c>
      <c r="C4651" s="38" t="s">
        <v>9072</v>
      </c>
      <c r="D4651" s="18">
        <v>2023</v>
      </c>
      <c r="E4651" s="18" t="s">
        <v>33</v>
      </c>
      <c r="F4651" s="6">
        <v>1</v>
      </c>
      <c r="G4651" s="41">
        <v>165</v>
      </c>
      <c r="H4651" s="41">
        <v>839.68693000000007</v>
      </c>
      <c r="I4651" s="221"/>
      <c r="J4651" s="221"/>
    </row>
    <row r="4652" spans="1:10" s="15" customFormat="1" ht="27" hidden="1" customHeight="1" outlineLevel="1" x14ac:dyDescent="0.25">
      <c r="A4652" s="18">
        <v>3014</v>
      </c>
      <c r="B4652" s="4" t="s">
        <v>37</v>
      </c>
      <c r="C4652" s="38" t="s">
        <v>9073</v>
      </c>
      <c r="D4652" s="18">
        <v>2023</v>
      </c>
      <c r="E4652" s="18" t="s">
        <v>33</v>
      </c>
      <c r="F4652" s="6">
        <v>1</v>
      </c>
      <c r="G4652" s="41">
        <v>150</v>
      </c>
      <c r="H4652" s="41">
        <v>825.62447999999995</v>
      </c>
      <c r="I4652" s="221"/>
      <c r="J4652" s="221"/>
    </row>
    <row r="4653" spans="1:10" s="15" customFormat="1" ht="27" hidden="1" customHeight="1" outlineLevel="1" x14ac:dyDescent="0.25">
      <c r="A4653" s="18">
        <v>2969</v>
      </c>
      <c r="B4653" s="4" t="s">
        <v>37</v>
      </c>
      <c r="C4653" s="38" t="s">
        <v>9076</v>
      </c>
      <c r="D4653" s="18">
        <v>2023</v>
      </c>
      <c r="E4653" s="18" t="s">
        <v>33</v>
      </c>
      <c r="F4653" s="6">
        <v>1</v>
      </c>
      <c r="G4653" s="41">
        <v>150</v>
      </c>
      <c r="H4653" s="41">
        <v>856.78814999999997</v>
      </c>
      <c r="I4653" s="221"/>
      <c r="J4653" s="221"/>
    </row>
    <row r="4654" spans="1:10" s="15" customFormat="1" ht="27" hidden="1" customHeight="1" outlineLevel="1" x14ac:dyDescent="0.25">
      <c r="A4654" s="18">
        <v>3397</v>
      </c>
      <c r="B4654" s="4" t="s">
        <v>37</v>
      </c>
      <c r="C4654" s="38" t="s">
        <v>8594</v>
      </c>
      <c r="D4654" s="18">
        <v>2023</v>
      </c>
      <c r="E4654" s="18" t="s">
        <v>33</v>
      </c>
      <c r="F4654" s="6">
        <v>1</v>
      </c>
      <c r="G4654" s="41">
        <v>100</v>
      </c>
      <c r="H4654" s="41">
        <v>687.85814999999991</v>
      </c>
      <c r="I4654" s="221"/>
      <c r="J4654" s="221"/>
    </row>
    <row r="4655" spans="1:10" s="15" customFormat="1" ht="27" hidden="1" customHeight="1" outlineLevel="1" x14ac:dyDescent="0.25">
      <c r="A4655" s="18">
        <v>2992</v>
      </c>
      <c r="B4655" s="4" t="s">
        <v>37</v>
      </c>
      <c r="C4655" s="38" t="s">
        <v>8638</v>
      </c>
      <c r="D4655" s="18">
        <v>2023</v>
      </c>
      <c r="E4655" s="18" t="s">
        <v>33</v>
      </c>
      <c r="F4655" s="6">
        <v>1</v>
      </c>
      <c r="G4655" s="41">
        <v>150</v>
      </c>
      <c r="H4655" s="41">
        <v>691.35257000000001</v>
      </c>
      <c r="I4655" s="221"/>
      <c r="J4655" s="221"/>
    </row>
    <row r="4656" spans="1:10" s="15" customFormat="1" ht="27" hidden="1" customHeight="1" outlineLevel="1" x14ac:dyDescent="0.25">
      <c r="A4656" s="18">
        <v>1449</v>
      </c>
      <c r="B4656" s="4" t="s">
        <v>37</v>
      </c>
      <c r="C4656" s="38" t="s">
        <v>9084</v>
      </c>
      <c r="D4656" s="18">
        <v>2023</v>
      </c>
      <c r="E4656" s="18" t="s">
        <v>33</v>
      </c>
      <c r="F4656" s="6">
        <v>1</v>
      </c>
      <c r="G4656" s="41">
        <v>121</v>
      </c>
      <c r="H4656" s="41">
        <v>899.84925999999996</v>
      </c>
      <c r="I4656" s="221"/>
      <c r="J4656" s="221"/>
    </row>
    <row r="4657" spans="1:10" s="15" customFormat="1" ht="27" hidden="1" customHeight="1" outlineLevel="1" x14ac:dyDescent="0.25">
      <c r="A4657" s="18">
        <v>2996</v>
      </c>
      <c r="B4657" s="4" t="s">
        <v>37</v>
      </c>
      <c r="C4657" s="38" t="s">
        <v>8670</v>
      </c>
      <c r="D4657" s="18">
        <v>2023</v>
      </c>
      <c r="E4657" s="18" t="s">
        <v>33</v>
      </c>
      <c r="F4657" s="6">
        <v>1</v>
      </c>
      <c r="G4657" s="41">
        <v>150</v>
      </c>
      <c r="H4657" s="41">
        <v>585.91691000000003</v>
      </c>
      <c r="I4657" s="221"/>
      <c r="J4657" s="221"/>
    </row>
    <row r="4658" spans="1:10" s="15" customFormat="1" ht="27" hidden="1" customHeight="1" outlineLevel="1" x14ac:dyDescent="0.25">
      <c r="A4658" s="18">
        <v>5800</v>
      </c>
      <c r="B4658" s="4" t="s">
        <v>37</v>
      </c>
      <c r="C4658" s="38" t="s">
        <v>9149</v>
      </c>
      <c r="D4658" s="18">
        <v>2023</v>
      </c>
      <c r="E4658" s="18" t="s">
        <v>33</v>
      </c>
      <c r="F4658" s="6">
        <v>1</v>
      </c>
      <c r="G4658" s="41">
        <v>100</v>
      </c>
      <c r="H4658" s="41">
        <v>947.03559999999993</v>
      </c>
      <c r="I4658" s="221"/>
      <c r="J4658" s="221"/>
    </row>
    <row r="4659" spans="1:10" s="15" customFormat="1" ht="27" hidden="1" customHeight="1" outlineLevel="1" x14ac:dyDescent="0.25">
      <c r="A4659" s="18">
        <v>5801</v>
      </c>
      <c r="B4659" s="4" t="s">
        <v>37</v>
      </c>
      <c r="C4659" s="38" t="s">
        <v>9152</v>
      </c>
      <c r="D4659" s="18">
        <v>2023</v>
      </c>
      <c r="E4659" s="18" t="s">
        <v>33</v>
      </c>
      <c r="F4659" s="6">
        <v>1</v>
      </c>
      <c r="G4659" s="41">
        <v>149</v>
      </c>
      <c r="H4659" s="41">
        <v>1016.4508999999999</v>
      </c>
      <c r="I4659" s="221"/>
      <c r="J4659" s="221"/>
    </row>
    <row r="4660" spans="1:10" s="15" customFormat="1" ht="27" hidden="1" customHeight="1" outlineLevel="1" x14ac:dyDescent="0.25">
      <c r="A4660" s="18">
        <v>5511</v>
      </c>
      <c r="B4660" s="4" t="s">
        <v>37</v>
      </c>
      <c r="C4660" s="38" t="s">
        <v>9156</v>
      </c>
      <c r="D4660" s="18">
        <v>2023</v>
      </c>
      <c r="E4660" s="18" t="s">
        <v>33</v>
      </c>
      <c r="F4660" s="6">
        <v>1</v>
      </c>
      <c r="G4660" s="41">
        <v>150</v>
      </c>
      <c r="H4660" s="41">
        <v>955.1844000000001</v>
      </c>
      <c r="I4660" s="221"/>
      <c r="J4660" s="221"/>
    </row>
    <row r="4661" spans="1:10" s="15" customFormat="1" ht="27" hidden="1" customHeight="1" outlineLevel="1" x14ac:dyDescent="0.25">
      <c r="A4661" s="18">
        <v>510</v>
      </c>
      <c r="B4661" s="4" t="s">
        <v>37</v>
      </c>
      <c r="C4661" s="38" t="s">
        <v>8865</v>
      </c>
      <c r="D4661" s="18">
        <v>2023</v>
      </c>
      <c r="E4661" s="18" t="s">
        <v>33</v>
      </c>
      <c r="F4661" s="6">
        <v>1</v>
      </c>
      <c r="G4661" s="41">
        <v>94</v>
      </c>
      <c r="H4661" s="41">
        <v>878</v>
      </c>
      <c r="I4661" s="221"/>
      <c r="J4661" s="221"/>
    </row>
    <row r="4662" spans="1:10" s="15" customFormat="1" ht="27" hidden="1" customHeight="1" outlineLevel="1" x14ac:dyDescent="0.25">
      <c r="A4662" s="18">
        <v>3074</v>
      </c>
      <c r="B4662" s="4" t="s">
        <v>37</v>
      </c>
      <c r="C4662" s="38" t="s">
        <v>8915</v>
      </c>
      <c r="D4662" s="18">
        <v>2023</v>
      </c>
      <c r="E4662" s="18" t="s">
        <v>33</v>
      </c>
      <c r="F4662" s="6">
        <v>1</v>
      </c>
      <c r="G4662" s="41">
        <v>150</v>
      </c>
      <c r="H4662" s="41">
        <v>888</v>
      </c>
      <c r="I4662" s="221"/>
      <c r="J4662" s="221"/>
    </row>
    <row r="4663" spans="1:10" s="15" customFormat="1" ht="27" hidden="1" customHeight="1" outlineLevel="1" x14ac:dyDescent="0.25">
      <c r="A4663" s="18">
        <v>3340</v>
      </c>
      <c r="B4663" s="4" t="s">
        <v>37</v>
      </c>
      <c r="C4663" s="38" t="s">
        <v>8949</v>
      </c>
      <c r="D4663" s="18">
        <v>2023</v>
      </c>
      <c r="E4663" s="18" t="s">
        <v>33</v>
      </c>
      <c r="F4663" s="6">
        <v>1</v>
      </c>
      <c r="G4663" s="41">
        <v>90</v>
      </c>
      <c r="H4663" s="41">
        <v>869</v>
      </c>
      <c r="I4663" s="221"/>
      <c r="J4663" s="221"/>
    </row>
    <row r="4664" spans="1:10" s="15" customFormat="1" ht="27" hidden="1" customHeight="1" outlineLevel="1" x14ac:dyDescent="0.25">
      <c r="A4664" s="18">
        <v>3076</v>
      </c>
      <c r="B4664" s="4" t="s">
        <v>37</v>
      </c>
      <c r="C4664" s="38" t="s">
        <v>8991</v>
      </c>
      <c r="D4664" s="18">
        <v>2023</v>
      </c>
      <c r="E4664" s="18" t="s">
        <v>33</v>
      </c>
      <c r="F4664" s="6">
        <v>1</v>
      </c>
      <c r="G4664" s="41">
        <v>150</v>
      </c>
      <c r="H4664" s="41">
        <v>943</v>
      </c>
      <c r="I4664" s="221"/>
      <c r="J4664" s="221"/>
    </row>
    <row r="4665" spans="1:10" s="15" customFormat="1" ht="27" hidden="1" customHeight="1" outlineLevel="1" x14ac:dyDescent="0.25">
      <c r="A4665" s="18">
        <v>2998</v>
      </c>
      <c r="B4665" s="4" t="s">
        <v>37</v>
      </c>
      <c r="C4665" s="38" t="s">
        <v>9016</v>
      </c>
      <c r="D4665" s="18">
        <v>2023</v>
      </c>
      <c r="E4665" s="18" t="s">
        <v>33</v>
      </c>
      <c r="F4665" s="6">
        <v>1</v>
      </c>
      <c r="G4665" s="41">
        <v>100</v>
      </c>
      <c r="H4665" s="41">
        <v>855</v>
      </c>
      <c r="I4665" s="221"/>
      <c r="J4665" s="221"/>
    </row>
    <row r="4666" spans="1:10" s="15" customFormat="1" ht="27" hidden="1" customHeight="1" outlineLevel="1" x14ac:dyDescent="0.25">
      <c r="A4666" s="18">
        <v>3003</v>
      </c>
      <c r="B4666" s="4" t="s">
        <v>37</v>
      </c>
      <c r="C4666" s="38" t="s">
        <v>9090</v>
      </c>
      <c r="D4666" s="18">
        <v>2023</v>
      </c>
      <c r="E4666" s="18" t="s">
        <v>33</v>
      </c>
      <c r="F4666" s="6">
        <v>1</v>
      </c>
      <c r="G4666" s="41">
        <v>150</v>
      </c>
      <c r="H4666" s="41">
        <v>885</v>
      </c>
      <c r="I4666" s="221"/>
      <c r="J4666" s="221"/>
    </row>
    <row r="4667" spans="1:10" s="15" customFormat="1" ht="27" hidden="1" customHeight="1" outlineLevel="1" x14ac:dyDescent="0.25">
      <c r="A4667" s="18">
        <v>2990</v>
      </c>
      <c r="B4667" s="4" t="s">
        <v>37</v>
      </c>
      <c r="C4667" s="38" t="s">
        <v>9195</v>
      </c>
      <c r="D4667" s="18">
        <v>2023</v>
      </c>
      <c r="E4667" s="18" t="s">
        <v>33</v>
      </c>
      <c r="F4667" s="6">
        <v>1</v>
      </c>
      <c r="G4667" s="41">
        <v>150</v>
      </c>
      <c r="H4667" s="41">
        <v>923</v>
      </c>
      <c r="I4667" s="221"/>
      <c r="J4667" s="221"/>
    </row>
    <row r="4668" spans="1:10" s="15" customFormat="1" ht="27" hidden="1" customHeight="1" outlineLevel="1" x14ac:dyDescent="0.25">
      <c r="A4668" s="18">
        <v>4451</v>
      </c>
      <c r="B4668" s="4" t="s">
        <v>37</v>
      </c>
      <c r="C4668" s="38" t="s">
        <v>9097</v>
      </c>
      <c r="D4668" s="18">
        <v>2023</v>
      </c>
      <c r="E4668" s="18" t="s">
        <v>33</v>
      </c>
      <c r="F4668" s="6">
        <v>1</v>
      </c>
      <c r="G4668" s="41">
        <v>150</v>
      </c>
      <c r="H4668" s="41">
        <v>1081</v>
      </c>
      <c r="I4668" s="221"/>
      <c r="J4668" s="221"/>
    </row>
    <row r="4669" spans="1:10" s="15" customFormat="1" ht="27" hidden="1" customHeight="1" outlineLevel="1" x14ac:dyDescent="0.25">
      <c r="A4669" s="18">
        <v>984</v>
      </c>
      <c r="B4669" s="4" t="s">
        <v>37</v>
      </c>
      <c r="C4669" s="38" t="s">
        <v>9196</v>
      </c>
      <c r="D4669" s="18">
        <v>2023</v>
      </c>
      <c r="E4669" s="18" t="s">
        <v>33</v>
      </c>
      <c r="F4669" s="6">
        <v>1</v>
      </c>
      <c r="G4669" s="41">
        <v>105</v>
      </c>
      <c r="H4669" s="41">
        <v>669</v>
      </c>
      <c r="I4669" s="221"/>
      <c r="J4669" s="221"/>
    </row>
    <row r="4670" spans="1:10" s="15" customFormat="1" ht="27" hidden="1" customHeight="1" outlineLevel="1" x14ac:dyDescent="0.25">
      <c r="A4670" s="18">
        <v>3062</v>
      </c>
      <c r="B4670" s="4" t="s">
        <v>37</v>
      </c>
      <c r="C4670" s="38" t="s">
        <v>9098</v>
      </c>
      <c r="D4670" s="18">
        <v>2023</v>
      </c>
      <c r="E4670" s="18" t="s">
        <v>33</v>
      </c>
      <c r="F4670" s="6">
        <v>1</v>
      </c>
      <c r="G4670" s="41">
        <v>150</v>
      </c>
      <c r="H4670" s="41">
        <v>724</v>
      </c>
      <c r="I4670" s="221"/>
      <c r="J4670" s="221"/>
    </row>
    <row r="4671" spans="1:10" s="15" customFormat="1" ht="27" hidden="1" customHeight="1" outlineLevel="1" x14ac:dyDescent="0.25">
      <c r="A4671" s="18">
        <v>3078</v>
      </c>
      <c r="B4671" s="4" t="s">
        <v>37</v>
      </c>
      <c r="C4671" s="38" t="s">
        <v>9101</v>
      </c>
      <c r="D4671" s="18">
        <v>2023</v>
      </c>
      <c r="E4671" s="18" t="s">
        <v>33</v>
      </c>
      <c r="F4671" s="6">
        <v>1</v>
      </c>
      <c r="G4671" s="41">
        <v>150</v>
      </c>
      <c r="H4671" s="41">
        <v>788</v>
      </c>
      <c r="I4671" s="221"/>
      <c r="J4671" s="221"/>
    </row>
    <row r="4672" spans="1:10" s="15" customFormat="1" ht="27" hidden="1" customHeight="1" outlineLevel="1" x14ac:dyDescent="0.25">
      <c r="A4672" s="18">
        <v>3085</v>
      </c>
      <c r="B4672" s="4" t="s">
        <v>37</v>
      </c>
      <c r="C4672" s="38" t="s">
        <v>9102</v>
      </c>
      <c r="D4672" s="18">
        <v>2023</v>
      </c>
      <c r="E4672" s="18" t="s">
        <v>33</v>
      </c>
      <c r="F4672" s="6">
        <v>1</v>
      </c>
      <c r="G4672" s="41">
        <v>149</v>
      </c>
      <c r="H4672" s="41">
        <v>752</v>
      </c>
      <c r="I4672" s="221"/>
      <c r="J4672" s="221"/>
    </row>
    <row r="4673" spans="1:10" s="15" customFormat="1" ht="27" hidden="1" customHeight="1" outlineLevel="1" x14ac:dyDescent="0.25">
      <c r="A4673" s="18">
        <v>3022</v>
      </c>
      <c r="B4673" s="4" t="s">
        <v>37</v>
      </c>
      <c r="C4673" s="38" t="s">
        <v>9103</v>
      </c>
      <c r="D4673" s="18">
        <v>2023</v>
      </c>
      <c r="E4673" s="18" t="s">
        <v>33</v>
      </c>
      <c r="F4673" s="6">
        <v>1</v>
      </c>
      <c r="G4673" s="41">
        <v>165</v>
      </c>
      <c r="H4673" s="41">
        <v>1054</v>
      </c>
      <c r="I4673" s="221"/>
      <c r="J4673" s="221"/>
    </row>
    <row r="4674" spans="1:10" s="15" customFormat="1" ht="27" hidden="1" customHeight="1" outlineLevel="1" x14ac:dyDescent="0.25">
      <c r="A4674" s="18">
        <v>3017</v>
      </c>
      <c r="B4674" s="4" t="s">
        <v>37</v>
      </c>
      <c r="C4674" s="38" t="s">
        <v>9211</v>
      </c>
      <c r="D4674" s="18">
        <v>2023</v>
      </c>
      <c r="E4674" s="18" t="s">
        <v>33</v>
      </c>
      <c r="F4674" s="6">
        <v>1</v>
      </c>
      <c r="G4674" s="41">
        <v>150</v>
      </c>
      <c r="H4674" s="41">
        <v>783</v>
      </c>
      <c r="I4674" s="221"/>
      <c r="J4674" s="221"/>
    </row>
    <row r="4675" spans="1:10" s="15" customFormat="1" ht="27" hidden="1" customHeight="1" outlineLevel="1" x14ac:dyDescent="0.25">
      <c r="A4675" s="18">
        <v>3005</v>
      </c>
      <c r="B4675" s="4" t="s">
        <v>37</v>
      </c>
      <c r="C4675" s="38" t="s">
        <v>9220</v>
      </c>
      <c r="D4675" s="18">
        <v>2023</v>
      </c>
      <c r="E4675" s="18" t="s">
        <v>33</v>
      </c>
      <c r="F4675" s="6">
        <v>1</v>
      </c>
      <c r="G4675" s="41">
        <v>150</v>
      </c>
      <c r="H4675" s="41">
        <v>912</v>
      </c>
      <c r="I4675" s="221"/>
      <c r="J4675" s="221"/>
    </row>
    <row r="4676" spans="1:10" s="15" customFormat="1" ht="27" hidden="1" customHeight="1" outlineLevel="1" x14ac:dyDescent="0.25">
      <c r="A4676" s="18">
        <v>3117</v>
      </c>
      <c r="B4676" s="4" t="s">
        <v>37</v>
      </c>
      <c r="C4676" s="38" t="s">
        <v>9107</v>
      </c>
      <c r="D4676" s="18">
        <v>2023</v>
      </c>
      <c r="E4676" s="18" t="s">
        <v>33</v>
      </c>
      <c r="F4676" s="6">
        <v>1</v>
      </c>
      <c r="G4676" s="41">
        <v>150</v>
      </c>
      <c r="H4676" s="41">
        <v>937</v>
      </c>
      <c r="I4676" s="221"/>
      <c r="J4676" s="221"/>
    </row>
    <row r="4677" spans="1:10" s="15" customFormat="1" ht="27" hidden="1" customHeight="1" outlineLevel="1" x14ac:dyDescent="0.25">
      <c r="A4677" s="18">
        <v>3041</v>
      </c>
      <c r="B4677" s="4" t="s">
        <v>37</v>
      </c>
      <c r="C4677" s="38" t="s">
        <v>9108</v>
      </c>
      <c r="D4677" s="18">
        <v>2023</v>
      </c>
      <c r="E4677" s="18" t="s">
        <v>33</v>
      </c>
      <c r="F4677" s="6">
        <v>1</v>
      </c>
      <c r="G4677" s="41">
        <v>120</v>
      </c>
      <c r="H4677" s="41">
        <v>946</v>
      </c>
      <c r="I4677" s="221"/>
      <c r="J4677" s="221"/>
    </row>
    <row r="4678" spans="1:10" s="15" customFormat="1" ht="27" hidden="1" customHeight="1" outlineLevel="1" x14ac:dyDescent="0.25">
      <c r="A4678" s="46">
        <v>9730</v>
      </c>
      <c r="B4678" s="4" t="s">
        <v>37</v>
      </c>
      <c r="C4678" s="22" t="s">
        <v>796</v>
      </c>
      <c r="D4678" s="18">
        <v>2021</v>
      </c>
      <c r="E4678" s="18" t="s">
        <v>33</v>
      </c>
      <c r="F4678" s="4">
        <v>1</v>
      </c>
      <c r="G4678" s="4">
        <v>140</v>
      </c>
      <c r="H4678" s="4">
        <v>865</v>
      </c>
      <c r="I4678" s="201"/>
      <c r="J4678" s="201"/>
    </row>
    <row r="4679" spans="1:10" s="15" customFormat="1" ht="27" hidden="1" customHeight="1" outlineLevel="1" x14ac:dyDescent="0.25">
      <c r="A4679" s="46">
        <v>9685</v>
      </c>
      <c r="B4679" s="4" t="s">
        <v>37</v>
      </c>
      <c r="C4679" s="22" t="s">
        <v>220</v>
      </c>
      <c r="D4679" s="18">
        <v>2021</v>
      </c>
      <c r="E4679" s="18" t="s">
        <v>33</v>
      </c>
      <c r="F4679" s="4">
        <v>1</v>
      </c>
      <c r="G4679" s="4">
        <v>15</v>
      </c>
      <c r="H4679" s="4">
        <v>521.61278000000004</v>
      </c>
      <c r="I4679" s="201"/>
      <c r="J4679" s="201"/>
    </row>
    <row r="4680" spans="1:10" s="15" customFormat="1" ht="27" hidden="1" customHeight="1" outlineLevel="1" x14ac:dyDescent="0.25">
      <c r="A4680" s="46">
        <v>9738</v>
      </c>
      <c r="B4680" s="4" t="s">
        <v>37</v>
      </c>
      <c r="C4680" s="22" t="s">
        <v>228</v>
      </c>
      <c r="D4680" s="18">
        <v>2021</v>
      </c>
      <c r="E4680" s="18" t="s">
        <v>33</v>
      </c>
      <c r="F4680" s="4">
        <v>1</v>
      </c>
      <c r="G4680" s="4">
        <v>15</v>
      </c>
      <c r="H4680" s="4">
        <v>384.51625999999999</v>
      </c>
      <c r="I4680" s="201"/>
      <c r="J4680" s="201"/>
    </row>
    <row r="4681" spans="1:10" s="15" customFormat="1" ht="27" hidden="1" customHeight="1" outlineLevel="1" x14ac:dyDescent="0.25">
      <c r="A4681" s="45">
        <v>1291</v>
      </c>
      <c r="B4681" s="4" t="s">
        <v>37</v>
      </c>
      <c r="C4681" s="22" t="s">
        <v>231</v>
      </c>
      <c r="D4681" s="18">
        <v>2021</v>
      </c>
      <c r="E4681" s="18" t="s">
        <v>33</v>
      </c>
      <c r="F4681" s="4">
        <v>1</v>
      </c>
      <c r="G4681" s="4">
        <v>15</v>
      </c>
      <c r="H4681" s="4">
        <v>352.91798</v>
      </c>
      <c r="I4681" s="201"/>
      <c r="J4681" s="201"/>
    </row>
    <row r="4682" spans="1:10" s="15" customFormat="1" ht="27" hidden="1" customHeight="1" outlineLevel="1" x14ac:dyDescent="0.25">
      <c r="A4682" s="45">
        <v>1299</v>
      </c>
      <c r="B4682" s="4" t="s">
        <v>37</v>
      </c>
      <c r="C4682" s="38" t="s">
        <v>236</v>
      </c>
      <c r="D4682" s="18">
        <v>2021</v>
      </c>
      <c r="E4682" s="18" t="s">
        <v>33</v>
      </c>
      <c r="F4682" s="4">
        <v>1</v>
      </c>
      <c r="G4682" s="4">
        <v>30</v>
      </c>
      <c r="H4682" s="4">
        <v>693.322</v>
      </c>
      <c r="I4682" s="201"/>
      <c r="J4682" s="201"/>
    </row>
    <row r="4683" spans="1:10" s="15" customFormat="1" ht="27" hidden="1" customHeight="1" outlineLevel="1" x14ac:dyDescent="0.25">
      <c r="A4683" s="46">
        <v>9668</v>
      </c>
      <c r="B4683" s="4" t="s">
        <v>37</v>
      </c>
      <c r="C4683" s="22" t="s">
        <v>725</v>
      </c>
      <c r="D4683" s="18">
        <v>2021</v>
      </c>
      <c r="E4683" s="18" t="s">
        <v>33</v>
      </c>
      <c r="F4683" s="4">
        <v>1</v>
      </c>
      <c r="G4683" s="4">
        <v>100</v>
      </c>
      <c r="H4683" s="4">
        <v>662</v>
      </c>
      <c r="I4683" s="201"/>
      <c r="J4683" s="201"/>
    </row>
    <row r="4684" spans="1:10" s="15" customFormat="1" ht="27" hidden="1" customHeight="1" outlineLevel="1" x14ac:dyDescent="0.25">
      <c r="A4684" s="46">
        <v>9600</v>
      </c>
      <c r="B4684" s="4" t="s">
        <v>37</v>
      </c>
      <c r="C4684" s="22" t="s">
        <v>824</v>
      </c>
      <c r="D4684" s="18">
        <v>2021</v>
      </c>
      <c r="E4684" s="18" t="s">
        <v>33</v>
      </c>
      <c r="F4684" s="4">
        <v>1</v>
      </c>
      <c r="G4684" s="4">
        <v>240</v>
      </c>
      <c r="H4684" s="4">
        <v>736</v>
      </c>
      <c r="I4684" s="201"/>
      <c r="J4684" s="201"/>
    </row>
    <row r="4685" spans="1:10" s="15" customFormat="1" ht="27" hidden="1" customHeight="1" outlineLevel="1" x14ac:dyDescent="0.25">
      <c r="A4685" s="46">
        <v>9658</v>
      </c>
      <c r="B4685" s="4" t="s">
        <v>37</v>
      </c>
      <c r="C4685" s="22" t="s">
        <v>825</v>
      </c>
      <c r="D4685" s="18">
        <v>2021</v>
      </c>
      <c r="E4685" s="18" t="s">
        <v>33</v>
      </c>
      <c r="F4685" s="4">
        <v>1</v>
      </c>
      <c r="G4685" s="4">
        <v>150</v>
      </c>
      <c r="H4685" s="4">
        <v>752</v>
      </c>
      <c r="I4685" s="201"/>
      <c r="J4685" s="201"/>
    </row>
    <row r="4686" spans="1:10" s="15" customFormat="1" ht="27" hidden="1" customHeight="1" outlineLevel="1" x14ac:dyDescent="0.25">
      <c r="A4686" s="45">
        <v>1142</v>
      </c>
      <c r="B4686" s="4" t="s">
        <v>37</v>
      </c>
      <c r="C4686" s="22" t="s">
        <v>726</v>
      </c>
      <c r="D4686" s="18">
        <v>2021</v>
      </c>
      <c r="E4686" s="18" t="s">
        <v>33</v>
      </c>
      <c r="F4686" s="4">
        <v>1</v>
      </c>
      <c r="G4686" s="4">
        <v>150</v>
      </c>
      <c r="H4686" s="4">
        <v>777</v>
      </c>
      <c r="I4686" s="201"/>
      <c r="J4686" s="201"/>
    </row>
    <row r="4687" spans="1:10" s="15" customFormat="1" ht="27" hidden="1" customHeight="1" outlineLevel="1" x14ac:dyDescent="0.25">
      <c r="A4687" s="46">
        <v>9665</v>
      </c>
      <c r="B4687" s="4" t="s">
        <v>37</v>
      </c>
      <c r="C4687" s="22" t="s">
        <v>490</v>
      </c>
      <c r="D4687" s="18">
        <v>2021</v>
      </c>
      <c r="E4687" s="18" t="s">
        <v>33</v>
      </c>
      <c r="F4687" s="4">
        <v>1</v>
      </c>
      <c r="G4687" s="4">
        <v>100</v>
      </c>
      <c r="H4687" s="4">
        <v>655</v>
      </c>
      <c r="I4687" s="201"/>
      <c r="J4687" s="201"/>
    </row>
    <row r="4688" spans="1:10" s="15" customFormat="1" ht="27" hidden="1" customHeight="1" outlineLevel="1" x14ac:dyDescent="0.25">
      <c r="A4688" s="45">
        <v>913</v>
      </c>
      <c r="B4688" s="4" t="s">
        <v>37</v>
      </c>
      <c r="C4688" s="22" t="s">
        <v>727</v>
      </c>
      <c r="D4688" s="18">
        <v>2021</v>
      </c>
      <c r="E4688" s="18" t="s">
        <v>33</v>
      </c>
      <c r="F4688" s="4">
        <v>1</v>
      </c>
      <c r="G4688" s="4">
        <v>50</v>
      </c>
      <c r="H4688" s="4">
        <v>619</v>
      </c>
      <c r="I4688" s="201"/>
      <c r="J4688" s="201"/>
    </row>
    <row r="4689" spans="1:10" s="15" customFormat="1" ht="27" hidden="1" customHeight="1" outlineLevel="1" x14ac:dyDescent="0.25">
      <c r="A4689" s="46">
        <v>9659</v>
      </c>
      <c r="B4689" s="4" t="s">
        <v>37</v>
      </c>
      <c r="C4689" s="22" t="s">
        <v>828</v>
      </c>
      <c r="D4689" s="18">
        <v>2021</v>
      </c>
      <c r="E4689" s="18" t="s">
        <v>33</v>
      </c>
      <c r="F4689" s="4">
        <v>1</v>
      </c>
      <c r="G4689" s="4">
        <v>118.3</v>
      </c>
      <c r="H4689" s="4">
        <v>587</v>
      </c>
      <c r="I4689" s="201"/>
      <c r="J4689" s="201"/>
    </row>
    <row r="4690" spans="1:10" s="15" customFormat="1" ht="27" hidden="1" customHeight="1" outlineLevel="1" x14ac:dyDescent="0.25">
      <c r="A4690" s="45">
        <v>3796</v>
      </c>
      <c r="B4690" s="4" t="s">
        <v>37</v>
      </c>
      <c r="C4690" s="22" t="s">
        <v>728</v>
      </c>
      <c r="D4690" s="18">
        <v>2021</v>
      </c>
      <c r="E4690" s="18" t="s">
        <v>33</v>
      </c>
      <c r="F4690" s="4">
        <v>1</v>
      </c>
      <c r="G4690" s="4">
        <v>150</v>
      </c>
      <c r="H4690" s="4">
        <v>763</v>
      </c>
      <c r="I4690" s="201"/>
      <c r="J4690" s="201"/>
    </row>
    <row r="4691" spans="1:10" s="15" customFormat="1" ht="27" hidden="1" customHeight="1" outlineLevel="1" x14ac:dyDescent="0.25">
      <c r="A4691" s="45">
        <v>1148</v>
      </c>
      <c r="B4691" s="4" t="s">
        <v>37</v>
      </c>
      <c r="C4691" s="22" t="s">
        <v>731</v>
      </c>
      <c r="D4691" s="18">
        <v>2021</v>
      </c>
      <c r="E4691" s="18" t="s">
        <v>33</v>
      </c>
      <c r="F4691" s="4">
        <v>1</v>
      </c>
      <c r="G4691" s="4">
        <v>150</v>
      </c>
      <c r="H4691" s="4">
        <v>839</v>
      </c>
      <c r="I4691" s="201"/>
      <c r="J4691" s="201"/>
    </row>
    <row r="4692" spans="1:10" s="15" customFormat="1" ht="27" hidden="1" customHeight="1" outlineLevel="1" x14ac:dyDescent="0.25">
      <c r="A4692" s="46">
        <v>9664</v>
      </c>
      <c r="B4692" s="4" t="s">
        <v>37</v>
      </c>
      <c r="C4692" s="22" t="s">
        <v>732</v>
      </c>
      <c r="D4692" s="18">
        <v>2021</v>
      </c>
      <c r="E4692" s="18" t="s">
        <v>33</v>
      </c>
      <c r="F4692" s="4">
        <v>1</v>
      </c>
      <c r="G4692" s="4">
        <v>150</v>
      </c>
      <c r="H4692" s="4">
        <v>840</v>
      </c>
      <c r="I4692" s="201"/>
      <c r="J4692" s="201"/>
    </row>
    <row r="4693" spans="1:10" s="15" customFormat="1" ht="27" hidden="1" customHeight="1" outlineLevel="1" x14ac:dyDescent="0.25">
      <c r="A4693" s="46">
        <v>9577</v>
      </c>
      <c r="B4693" s="4" t="s">
        <v>37</v>
      </c>
      <c r="C4693" s="22" t="s">
        <v>840</v>
      </c>
      <c r="D4693" s="18">
        <v>2021</v>
      </c>
      <c r="E4693" s="18" t="s">
        <v>33</v>
      </c>
      <c r="F4693" s="4">
        <v>2</v>
      </c>
      <c r="G4693" s="4">
        <v>195</v>
      </c>
      <c r="H4693" s="4">
        <v>1084</v>
      </c>
      <c r="I4693" s="201"/>
      <c r="J4693" s="201"/>
    </row>
    <row r="4694" spans="1:10" s="15" customFormat="1" ht="27" hidden="1" customHeight="1" outlineLevel="1" x14ac:dyDescent="0.25">
      <c r="A4694" s="45">
        <v>1132</v>
      </c>
      <c r="B4694" s="4" t="s">
        <v>37</v>
      </c>
      <c r="C4694" s="22" t="s">
        <v>530</v>
      </c>
      <c r="D4694" s="18">
        <v>2021</v>
      </c>
      <c r="E4694" s="18" t="s">
        <v>33</v>
      </c>
      <c r="F4694" s="4">
        <v>1</v>
      </c>
      <c r="G4694" s="4">
        <v>145</v>
      </c>
      <c r="H4694" s="4">
        <v>707</v>
      </c>
      <c r="I4694" s="201"/>
      <c r="J4694" s="201"/>
    </row>
    <row r="4695" spans="1:10" s="15" customFormat="1" ht="27" hidden="1" customHeight="1" outlineLevel="1" x14ac:dyDescent="0.25">
      <c r="A4695" s="46">
        <v>9655</v>
      </c>
      <c r="B4695" s="4" t="s">
        <v>37</v>
      </c>
      <c r="C4695" s="22" t="s">
        <v>555</v>
      </c>
      <c r="D4695" s="18">
        <v>2021</v>
      </c>
      <c r="E4695" s="18" t="s">
        <v>33</v>
      </c>
      <c r="F4695" s="4">
        <v>1</v>
      </c>
      <c r="G4695" s="4">
        <v>100</v>
      </c>
      <c r="H4695" s="4">
        <v>272</v>
      </c>
      <c r="I4695" s="201"/>
      <c r="J4695" s="201"/>
    </row>
    <row r="4696" spans="1:10" s="15" customFormat="1" ht="27" hidden="1" customHeight="1" outlineLevel="1" x14ac:dyDescent="0.25">
      <c r="A4696" s="46">
        <v>9652</v>
      </c>
      <c r="B4696" s="4" t="s">
        <v>37</v>
      </c>
      <c r="C4696" s="22" t="s">
        <v>746</v>
      </c>
      <c r="D4696" s="18">
        <v>2021</v>
      </c>
      <c r="E4696" s="18" t="s">
        <v>33</v>
      </c>
      <c r="F4696" s="4">
        <v>1</v>
      </c>
      <c r="G4696" s="4">
        <v>145</v>
      </c>
      <c r="H4696" s="4">
        <v>265</v>
      </c>
      <c r="I4696" s="201"/>
      <c r="J4696" s="201"/>
    </row>
    <row r="4697" spans="1:10" s="15" customFormat="1" ht="27" hidden="1" customHeight="1" outlineLevel="1" x14ac:dyDescent="0.25">
      <c r="A4697" s="46">
        <v>9595</v>
      </c>
      <c r="B4697" s="4" t="s">
        <v>37</v>
      </c>
      <c r="C4697" s="22" t="s">
        <v>748</v>
      </c>
      <c r="D4697" s="18">
        <v>2021</v>
      </c>
      <c r="E4697" s="18" t="s">
        <v>33</v>
      </c>
      <c r="F4697" s="4">
        <v>1</v>
      </c>
      <c r="G4697" s="4">
        <v>285</v>
      </c>
      <c r="H4697" s="4">
        <v>716</v>
      </c>
      <c r="I4697" s="201"/>
      <c r="J4697" s="201"/>
    </row>
    <row r="4698" spans="1:10" s="15" customFormat="1" ht="27" hidden="1" customHeight="1" outlineLevel="1" x14ac:dyDescent="0.25">
      <c r="A4698" s="46">
        <v>9585</v>
      </c>
      <c r="B4698" s="4" t="s">
        <v>37</v>
      </c>
      <c r="C4698" s="22" t="s">
        <v>904</v>
      </c>
      <c r="D4698" s="18">
        <v>2021</v>
      </c>
      <c r="E4698" s="18" t="s">
        <v>33</v>
      </c>
      <c r="F4698" s="4">
        <v>1</v>
      </c>
      <c r="G4698" s="4">
        <v>100</v>
      </c>
      <c r="H4698" s="4">
        <v>631</v>
      </c>
      <c r="I4698" s="201"/>
      <c r="J4698" s="201"/>
    </row>
    <row r="4699" spans="1:10" s="15" customFormat="1" ht="27" hidden="1" customHeight="1" outlineLevel="1" x14ac:dyDescent="0.25">
      <c r="A4699" s="46">
        <v>9361</v>
      </c>
      <c r="B4699" s="4" t="s">
        <v>37</v>
      </c>
      <c r="C4699" s="38" t="s">
        <v>258</v>
      </c>
      <c r="D4699" s="18">
        <v>2021</v>
      </c>
      <c r="E4699" s="18" t="s">
        <v>33</v>
      </c>
      <c r="F4699" s="4">
        <v>1</v>
      </c>
      <c r="G4699" s="4">
        <v>75</v>
      </c>
      <c r="H4699" s="4">
        <v>923.05399999999997</v>
      </c>
      <c r="I4699" s="201"/>
      <c r="J4699" s="201"/>
    </row>
    <row r="4700" spans="1:10" s="15" customFormat="1" ht="27" hidden="1" customHeight="1" outlineLevel="1" x14ac:dyDescent="0.25">
      <c r="A4700" s="46">
        <v>9363</v>
      </c>
      <c r="B4700" s="4" t="s">
        <v>37</v>
      </c>
      <c r="C4700" s="22" t="s">
        <v>194</v>
      </c>
      <c r="D4700" s="18">
        <v>2021</v>
      </c>
      <c r="E4700" s="18" t="s">
        <v>33</v>
      </c>
      <c r="F4700" s="4">
        <v>1</v>
      </c>
      <c r="G4700" s="4">
        <v>65</v>
      </c>
      <c r="H4700" s="4">
        <v>375.95800000000003</v>
      </c>
      <c r="I4700" s="201"/>
      <c r="J4700" s="201"/>
    </row>
    <row r="4701" spans="1:10" s="15" customFormat="1" ht="27" hidden="1" customHeight="1" outlineLevel="1" x14ac:dyDescent="0.25">
      <c r="A4701" s="45">
        <v>422</v>
      </c>
      <c r="B4701" s="4" t="s">
        <v>37</v>
      </c>
      <c r="C4701" s="22" t="s">
        <v>196</v>
      </c>
      <c r="D4701" s="18">
        <v>2021</v>
      </c>
      <c r="E4701" s="18" t="s">
        <v>33</v>
      </c>
      <c r="F4701" s="4">
        <v>1</v>
      </c>
      <c r="G4701" s="4">
        <v>150</v>
      </c>
      <c r="H4701" s="4">
        <v>423.74700000000001</v>
      </c>
      <c r="I4701" s="201"/>
      <c r="J4701" s="201"/>
    </row>
    <row r="4702" spans="1:10" s="15" customFormat="1" ht="27" hidden="1" customHeight="1" outlineLevel="1" x14ac:dyDescent="0.25">
      <c r="A4702" s="46">
        <v>9364</v>
      </c>
      <c r="B4702" s="4" t="s">
        <v>37</v>
      </c>
      <c r="C4702" s="22" t="s">
        <v>200</v>
      </c>
      <c r="D4702" s="18">
        <v>2021</v>
      </c>
      <c r="E4702" s="18" t="s">
        <v>33</v>
      </c>
      <c r="F4702" s="4">
        <v>1</v>
      </c>
      <c r="G4702" s="4">
        <v>150</v>
      </c>
      <c r="H4702" s="4">
        <v>562.60400000000004</v>
      </c>
      <c r="I4702" s="201"/>
      <c r="J4702" s="201"/>
    </row>
    <row r="4703" spans="1:10" s="15" customFormat="1" ht="27" hidden="1" customHeight="1" outlineLevel="1" x14ac:dyDescent="0.25">
      <c r="A4703" s="46">
        <v>9889</v>
      </c>
      <c r="B4703" s="4" t="s">
        <v>37</v>
      </c>
      <c r="C4703" s="22" t="s">
        <v>921</v>
      </c>
      <c r="D4703" s="18">
        <v>2021</v>
      </c>
      <c r="E4703" s="18" t="s">
        <v>33</v>
      </c>
      <c r="F4703" s="4">
        <v>1</v>
      </c>
      <c r="G4703" s="4">
        <v>15</v>
      </c>
      <c r="H4703" s="4">
        <v>267.90800000000002</v>
      </c>
      <c r="I4703" s="201"/>
      <c r="J4703" s="201"/>
    </row>
    <row r="4704" spans="1:10" s="15" customFormat="1" ht="27" hidden="1" customHeight="1" outlineLevel="1" x14ac:dyDescent="0.25">
      <c r="A4704" s="46">
        <v>9368</v>
      </c>
      <c r="B4704" s="4" t="s">
        <v>37</v>
      </c>
      <c r="C4704" s="22" t="s">
        <v>263</v>
      </c>
      <c r="D4704" s="18">
        <v>2021</v>
      </c>
      <c r="E4704" s="18" t="s">
        <v>33</v>
      </c>
      <c r="F4704" s="4">
        <v>1</v>
      </c>
      <c r="G4704" s="4">
        <v>150</v>
      </c>
      <c r="H4704" s="4">
        <v>632.69200000000001</v>
      </c>
      <c r="I4704" s="201"/>
      <c r="J4704" s="201"/>
    </row>
    <row r="4705" spans="1:36" s="15" customFormat="1" ht="27" hidden="1" customHeight="1" outlineLevel="1" x14ac:dyDescent="0.25">
      <c r="A4705" s="45">
        <v>421</v>
      </c>
      <c r="B4705" s="4" t="s">
        <v>37</v>
      </c>
      <c r="C4705" s="22" t="s">
        <v>264</v>
      </c>
      <c r="D4705" s="18">
        <v>2021</v>
      </c>
      <c r="E4705" s="18" t="s">
        <v>33</v>
      </c>
      <c r="F4705" s="4">
        <v>1</v>
      </c>
      <c r="G4705" s="4">
        <v>149</v>
      </c>
      <c r="H4705" s="4">
        <v>569.07600000000002</v>
      </c>
      <c r="I4705" s="201"/>
      <c r="J4705" s="201"/>
    </row>
    <row r="4706" spans="1:36" s="15" customFormat="1" ht="27" hidden="1" customHeight="1" outlineLevel="1" x14ac:dyDescent="0.25">
      <c r="A4706" s="45">
        <v>3714</v>
      </c>
      <c r="B4706" s="4" t="s">
        <v>37</v>
      </c>
      <c r="C4706" s="22" t="s">
        <v>268</v>
      </c>
      <c r="D4706" s="18">
        <v>2021</v>
      </c>
      <c r="E4706" s="18" t="s">
        <v>33</v>
      </c>
      <c r="F4706" s="4">
        <v>1</v>
      </c>
      <c r="G4706" s="4">
        <v>120</v>
      </c>
      <c r="H4706" s="4">
        <v>718.23500000000001</v>
      </c>
      <c r="I4706" s="201"/>
      <c r="J4706" s="201"/>
    </row>
    <row r="4707" spans="1:36" s="15" customFormat="1" ht="27" hidden="1" customHeight="1" outlineLevel="1" x14ac:dyDescent="0.25">
      <c r="A4707" s="46">
        <v>9489</v>
      </c>
      <c r="B4707" s="4" t="s">
        <v>37</v>
      </c>
      <c r="C4707" s="22" t="s">
        <v>922</v>
      </c>
      <c r="D4707" s="18">
        <v>2021</v>
      </c>
      <c r="E4707" s="18" t="s">
        <v>33</v>
      </c>
      <c r="F4707" s="4">
        <v>1</v>
      </c>
      <c r="G4707" s="4">
        <v>150</v>
      </c>
      <c r="H4707" s="4">
        <v>1148.8614500000001</v>
      </c>
      <c r="I4707" s="201"/>
      <c r="J4707" s="201"/>
    </row>
    <row r="4708" spans="1:36" s="16" customFormat="1" ht="47.25" collapsed="1" x14ac:dyDescent="0.25">
      <c r="A4708" s="18"/>
      <c r="B4708" s="60" t="s">
        <v>37</v>
      </c>
      <c r="C4708" s="74" t="s">
        <v>2117</v>
      </c>
      <c r="D4708" s="67"/>
      <c r="E4708" s="68" t="s">
        <v>31</v>
      </c>
      <c r="F4708" s="67"/>
      <c r="G4708" s="67"/>
      <c r="H4708" s="67"/>
      <c r="I4708" s="232"/>
      <c r="J4708" s="232"/>
      <c r="K4708" s="15"/>
      <c r="L4708" s="15"/>
      <c r="M4708" s="15"/>
      <c r="N4708" s="15"/>
      <c r="O4708" s="15"/>
      <c r="P4708" s="15"/>
      <c r="Q4708" s="15"/>
      <c r="R4708" s="15"/>
      <c r="S4708" s="15"/>
      <c r="T4708" s="15"/>
      <c r="U4708" s="15"/>
      <c r="V4708" s="15"/>
      <c r="W4708" s="15"/>
      <c r="X4708" s="15"/>
      <c r="Y4708" s="15"/>
      <c r="Z4708" s="15"/>
      <c r="AA4708" s="15"/>
      <c r="AB4708" s="15"/>
      <c r="AC4708" s="15"/>
      <c r="AD4708" s="15"/>
      <c r="AE4708" s="15"/>
      <c r="AF4708" s="15"/>
      <c r="AG4708" s="15"/>
      <c r="AH4708" s="15"/>
      <c r="AI4708" s="15"/>
      <c r="AJ4708" s="15"/>
    </row>
    <row r="4709" spans="1:36" s="16" customFormat="1" ht="16.5" customHeight="1" x14ac:dyDescent="0.25">
      <c r="A4709" s="18"/>
      <c r="B4709" s="7" t="s">
        <v>37</v>
      </c>
      <c r="C4709" s="8" t="s">
        <v>57</v>
      </c>
      <c r="D4709" s="19">
        <v>2021</v>
      </c>
      <c r="E4709" s="19" t="s">
        <v>31</v>
      </c>
      <c r="F4709" s="7">
        <f>SUMIF($D$4712:$D$4729,$D$4709,$F$4712:$F$4729)</f>
        <v>6</v>
      </c>
      <c r="G4709" s="7">
        <f>SUMIF($D$4712:$D$4729,$D$4709,$G$4712:$G$4729)</f>
        <v>722</v>
      </c>
      <c r="H4709" s="10">
        <f>SUMIF($D$4712:$D$4729,$D$4709,$H$4712:$H$4729)</f>
        <v>3745.6990000000001</v>
      </c>
      <c r="I4709" s="205"/>
      <c r="J4709" s="5"/>
      <c r="K4709" s="5"/>
      <c r="L4709" s="15"/>
      <c r="M4709" s="15"/>
      <c r="N4709" s="15"/>
      <c r="O4709" s="15"/>
      <c r="P4709" s="15"/>
      <c r="Q4709" s="15"/>
      <c r="R4709" s="15"/>
      <c r="S4709" s="15"/>
      <c r="T4709" s="15"/>
      <c r="U4709" s="15"/>
      <c r="V4709" s="15"/>
      <c r="W4709" s="15"/>
      <c r="X4709" s="15"/>
      <c r="Y4709" s="15"/>
      <c r="Z4709" s="15"/>
      <c r="AA4709" s="15"/>
      <c r="AB4709" s="15"/>
      <c r="AC4709" s="15"/>
      <c r="AD4709" s="15"/>
      <c r="AE4709" s="15"/>
      <c r="AF4709" s="15"/>
      <c r="AG4709" s="15"/>
      <c r="AH4709" s="15"/>
      <c r="AI4709" s="15"/>
      <c r="AJ4709" s="15"/>
    </row>
    <row r="4710" spans="1:36" s="27" customFormat="1" ht="16.5" customHeight="1" x14ac:dyDescent="0.25">
      <c r="A4710" s="18"/>
      <c r="B4710" s="7" t="s">
        <v>37</v>
      </c>
      <c r="C4710" s="8" t="s">
        <v>57</v>
      </c>
      <c r="D4710" s="19">
        <v>2022</v>
      </c>
      <c r="E4710" s="19" t="s">
        <v>31</v>
      </c>
      <c r="F4710" s="7">
        <f>SUMIF($D$4712:$D$4729,$D$4710,$F$4712:$F$4729)</f>
        <v>6</v>
      </c>
      <c r="G4710" s="7">
        <f>SUMIF($D$4712:$D$4729,$D$4710,$G$4712:$G$4729)</f>
        <v>817</v>
      </c>
      <c r="H4710" s="10">
        <f>SUMIF($D$4712:$D$4729,$D$4710,$H$4712:$H$4729)</f>
        <v>4768.3830300000009</v>
      </c>
      <c r="I4710" s="205"/>
      <c r="J4710" s="205"/>
      <c r="K4710" s="15"/>
      <c r="L4710" s="15"/>
      <c r="M4710" s="15"/>
      <c r="N4710" s="15"/>
      <c r="O4710" s="15"/>
      <c r="P4710" s="15"/>
      <c r="Q4710" s="15"/>
      <c r="R4710" s="15"/>
      <c r="S4710" s="15"/>
      <c r="T4710" s="15"/>
      <c r="U4710" s="15"/>
      <c r="V4710" s="15"/>
      <c r="W4710" s="15"/>
      <c r="X4710" s="15"/>
      <c r="Y4710" s="15"/>
      <c r="Z4710" s="15"/>
      <c r="AA4710" s="15"/>
      <c r="AB4710" s="15"/>
      <c r="AC4710" s="15"/>
      <c r="AD4710" s="15"/>
      <c r="AE4710" s="15"/>
      <c r="AF4710" s="15"/>
      <c r="AG4710" s="15"/>
      <c r="AH4710" s="15"/>
      <c r="AI4710" s="15"/>
      <c r="AJ4710" s="15"/>
    </row>
    <row r="4711" spans="1:36" s="27" customFormat="1" ht="15.75" x14ac:dyDescent="0.25">
      <c r="A4711" s="18"/>
      <c r="B4711" s="7" t="s">
        <v>37</v>
      </c>
      <c r="C4711" s="8" t="s">
        <v>57</v>
      </c>
      <c r="D4711" s="19">
        <v>2023</v>
      </c>
      <c r="E4711" s="19" t="s">
        <v>31</v>
      </c>
      <c r="F4711" s="7">
        <f>SUMIF($D$4712:$D$4729,$D$4711,$F$4712:$F$4729)</f>
        <v>6</v>
      </c>
      <c r="G4711" s="7">
        <f>SUMIF($D$4712:$D$4729,$D$4711,$G$4712:$G$4729)</f>
        <v>800</v>
      </c>
      <c r="H4711" s="10">
        <f>SUMIF($D$4712:$D$4729,$D$4711,$H$4712:$H$4729)</f>
        <v>5141.4861300000002</v>
      </c>
      <c r="I4711" s="205"/>
      <c r="J4711" s="205"/>
      <c r="K4711" s="15"/>
      <c r="L4711" s="15"/>
      <c r="M4711" s="15"/>
      <c r="N4711" s="15"/>
      <c r="O4711" s="15"/>
      <c r="P4711" s="15"/>
      <c r="Q4711" s="15"/>
      <c r="R4711" s="15"/>
      <c r="S4711" s="15"/>
      <c r="T4711" s="15"/>
      <c r="U4711" s="15"/>
      <c r="V4711" s="15"/>
      <c r="W4711" s="15"/>
      <c r="X4711" s="15"/>
      <c r="Y4711" s="15"/>
      <c r="Z4711" s="15"/>
      <c r="AA4711" s="15"/>
      <c r="AB4711" s="15"/>
      <c r="AC4711" s="15"/>
      <c r="AD4711" s="15"/>
      <c r="AE4711" s="15"/>
      <c r="AF4711" s="15"/>
      <c r="AG4711" s="15"/>
      <c r="AH4711" s="15"/>
      <c r="AI4711" s="15"/>
      <c r="AJ4711" s="15"/>
    </row>
    <row r="4712" spans="1:36" s="39" customFormat="1" ht="27.75" hidden="1" customHeight="1" outlineLevel="1" x14ac:dyDescent="0.25">
      <c r="A4712" s="164">
        <v>1487</v>
      </c>
      <c r="B4712" s="120" t="s">
        <v>37</v>
      </c>
      <c r="C4712" s="77" t="s">
        <v>2832</v>
      </c>
      <c r="D4712" s="164">
        <v>2022</v>
      </c>
      <c r="E4712" s="164" t="s">
        <v>31</v>
      </c>
      <c r="F4712" s="120">
        <v>1</v>
      </c>
      <c r="G4712" s="120">
        <v>150</v>
      </c>
      <c r="H4712" s="120">
        <v>699.94914000000006</v>
      </c>
      <c r="I4712" s="235"/>
      <c r="J4712" s="235"/>
    </row>
    <row r="4713" spans="1:36" s="39" customFormat="1" ht="27.75" hidden="1" customHeight="1" outlineLevel="1" x14ac:dyDescent="0.25">
      <c r="A4713" s="164">
        <v>1206</v>
      </c>
      <c r="B4713" s="120" t="s">
        <v>37</v>
      </c>
      <c r="C4713" s="77" t="s">
        <v>2833</v>
      </c>
      <c r="D4713" s="164">
        <v>2022</v>
      </c>
      <c r="E4713" s="164" t="s">
        <v>31</v>
      </c>
      <c r="F4713" s="120">
        <v>1</v>
      </c>
      <c r="G4713" s="120">
        <v>150</v>
      </c>
      <c r="H4713" s="120">
        <v>874.56577000000004</v>
      </c>
      <c r="I4713" s="235"/>
      <c r="J4713" s="235"/>
    </row>
    <row r="4714" spans="1:36" s="39" customFormat="1" ht="27.75" hidden="1" customHeight="1" outlineLevel="1" x14ac:dyDescent="0.25">
      <c r="A4714" s="164">
        <v>1037</v>
      </c>
      <c r="B4714" s="120" t="s">
        <v>37</v>
      </c>
      <c r="C4714" s="77" t="s">
        <v>2353</v>
      </c>
      <c r="D4714" s="164">
        <v>2022</v>
      </c>
      <c r="E4714" s="164" t="s">
        <v>31</v>
      </c>
      <c r="F4714" s="120">
        <v>1</v>
      </c>
      <c r="G4714" s="120">
        <v>130</v>
      </c>
      <c r="H4714" s="120">
        <v>952.88031000000001</v>
      </c>
      <c r="I4714" s="235"/>
      <c r="J4714" s="235"/>
    </row>
    <row r="4715" spans="1:36" s="39" customFormat="1" ht="27.75" hidden="1" customHeight="1" outlineLevel="1" x14ac:dyDescent="0.25">
      <c r="A4715" s="164">
        <v>461</v>
      </c>
      <c r="B4715" s="120" t="s">
        <v>37</v>
      </c>
      <c r="C4715" s="77" t="s">
        <v>2839</v>
      </c>
      <c r="D4715" s="164">
        <v>2022</v>
      </c>
      <c r="E4715" s="164" t="s">
        <v>31</v>
      </c>
      <c r="F4715" s="120">
        <v>1</v>
      </c>
      <c r="G4715" s="120">
        <v>87</v>
      </c>
      <c r="H4715" s="120">
        <v>695.43078000000003</v>
      </c>
      <c r="I4715" s="235"/>
      <c r="J4715" s="235"/>
    </row>
    <row r="4716" spans="1:36" s="39" customFormat="1" ht="27.75" hidden="1" customHeight="1" outlineLevel="1" x14ac:dyDescent="0.25">
      <c r="A4716" s="164">
        <v>460</v>
      </c>
      <c r="B4716" s="120" t="s">
        <v>37</v>
      </c>
      <c r="C4716" s="77" t="s">
        <v>3140</v>
      </c>
      <c r="D4716" s="164">
        <v>2022</v>
      </c>
      <c r="E4716" s="164" t="s">
        <v>31</v>
      </c>
      <c r="F4716" s="120">
        <v>1</v>
      </c>
      <c r="G4716" s="120">
        <v>150</v>
      </c>
      <c r="H4716" s="120">
        <v>753.06703000000005</v>
      </c>
      <c r="I4716" s="235"/>
      <c r="J4716" s="235"/>
    </row>
    <row r="4717" spans="1:36" s="39" customFormat="1" ht="27.75" hidden="1" customHeight="1" outlineLevel="1" x14ac:dyDescent="0.25">
      <c r="A4717" s="164">
        <v>2070</v>
      </c>
      <c r="B4717" s="120" t="s">
        <v>37</v>
      </c>
      <c r="C4717" s="77" t="s">
        <v>3088</v>
      </c>
      <c r="D4717" s="164">
        <v>2022</v>
      </c>
      <c r="E4717" s="164" t="s">
        <v>31</v>
      </c>
      <c r="F4717" s="120">
        <v>1</v>
      </c>
      <c r="G4717" s="120">
        <v>150</v>
      </c>
      <c r="H4717" s="120">
        <v>792.49</v>
      </c>
      <c r="I4717" s="235"/>
      <c r="J4717" s="235"/>
    </row>
    <row r="4718" spans="1:36" s="39" customFormat="1" ht="27.75" hidden="1" customHeight="1" outlineLevel="1" x14ac:dyDescent="0.25">
      <c r="A4718" s="164">
        <v>3090</v>
      </c>
      <c r="B4718" s="165" t="s">
        <v>37</v>
      </c>
      <c r="C4718" s="166" t="s">
        <v>9049</v>
      </c>
      <c r="D4718" s="164">
        <v>2023</v>
      </c>
      <c r="E4718" s="164" t="s">
        <v>31</v>
      </c>
      <c r="F4718" s="120">
        <v>1</v>
      </c>
      <c r="G4718" s="120">
        <v>150</v>
      </c>
      <c r="H4718" s="167">
        <v>875.43443000000002</v>
      </c>
      <c r="I4718" s="236"/>
      <c r="J4718" s="236"/>
    </row>
    <row r="4719" spans="1:36" s="39" customFormat="1" ht="27.75" hidden="1" customHeight="1" outlineLevel="1" x14ac:dyDescent="0.25">
      <c r="A4719" s="164">
        <v>3343</v>
      </c>
      <c r="B4719" s="165" t="s">
        <v>37</v>
      </c>
      <c r="C4719" s="166" t="s">
        <v>9050</v>
      </c>
      <c r="D4719" s="164">
        <v>2023</v>
      </c>
      <c r="E4719" s="164" t="s">
        <v>31</v>
      </c>
      <c r="F4719" s="120">
        <v>1</v>
      </c>
      <c r="G4719" s="120">
        <v>150</v>
      </c>
      <c r="H4719" s="167">
        <v>887.90230000000008</v>
      </c>
      <c r="I4719" s="236"/>
      <c r="J4719" s="236"/>
    </row>
    <row r="4720" spans="1:36" s="39" customFormat="1" ht="27.75" hidden="1" customHeight="1" outlineLevel="1" x14ac:dyDescent="0.25">
      <c r="A4720" s="164">
        <v>3141</v>
      </c>
      <c r="B4720" s="165" t="s">
        <v>37</v>
      </c>
      <c r="C4720" s="166" t="s">
        <v>8466</v>
      </c>
      <c r="D4720" s="164">
        <v>2023</v>
      </c>
      <c r="E4720" s="164" t="s">
        <v>31</v>
      </c>
      <c r="F4720" s="120">
        <v>1</v>
      </c>
      <c r="G4720" s="120">
        <v>100</v>
      </c>
      <c r="H4720" s="167">
        <v>761.99842999999998</v>
      </c>
      <c r="I4720" s="236"/>
      <c r="J4720" s="236"/>
    </row>
    <row r="4721" spans="1:36" s="39" customFormat="1" ht="27.75" hidden="1" customHeight="1" outlineLevel="1" x14ac:dyDescent="0.25">
      <c r="A4721" s="164">
        <v>4241</v>
      </c>
      <c r="B4721" s="165" t="s">
        <v>37</v>
      </c>
      <c r="C4721" s="166" t="s">
        <v>9061</v>
      </c>
      <c r="D4721" s="164">
        <v>2023</v>
      </c>
      <c r="E4721" s="164" t="s">
        <v>31</v>
      </c>
      <c r="F4721" s="120">
        <v>1</v>
      </c>
      <c r="G4721" s="120">
        <v>150</v>
      </c>
      <c r="H4721" s="167">
        <v>992.15096999999992</v>
      </c>
      <c r="I4721" s="236"/>
      <c r="J4721" s="236"/>
    </row>
    <row r="4722" spans="1:36" s="39" customFormat="1" ht="27.75" hidden="1" customHeight="1" outlineLevel="1" x14ac:dyDescent="0.25">
      <c r="A4722" s="164">
        <v>3089</v>
      </c>
      <c r="B4722" s="165" t="s">
        <v>37</v>
      </c>
      <c r="C4722" s="166" t="s">
        <v>8892</v>
      </c>
      <c r="D4722" s="164">
        <v>2023</v>
      </c>
      <c r="E4722" s="164" t="s">
        <v>31</v>
      </c>
      <c r="F4722" s="120">
        <v>1</v>
      </c>
      <c r="G4722" s="120">
        <v>100</v>
      </c>
      <c r="H4722" s="167">
        <v>711</v>
      </c>
      <c r="I4722" s="236"/>
      <c r="J4722" s="236"/>
    </row>
    <row r="4723" spans="1:36" s="39" customFormat="1" ht="27.75" hidden="1" customHeight="1" outlineLevel="1" x14ac:dyDescent="0.25">
      <c r="A4723" s="164">
        <v>3118</v>
      </c>
      <c r="B4723" s="165" t="s">
        <v>37</v>
      </c>
      <c r="C4723" s="166" t="s">
        <v>9106</v>
      </c>
      <c r="D4723" s="164">
        <v>2023</v>
      </c>
      <c r="E4723" s="164" t="s">
        <v>31</v>
      </c>
      <c r="F4723" s="120">
        <v>1</v>
      </c>
      <c r="G4723" s="120">
        <v>150</v>
      </c>
      <c r="H4723" s="167">
        <v>913</v>
      </c>
      <c r="I4723" s="236"/>
      <c r="J4723" s="236"/>
    </row>
    <row r="4724" spans="1:36" s="39" customFormat="1" ht="27.75" hidden="1" customHeight="1" outlineLevel="1" x14ac:dyDescent="0.25">
      <c r="A4724" s="168">
        <v>9736</v>
      </c>
      <c r="B4724" s="120" t="s">
        <v>37</v>
      </c>
      <c r="C4724" s="77" t="s">
        <v>254</v>
      </c>
      <c r="D4724" s="164">
        <v>2021</v>
      </c>
      <c r="E4724" s="164" t="s">
        <v>31</v>
      </c>
      <c r="F4724" s="120">
        <v>1</v>
      </c>
      <c r="G4724" s="120">
        <v>107</v>
      </c>
      <c r="H4724" s="120">
        <v>465.137</v>
      </c>
      <c r="I4724" s="235"/>
      <c r="J4724" s="235"/>
    </row>
    <row r="4725" spans="1:36" s="39" customFormat="1" ht="27.75" hidden="1" customHeight="1" outlineLevel="1" x14ac:dyDescent="0.25">
      <c r="A4725" s="168">
        <v>9681</v>
      </c>
      <c r="B4725" s="120" t="s">
        <v>37</v>
      </c>
      <c r="C4725" s="77" t="s">
        <v>250</v>
      </c>
      <c r="D4725" s="164">
        <v>2021</v>
      </c>
      <c r="E4725" s="164" t="s">
        <v>31</v>
      </c>
      <c r="F4725" s="120">
        <v>1</v>
      </c>
      <c r="G4725" s="120">
        <v>105</v>
      </c>
      <c r="H4725" s="120">
        <v>583.36500000000001</v>
      </c>
      <c r="I4725" s="235"/>
      <c r="J4725" s="235"/>
    </row>
    <row r="4726" spans="1:36" s="39" customFormat="1" ht="27.75" hidden="1" customHeight="1" outlineLevel="1" x14ac:dyDescent="0.25">
      <c r="A4726" s="169">
        <v>1170</v>
      </c>
      <c r="B4726" s="120" t="s">
        <v>37</v>
      </c>
      <c r="C4726" s="77" t="s">
        <v>251</v>
      </c>
      <c r="D4726" s="164">
        <v>2021</v>
      </c>
      <c r="E4726" s="164" t="s">
        <v>31</v>
      </c>
      <c r="F4726" s="120">
        <v>1</v>
      </c>
      <c r="G4726" s="120">
        <v>60</v>
      </c>
      <c r="H4726" s="120">
        <v>419.197</v>
      </c>
      <c r="I4726" s="235"/>
      <c r="J4726" s="235"/>
    </row>
    <row r="4727" spans="1:36" s="39" customFormat="1" ht="27.75" hidden="1" customHeight="1" outlineLevel="1" x14ac:dyDescent="0.25">
      <c r="A4727" s="168">
        <v>9675</v>
      </c>
      <c r="B4727" s="120" t="s">
        <v>37</v>
      </c>
      <c r="C4727" s="77" t="s">
        <v>885</v>
      </c>
      <c r="D4727" s="164">
        <v>2021</v>
      </c>
      <c r="E4727" s="164" t="s">
        <v>31</v>
      </c>
      <c r="F4727" s="120">
        <v>1</v>
      </c>
      <c r="G4727" s="120">
        <v>150</v>
      </c>
      <c r="H4727" s="120">
        <v>829</v>
      </c>
      <c r="I4727" s="235"/>
      <c r="J4727" s="235"/>
    </row>
    <row r="4728" spans="1:36" s="39" customFormat="1" ht="27.75" hidden="1" customHeight="1" outlineLevel="1" x14ac:dyDescent="0.25">
      <c r="A4728" s="167">
        <v>9677</v>
      </c>
      <c r="B4728" s="120" t="s">
        <v>37</v>
      </c>
      <c r="C4728" s="77" t="s">
        <v>923</v>
      </c>
      <c r="D4728" s="164">
        <v>2021</v>
      </c>
      <c r="E4728" s="164" t="s">
        <v>31</v>
      </c>
      <c r="F4728" s="120">
        <v>1</v>
      </c>
      <c r="G4728" s="120">
        <v>150</v>
      </c>
      <c r="H4728" s="120">
        <v>688</v>
      </c>
      <c r="I4728" s="235"/>
      <c r="J4728" s="235"/>
    </row>
    <row r="4729" spans="1:36" s="39" customFormat="1" ht="27.75" hidden="1" customHeight="1" outlineLevel="1" x14ac:dyDescent="0.25">
      <c r="A4729" s="164">
        <v>9676</v>
      </c>
      <c r="B4729" s="120" t="s">
        <v>37</v>
      </c>
      <c r="C4729" s="77" t="s">
        <v>924</v>
      </c>
      <c r="D4729" s="164">
        <v>2021</v>
      </c>
      <c r="E4729" s="164" t="s">
        <v>31</v>
      </c>
      <c r="F4729" s="120">
        <v>1</v>
      </c>
      <c r="G4729" s="120">
        <v>150</v>
      </c>
      <c r="H4729" s="120">
        <v>761</v>
      </c>
      <c r="I4729" s="235"/>
      <c r="J4729" s="235"/>
    </row>
    <row r="4730" spans="1:36" s="16" customFormat="1" ht="47.25" collapsed="1" x14ac:dyDescent="0.25">
      <c r="A4730" s="18"/>
      <c r="B4730" s="72" t="s">
        <v>38</v>
      </c>
      <c r="C4730" s="73" t="s">
        <v>2118</v>
      </c>
      <c r="D4730" s="71"/>
      <c r="E4730" s="76" t="s">
        <v>33</v>
      </c>
      <c r="F4730" s="71"/>
      <c r="G4730" s="71"/>
      <c r="H4730" s="71"/>
      <c r="I4730" s="231"/>
      <c r="J4730" s="231"/>
      <c r="K4730" s="15"/>
      <c r="L4730" s="15"/>
      <c r="M4730" s="15"/>
      <c r="N4730" s="15"/>
      <c r="O4730" s="15"/>
      <c r="P4730" s="15"/>
      <c r="Q4730" s="15"/>
      <c r="R4730" s="15"/>
      <c r="S4730" s="15"/>
      <c r="T4730" s="15"/>
      <c r="U4730" s="15"/>
      <c r="V4730" s="15"/>
      <c r="W4730" s="15"/>
      <c r="X4730" s="15"/>
      <c r="Y4730" s="15"/>
      <c r="Z4730" s="15"/>
      <c r="AA4730" s="15"/>
      <c r="AB4730" s="15"/>
      <c r="AC4730" s="15"/>
      <c r="AD4730" s="15"/>
      <c r="AE4730" s="15"/>
      <c r="AF4730" s="15"/>
      <c r="AG4730" s="15"/>
      <c r="AH4730" s="15"/>
      <c r="AI4730" s="15"/>
      <c r="AJ4730" s="15"/>
    </row>
    <row r="4731" spans="1:36" s="16" customFormat="1" ht="16.5" customHeight="1" x14ac:dyDescent="0.25">
      <c r="A4731" s="18"/>
      <c r="B4731" s="11" t="s">
        <v>38</v>
      </c>
      <c r="C4731" s="12" t="s">
        <v>57</v>
      </c>
      <c r="D4731" s="20">
        <v>2021</v>
      </c>
      <c r="E4731" s="20" t="s">
        <v>33</v>
      </c>
      <c r="F4731" s="11">
        <f>SUMIF($D$4734:$D$4885,$D$4731,$F$4734:$F$4885)</f>
        <v>30</v>
      </c>
      <c r="G4731" s="14">
        <f>SUMIF($D$4734:$D$4885,$D$4731,$G$4734:$G$4885)</f>
        <v>3226.5</v>
      </c>
      <c r="H4731" s="14">
        <f>SUMIF($D$4734:$D$4885,$D$4731,$H$4734:$H$4885)</f>
        <v>22112.71084</v>
      </c>
      <c r="I4731" s="220"/>
      <c r="J4731" s="5"/>
      <c r="K4731" s="5"/>
      <c r="L4731" s="15"/>
      <c r="M4731" s="15"/>
      <c r="N4731" s="15"/>
      <c r="O4731" s="15"/>
      <c r="P4731" s="15"/>
      <c r="Q4731" s="15"/>
      <c r="R4731" s="15"/>
      <c r="S4731" s="15"/>
      <c r="T4731" s="15"/>
      <c r="U4731" s="15"/>
      <c r="V4731" s="15"/>
      <c r="W4731" s="15"/>
      <c r="X4731" s="15"/>
      <c r="Y4731" s="15"/>
      <c r="Z4731" s="15"/>
      <c r="AA4731" s="15"/>
      <c r="AB4731" s="15"/>
      <c r="AC4731" s="15"/>
      <c r="AD4731" s="15"/>
      <c r="AE4731" s="15"/>
      <c r="AF4731" s="15"/>
      <c r="AG4731" s="15"/>
      <c r="AH4731" s="15"/>
      <c r="AI4731" s="15"/>
      <c r="AJ4731" s="15"/>
    </row>
    <row r="4732" spans="1:36" s="27" customFormat="1" ht="16.5" customHeight="1" x14ac:dyDescent="0.25">
      <c r="A4732" s="18"/>
      <c r="B4732" s="11" t="s">
        <v>38</v>
      </c>
      <c r="C4732" s="12" t="s">
        <v>57</v>
      </c>
      <c r="D4732" s="20">
        <v>2022</v>
      </c>
      <c r="E4732" s="20" t="s">
        <v>33</v>
      </c>
      <c r="F4732" s="11">
        <f>SUMIF($D$4734:$D$4885,$D$4732,$F$4734:$F$4885)</f>
        <v>50</v>
      </c>
      <c r="G4732" s="14">
        <f>SUMIF($D$4734:$D$4885,$D$4732,$G$4734:$G$4885)</f>
        <v>6310.57</v>
      </c>
      <c r="H4732" s="14">
        <f>SUMIF($D$4734:$D$4885,$D$4732,$H$4734:$H$4885)</f>
        <v>38928.763360000004</v>
      </c>
      <c r="I4732" s="220"/>
      <c r="J4732" s="220"/>
      <c r="K4732" s="15"/>
      <c r="L4732" s="15"/>
      <c r="M4732" s="15"/>
      <c r="N4732" s="15"/>
      <c r="O4732" s="15"/>
      <c r="P4732" s="15"/>
      <c r="Q4732" s="15"/>
      <c r="R4732" s="15"/>
      <c r="S4732" s="15"/>
      <c r="T4732" s="15"/>
      <c r="U4732" s="15"/>
      <c r="V4732" s="15"/>
      <c r="W4732" s="15"/>
      <c r="X4732" s="15"/>
      <c r="Y4732" s="15"/>
      <c r="Z4732" s="15"/>
      <c r="AA4732" s="15"/>
      <c r="AB4732" s="15"/>
      <c r="AC4732" s="15"/>
      <c r="AD4732" s="15"/>
      <c r="AE4732" s="15"/>
      <c r="AF4732" s="15"/>
      <c r="AG4732" s="15"/>
      <c r="AH4732" s="15"/>
      <c r="AI4732" s="15"/>
      <c r="AJ4732" s="15"/>
    </row>
    <row r="4733" spans="1:36" s="27" customFormat="1" ht="15.75" x14ac:dyDescent="0.25">
      <c r="A4733" s="18"/>
      <c r="B4733" s="11" t="s">
        <v>38</v>
      </c>
      <c r="C4733" s="12" t="s">
        <v>57</v>
      </c>
      <c r="D4733" s="20">
        <v>2023</v>
      </c>
      <c r="E4733" s="20" t="s">
        <v>33</v>
      </c>
      <c r="F4733" s="11">
        <f>SUMIF($D$4734:$D$4885,$D$4733,$F$4734:$F$4885)</f>
        <v>71</v>
      </c>
      <c r="G4733" s="14">
        <f>SUMIF($D$4734:$D$4885,$D$4733,$G$4734:$G$4885)</f>
        <v>9282.9</v>
      </c>
      <c r="H4733" s="14">
        <f>SUMIF($D$4734:$D$4885,$D$4733,$H$4734:$H$4885)</f>
        <v>71137.445340000006</v>
      </c>
      <c r="I4733" s="220"/>
      <c r="J4733" s="220"/>
      <c r="K4733" s="15"/>
      <c r="L4733" s="15"/>
      <c r="M4733" s="15"/>
      <c r="N4733" s="15"/>
      <c r="O4733" s="15"/>
      <c r="P4733" s="15"/>
      <c r="Q4733" s="15"/>
      <c r="R4733" s="15"/>
      <c r="S4733" s="15"/>
      <c r="T4733" s="15"/>
      <c r="U4733" s="15"/>
      <c r="V4733" s="15"/>
      <c r="W4733" s="15"/>
      <c r="X4733" s="15"/>
      <c r="Y4733" s="15"/>
      <c r="Z4733" s="15"/>
      <c r="AA4733" s="15"/>
      <c r="AB4733" s="15"/>
      <c r="AC4733" s="15"/>
      <c r="AD4733" s="15"/>
      <c r="AE4733" s="15"/>
      <c r="AF4733" s="15"/>
      <c r="AG4733" s="15"/>
      <c r="AH4733" s="15"/>
      <c r="AI4733" s="15"/>
      <c r="AJ4733" s="15"/>
    </row>
    <row r="4734" spans="1:36" s="15" customFormat="1" ht="16.5" hidden="1" customHeight="1" outlineLevel="1" x14ac:dyDescent="0.25">
      <c r="A4734" s="18"/>
      <c r="B4734" s="4"/>
      <c r="C4734" s="22"/>
      <c r="D4734" s="18"/>
      <c r="E4734" s="18"/>
      <c r="F4734" s="18"/>
      <c r="G4734" s="18"/>
      <c r="H4734" s="18"/>
      <c r="I4734" s="90"/>
      <c r="J4734" s="90"/>
    </row>
    <row r="4735" spans="1:36" s="15" customFormat="1" ht="16.5" hidden="1" customHeight="1" outlineLevel="1" x14ac:dyDescent="0.25">
      <c r="A4735" s="18">
        <v>2779</v>
      </c>
      <c r="B4735" s="4" t="s">
        <v>38</v>
      </c>
      <c r="C4735" s="22" t="s">
        <v>2144</v>
      </c>
      <c r="D4735" s="18">
        <v>2022</v>
      </c>
      <c r="E4735" s="18" t="s">
        <v>33</v>
      </c>
      <c r="F4735" s="18">
        <v>1</v>
      </c>
      <c r="G4735" s="18">
        <v>150</v>
      </c>
      <c r="H4735" s="18">
        <f>0.700287*(1000)</f>
        <v>700.28700000000003</v>
      </c>
      <c r="I4735" s="90"/>
      <c r="J4735" s="90"/>
    </row>
    <row r="4736" spans="1:36" s="15" customFormat="1" ht="16.5" hidden="1" customHeight="1" outlineLevel="1" x14ac:dyDescent="0.25">
      <c r="A4736" s="18">
        <v>2733</v>
      </c>
      <c r="B4736" s="4" t="s">
        <v>38</v>
      </c>
      <c r="C4736" s="22" t="s">
        <v>2819</v>
      </c>
      <c r="D4736" s="18">
        <v>2022</v>
      </c>
      <c r="E4736" s="18" t="s">
        <v>33</v>
      </c>
      <c r="F4736" s="18">
        <v>1</v>
      </c>
      <c r="G4736" s="18">
        <v>150</v>
      </c>
      <c r="H4736" s="18">
        <f>0.601501*(1000)</f>
        <v>601.50099999999998</v>
      </c>
      <c r="I4736" s="90"/>
      <c r="J4736" s="90"/>
    </row>
    <row r="4737" spans="1:10" s="15" customFormat="1" ht="16.5" hidden="1" customHeight="1" outlineLevel="1" x14ac:dyDescent="0.25">
      <c r="A4737" s="18">
        <v>2914</v>
      </c>
      <c r="B4737" s="4" t="s">
        <v>38</v>
      </c>
      <c r="C4737" s="22" t="s">
        <v>2172</v>
      </c>
      <c r="D4737" s="18">
        <v>2022</v>
      </c>
      <c r="E4737" s="18" t="s">
        <v>33</v>
      </c>
      <c r="F4737" s="18">
        <v>1</v>
      </c>
      <c r="G4737" s="18">
        <v>120</v>
      </c>
      <c r="H4737" s="18">
        <f>0.70551*(1000)</f>
        <v>705.51</v>
      </c>
      <c r="I4737" s="90"/>
      <c r="J4737" s="90"/>
    </row>
    <row r="4738" spans="1:10" s="15" customFormat="1" ht="16.5" hidden="1" customHeight="1" outlineLevel="1" x14ac:dyDescent="0.25">
      <c r="A4738" s="18">
        <v>2916</v>
      </c>
      <c r="B4738" s="4" t="s">
        <v>38</v>
      </c>
      <c r="C4738" s="22" t="s">
        <v>2173</v>
      </c>
      <c r="D4738" s="18">
        <v>2022</v>
      </c>
      <c r="E4738" s="18" t="s">
        <v>33</v>
      </c>
      <c r="F4738" s="18">
        <v>1</v>
      </c>
      <c r="G4738" s="18">
        <v>100</v>
      </c>
      <c r="H4738" s="18">
        <f>0.701526*(1000)</f>
        <v>701.52599999999995</v>
      </c>
      <c r="I4738" s="90"/>
      <c r="J4738" s="90"/>
    </row>
    <row r="4739" spans="1:10" s="15" customFormat="1" ht="16.5" hidden="1" customHeight="1" outlineLevel="1" x14ac:dyDescent="0.25">
      <c r="A4739" s="18">
        <v>2861</v>
      </c>
      <c r="B4739" s="4" t="s">
        <v>38</v>
      </c>
      <c r="C4739" s="22" t="s">
        <v>2186</v>
      </c>
      <c r="D4739" s="18">
        <v>2022</v>
      </c>
      <c r="E4739" s="18" t="s">
        <v>33</v>
      </c>
      <c r="F4739" s="18">
        <v>1</v>
      </c>
      <c r="G4739" s="18">
        <v>100</v>
      </c>
      <c r="H4739" s="18">
        <f>0.74994895*(1000)</f>
        <v>749.94894999999997</v>
      </c>
      <c r="I4739" s="90"/>
      <c r="J4739" s="90"/>
    </row>
    <row r="4740" spans="1:10" s="15" customFormat="1" ht="16.5" hidden="1" customHeight="1" outlineLevel="1" x14ac:dyDescent="0.25">
      <c r="A4740" s="18">
        <v>4124</v>
      </c>
      <c r="B4740" s="4" t="s">
        <v>38</v>
      </c>
      <c r="C4740" s="22" t="s">
        <v>2197</v>
      </c>
      <c r="D4740" s="18">
        <v>2022</v>
      </c>
      <c r="E4740" s="18" t="s">
        <v>33</v>
      </c>
      <c r="F4740" s="18">
        <v>1</v>
      </c>
      <c r="G4740" s="18">
        <v>108.67</v>
      </c>
      <c r="H4740" s="18">
        <f>1.278373*(1000)</f>
        <v>1278.373</v>
      </c>
      <c r="I4740" s="90"/>
      <c r="J4740" s="90"/>
    </row>
    <row r="4741" spans="1:10" s="15" customFormat="1" ht="16.5" hidden="1" customHeight="1" outlineLevel="1" x14ac:dyDescent="0.25">
      <c r="A4741" s="18">
        <v>4224</v>
      </c>
      <c r="B4741" s="4" t="s">
        <v>38</v>
      </c>
      <c r="C4741" s="22" t="s">
        <v>2894</v>
      </c>
      <c r="D4741" s="18">
        <v>2022</v>
      </c>
      <c r="E4741" s="18" t="s">
        <v>33</v>
      </c>
      <c r="F4741" s="18">
        <v>1</v>
      </c>
      <c r="G4741" s="18">
        <v>104</v>
      </c>
      <c r="H4741" s="18">
        <f>1.02267551*(1000)</f>
        <v>1022.67551</v>
      </c>
      <c r="I4741" s="90"/>
      <c r="J4741" s="90"/>
    </row>
    <row r="4742" spans="1:10" s="15" customFormat="1" ht="16.5" hidden="1" customHeight="1" outlineLevel="1" x14ac:dyDescent="0.25">
      <c r="A4742" s="18">
        <v>4228</v>
      </c>
      <c r="B4742" s="4" t="s">
        <v>38</v>
      </c>
      <c r="C4742" s="22" t="s">
        <v>2827</v>
      </c>
      <c r="D4742" s="18">
        <v>2022</v>
      </c>
      <c r="E4742" s="18" t="s">
        <v>33</v>
      </c>
      <c r="F4742" s="18">
        <v>1</v>
      </c>
      <c r="G4742" s="18">
        <v>175</v>
      </c>
      <c r="H4742" s="18">
        <f>0.75683542*(1000)</f>
        <v>756.83542</v>
      </c>
      <c r="I4742" s="90"/>
      <c r="J4742" s="90"/>
    </row>
    <row r="4743" spans="1:10" s="15" customFormat="1" ht="16.5" hidden="1" customHeight="1" outlineLevel="1" x14ac:dyDescent="0.25">
      <c r="A4743" s="18">
        <v>2887</v>
      </c>
      <c r="B4743" s="4" t="s">
        <v>38</v>
      </c>
      <c r="C4743" s="22" t="s">
        <v>2243</v>
      </c>
      <c r="D4743" s="18">
        <v>2022</v>
      </c>
      <c r="E4743" s="18" t="s">
        <v>33</v>
      </c>
      <c r="F4743" s="18">
        <v>1</v>
      </c>
      <c r="G4743" s="18">
        <v>100</v>
      </c>
      <c r="H4743" s="18">
        <f>0.761579*(1000)</f>
        <v>761.57899999999995</v>
      </c>
      <c r="I4743" s="90"/>
      <c r="J4743" s="90"/>
    </row>
    <row r="4744" spans="1:10" s="15" customFormat="1" ht="16.5" hidden="1" customHeight="1" outlineLevel="1" x14ac:dyDescent="0.25">
      <c r="A4744" s="18">
        <v>3003</v>
      </c>
      <c r="B4744" s="4" t="s">
        <v>38</v>
      </c>
      <c r="C4744" s="22" t="s">
        <v>2829</v>
      </c>
      <c r="D4744" s="18">
        <v>2022</v>
      </c>
      <c r="E4744" s="18" t="s">
        <v>33</v>
      </c>
      <c r="F4744" s="18">
        <v>1</v>
      </c>
      <c r="G4744" s="18">
        <v>185</v>
      </c>
      <c r="H4744" s="18">
        <f>0.922466*(1000)</f>
        <v>922.46600000000001</v>
      </c>
      <c r="I4744" s="90"/>
      <c r="J4744" s="90"/>
    </row>
    <row r="4745" spans="1:10" s="15" customFormat="1" ht="16.5" hidden="1" customHeight="1" outlineLevel="1" x14ac:dyDescent="0.25">
      <c r="A4745" s="18">
        <v>1578</v>
      </c>
      <c r="B4745" s="4" t="s">
        <v>38</v>
      </c>
      <c r="C4745" s="22" t="s">
        <v>3142</v>
      </c>
      <c r="D4745" s="18">
        <v>2022</v>
      </c>
      <c r="E4745" s="18" t="s">
        <v>33</v>
      </c>
      <c r="F4745" s="18">
        <v>1</v>
      </c>
      <c r="G4745" s="18">
        <v>70</v>
      </c>
      <c r="H4745" s="18">
        <v>344.33596999999997</v>
      </c>
      <c r="I4745" s="90"/>
      <c r="J4745" s="90"/>
    </row>
    <row r="4746" spans="1:10" s="15" customFormat="1" ht="16.5" hidden="1" customHeight="1" outlineLevel="1" x14ac:dyDescent="0.25">
      <c r="A4746" s="18">
        <v>449</v>
      </c>
      <c r="B4746" s="4" t="s">
        <v>38</v>
      </c>
      <c r="C4746" s="22" t="s">
        <v>2835</v>
      </c>
      <c r="D4746" s="18">
        <v>2022</v>
      </c>
      <c r="E4746" s="18" t="s">
        <v>33</v>
      </c>
      <c r="F4746" s="18">
        <v>1</v>
      </c>
      <c r="G4746" s="18">
        <v>149</v>
      </c>
      <c r="H4746" s="18">
        <v>777.35879</v>
      </c>
      <c r="I4746" s="90"/>
      <c r="J4746" s="90"/>
    </row>
    <row r="4747" spans="1:10" s="15" customFormat="1" ht="16.5" hidden="1" customHeight="1" outlineLevel="1" x14ac:dyDescent="0.25">
      <c r="A4747" s="18">
        <v>451</v>
      </c>
      <c r="B4747" s="4" t="s">
        <v>38</v>
      </c>
      <c r="C4747" s="22" t="s">
        <v>2836</v>
      </c>
      <c r="D4747" s="18">
        <v>2022</v>
      </c>
      <c r="E4747" s="18" t="s">
        <v>33</v>
      </c>
      <c r="F4747" s="18">
        <v>1</v>
      </c>
      <c r="G4747" s="18">
        <v>150</v>
      </c>
      <c r="H4747" s="18">
        <v>784.04244000000006</v>
      </c>
      <c r="I4747" s="90"/>
      <c r="J4747" s="90"/>
    </row>
    <row r="4748" spans="1:10" s="15" customFormat="1" ht="16.5" hidden="1" customHeight="1" outlineLevel="1" x14ac:dyDescent="0.25">
      <c r="A4748" s="18">
        <v>450</v>
      </c>
      <c r="B4748" s="4" t="s">
        <v>38</v>
      </c>
      <c r="C4748" s="22" t="s">
        <v>2907</v>
      </c>
      <c r="D4748" s="18">
        <v>2022</v>
      </c>
      <c r="E4748" s="18" t="s">
        <v>33</v>
      </c>
      <c r="F4748" s="18">
        <v>1</v>
      </c>
      <c r="G4748" s="18">
        <v>150</v>
      </c>
      <c r="H4748" s="18">
        <v>756.99225000000001</v>
      </c>
      <c r="I4748" s="90"/>
      <c r="J4748" s="90"/>
    </row>
    <row r="4749" spans="1:10" s="15" customFormat="1" ht="16.5" hidden="1" customHeight="1" outlineLevel="1" x14ac:dyDescent="0.25">
      <c r="A4749" s="18">
        <v>471</v>
      </c>
      <c r="B4749" s="4" t="s">
        <v>38</v>
      </c>
      <c r="C4749" s="22" t="s">
        <v>2915</v>
      </c>
      <c r="D4749" s="18">
        <v>2022</v>
      </c>
      <c r="E4749" s="18" t="s">
        <v>33</v>
      </c>
      <c r="F4749" s="18">
        <v>1</v>
      </c>
      <c r="G4749" s="18">
        <v>150</v>
      </c>
      <c r="H4749" s="18">
        <v>848.55839000000003</v>
      </c>
      <c r="I4749" s="90"/>
      <c r="J4749" s="90"/>
    </row>
    <row r="4750" spans="1:10" s="15" customFormat="1" ht="16.5" hidden="1" customHeight="1" outlineLevel="1" x14ac:dyDescent="0.25">
      <c r="A4750" s="18">
        <v>472</v>
      </c>
      <c r="B4750" s="4" t="s">
        <v>38</v>
      </c>
      <c r="C4750" s="22" t="s">
        <v>2916</v>
      </c>
      <c r="D4750" s="18">
        <v>2022</v>
      </c>
      <c r="E4750" s="18" t="s">
        <v>33</v>
      </c>
      <c r="F4750" s="18">
        <v>1</v>
      </c>
      <c r="G4750" s="18">
        <v>100</v>
      </c>
      <c r="H4750" s="18">
        <v>905.37117000000001</v>
      </c>
      <c r="I4750" s="90"/>
      <c r="J4750" s="90"/>
    </row>
    <row r="4751" spans="1:10" s="15" customFormat="1" ht="16.5" hidden="1" customHeight="1" outlineLevel="1" x14ac:dyDescent="0.25">
      <c r="A4751" s="18">
        <v>475</v>
      </c>
      <c r="B4751" s="4" t="s">
        <v>38</v>
      </c>
      <c r="C4751" s="22" t="s">
        <v>2841</v>
      </c>
      <c r="D4751" s="18">
        <v>2022</v>
      </c>
      <c r="E4751" s="18" t="s">
        <v>33</v>
      </c>
      <c r="F4751" s="18">
        <v>1</v>
      </c>
      <c r="G4751" s="18">
        <v>150</v>
      </c>
      <c r="H4751" s="18">
        <v>664.29898000000003</v>
      </c>
      <c r="I4751" s="90"/>
      <c r="J4751" s="90"/>
    </row>
    <row r="4752" spans="1:10" s="15" customFormat="1" ht="16.5" hidden="1" customHeight="1" outlineLevel="1" x14ac:dyDescent="0.25">
      <c r="A4752" s="18">
        <v>4570</v>
      </c>
      <c r="B4752" s="4" t="s">
        <v>38</v>
      </c>
      <c r="C4752" s="22" t="s">
        <v>2953</v>
      </c>
      <c r="D4752" s="18">
        <v>2022</v>
      </c>
      <c r="E4752" s="18" t="s">
        <v>33</v>
      </c>
      <c r="F4752" s="18">
        <v>1</v>
      </c>
      <c r="G4752" s="18">
        <v>139.4</v>
      </c>
      <c r="H4752" s="18">
        <v>887</v>
      </c>
      <c r="I4752" s="90"/>
      <c r="J4752" s="90"/>
    </row>
    <row r="4753" spans="1:10" s="15" customFormat="1" ht="16.5" hidden="1" customHeight="1" outlineLevel="1" x14ac:dyDescent="0.25">
      <c r="A4753" s="18">
        <v>4580</v>
      </c>
      <c r="B4753" s="4" t="s">
        <v>38</v>
      </c>
      <c r="C4753" s="22" t="s">
        <v>2954</v>
      </c>
      <c r="D4753" s="18">
        <v>2022</v>
      </c>
      <c r="E4753" s="18" t="s">
        <v>33</v>
      </c>
      <c r="F4753" s="18">
        <v>1</v>
      </c>
      <c r="G4753" s="18">
        <v>134.5</v>
      </c>
      <c r="H4753" s="18">
        <v>847</v>
      </c>
      <c r="I4753" s="90"/>
      <c r="J4753" s="90"/>
    </row>
    <row r="4754" spans="1:10" s="15" customFormat="1" ht="16.5" hidden="1" customHeight="1" outlineLevel="1" x14ac:dyDescent="0.25">
      <c r="A4754" s="18">
        <v>4745</v>
      </c>
      <c r="B4754" s="4" t="s">
        <v>38</v>
      </c>
      <c r="C4754" s="22" t="s">
        <v>2854</v>
      </c>
      <c r="D4754" s="18">
        <v>2022</v>
      </c>
      <c r="E4754" s="18" t="s">
        <v>33</v>
      </c>
      <c r="F4754" s="18">
        <v>1</v>
      </c>
      <c r="G4754" s="18">
        <v>150</v>
      </c>
      <c r="H4754" s="18">
        <v>1146</v>
      </c>
      <c r="I4754" s="90"/>
      <c r="J4754" s="90"/>
    </row>
    <row r="4755" spans="1:10" s="15" customFormat="1" ht="16.5" hidden="1" customHeight="1" outlineLevel="1" x14ac:dyDescent="0.25">
      <c r="A4755" s="18">
        <v>4616</v>
      </c>
      <c r="B4755" s="4" t="s">
        <v>38</v>
      </c>
      <c r="C4755" s="22" t="s">
        <v>2856</v>
      </c>
      <c r="D4755" s="18">
        <v>2022</v>
      </c>
      <c r="E4755" s="18" t="s">
        <v>33</v>
      </c>
      <c r="F4755" s="18">
        <v>1</v>
      </c>
      <c r="G4755" s="18">
        <v>100</v>
      </c>
      <c r="H4755" s="18">
        <v>522</v>
      </c>
      <c r="I4755" s="90"/>
      <c r="J4755" s="90"/>
    </row>
    <row r="4756" spans="1:10" s="15" customFormat="1" ht="16.5" hidden="1" customHeight="1" outlineLevel="1" x14ac:dyDescent="0.25">
      <c r="A4756" s="18">
        <v>4702</v>
      </c>
      <c r="B4756" s="4" t="s">
        <v>38</v>
      </c>
      <c r="C4756" s="22" t="s">
        <v>3010</v>
      </c>
      <c r="D4756" s="18">
        <v>2022</v>
      </c>
      <c r="E4756" s="18" t="s">
        <v>33</v>
      </c>
      <c r="F4756" s="18">
        <v>1</v>
      </c>
      <c r="G4756" s="18">
        <v>100</v>
      </c>
      <c r="H4756" s="18">
        <v>658</v>
      </c>
      <c r="I4756" s="90"/>
      <c r="J4756" s="90"/>
    </row>
    <row r="4757" spans="1:10" s="15" customFormat="1" ht="16.5" hidden="1" customHeight="1" outlineLevel="1" x14ac:dyDescent="0.25">
      <c r="A4757" s="18">
        <v>4853</v>
      </c>
      <c r="B4757" s="4" t="s">
        <v>38</v>
      </c>
      <c r="C4757" s="22" t="s">
        <v>3105</v>
      </c>
      <c r="D4757" s="18">
        <v>2022</v>
      </c>
      <c r="E4757" s="18" t="s">
        <v>33</v>
      </c>
      <c r="F4757" s="18">
        <v>1</v>
      </c>
      <c r="G4757" s="18">
        <v>150</v>
      </c>
      <c r="H4757" s="18">
        <v>905</v>
      </c>
      <c r="I4757" s="90"/>
      <c r="J4757" s="90"/>
    </row>
    <row r="4758" spans="1:10" s="15" customFormat="1" ht="16.5" hidden="1" customHeight="1" outlineLevel="1" x14ac:dyDescent="0.25">
      <c r="A4758" s="18">
        <v>2009</v>
      </c>
      <c r="B4758" s="4" t="s">
        <v>38</v>
      </c>
      <c r="C4758" s="22" t="s">
        <v>3083</v>
      </c>
      <c r="D4758" s="18">
        <v>2022</v>
      </c>
      <c r="E4758" s="18" t="s">
        <v>33</v>
      </c>
      <c r="F4758" s="18">
        <v>1</v>
      </c>
      <c r="G4758" s="18">
        <v>150</v>
      </c>
      <c r="H4758" s="18">
        <v>738.95500000000004</v>
      </c>
      <c r="I4758" s="90"/>
      <c r="J4758" s="90"/>
    </row>
    <row r="4759" spans="1:10" s="15" customFormat="1" ht="16.5" hidden="1" customHeight="1" outlineLevel="1" x14ac:dyDescent="0.25">
      <c r="A4759" s="18">
        <v>2067</v>
      </c>
      <c r="B4759" s="4" t="s">
        <v>38</v>
      </c>
      <c r="C4759" s="22" t="s">
        <v>3084</v>
      </c>
      <c r="D4759" s="18">
        <v>2022</v>
      </c>
      <c r="E4759" s="18" t="s">
        <v>33</v>
      </c>
      <c r="F4759" s="18">
        <v>1</v>
      </c>
      <c r="G4759" s="18">
        <v>130</v>
      </c>
      <c r="H4759" s="18">
        <v>883.32</v>
      </c>
      <c r="I4759" s="90"/>
      <c r="J4759" s="90"/>
    </row>
    <row r="4760" spans="1:10" s="15" customFormat="1" ht="16.5" hidden="1" customHeight="1" outlineLevel="1" x14ac:dyDescent="0.25">
      <c r="A4760" s="18">
        <v>2243</v>
      </c>
      <c r="B4760" s="4" t="s">
        <v>38</v>
      </c>
      <c r="C4760" s="22" t="s">
        <v>3090</v>
      </c>
      <c r="D4760" s="18">
        <v>2022</v>
      </c>
      <c r="E4760" s="18" t="s">
        <v>33</v>
      </c>
      <c r="F4760" s="18">
        <v>1</v>
      </c>
      <c r="G4760" s="18">
        <v>100</v>
      </c>
      <c r="H4760" s="18">
        <v>760.82078999999999</v>
      </c>
      <c r="I4760" s="90"/>
      <c r="J4760" s="90"/>
    </row>
    <row r="4761" spans="1:10" s="15" customFormat="1" ht="16.5" hidden="1" customHeight="1" outlineLevel="1" x14ac:dyDescent="0.25">
      <c r="A4761" s="18">
        <v>2416</v>
      </c>
      <c r="B4761" s="4" t="s">
        <v>38</v>
      </c>
      <c r="C4761" s="22" t="s">
        <v>3092</v>
      </c>
      <c r="D4761" s="18">
        <v>2022</v>
      </c>
      <c r="E4761" s="18" t="s">
        <v>33</v>
      </c>
      <c r="F4761" s="18">
        <v>1</v>
      </c>
      <c r="G4761" s="18">
        <v>150</v>
      </c>
      <c r="H4761" s="18">
        <v>808.41399999999999</v>
      </c>
      <c r="I4761" s="90"/>
      <c r="J4761" s="90"/>
    </row>
    <row r="4762" spans="1:10" s="15" customFormat="1" ht="16.5" hidden="1" customHeight="1" outlineLevel="1" x14ac:dyDescent="0.25">
      <c r="A4762" s="18">
        <v>2542</v>
      </c>
      <c r="B4762" s="4" t="s">
        <v>38</v>
      </c>
      <c r="C4762" s="22" t="s">
        <v>3108</v>
      </c>
      <c r="D4762" s="18">
        <v>2022</v>
      </c>
      <c r="E4762" s="18" t="s">
        <v>33</v>
      </c>
      <c r="F4762" s="18">
        <v>1</v>
      </c>
      <c r="G4762" s="18">
        <v>150</v>
      </c>
      <c r="H4762" s="18">
        <v>1344.873</v>
      </c>
      <c r="I4762" s="90"/>
      <c r="J4762" s="90"/>
    </row>
    <row r="4763" spans="1:10" s="15" customFormat="1" ht="16.5" hidden="1" customHeight="1" outlineLevel="1" x14ac:dyDescent="0.25">
      <c r="A4763" s="18">
        <v>2431</v>
      </c>
      <c r="B4763" s="4" t="s">
        <v>38</v>
      </c>
      <c r="C4763" s="22" t="s">
        <v>3096</v>
      </c>
      <c r="D4763" s="18">
        <v>2022</v>
      </c>
      <c r="E4763" s="18" t="s">
        <v>33</v>
      </c>
      <c r="F4763" s="18">
        <v>1</v>
      </c>
      <c r="G4763" s="18">
        <v>150</v>
      </c>
      <c r="H4763" s="18">
        <v>700.55500000000006</v>
      </c>
      <c r="I4763" s="90"/>
      <c r="J4763" s="90"/>
    </row>
    <row r="4764" spans="1:10" s="15" customFormat="1" ht="16.5" hidden="1" customHeight="1" outlineLevel="1" x14ac:dyDescent="0.25">
      <c r="A4764" s="18">
        <v>2510</v>
      </c>
      <c r="B4764" s="4" t="s">
        <v>38</v>
      </c>
      <c r="C4764" s="22" t="s">
        <v>3097</v>
      </c>
      <c r="D4764" s="18">
        <v>2022</v>
      </c>
      <c r="E4764" s="18" t="s">
        <v>33</v>
      </c>
      <c r="F4764" s="18">
        <v>1</v>
      </c>
      <c r="G4764" s="18">
        <v>200</v>
      </c>
      <c r="H4764" s="18">
        <v>814.98269999999991</v>
      </c>
      <c r="I4764" s="90"/>
      <c r="J4764" s="90"/>
    </row>
    <row r="4765" spans="1:10" s="15" customFormat="1" ht="16.5" hidden="1" customHeight="1" outlineLevel="1" x14ac:dyDescent="0.25">
      <c r="A4765" s="18">
        <v>2567</v>
      </c>
      <c r="B4765" s="4" t="s">
        <v>38</v>
      </c>
      <c r="C4765" s="22" t="s">
        <v>3098</v>
      </c>
      <c r="D4765" s="18">
        <v>2022</v>
      </c>
      <c r="E4765" s="18" t="s">
        <v>33</v>
      </c>
      <c r="F4765" s="18">
        <v>1</v>
      </c>
      <c r="G4765" s="18">
        <v>150</v>
      </c>
      <c r="H4765" s="18">
        <v>1295.7929999999999</v>
      </c>
      <c r="I4765" s="90"/>
      <c r="J4765" s="90"/>
    </row>
    <row r="4766" spans="1:10" s="15" customFormat="1" ht="16.5" hidden="1" customHeight="1" outlineLevel="1" x14ac:dyDescent="0.25">
      <c r="A4766" s="18">
        <v>5579</v>
      </c>
      <c r="B4766" s="4" t="s">
        <v>38</v>
      </c>
      <c r="C4766" s="22" t="s">
        <v>2497</v>
      </c>
      <c r="D4766" s="18">
        <v>2022</v>
      </c>
      <c r="E4766" s="18" t="s">
        <v>33</v>
      </c>
      <c r="F4766" s="18">
        <v>1</v>
      </c>
      <c r="G4766" s="18">
        <v>50</v>
      </c>
      <c r="H4766" s="18">
        <v>615.29899999999998</v>
      </c>
      <c r="I4766" s="90"/>
      <c r="J4766" s="90"/>
    </row>
    <row r="4767" spans="1:10" s="15" customFormat="1" ht="16.5" hidden="1" customHeight="1" outlineLevel="1" x14ac:dyDescent="0.25">
      <c r="A4767" s="18">
        <v>5421</v>
      </c>
      <c r="B4767" s="4" t="s">
        <v>38</v>
      </c>
      <c r="C4767" s="22" t="s">
        <v>2918</v>
      </c>
      <c r="D4767" s="18">
        <v>2022</v>
      </c>
      <c r="E4767" s="18" t="s">
        <v>33</v>
      </c>
      <c r="F4767" s="18">
        <v>1</v>
      </c>
      <c r="G4767" s="18">
        <v>130</v>
      </c>
      <c r="H4767" s="18">
        <v>742.68</v>
      </c>
      <c r="I4767" s="90"/>
      <c r="J4767" s="90"/>
    </row>
    <row r="4768" spans="1:10" s="15" customFormat="1" ht="16.5" hidden="1" customHeight="1" outlineLevel="1" x14ac:dyDescent="0.25">
      <c r="A4768" s="18">
        <v>5834</v>
      </c>
      <c r="B4768" s="4" t="s">
        <v>38</v>
      </c>
      <c r="C4768" s="22" t="s">
        <v>2540</v>
      </c>
      <c r="D4768" s="18">
        <v>2022</v>
      </c>
      <c r="E4768" s="18" t="s">
        <v>33</v>
      </c>
      <c r="F4768" s="18">
        <v>1</v>
      </c>
      <c r="G4768" s="18">
        <v>100</v>
      </c>
      <c r="H4768" s="18">
        <v>619.23900000000003</v>
      </c>
      <c r="I4768" s="90"/>
      <c r="J4768" s="90"/>
    </row>
    <row r="4769" spans="1:10" s="15" customFormat="1" ht="16.5" hidden="1" customHeight="1" outlineLevel="1" x14ac:dyDescent="0.25">
      <c r="A4769" s="18">
        <v>5861</v>
      </c>
      <c r="B4769" s="4" t="s">
        <v>38</v>
      </c>
      <c r="C4769" s="22" t="s">
        <v>2860</v>
      </c>
      <c r="D4769" s="18">
        <v>2022</v>
      </c>
      <c r="E4769" s="18" t="s">
        <v>33</v>
      </c>
      <c r="F4769" s="18">
        <v>1</v>
      </c>
      <c r="G4769" s="18">
        <v>150</v>
      </c>
      <c r="H4769" s="18">
        <v>879.17200000000003</v>
      </c>
      <c r="I4769" s="90"/>
      <c r="J4769" s="90"/>
    </row>
    <row r="4770" spans="1:10" s="15" customFormat="1" ht="16.5" hidden="1" customHeight="1" outlineLevel="1" x14ac:dyDescent="0.25">
      <c r="A4770" s="18">
        <v>116</v>
      </c>
      <c r="B4770" s="4" t="s">
        <v>38</v>
      </c>
      <c r="C4770" s="22" t="s">
        <v>2579</v>
      </c>
      <c r="D4770" s="18">
        <v>2022</v>
      </c>
      <c r="E4770" s="18" t="s">
        <v>33</v>
      </c>
      <c r="F4770" s="18">
        <v>1</v>
      </c>
      <c r="G4770" s="18">
        <v>150</v>
      </c>
      <c r="H4770" s="18">
        <v>807</v>
      </c>
      <c r="I4770" s="90"/>
      <c r="J4770" s="90"/>
    </row>
    <row r="4771" spans="1:10" s="15" customFormat="1" ht="16.5" hidden="1" customHeight="1" outlineLevel="1" x14ac:dyDescent="0.25">
      <c r="A4771" s="18">
        <v>152</v>
      </c>
      <c r="B4771" s="4" t="s">
        <v>38</v>
      </c>
      <c r="C4771" s="22" t="s">
        <v>2584</v>
      </c>
      <c r="D4771" s="18">
        <v>2022</v>
      </c>
      <c r="E4771" s="18" t="s">
        <v>33</v>
      </c>
      <c r="F4771" s="18">
        <v>1</v>
      </c>
      <c r="G4771" s="18">
        <v>150</v>
      </c>
      <c r="H4771" s="18">
        <v>818</v>
      </c>
      <c r="I4771" s="90"/>
      <c r="J4771" s="90"/>
    </row>
    <row r="4772" spans="1:10" s="15" customFormat="1" ht="16.5" hidden="1" customHeight="1" outlineLevel="1" x14ac:dyDescent="0.25">
      <c r="A4772" s="18">
        <v>128</v>
      </c>
      <c r="B4772" s="4" t="s">
        <v>38</v>
      </c>
      <c r="C4772" s="22" t="s">
        <v>2598</v>
      </c>
      <c r="D4772" s="18">
        <v>2022</v>
      </c>
      <c r="E4772" s="18" t="s">
        <v>33</v>
      </c>
      <c r="F4772" s="18">
        <v>1</v>
      </c>
      <c r="G4772" s="18">
        <v>45</v>
      </c>
      <c r="H4772" s="18">
        <v>463</v>
      </c>
      <c r="I4772" s="90"/>
      <c r="J4772" s="90"/>
    </row>
    <row r="4773" spans="1:10" s="15" customFormat="1" ht="16.5" hidden="1" customHeight="1" outlineLevel="1" x14ac:dyDescent="0.25">
      <c r="A4773" s="18">
        <v>165</v>
      </c>
      <c r="B4773" s="4" t="s">
        <v>38</v>
      </c>
      <c r="C4773" s="22" t="s">
        <v>2605</v>
      </c>
      <c r="D4773" s="18">
        <v>2022</v>
      </c>
      <c r="E4773" s="18" t="s">
        <v>33</v>
      </c>
      <c r="F4773" s="18">
        <v>1</v>
      </c>
      <c r="G4773" s="18">
        <v>15</v>
      </c>
      <c r="H4773" s="18">
        <v>323</v>
      </c>
      <c r="I4773" s="90"/>
      <c r="J4773" s="90"/>
    </row>
    <row r="4774" spans="1:10" s="15" customFormat="1" ht="16.5" hidden="1" customHeight="1" outlineLevel="1" x14ac:dyDescent="0.25">
      <c r="A4774" s="18">
        <v>106</v>
      </c>
      <c r="B4774" s="4" t="s">
        <v>38</v>
      </c>
      <c r="C4774" s="22" t="s">
        <v>2623</v>
      </c>
      <c r="D4774" s="18">
        <v>2022</v>
      </c>
      <c r="E4774" s="18" t="s">
        <v>33</v>
      </c>
      <c r="F4774" s="18">
        <v>1</v>
      </c>
      <c r="G4774" s="18">
        <v>45</v>
      </c>
      <c r="H4774" s="18">
        <v>380</v>
      </c>
      <c r="I4774" s="90"/>
      <c r="J4774" s="90"/>
    </row>
    <row r="4775" spans="1:10" s="15" customFormat="1" ht="16.5" hidden="1" customHeight="1" outlineLevel="1" x14ac:dyDescent="0.25">
      <c r="A4775" s="18">
        <v>18</v>
      </c>
      <c r="B4775" s="4" t="s">
        <v>38</v>
      </c>
      <c r="C4775" s="22" t="s">
        <v>2627</v>
      </c>
      <c r="D4775" s="18">
        <v>2022</v>
      </c>
      <c r="E4775" s="18" t="s">
        <v>33</v>
      </c>
      <c r="F4775" s="18">
        <v>1</v>
      </c>
      <c r="G4775" s="18">
        <v>150</v>
      </c>
      <c r="H4775" s="18">
        <v>712</v>
      </c>
      <c r="I4775" s="90"/>
      <c r="J4775" s="90"/>
    </row>
    <row r="4776" spans="1:10" s="15" customFormat="1" ht="16.5" hidden="1" customHeight="1" outlineLevel="1" x14ac:dyDescent="0.25">
      <c r="A4776" s="18">
        <v>45</v>
      </c>
      <c r="B4776" s="4" t="s">
        <v>38</v>
      </c>
      <c r="C4776" s="22" t="s">
        <v>2637</v>
      </c>
      <c r="D4776" s="18">
        <v>2022</v>
      </c>
      <c r="E4776" s="18" t="s">
        <v>33</v>
      </c>
      <c r="F4776" s="18">
        <v>1</v>
      </c>
      <c r="G4776" s="18">
        <v>100</v>
      </c>
      <c r="H4776" s="18">
        <v>597</v>
      </c>
      <c r="I4776" s="90"/>
      <c r="J4776" s="90"/>
    </row>
    <row r="4777" spans="1:10" s="15" customFormat="1" ht="16.5" hidden="1" customHeight="1" outlineLevel="1" x14ac:dyDescent="0.25">
      <c r="A4777" s="18">
        <v>120</v>
      </c>
      <c r="B4777" s="4" t="s">
        <v>38</v>
      </c>
      <c r="C4777" s="22" t="s">
        <v>2657</v>
      </c>
      <c r="D4777" s="18">
        <v>2022</v>
      </c>
      <c r="E4777" s="18" t="s">
        <v>33</v>
      </c>
      <c r="F4777" s="18">
        <v>1</v>
      </c>
      <c r="G4777" s="18">
        <v>150</v>
      </c>
      <c r="H4777" s="18">
        <v>702</v>
      </c>
      <c r="I4777" s="90"/>
      <c r="J4777" s="90"/>
    </row>
    <row r="4778" spans="1:10" s="15" customFormat="1" ht="16.5" hidden="1" customHeight="1" outlineLevel="1" x14ac:dyDescent="0.25">
      <c r="A4778" s="18">
        <v>100</v>
      </c>
      <c r="B4778" s="4" t="s">
        <v>38</v>
      </c>
      <c r="C4778" s="22" t="s">
        <v>2921</v>
      </c>
      <c r="D4778" s="18">
        <v>2022</v>
      </c>
      <c r="E4778" s="18" t="s">
        <v>33</v>
      </c>
      <c r="F4778" s="18">
        <v>1</v>
      </c>
      <c r="G4778" s="18">
        <v>150</v>
      </c>
      <c r="H4778" s="18">
        <v>861</v>
      </c>
      <c r="I4778" s="90"/>
      <c r="J4778" s="90"/>
    </row>
    <row r="4779" spans="1:10" s="15" customFormat="1" ht="16.5" hidden="1" customHeight="1" outlineLevel="1" x14ac:dyDescent="0.25">
      <c r="A4779" s="18">
        <v>282</v>
      </c>
      <c r="B4779" s="4" t="s">
        <v>38</v>
      </c>
      <c r="C4779" s="22" t="s">
        <v>2863</v>
      </c>
      <c r="D4779" s="18">
        <v>2022</v>
      </c>
      <c r="E4779" s="18" t="s">
        <v>33</v>
      </c>
      <c r="F4779" s="18">
        <v>1</v>
      </c>
      <c r="G4779" s="18">
        <v>160</v>
      </c>
      <c r="H4779" s="18">
        <v>1171</v>
      </c>
      <c r="I4779" s="90"/>
      <c r="J4779" s="90"/>
    </row>
    <row r="4780" spans="1:10" s="15" customFormat="1" ht="16.5" hidden="1" customHeight="1" outlineLevel="1" x14ac:dyDescent="0.25">
      <c r="A4780" s="18">
        <v>353</v>
      </c>
      <c r="B4780" s="4" t="s">
        <v>38</v>
      </c>
      <c r="C4780" s="22" t="s">
        <v>2679</v>
      </c>
      <c r="D4780" s="18">
        <v>2022</v>
      </c>
      <c r="E4780" s="18" t="s">
        <v>33</v>
      </c>
      <c r="F4780" s="18">
        <v>1</v>
      </c>
      <c r="G4780" s="18">
        <v>135</v>
      </c>
      <c r="H4780" s="18">
        <v>1164</v>
      </c>
      <c r="I4780" s="90"/>
      <c r="J4780" s="90"/>
    </row>
    <row r="4781" spans="1:10" s="15" customFormat="1" ht="16.5" hidden="1" customHeight="1" outlineLevel="1" x14ac:dyDescent="0.25">
      <c r="A4781" s="18">
        <v>185</v>
      </c>
      <c r="B4781" s="4" t="s">
        <v>38</v>
      </c>
      <c r="C4781" s="22" t="s">
        <v>2682</v>
      </c>
      <c r="D4781" s="18">
        <v>2022</v>
      </c>
      <c r="E4781" s="18" t="s">
        <v>33</v>
      </c>
      <c r="F4781" s="18">
        <v>1</v>
      </c>
      <c r="G4781" s="18">
        <v>150</v>
      </c>
      <c r="H4781" s="18">
        <v>611</v>
      </c>
      <c r="I4781" s="90"/>
      <c r="J4781" s="90"/>
    </row>
    <row r="4782" spans="1:10" s="15" customFormat="1" ht="16.5" hidden="1" customHeight="1" outlineLevel="1" x14ac:dyDescent="0.25">
      <c r="A4782" s="18">
        <v>186</v>
      </c>
      <c r="B4782" s="4" t="s">
        <v>38</v>
      </c>
      <c r="C4782" s="22" t="s">
        <v>3143</v>
      </c>
      <c r="D4782" s="18">
        <v>2022</v>
      </c>
      <c r="E4782" s="18" t="s">
        <v>33</v>
      </c>
      <c r="F4782" s="18">
        <v>1</v>
      </c>
      <c r="G4782" s="18">
        <v>150</v>
      </c>
      <c r="H4782" s="18">
        <v>776</v>
      </c>
      <c r="I4782" s="90"/>
      <c r="J4782" s="90"/>
    </row>
    <row r="4783" spans="1:10" s="15" customFormat="1" ht="16.5" hidden="1" customHeight="1" outlineLevel="1" x14ac:dyDescent="0.25">
      <c r="A4783" s="18">
        <v>350</v>
      </c>
      <c r="B4783" s="4" t="s">
        <v>38</v>
      </c>
      <c r="C4783" s="22" t="s">
        <v>2714</v>
      </c>
      <c r="D4783" s="18">
        <v>2022</v>
      </c>
      <c r="E4783" s="18" t="s">
        <v>33</v>
      </c>
      <c r="F4783" s="18">
        <v>1</v>
      </c>
      <c r="G4783" s="18">
        <v>150</v>
      </c>
      <c r="H4783" s="18">
        <v>886</v>
      </c>
      <c r="I4783" s="90"/>
      <c r="J4783" s="90"/>
    </row>
    <row r="4784" spans="1:10" s="15" customFormat="1" ht="16.5" hidden="1" customHeight="1" outlineLevel="1" x14ac:dyDescent="0.25">
      <c r="A4784" s="18">
        <v>375</v>
      </c>
      <c r="B4784" s="4" t="s">
        <v>38</v>
      </c>
      <c r="C4784" s="22" t="s">
        <v>2724</v>
      </c>
      <c r="D4784" s="18">
        <v>2022</v>
      </c>
      <c r="E4784" s="18" t="s">
        <v>33</v>
      </c>
      <c r="F4784" s="18">
        <v>1</v>
      </c>
      <c r="G4784" s="18">
        <v>15</v>
      </c>
      <c r="H4784" s="18">
        <v>207</v>
      </c>
      <c r="I4784" s="90"/>
      <c r="J4784" s="90"/>
    </row>
    <row r="4785" spans="1:10" s="15" customFormat="1" ht="30.75" hidden="1" customHeight="1" outlineLevel="1" x14ac:dyDescent="0.25">
      <c r="A4785" s="18">
        <v>3013</v>
      </c>
      <c r="B4785" s="4" t="s">
        <v>38</v>
      </c>
      <c r="C4785" s="38" t="s">
        <v>9017</v>
      </c>
      <c r="D4785" s="18">
        <v>2023</v>
      </c>
      <c r="E4785" s="18" t="s">
        <v>33</v>
      </c>
      <c r="F4785" s="4">
        <v>1</v>
      </c>
      <c r="G4785" s="41">
        <v>135</v>
      </c>
      <c r="H4785" s="41">
        <v>795.28300000000002</v>
      </c>
      <c r="I4785" s="221"/>
      <c r="J4785" s="221"/>
    </row>
    <row r="4786" spans="1:10" s="15" customFormat="1" ht="30.75" hidden="1" customHeight="1" outlineLevel="1" x14ac:dyDescent="0.25">
      <c r="A4786" s="18">
        <v>2991</v>
      </c>
      <c r="B4786" s="4" t="s">
        <v>38</v>
      </c>
      <c r="C4786" s="38" t="s">
        <v>8049</v>
      </c>
      <c r="D4786" s="23">
        <v>2023</v>
      </c>
      <c r="E4786" s="18" t="s">
        <v>33</v>
      </c>
      <c r="F4786" s="4">
        <v>1</v>
      </c>
      <c r="G4786" s="41">
        <v>155</v>
      </c>
      <c r="H4786" s="41">
        <v>1207.5540000000001</v>
      </c>
      <c r="I4786" s="221"/>
      <c r="J4786" s="221"/>
    </row>
    <row r="4787" spans="1:10" s="15" customFormat="1" ht="30.75" hidden="1" customHeight="1" outlineLevel="1" x14ac:dyDescent="0.25">
      <c r="A4787" s="18">
        <v>6170</v>
      </c>
      <c r="B4787" s="4" t="s">
        <v>38</v>
      </c>
      <c r="C4787" s="38" t="s">
        <v>8050</v>
      </c>
      <c r="D4787" s="23">
        <v>2023</v>
      </c>
      <c r="E4787" s="18" t="s">
        <v>33</v>
      </c>
      <c r="F4787" s="4">
        <v>1</v>
      </c>
      <c r="G4787" s="41">
        <v>150</v>
      </c>
      <c r="H4787" s="41">
        <v>754.98299999999995</v>
      </c>
      <c r="I4787" s="221"/>
      <c r="J4787" s="221"/>
    </row>
    <row r="4788" spans="1:10" s="15" customFormat="1" ht="30.75" hidden="1" customHeight="1" outlineLevel="1" x14ac:dyDescent="0.25">
      <c r="A4788" s="18">
        <v>3020</v>
      </c>
      <c r="B4788" s="4" t="s">
        <v>38</v>
      </c>
      <c r="C4788" s="38" t="s">
        <v>9020</v>
      </c>
      <c r="D4788" s="23">
        <v>2023</v>
      </c>
      <c r="E4788" s="18" t="s">
        <v>33</v>
      </c>
      <c r="F4788" s="4">
        <v>1</v>
      </c>
      <c r="G4788" s="41">
        <v>150</v>
      </c>
      <c r="H4788" s="41">
        <v>752.71999999999991</v>
      </c>
      <c r="I4788" s="221"/>
      <c r="J4788" s="221"/>
    </row>
    <row r="4789" spans="1:10" s="15" customFormat="1" ht="30.75" hidden="1" customHeight="1" outlineLevel="1" x14ac:dyDescent="0.25">
      <c r="A4789" s="18">
        <v>3362</v>
      </c>
      <c r="B4789" s="4" t="s">
        <v>38</v>
      </c>
      <c r="C4789" s="38" t="s">
        <v>9021</v>
      </c>
      <c r="D4789" s="23">
        <v>2023</v>
      </c>
      <c r="E4789" s="18" t="s">
        <v>33</v>
      </c>
      <c r="F4789" s="4">
        <v>1</v>
      </c>
      <c r="G4789" s="41">
        <v>150</v>
      </c>
      <c r="H4789" s="41">
        <v>735.68599999999992</v>
      </c>
      <c r="I4789" s="221"/>
      <c r="J4789" s="221"/>
    </row>
    <row r="4790" spans="1:10" s="15" customFormat="1" ht="30.75" hidden="1" customHeight="1" outlineLevel="1" x14ac:dyDescent="0.25">
      <c r="A4790" s="18">
        <v>3006</v>
      </c>
      <c r="B4790" s="4" t="s">
        <v>38</v>
      </c>
      <c r="C4790" s="38" t="s">
        <v>9022</v>
      </c>
      <c r="D4790" s="23">
        <v>2023</v>
      </c>
      <c r="E4790" s="18" t="s">
        <v>33</v>
      </c>
      <c r="F4790" s="4">
        <v>1</v>
      </c>
      <c r="G4790" s="41">
        <v>150</v>
      </c>
      <c r="H4790" s="41">
        <v>1364.7</v>
      </c>
      <c r="I4790" s="221"/>
      <c r="J4790" s="221"/>
    </row>
    <row r="4791" spans="1:10" s="15" customFormat="1" ht="30.75" hidden="1" customHeight="1" outlineLevel="1" x14ac:dyDescent="0.25">
      <c r="A4791" s="18">
        <v>3057</v>
      </c>
      <c r="B4791" s="4" t="s">
        <v>38</v>
      </c>
      <c r="C4791" s="38" t="s">
        <v>9024</v>
      </c>
      <c r="D4791" s="23">
        <v>2023</v>
      </c>
      <c r="E4791" s="18" t="s">
        <v>33</v>
      </c>
      <c r="F4791" s="4">
        <v>1</v>
      </c>
      <c r="G4791" s="41">
        <v>150</v>
      </c>
      <c r="H4791" s="41">
        <v>1396</v>
      </c>
      <c r="I4791" s="221"/>
      <c r="J4791" s="221"/>
    </row>
    <row r="4792" spans="1:10" s="15" customFormat="1" ht="30.75" hidden="1" customHeight="1" outlineLevel="1" x14ac:dyDescent="0.25">
      <c r="A4792" s="18">
        <v>3021</v>
      </c>
      <c r="B4792" s="4" t="s">
        <v>38</v>
      </c>
      <c r="C4792" s="38" t="s">
        <v>9025</v>
      </c>
      <c r="D4792" s="23">
        <v>2023</v>
      </c>
      <c r="E4792" s="18" t="s">
        <v>33</v>
      </c>
      <c r="F4792" s="4">
        <v>1</v>
      </c>
      <c r="G4792" s="41">
        <v>150</v>
      </c>
      <c r="H4792" s="41">
        <v>1400.6799999999998</v>
      </c>
      <c r="I4792" s="221"/>
      <c r="J4792" s="221"/>
    </row>
    <row r="4793" spans="1:10" s="15" customFormat="1" ht="30.75" hidden="1" customHeight="1" outlineLevel="1" x14ac:dyDescent="0.25">
      <c r="A4793" s="18">
        <v>3034</v>
      </c>
      <c r="B4793" s="4" t="s">
        <v>38</v>
      </c>
      <c r="C4793" s="38" t="s">
        <v>8082</v>
      </c>
      <c r="D4793" s="23">
        <v>2023</v>
      </c>
      <c r="E4793" s="18" t="s">
        <v>33</v>
      </c>
      <c r="F4793" s="4">
        <v>1</v>
      </c>
      <c r="G4793" s="41">
        <v>150</v>
      </c>
      <c r="H4793" s="41">
        <v>784.39</v>
      </c>
      <c r="I4793" s="221"/>
      <c r="J4793" s="221"/>
    </row>
    <row r="4794" spans="1:10" s="15" customFormat="1" ht="30.75" hidden="1" customHeight="1" outlineLevel="1" x14ac:dyDescent="0.25">
      <c r="A4794" s="18">
        <v>3363</v>
      </c>
      <c r="B4794" s="4" t="s">
        <v>38</v>
      </c>
      <c r="C4794" s="38" t="s">
        <v>9026</v>
      </c>
      <c r="D4794" s="23">
        <v>2023</v>
      </c>
      <c r="E4794" s="18" t="s">
        <v>33</v>
      </c>
      <c r="F4794" s="4">
        <v>1</v>
      </c>
      <c r="G4794" s="41">
        <v>150</v>
      </c>
      <c r="H4794" s="41">
        <v>748.63199999999995</v>
      </c>
      <c r="I4794" s="221"/>
      <c r="J4794" s="221"/>
    </row>
    <row r="4795" spans="1:10" s="15" customFormat="1" ht="30.75" hidden="1" customHeight="1" outlineLevel="1" x14ac:dyDescent="0.25">
      <c r="A4795" s="18">
        <v>3079</v>
      </c>
      <c r="B4795" s="4" t="s">
        <v>38</v>
      </c>
      <c r="C4795" s="38" t="s">
        <v>9027</v>
      </c>
      <c r="D4795" s="23">
        <v>2023</v>
      </c>
      <c r="E4795" s="18" t="s">
        <v>33</v>
      </c>
      <c r="F4795" s="4">
        <v>1</v>
      </c>
      <c r="G4795" s="41">
        <v>100</v>
      </c>
      <c r="H4795" s="41">
        <v>756.3</v>
      </c>
      <c r="I4795" s="221"/>
      <c r="J4795" s="221"/>
    </row>
    <row r="4796" spans="1:10" s="15" customFormat="1" ht="30.75" hidden="1" customHeight="1" outlineLevel="1" x14ac:dyDescent="0.25">
      <c r="A4796" s="18">
        <v>3366</v>
      </c>
      <c r="B4796" s="4" t="s">
        <v>38</v>
      </c>
      <c r="C4796" s="38" t="s">
        <v>9030</v>
      </c>
      <c r="D4796" s="23">
        <v>2023</v>
      </c>
      <c r="E4796" s="18" t="s">
        <v>33</v>
      </c>
      <c r="F4796" s="4">
        <v>1</v>
      </c>
      <c r="G4796" s="41">
        <v>150</v>
      </c>
      <c r="H4796" s="41">
        <v>813.07241999999997</v>
      </c>
      <c r="I4796" s="221"/>
      <c r="J4796" s="221"/>
    </row>
    <row r="4797" spans="1:10" s="15" customFormat="1" ht="30.75" hidden="1" customHeight="1" outlineLevel="1" x14ac:dyDescent="0.25">
      <c r="A4797" s="18">
        <v>3134</v>
      </c>
      <c r="B4797" s="4" t="s">
        <v>38</v>
      </c>
      <c r="C4797" s="38" t="s">
        <v>9035</v>
      </c>
      <c r="D4797" s="23">
        <v>2023</v>
      </c>
      <c r="E4797" s="18" t="s">
        <v>33</v>
      </c>
      <c r="F4797" s="4">
        <v>1</v>
      </c>
      <c r="G4797" s="41">
        <v>150</v>
      </c>
      <c r="H4797" s="41">
        <v>1509.0416</v>
      </c>
      <c r="I4797" s="221"/>
      <c r="J4797" s="221"/>
    </row>
    <row r="4798" spans="1:10" s="15" customFormat="1" ht="30.75" hidden="1" customHeight="1" outlineLevel="1" x14ac:dyDescent="0.25">
      <c r="A4798" s="18">
        <v>3016</v>
      </c>
      <c r="B4798" s="4" t="s">
        <v>38</v>
      </c>
      <c r="C4798" s="38" t="s">
        <v>8181</v>
      </c>
      <c r="D4798" s="23">
        <v>2023</v>
      </c>
      <c r="E4798" s="18" t="s">
        <v>33</v>
      </c>
      <c r="F4798" s="4">
        <v>1</v>
      </c>
      <c r="G4798" s="41">
        <v>60</v>
      </c>
      <c r="H4798" s="41">
        <v>743.23599999999999</v>
      </c>
      <c r="I4798" s="221"/>
      <c r="J4798" s="221"/>
    </row>
    <row r="4799" spans="1:10" s="15" customFormat="1" ht="30.75" hidden="1" customHeight="1" outlineLevel="1" x14ac:dyDescent="0.25">
      <c r="A4799" s="18">
        <v>3133</v>
      </c>
      <c r="B4799" s="4" t="s">
        <v>38</v>
      </c>
      <c r="C4799" s="38" t="s">
        <v>9036</v>
      </c>
      <c r="D4799" s="23">
        <v>2023</v>
      </c>
      <c r="E4799" s="18" t="s">
        <v>33</v>
      </c>
      <c r="F4799" s="4">
        <v>1</v>
      </c>
      <c r="G4799" s="41">
        <v>150</v>
      </c>
      <c r="H4799" s="41">
        <v>1096.82</v>
      </c>
      <c r="I4799" s="221"/>
      <c r="J4799" s="221"/>
    </row>
    <row r="4800" spans="1:10" s="15" customFormat="1" ht="30.75" hidden="1" customHeight="1" outlineLevel="1" x14ac:dyDescent="0.25">
      <c r="A4800" s="18">
        <v>3086</v>
      </c>
      <c r="B4800" s="4" t="s">
        <v>38</v>
      </c>
      <c r="C4800" s="38" t="s">
        <v>9039</v>
      </c>
      <c r="D4800" s="23">
        <v>2023</v>
      </c>
      <c r="E4800" s="18" t="s">
        <v>33</v>
      </c>
      <c r="F4800" s="4">
        <v>1</v>
      </c>
      <c r="G4800" s="41">
        <v>150</v>
      </c>
      <c r="H4800" s="41">
        <v>1224.9855300000002</v>
      </c>
      <c r="I4800" s="221"/>
      <c r="J4800" s="221"/>
    </row>
    <row r="4801" spans="1:10" s="15" customFormat="1" ht="30.75" hidden="1" customHeight="1" outlineLevel="1" x14ac:dyDescent="0.25">
      <c r="A4801" s="18">
        <v>3039</v>
      </c>
      <c r="B4801" s="4" t="s">
        <v>38</v>
      </c>
      <c r="C4801" s="38" t="s">
        <v>8197</v>
      </c>
      <c r="D4801" s="23">
        <v>2023</v>
      </c>
      <c r="E4801" s="18" t="s">
        <v>33</v>
      </c>
      <c r="F4801" s="4">
        <v>1</v>
      </c>
      <c r="G4801" s="41">
        <v>65</v>
      </c>
      <c r="H4801" s="41">
        <v>1208.4680000000001</v>
      </c>
      <c r="I4801" s="221"/>
      <c r="J4801" s="221"/>
    </row>
    <row r="4802" spans="1:10" s="15" customFormat="1" ht="30.75" hidden="1" customHeight="1" outlineLevel="1" x14ac:dyDescent="0.25">
      <c r="A4802" s="18">
        <v>3071</v>
      </c>
      <c r="B4802" s="4" t="s">
        <v>38</v>
      </c>
      <c r="C4802" s="38" t="s">
        <v>9040</v>
      </c>
      <c r="D4802" s="23">
        <v>2023</v>
      </c>
      <c r="E4802" s="18" t="s">
        <v>33</v>
      </c>
      <c r="F4802" s="4">
        <v>1</v>
      </c>
      <c r="G4802" s="41">
        <v>150</v>
      </c>
      <c r="H4802" s="41">
        <v>1140.8618999999999</v>
      </c>
      <c r="I4802" s="221"/>
      <c r="J4802" s="221"/>
    </row>
    <row r="4803" spans="1:10" s="15" customFormat="1" ht="30.75" hidden="1" customHeight="1" outlineLevel="1" x14ac:dyDescent="0.25">
      <c r="A4803" s="18">
        <v>3138</v>
      </c>
      <c r="B4803" s="4" t="s">
        <v>38</v>
      </c>
      <c r="C4803" s="38" t="s">
        <v>9041</v>
      </c>
      <c r="D4803" s="23">
        <v>2023</v>
      </c>
      <c r="E4803" s="18" t="s">
        <v>33</v>
      </c>
      <c r="F4803" s="4">
        <v>1</v>
      </c>
      <c r="G4803" s="41">
        <v>140</v>
      </c>
      <c r="H4803" s="41">
        <v>1381.9250000000002</v>
      </c>
      <c r="I4803" s="221"/>
      <c r="J4803" s="221"/>
    </row>
    <row r="4804" spans="1:10" s="15" customFormat="1" ht="30.75" hidden="1" customHeight="1" outlineLevel="1" x14ac:dyDescent="0.25">
      <c r="A4804" s="18">
        <v>3065</v>
      </c>
      <c r="B4804" s="4" t="s">
        <v>38</v>
      </c>
      <c r="C4804" s="38" t="s">
        <v>9042</v>
      </c>
      <c r="D4804" s="23">
        <v>2023</v>
      </c>
      <c r="E4804" s="18" t="s">
        <v>33</v>
      </c>
      <c r="F4804" s="4">
        <v>1</v>
      </c>
      <c r="G4804" s="41">
        <v>150</v>
      </c>
      <c r="H4804" s="41">
        <v>1301.568</v>
      </c>
      <c r="I4804" s="221"/>
      <c r="J4804" s="221"/>
    </row>
    <row r="4805" spans="1:10" s="15" customFormat="1" ht="30.75" hidden="1" customHeight="1" outlineLevel="1" x14ac:dyDescent="0.25">
      <c r="A4805" s="18">
        <v>3069</v>
      </c>
      <c r="B4805" s="4" t="s">
        <v>38</v>
      </c>
      <c r="C4805" s="38" t="s">
        <v>9043</v>
      </c>
      <c r="D4805" s="23">
        <v>2023</v>
      </c>
      <c r="E4805" s="18" t="s">
        <v>33</v>
      </c>
      <c r="F4805" s="4">
        <v>1</v>
      </c>
      <c r="G4805" s="41">
        <v>150</v>
      </c>
      <c r="H4805" s="41">
        <v>1125.6189999999999</v>
      </c>
      <c r="I4805" s="221"/>
      <c r="J4805" s="221"/>
    </row>
    <row r="4806" spans="1:10" s="15" customFormat="1" ht="30.75" hidden="1" customHeight="1" outlineLevel="1" x14ac:dyDescent="0.25">
      <c r="A4806" s="18">
        <v>3008</v>
      </c>
      <c r="B4806" s="4" t="s">
        <v>38</v>
      </c>
      <c r="C4806" s="38" t="s">
        <v>9044</v>
      </c>
      <c r="D4806" s="23">
        <v>2023</v>
      </c>
      <c r="E4806" s="18" t="s">
        <v>33</v>
      </c>
      <c r="F4806" s="4">
        <v>1</v>
      </c>
      <c r="G4806" s="41">
        <v>150</v>
      </c>
      <c r="H4806" s="41">
        <v>1261.5435</v>
      </c>
      <c r="I4806" s="221"/>
      <c r="J4806" s="221"/>
    </row>
    <row r="4807" spans="1:10" s="15" customFormat="1" ht="30.75" hidden="1" customHeight="1" outlineLevel="1" x14ac:dyDescent="0.25">
      <c r="A4807" s="18">
        <v>6636</v>
      </c>
      <c r="B4807" s="4" t="s">
        <v>38</v>
      </c>
      <c r="C4807" s="38" t="s">
        <v>9045</v>
      </c>
      <c r="D4807" s="23">
        <v>2023</v>
      </c>
      <c r="E4807" s="18" t="s">
        <v>33</v>
      </c>
      <c r="F4807" s="4">
        <v>1</v>
      </c>
      <c r="G4807" s="41">
        <v>100</v>
      </c>
      <c r="H4807" s="41">
        <v>984.96600000000001</v>
      </c>
      <c r="I4807" s="221"/>
      <c r="J4807" s="221"/>
    </row>
    <row r="4808" spans="1:10" s="15" customFormat="1" ht="30.75" hidden="1" customHeight="1" outlineLevel="1" x14ac:dyDescent="0.25">
      <c r="A4808" s="18">
        <v>3153</v>
      </c>
      <c r="B4808" s="4" t="s">
        <v>38</v>
      </c>
      <c r="C4808" s="38" t="s">
        <v>9335</v>
      </c>
      <c r="D4808" s="23">
        <v>2023</v>
      </c>
      <c r="E4808" s="18" t="s">
        <v>33</v>
      </c>
      <c r="F4808" s="4">
        <v>1</v>
      </c>
      <c r="G4808" s="41">
        <v>150</v>
      </c>
      <c r="H4808" s="41">
        <v>1046.239</v>
      </c>
      <c r="I4808" s="221"/>
      <c r="J4808" s="221"/>
    </row>
    <row r="4809" spans="1:10" s="15" customFormat="1" ht="30.75" hidden="1" customHeight="1" outlineLevel="1" x14ac:dyDescent="0.25">
      <c r="A4809" s="18">
        <v>2960</v>
      </c>
      <c r="B4809" s="4" t="s">
        <v>38</v>
      </c>
      <c r="C4809" s="38" t="s">
        <v>8329</v>
      </c>
      <c r="D4809" s="23">
        <v>2023</v>
      </c>
      <c r="E4809" s="18" t="s">
        <v>33</v>
      </c>
      <c r="F4809" s="4">
        <v>1</v>
      </c>
      <c r="G4809" s="41">
        <v>60</v>
      </c>
      <c r="H4809" s="41">
        <v>1065.1956700000001</v>
      </c>
      <c r="I4809" s="221"/>
      <c r="J4809" s="221"/>
    </row>
    <row r="4810" spans="1:10" s="15" customFormat="1" ht="30.75" hidden="1" customHeight="1" outlineLevel="1" x14ac:dyDescent="0.25">
      <c r="A4810" s="18">
        <v>4162</v>
      </c>
      <c r="B4810" s="4" t="s">
        <v>38</v>
      </c>
      <c r="C4810" s="38" t="s">
        <v>9116</v>
      </c>
      <c r="D4810" s="23">
        <v>2023</v>
      </c>
      <c r="E4810" s="18" t="s">
        <v>33</v>
      </c>
      <c r="F4810" s="4">
        <v>1</v>
      </c>
      <c r="G4810" s="41">
        <v>140.5</v>
      </c>
      <c r="H4810" s="41">
        <v>1205.03907</v>
      </c>
      <c r="I4810" s="221"/>
      <c r="J4810" s="221"/>
    </row>
    <row r="4811" spans="1:10" s="15" customFormat="1" ht="30.75" hidden="1" customHeight="1" outlineLevel="1" x14ac:dyDescent="0.25">
      <c r="A4811" s="18">
        <v>3038</v>
      </c>
      <c r="B4811" s="4" t="s">
        <v>38</v>
      </c>
      <c r="C4811" s="38" t="s">
        <v>9117</v>
      </c>
      <c r="D4811" s="23">
        <v>2023</v>
      </c>
      <c r="E4811" s="18" t="s">
        <v>33</v>
      </c>
      <c r="F4811" s="4">
        <v>1</v>
      </c>
      <c r="G4811" s="41">
        <v>150</v>
      </c>
      <c r="H4811" s="41">
        <v>799.17667999999992</v>
      </c>
      <c r="I4811" s="221"/>
      <c r="J4811" s="221"/>
    </row>
    <row r="4812" spans="1:10" s="15" customFormat="1" ht="30.75" hidden="1" customHeight="1" outlineLevel="1" x14ac:dyDescent="0.25">
      <c r="A4812" s="18">
        <v>3083</v>
      </c>
      <c r="B4812" s="4" t="s">
        <v>38</v>
      </c>
      <c r="C4812" s="38" t="s">
        <v>9118</v>
      </c>
      <c r="D4812" s="23">
        <v>2023</v>
      </c>
      <c r="E4812" s="18" t="s">
        <v>33</v>
      </c>
      <c r="F4812" s="4">
        <v>1</v>
      </c>
      <c r="G4812" s="41">
        <v>150</v>
      </c>
      <c r="H4812" s="41">
        <v>1004.1851799999999</v>
      </c>
      <c r="I4812" s="221"/>
      <c r="J4812" s="221"/>
    </row>
    <row r="4813" spans="1:10" s="15" customFormat="1" ht="30.75" hidden="1" customHeight="1" outlineLevel="1" x14ac:dyDescent="0.25">
      <c r="A4813" s="18">
        <v>3082</v>
      </c>
      <c r="B4813" s="4" t="s">
        <v>38</v>
      </c>
      <c r="C4813" s="38" t="s">
        <v>9120</v>
      </c>
      <c r="D4813" s="23">
        <v>2023</v>
      </c>
      <c r="E4813" s="18" t="s">
        <v>33</v>
      </c>
      <c r="F4813" s="4">
        <v>1</v>
      </c>
      <c r="G4813" s="41">
        <v>200</v>
      </c>
      <c r="H4813" s="41">
        <v>1089.3109999999999</v>
      </c>
      <c r="I4813" s="221"/>
      <c r="J4813" s="221"/>
    </row>
    <row r="4814" spans="1:10" s="15" customFormat="1" ht="30.75" hidden="1" customHeight="1" outlineLevel="1" x14ac:dyDescent="0.25">
      <c r="A4814" s="18">
        <v>3066</v>
      </c>
      <c r="B4814" s="4" t="s">
        <v>38</v>
      </c>
      <c r="C4814" s="38" t="s">
        <v>9123</v>
      </c>
      <c r="D4814" s="23">
        <v>2023</v>
      </c>
      <c r="E4814" s="18" t="s">
        <v>33</v>
      </c>
      <c r="F4814" s="4">
        <v>1</v>
      </c>
      <c r="G4814" s="41">
        <v>150</v>
      </c>
      <c r="H4814" s="41">
        <v>828.3</v>
      </c>
      <c r="I4814" s="221"/>
      <c r="J4814" s="221"/>
    </row>
    <row r="4815" spans="1:10" s="15" customFormat="1" ht="30.75" hidden="1" customHeight="1" outlineLevel="1" x14ac:dyDescent="0.25">
      <c r="A4815" s="18">
        <v>3070</v>
      </c>
      <c r="B4815" s="4" t="s">
        <v>38</v>
      </c>
      <c r="C4815" s="38" t="s">
        <v>9124</v>
      </c>
      <c r="D4815" s="23">
        <v>2023</v>
      </c>
      <c r="E4815" s="18" t="s">
        <v>33</v>
      </c>
      <c r="F4815" s="4">
        <v>1</v>
      </c>
      <c r="G4815" s="41">
        <v>150</v>
      </c>
      <c r="H4815" s="41">
        <v>1118.8409999999999</v>
      </c>
      <c r="I4815" s="221"/>
      <c r="J4815" s="221"/>
    </row>
    <row r="4816" spans="1:10" s="15" customFormat="1" ht="30.75" hidden="1" customHeight="1" outlineLevel="1" x14ac:dyDescent="0.25">
      <c r="A4816" s="18">
        <v>4833</v>
      </c>
      <c r="B4816" s="4" t="s">
        <v>38</v>
      </c>
      <c r="C4816" s="38" t="s">
        <v>9128</v>
      </c>
      <c r="D4816" s="23">
        <v>2023</v>
      </c>
      <c r="E4816" s="18" t="s">
        <v>33</v>
      </c>
      <c r="F4816" s="4">
        <v>1</v>
      </c>
      <c r="G4816" s="41">
        <v>150</v>
      </c>
      <c r="H4816" s="41">
        <v>1092.9459999999999</v>
      </c>
      <c r="I4816" s="221"/>
      <c r="J4816" s="221"/>
    </row>
    <row r="4817" spans="1:10" s="15" customFormat="1" ht="30.75" hidden="1" customHeight="1" outlineLevel="1" x14ac:dyDescent="0.25">
      <c r="A4817" s="18">
        <v>3082</v>
      </c>
      <c r="B4817" s="4" t="s">
        <v>38</v>
      </c>
      <c r="C4817" s="38" t="s">
        <v>9120</v>
      </c>
      <c r="D4817" s="23">
        <v>2023</v>
      </c>
      <c r="E4817" s="18" t="s">
        <v>33</v>
      </c>
      <c r="F4817" s="4">
        <v>1</v>
      </c>
      <c r="G4817" s="41">
        <v>200</v>
      </c>
      <c r="H4817" s="41">
        <v>1089.3109999999999</v>
      </c>
      <c r="I4817" s="221"/>
      <c r="J4817" s="221"/>
    </row>
    <row r="4818" spans="1:10" s="15" customFormat="1" ht="30.75" hidden="1" customHeight="1" outlineLevel="1" x14ac:dyDescent="0.25">
      <c r="A4818" s="18">
        <v>3066</v>
      </c>
      <c r="B4818" s="4" t="s">
        <v>38</v>
      </c>
      <c r="C4818" s="38" t="s">
        <v>9123</v>
      </c>
      <c r="D4818" s="23">
        <v>2023</v>
      </c>
      <c r="E4818" s="18" t="s">
        <v>33</v>
      </c>
      <c r="F4818" s="4">
        <v>1</v>
      </c>
      <c r="G4818" s="41">
        <v>150</v>
      </c>
      <c r="H4818" s="41">
        <v>828.3</v>
      </c>
      <c r="I4818" s="221"/>
      <c r="J4818" s="221"/>
    </row>
    <row r="4819" spans="1:10" s="15" customFormat="1" ht="30.75" hidden="1" customHeight="1" outlineLevel="1" x14ac:dyDescent="0.25">
      <c r="A4819" s="18">
        <v>3070</v>
      </c>
      <c r="B4819" s="4" t="s">
        <v>38</v>
      </c>
      <c r="C4819" s="38" t="s">
        <v>9124</v>
      </c>
      <c r="D4819" s="23">
        <v>2023</v>
      </c>
      <c r="E4819" s="18" t="s">
        <v>33</v>
      </c>
      <c r="F4819" s="4">
        <v>1</v>
      </c>
      <c r="G4819" s="41">
        <v>150</v>
      </c>
      <c r="H4819" s="41">
        <v>1118.8409999999999</v>
      </c>
      <c r="I4819" s="221"/>
      <c r="J4819" s="221"/>
    </row>
    <row r="4820" spans="1:10" s="15" customFormat="1" ht="30.75" hidden="1" customHeight="1" outlineLevel="1" x14ac:dyDescent="0.25">
      <c r="A4820" s="18">
        <v>4833</v>
      </c>
      <c r="B4820" s="4" t="s">
        <v>38</v>
      </c>
      <c r="C4820" s="38" t="s">
        <v>9128</v>
      </c>
      <c r="D4820" s="23">
        <v>2023</v>
      </c>
      <c r="E4820" s="18" t="s">
        <v>33</v>
      </c>
      <c r="F4820" s="4">
        <v>1</v>
      </c>
      <c r="G4820" s="41">
        <v>150</v>
      </c>
      <c r="H4820" s="41">
        <v>1092.9459999999999</v>
      </c>
      <c r="I4820" s="221"/>
      <c r="J4820" s="221"/>
    </row>
    <row r="4821" spans="1:10" s="15" customFormat="1" ht="30.75" hidden="1" customHeight="1" outlineLevel="1" x14ac:dyDescent="0.25">
      <c r="A4821" s="18">
        <v>4239</v>
      </c>
      <c r="B4821" s="4" t="s">
        <v>38</v>
      </c>
      <c r="C4821" s="38" t="s">
        <v>9056</v>
      </c>
      <c r="D4821" s="23">
        <v>2023</v>
      </c>
      <c r="E4821" s="18" t="s">
        <v>33</v>
      </c>
      <c r="F4821" s="4">
        <v>1</v>
      </c>
      <c r="G4821" s="41">
        <v>150</v>
      </c>
      <c r="H4821" s="41">
        <v>1119.16147</v>
      </c>
      <c r="I4821" s="221"/>
      <c r="J4821" s="221"/>
    </row>
    <row r="4822" spans="1:10" s="15" customFormat="1" ht="30.75" hidden="1" customHeight="1" outlineLevel="1" x14ac:dyDescent="0.25">
      <c r="A4822" s="18">
        <v>3093</v>
      </c>
      <c r="B4822" s="4" t="s">
        <v>38</v>
      </c>
      <c r="C4822" s="38" t="s">
        <v>9222</v>
      </c>
      <c r="D4822" s="23">
        <v>2023</v>
      </c>
      <c r="E4822" s="18" t="s">
        <v>33</v>
      </c>
      <c r="F4822" s="4">
        <v>1</v>
      </c>
      <c r="G4822" s="41">
        <v>150</v>
      </c>
      <c r="H4822" s="41">
        <v>1115.4051400000001</v>
      </c>
      <c r="I4822" s="221"/>
      <c r="J4822" s="221"/>
    </row>
    <row r="4823" spans="1:10" s="15" customFormat="1" ht="30.75" hidden="1" customHeight="1" outlineLevel="1" x14ac:dyDescent="0.25">
      <c r="A4823" s="18">
        <v>3087</v>
      </c>
      <c r="B4823" s="4" t="s">
        <v>38</v>
      </c>
      <c r="C4823" s="38" t="s">
        <v>9057</v>
      </c>
      <c r="D4823" s="23">
        <v>2023</v>
      </c>
      <c r="E4823" s="18" t="s">
        <v>33</v>
      </c>
      <c r="F4823" s="4">
        <v>1</v>
      </c>
      <c r="G4823" s="41">
        <v>150</v>
      </c>
      <c r="H4823" s="41">
        <v>1237.00602</v>
      </c>
      <c r="I4823" s="221"/>
      <c r="J4823" s="221"/>
    </row>
    <row r="4824" spans="1:10" s="15" customFormat="1" ht="30.75" hidden="1" customHeight="1" outlineLevel="1" x14ac:dyDescent="0.25">
      <c r="A4824" s="18">
        <v>3341</v>
      </c>
      <c r="B4824" s="4" t="s">
        <v>38</v>
      </c>
      <c r="C4824" s="38" t="s">
        <v>9058</v>
      </c>
      <c r="D4824" s="23">
        <v>2023</v>
      </c>
      <c r="E4824" s="18" t="s">
        <v>33</v>
      </c>
      <c r="F4824" s="4">
        <v>1</v>
      </c>
      <c r="G4824" s="41">
        <v>100</v>
      </c>
      <c r="H4824" s="41">
        <v>1081.6734800000002</v>
      </c>
      <c r="I4824" s="221"/>
      <c r="J4824" s="221"/>
    </row>
    <row r="4825" spans="1:10" s="15" customFormat="1" ht="30.75" hidden="1" customHeight="1" outlineLevel="1" x14ac:dyDescent="0.25">
      <c r="A4825" s="18">
        <v>3149</v>
      </c>
      <c r="B4825" s="4" t="s">
        <v>38</v>
      </c>
      <c r="C4825" s="38" t="s">
        <v>9062</v>
      </c>
      <c r="D4825" s="23">
        <v>2023</v>
      </c>
      <c r="E4825" s="18" t="s">
        <v>33</v>
      </c>
      <c r="F4825" s="4">
        <v>1</v>
      </c>
      <c r="G4825" s="41">
        <v>100</v>
      </c>
      <c r="H4825" s="41">
        <v>1139.6849499999998</v>
      </c>
      <c r="I4825" s="221"/>
      <c r="J4825" s="221"/>
    </row>
    <row r="4826" spans="1:10" s="15" customFormat="1" ht="30.75" hidden="1" customHeight="1" outlineLevel="1" x14ac:dyDescent="0.25">
      <c r="A4826" s="18">
        <v>4242</v>
      </c>
      <c r="B4826" s="4" t="s">
        <v>38</v>
      </c>
      <c r="C4826" s="38" t="s">
        <v>9063</v>
      </c>
      <c r="D4826" s="23">
        <v>2023</v>
      </c>
      <c r="E4826" s="18" t="s">
        <v>33</v>
      </c>
      <c r="F4826" s="4">
        <v>1</v>
      </c>
      <c r="G4826" s="41">
        <v>181</v>
      </c>
      <c r="H4826" s="41">
        <v>1162.7395899999999</v>
      </c>
      <c r="I4826" s="221"/>
      <c r="J4826" s="221"/>
    </row>
    <row r="4827" spans="1:10" s="15" customFormat="1" ht="30.75" hidden="1" customHeight="1" outlineLevel="1" x14ac:dyDescent="0.25">
      <c r="A4827" s="18">
        <v>2972</v>
      </c>
      <c r="B4827" s="4" t="s">
        <v>38</v>
      </c>
      <c r="C4827" s="38" t="s">
        <v>9224</v>
      </c>
      <c r="D4827" s="23">
        <v>2023</v>
      </c>
      <c r="E4827" s="18" t="s">
        <v>33</v>
      </c>
      <c r="F4827" s="4">
        <v>1</v>
      </c>
      <c r="G4827" s="41">
        <v>150</v>
      </c>
      <c r="H4827" s="41">
        <v>794.08400000000006</v>
      </c>
      <c r="I4827" s="221"/>
      <c r="J4827" s="221"/>
    </row>
    <row r="4828" spans="1:10" s="15" customFormat="1" ht="30.75" hidden="1" customHeight="1" outlineLevel="1" x14ac:dyDescent="0.25">
      <c r="A4828" s="18">
        <v>4614</v>
      </c>
      <c r="B4828" s="4" t="s">
        <v>38</v>
      </c>
      <c r="C4828" s="38" t="s">
        <v>9065</v>
      </c>
      <c r="D4828" s="23">
        <v>2023</v>
      </c>
      <c r="E4828" s="18" t="s">
        <v>33</v>
      </c>
      <c r="F4828" s="4">
        <v>1</v>
      </c>
      <c r="G4828" s="41">
        <v>150</v>
      </c>
      <c r="H4828" s="41">
        <v>974.29200000000003</v>
      </c>
      <c r="I4828" s="221"/>
      <c r="J4828" s="221"/>
    </row>
    <row r="4829" spans="1:10" s="15" customFormat="1" ht="30.75" hidden="1" customHeight="1" outlineLevel="1" x14ac:dyDescent="0.25">
      <c r="A4829" s="18">
        <v>2994</v>
      </c>
      <c r="B4829" s="4" t="s">
        <v>38</v>
      </c>
      <c r="C4829" s="38" t="s">
        <v>9280</v>
      </c>
      <c r="D4829" s="23">
        <v>2023</v>
      </c>
      <c r="E4829" s="18" t="s">
        <v>33</v>
      </c>
      <c r="F4829" s="4">
        <v>1</v>
      </c>
      <c r="G4829" s="41">
        <v>100</v>
      </c>
      <c r="H4829" s="41">
        <v>631.95699999999999</v>
      </c>
      <c r="I4829" s="221"/>
      <c r="J4829" s="221"/>
    </row>
    <row r="4830" spans="1:10" s="15" customFormat="1" ht="30.75" hidden="1" customHeight="1" outlineLevel="1" x14ac:dyDescent="0.25">
      <c r="A4830" s="18">
        <v>4637</v>
      </c>
      <c r="B4830" s="4" t="s">
        <v>38</v>
      </c>
      <c r="C4830" s="38" t="s">
        <v>9230</v>
      </c>
      <c r="D4830" s="23">
        <v>2023</v>
      </c>
      <c r="E4830" s="18" t="s">
        <v>33</v>
      </c>
      <c r="F4830" s="4">
        <v>1</v>
      </c>
      <c r="G4830" s="41">
        <v>147.5</v>
      </c>
      <c r="H4830" s="41">
        <v>1181.325</v>
      </c>
      <c r="I4830" s="221"/>
      <c r="J4830" s="221"/>
    </row>
    <row r="4831" spans="1:10" s="15" customFormat="1" ht="30.75" hidden="1" customHeight="1" outlineLevel="1" x14ac:dyDescent="0.25">
      <c r="A4831" s="18">
        <v>3036</v>
      </c>
      <c r="B4831" s="4" t="s">
        <v>38</v>
      </c>
      <c r="C4831" s="38" t="s">
        <v>9068</v>
      </c>
      <c r="D4831" s="23">
        <v>2023</v>
      </c>
      <c r="E4831" s="18" t="s">
        <v>33</v>
      </c>
      <c r="F4831" s="4">
        <v>1</v>
      </c>
      <c r="G4831" s="41">
        <v>109.7</v>
      </c>
      <c r="H4831" s="41">
        <v>1007.379</v>
      </c>
      <c r="I4831" s="221"/>
      <c r="J4831" s="221"/>
    </row>
    <row r="4832" spans="1:10" s="15" customFormat="1" ht="30.75" hidden="1" customHeight="1" outlineLevel="1" x14ac:dyDescent="0.25">
      <c r="A4832" s="18">
        <v>3396</v>
      </c>
      <c r="B4832" s="4" t="s">
        <v>38</v>
      </c>
      <c r="C4832" s="38" t="s">
        <v>8511</v>
      </c>
      <c r="D4832" s="23">
        <v>2023</v>
      </c>
      <c r="E4832" s="18" t="s">
        <v>33</v>
      </c>
      <c r="F4832" s="4">
        <v>1</v>
      </c>
      <c r="G4832" s="41">
        <v>100</v>
      </c>
      <c r="H4832" s="41">
        <v>689.22205000000008</v>
      </c>
      <c r="I4832" s="221"/>
      <c r="J4832" s="221"/>
    </row>
    <row r="4833" spans="1:10" s="15" customFormat="1" ht="30.75" hidden="1" customHeight="1" outlineLevel="1" x14ac:dyDescent="0.25">
      <c r="A4833" s="18">
        <v>459</v>
      </c>
      <c r="B4833" s="4" t="s">
        <v>38</v>
      </c>
      <c r="C4833" s="38" t="s">
        <v>9133</v>
      </c>
      <c r="D4833" s="23">
        <v>2023</v>
      </c>
      <c r="E4833" s="18" t="s">
        <v>33</v>
      </c>
      <c r="F4833" s="4">
        <v>1</v>
      </c>
      <c r="G4833" s="41">
        <v>195</v>
      </c>
      <c r="H4833" s="41">
        <v>1260.4844399999999</v>
      </c>
      <c r="I4833" s="221"/>
      <c r="J4833" s="221"/>
    </row>
    <row r="4834" spans="1:10" s="15" customFormat="1" ht="30.75" hidden="1" customHeight="1" outlineLevel="1" x14ac:dyDescent="0.25">
      <c r="A4834" s="18">
        <v>565</v>
      </c>
      <c r="B4834" s="4" t="s">
        <v>38</v>
      </c>
      <c r="C4834" s="38" t="s">
        <v>9075</v>
      </c>
      <c r="D4834" s="23">
        <v>2023</v>
      </c>
      <c r="E4834" s="18" t="s">
        <v>33</v>
      </c>
      <c r="F4834" s="4">
        <v>1</v>
      </c>
      <c r="G4834" s="41">
        <v>90</v>
      </c>
      <c r="H4834" s="41">
        <v>887.08600999999999</v>
      </c>
      <c r="I4834" s="221"/>
      <c r="J4834" s="221"/>
    </row>
    <row r="4835" spans="1:10" s="15" customFormat="1" ht="30.75" hidden="1" customHeight="1" outlineLevel="1" x14ac:dyDescent="0.25">
      <c r="A4835" s="18">
        <v>5174</v>
      </c>
      <c r="B4835" s="4" t="s">
        <v>38</v>
      </c>
      <c r="C4835" s="38" t="s">
        <v>9144</v>
      </c>
      <c r="D4835" s="23">
        <v>2023</v>
      </c>
      <c r="E4835" s="18" t="s">
        <v>33</v>
      </c>
      <c r="F4835" s="4">
        <v>1</v>
      </c>
      <c r="G4835" s="41">
        <v>100</v>
      </c>
      <c r="H4835" s="41">
        <v>1330.6743299999998</v>
      </c>
      <c r="I4835" s="221"/>
      <c r="J4835" s="221"/>
    </row>
    <row r="4836" spans="1:10" s="15" customFormat="1" ht="30.75" hidden="1" customHeight="1" outlineLevel="1" x14ac:dyDescent="0.25">
      <c r="A4836" s="18">
        <v>3130</v>
      </c>
      <c r="B4836" s="4" t="s">
        <v>38</v>
      </c>
      <c r="C4836" s="38" t="s">
        <v>9147</v>
      </c>
      <c r="D4836" s="23">
        <v>2023</v>
      </c>
      <c r="E4836" s="18" t="s">
        <v>33</v>
      </c>
      <c r="F4836" s="4">
        <v>1</v>
      </c>
      <c r="G4836" s="41">
        <v>100</v>
      </c>
      <c r="H4836" s="41">
        <v>938.70325000000003</v>
      </c>
      <c r="I4836" s="221"/>
      <c r="J4836" s="221"/>
    </row>
    <row r="4837" spans="1:10" s="15" customFormat="1" ht="30.75" hidden="1" customHeight="1" outlineLevel="1" x14ac:dyDescent="0.25">
      <c r="A4837" s="18">
        <v>3081</v>
      </c>
      <c r="B4837" s="4" t="s">
        <v>38</v>
      </c>
      <c r="C4837" s="38" t="s">
        <v>9082</v>
      </c>
      <c r="D4837" s="23">
        <v>2023</v>
      </c>
      <c r="E4837" s="18" t="s">
        <v>33</v>
      </c>
      <c r="F4837" s="4">
        <v>1</v>
      </c>
      <c r="G4837" s="41">
        <v>150</v>
      </c>
      <c r="H4837" s="41">
        <v>885.82282999999995</v>
      </c>
      <c r="I4837" s="221"/>
      <c r="J4837" s="221"/>
    </row>
    <row r="4838" spans="1:10" s="15" customFormat="1" ht="30.75" hidden="1" customHeight="1" outlineLevel="1" x14ac:dyDescent="0.25">
      <c r="A4838" s="18">
        <v>2987</v>
      </c>
      <c r="B4838" s="4" t="s">
        <v>38</v>
      </c>
      <c r="C4838" s="38" t="s">
        <v>8657</v>
      </c>
      <c r="D4838" s="23">
        <v>2023</v>
      </c>
      <c r="E4838" s="18" t="s">
        <v>33</v>
      </c>
      <c r="F4838" s="4">
        <v>1</v>
      </c>
      <c r="G4838" s="41">
        <v>150</v>
      </c>
      <c r="H4838" s="41">
        <v>973.64896999999996</v>
      </c>
      <c r="I4838" s="221"/>
      <c r="J4838" s="221"/>
    </row>
    <row r="4839" spans="1:10" s="15" customFormat="1" ht="30.75" hidden="1" customHeight="1" outlineLevel="1" x14ac:dyDescent="0.25">
      <c r="A4839" s="18">
        <v>5173</v>
      </c>
      <c r="B4839" s="4" t="s">
        <v>38</v>
      </c>
      <c r="C4839" s="38" t="s">
        <v>8719</v>
      </c>
      <c r="D4839" s="23">
        <v>2023</v>
      </c>
      <c r="E4839" s="18" t="s">
        <v>33</v>
      </c>
      <c r="F4839" s="4">
        <v>1</v>
      </c>
      <c r="G4839" s="41">
        <v>150</v>
      </c>
      <c r="H4839" s="41">
        <v>1060.752</v>
      </c>
      <c r="I4839" s="221"/>
      <c r="J4839" s="221"/>
    </row>
    <row r="4840" spans="1:10" s="15" customFormat="1" ht="30.75" hidden="1" customHeight="1" outlineLevel="1" x14ac:dyDescent="0.25">
      <c r="A4840" s="18">
        <v>3126</v>
      </c>
      <c r="B4840" s="4" t="s">
        <v>38</v>
      </c>
      <c r="C4840" s="38" t="s">
        <v>9354</v>
      </c>
      <c r="D4840" s="23">
        <v>2023</v>
      </c>
      <c r="E4840" s="18" t="s">
        <v>33</v>
      </c>
      <c r="F4840" s="4">
        <v>1</v>
      </c>
      <c r="G4840" s="41">
        <v>72</v>
      </c>
      <c r="H4840" s="41">
        <v>533.26187000000004</v>
      </c>
      <c r="I4840" s="221"/>
      <c r="J4840" s="221"/>
    </row>
    <row r="4841" spans="1:10" s="15" customFormat="1" ht="30.75" hidden="1" customHeight="1" outlineLevel="1" x14ac:dyDescent="0.25">
      <c r="A4841" s="18">
        <v>4993</v>
      </c>
      <c r="B4841" s="4" t="s">
        <v>38</v>
      </c>
      <c r="C4841" s="38" t="s">
        <v>9373</v>
      </c>
      <c r="D4841" s="23">
        <v>2023</v>
      </c>
      <c r="E4841" s="18" t="s">
        <v>33</v>
      </c>
      <c r="F4841" s="4">
        <v>1</v>
      </c>
      <c r="G4841" s="41">
        <v>95</v>
      </c>
      <c r="H4841" s="41">
        <v>959.27661000000001</v>
      </c>
      <c r="I4841" s="221"/>
      <c r="J4841" s="221"/>
    </row>
    <row r="4842" spans="1:10" s="15" customFormat="1" ht="30.75" hidden="1" customHeight="1" outlineLevel="1" x14ac:dyDescent="0.25">
      <c r="A4842" s="18">
        <v>4996</v>
      </c>
      <c r="B4842" s="4" t="s">
        <v>38</v>
      </c>
      <c r="C4842" s="38" t="s">
        <v>9356</v>
      </c>
      <c r="D4842" s="23">
        <v>2023</v>
      </c>
      <c r="E4842" s="18" t="s">
        <v>33</v>
      </c>
      <c r="F4842" s="4">
        <v>1</v>
      </c>
      <c r="G4842" s="41">
        <v>87.2</v>
      </c>
      <c r="H4842" s="41">
        <v>493.22388000000001</v>
      </c>
      <c r="I4842" s="221"/>
      <c r="J4842" s="221"/>
    </row>
    <row r="4843" spans="1:10" s="15" customFormat="1" ht="30.75" hidden="1" customHeight="1" outlineLevel="1" x14ac:dyDescent="0.25">
      <c r="A4843" s="18">
        <v>3030</v>
      </c>
      <c r="B4843" s="4" t="s">
        <v>38</v>
      </c>
      <c r="C4843" s="38" t="s">
        <v>9180</v>
      </c>
      <c r="D4843" s="23">
        <v>2023</v>
      </c>
      <c r="E4843" s="18" t="s">
        <v>33</v>
      </c>
      <c r="F4843" s="4">
        <v>1</v>
      </c>
      <c r="G4843" s="41">
        <v>150</v>
      </c>
      <c r="H4843" s="41">
        <v>970.35071000000005</v>
      </c>
      <c r="I4843" s="221"/>
      <c r="J4843" s="221"/>
    </row>
    <row r="4844" spans="1:10" s="15" customFormat="1" ht="30.75" hidden="1" customHeight="1" outlineLevel="1" x14ac:dyDescent="0.25">
      <c r="A4844" s="18">
        <v>3145</v>
      </c>
      <c r="B4844" s="4" t="s">
        <v>38</v>
      </c>
      <c r="C4844" s="38" t="s">
        <v>9181</v>
      </c>
      <c r="D4844" s="23">
        <v>2023</v>
      </c>
      <c r="E4844" s="18" t="s">
        <v>33</v>
      </c>
      <c r="F4844" s="4">
        <v>1</v>
      </c>
      <c r="G4844" s="41">
        <v>100</v>
      </c>
      <c r="H4844" s="41">
        <v>760.56419000000005</v>
      </c>
      <c r="I4844" s="221"/>
      <c r="J4844" s="221"/>
    </row>
    <row r="4845" spans="1:10" s="15" customFormat="1" ht="30.75" hidden="1" customHeight="1" outlineLevel="1" x14ac:dyDescent="0.25">
      <c r="A4845" s="18">
        <v>2977</v>
      </c>
      <c r="B4845" s="4" t="s">
        <v>38</v>
      </c>
      <c r="C4845" s="38" t="s">
        <v>8797</v>
      </c>
      <c r="D4845" s="23">
        <v>2023</v>
      </c>
      <c r="E4845" s="18" t="s">
        <v>33</v>
      </c>
      <c r="F4845" s="4">
        <v>1</v>
      </c>
      <c r="G4845" s="41">
        <v>100</v>
      </c>
      <c r="H4845" s="41">
        <v>1085</v>
      </c>
      <c r="I4845" s="221"/>
      <c r="J4845" s="221"/>
    </row>
    <row r="4846" spans="1:10" s="15" customFormat="1" ht="30.75" hidden="1" customHeight="1" outlineLevel="1" x14ac:dyDescent="0.25">
      <c r="A4846" s="18">
        <v>3361</v>
      </c>
      <c r="B4846" s="4" t="s">
        <v>38</v>
      </c>
      <c r="C4846" s="38" t="s">
        <v>8825</v>
      </c>
      <c r="D4846" s="23">
        <v>2023</v>
      </c>
      <c r="E4846" s="18" t="s">
        <v>33</v>
      </c>
      <c r="F4846" s="4">
        <v>1</v>
      </c>
      <c r="G4846" s="41">
        <v>100</v>
      </c>
      <c r="H4846" s="41">
        <v>785</v>
      </c>
      <c r="I4846" s="221"/>
      <c r="J4846" s="221"/>
    </row>
    <row r="4847" spans="1:10" s="15" customFormat="1" ht="30.75" hidden="1" customHeight="1" outlineLevel="1" x14ac:dyDescent="0.25">
      <c r="A4847" s="18">
        <v>3004</v>
      </c>
      <c r="B4847" s="4" t="s">
        <v>38</v>
      </c>
      <c r="C4847" s="38" t="s">
        <v>8827</v>
      </c>
      <c r="D4847" s="23">
        <v>2023</v>
      </c>
      <c r="E4847" s="18" t="s">
        <v>33</v>
      </c>
      <c r="F4847" s="4">
        <v>1</v>
      </c>
      <c r="G4847" s="41">
        <v>100</v>
      </c>
      <c r="H4847" s="41">
        <v>849</v>
      </c>
      <c r="I4847" s="221"/>
      <c r="J4847" s="221"/>
    </row>
    <row r="4848" spans="1:10" s="15" customFormat="1" ht="30.75" hidden="1" customHeight="1" outlineLevel="1" x14ac:dyDescent="0.25">
      <c r="A4848" s="18">
        <v>4452</v>
      </c>
      <c r="B4848" s="4" t="s">
        <v>38</v>
      </c>
      <c r="C4848" s="38" t="s">
        <v>8870</v>
      </c>
      <c r="D4848" s="23">
        <v>2023</v>
      </c>
      <c r="E4848" s="18" t="s">
        <v>33</v>
      </c>
      <c r="F4848" s="4">
        <v>1</v>
      </c>
      <c r="G4848" s="41">
        <v>100</v>
      </c>
      <c r="H4848" s="41">
        <v>459</v>
      </c>
      <c r="I4848" s="221"/>
      <c r="J4848" s="221"/>
    </row>
    <row r="4849" spans="1:10" s="15" customFormat="1" ht="30.75" hidden="1" customHeight="1" outlineLevel="1" x14ac:dyDescent="0.25">
      <c r="A4849" s="18">
        <v>3123</v>
      </c>
      <c r="B4849" s="4" t="s">
        <v>38</v>
      </c>
      <c r="C4849" s="38" t="s">
        <v>8879</v>
      </c>
      <c r="D4849" s="23">
        <v>2023</v>
      </c>
      <c r="E4849" s="18" t="s">
        <v>33</v>
      </c>
      <c r="F4849" s="4">
        <v>1</v>
      </c>
      <c r="G4849" s="41">
        <v>150</v>
      </c>
      <c r="H4849" s="41">
        <v>688</v>
      </c>
      <c r="I4849" s="221"/>
      <c r="J4849" s="221"/>
    </row>
    <row r="4850" spans="1:10" s="15" customFormat="1" ht="30.75" hidden="1" customHeight="1" outlineLevel="1" x14ac:dyDescent="0.25">
      <c r="A4850" s="18">
        <v>979</v>
      </c>
      <c r="B4850" s="4" t="s">
        <v>38</v>
      </c>
      <c r="C4850" s="38" t="s">
        <v>8891</v>
      </c>
      <c r="D4850" s="23">
        <v>2023</v>
      </c>
      <c r="E4850" s="18" t="s">
        <v>33</v>
      </c>
      <c r="F4850" s="4">
        <v>1</v>
      </c>
      <c r="G4850" s="41">
        <v>15</v>
      </c>
      <c r="H4850" s="41">
        <v>439</v>
      </c>
      <c r="I4850" s="221"/>
      <c r="J4850" s="221"/>
    </row>
    <row r="4851" spans="1:10" s="15" customFormat="1" ht="30.75" hidden="1" customHeight="1" outlineLevel="1" x14ac:dyDescent="0.25">
      <c r="A4851" s="18">
        <v>3394</v>
      </c>
      <c r="B4851" s="4" t="s">
        <v>38</v>
      </c>
      <c r="C4851" s="38" t="s">
        <v>9091</v>
      </c>
      <c r="D4851" s="23">
        <v>2023</v>
      </c>
      <c r="E4851" s="18" t="s">
        <v>33</v>
      </c>
      <c r="F4851" s="4">
        <v>1</v>
      </c>
      <c r="G4851" s="41">
        <v>150</v>
      </c>
      <c r="H4851" s="41">
        <v>1357</v>
      </c>
      <c r="I4851" s="221"/>
      <c r="J4851" s="221"/>
    </row>
    <row r="4852" spans="1:10" s="15" customFormat="1" ht="30.75" hidden="1" customHeight="1" outlineLevel="1" x14ac:dyDescent="0.25">
      <c r="A4852" s="18">
        <v>4450</v>
      </c>
      <c r="B4852" s="4" t="s">
        <v>38</v>
      </c>
      <c r="C4852" s="38" t="s">
        <v>9095</v>
      </c>
      <c r="D4852" s="23">
        <v>2023</v>
      </c>
      <c r="E4852" s="18" t="s">
        <v>33</v>
      </c>
      <c r="F4852" s="4">
        <v>1</v>
      </c>
      <c r="G4852" s="41">
        <v>150</v>
      </c>
      <c r="H4852" s="41">
        <v>1401</v>
      </c>
      <c r="I4852" s="221"/>
      <c r="J4852" s="221"/>
    </row>
    <row r="4853" spans="1:10" s="15" customFormat="1" ht="30.75" hidden="1" customHeight="1" outlineLevel="1" x14ac:dyDescent="0.25">
      <c r="A4853" s="18">
        <v>444</v>
      </c>
      <c r="B4853" s="4" t="s">
        <v>38</v>
      </c>
      <c r="C4853" s="38" t="s">
        <v>9202</v>
      </c>
      <c r="D4853" s="23">
        <v>2023</v>
      </c>
      <c r="E4853" s="18" t="s">
        <v>33</v>
      </c>
      <c r="F4853" s="4">
        <v>1</v>
      </c>
      <c r="G4853" s="41">
        <v>15</v>
      </c>
      <c r="H4853" s="41">
        <v>548</v>
      </c>
      <c r="I4853" s="221"/>
      <c r="J4853" s="221"/>
    </row>
    <row r="4854" spans="1:10" s="15" customFormat="1" ht="30.75" hidden="1" customHeight="1" outlineLevel="1" x14ac:dyDescent="0.25">
      <c r="A4854" s="18">
        <v>2966</v>
      </c>
      <c r="B4854" s="4" t="s">
        <v>38</v>
      </c>
      <c r="C4854" s="38" t="s">
        <v>9217</v>
      </c>
      <c r="D4854" s="23">
        <v>2023</v>
      </c>
      <c r="E4854" s="18" t="s">
        <v>33</v>
      </c>
      <c r="F4854" s="4">
        <v>1</v>
      </c>
      <c r="G4854" s="41">
        <v>150</v>
      </c>
      <c r="H4854" s="41">
        <v>1378</v>
      </c>
      <c r="I4854" s="221"/>
      <c r="J4854" s="221"/>
    </row>
    <row r="4855" spans="1:10" s="15" customFormat="1" ht="30.75" hidden="1" customHeight="1" outlineLevel="1" x14ac:dyDescent="0.25">
      <c r="A4855" s="18">
        <v>465</v>
      </c>
      <c r="B4855" s="4" t="s">
        <v>38</v>
      </c>
      <c r="C4855" s="38" t="s">
        <v>9105</v>
      </c>
      <c r="D4855" s="23">
        <v>2023</v>
      </c>
      <c r="E4855" s="18" t="s">
        <v>33</v>
      </c>
      <c r="F4855" s="4">
        <v>1</v>
      </c>
      <c r="G4855" s="41">
        <v>120</v>
      </c>
      <c r="H4855" s="41">
        <v>1093</v>
      </c>
      <c r="I4855" s="221"/>
      <c r="J4855" s="221"/>
    </row>
    <row r="4856" spans="1:10" s="15" customFormat="1" ht="29.25" hidden="1" customHeight="1" outlineLevel="1" x14ac:dyDescent="0.25">
      <c r="A4856" s="45">
        <v>1272</v>
      </c>
      <c r="B4856" s="4" t="s">
        <v>38</v>
      </c>
      <c r="C4856" s="22" t="s">
        <v>307</v>
      </c>
      <c r="D4856" s="18">
        <v>2021</v>
      </c>
      <c r="E4856" s="18" t="s">
        <v>33</v>
      </c>
      <c r="F4856" s="18">
        <v>1</v>
      </c>
      <c r="G4856" s="18">
        <v>100</v>
      </c>
      <c r="H4856" s="18">
        <v>815</v>
      </c>
      <c r="I4856" s="90"/>
      <c r="J4856" s="90"/>
    </row>
    <row r="4857" spans="1:10" s="15" customFormat="1" ht="29.25" hidden="1" customHeight="1" outlineLevel="1" x14ac:dyDescent="0.25">
      <c r="A4857" s="46">
        <v>9742</v>
      </c>
      <c r="B4857" s="4" t="s">
        <v>38</v>
      </c>
      <c r="C4857" s="22" t="s">
        <v>722</v>
      </c>
      <c r="D4857" s="18">
        <v>2021</v>
      </c>
      <c r="E4857" s="18" t="s">
        <v>33</v>
      </c>
      <c r="F4857" s="18">
        <v>1</v>
      </c>
      <c r="G4857" s="18">
        <v>20</v>
      </c>
      <c r="H4857" s="18">
        <v>555</v>
      </c>
      <c r="I4857" s="90"/>
      <c r="J4857" s="90"/>
    </row>
    <row r="4858" spans="1:10" s="15" customFormat="1" ht="29.25" hidden="1" customHeight="1" outlineLevel="1" x14ac:dyDescent="0.25">
      <c r="A4858" s="45">
        <v>735</v>
      </c>
      <c r="B4858" s="4" t="s">
        <v>38</v>
      </c>
      <c r="C4858" s="22" t="s">
        <v>447</v>
      </c>
      <c r="D4858" s="18">
        <v>2021</v>
      </c>
      <c r="E4858" s="18" t="s">
        <v>33</v>
      </c>
      <c r="F4858" s="18">
        <v>1</v>
      </c>
      <c r="G4858" s="18">
        <v>100</v>
      </c>
      <c r="H4858" s="18">
        <v>438.97800000000001</v>
      </c>
      <c r="I4858" s="90"/>
      <c r="J4858" s="90"/>
    </row>
    <row r="4859" spans="1:10" s="15" customFormat="1" ht="29.25" hidden="1" customHeight="1" outlineLevel="1" x14ac:dyDescent="0.25">
      <c r="A4859" s="46">
        <v>9501</v>
      </c>
      <c r="B4859" s="4" t="s">
        <v>38</v>
      </c>
      <c r="C4859" s="22" t="s">
        <v>901</v>
      </c>
      <c r="D4859" s="18">
        <v>2021</v>
      </c>
      <c r="E4859" s="18" t="s">
        <v>33</v>
      </c>
      <c r="F4859" s="18">
        <v>1</v>
      </c>
      <c r="G4859" s="18">
        <v>115</v>
      </c>
      <c r="H4859" s="18">
        <v>641.90800000000002</v>
      </c>
      <c r="I4859" s="90"/>
      <c r="J4859" s="90"/>
    </row>
    <row r="4860" spans="1:10" s="15" customFormat="1" ht="29.25" hidden="1" customHeight="1" outlineLevel="1" x14ac:dyDescent="0.25">
      <c r="A4860" s="46">
        <v>9498</v>
      </c>
      <c r="B4860" s="4" t="s">
        <v>38</v>
      </c>
      <c r="C4860" s="22" t="s">
        <v>457</v>
      </c>
      <c r="D4860" s="18">
        <v>2021</v>
      </c>
      <c r="E4860" s="18" t="s">
        <v>33</v>
      </c>
      <c r="F4860" s="18">
        <v>1</v>
      </c>
      <c r="G4860" s="18">
        <v>155</v>
      </c>
      <c r="H4860" s="18">
        <v>866.65800000000002</v>
      </c>
      <c r="I4860" s="90"/>
      <c r="J4860" s="90"/>
    </row>
    <row r="4861" spans="1:10" s="15" customFormat="1" ht="29.25" hidden="1" customHeight="1" outlineLevel="1" x14ac:dyDescent="0.25">
      <c r="A4861" s="46">
        <v>9663</v>
      </c>
      <c r="B4861" s="4" t="s">
        <v>38</v>
      </c>
      <c r="C4861" s="22" t="s">
        <v>730</v>
      </c>
      <c r="D4861" s="18">
        <v>2021</v>
      </c>
      <c r="E4861" s="18" t="s">
        <v>33</v>
      </c>
      <c r="F4861" s="18">
        <v>1</v>
      </c>
      <c r="G4861" s="18">
        <v>100</v>
      </c>
      <c r="H4861" s="18">
        <v>942</v>
      </c>
      <c r="I4861" s="90"/>
      <c r="J4861" s="90"/>
    </row>
    <row r="4862" spans="1:10" s="15" customFormat="1" ht="29.25" hidden="1" customHeight="1" outlineLevel="1" x14ac:dyDescent="0.25">
      <c r="A4862" s="46">
        <v>9441</v>
      </c>
      <c r="B4862" s="4" t="s">
        <v>38</v>
      </c>
      <c r="C4862" s="22" t="s">
        <v>734</v>
      </c>
      <c r="D4862" s="18">
        <v>2021</v>
      </c>
      <c r="E4862" s="18" t="s">
        <v>33</v>
      </c>
      <c r="F4862" s="18">
        <v>1</v>
      </c>
      <c r="G4862" s="18">
        <v>105</v>
      </c>
      <c r="H4862" s="18">
        <v>937</v>
      </c>
      <c r="I4862" s="90"/>
      <c r="J4862" s="90"/>
    </row>
    <row r="4863" spans="1:10" s="15" customFormat="1" ht="29.25" hidden="1" customHeight="1" outlineLevel="1" x14ac:dyDescent="0.25">
      <c r="A4863" s="45">
        <v>3797</v>
      </c>
      <c r="B4863" s="4" t="s">
        <v>38</v>
      </c>
      <c r="C4863" s="22" t="s">
        <v>735</v>
      </c>
      <c r="D4863" s="18">
        <v>2021</v>
      </c>
      <c r="E4863" s="18" t="s">
        <v>33</v>
      </c>
      <c r="F4863" s="18">
        <v>1</v>
      </c>
      <c r="G4863" s="18">
        <v>149.30000000000001</v>
      </c>
      <c r="H4863" s="18">
        <v>1004</v>
      </c>
      <c r="I4863" s="90"/>
      <c r="J4863" s="90"/>
    </row>
    <row r="4864" spans="1:10" s="15" customFormat="1" ht="29.25" hidden="1" customHeight="1" outlineLevel="1" x14ac:dyDescent="0.25">
      <c r="A4864" s="45">
        <v>1129</v>
      </c>
      <c r="B4864" s="4" t="s">
        <v>38</v>
      </c>
      <c r="C4864" s="22" t="s">
        <v>738</v>
      </c>
      <c r="D4864" s="18">
        <v>2021</v>
      </c>
      <c r="E4864" s="18" t="s">
        <v>33</v>
      </c>
      <c r="F4864" s="18">
        <v>1</v>
      </c>
      <c r="G4864" s="18">
        <v>150</v>
      </c>
      <c r="H4864" s="18">
        <v>879</v>
      </c>
      <c r="I4864" s="90"/>
      <c r="J4864" s="90"/>
    </row>
    <row r="4865" spans="1:10" s="15" customFormat="1" ht="29.25" hidden="1" customHeight="1" outlineLevel="1" x14ac:dyDescent="0.25">
      <c r="A4865" s="46">
        <v>9642</v>
      </c>
      <c r="B4865" s="4" t="s">
        <v>38</v>
      </c>
      <c r="C4865" s="22" t="s">
        <v>739</v>
      </c>
      <c r="D4865" s="18">
        <v>2021</v>
      </c>
      <c r="E4865" s="18" t="s">
        <v>33</v>
      </c>
      <c r="F4865" s="18">
        <v>1</v>
      </c>
      <c r="G4865" s="18">
        <v>100</v>
      </c>
      <c r="H4865" s="18">
        <v>624</v>
      </c>
      <c r="I4865" s="90"/>
      <c r="J4865" s="90"/>
    </row>
    <row r="4866" spans="1:10" s="15" customFormat="1" ht="29.25" hidden="1" customHeight="1" outlineLevel="1" x14ac:dyDescent="0.25">
      <c r="A4866" s="46">
        <v>9592</v>
      </c>
      <c r="B4866" s="4" t="s">
        <v>38</v>
      </c>
      <c r="C4866" s="22" t="s">
        <v>542</v>
      </c>
      <c r="D4866" s="18">
        <v>2021</v>
      </c>
      <c r="E4866" s="18" t="s">
        <v>33</v>
      </c>
      <c r="F4866" s="18">
        <v>1</v>
      </c>
      <c r="G4866" s="18">
        <v>90</v>
      </c>
      <c r="H4866" s="18">
        <v>740</v>
      </c>
      <c r="I4866" s="90"/>
      <c r="J4866" s="90"/>
    </row>
    <row r="4867" spans="1:10" s="15" customFormat="1" ht="29.25" hidden="1" customHeight="1" outlineLevel="1" x14ac:dyDescent="0.25">
      <c r="A4867" s="46">
        <v>9597</v>
      </c>
      <c r="B4867" s="4" t="s">
        <v>38</v>
      </c>
      <c r="C4867" s="22" t="s">
        <v>556</v>
      </c>
      <c r="D4867" s="18">
        <v>2021</v>
      </c>
      <c r="E4867" s="18" t="s">
        <v>33</v>
      </c>
      <c r="F4867" s="18">
        <v>1</v>
      </c>
      <c r="G4867" s="18">
        <v>150</v>
      </c>
      <c r="H4867" s="18">
        <v>707</v>
      </c>
      <c r="I4867" s="90"/>
      <c r="J4867" s="90"/>
    </row>
    <row r="4868" spans="1:10" s="15" customFormat="1" ht="29.25" hidden="1" customHeight="1" outlineLevel="1" x14ac:dyDescent="0.25">
      <c r="A4868" s="45">
        <v>1130</v>
      </c>
      <c r="B4868" s="4" t="s">
        <v>38</v>
      </c>
      <c r="C4868" s="22" t="s">
        <v>557</v>
      </c>
      <c r="D4868" s="18">
        <v>2021</v>
      </c>
      <c r="E4868" s="18" t="s">
        <v>33</v>
      </c>
      <c r="F4868" s="18">
        <v>1</v>
      </c>
      <c r="G4868" s="18">
        <v>110</v>
      </c>
      <c r="H4868" s="18">
        <v>576</v>
      </c>
      <c r="I4868" s="90"/>
      <c r="J4868" s="90"/>
    </row>
    <row r="4869" spans="1:10" s="15" customFormat="1" ht="29.25" hidden="1" customHeight="1" outlineLevel="1" x14ac:dyDescent="0.25">
      <c r="A4869" s="45">
        <v>1147</v>
      </c>
      <c r="B4869" s="4" t="s">
        <v>38</v>
      </c>
      <c r="C4869" s="22" t="s">
        <v>561</v>
      </c>
      <c r="D4869" s="18">
        <v>2021</v>
      </c>
      <c r="E4869" s="18" t="s">
        <v>33</v>
      </c>
      <c r="F4869" s="18">
        <v>1</v>
      </c>
      <c r="G4869" s="18">
        <v>104</v>
      </c>
      <c r="H4869" s="18">
        <v>717</v>
      </c>
      <c r="I4869" s="90"/>
      <c r="J4869" s="90"/>
    </row>
    <row r="4870" spans="1:10" s="15" customFormat="1" ht="29.25" hidden="1" customHeight="1" outlineLevel="1" x14ac:dyDescent="0.25">
      <c r="A4870" s="46">
        <v>9365</v>
      </c>
      <c r="B4870" s="4" t="s">
        <v>38</v>
      </c>
      <c r="C4870" s="22" t="s">
        <v>199</v>
      </c>
      <c r="D4870" s="18">
        <v>2021</v>
      </c>
      <c r="E4870" s="18" t="s">
        <v>33</v>
      </c>
      <c r="F4870" s="18">
        <v>1</v>
      </c>
      <c r="G4870" s="18">
        <v>119.2</v>
      </c>
      <c r="H4870" s="18">
        <v>695.28599999999994</v>
      </c>
      <c r="I4870" s="90"/>
      <c r="J4870" s="90"/>
    </row>
    <row r="4871" spans="1:10" s="15" customFormat="1" ht="29.25" hidden="1" customHeight="1" outlineLevel="1" x14ac:dyDescent="0.25">
      <c r="A4871" s="46">
        <v>9880</v>
      </c>
      <c r="B4871" s="4" t="s">
        <v>38</v>
      </c>
      <c r="C4871" s="22" t="s">
        <v>925</v>
      </c>
      <c r="D4871" s="18">
        <v>2021</v>
      </c>
      <c r="E4871" s="18" t="s">
        <v>33</v>
      </c>
      <c r="F4871" s="18">
        <v>1</v>
      </c>
      <c r="G4871" s="18">
        <v>80</v>
      </c>
      <c r="H4871" s="18">
        <v>304.17099999999999</v>
      </c>
      <c r="I4871" s="90"/>
      <c r="J4871" s="90"/>
    </row>
    <row r="4872" spans="1:10" s="15" customFormat="1" ht="29.25" hidden="1" customHeight="1" outlineLevel="1" x14ac:dyDescent="0.25">
      <c r="A4872" s="45">
        <v>565</v>
      </c>
      <c r="B4872" s="4" t="s">
        <v>38</v>
      </c>
      <c r="C4872" s="22" t="s">
        <v>176</v>
      </c>
      <c r="D4872" s="18">
        <v>2021</v>
      </c>
      <c r="E4872" s="18" t="s">
        <v>33</v>
      </c>
      <c r="F4872" s="18">
        <v>1</v>
      </c>
      <c r="G4872" s="18">
        <v>135</v>
      </c>
      <c r="H4872" s="18">
        <v>612.53200000000004</v>
      </c>
      <c r="I4872" s="90"/>
      <c r="J4872" s="90"/>
    </row>
    <row r="4873" spans="1:10" s="15" customFormat="1" ht="29.25" hidden="1" customHeight="1" outlineLevel="1" x14ac:dyDescent="0.25">
      <c r="A4873" s="45">
        <v>449</v>
      </c>
      <c r="B4873" s="4" t="s">
        <v>38</v>
      </c>
      <c r="C4873" s="22" t="s">
        <v>278</v>
      </c>
      <c r="D4873" s="18">
        <v>2021</v>
      </c>
      <c r="E4873" s="18" t="s">
        <v>33</v>
      </c>
      <c r="F4873" s="18">
        <v>1</v>
      </c>
      <c r="G4873" s="18">
        <v>150</v>
      </c>
      <c r="H4873" s="18">
        <v>936.57899999999995</v>
      </c>
      <c r="I4873" s="90"/>
      <c r="J4873" s="90"/>
    </row>
    <row r="4874" spans="1:10" s="15" customFormat="1" ht="29.25" hidden="1" customHeight="1" outlineLevel="1" x14ac:dyDescent="0.25">
      <c r="A4874" s="46">
        <v>9079</v>
      </c>
      <c r="B4874" s="4" t="s">
        <v>38</v>
      </c>
      <c r="C4874" s="22" t="s">
        <v>279</v>
      </c>
      <c r="D4874" s="18">
        <v>2021</v>
      </c>
      <c r="E4874" s="18" t="s">
        <v>33</v>
      </c>
      <c r="F4874" s="18">
        <v>1</v>
      </c>
      <c r="G4874" s="18">
        <v>105</v>
      </c>
      <c r="H4874" s="18">
        <v>961.14800000000002</v>
      </c>
      <c r="I4874" s="90"/>
      <c r="J4874" s="90"/>
    </row>
    <row r="4875" spans="1:10" s="15" customFormat="1" ht="29.25" hidden="1" customHeight="1" outlineLevel="1" x14ac:dyDescent="0.25">
      <c r="A4875" s="45">
        <v>3880</v>
      </c>
      <c r="B4875" s="4" t="s">
        <v>38</v>
      </c>
      <c r="C4875" s="22" t="s">
        <v>766</v>
      </c>
      <c r="D4875" s="18">
        <v>2021</v>
      </c>
      <c r="E4875" s="18" t="s">
        <v>33</v>
      </c>
      <c r="F4875" s="18">
        <v>1</v>
      </c>
      <c r="G4875" s="18">
        <v>105</v>
      </c>
      <c r="H4875" s="18">
        <v>468.39558</v>
      </c>
      <c r="I4875" s="90"/>
      <c r="J4875" s="90"/>
    </row>
    <row r="4876" spans="1:10" s="15" customFormat="1" ht="29.25" hidden="1" customHeight="1" outlineLevel="1" x14ac:dyDescent="0.25">
      <c r="A4876" s="46">
        <v>9625</v>
      </c>
      <c r="B4876" s="4" t="s">
        <v>38</v>
      </c>
      <c r="C4876" s="22" t="s">
        <v>770</v>
      </c>
      <c r="D4876" s="18">
        <v>2021</v>
      </c>
      <c r="E4876" s="18" t="s">
        <v>33</v>
      </c>
      <c r="F4876" s="18">
        <v>1</v>
      </c>
      <c r="G4876" s="18">
        <v>150</v>
      </c>
      <c r="H4876" s="18">
        <v>587.81016</v>
      </c>
      <c r="I4876" s="90"/>
      <c r="J4876" s="90"/>
    </row>
    <row r="4877" spans="1:10" s="15" customFormat="1" ht="29.25" hidden="1" customHeight="1" outlineLevel="1" x14ac:dyDescent="0.25">
      <c r="A4877" s="46">
        <v>9628</v>
      </c>
      <c r="B4877" s="4" t="s">
        <v>38</v>
      </c>
      <c r="C4877" s="78" t="s">
        <v>771</v>
      </c>
      <c r="D4877" s="18">
        <v>2021</v>
      </c>
      <c r="E4877" s="18" t="s">
        <v>33</v>
      </c>
      <c r="F4877" s="18">
        <v>1</v>
      </c>
      <c r="G4877" s="18">
        <v>100</v>
      </c>
      <c r="H4877" s="18">
        <v>906.36734000000001</v>
      </c>
      <c r="I4877" s="90"/>
      <c r="J4877" s="90"/>
    </row>
    <row r="4878" spans="1:10" s="15" customFormat="1" ht="29.25" hidden="1" customHeight="1" outlineLevel="1" x14ac:dyDescent="0.25">
      <c r="A4878" s="46">
        <v>9525</v>
      </c>
      <c r="B4878" s="4" t="s">
        <v>38</v>
      </c>
      <c r="C4878" s="22" t="s">
        <v>926</v>
      </c>
      <c r="D4878" s="18">
        <v>2021</v>
      </c>
      <c r="E4878" s="18" t="s">
        <v>33</v>
      </c>
      <c r="F4878" s="18">
        <v>1</v>
      </c>
      <c r="G4878" s="18">
        <v>105</v>
      </c>
      <c r="H4878" s="18">
        <v>649.98730999999998</v>
      </c>
      <c r="I4878" s="90"/>
      <c r="J4878" s="90"/>
    </row>
    <row r="4879" spans="1:10" s="15" customFormat="1" ht="29.25" hidden="1" customHeight="1" outlineLevel="1" x14ac:dyDescent="0.25">
      <c r="A4879" s="46">
        <v>9853</v>
      </c>
      <c r="B4879" s="4" t="s">
        <v>38</v>
      </c>
      <c r="C4879" s="78" t="s">
        <v>927</v>
      </c>
      <c r="D4879" s="18">
        <v>2021</v>
      </c>
      <c r="E4879" s="18" t="s">
        <v>33</v>
      </c>
      <c r="F4879" s="18">
        <v>1</v>
      </c>
      <c r="G4879" s="18">
        <v>30</v>
      </c>
      <c r="H4879" s="18">
        <v>845.27791000000002</v>
      </c>
      <c r="I4879" s="90"/>
      <c r="J4879" s="90"/>
    </row>
    <row r="4880" spans="1:10" s="15" customFormat="1" ht="29.25" hidden="1" customHeight="1" outlineLevel="1" x14ac:dyDescent="0.25">
      <c r="A4880" s="46">
        <v>9618</v>
      </c>
      <c r="B4880" s="4" t="s">
        <v>38</v>
      </c>
      <c r="C4880" s="22" t="s">
        <v>928</v>
      </c>
      <c r="D4880" s="18">
        <v>2021</v>
      </c>
      <c r="E4880" s="18" t="s">
        <v>33</v>
      </c>
      <c r="F4880" s="18">
        <v>1</v>
      </c>
      <c r="G4880" s="18">
        <v>150</v>
      </c>
      <c r="H4880" s="18">
        <v>980.35677999999996</v>
      </c>
      <c r="I4880" s="90"/>
      <c r="J4880" s="90"/>
    </row>
    <row r="4881" spans="1:36" s="15" customFormat="1" ht="29.25" hidden="1" customHeight="1" outlineLevel="1" x14ac:dyDescent="0.25">
      <c r="A4881" s="46">
        <v>9879</v>
      </c>
      <c r="B4881" s="4" t="s">
        <v>38</v>
      </c>
      <c r="C4881" s="22" t="s">
        <v>929</v>
      </c>
      <c r="D4881" s="18">
        <v>2021</v>
      </c>
      <c r="E4881" s="18" t="s">
        <v>33</v>
      </c>
      <c r="F4881" s="18">
        <v>1</v>
      </c>
      <c r="G4881" s="18">
        <v>30</v>
      </c>
      <c r="H4881" s="18">
        <v>234.92989</v>
      </c>
      <c r="I4881" s="90"/>
      <c r="J4881" s="90"/>
    </row>
    <row r="4882" spans="1:36" s="15" customFormat="1" ht="29.25" hidden="1" customHeight="1" outlineLevel="1" x14ac:dyDescent="0.25">
      <c r="A4882" s="45">
        <v>3740</v>
      </c>
      <c r="B4882" s="4" t="s">
        <v>38</v>
      </c>
      <c r="C4882" s="22" t="s">
        <v>780</v>
      </c>
      <c r="D4882" s="18">
        <v>2021</v>
      </c>
      <c r="E4882" s="18" t="s">
        <v>33</v>
      </c>
      <c r="F4882" s="18">
        <v>1</v>
      </c>
      <c r="G4882" s="18">
        <v>99</v>
      </c>
      <c r="H4882" s="18">
        <v>997.11591999999996</v>
      </c>
      <c r="I4882" s="90"/>
      <c r="J4882" s="90"/>
    </row>
    <row r="4883" spans="1:36" s="15" customFormat="1" ht="29.25" hidden="1" customHeight="1" outlineLevel="1" x14ac:dyDescent="0.25">
      <c r="A4883" s="46">
        <v>9616</v>
      </c>
      <c r="B4883" s="4" t="s">
        <v>38</v>
      </c>
      <c r="C4883" s="22" t="s">
        <v>785</v>
      </c>
      <c r="D4883" s="18">
        <v>2021</v>
      </c>
      <c r="E4883" s="18" t="s">
        <v>33</v>
      </c>
      <c r="F4883" s="18">
        <v>1</v>
      </c>
      <c r="G4883" s="18">
        <v>150</v>
      </c>
      <c r="H4883" s="18">
        <v>1041.7451100000001</v>
      </c>
      <c r="I4883" s="90"/>
      <c r="J4883" s="90"/>
    </row>
    <row r="4884" spans="1:36" s="15" customFormat="1" ht="29.25" hidden="1" customHeight="1" outlineLevel="1" x14ac:dyDescent="0.25">
      <c r="A4884" s="46">
        <v>9455</v>
      </c>
      <c r="B4884" s="4" t="s">
        <v>38</v>
      </c>
      <c r="C4884" s="22" t="s">
        <v>883</v>
      </c>
      <c r="D4884" s="18">
        <v>2021</v>
      </c>
      <c r="E4884" s="18" t="s">
        <v>33</v>
      </c>
      <c r="F4884" s="18">
        <v>1</v>
      </c>
      <c r="G4884" s="18">
        <v>20</v>
      </c>
      <c r="H4884" s="18">
        <v>775.57054000000005</v>
      </c>
      <c r="I4884" s="90"/>
      <c r="J4884" s="90"/>
    </row>
    <row r="4885" spans="1:36" s="15" customFormat="1" ht="29.25" hidden="1" customHeight="1" outlineLevel="1" x14ac:dyDescent="0.25">
      <c r="A4885" s="46">
        <v>9446</v>
      </c>
      <c r="B4885" s="4" t="s">
        <v>38</v>
      </c>
      <c r="C4885" s="22" t="s">
        <v>786</v>
      </c>
      <c r="D4885" s="18">
        <v>2021</v>
      </c>
      <c r="E4885" s="18" t="s">
        <v>33</v>
      </c>
      <c r="F4885" s="18">
        <v>1</v>
      </c>
      <c r="G4885" s="18">
        <v>150</v>
      </c>
      <c r="H4885" s="18">
        <v>671.89430000000004</v>
      </c>
      <c r="I4885" s="90"/>
      <c r="J4885" s="90"/>
    </row>
    <row r="4886" spans="1:36" s="15" customFormat="1" ht="47.25" collapsed="1" x14ac:dyDescent="0.25">
      <c r="A4886" s="187"/>
      <c r="B4886" s="72" t="s">
        <v>38</v>
      </c>
      <c r="C4886" s="73" t="s">
        <v>2118</v>
      </c>
      <c r="D4886" s="71"/>
      <c r="E4886" s="72" t="s">
        <v>31</v>
      </c>
      <c r="F4886" s="71"/>
      <c r="G4886" s="71"/>
      <c r="H4886" s="71"/>
      <c r="I4886" s="231"/>
      <c r="J4886" s="231"/>
    </row>
    <row r="4887" spans="1:36" s="16" customFormat="1" ht="16.5" customHeight="1" x14ac:dyDescent="0.25">
      <c r="A4887" s="188"/>
      <c r="B4887" s="11" t="s">
        <v>38</v>
      </c>
      <c r="C4887" s="12" t="s">
        <v>57</v>
      </c>
      <c r="D4887" s="20">
        <v>2021</v>
      </c>
      <c r="E4887" s="20" t="s">
        <v>31</v>
      </c>
      <c r="F4887" s="11">
        <f>SUMIF($D$4890:$D$4912,$D$4887,$F$4890:$F$4912)</f>
        <v>7</v>
      </c>
      <c r="G4887" s="11">
        <f>SUMIF($D$4890:$D$4912,$D$4887,$G$4890:$G$4912)</f>
        <v>760.75</v>
      </c>
      <c r="H4887" s="14">
        <f>SUMIF($D$4890:$D$4912,$D$4887,$H$4890:$H$4912)</f>
        <v>4730.2398700000003</v>
      </c>
      <c r="I4887" s="220"/>
      <c r="J4887" s="5"/>
      <c r="K4887" s="5"/>
      <c r="L4887" s="15"/>
      <c r="M4887" s="15"/>
      <c r="N4887" s="15"/>
      <c r="O4887" s="15"/>
      <c r="P4887" s="15"/>
      <c r="Q4887" s="15"/>
      <c r="R4887" s="15"/>
      <c r="S4887" s="15"/>
      <c r="T4887" s="15"/>
      <c r="U4887" s="15"/>
      <c r="V4887" s="15"/>
      <c r="W4887" s="15"/>
      <c r="X4887" s="15"/>
      <c r="Y4887" s="15"/>
      <c r="Z4887" s="15"/>
      <c r="AA4887" s="15"/>
      <c r="AB4887" s="15"/>
      <c r="AC4887" s="15"/>
      <c r="AD4887" s="15"/>
      <c r="AE4887" s="15"/>
      <c r="AF4887" s="15"/>
      <c r="AG4887" s="15"/>
      <c r="AH4887" s="15"/>
      <c r="AI4887" s="15"/>
      <c r="AJ4887" s="15"/>
    </row>
    <row r="4888" spans="1:36" s="27" customFormat="1" ht="16.5" customHeight="1" x14ac:dyDescent="0.25">
      <c r="A4888" s="188"/>
      <c r="B4888" s="11" t="s">
        <v>38</v>
      </c>
      <c r="C4888" s="12" t="s">
        <v>57</v>
      </c>
      <c r="D4888" s="20">
        <v>2022</v>
      </c>
      <c r="E4888" s="20" t="s">
        <v>31</v>
      </c>
      <c r="F4888" s="11">
        <f>SUMIF($D$4890:$D$4912,$D$4888,$F$4890:$F$4912)</f>
        <v>6</v>
      </c>
      <c r="G4888" s="11">
        <f>SUMIF($D$4890:$D$4912,$D$4888,$G$4890:$G$4912)</f>
        <v>870</v>
      </c>
      <c r="H4888" s="14">
        <f>SUMIF($D$4890:$D$4912,$D$4888,$H$4890:$H$4912)</f>
        <v>8498.578379999999</v>
      </c>
      <c r="I4888" s="220"/>
      <c r="J4888" s="220"/>
      <c r="K4888" s="15"/>
      <c r="L4888" s="15"/>
      <c r="M4888" s="15"/>
      <c r="N4888" s="15"/>
      <c r="O4888" s="15"/>
      <c r="P4888" s="15"/>
      <c r="Q4888" s="15"/>
      <c r="R4888" s="15"/>
      <c r="S4888" s="15"/>
      <c r="T4888" s="15"/>
      <c r="U4888" s="15"/>
      <c r="V4888" s="15"/>
      <c r="W4888" s="15"/>
      <c r="X4888" s="15"/>
      <c r="Y4888" s="15"/>
      <c r="Z4888" s="15"/>
      <c r="AA4888" s="15"/>
      <c r="AB4888" s="15"/>
      <c r="AC4888" s="15"/>
      <c r="AD4888" s="15"/>
      <c r="AE4888" s="15"/>
      <c r="AF4888" s="15"/>
      <c r="AG4888" s="15"/>
      <c r="AH4888" s="15"/>
      <c r="AI4888" s="15"/>
      <c r="AJ4888" s="15"/>
    </row>
    <row r="4889" spans="1:36" s="27" customFormat="1" ht="15.75" x14ac:dyDescent="0.25">
      <c r="A4889" s="188"/>
      <c r="B4889" s="11" t="s">
        <v>38</v>
      </c>
      <c r="C4889" s="12" t="s">
        <v>57</v>
      </c>
      <c r="D4889" s="20">
        <v>2023</v>
      </c>
      <c r="E4889" s="20" t="s">
        <v>31</v>
      </c>
      <c r="F4889" s="11">
        <f>SUMIF($D$4890:$D$4912,$D$4889,$F$4890:$F$4912)</f>
        <v>9</v>
      </c>
      <c r="G4889" s="11">
        <f>SUMIF($D$4890:$D$4912,$D$4889,$G$4890:$G$4912)</f>
        <v>1190</v>
      </c>
      <c r="H4889" s="14">
        <f>SUMIF($D$4890:$D$4912,$D$4889,$H$4890:$H$4912)</f>
        <v>8860.7131399999998</v>
      </c>
      <c r="I4889" s="220"/>
      <c r="J4889" s="220"/>
      <c r="K4889" s="15"/>
      <c r="L4889" s="15"/>
      <c r="M4889" s="15"/>
      <c r="N4889" s="15"/>
      <c r="O4889" s="15"/>
      <c r="P4889" s="15"/>
      <c r="Q4889" s="15"/>
      <c r="R4889" s="15"/>
      <c r="S4889" s="15"/>
      <c r="T4889" s="15"/>
      <c r="U4889" s="15"/>
      <c r="V4889" s="15"/>
      <c r="W4889" s="15"/>
      <c r="X4889" s="15"/>
      <c r="Y4889" s="15"/>
      <c r="Z4889" s="15"/>
      <c r="AA4889" s="15"/>
      <c r="AB4889" s="15"/>
      <c r="AC4889" s="15"/>
      <c r="AD4889" s="15"/>
      <c r="AE4889" s="15"/>
      <c r="AF4889" s="15"/>
      <c r="AG4889" s="15"/>
      <c r="AH4889" s="15"/>
      <c r="AI4889" s="15"/>
      <c r="AJ4889" s="15"/>
    </row>
    <row r="4890" spans="1:36" s="15" customFormat="1" ht="15.75" hidden="1" outlineLevel="1" x14ac:dyDescent="0.25">
      <c r="A4890" s="18"/>
      <c r="B4890" s="4"/>
      <c r="C4890" s="22"/>
      <c r="D4890" s="18"/>
      <c r="E4890" s="18"/>
      <c r="F4890" s="18"/>
      <c r="G4890" s="18"/>
      <c r="H4890" s="18"/>
      <c r="I4890" s="90"/>
      <c r="J4890" s="90"/>
    </row>
    <row r="4891" spans="1:36" s="15" customFormat="1" ht="24.75" hidden="1" customHeight="1" outlineLevel="1" x14ac:dyDescent="0.25">
      <c r="A4891" s="18">
        <v>1433</v>
      </c>
      <c r="B4891" s="4" t="s">
        <v>38</v>
      </c>
      <c r="C4891" s="22" t="s">
        <v>2831</v>
      </c>
      <c r="D4891" s="18">
        <v>2022</v>
      </c>
      <c r="E4891" s="18" t="s">
        <v>31</v>
      </c>
      <c r="F4891" s="18">
        <v>1</v>
      </c>
      <c r="G4891" s="18">
        <v>180</v>
      </c>
      <c r="H4891" s="18">
        <v>1027.63564</v>
      </c>
      <c r="I4891" s="90"/>
      <c r="J4891" s="90"/>
    </row>
    <row r="4892" spans="1:36" s="15" customFormat="1" ht="24.75" hidden="1" customHeight="1" outlineLevel="1" x14ac:dyDescent="0.25">
      <c r="A4892" s="18">
        <v>448</v>
      </c>
      <c r="B4892" s="4" t="s">
        <v>38</v>
      </c>
      <c r="C4892" s="22" t="s">
        <v>2387</v>
      </c>
      <c r="D4892" s="18">
        <v>2022</v>
      </c>
      <c r="E4892" s="18" t="s">
        <v>31</v>
      </c>
      <c r="F4892" s="18">
        <v>1</v>
      </c>
      <c r="G4892" s="18">
        <v>150</v>
      </c>
      <c r="H4892" s="18">
        <v>759.83176000000003</v>
      </c>
      <c r="I4892" s="90"/>
      <c r="J4892" s="90"/>
    </row>
    <row r="4893" spans="1:36" s="15" customFormat="1" ht="24.75" hidden="1" customHeight="1" outlineLevel="1" x14ac:dyDescent="0.25">
      <c r="A4893" s="18">
        <v>452</v>
      </c>
      <c r="B4893" s="4" t="s">
        <v>38</v>
      </c>
      <c r="C4893" s="22" t="s">
        <v>2906</v>
      </c>
      <c r="D4893" s="18">
        <v>2022</v>
      </c>
      <c r="E4893" s="18" t="s">
        <v>31</v>
      </c>
      <c r="F4893" s="18">
        <v>1</v>
      </c>
      <c r="G4893" s="18">
        <v>150</v>
      </c>
      <c r="H4893" s="18">
        <v>629.54777999999999</v>
      </c>
      <c r="I4893" s="90"/>
      <c r="J4893" s="90"/>
    </row>
    <row r="4894" spans="1:36" s="15" customFormat="1" ht="24.75" hidden="1" customHeight="1" outlineLevel="1" x14ac:dyDescent="0.25">
      <c r="A4894" s="18">
        <v>454</v>
      </c>
      <c r="B4894" s="4" t="s">
        <v>38</v>
      </c>
      <c r="C4894" s="22" t="s">
        <v>2905</v>
      </c>
      <c r="D4894" s="18">
        <v>2022</v>
      </c>
      <c r="E4894" s="18" t="s">
        <v>31</v>
      </c>
      <c r="F4894" s="18">
        <v>1</v>
      </c>
      <c r="G4894" s="18">
        <v>150</v>
      </c>
      <c r="H4894" s="18">
        <v>690.56320000000005</v>
      </c>
      <c r="I4894" s="90"/>
      <c r="J4894" s="90"/>
    </row>
    <row r="4895" spans="1:36" s="15" customFormat="1" ht="24.75" hidden="1" customHeight="1" outlineLevel="1" x14ac:dyDescent="0.25">
      <c r="A4895" s="18">
        <v>329</v>
      </c>
      <c r="B4895" s="4" t="s">
        <v>38</v>
      </c>
      <c r="C4895" s="22" t="s">
        <v>3122</v>
      </c>
      <c r="D4895" s="18">
        <v>2022</v>
      </c>
      <c r="E4895" s="18" t="s">
        <v>31</v>
      </c>
      <c r="F4895" s="18">
        <v>1</v>
      </c>
      <c r="G4895" s="18">
        <v>90</v>
      </c>
      <c r="H4895" s="18">
        <v>3265</v>
      </c>
      <c r="I4895" s="90"/>
      <c r="J4895" s="90"/>
    </row>
    <row r="4896" spans="1:36" s="15" customFormat="1" ht="24.75" hidden="1" customHeight="1" outlineLevel="1" x14ac:dyDescent="0.25">
      <c r="A4896" s="18">
        <v>422</v>
      </c>
      <c r="B4896" s="4" t="s">
        <v>38</v>
      </c>
      <c r="C4896" s="22" t="s">
        <v>3125</v>
      </c>
      <c r="D4896" s="18">
        <v>2022</v>
      </c>
      <c r="E4896" s="18" t="s">
        <v>31</v>
      </c>
      <c r="F4896" s="18">
        <v>1</v>
      </c>
      <c r="G4896" s="18">
        <v>150</v>
      </c>
      <c r="H4896" s="18">
        <v>2126</v>
      </c>
      <c r="I4896" s="90"/>
      <c r="J4896" s="90"/>
    </row>
    <row r="4897" spans="1:10" s="15" customFormat="1" ht="24.75" hidden="1" customHeight="1" outlineLevel="1" x14ac:dyDescent="0.25">
      <c r="A4897" s="133">
        <v>3032</v>
      </c>
      <c r="B4897" s="134" t="s">
        <v>38</v>
      </c>
      <c r="C4897" s="135" t="s">
        <v>9018</v>
      </c>
      <c r="D4897" s="133">
        <v>2023</v>
      </c>
      <c r="E4897" s="133" t="s">
        <v>31</v>
      </c>
      <c r="F4897" s="134">
        <v>1</v>
      </c>
      <c r="G4897" s="134">
        <v>150</v>
      </c>
      <c r="H4897" s="41">
        <v>1275.9799999999998</v>
      </c>
      <c r="I4897" s="221"/>
      <c r="J4897" s="221"/>
    </row>
    <row r="4898" spans="1:10" s="15" customFormat="1" ht="24.75" hidden="1" customHeight="1" outlineLevel="1" x14ac:dyDescent="0.25">
      <c r="A4898" s="133">
        <v>2818</v>
      </c>
      <c r="B4898" s="134" t="s">
        <v>38</v>
      </c>
      <c r="C4898" s="135" t="s">
        <v>9048</v>
      </c>
      <c r="D4898" s="133">
        <v>2023</v>
      </c>
      <c r="E4898" s="133" t="s">
        <v>31</v>
      </c>
      <c r="F4898" s="134">
        <v>1</v>
      </c>
      <c r="G4898" s="134">
        <v>240</v>
      </c>
      <c r="H4898" s="41">
        <v>1650.8753400000001</v>
      </c>
      <c r="I4898" s="221"/>
      <c r="J4898" s="221"/>
    </row>
    <row r="4899" spans="1:10" s="15" customFormat="1" ht="24.75" hidden="1" customHeight="1" outlineLevel="1" x14ac:dyDescent="0.25">
      <c r="A4899" s="133">
        <v>3035</v>
      </c>
      <c r="B4899" s="134" t="s">
        <v>38</v>
      </c>
      <c r="C4899" s="135" t="s">
        <v>9051</v>
      </c>
      <c r="D4899" s="133">
        <v>2023</v>
      </c>
      <c r="E4899" s="133" t="s">
        <v>31</v>
      </c>
      <c r="F4899" s="134">
        <v>1</v>
      </c>
      <c r="G4899" s="134">
        <v>120</v>
      </c>
      <c r="H4899" s="41">
        <v>1108.7998299999999</v>
      </c>
      <c r="I4899" s="221"/>
      <c r="J4899" s="221"/>
    </row>
    <row r="4900" spans="1:10" s="15" customFormat="1" ht="24.75" hidden="1" customHeight="1" outlineLevel="1" x14ac:dyDescent="0.25">
      <c r="A4900" s="133">
        <v>3080</v>
      </c>
      <c r="B4900" s="134" t="s">
        <v>38</v>
      </c>
      <c r="C4900" s="135" t="s">
        <v>9055</v>
      </c>
      <c r="D4900" s="133">
        <v>2023</v>
      </c>
      <c r="E4900" s="133" t="s">
        <v>31</v>
      </c>
      <c r="F4900" s="134">
        <v>1</v>
      </c>
      <c r="G4900" s="134">
        <v>130</v>
      </c>
      <c r="H4900" s="41">
        <v>1127.80898</v>
      </c>
      <c r="I4900" s="221"/>
      <c r="J4900" s="221"/>
    </row>
    <row r="4901" spans="1:10" s="15" customFormat="1" ht="24.75" hidden="1" customHeight="1" outlineLevel="1" x14ac:dyDescent="0.25">
      <c r="A4901" s="133">
        <v>4236</v>
      </c>
      <c r="B4901" s="134" t="s">
        <v>38</v>
      </c>
      <c r="C4901" s="135" t="s">
        <v>9131</v>
      </c>
      <c r="D4901" s="133">
        <v>2023</v>
      </c>
      <c r="E4901" s="133" t="s">
        <v>31</v>
      </c>
      <c r="F4901" s="134">
        <v>1</v>
      </c>
      <c r="G4901" s="134">
        <v>135</v>
      </c>
      <c r="H4901" s="41">
        <v>805.51170999999999</v>
      </c>
      <c r="I4901" s="221"/>
      <c r="J4901" s="221"/>
    </row>
    <row r="4902" spans="1:10" s="15" customFormat="1" ht="24.75" hidden="1" customHeight="1" outlineLevel="1" x14ac:dyDescent="0.25">
      <c r="A4902" s="133">
        <v>3374</v>
      </c>
      <c r="B4902" s="134" t="s">
        <v>38</v>
      </c>
      <c r="C4902" s="135" t="s">
        <v>9132</v>
      </c>
      <c r="D4902" s="133">
        <v>2023</v>
      </c>
      <c r="E4902" s="133" t="s">
        <v>31</v>
      </c>
      <c r="F4902" s="134">
        <v>1</v>
      </c>
      <c r="G4902" s="134">
        <v>150</v>
      </c>
      <c r="H4902" s="41">
        <v>777.70587999999998</v>
      </c>
      <c r="I4902" s="221"/>
      <c r="J4902" s="221"/>
    </row>
    <row r="4903" spans="1:10" s="15" customFormat="1" ht="24.75" hidden="1" customHeight="1" outlineLevel="1" x14ac:dyDescent="0.25">
      <c r="A4903" s="133">
        <v>21</v>
      </c>
      <c r="B4903" s="134" t="s">
        <v>38</v>
      </c>
      <c r="C4903" s="135" t="s">
        <v>9146</v>
      </c>
      <c r="D4903" s="133">
        <v>2023</v>
      </c>
      <c r="E4903" s="133" t="s">
        <v>31</v>
      </c>
      <c r="F4903" s="134">
        <v>1</v>
      </c>
      <c r="G4903" s="134">
        <v>160</v>
      </c>
      <c r="H4903" s="41">
        <v>773.03140000000008</v>
      </c>
      <c r="I4903" s="221"/>
      <c r="J4903" s="221"/>
    </row>
    <row r="4904" spans="1:10" s="15" customFormat="1" ht="24.75" hidden="1" customHeight="1" outlineLevel="1" x14ac:dyDescent="0.25">
      <c r="A4904" s="133">
        <v>2886</v>
      </c>
      <c r="B4904" s="134" t="s">
        <v>38</v>
      </c>
      <c r="C4904" s="135" t="s">
        <v>8962</v>
      </c>
      <c r="D4904" s="133">
        <v>2023</v>
      </c>
      <c r="E4904" s="133" t="s">
        <v>31</v>
      </c>
      <c r="F4904" s="134">
        <v>1</v>
      </c>
      <c r="G4904" s="134">
        <v>15</v>
      </c>
      <c r="H4904" s="41">
        <v>674</v>
      </c>
      <c r="I4904" s="221"/>
      <c r="J4904" s="221"/>
    </row>
    <row r="4905" spans="1:10" s="15" customFormat="1" ht="24.75" hidden="1" customHeight="1" outlineLevel="1" x14ac:dyDescent="0.25">
      <c r="A4905" s="133">
        <v>819</v>
      </c>
      <c r="B4905" s="134" t="s">
        <v>38</v>
      </c>
      <c r="C4905" s="135" t="s">
        <v>9015</v>
      </c>
      <c r="D4905" s="133">
        <v>2023</v>
      </c>
      <c r="E4905" s="133" t="s">
        <v>31</v>
      </c>
      <c r="F4905" s="134">
        <v>1</v>
      </c>
      <c r="G4905" s="134">
        <v>90</v>
      </c>
      <c r="H4905" s="41">
        <v>667</v>
      </c>
      <c r="I4905" s="221"/>
      <c r="J4905" s="221"/>
    </row>
    <row r="4906" spans="1:10" s="15" customFormat="1" ht="24.75" hidden="1" customHeight="1" outlineLevel="1" x14ac:dyDescent="0.25">
      <c r="A4906" s="45">
        <v>1304</v>
      </c>
      <c r="B4906" s="4" t="s">
        <v>38</v>
      </c>
      <c r="C4906" s="22" t="s">
        <v>719</v>
      </c>
      <c r="D4906" s="18">
        <v>2021</v>
      </c>
      <c r="E4906" s="18"/>
      <c r="F4906" s="18">
        <v>1</v>
      </c>
      <c r="G4906" s="18">
        <v>150</v>
      </c>
      <c r="H4906" s="18">
        <v>636</v>
      </c>
      <c r="I4906" s="90"/>
      <c r="J4906" s="90"/>
    </row>
    <row r="4907" spans="1:10" s="15" customFormat="1" ht="24.75" hidden="1" customHeight="1" outlineLevel="1" x14ac:dyDescent="0.25">
      <c r="A4907" s="45">
        <v>3838</v>
      </c>
      <c r="B4907" s="4" t="s">
        <v>38</v>
      </c>
      <c r="C4907" s="22" t="s">
        <v>720</v>
      </c>
      <c r="D4907" s="18">
        <v>2021</v>
      </c>
      <c r="E4907" s="18"/>
      <c r="F4907" s="18">
        <v>1</v>
      </c>
      <c r="G4907" s="18">
        <v>60.75</v>
      </c>
      <c r="H4907" s="18">
        <v>592</v>
      </c>
      <c r="I4907" s="90"/>
      <c r="J4907" s="90"/>
    </row>
    <row r="4908" spans="1:10" s="15" customFormat="1" ht="24.75" hidden="1" customHeight="1" outlineLevel="1" x14ac:dyDescent="0.25">
      <c r="A4908" s="45">
        <v>157</v>
      </c>
      <c r="B4908" s="4" t="s">
        <v>38</v>
      </c>
      <c r="C4908" s="22" t="s">
        <v>930</v>
      </c>
      <c r="D4908" s="18">
        <v>2021</v>
      </c>
      <c r="E4908" s="18"/>
      <c r="F4908" s="18">
        <v>1</v>
      </c>
      <c r="G4908" s="18">
        <v>15</v>
      </c>
      <c r="H4908" s="18">
        <v>935</v>
      </c>
      <c r="I4908" s="90"/>
      <c r="J4908" s="90"/>
    </row>
    <row r="4909" spans="1:10" s="15" customFormat="1" ht="24.75" hidden="1" customHeight="1" outlineLevel="1" x14ac:dyDescent="0.25">
      <c r="A4909" s="45">
        <v>1190</v>
      </c>
      <c r="B4909" s="4" t="s">
        <v>38</v>
      </c>
      <c r="C4909" s="22" t="s">
        <v>207</v>
      </c>
      <c r="D4909" s="18">
        <v>2021</v>
      </c>
      <c r="E4909" s="18"/>
      <c r="F4909" s="18">
        <v>1</v>
      </c>
      <c r="G4909" s="18">
        <v>150</v>
      </c>
      <c r="H4909" s="18">
        <v>552.60487000000001</v>
      </c>
      <c r="I4909" s="90"/>
      <c r="J4909" s="90"/>
    </row>
    <row r="4910" spans="1:10" s="15" customFormat="1" ht="24.75" hidden="1" customHeight="1" outlineLevel="1" x14ac:dyDescent="0.25">
      <c r="A4910" s="45">
        <v>3802</v>
      </c>
      <c r="B4910" s="4" t="s">
        <v>38</v>
      </c>
      <c r="C4910" s="22" t="s">
        <v>233</v>
      </c>
      <c r="D4910" s="18">
        <v>2021</v>
      </c>
      <c r="E4910" s="18"/>
      <c r="F4910" s="18">
        <v>1</v>
      </c>
      <c r="G4910" s="18">
        <v>135</v>
      </c>
      <c r="H4910" s="18">
        <v>618.51400000000001</v>
      </c>
      <c r="I4910" s="90"/>
      <c r="J4910" s="90"/>
    </row>
    <row r="4911" spans="1:10" s="15" customFormat="1" ht="24.75" hidden="1" customHeight="1" outlineLevel="1" x14ac:dyDescent="0.25">
      <c r="A4911" s="45">
        <v>1181</v>
      </c>
      <c r="B4911" s="4" t="s">
        <v>38</v>
      </c>
      <c r="C4911" s="22" t="s">
        <v>246</v>
      </c>
      <c r="D4911" s="18">
        <v>2021</v>
      </c>
      <c r="E4911" s="18"/>
      <c r="F4911" s="18">
        <v>1</v>
      </c>
      <c r="G4911" s="18">
        <v>100</v>
      </c>
      <c r="H4911" s="18">
        <v>628.12099999999998</v>
      </c>
      <c r="I4911" s="90"/>
      <c r="J4911" s="90"/>
    </row>
    <row r="4912" spans="1:10" s="15" customFormat="1" ht="24.75" hidden="1" customHeight="1" outlineLevel="1" x14ac:dyDescent="0.25">
      <c r="A4912" s="46">
        <v>9671</v>
      </c>
      <c r="B4912" s="4" t="s">
        <v>38</v>
      </c>
      <c r="C4912" s="22" t="s">
        <v>743</v>
      </c>
      <c r="D4912" s="18">
        <v>2021</v>
      </c>
      <c r="E4912" s="18"/>
      <c r="F4912" s="18">
        <v>1</v>
      </c>
      <c r="G4912" s="18">
        <v>150</v>
      </c>
      <c r="H4912" s="18">
        <v>768</v>
      </c>
      <c r="I4912" s="90"/>
      <c r="J4912" s="90"/>
    </row>
    <row r="4913" spans="1:36" s="15" customFormat="1" ht="31.5" collapsed="1" x14ac:dyDescent="0.25">
      <c r="A4913" s="18"/>
      <c r="B4913" s="60" t="s">
        <v>39</v>
      </c>
      <c r="C4913" s="74" t="s">
        <v>2119</v>
      </c>
      <c r="D4913" s="67"/>
      <c r="E4913" s="68" t="s">
        <v>33</v>
      </c>
      <c r="F4913" s="67"/>
      <c r="G4913" s="67"/>
      <c r="H4913" s="67"/>
      <c r="I4913" s="232"/>
      <c r="J4913" s="232"/>
    </row>
    <row r="4914" spans="1:36" s="16" customFormat="1" ht="16.5" customHeight="1" x14ac:dyDescent="0.25">
      <c r="A4914" s="18"/>
      <c r="B4914" s="7" t="s">
        <v>39</v>
      </c>
      <c r="C4914" s="8" t="s">
        <v>57</v>
      </c>
      <c r="D4914" s="19">
        <v>2021</v>
      </c>
      <c r="E4914" s="19" t="s">
        <v>33</v>
      </c>
      <c r="F4914" s="7">
        <f>SUMIF($D$4917:$D$4918,$D$4914,$F$4917:$F$4918)</f>
        <v>0</v>
      </c>
      <c r="G4914" s="7">
        <f>SUMIF($D$4917:$D$4918,$D$4914,$G$4917:$G$4918)</f>
        <v>0</v>
      </c>
      <c r="H4914" s="7">
        <f>SUMIF($D$4917:$D$4918,$D$4914,$H$4917:$H$4918)</f>
        <v>0</v>
      </c>
      <c r="I4914" s="233"/>
      <c r="J4914" s="5"/>
      <c r="K4914" s="5"/>
      <c r="L4914" s="15"/>
      <c r="M4914" s="15"/>
      <c r="N4914" s="15"/>
      <c r="O4914" s="15"/>
      <c r="P4914" s="15"/>
      <c r="Q4914" s="15"/>
      <c r="R4914" s="15"/>
      <c r="S4914" s="15"/>
      <c r="T4914" s="15"/>
      <c r="U4914" s="15"/>
      <c r="V4914" s="15"/>
      <c r="W4914" s="15"/>
      <c r="X4914" s="15"/>
      <c r="Y4914" s="15"/>
      <c r="Z4914" s="15"/>
      <c r="AA4914" s="15"/>
      <c r="AB4914" s="15"/>
      <c r="AC4914" s="15"/>
      <c r="AD4914" s="15"/>
      <c r="AE4914" s="15"/>
      <c r="AF4914" s="15"/>
      <c r="AG4914" s="15"/>
      <c r="AH4914" s="15"/>
      <c r="AI4914" s="15"/>
      <c r="AJ4914" s="15"/>
    </row>
    <row r="4915" spans="1:36" s="27" customFormat="1" ht="16.5" customHeight="1" x14ac:dyDescent="0.25">
      <c r="A4915" s="18"/>
      <c r="B4915" s="7" t="s">
        <v>39</v>
      </c>
      <c r="C4915" s="8" t="s">
        <v>57</v>
      </c>
      <c r="D4915" s="19">
        <v>2022</v>
      </c>
      <c r="E4915" s="19" t="s">
        <v>33</v>
      </c>
      <c r="F4915" s="7">
        <f>SUMIF($D$4917:$D$4918,$D$4915,$F$4917:$F$4918)</f>
        <v>1</v>
      </c>
      <c r="G4915" s="7">
        <f>SUMIF($D$4917:$D$4918,$D$4915,$G$4917:$G$4918)</f>
        <v>150</v>
      </c>
      <c r="H4915" s="7">
        <f>SUMIF($D$4917:$D$4918,$D$4915,$H$4917:$H$4918)</f>
        <v>949</v>
      </c>
      <c r="I4915" s="233"/>
      <c r="J4915" s="233"/>
      <c r="K4915" s="15"/>
      <c r="L4915" s="15"/>
      <c r="M4915" s="15"/>
      <c r="N4915" s="15"/>
      <c r="O4915" s="15"/>
      <c r="P4915" s="15"/>
      <c r="Q4915" s="15"/>
      <c r="R4915" s="15"/>
      <c r="S4915" s="15"/>
      <c r="T4915" s="15"/>
      <c r="U4915" s="15"/>
      <c r="V4915" s="15"/>
      <c r="W4915" s="15"/>
      <c r="X4915" s="15"/>
      <c r="Y4915" s="15"/>
      <c r="Z4915" s="15"/>
      <c r="AA4915" s="15"/>
      <c r="AB4915" s="15"/>
      <c r="AC4915" s="15"/>
      <c r="AD4915" s="15"/>
      <c r="AE4915" s="15"/>
      <c r="AF4915" s="15"/>
      <c r="AG4915" s="15"/>
      <c r="AH4915" s="15"/>
      <c r="AI4915" s="15"/>
      <c r="AJ4915" s="15"/>
    </row>
    <row r="4916" spans="1:36" s="27" customFormat="1" ht="15.75" x14ac:dyDescent="0.25">
      <c r="A4916" s="18"/>
      <c r="B4916" s="7" t="s">
        <v>39</v>
      </c>
      <c r="C4916" s="8" t="s">
        <v>57</v>
      </c>
      <c r="D4916" s="19">
        <v>2023</v>
      </c>
      <c r="E4916" s="19" t="s">
        <v>33</v>
      </c>
      <c r="F4916" s="7">
        <f>SUMIF($D$4917:$D$4918,$D$4916,$F$4917:$F$4918)</f>
        <v>0</v>
      </c>
      <c r="G4916" s="7">
        <f>SUMIF($D$4917:$D$4918,$D$4916,$G$4917:$G$4918)</f>
        <v>0</v>
      </c>
      <c r="H4916" s="7">
        <f>SUMIF($D$4917:$D$4918,$D$4916,$H$4917:$H$4918)</f>
        <v>0</v>
      </c>
      <c r="I4916" s="233"/>
      <c r="J4916" s="233"/>
      <c r="K4916" s="15"/>
      <c r="L4916" s="15"/>
      <c r="M4916" s="15"/>
      <c r="N4916" s="15"/>
      <c r="O4916" s="15"/>
      <c r="P4916" s="15"/>
      <c r="Q4916" s="15"/>
      <c r="R4916" s="15"/>
      <c r="S4916" s="15"/>
      <c r="T4916" s="15"/>
      <c r="U4916" s="15"/>
      <c r="V4916" s="15"/>
      <c r="W4916" s="15"/>
      <c r="X4916" s="15"/>
      <c r="Y4916" s="15"/>
      <c r="Z4916" s="15"/>
      <c r="AA4916" s="15"/>
      <c r="AB4916" s="15"/>
      <c r="AC4916" s="15"/>
      <c r="AD4916" s="15"/>
      <c r="AE4916" s="15"/>
      <c r="AF4916" s="15"/>
      <c r="AG4916" s="15"/>
      <c r="AH4916" s="15"/>
      <c r="AI4916" s="15"/>
      <c r="AJ4916" s="15"/>
    </row>
    <row r="4917" spans="1:36" s="15" customFormat="1" ht="16.5" hidden="1" customHeight="1" outlineLevel="1" x14ac:dyDescent="0.25">
      <c r="A4917" s="18">
        <v>153</v>
      </c>
      <c r="B4917" s="4" t="s">
        <v>39</v>
      </c>
      <c r="C4917" s="38" t="s">
        <v>2862</v>
      </c>
      <c r="D4917" s="18">
        <v>2022</v>
      </c>
      <c r="E4917" s="18" t="s">
        <v>33</v>
      </c>
      <c r="F4917" s="4">
        <v>1</v>
      </c>
      <c r="G4917" s="4">
        <v>150</v>
      </c>
      <c r="H4917" s="4">
        <v>949</v>
      </c>
      <c r="I4917" s="201"/>
      <c r="J4917" s="201"/>
    </row>
    <row r="4918" spans="1:36" s="15" customFormat="1" ht="15.75" hidden="1" outlineLevel="1" x14ac:dyDescent="0.25">
      <c r="A4918" s="18"/>
      <c r="B4918" s="4" t="s">
        <v>39</v>
      </c>
      <c r="C4918" s="22"/>
      <c r="D4918" s="18">
        <v>2021</v>
      </c>
      <c r="E4918" s="18" t="s">
        <v>33</v>
      </c>
      <c r="F4918" s="4"/>
      <c r="G4918" s="4"/>
      <c r="H4918" s="4"/>
      <c r="I4918" s="201"/>
      <c r="J4918" s="201"/>
    </row>
    <row r="4919" spans="1:36" s="15" customFormat="1" ht="47.25" collapsed="1" x14ac:dyDescent="0.25">
      <c r="A4919" s="18"/>
      <c r="B4919" s="72" t="s">
        <v>40</v>
      </c>
      <c r="C4919" s="73" t="s">
        <v>2120</v>
      </c>
      <c r="D4919" s="71"/>
      <c r="E4919" s="76" t="s">
        <v>33</v>
      </c>
      <c r="F4919" s="72"/>
      <c r="G4919" s="72"/>
      <c r="H4919" s="72"/>
      <c r="I4919" s="218"/>
      <c r="J4919" s="218"/>
    </row>
    <row r="4920" spans="1:36" s="16" customFormat="1" ht="16.5" customHeight="1" x14ac:dyDescent="0.25">
      <c r="A4920" s="18"/>
      <c r="B4920" s="11" t="s">
        <v>40</v>
      </c>
      <c r="C4920" s="12" t="s">
        <v>57</v>
      </c>
      <c r="D4920" s="20">
        <v>2021</v>
      </c>
      <c r="E4920" s="20" t="s">
        <v>33</v>
      </c>
      <c r="F4920" s="11">
        <f>SUMIF($D$4923:$D$4926,$D$4920,$F$4923:$F$4926)</f>
        <v>0</v>
      </c>
      <c r="G4920" s="11">
        <f>SUMIF($D$4923:$D$4926,$D$4920,$G$4923:$G$4926)</f>
        <v>0</v>
      </c>
      <c r="H4920" s="14">
        <f>SUMIF($D$4923:$D$4926,$D$4920,$H$4923:$H$4926)</f>
        <v>0</v>
      </c>
      <c r="I4920" s="220"/>
      <c r="J4920" s="5"/>
      <c r="K4920" s="5"/>
      <c r="L4920" s="15"/>
      <c r="M4920" s="15"/>
      <c r="N4920" s="15"/>
      <c r="O4920" s="15"/>
      <c r="P4920" s="15"/>
      <c r="Q4920" s="15"/>
      <c r="R4920" s="15"/>
      <c r="S4920" s="15"/>
      <c r="T4920" s="15"/>
      <c r="U4920" s="15"/>
      <c r="V4920" s="15"/>
      <c r="W4920" s="15"/>
      <c r="X4920" s="15"/>
      <c r="Y4920" s="15"/>
      <c r="Z4920" s="15"/>
      <c r="AA4920" s="15"/>
      <c r="AB4920" s="15"/>
      <c r="AC4920" s="15"/>
      <c r="AD4920" s="15"/>
      <c r="AE4920" s="15"/>
      <c r="AF4920" s="15"/>
      <c r="AG4920" s="15"/>
      <c r="AH4920" s="15"/>
      <c r="AI4920" s="15"/>
      <c r="AJ4920" s="15"/>
    </row>
    <row r="4921" spans="1:36" s="27" customFormat="1" ht="16.5" customHeight="1" x14ac:dyDescent="0.25">
      <c r="A4921" s="18"/>
      <c r="B4921" s="11" t="s">
        <v>40</v>
      </c>
      <c r="C4921" s="12" t="s">
        <v>57</v>
      </c>
      <c r="D4921" s="20">
        <v>2022</v>
      </c>
      <c r="E4921" s="20" t="s">
        <v>33</v>
      </c>
      <c r="F4921" s="11">
        <f>SUMIF($D$4923:$D$4926,$D$4921,$F$4923:$F$4926)</f>
        <v>4</v>
      </c>
      <c r="G4921" s="11">
        <f>SUMIF($D$4923:$D$4926,$D$4921,$G$4923:$G$4926)</f>
        <v>1060</v>
      </c>
      <c r="H4921" s="14">
        <f>SUMIF($D$4923:$D$4926,$D$4921,$H$4923:$H$4926)</f>
        <v>5178.7139999999999</v>
      </c>
      <c r="I4921" s="220"/>
      <c r="J4921" s="220"/>
      <c r="K4921" s="15"/>
      <c r="L4921" s="15"/>
      <c r="M4921" s="15"/>
      <c r="N4921" s="15"/>
      <c r="O4921" s="15"/>
      <c r="P4921" s="15"/>
      <c r="Q4921" s="15"/>
      <c r="R4921" s="15"/>
      <c r="S4921" s="15"/>
      <c r="T4921" s="15"/>
      <c r="U4921" s="15"/>
      <c r="V4921" s="15"/>
      <c r="W4921" s="15"/>
      <c r="X4921" s="15"/>
      <c r="Y4921" s="15"/>
      <c r="Z4921" s="15"/>
      <c r="AA4921" s="15"/>
      <c r="AB4921" s="15"/>
      <c r="AC4921" s="15"/>
      <c r="AD4921" s="15"/>
      <c r="AE4921" s="15"/>
      <c r="AF4921" s="15"/>
      <c r="AG4921" s="15"/>
      <c r="AH4921" s="15"/>
      <c r="AI4921" s="15"/>
      <c r="AJ4921" s="15"/>
    </row>
    <row r="4922" spans="1:36" s="27" customFormat="1" ht="15.75" x14ac:dyDescent="0.25">
      <c r="A4922" s="18"/>
      <c r="B4922" s="11" t="s">
        <v>40</v>
      </c>
      <c r="C4922" s="12" t="s">
        <v>2811</v>
      </c>
      <c r="D4922" s="20">
        <v>2023</v>
      </c>
      <c r="E4922" s="20" t="s">
        <v>33</v>
      </c>
      <c r="F4922" s="11">
        <f>SUMIF($D$4923:$D$4926,$D$4922,$F$4923:$F$4926)</f>
        <v>0</v>
      </c>
      <c r="G4922" s="11">
        <f>SUMIF($D$4923:$D$4926,$D$4922,$G$4923:$G$4926)</f>
        <v>0</v>
      </c>
      <c r="H4922" s="14">
        <f>SUMIF($D$4923:$D$4926,$D$4922,$H$4923:$H$4926)</f>
        <v>0</v>
      </c>
      <c r="I4922" s="220"/>
      <c r="J4922" s="220"/>
      <c r="K4922" s="15"/>
      <c r="L4922" s="15"/>
      <c r="M4922" s="15"/>
      <c r="N4922" s="15"/>
      <c r="O4922" s="15"/>
      <c r="P4922" s="15"/>
      <c r="Q4922" s="15"/>
      <c r="R4922" s="15"/>
      <c r="S4922" s="15"/>
      <c r="T4922" s="15"/>
      <c r="U4922" s="15"/>
      <c r="V4922" s="15"/>
      <c r="W4922" s="15"/>
      <c r="X4922" s="15"/>
      <c r="Y4922" s="15"/>
      <c r="Z4922" s="15"/>
      <c r="AA4922" s="15"/>
      <c r="AB4922" s="15"/>
      <c r="AC4922" s="15"/>
      <c r="AD4922" s="15"/>
      <c r="AE4922" s="15"/>
      <c r="AF4922" s="15"/>
      <c r="AG4922" s="15"/>
      <c r="AH4922" s="15"/>
      <c r="AI4922" s="15"/>
      <c r="AJ4922" s="15"/>
    </row>
    <row r="4923" spans="1:36" s="15" customFormat="1" ht="173.25" hidden="1" outlineLevel="1" x14ac:dyDescent="0.25">
      <c r="A4923" s="18">
        <v>2410</v>
      </c>
      <c r="B4923" s="4" t="s">
        <v>40</v>
      </c>
      <c r="C4923" s="38" t="s">
        <v>3091</v>
      </c>
      <c r="D4923" s="18">
        <v>2022</v>
      </c>
      <c r="E4923" s="18" t="s">
        <v>33</v>
      </c>
      <c r="F4923" s="4">
        <v>2</v>
      </c>
      <c r="G4923" s="4">
        <v>600</v>
      </c>
      <c r="H4923" s="41">
        <v>2349.7139999999999</v>
      </c>
      <c r="I4923" s="221"/>
      <c r="J4923" s="221"/>
    </row>
    <row r="4924" spans="1:36" s="15" customFormat="1" ht="63" hidden="1" outlineLevel="1" x14ac:dyDescent="0.25">
      <c r="A4924" s="18">
        <v>400</v>
      </c>
      <c r="B4924" s="4" t="s">
        <v>40</v>
      </c>
      <c r="C4924" s="38" t="s">
        <v>2868</v>
      </c>
      <c r="D4924" s="18">
        <v>2022</v>
      </c>
      <c r="E4924" s="18" t="s">
        <v>33</v>
      </c>
      <c r="F4924" s="4">
        <v>1</v>
      </c>
      <c r="G4924" s="4">
        <v>300</v>
      </c>
      <c r="H4924" s="41">
        <v>1015</v>
      </c>
      <c r="I4924" s="221"/>
      <c r="J4924" s="221"/>
    </row>
    <row r="4925" spans="1:36" s="15" customFormat="1" ht="78.75" hidden="1" outlineLevel="1" x14ac:dyDescent="0.25">
      <c r="A4925" s="18">
        <v>430</v>
      </c>
      <c r="B4925" s="4" t="s">
        <v>40</v>
      </c>
      <c r="C4925" s="38" t="s">
        <v>2718</v>
      </c>
      <c r="D4925" s="18">
        <v>2022</v>
      </c>
      <c r="E4925" s="18" t="s">
        <v>33</v>
      </c>
      <c r="F4925" s="4">
        <v>1</v>
      </c>
      <c r="G4925" s="4">
        <v>160</v>
      </c>
      <c r="H4925" s="41">
        <v>1814</v>
      </c>
      <c r="I4925" s="221"/>
      <c r="J4925" s="221"/>
    </row>
    <row r="4926" spans="1:36" s="15" customFormat="1" ht="15.75" hidden="1" outlineLevel="1" x14ac:dyDescent="0.25">
      <c r="A4926" s="18"/>
      <c r="B4926" s="4" t="s">
        <v>40</v>
      </c>
      <c r="C4926" s="22"/>
      <c r="D4926" s="18">
        <v>2021</v>
      </c>
      <c r="E4926" s="18" t="s">
        <v>33</v>
      </c>
      <c r="F4926" s="4"/>
      <c r="G4926" s="4"/>
      <c r="H4926" s="4"/>
      <c r="I4926" s="201"/>
      <c r="J4926" s="201"/>
    </row>
    <row r="4927" spans="1:36" s="15" customFormat="1" ht="47.25" collapsed="1" x14ac:dyDescent="0.25">
      <c r="A4927" s="18"/>
      <c r="B4927" s="60" t="s">
        <v>41</v>
      </c>
      <c r="C4927" s="74" t="s">
        <v>2121</v>
      </c>
      <c r="D4927" s="67"/>
      <c r="E4927" s="68" t="s">
        <v>33</v>
      </c>
      <c r="F4927" s="67"/>
      <c r="G4927" s="67"/>
      <c r="H4927" s="67"/>
      <c r="I4927" s="232"/>
      <c r="J4927" s="232"/>
    </row>
    <row r="4928" spans="1:36" s="16" customFormat="1" ht="16.5" customHeight="1" x14ac:dyDescent="0.25">
      <c r="A4928" s="18"/>
      <c r="B4928" s="7" t="s">
        <v>41</v>
      </c>
      <c r="C4928" s="8" t="s">
        <v>57</v>
      </c>
      <c r="D4928" s="19">
        <v>2021</v>
      </c>
      <c r="E4928" s="19" t="s">
        <v>33</v>
      </c>
      <c r="F4928" s="7">
        <f>SUMIF($D$4931:$D$4955,$D$4928,$F$4931:$F$4955)</f>
        <v>13</v>
      </c>
      <c r="G4928" s="10">
        <f>SUMIF($D$4931:$D$4955,$D$4928,$G$4931:$G$4955)</f>
        <v>2535</v>
      </c>
      <c r="H4928" s="10">
        <f>SUMIF($D$4931:$D$4955,$D$4928,$H$4931:$H$4955)</f>
        <v>9415.6177900000002</v>
      </c>
      <c r="I4928" s="205"/>
      <c r="J4928" s="5"/>
      <c r="K4928" s="5"/>
      <c r="L4928" s="15"/>
      <c r="M4928" s="15"/>
      <c r="N4928" s="15"/>
      <c r="O4928" s="15"/>
      <c r="P4928" s="15"/>
      <c r="Q4928" s="15"/>
      <c r="R4928" s="15"/>
      <c r="S4928" s="15"/>
      <c r="T4928" s="15"/>
      <c r="U4928" s="15"/>
      <c r="V4928" s="15"/>
      <c r="W4928" s="15"/>
      <c r="X4928" s="15"/>
      <c r="Y4928" s="15"/>
      <c r="Z4928" s="15"/>
      <c r="AA4928" s="15"/>
      <c r="AB4928" s="15"/>
      <c r="AC4928" s="15"/>
      <c r="AD4928" s="15"/>
      <c r="AE4928" s="15"/>
      <c r="AF4928" s="15"/>
      <c r="AG4928" s="15"/>
      <c r="AH4928" s="15"/>
      <c r="AI4928" s="15"/>
      <c r="AJ4928" s="15"/>
    </row>
    <row r="4929" spans="1:36" s="27" customFormat="1" ht="16.5" customHeight="1" x14ac:dyDescent="0.25">
      <c r="A4929" s="18"/>
      <c r="B4929" s="7" t="s">
        <v>41</v>
      </c>
      <c r="C4929" s="8" t="s">
        <v>57</v>
      </c>
      <c r="D4929" s="19">
        <v>2022</v>
      </c>
      <c r="E4929" s="19" t="s">
        <v>33</v>
      </c>
      <c r="F4929" s="7">
        <f>SUMIF($D$4931:$D$4955,$D$4929,$F$4931:$F$4955)</f>
        <v>10</v>
      </c>
      <c r="G4929" s="7">
        <f>SUMIF($D$4931:$D$4955,$D$4929,$G$4931:$G$4955)</f>
        <v>2157.1999999999998</v>
      </c>
      <c r="H4929" s="10">
        <f>SUMIF($D$4931:$D$4955,$D$4929,$H$4931:$H$4955)</f>
        <v>10386.406790000001</v>
      </c>
      <c r="I4929" s="205"/>
      <c r="J4929" s="205"/>
      <c r="K4929" s="15"/>
      <c r="L4929" s="15"/>
      <c r="M4929" s="15"/>
      <c r="N4929" s="15"/>
      <c r="O4929" s="15"/>
      <c r="P4929" s="15"/>
      <c r="Q4929" s="15"/>
      <c r="R4929" s="15"/>
      <c r="S4929" s="15"/>
      <c r="T4929" s="15"/>
      <c r="U4929" s="15"/>
      <c r="V4929" s="15"/>
      <c r="W4929" s="15"/>
      <c r="X4929" s="15"/>
      <c r="Y4929" s="15"/>
      <c r="Z4929" s="15"/>
      <c r="AA4929" s="15"/>
      <c r="AB4929" s="15"/>
      <c r="AC4929" s="15"/>
      <c r="AD4929" s="15"/>
      <c r="AE4929" s="15"/>
      <c r="AF4929" s="15"/>
      <c r="AG4929" s="15"/>
      <c r="AH4929" s="15"/>
      <c r="AI4929" s="15"/>
      <c r="AJ4929" s="15"/>
    </row>
    <row r="4930" spans="1:36" s="27" customFormat="1" ht="15.75" x14ac:dyDescent="0.25">
      <c r="A4930" s="18"/>
      <c r="B4930" s="7" t="s">
        <v>41</v>
      </c>
      <c r="C4930" s="8" t="s">
        <v>57</v>
      </c>
      <c r="D4930" s="19">
        <v>2023</v>
      </c>
      <c r="E4930" s="19" t="s">
        <v>33</v>
      </c>
      <c r="F4930" s="7">
        <f>SUMIF($D$4931:$D$4955,$D$4930,$F$4931:$F$4955)</f>
        <v>5</v>
      </c>
      <c r="G4930" s="7">
        <f>SUMIF($D$4931:$D$4955,$D$4930,$G$4931:$G$4955)</f>
        <v>1067</v>
      </c>
      <c r="H4930" s="10">
        <f>SUMIF($D$4931:$D$4955,$D$4930,$H$4931:$H$4955)</f>
        <v>9280.8132499999992</v>
      </c>
      <c r="I4930" s="205"/>
      <c r="J4930" s="205"/>
      <c r="K4930" s="15"/>
      <c r="L4930" s="15"/>
      <c r="M4930" s="15"/>
      <c r="N4930" s="15"/>
      <c r="O4930" s="15"/>
      <c r="P4930" s="15"/>
      <c r="Q4930" s="15"/>
      <c r="R4930" s="15"/>
      <c r="S4930" s="15"/>
      <c r="T4930" s="15"/>
      <c r="U4930" s="15"/>
      <c r="V4930" s="15"/>
      <c r="W4930" s="15"/>
      <c r="X4930" s="15"/>
      <c r="Y4930" s="15"/>
      <c r="Z4930" s="15"/>
      <c r="AA4930" s="15"/>
      <c r="AB4930" s="15"/>
      <c r="AC4930" s="15"/>
      <c r="AD4930" s="15"/>
      <c r="AE4930" s="15"/>
      <c r="AF4930" s="15"/>
      <c r="AG4930" s="15"/>
      <c r="AH4930" s="15"/>
      <c r="AI4930" s="15"/>
      <c r="AJ4930" s="15"/>
    </row>
    <row r="4931" spans="1:36" s="15" customFormat="1" ht="26.25" hidden="1" customHeight="1" outlineLevel="1" x14ac:dyDescent="0.25">
      <c r="A4931" s="18">
        <v>2802</v>
      </c>
      <c r="B4931" s="4" t="s">
        <v>41</v>
      </c>
      <c r="C4931" s="22" t="s">
        <v>2881</v>
      </c>
      <c r="D4931" s="18">
        <v>2022</v>
      </c>
      <c r="E4931" s="18" t="s">
        <v>33</v>
      </c>
      <c r="F4931" s="4">
        <v>1</v>
      </c>
      <c r="G4931" s="18">
        <v>300</v>
      </c>
      <c r="H4931" s="4">
        <v>871.971</v>
      </c>
      <c r="I4931" s="201"/>
      <c r="J4931" s="201"/>
    </row>
    <row r="4932" spans="1:36" s="15" customFormat="1" ht="26.25" hidden="1" customHeight="1" outlineLevel="1" x14ac:dyDescent="0.25">
      <c r="A4932" s="18">
        <v>177</v>
      </c>
      <c r="B4932" s="4" t="s">
        <v>41</v>
      </c>
      <c r="C4932" s="22" t="s">
        <v>2670</v>
      </c>
      <c r="D4932" s="18">
        <v>2022</v>
      </c>
      <c r="E4932" s="18"/>
      <c r="F4932" s="4">
        <v>1</v>
      </c>
      <c r="G4932" s="4">
        <v>180</v>
      </c>
      <c r="H4932" s="4">
        <v>404</v>
      </c>
      <c r="I4932" s="201"/>
      <c r="J4932" s="201"/>
    </row>
    <row r="4933" spans="1:36" s="15" customFormat="1" ht="26.25" hidden="1" customHeight="1" outlineLevel="1" x14ac:dyDescent="0.25">
      <c r="A4933" s="18">
        <v>4113</v>
      </c>
      <c r="B4933" s="4" t="s">
        <v>3144</v>
      </c>
      <c r="C4933" s="22" t="s">
        <v>2824</v>
      </c>
      <c r="D4933" s="18">
        <v>2022</v>
      </c>
      <c r="E4933" s="18" t="s">
        <v>33</v>
      </c>
      <c r="F4933" s="4">
        <v>2</v>
      </c>
      <c r="G4933" s="18">
        <v>138</v>
      </c>
      <c r="H4933" s="4">
        <v>1899.7879800000001</v>
      </c>
      <c r="I4933" s="201"/>
      <c r="J4933" s="201"/>
    </row>
    <row r="4934" spans="1:36" s="15" customFormat="1" ht="26.25" hidden="1" customHeight="1" outlineLevel="1" x14ac:dyDescent="0.25">
      <c r="A4934" s="18">
        <v>4117</v>
      </c>
      <c r="B4934" s="4" t="s">
        <v>3145</v>
      </c>
      <c r="C4934" s="22" t="s">
        <v>2888</v>
      </c>
      <c r="D4934" s="18">
        <v>2022</v>
      </c>
      <c r="E4934" s="18" t="s">
        <v>33</v>
      </c>
      <c r="F4934" s="4">
        <v>1</v>
      </c>
      <c r="G4934" s="18">
        <v>300</v>
      </c>
      <c r="H4934" s="4">
        <v>1353.8448100000001</v>
      </c>
      <c r="I4934" s="201"/>
      <c r="J4934" s="201"/>
    </row>
    <row r="4935" spans="1:36" s="15" customFormat="1" ht="26.25" hidden="1" customHeight="1" outlineLevel="1" x14ac:dyDescent="0.25">
      <c r="A4935" s="18">
        <v>2712</v>
      </c>
      <c r="B4935" s="4" t="s">
        <v>3146</v>
      </c>
      <c r="C4935" s="22" t="s">
        <v>2828</v>
      </c>
      <c r="D4935" s="18">
        <v>2022</v>
      </c>
      <c r="E4935" s="18" t="s">
        <v>33</v>
      </c>
      <c r="F4935" s="4">
        <v>1</v>
      </c>
      <c r="G4935" s="18">
        <v>300</v>
      </c>
      <c r="H4935" s="4">
        <v>777.803</v>
      </c>
      <c r="I4935" s="201"/>
      <c r="J4935" s="201"/>
    </row>
    <row r="4936" spans="1:36" s="15" customFormat="1" ht="26.25" hidden="1" customHeight="1" outlineLevel="1" x14ac:dyDescent="0.25">
      <c r="A4936" s="18">
        <v>17</v>
      </c>
      <c r="B4936" s="4" t="s">
        <v>41</v>
      </c>
      <c r="C4936" s="22" t="s">
        <v>2922</v>
      </c>
      <c r="D4936" s="18">
        <v>2022</v>
      </c>
      <c r="E4936" s="18" t="s">
        <v>33</v>
      </c>
      <c r="F4936" s="4">
        <v>1</v>
      </c>
      <c r="G4936" s="18">
        <v>265</v>
      </c>
      <c r="H4936" s="4">
        <v>1040</v>
      </c>
      <c r="I4936" s="201"/>
      <c r="J4936" s="201"/>
    </row>
    <row r="4937" spans="1:36" s="15" customFormat="1" ht="26.25" hidden="1" customHeight="1" outlineLevel="1" x14ac:dyDescent="0.25">
      <c r="A4937" s="18">
        <v>431</v>
      </c>
      <c r="B4937" s="4" t="s">
        <v>41</v>
      </c>
      <c r="C4937" s="22" t="s">
        <v>2870</v>
      </c>
      <c r="D4937" s="18">
        <v>2022</v>
      </c>
      <c r="E4937" s="18" t="s">
        <v>33</v>
      </c>
      <c r="F4937" s="4">
        <v>1</v>
      </c>
      <c r="G4937" s="18">
        <v>405</v>
      </c>
      <c r="H4937" s="4">
        <v>1539</v>
      </c>
      <c r="I4937" s="201"/>
      <c r="J4937" s="201"/>
    </row>
    <row r="4938" spans="1:36" s="15" customFormat="1" ht="26.25" hidden="1" customHeight="1" outlineLevel="1" x14ac:dyDescent="0.25">
      <c r="A4938" s="18">
        <v>5056</v>
      </c>
      <c r="B4938" s="4" t="s">
        <v>41</v>
      </c>
      <c r="C4938" s="22" t="s">
        <v>3147</v>
      </c>
      <c r="D4938" s="18">
        <v>2022</v>
      </c>
      <c r="E4938" s="18" t="s">
        <v>33</v>
      </c>
      <c r="F4938" s="4">
        <v>2</v>
      </c>
      <c r="G4938" s="18">
        <v>269.2</v>
      </c>
      <c r="H4938" s="4">
        <v>2500</v>
      </c>
      <c r="I4938" s="201"/>
      <c r="J4938" s="201"/>
    </row>
    <row r="4939" spans="1:36" s="15" customFormat="1" ht="26.25" hidden="1" customHeight="1" outlineLevel="1" x14ac:dyDescent="0.25">
      <c r="A4939" s="18">
        <v>3096</v>
      </c>
      <c r="B4939" s="6" t="s">
        <v>41</v>
      </c>
      <c r="C4939" s="38" t="s">
        <v>9031</v>
      </c>
      <c r="D4939" s="18">
        <v>2023</v>
      </c>
      <c r="E4939" s="18" t="s">
        <v>33</v>
      </c>
      <c r="F4939" s="4">
        <v>1</v>
      </c>
      <c r="G4939" s="4">
        <v>150</v>
      </c>
      <c r="H4939" s="41">
        <v>1294.8524600000001</v>
      </c>
      <c r="I4939" s="221"/>
      <c r="J4939" s="221"/>
    </row>
    <row r="4940" spans="1:36" s="15" customFormat="1" ht="26.25" hidden="1" customHeight="1" outlineLevel="1" x14ac:dyDescent="0.25">
      <c r="A4940" s="18">
        <v>5512</v>
      </c>
      <c r="B4940" s="6" t="s">
        <v>41</v>
      </c>
      <c r="C4940" s="38" t="s">
        <v>9083</v>
      </c>
      <c r="D4940" s="18">
        <v>2023</v>
      </c>
      <c r="E4940" s="18" t="s">
        <v>33</v>
      </c>
      <c r="F4940" s="4">
        <v>1</v>
      </c>
      <c r="G4940" s="4">
        <v>138</v>
      </c>
      <c r="H4940" s="41">
        <v>2344.5202799999997</v>
      </c>
      <c r="I4940" s="221"/>
      <c r="J4940" s="221"/>
    </row>
    <row r="4941" spans="1:36" s="15" customFormat="1" ht="26.25" hidden="1" customHeight="1" outlineLevel="1" x14ac:dyDescent="0.25">
      <c r="A4941" s="18">
        <v>5014</v>
      </c>
      <c r="B4941" s="6" t="s">
        <v>41</v>
      </c>
      <c r="C4941" s="38" t="s">
        <v>9151</v>
      </c>
      <c r="D4941" s="18">
        <v>2023</v>
      </c>
      <c r="E4941" s="18" t="s">
        <v>33</v>
      </c>
      <c r="F4941" s="4">
        <v>1</v>
      </c>
      <c r="G4941" s="4">
        <v>149</v>
      </c>
      <c r="H4941" s="41">
        <v>2987.4405099999999</v>
      </c>
      <c r="I4941" s="221"/>
      <c r="J4941" s="221"/>
    </row>
    <row r="4942" spans="1:36" s="15" customFormat="1" ht="26.25" hidden="1" customHeight="1" outlineLevel="1" x14ac:dyDescent="0.25">
      <c r="A4942" s="18">
        <v>579</v>
      </c>
      <c r="B4942" s="6" t="s">
        <v>41</v>
      </c>
      <c r="C4942" s="38" t="s">
        <v>9096</v>
      </c>
      <c r="D4942" s="18">
        <v>2023</v>
      </c>
      <c r="E4942" s="18" t="s">
        <v>33</v>
      </c>
      <c r="F4942" s="4">
        <v>1</v>
      </c>
      <c r="G4942" s="4">
        <v>330</v>
      </c>
      <c r="H4942" s="41">
        <v>1443</v>
      </c>
      <c r="I4942" s="221"/>
      <c r="J4942" s="221"/>
    </row>
    <row r="4943" spans="1:36" s="15" customFormat="1" ht="26.25" hidden="1" customHeight="1" outlineLevel="1" x14ac:dyDescent="0.25">
      <c r="A4943" s="18">
        <v>3088</v>
      </c>
      <c r="B4943" s="6" t="s">
        <v>41</v>
      </c>
      <c r="C4943" s="38" t="s">
        <v>9364</v>
      </c>
      <c r="D4943" s="18">
        <v>2023</v>
      </c>
      <c r="E4943" s="18" t="s">
        <v>33</v>
      </c>
      <c r="F4943" s="4">
        <v>1</v>
      </c>
      <c r="G4943" s="4">
        <v>300</v>
      </c>
      <c r="H4943" s="41">
        <v>1211</v>
      </c>
      <c r="I4943" s="221"/>
      <c r="J4943" s="221"/>
    </row>
    <row r="4944" spans="1:36" s="15" customFormat="1" ht="26.25" hidden="1" customHeight="1" outlineLevel="1" x14ac:dyDescent="0.25">
      <c r="A4944" s="46">
        <v>9686</v>
      </c>
      <c r="B4944" s="4" t="s">
        <v>41</v>
      </c>
      <c r="C4944" s="22" t="s">
        <v>253</v>
      </c>
      <c r="D4944" s="18">
        <v>2021</v>
      </c>
      <c r="E4944" s="18"/>
      <c r="F4944" s="4">
        <v>1</v>
      </c>
      <c r="G4944" s="4">
        <v>150</v>
      </c>
      <c r="H4944" s="4">
        <v>669.81</v>
      </c>
      <c r="I4944" s="201"/>
      <c r="J4944" s="201"/>
    </row>
    <row r="4945" spans="1:36" s="15" customFormat="1" ht="26.25" hidden="1" customHeight="1" outlineLevel="1" x14ac:dyDescent="0.25">
      <c r="A4945" s="45">
        <v>3823</v>
      </c>
      <c r="B4945" s="4" t="s">
        <v>41</v>
      </c>
      <c r="C4945" s="22" t="s">
        <v>229</v>
      </c>
      <c r="D4945" s="18">
        <v>2021</v>
      </c>
      <c r="E4945" s="18" t="s">
        <v>33</v>
      </c>
      <c r="F4945" s="4">
        <v>1</v>
      </c>
      <c r="G4945" s="4">
        <v>150</v>
      </c>
      <c r="H4945" s="4">
        <v>613.37013999999999</v>
      </c>
      <c r="I4945" s="201"/>
      <c r="J4945" s="201"/>
    </row>
    <row r="4946" spans="1:36" s="15" customFormat="1" ht="26.25" hidden="1" customHeight="1" outlineLevel="1" x14ac:dyDescent="0.25">
      <c r="A4946" s="46">
        <v>9734</v>
      </c>
      <c r="B4946" s="4" t="s">
        <v>41</v>
      </c>
      <c r="C4946" s="22" t="s">
        <v>247</v>
      </c>
      <c r="D4946" s="18">
        <v>2021</v>
      </c>
      <c r="E4946" s="18" t="s">
        <v>33</v>
      </c>
      <c r="F4946" s="4">
        <v>1</v>
      </c>
      <c r="G4946" s="4">
        <v>170</v>
      </c>
      <c r="H4946" s="4">
        <v>719.53700000000003</v>
      </c>
      <c r="I4946" s="201"/>
      <c r="J4946" s="201"/>
    </row>
    <row r="4947" spans="1:36" s="15" customFormat="1" ht="26.25" hidden="1" customHeight="1" outlineLevel="1" x14ac:dyDescent="0.25">
      <c r="A4947" s="46">
        <v>9740</v>
      </c>
      <c r="B4947" s="4" t="s">
        <v>41</v>
      </c>
      <c r="C4947" s="22" t="s">
        <v>252</v>
      </c>
      <c r="D4947" s="18">
        <v>2021</v>
      </c>
      <c r="E4947" s="18" t="s">
        <v>33</v>
      </c>
      <c r="F4947" s="4">
        <v>1</v>
      </c>
      <c r="G4947" s="4">
        <v>150</v>
      </c>
      <c r="H4947" s="4">
        <v>577.24300000000005</v>
      </c>
      <c r="I4947" s="201"/>
      <c r="J4947" s="201"/>
    </row>
    <row r="4948" spans="1:36" s="15" customFormat="1" ht="26.25" hidden="1" customHeight="1" outlineLevel="1" x14ac:dyDescent="0.25">
      <c r="A4948" s="45">
        <v>1143</v>
      </c>
      <c r="B4948" s="4" t="s">
        <v>41</v>
      </c>
      <c r="C4948" s="22" t="s">
        <v>729</v>
      </c>
      <c r="D4948" s="18">
        <v>2021</v>
      </c>
      <c r="E4948" s="18" t="s">
        <v>33</v>
      </c>
      <c r="F4948" s="4">
        <v>1</v>
      </c>
      <c r="G4948" s="4">
        <v>290</v>
      </c>
      <c r="H4948" s="4">
        <v>966</v>
      </c>
      <c r="I4948" s="201"/>
      <c r="J4948" s="201"/>
    </row>
    <row r="4949" spans="1:36" s="15" customFormat="1" ht="26.25" hidden="1" customHeight="1" outlineLevel="1" x14ac:dyDescent="0.25">
      <c r="A4949" s="46">
        <v>9576</v>
      </c>
      <c r="B4949" s="4" t="s">
        <v>41</v>
      </c>
      <c r="C4949" s="22" t="s">
        <v>536</v>
      </c>
      <c r="D4949" s="18">
        <v>2021</v>
      </c>
      <c r="E4949" s="18" t="s">
        <v>33</v>
      </c>
      <c r="F4949" s="4">
        <v>2</v>
      </c>
      <c r="G4949" s="4">
        <v>390</v>
      </c>
      <c r="H4949" s="4">
        <v>1583</v>
      </c>
      <c r="I4949" s="201"/>
      <c r="J4949" s="201"/>
    </row>
    <row r="4950" spans="1:36" s="15" customFormat="1" ht="26.25" hidden="1" customHeight="1" outlineLevel="1" x14ac:dyDescent="0.25">
      <c r="A4950" s="46">
        <v>9589</v>
      </c>
      <c r="B4950" s="4" t="s">
        <v>41</v>
      </c>
      <c r="C4950" s="22" t="s">
        <v>860</v>
      </c>
      <c r="D4950" s="18">
        <v>2021</v>
      </c>
      <c r="E4950" s="18" t="s">
        <v>33</v>
      </c>
      <c r="F4950" s="4">
        <v>1</v>
      </c>
      <c r="G4950" s="4">
        <v>300</v>
      </c>
      <c r="H4950" s="4">
        <v>853</v>
      </c>
      <c r="I4950" s="201"/>
      <c r="J4950" s="201"/>
    </row>
    <row r="4951" spans="1:36" s="15" customFormat="1" ht="26.25" hidden="1" customHeight="1" outlineLevel="1" x14ac:dyDescent="0.25">
      <c r="A4951" s="46">
        <v>9646</v>
      </c>
      <c r="B4951" s="4" t="s">
        <v>41</v>
      </c>
      <c r="C4951" s="22" t="s">
        <v>750</v>
      </c>
      <c r="D4951" s="18">
        <v>2021</v>
      </c>
      <c r="E4951" s="18" t="s">
        <v>33</v>
      </c>
      <c r="F4951" s="4">
        <v>1</v>
      </c>
      <c r="G4951" s="4">
        <v>150</v>
      </c>
      <c r="H4951" s="4">
        <v>540</v>
      </c>
      <c r="I4951" s="201"/>
      <c r="J4951" s="201"/>
    </row>
    <row r="4952" spans="1:36" s="15" customFormat="1" ht="26.25" hidden="1" customHeight="1" outlineLevel="1" x14ac:dyDescent="0.25">
      <c r="A4952" s="45">
        <v>425</v>
      </c>
      <c r="B4952" s="4" t="s">
        <v>41</v>
      </c>
      <c r="C4952" s="22" t="s">
        <v>195</v>
      </c>
      <c r="D4952" s="18">
        <v>2021</v>
      </c>
      <c r="E4952" s="18" t="s">
        <v>33</v>
      </c>
      <c r="F4952" s="4">
        <v>1</v>
      </c>
      <c r="G4952" s="4">
        <v>300</v>
      </c>
      <c r="H4952" s="4">
        <v>757.10799999999995</v>
      </c>
      <c r="I4952" s="201"/>
      <c r="J4952" s="201"/>
    </row>
    <row r="4953" spans="1:36" s="15" customFormat="1" ht="26.25" hidden="1" customHeight="1" outlineLevel="1" x14ac:dyDescent="0.25">
      <c r="A4953" s="45">
        <v>428</v>
      </c>
      <c r="B4953" s="4" t="s">
        <v>41</v>
      </c>
      <c r="C4953" s="22" t="s">
        <v>174</v>
      </c>
      <c r="D4953" s="18">
        <v>2021</v>
      </c>
      <c r="E4953" s="18" t="s">
        <v>33</v>
      </c>
      <c r="F4953" s="4">
        <v>1</v>
      </c>
      <c r="G4953" s="4">
        <v>200</v>
      </c>
      <c r="H4953" s="4">
        <v>820.8</v>
      </c>
      <c r="I4953" s="201"/>
      <c r="J4953" s="201"/>
    </row>
    <row r="4954" spans="1:36" s="15" customFormat="1" ht="26.25" hidden="1" customHeight="1" outlineLevel="1" x14ac:dyDescent="0.25">
      <c r="A4954" s="46">
        <v>9372</v>
      </c>
      <c r="B4954" s="4" t="s">
        <v>41</v>
      </c>
      <c r="C4954" s="22" t="s">
        <v>205</v>
      </c>
      <c r="D4954" s="18">
        <v>2021</v>
      </c>
      <c r="E4954" s="18" t="s">
        <v>33</v>
      </c>
      <c r="F4954" s="4">
        <v>1</v>
      </c>
      <c r="G4954" s="4">
        <v>210</v>
      </c>
      <c r="H4954" s="4">
        <v>821.32100000000003</v>
      </c>
      <c r="I4954" s="201"/>
      <c r="J4954" s="201"/>
    </row>
    <row r="4955" spans="1:36" s="15" customFormat="1" ht="26.25" hidden="1" customHeight="1" outlineLevel="1" x14ac:dyDescent="0.25">
      <c r="A4955" s="45">
        <v>3843</v>
      </c>
      <c r="B4955" s="4" t="s">
        <v>41</v>
      </c>
      <c r="C4955" s="22" t="s">
        <v>931</v>
      </c>
      <c r="D4955" s="18">
        <v>2021</v>
      </c>
      <c r="E4955" s="18" t="s">
        <v>33</v>
      </c>
      <c r="F4955" s="4">
        <v>1</v>
      </c>
      <c r="G4955" s="4">
        <v>75</v>
      </c>
      <c r="H4955" s="4">
        <v>494.42865</v>
      </c>
      <c r="I4955" s="201"/>
      <c r="J4955" s="201"/>
    </row>
    <row r="4956" spans="1:36" s="15" customFormat="1" ht="23.25" hidden="1" customHeight="1" outlineLevel="1" x14ac:dyDescent="0.25">
      <c r="A4956" s="46"/>
      <c r="B4956" s="4"/>
      <c r="C4956" s="22"/>
      <c r="D4956" s="18"/>
      <c r="E4956" s="18"/>
      <c r="F4956" s="4"/>
      <c r="G4956" s="4"/>
      <c r="H4956" s="4"/>
      <c r="I4956" s="201"/>
      <c r="J4956" s="201"/>
    </row>
    <row r="4957" spans="1:36" s="15" customFormat="1" ht="47.25" collapsed="1" x14ac:dyDescent="0.25">
      <c r="A4957" s="18"/>
      <c r="B4957" s="60" t="s">
        <v>42</v>
      </c>
      <c r="C4957" s="74" t="s">
        <v>13633</v>
      </c>
      <c r="D4957" s="67"/>
      <c r="E4957" s="68" t="s">
        <v>33</v>
      </c>
      <c r="F4957" s="67"/>
      <c r="G4957" s="67"/>
      <c r="H4957" s="67"/>
      <c r="I4957" s="232"/>
      <c r="J4957" s="232"/>
    </row>
    <row r="4958" spans="1:36" s="16" customFormat="1" ht="16.5" customHeight="1" x14ac:dyDescent="0.25">
      <c r="A4958" s="18"/>
      <c r="B4958" s="7" t="s">
        <v>42</v>
      </c>
      <c r="C4958" s="8" t="s">
        <v>57</v>
      </c>
      <c r="D4958" s="19">
        <v>2021</v>
      </c>
      <c r="E4958" s="19" t="s">
        <v>33</v>
      </c>
      <c r="F4958" s="7">
        <f>SUMIF($D$4961:$D$4979,$D$4958,$F$4961:$F$4979)</f>
        <v>4</v>
      </c>
      <c r="G4958" s="10">
        <f>SUMIF($D$4961:$D$4979,$D$4958,$G$4961:$G$4979)</f>
        <v>2154</v>
      </c>
      <c r="H4958" s="10">
        <f>SUMIF($D$4961:$D$4979,$D$4958,$H$4961:$H$4979)</f>
        <v>5330.5826500000003</v>
      </c>
      <c r="I4958" s="205"/>
      <c r="J4958" s="5"/>
      <c r="K4958" s="5"/>
      <c r="L4958" s="15"/>
      <c r="M4958" s="15"/>
      <c r="N4958" s="15"/>
      <c r="O4958" s="15"/>
      <c r="P4958" s="15"/>
      <c r="Q4958" s="15"/>
      <c r="R4958" s="15"/>
      <c r="S4958" s="15"/>
      <c r="T4958" s="15"/>
      <c r="U4958" s="15"/>
      <c r="V4958" s="15"/>
      <c r="W4958" s="15"/>
      <c r="X4958" s="15"/>
      <c r="Y4958" s="15"/>
      <c r="Z4958" s="15"/>
      <c r="AA4958" s="15"/>
      <c r="AB4958" s="15"/>
      <c r="AC4958" s="15"/>
      <c r="AD4958" s="15"/>
      <c r="AE4958" s="15"/>
      <c r="AF4958" s="15"/>
      <c r="AG4958" s="15"/>
      <c r="AH4958" s="15"/>
      <c r="AI4958" s="15"/>
      <c r="AJ4958" s="15"/>
    </row>
    <row r="4959" spans="1:36" s="27" customFormat="1" ht="16.5" customHeight="1" x14ac:dyDescent="0.25">
      <c r="A4959" s="18"/>
      <c r="B4959" s="7" t="s">
        <v>42</v>
      </c>
      <c r="C4959" s="8" t="s">
        <v>57</v>
      </c>
      <c r="D4959" s="19">
        <v>2022</v>
      </c>
      <c r="E4959" s="19" t="s">
        <v>33</v>
      </c>
      <c r="F4959" s="7">
        <f>SUMIF($D$4961:$D$4979,$D$4959,$F$4961:$F$4979)</f>
        <v>7</v>
      </c>
      <c r="G4959" s="10">
        <f>SUMIF($D$4961:$D$4979,$D$4959,$G$4961:$G$4979)</f>
        <v>2214</v>
      </c>
      <c r="H4959" s="10">
        <f>SUMIF($D$4961:$D$4979,$D$4959,$H$4961:$H$4979)</f>
        <v>7510.1213499999994</v>
      </c>
      <c r="I4959" s="205"/>
      <c r="J4959" s="205"/>
      <c r="K4959" s="15"/>
      <c r="L4959" s="15"/>
      <c r="M4959" s="15"/>
      <c r="N4959" s="15"/>
      <c r="O4959" s="15"/>
      <c r="P4959" s="15"/>
      <c r="Q4959" s="15"/>
      <c r="R4959" s="15"/>
      <c r="S4959" s="15"/>
      <c r="T4959" s="15"/>
      <c r="U4959" s="15"/>
      <c r="V4959" s="15"/>
      <c r="W4959" s="15"/>
      <c r="X4959" s="15"/>
      <c r="Y4959" s="15"/>
      <c r="Z4959" s="15"/>
      <c r="AA4959" s="15"/>
      <c r="AB4959" s="15"/>
      <c r="AC4959" s="15"/>
      <c r="AD4959" s="15"/>
      <c r="AE4959" s="15"/>
      <c r="AF4959" s="15"/>
      <c r="AG4959" s="15"/>
      <c r="AH4959" s="15"/>
      <c r="AI4959" s="15"/>
      <c r="AJ4959" s="15"/>
    </row>
    <row r="4960" spans="1:36" s="27" customFormat="1" ht="15.75" x14ac:dyDescent="0.25">
      <c r="A4960" s="18"/>
      <c r="B4960" s="7" t="s">
        <v>42</v>
      </c>
      <c r="C4960" s="8" t="s">
        <v>57</v>
      </c>
      <c r="D4960" s="19">
        <v>2023</v>
      </c>
      <c r="E4960" s="19" t="s">
        <v>33</v>
      </c>
      <c r="F4960" s="7">
        <f>SUMIF($D$4961:$D$4979,$D$4960,$F$4961:$F$4979)</f>
        <v>9</v>
      </c>
      <c r="G4960" s="10">
        <f>SUMIF($D$4961:$D$4979,$D$4960,$G$4961:$G$4979)</f>
        <v>4140</v>
      </c>
      <c r="H4960" s="10">
        <f>SUMIF($D$4961:$D$4979,$D$4960,$H$4961:$H$4979)</f>
        <v>19600.041879999997</v>
      </c>
      <c r="I4960" s="205"/>
      <c r="J4960" s="205"/>
      <c r="K4960" s="15"/>
      <c r="L4960" s="15"/>
      <c r="M4960" s="15"/>
      <c r="N4960" s="15"/>
      <c r="O4960" s="15"/>
      <c r="P4960" s="15"/>
      <c r="Q4960" s="15"/>
      <c r="R4960" s="15"/>
      <c r="S4960" s="15"/>
      <c r="T4960" s="15"/>
      <c r="U4960" s="15"/>
      <c r="V4960" s="15"/>
      <c r="W4960" s="15"/>
      <c r="X4960" s="15"/>
      <c r="Y4960" s="15"/>
      <c r="Z4960" s="15"/>
      <c r="AA4960" s="15"/>
      <c r="AB4960" s="15"/>
      <c r="AC4960" s="15"/>
      <c r="AD4960" s="15"/>
      <c r="AE4960" s="15"/>
      <c r="AF4960" s="15"/>
      <c r="AG4960" s="15"/>
      <c r="AH4960" s="15"/>
      <c r="AI4960" s="15"/>
      <c r="AJ4960" s="15"/>
    </row>
    <row r="4961" spans="1:10" s="15" customFormat="1" ht="29.25" hidden="1" customHeight="1" outlineLevel="1" x14ac:dyDescent="0.25">
      <c r="A4961" s="18">
        <v>2804</v>
      </c>
      <c r="B4961" s="4" t="s">
        <v>42</v>
      </c>
      <c r="C4961" s="38" t="s">
        <v>2820</v>
      </c>
      <c r="D4961" s="18">
        <v>2022</v>
      </c>
      <c r="E4961" s="18" t="s">
        <v>33</v>
      </c>
      <c r="F4961" s="4">
        <v>1</v>
      </c>
      <c r="G4961" s="4">
        <v>435</v>
      </c>
      <c r="H4961" s="4">
        <v>1199.6969999999999</v>
      </c>
      <c r="I4961" s="201"/>
      <c r="J4961" s="201"/>
    </row>
    <row r="4962" spans="1:10" s="15" customFormat="1" ht="29.25" hidden="1" customHeight="1" outlineLevel="1" x14ac:dyDescent="0.25">
      <c r="A4962" s="18">
        <v>2713</v>
      </c>
      <c r="B4962" s="4" t="s">
        <v>42</v>
      </c>
      <c r="C4962" s="38" t="s">
        <v>2815</v>
      </c>
      <c r="D4962" s="18">
        <v>2022</v>
      </c>
      <c r="E4962" s="18" t="s">
        <v>33</v>
      </c>
      <c r="F4962" s="4">
        <v>2</v>
      </c>
      <c r="G4962" s="4">
        <v>177</v>
      </c>
      <c r="H4962" s="4">
        <v>1605.9349999999999</v>
      </c>
      <c r="I4962" s="201"/>
      <c r="J4962" s="201"/>
    </row>
    <row r="4963" spans="1:10" s="15" customFormat="1" ht="29.25" hidden="1" customHeight="1" outlineLevel="1" x14ac:dyDescent="0.25">
      <c r="A4963" s="18">
        <v>166</v>
      </c>
      <c r="B4963" s="4" t="s">
        <v>42</v>
      </c>
      <c r="C4963" s="38" t="s">
        <v>3126</v>
      </c>
      <c r="D4963" s="18">
        <v>2022</v>
      </c>
      <c r="E4963" s="18" t="s">
        <v>33</v>
      </c>
      <c r="F4963" s="4">
        <v>1</v>
      </c>
      <c r="G4963" s="4">
        <v>600</v>
      </c>
      <c r="H4963" s="4">
        <v>1858</v>
      </c>
      <c r="I4963" s="201"/>
      <c r="J4963" s="201"/>
    </row>
    <row r="4964" spans="1:10" s="15" customFormat="1" ht="29.25" hidden="1" customHeight="1" outlineLevel="1" x14ac:dyDescent="0.25">
      <c r="A4964" s="18">
        <v>184</v>
      </c>
      <c r="B4964" s="4" t="s">
        <v>42</v>
      </c>
      <c r="C4964" s="38" t="s">
        <v>2684</v>
      </c>
      <c r="D4964" s="18">
        <v>2022</v>
      </c>
      <c r="E4964" s="18" t="s">
        <v>33</v>
      </c>
      <c r="F4964" s="4">
        <v>1</v>
      </c>
      <c r="G4964" s="4">
        <v>405</v>
      </c>
      <c r="H4964" s="4">
        <v>1040</v>
      </c>
      <c r="I4964" s="201"/>
      <c r="J4964" s="201"/>
    </row>
    <row r="4965" spans="1:10" s="15" customFormat="1" ht="29.25" hidden="1" customHeight="1" outlineLevel="1" x14ac:dyDescent="0.25">
      <c r="A4965" s="18">
        <v>402</v>
      </c>
      <c r="B4965" s="4" t="s">
        <v>42</v>
      </c>
      <c r="C4965" s="38" t="s">
        <v>2869</v>
      </c>
      <c r="D4965" s="18">
        <v>2022</v>
      </c>
      <c r="E4965" s="18" t="s">
        <v>33</v>
      </c>
      <c r="F4965" s="4">
        <v>1</v>
      </c>
      <c r="G4965" s="4">
        <v>447</v>
      </c>
      <c r="H4965" s="4">
        <v>996</v>
      </c>
      <c r="I4965" s="201"/>
      <c r="J4965" s="201"/>
    </row>
    <row r="4966" spans="1:10" s="15" customFormat="1" ht="29.25" hidden="1" customHeight="1" outlineLevel="1" x14ac:dyDescent="0.25">
      <c r="A4966" s="18">
        <v>2990</v>
      </c>
      <c r="B4966" s="4" t="s">
        <v>42</v>
      </c>
      <c r="C4966" s="22" t="s">
        <v>3148</v>
      </c>
      <c r="D4966" s="18">
        <v>2022</v>
      </c>
      <c r="E4966" s="18"/>
      <c r="F4966" s="4">
        <v>1</v>
      </c>
      <c r="G4966" s="4">
        <v>150</v>
      </c>
      <c r="H4966" s="41">
        <v>810.48934999999994</v>
      </c>
      <c r="I4966" s="221"/>
      <c r="J4966" s="221"/>
    </row>
    <row r="4967" spans="1:10" s="15" customFormat="1" ht="29.25" hidden="1" customHeight="1" outlineLevel="1" x14ac:dyDescent="0.25">
      <c r="A4967" s="18">
        <v>4419</v>
      </c>
      <c r="B4967" s="6" t="s">
        <v>42</v>
      </c>
      <c r="C4967" s="38" t="s">
        <v>9216</v>
      </c>
      <c r="D4967" s="18">
        <v>2023</v>
      </c>
      <c r="E4967" s="18" t="s">
        <v>33</v>
      </c>
      <c r="F4967" s="4">
        <v>1</v>
      </c>
      <c r="G4967" s="41">
        <v>250</v>
      </c>
      <c r="H4967" s="41">
        <v>1949</v>
      </c>
      <c r="I4967" s="221"/>
      <c r="J4967" s="221"/>
    </row>
    <row r="4968" spans="1:10" s="15" customFormat="1" ht="29.25" hidden="1" customHeight="1" outlineLevel="1" x14ac:dyDescent="0.25">
      <c r="A4968" s="18">
        <v>3165</v>
      </c>
      <c r="B4968" s="4" t="s">
        <v>42</v>
      </c>
      <c r="C4968" s="38" t="s">
        <v>9046</v>
      </c>
      <c r="D4968" s="18">
        <v>2023</v>
      </c>
      <c r="E4968" s="18" t="s">
        <v>33</v>
      </c>
      <c r="F4968" s="4">
        <v>1</v>
      </c>
      <c r="G4968" s="41">
        <v>600</v>
      </c>
      <c r="H4968" s="41">
        <v>3172.5509999999999</v>
      </c>
      <c r="I4968" s="221"/>
      <c r="J4968" s="221"/>
    </row>
    <row r="4969" spans="1:10" s="15" customFormat="1" ht="29.25" hidden="1" customHeight="1" outlineLevel="1" x14ac:dyDescent="0.25">
      <c r="A4969" s="18">
        <v>551</v>
      </c>
      <c r="B4969" s="4" t="s">
        <v>42</v>
      </c>
      <c r="C4969" s="38" t="s">
        <v>9074</v>
      </c>
      <c r="D4969" s="18">
        <v>2023</v>
      </c>
      <c r="E4969" s="18" t="s">
        <v>33</v>
      </c>
      <c r="F4969" s="4">
        <v>1</v>
      </c>
      <c r="G4969" s="41">
        <v>90</v>
      </c>
      <c r="H4969" s="41">
        <v>1570.80872</v>
      </c>
      <c r="I4969" s="221"/>
      <c r="J4969" s="221"/>
    </row>
    <row r="4970" spans="1:10" s="15" customFormat="1" ht="29.25" hidden="1" customHeight="1" outlineLevel="1" x14ac:dyDescent="0.25">
      <c r="A4970" s="18">
        <v>5746</v>
      </c>
      <c r="B4970" s="4" t="s">
        <v>42</v>
      </c>
      <c r="C4970" s="38" t="s">
        <v>9085</v>
      </c>
      <c r="D4970" s="18">
        <v>2023</v>
      </c>
      <c r="E4970" s="18" t="s">
        <v>33</v>
      </c>
      <c r="F4970" s="4">
        <v>1</v>
      </c>
      <c r="G4970" s="41">
        <v>300</v>
      </c>
      <c r="H4970" s="41">
        <v>1473.77638</v>
      </c>
      <c r="I4970" s="221"/>
      <c r="J4970" s="221"/>
    </row>
    <row r="4971" spans="1:10" s="15" customFormat="1" ht="29.25" hidden="1" customHeight="1" outlineLevel="1" x14ac:dyDescent="0.25">
      <c r="A4971" s="18">
        <v>3098</v>
      </c>
      <c r="B4971" s="4" t="s">
        <v>42</v>
      </c>
      <c r="C4971" s="38" t="s">
        <v>9087</v>
      </c>
      <c r="D4971" s="18">
        <v>2023</v>
      </c>
      <c r="E4971" s="18" t="s">
        <v>33</v>
      </c>
      <c r="F4971" s="4">
        <v>1</v>
      </c>
      <c r="G4971" s="41">
        <v>500</v>
      </c>
      <c r="H4971" s="41">
        <v>2083.9057799999996</v>
      </c>
      <c r="I4971" s="221"/>
      <c r="J4971" s="221"/>
    </row>
    <row r="4972" spans="1:10" s="15" customFormat="1" ht="29.25" hidden="1" customHeight="1" outlineLevel="1" x14ac:dyDescent="0.25">
      <c r="A4972" s="18">
        <v>3009</v>
      </c>
      <c r="B4972" s="4" t="s">
        <v>42</v>
      </c>
      <c r="C4972" s="38" t="s">
        <v>8880</v>
      </c>
      <c r="D4972" s="18">
        <v>2023</v>
      </c>
      <c r="E4972" s="18" t="s">
        <v>33</v>
      </c>
      <c r="F4972" s="4">
        <v>1</v>
      </c>
      <c r="G4972" s="41">
        <v>450</v>
      </c>
      <c r="H4972" s="41">
        <v>1276</v>
      </c>
      <c r="I4972" s="221"/>
      <c r="J4972" s="221"/>
    </row>
    <row r="4973" spans="1:10" s="15" customFormat="1" ht="29.25" hidden="1" customHeight="1" outlineLevel="1" x14ac:dyDescent="0.25">
      <c r="A4973" s="18">
        <v>4503</v>
      </c>
      <c r="B4973" s="4" t="s">
        <v>42</v>
      </c>
      <c r="C4973" s="38" t="s">
        <v>9215</v>
      </c>
      <c r="D4973" s="18">
        <v>2023</v>
      </c>
      <c r="E4973" s="18" t="s">
        <v>33</v>
      </c>
      <c r="F4973" s="4">
        <v>1</v>
      </c>
      <c r="G4973" s="41">
        <v>900</v>
      </c>
      <c r="H4973" s="41">
        <v>2503</v>
      </c>
      <c r="I4973" s="221"/>
      <c r="J4973" s="221"/>
    </row>
    <row r="4974" spans="1:10" s="15" customFormat="1" ht="29.25" hidden="1" customHeight="1" outlineLevel="1" x14ac:dyDescent="0.25">
      <c r="A4974" s="18">
        <v>3127</v>
      </c>
      <c r="B4974" s="4" t="s">
        <v>42</v>
      </c>
      <c r="C4974" s="38" t="s">
        <v>9109</v>
      </c>
      <c r="D4974" s="18">
        <v>2023</v>
      </c>
      <c r="E4974" s="18" t="s">
        <v>33</v>
      </c>
      <c r="F4974" s="4">
        <v>1</v>
      </c>
      <c r="G4974" s="41">
        <v>450</v>
      </c>
      <c r="H4974" s="41">
        <v>2645</v>
      </c>
      <c r="I4974" s="221"/>
      <c r="J4974" s="221"/>
    </row>
    <row r="4975" spans="1:10" s="15" customFormat="1" ht="29.25" hidden="1" customHeight="1" outlineLevel="1" x14ac:dyDescent="0.25">
      <c r="A4975" s="18">
        <v>3055</v>
      </c>
      <c r="B4975" s="4" t="s">
        <v>42</v>
      </c>
      <c r="C4975" s="38" t="s">
        <v>9363</v>
      </c>
      <c r="D4975" s="18">
        <v>2023</v>
      </c>
      <c r="E4975" s="18" t="s">
        <v>33</v>
      </c>
      <c r="F4975" s="4">
        <v>1</v>
      </c>
      <c r="G4975" s="41">
        <v>600</v>
      </c>
      <c r="H4975" s="41">
        <v>2926</v>
      </c>
      <c r="I4975" s="221"/>
      <c r="J4975" s="221"/>
    </row>
    <row r="4976" spans="1:10" s="15" customFormat="1" ht="29.25" hidden="1" customHeight="1" outlineLevel="1" x14ac:dyDescent="0.25">
      <c r="A4976" s="46">
        <v>9601</v>
      </c>
      <c r="B4976" s="4" t="s">
        <v>42</v>
      </c>
      <c r="C4976" s="22" t="s">
        <v>2084</v>
      </c>
      <c r="D4976" s="18">
        <v>2021</v>
      </c>
      <c r="E4976" s="18" t="s">
        <v>33</v>
      </c>
      <c r="F4976" s="4">
        <v>1</v>
      </c>
      <c r="G4976" s="4">
        <v>537</v>
      </c>
      <c r="H4976" s="41">
        <v>1570</v>
      </c>
      <c r="I4976" s="221"/>
      <c r="J4976" s="221"/>
    </row>
    <row r="4977" spans="1:36" s="15" customFormat="1" ht="29.25" hidden="1" customHeight="1" outlineLevel="1" x14ac:dyDescent="0.25">
      <c r="A4977" s="138">
        <v>9615</v>
      </c>
      <c r="B4977" s="4" t="s">
        <v>42</v>
      </c>
      <c r="C4977" s="22" t="s">
        <v>932</v>
      </c>
      <c r="D4977" s="18">
        <v>2021</v>
      </c>
      <c r="E4977" s="18"/>
      <c r="F4977" s="4">
        <v>1</v>
      </c>
      <c r="G4977" s="4">
        <v>450</v>
      </c>
      <c r="H4977" s="41">
        <v>967.58264999999994</v>
      </c>
      <c r="I4977" s="221"/>
      <c r="J4977" s="221"/>
    </row>
    <row r="4978" spans="1:36" s="15" customFormat="1" ht="29.25" hidden="1" customHeight="1" outlineLevel="1" x14ac:dyDescent="0.25">
      <c r="A4978" s="46">
        <v>9591</v>
      </c>
      <c r="B4978" s="4" t="s">
        <v>42</v>
      </c>
      <c r="C4978" s="22" t="s">
        <v>833</v>
      </c>
      <c r="D4978" s="18">
        <v>2021</v>
      </c>
      <c r="E4978" s="18" t="s">
        <v>33</v>
      </c>
      <c r="F4978" s="4">
        <v>1</v>
      </c>
      <c r="G4978" s="4">
        <v>417</v>
      </c>
      <c r="H4978" s="41">
        <v>1077</v>
      </c>
      <c r="I4978" s="221"/>
      <c r="J4978" s="221"/>
    </row>
    <row r="4979" spans="1:36" s="15" customFormat="1" ht="29.25" hidden="1" customHeight="1" outlineLevel="1" x14ac:dyDescent="0.25">
      <c r="A4979" s="46">
        <v>9669</v>
      </c>
      <c r="B4979" s="4" t="s">
        <v>42</v>
      </c>
      <c r="C4979" s="22" t="s">
        <v>908</v>
      </c>
      <c r="D4979" s="18">
        <v>2021</v>
      </c>
      <c r="E4979" s="18" t="s">
        <v>33</v>
      </c>
      <c r="F4979" s="4">
        <v>1</v>
      </c>
      <c r="G4979" s="4">
        <v>750</v>
      </c>
      <c r="H4979" s="41">
        <v>1716</v>
      </c>
      <c r="I4979" s="221"/>
      <c r="J4979" s="221"/>
    </row>
    <row r="4980" spans="1:36" s="15" customFormat="1" ht="15.75" hidden="1" collapsed="1" x14ac:dyDescent="0.25">
      <c r="A4980" s="131"/>
      <c r="B4980" s="4"/>
      <c r="C4980" s="22"/>
      <c r="D4980" s="18"/>
      <c r="E4980" s="18"/>
      <c r="F4980" s="4"/>
      <c r="G4980" s="4"/>
      <c r="H4980" s="41"/>
      <c r="I4980" s="221"/>
      <c r="J4980" s="221"/>
    </row>
    <row r="4981" spans="1:36" s="28" customFormat="1" ht="18.75" x14ac:dyDescent="0.25">
      <c r="A4981" s="332"/>
      <c r="B4981" s="335" t="s">
        <v>52</v>
      </c>
      <c r="C4981" s="336"/>
      <c r="D4981" s="336"/>
      <c r="E4981" s="336"/>
      <c r="F4981" s="336"/>
      <c r="G4981" s="336"/>
      <c r="H4981" s="337"/>
      <c r="I4981" s="202"/>
      <c r="J4981" s="202"/>
      <c r="K4981" s="15"/>
      <c r="L4981" s="15"/>
      <c r="M4981" s="15"/>
      <c r="N4981" s="15"/>
      <c r="O4981" s="15"/>
      <c r="P4981" s="15"/>
      <c r="Q4981" s="15"/>
      <c r="R4981" s="15"/>
      <c r="S4981" s="15"/>
      <c r="T4981" s="15"/>
      <c r="U4981" s="15"/>
      <c r="V4981" s="15"/>
      <c r="W4981" s="15"/>
      <c r="X4981" s="15"/>
      <c r="Y4981" s="15"/>
      <c r="Z4981" s="15"/>
      <c r="AA4981" s="15"/>
      <c r="AB4981" s="15"/>
      <c r="AC4981" s="15"/>
      <c r="AD4981" s="15"/>
      <c r="AE4981" s="15"/>
      <c r="AF4981" s="15"/>
      <c r="AG4981" s="15"/>
      <c r="AH4981" s="15"/>
      <c r="AI4981" s="15"/>
      <c r="AJ4981" s="15"/>
    </row>
    <row r="4982" spans="1:36" s="15" customFormat="1" ht="19.5" customHeight="1" collapsed="1" x14ac:dyDescent="0.25">
      <c r="A4982" s="333"/>
      <c r="B4982" s="321" t="s">
        <v>43</v>
      </c>
      <c r="C4982" s="353" t="s">
        <v>2122</v>
      </c>
      <c r="D4982" s="321"/>
      <c r="E4982" s="321" t="s">
        <v>0</v>
      </c>
      <c r="F4982" s="321"/>
      <c r="G4982" s="321"/>
      <c r="H4982" s="321"/>
      <c r="I4982" s="214"/>
      <c r="J4982" s="214"/>
    </row>
    <row r="4983" spans="1:36" s="16" customFormat="1" ht="16.5" customHeight="1" x14ac:dyDescent="0.25">
      <c r="A4983" s="333"/>
      <c r="B4983" s="323"/>
      <c r="C4983" s="331"/>
      <c r="D4983" s="323"/>
      <c r="E4983" s="323" t="s">
        <v>0</v>
      </c>
      <c r="F4983" s="323"/>
      <c r="G4983" s="323"/>
      <c r="H4983" s="323"/>
      <c r="I4983" s="215"/>
      <c r="J4983" s="215"/>
      <c r="K4983" s="15"/>
      <c r="L4983" s="15"/>
      <c r="M4983" s="15"/>
      <c r="N4983" s="15"/>
      <c r="O4983" s="15"/>
      <c r="P4983" s="15"/>
      <c r="Q4983" s="15"/>
      <c r="R4983" s="15"/>
      <c r="S4983" s="15"/>
      <c r="T4983" s="15"/>
      <c r="U4983" s="15"/>
      <c r="V4983" s="15"/>
      <c r="W4983" s="15"/>
      <c r="X4983" s="15"/>
      <c r="Y4983" s="15"/>
      <c r="Z4983" s="15"/>
      <c r="AA4983" s="15"/>
      <c r="AB4983" s="15"/>
      <c r="AC4983" s="15"/>
      <c r="AD4983" s="15"/>
      <c r="AE4983" s="15"/>
      <c r="AF4983" s="15"/>
      <c r="AG4983" s="15"/>
      <c r="AH4983" s="15"/>
      <c r="AI4983" s="15"/>
      <c r="AJ4983" s="15"/>
    </row>
    <row r="4984" spans="1:36" s="16" customFormat="1" ht="15.75" x14ac:dyDescent="0.25">
      <c r="A4984" s="333"/>
      <c r="B4984" s="7" t="s">
        <v>43</v>
      </c>
      <c r="C4984" s="8" t="s">
        <v>57</v>
      </c>
      <c r="D4984" s="19">
        <v>2021</v>
      </c>
      <c r="E4984" s="19" t="s">
        <v>0</v>
      </c>
      <c r="F4984" s="7">
        <f>SUMIF($D$4987:$D$9683,$D$4984,$F$4987:$F$9683)</f>
        <v>577</v>
      </c>
      <c r="G4984" s="7">
        <f>SUMIF($D$4987:$D$9683,$D$4984,$G$4987:$G$9683)</f>
        <v>5358.6200000000008</v>
      </c>
      <c r="H4984" s="10">
        <f>SUMIF($D$4987:$D$9683,$D$4984,$H$4987:$H$9683)</f>
        <v>19929.585615000007</v>
      </c>
      <c r="I4984" s="205"/>
      <c r="J4984" s="205"/>
      <c r="K4984" s="15"/>
      <c r="L4984" s="15"/>
      <c r="M4984" s="15"/>
      <c r="N4984" s="15"/>
      <c r="O4984" s="15"/>
      <c r="P4984" s="15"/>
      <c r="Q4984" s="15"/>
      <c r="R4984" s="15"/>
      <c r="S4984" s="15"/>
      <c r="T4984" s="15"/>
      <c r="U4984" s="15"/>
      <c r="V4984" s="15"/>
      <c r="W4984" s="15"/>
      <c r="X4984" s="15"/>
      <c r="Y4984" s="15"/>
      <c r="Z4984" s="15"/>
      <c r="AA4984" s="15"/>
      <c r="AB4984" s="15"/>
      <c r="AC4984" s="15"/>
      <c r="AD4984" s="15"/>
      <c r="AE4984" s="15"/>
      <c r="AF4984" s="15"/>
      <c r="AG4984" s="15"/>
      <c r="AH4984" s="15"/>
      <c r="AI4984" s="15"/>
      <c r="AJ4984" s="15"/>
    </row>
    <row r="4985" spans="1:36" s="27" customFormat="1" ht="16.5" customHeight="1" x14ac:dyDescent="0.25">
      <c r="A4985" s="334"/>
      <c r="B4985" s="7" t="s">
        <v>43</v>
      </c>
      <c r="C4985" s="8" t="s">
        <v>57</v>
      </c>
      <c r="D4985" s="19">
        <v>2022</v>
      </c>
      <c r="E4985" s="19" t="s">
        <v>0</v>
      </c>
      <c r="F4985" s="7">
        <f>SUMIF($D$4987:$D$9683,$D$4985,$F$4987:$F$9683)</f>
        <v>2408</v>
      </c>
      <c r="G4985" s="10">
        <f>SUMIF($D$4987:$D$9683,$D$4985,$G$4987:$G$9683)</f>
        <v>20956.599999999999</v>
      </c>
      <c r="H4985" s="10">
        <f>SUMIF($D$4987:$D$9683,$D$4985,$H$4987:$H$9683)</f>
        <v>42746.290243999996</v>
      </c>
      <c r="I4985" s="205"/>
      <c r="J4985" s="205"/>
      <c r="K4985" s="15"/>
      <c r="L4985" s="15"/>
      <c r="M4985" s="15"/>
      <c r="N4985" s="15"/>
      <c r="O4985" s="15"/>
      <c r="P4985" s="15"/>
      <c r="Q4985" s="15"/>
      <c r="R4985" s="15"/>
      <c r="S4985" s="15"/>
      <c r="T4985" s="15"/>
      <c r="U4985" s="15"/>
      <c r="V4985" s="15"/>
      <c r="W4985" s="15"/>
      <c r="X4985" s="15"/>
      <c r="Y4985" s="15"/>
      <c r="Z4985" s="15"/>
      <c r="AA4985" s="15"/>
      <c r="AB4985" s="15"/>
      <c r="AC4985" s="15"/>
      <c r="AD4985" s="15"/>
      <c r="AE4985" s="15"/>
      <c r="AF4985" s="15"/>
      <c r="AG4985" s="15"/>
      <c r="AH4985" s="15"/>
      <c r="AI4985" s="15"/>
      <c r="AJ4985" s="15"/>
    </row>
    <row r="4986" spans="1:36" s="27" customFormat="1" ht="15.75" x14ac:dyDescent="0.25">
      <c r="A4986" s="18"/>
      <c r="B4986" s="7" t="s">
        <v>43</v>
      </c>
      <c r="C4986" s="8" t="s">
        <v>2811</v>
      </c>
      <c r="D4986" s="19">
        <v>2023</v>
      </c>
      <c r="E4986" s="19" t="s">
        <v>0</v>
      </c>
      <c r="F4986" s="7">
        <f>SUMIF($D$4987:$D$9683,$D$4986,$F$4987:$F$9683)</f>
        <v>2888</v>
      </c>
      <c r="G4986" s="10">
        <f>SUMIF($D$4987:$D$9683,$D$4986,$G$4987:$G$9683)</f>
        <v>22909.030000000002</v>
      </c>
      <c r="H4986" s="10">
        <f>SUMIF($D$4987:$D$9683,$D$4986,$H$4987:$H$9683)</f>
        <v>61712.209925000629</v>
      </c>
      <c r="I4986" s="205"/>
      <c r="J4986" s="205"/>
      <c r="K4986" s="15"/>
      <c r="L4986" s="15"/>
      <c r="M4986" s="15"/>
      <c r="N4986" s="15"/>
      <c r="O4986" s="15"/>
      <c r="P4986" s="15"/>
      <c r="Q4986" s="15"/>
      <c r="R4986" s="15"/>
      <c r="S4986" s="15"/>
      <c r="T4986" s="15"/>
      <c r="U4986" s="15"/>
      <c r="V4986" s="15"/>
      <c r="W4986" s="15"/>
      <c r="X4986" s="15"/>
      <c r="Y4986" s="15"/>
      <c r="Z4986" s="15"/>
      <c r="AA4986" s="15"/>
      <c r="AB4986" s="15"/>
      <c r="AC4986" s="15"/>
      <c r="AD4986" s="15"/>
      <c r="AE4986" s="15"/>
      <c r="AF4986" s="15"/>
      <c r="AG4986" s="15"/>
      <c r="AH4986" s="15"/>
      <c r="AI4986" s="15"/>
      <c r="AJ4986" s="15"/>
    </row>
    <row r="4987" spans="1:36" s="15" customFormat="1" ht="16.5" hidden="1" customHeight="1" outlineLevel="1" x14ac:dyDescent="0.25">
      <c r="A4987" s="18">
        <v>2749</v>
      </c>
      <c r="B4987" s="4" t="s">
        <v>43</v>
      </c>
      <c r="C4987" s="38" t="s">
        <v>2135</v>
      </c>
      <c r="D4987" s="18">
        <v>2022</v>
      </c>
      <c r="E4987" s="18" t="s">
        <v>0</v>
      </c>
      <c r="F4987" s="4">
        <v>2</v>
      </c>
      <c r="G4987" s="41">
        <v>20</v>
      </c>
      <c r="H4987" s="41">
        <v>67.450999999999993</v>
      </c>
      <c r="I4987" s="221"/>
      <c r="J4987" s="221"/>
    </row>
    <row r="4988" spans="1:36" s="15" customFormat="1" ht="16.5" hidden="1" customHeight="1" outlineLevel="1" x14ac:dyDescent="0.25">
      <c r="A4988" s="18">
        <v>2750</v>
      </c>
      <c r="B4988" s="4" t="s">
        <v>43</v>
      </c>
      <c r="C4988" s="38" t="s">
        <v>2136</v>
      </c>
      <c r="D4988" s="18">
        <v>2022</v>
      </c>
      <c r="E4988" s="18" t="s">
        <v>0</v>
      </c>
      <c r="F4988" s="4">
        <v>1</v>
      </c>
      <c r="G4988" s="41">
        <v>10</v>
      </c>
      <c r="H4988" s="41">
        <f>0.044215*(1000)</f>
        <v>44.214999999999996</v>
      </c>
      <c r="I4988" s="221"/>
      <c r="J4988" s="221"/>
    </row>
    <row r="4989" spans="1:36" s="15" customFormat="1" ht="16.5" hidden="1" customHeight="1" outlineLevel="1" x14ac:dyDescent="0.25">
      <c r="A4989" s="18">
        <v>2776</v>
      </c>
      <c r="B4989" s="4" t="s">
        <v>43</v>
      </c>
      <c r="C4989" s="38" t="s">
        <v>2141</v>
      </c>
      <c r="D4989" s="18">
        <v>2022</v>
      </c>
      <c r="E4989" s="18" t="s">
        <v>0</v>
      </c>
      <c r="F4989" s="4">
        <v>1</v>
      </c>
      <c r="G4989" s="41">
        <v>10</v>
      </c>
      <c r="H4989" s="41">
        <f>0.059121*(1000)</f>
        <v>59.121000000000002</v>
      </c>
      <c r="I4989" s="221"/>
      <c r="J4989" s="221"/>
    </row>
    <row r="4990" spans="1:36" s="15" customFormat="1" ht="16.5" hidden="1" customHeight="1" outlineLevel="1" x14ac:dyDescent="0.25">
      <c r="A4990" s="18">
        <v>2777</v>
      </c>
      <c r="B4990" s="4" t="s">
        <v>43</v>
      </c>
      <c r="C4990" s="38" t="s">
        <v>2142</v>
      </c>
      <c r="D4990" s="18">
        <v>2022</v>
      </c>
      <c r="E4990" s="18" t="s">
        <v>0</v>
      </c>
      <c r="F4990" s="4">
        <v>1</v>
      </c>
      <c r="G4990" s="41">
        <v>10</v>
      </c>
      <c r="H4990" s="41">
        <f>0.030307*(1000)</f>
        <v>30.307000000000002</v>
      </c>
      <c r="I4990" s="221"/>
      <c r="J4990" s="221"/>
    </row>
    <row r="4991" spans="1:36" s="15" customFormat="1" ht="16.5" hidden="1" customHeight="1" outlineLevel="1" x14ac:dyDescent="0.25">
      <c r="A4991" s="18">
        <v>2783</v>
      </c>
      <c r="B4991" s="4" t="s">
        <v>43</v>
      </c>
      <c r="C4991" s="38" t="s">
        <v>2146</v>
      </c>
      <c r="D4991" s="18">
        <v>2022</v>
      </c>
      <c r="E4991" s="18" t="s">
        <v>0</v>
      </c>
      <c r="F4991" s="4">
        <v>1</v>
      </c>
      <c r="G4991" s="41">
        <v>10</v>
      </c>
      <c r="H4991" s="41">
        <f>0.053799*(1000)</f>
        <v>53.798999999999999</v>
      </c>
      <c r="I4991" s="221"/>
      <c r="J4991" s="221"/>
    </row>
    <row r="4992" spans="1:36" s="15" customFormat="1" ht="16.5" hidden="1" customHeight="1" outlineLevel="1" x14ac:dyDescent="0.25">
      <c r="A4992" s="18">
        <v>2797</v>
      </c>
      <c r="B4992" s="4" t="s">
        <v>43</v>
      </c>
      <c r="C4992" s="38" t="s">
        <v>2150</v>
      </c>
      <c r="D4992" s="18">
        <v>2022</v>
      </c>
      <c r="E4992" s="18" t="s">
        <v>0</v>
      </c>
      <c r="F4992" s="4">
        <v>1</v>
      </c>
      <c r="G4992" s="41">
        <v>10</v>
      </c>
      <c r="H4992" s="41">
        <f>0.041519*(1000)</f>
        <v>41.518999999999998</v>
      </c>
      <c r="I4992" s="221"/>
      <c r="J4992" s="221"/>
    </row>
    <row r="4993" spans="1:10" s="15" customFormat="1" ht="16.5" hidden="1" customHeight="1" outlineLevel="1" x14ac:dyDescent="0.25">
      <c r="A4993" s="18">
        <v>2798</v>
      </c>
      <c r="B4993" s="4" t="s">
        <v>43</v>
      </c>
      <c r="C4993" s="38" t="s">
        <v>2151</v>
      </c>
      <c r="D4993" s="18">
        <v>2022</v>
      </c>
      <c r="E4993" s="18" t="s">
        <v>0</v>
      </c>
      <c r="F4993" s="4">
        <v>3</v>
      </c>
      <c r="G4993" s="41">
        <v>68</v>
      </c>
      <c r="H4993" s="41">
        <f>0.088181*(1000)</f>
        <v>88.180999999999997</v>
      </c>
      <c r="I4993" s="221"/>
      <c r="J4993" s="221"/>
    </row>
    <row r="4994" spans="1:10" s="15" customFormat="1" ht="16.5" hidden="1" customHeight="1" outlineLevel="1" x14ac:dyDescent="0.25">
      <c r="A4994" s="18">
        <v>2799</v>
      </c>
      <c r="B4994" s="4" t="s">
        <v>43</v>
      </c>
      <c r="C4994" s="38" t="s">
        <v>2152</v>
      </c>
      <c r="D4994" s="18">
        <v>2022</v>
      </c>
      <c r="E4994" s="18" t="s">
        <v>0</v>
      </c>
      <c r="F4994" s="4">
        <v>1</v>
      </c>
      <c r="G4994" s="41">
        <v>10</v>
      </c>
      <c r="H4994" s="41">
        <f>0.0523*(1000)</f>
        <v>52.3</v>
      </c>
      <c r="I4994" s="221"/>
      <c r="J4994" s="221"/>
    </row>
    <row r="4995" spans="1:10" s="15" customFormat="1" ht="16.5" hidden="1" customHeight="1" outlineLevel="1" x14ac:dyDescent="0.25">
      <c r="A4995" s="18">
        <v>2852</v>
      </c>
      <c r="B4995" s="4" t="s">
        <v>43</v>
      </c>
      <c r="C4995" s="38" t="s">
        <v>2157</v>
      </c>
      <c r="D4995" s="18">
        <v>2022</v>
      </c>
      <c r="E4995" s="18" t="s">
        <v>0</v>
      </c>
      <c r="F4995" s="4">
        <v>1</v>
      </c>
      <c r="G4995" s="41">
        <v>10</v>
      </c>
      <c r="H4995" s="41">
        <f>0.055081*(1000)</f>
        <v>55.080999999999996</v>
      </c>
      <c r="I4995" s="221"/>
      <c r="J4995" s="221"/>
    </row>
    <row r="4996" spans="1:10" s="15" customFormat="1" ht="16.5" hidden="1" customHeight="1" outlineLevel="1" x14ac:dyDescent="0.25">
      <c r="A4996" s="18">
        <v>2996</v>
      </c>
      <c r="B4996" s="4" t="s">
        <v>43</v>
      </c>
      <c r="C4996" s="38" t="s">
        <v>2161</v>
      </c>
      <c r="D4996" s="18">
        <v>2022</v>
      </c>
      <c r="E4996" s="18" t="s">
        <v>0</v>
      </c>
      <c r="F4996" s="4">
        <v>1</v>
      </c>
      <c r="G4996" s="41">
        <v>6</v>
      </c>
      <c r="H4996" s="41">
        <f>0.110845*(1000)</f>
        <v>110.845</v>
      </c>
      <c r="I4996" s="221"/>
      <c r="J4996" s="221"/>
    </row>
    <row r="4997" spans="1:10" s="15" customFormat="1" ht="16.5" hidden="1" customHeight="1" outlineLevel="1" x14ac:dyDescent="0.25">
      <c r="A4997" s="18">
        <v>4132</v>
      </c>
      <c r="B4997" s="4" t="s">
        <v>43</v>
      </c>
      <c r="C4997" s="38" t="s">
        <v>3149</v>
      </c>
      <c r="D4997" s="18">
        <v>2022</v>
      </c>
      <c r="E4997" s="18" t="s">
        <v>0</v>
      </c>
      <c r="F4997" s="4">
        <v>1</v>
      </c>
      <c r="G4997" s="41">
        <v>8</v>
      </c>
      <c r="H4997" s="41">
        <f>0.0103337*(1000)</f>
        <v>10.3337</v>
      </c>
      <c r="I4997" s="221"/>
      <c r="J4997" s="221"/>
    </row>
    <row r="4998" spans="1:10" s="15" customFormat="1" ht="16.5" hidden="1" customHeight="1" outlineLevel="1" x14ac:dyDescent="0.25">
      <c r="A4998" s="18">
        <v>4133</v>
      </c>
      <c r="B4998" s="4" t="s">
        <v>43</v>
      </c>
      <c r="C4998" s="38" t="s">
        <v>3150</v>
      </c>
      <c r="D4998" s="18">
        <v>2022</v>
      </c>
      <c r="E4998" s="18" t="s">
        <v>0</v>
      </c>
      <c r="F4998" s="4">
        <v>1</v>
      </c>
      <c r="G4998" s="41">
        <v>8</v>
      </c>
      <c r="H4998" s="41">
        <f>0.01033373*(1000)</f>
        <v>10.333729999999999</v>
      </c>
      <c r="I4998" s="221"/>
      <c r="J4998" s="221"/>
    </row>
    <row r="4999" spans="1:10" s="15" customFormat="1" ht="16.5" hidden="1" customHeight="1" outlineLevel="1" x14ac:dyDescent="0.25">
      <c r="A4999" s="18">
        <v>4134</v>
      </c>
      <c r="B4999" s="4" t="s">
        <v>43</v>
      </c>
      <c r="C4999" s="38" t="s">
        <v>3151</v>
      </c>
      <c r="D4999" s="18">
        <v>2022</v>
      </c>
      <c r="E4999" s="18" t="s">
        <v>0</v>
      </c>
      <c r="F4999" s="4">
        <v>1</v>
      </c>
      <c r="G4999" s="41">
        <v>5</v>
      </c>
      <c r="H4999" s="41">
        <f>0.0103337*(1000)</f>
        <v>10.3337</v>
      </c>
      <c r="I4999" s="221"/>
      <c r="J4999" s="221"/>
    </row>
    <row r="5000" spans="1:10" s="15" customFormat="1" ht="16.5" hidden="1" customHeight="1" outlineLevel="1" x14ac:dyDescent="0.25">
      <c r="A5000" s="18">
        <v>4135</v>
      </c>
      <c r="B5000" s="4" t="s">
        <v>43</v>
      </c>
      <c r="C5000" s="38" t="s">
        <v>3152</v>
      </c>
      <c r="D5000" s="18">
        <v>2022</v>
      </c>
      <c r="E5000" s="18" t="s">
        <v>0</v>
      </c>
      <c r="F5000" s="4">
        <v>1</v>
      </c>
      <c r="G5000" s="41">
        <v>10</v>
      </c>
      <c r="H5000" s="41">
        <f>0.01033373*(1000)</f>
        <v>10.333729999999999</v>
      </c>
      <c r="I5000" s="221"/>
      <c r="J5000" s="221"/>
    </row>
    <row r="5001" spans="1:10" s="15" customFormat="1" ht="16.5" hidden="1" customHeight="1" outlineLevel="1" x14ac:dyDescent="0.25">
      <c r="A5001" s="18">
        <v>4136</v>
      </c>
      <c r="B5001" s="4" t="s">
        <v>43</v>
      </c>
      <c r="C5001" s="38" t="s">
        <v>3153</v>
      </c>
      <c r="D5001" s="18">
        <v>2022</v>
      </c>
      <c r="E5001" s="18" t="s">
        <v>0</v>
      </c>
      <c r="F5001" s="4">
        <v>1</v>
      </c>
      <c r="G5001" s="41">
        <v>8</v>
      </c>
      <c r="H5001" s="41">
        <f>0.01055048*(1000)</f>
        <v>10.550479999999999</v>
      </c>
      <c r="I5001" s="221"/>
      <c r="J5001" s="221"/>
    </row>
    <row r="5002" spans="1:10" s="15" customFormat="1" ht="16.5" hidden="1" customHeight="1" outlineLevel="1" x14ac:dyDescent="0.25">
      <c r="A5002" s="18">
        <v>4137</v>
      </c>
      <c r="B5002" s="4" t="s">
        <v>43</v>
      </c>
      <c r="C5002" s="38" t="s">
        <v>3154</v>
      </c>
      <c r="D5002" s="18">
        <v>2022</v>
      </c>
      <c r="E5002" s="18" t="s">
        <v>0</v>
      </c>
      <c r="F5002" s="4">
        <v>1</v>
      </c>
      <c r="G5002" s="41">
        <v>8</v>
      </c>
      <c r="H5002" s="41">
        <f>0.0104001*(1000)</f>
        <v>10.4001</v>
      </c>
      <c r="I5002" s="221"/>
      <c r="J5002" s="221"/>
    </row>
    <row r="5003" spans="1:10" s="15" customFormat="1" ht="16.5" hidden="1" customHeight="1" outlineLevel="1" x14ac:dyDescent="0.25">
      <c r="A5003" s="18">
        <v>4138</v>
      </c>
      <c r="B5003" s="4" t="s">
        <v>43</v>
      </c>
      <c r="C5003" s="38" t="s">
        <v>3155</v>
      </c>
      <c r="D5003" s="18">
        <v>2022</v>
      </c>
      <c r="E5003" s="18" t="s">
        <v>0</v>
      </c>
      <c r="F5003" s="4">
        <v>1</v>
      </c>
      <c r="G5003" s="41">
        <v>5</v>
      </c>
      <c r="H5003" s="41">
        <f>0.01030378*(1000)</f>
        <v>10.30378</v>
      </c>
      <c r="I5003" s="221"/>
      <c r="J5003" s="221"/>
    </row>
    <row r="5004" spans="1:10" s="15" customFormat="1" ht="16.5" hidden="1" customHeight="1" outlineLevel="1" x14ac:dyDescent="0.25">
      <c r="A5004" s="18">
        <v>4139</v>
      </c>
      <c r="B5004" s="4" t="s">
        <v>43</v>
      </c>
      <c r="C5004" s="38" t="s">
        <v>3156</v>
      </c>
      <c r="D5004" s="18">
        <v>2022</v>
      </c>
      <c r="E5004" s="18" t="s">
        <v>0</v>
      </c>
      <c r="F5004" s="4">
        <v>1</v>
      </c>
      <c r="G5004" s="41">
        <v>5</v>
      </c>
      <c r="H5004" s="41">
        <f>0.01052056*(1000)</f>
        <v>10.52056</v>
      </c>
      <c r="I5004" s="221"/>
      <c r="J5004" s="221"/>
    </row>
    <row r="5005" spans="1:10" s="15" customFormat="1" ht="16.5" hidden="1" customHeight="1" outlineLevel="1" x14ac:dyDescent="0.25">
      <c r="A5005" s="18">
        <v>4140</v>
      </c>
      <c r="B5005" s="4" t="s">
        <v>43</v>
      </c>
      <c r="C5005" s="38" t="s">
        <v>3157</v>
      </c>
      <c r="D5005" s="18">
        <v>2022</v>
      </c>
      <c r="E5005" s="18" t="s">
        <v>0</v>
      </c>
      <c r="F5005" s="4">
        <v>1</v>
      </c>
      <c r="G5005" s="41">
        <v>5</v>
      </c>
      <c r="H5005" s="41">
        <f>0.01030377*(1000)</f>
        <v>10.30377</v>
      </c>
      <c r="I5005" s="221"/>
      <c r="J5005" s="221"/>
    </row>
    <row r="5006" spans="1:10" s="15" customFormat="1" ht="16.5" hidden="1" customHeight="1" outlineLevel="1" x14ac:dyDescent="0.25">
      <c r="A5006" s="18">
        <v>4141</v>
      </c>
      <c r="B5006" s="4" t="s">
        <v>43</v>
      </c>
      <c r="C5006" s="38" t="s">
        <v>3158</v>
      </c>
      <c r="D5006" s="18">
        <v>2022</v>
      </c>
      <c r="E5006" s="18" t="s">
        <v>0</v>
      </c>
      <c r="F5006" s="4">
        <v>1</v>
      </c>
      <c r="G5006" s="41">
        <v>5</v>
      </c>
      <c r="H5006" s="41">
        <f>0.01052057*(1000)</f>
        <v>10.520569999999999</v>
      </c>
      <c r="I5006" s="221"/>
      <c r="J5006" s="221"/>
    </row>
    <row r="5007" spans="1:10" s="15" customFormat="1" ht="16.5" hidden="1" customHeight="1" outlineLevel="1" x14ac:dyDescent="0.25">
      <c r="A5007" s="18">
        <v>4142</v>
      </c>
      <c r="B5007" s="4" t="s">
        <v>43</v>
      </c>
      <c r="C5007" s="38" t="s">
        <v>3159</v>
      </c>
      <c r="D5007" s="18">
        <v>2022</v>
      </c>
      <c r="E5007" s="18" t="s">
        <v>0</v>
      </c>
      <c r="F5007" s="4">
        <v>1</v>
      </c>
      <c r="G5007" s="41">
        <v>8</v>
      </c>
      <c r="H5007" s="41">
        <f>0.01034629*(1000)</f>
        <v>10.34629</v>
      </c>
      <c r="I5007" s="221"/>
      <c r="J5007" s="221"/>
    </row>
    <row r="5008" spans="1:10" s="15" customFormat="1" ht="16.5" hidden="1" customHeight="1" outlineLevel="1" x14ac:dyDescent="0.25">
      <c r="A5008" s="18">
        <v>4143</v>
      </c>
      <c r="B5008" s="4" t="s">
        <v>43</v>
      </c>
      <c r="C5008" s="38" t="s">
        <v>3160</v>
      </c>
      <c r="D5008" s="18">
        <v>2022</v>
      </c>
      <c r="E5008" s="18" t="s">
        <v>0</v>
      </c>
      <c r="F5008" s="4">
        <v>1</v>
      </c>
      <c r="G5008" s="41">
        <v>8</v>
      </c>
      <c r="H5008" s="41">
        <f>0.01030377*(1000)</f>
        <v>10.30377</v>
      </c>
      <c r="I5008" s="221"/>
      <c r="J5008" s="221"/>
    </row>
    <row r="5009" spans="1:10" s="15" customFormat="1" ht="16.5" hidden="1" customHeight="1" outlineLevel="1" x14ac:dyDescent="0.25">
      <c r="A5009" s="18">
        <v>4144</v>
      </c>
      <c r="B5009" s="4" t="s">
        <v>43</v>
      </c>
      <c r="C5009" s="38" t="s">
        <v>3161</v>
      </c>
      <c r="D5009" s="18">
        <v>2022</v>
      </c>
      <c r="E5009" s="18" t="s">
        <v>0</v>
      </c>
      <c r="F5009" s="4">
        <v>1</v>
      </c>
      <c r="G5009" s="41">
        <v>8</v>
      </c>
      <c r="H5009" s="41">
        <f>0.01055045*(1000)</f>
        <v>10.55045</v>
      </c>
      <c r="I5009" s="221"/>
      <c r="J5009" s="221"/>
    </row>
    <row r="5010" spans="1:10" s="15" customFormat="1" ht="16.5" hidden="1" customHeight="1" outlineLevel="1" x14ac:dyDescent="0.25">
      <c r="A5010" s="18">
        <v>4145</v>
      </c>
      <c r="B5010" s="4" t="s">
        <v>43</v>
      </c>
      <c r="C5010" s="38" t="s">
        <v>3162</v>
      </c>
      <c r="D5010" s="18">
        <v>2022</v>
      </c>
      <c r="E5010" s="18" t="s">
        <v>0</v>
      </c>
      <c r="F5010" s="4">
        <v>1</v>
      </c>
      <c r="G5010" s="41">
        <v>8</v>
      </c>
      <c r="H5010" s="41">
        <f>0.01033373*(1000)</f>
        <v>10.333729999999999</v>
      </c>
      <c r="I5010" s="221"/>
      <c r="J5010" s="221"/>
    </row>
    <row r="5011" spans="1:10" s="15" customFormat="1" ht="16.5" hidden="1" customHeight="1" outlineLevel="1" x14ac:dyDescent="0.25">
      <c r="A5011" s="18">
        <v>4146</v>
      </c>
      <c r="B5011" s="4" t="s">
        <v>43</v>
      </c>
      <c r="C5011" s="38" t="s">
        <v>3163</v>
      </c>
      <c r="D5011" s="18">
        <v>2022</v>
      </c>
      <c r="E5011" s="18" t="s">
        <v>0</v>
      </c>
      <c r="F5011" s="4">
        <v>1</v>
      </c>
      <c r="G5011" s="41">
        <v>10</v>
      </c>
      <c r="H5011" s="41">
        <f>0.0103337*(1000)</f>
        <v>10.3337</v>
      </c>
      <c r="I5011" s="221"/>
      <c r="J5011" s="221"/>
    </row>
    <row r="5012" spans="1:10" s="15" customFormat="1" ht="16.5" hidden="1" customHeight="1" outlineLevel="1" x14ac:dyDescent="0.25">
      <c r="A5012" s="18">
        <v>4147</v>
      </c>
      <c r="B5012" s="4" t="s">
        <v>43</v>
      </c>
      <c r="C5012" s="38" t="s">
        <v>3164</v>
      </c>
      <c r="D5012" s="18">
        <v>2022</v>
      </c>
      <c r="E5012" s="18" t="s">
        <v>0</v>
      </c>
      <c r="F5012" s="4">
        <v>1</v>
      </c>
      <c r="G5012" s="41">
        <v>8</v>
      </c>
      <c r="H5012" s="41">
        <f>0.01059298*(1000)</f>
        <v>10.592980000000001</v>
      </c>
      <c r="I5012" s="221"/>
      <c r="J5012" s="221"/>
    </row>
    <row r="5013" spans="1:10" s="15" customFormat="1" ht="16.5" hidden="1" customHeight="1" outlineLevel="1" x14ac:dyDescent="0.25">
      <c r="A5013" s="18">
        <v>4148</v>
      </c>
      <c r="B5013" s="4" t="s">
        <v>43</v>
      </c>
      <c r="C5013" s="38" t="s">
        <v>3165</v>
      </c>
      <c r="D5013" s="18">
        <v>2022</v>
      </c>
      <c r="E5013" s="18" t="s">
        <v>0</v>
      </c>
      <c r="F5013" s="4">
        <v>1</v>
      </c>
      <c r="G5013" s="41">
        <v>10</v>
      </c>
      <c r="H5013" s="41">
        <f>0.0103762*(1000)</f>
        <v>10.376200000000001</v>
      </c>
      <c r="I5013" s="221"/>
      <c r="J5013" s="221"/>
    </row>
    <row r="5014" spans="1:10" s="15" customFormat="1" ht="16.5" hidden="1" customHeight="1" outlineLevel="1" x14ac:dyDescent="0.25">
      <c r="A5014" s="18">
        <v>4149</v>
      </c>
      <c r="B5014" s="4" t="s">
        <v>43</v>
      </c>
      <c r="C5014" s="38" t="s">
        <v>3166</v>
      </c>
      <c r="D5014" s="18">
        <v>2022</v>
      </c>
      <c r="E5014" s="18" t="s">
        <v>0</v>
      </c>
      <c r="F5014" s="4">
        <v>1</v>
      </c>
      <c r="G5014" s="41">
        <v>5</v>
      </c>
      <c r="H5014" s="41">
        <f>0.01033371*(1000)</f>
        <v>10.33371</v>
      </c>
      <c r="I5014" s="221"/>
      <c r="J5014" s="221"/>
    </row>
    <row r="5015" spans="1:10" s="15" customFormat="1" ht="16.5" hidden="1" customHeight="1" outlineLevel="1" x14ac:dyDescent="0.25">
      <c r="A5015" s="18">
        <v>4150</v>
      </c>
      <c r="B5015" s="4" t="s">
        <v>43</v>
      </c>
      <c r="C5015" s="38" t="s">
        <v>3167</v>
      </c>
      <c r="D5015" s="18">
        <v>2022</v>
      </c>
      <c r="E5015" s="18" t="s">
        <v>0</v>
      </c>
      <c r="F5015" s="4">
        <v>1</v>
      </c>
      <c r="G5015" s="41">
        <v>5</v>
      </c>
      <c r="H5015" s="41">
        <f>0.01059294*(1000)</f>
        <v>10.59294</v>
      </c>
      <c r="I5015" s="221"/>
      <c r="J5015" s="221"/>
    </row>
    <row r="5016" spans="1:10" s="15" customFormat="1" ht="16.5" hidden="1" customHeight="1" outlineLevel="1" x14ac:dyDescent="0.25">
      <c r="A5016" s="18">
        <v>4151</v>
      </c>
      <c r="B5016" s="4" t="s">
        <v>43</v>
      </c>
      <c r="C5016" s="38" t="s">
        <v>3168</v>
      </c>
      <c r="D5016" s="18">
        <v>2022</v>
      </c>
      <c r="E5016" s="18" t="s">
        <v>0</v>
      </c>
      <c r="F5016" s="4">
        <v>1</v>
      </c>
      <c r="G5016" s="41">
        <v>5</v>
      </c>
      <c r="H5016" s="41">
        <f>0.01055047*(1000)</f>
        <v>10.550469999999999</v>
      </c>
      <c r="I5016" s="221"/>
      <c r="J5016" s="221"/>
    </row>
    <row r="5017" spans="1:10" s="15" customFormat="1" ht="16.5" hidden="1" customHeight="1" outlineLevel="1" x14ac:dyDescent="0.25">
      <c r="A5017" s="18">
        <v>4152</v>
      </c>
      <c r="B5017" s="4" t="s">
        <v>43</v>
      </c>
      <c r="C5017" s="38" t="s">
        <v>3169</v>
      </c>
      <c r="D5017" s="18">
        <v>2022</v>
      </c>
      <c r="E5017" s="18" t="s">
        <v>0</v>
      </c>
      <c r="F5017" s="4">
        <v>1</v>
      </c>
      <c r="G5017" s="41">
        <v>8</v>
      </c>
      <c r="H5017" s="41">
        <f>0.01037621*(1000)</f>
        <v>10.37621</v>
      </c>
      <c r="I5017" s="221"/>
      <c r="J5017" s="221"/>
    </row>
    <row r="5018" spans="1:10" s="15" customFormat="1" ht="16.5" hidden="1" customHeight="1" outlineLevel="1" x14ac:dyDescent="0.25">
      <c r="A5018" s="18">
        <v>4153</v>
      </c>
      <c r="B5018" s="4" t="s">
        <v>43</v>
      </c>
      <c r="C5018" s="38" t="s">
        <v>3170</v>
      </c>
      <c r="D5018" s="18">
        <v>2022</v>
      </c>
      <c r="E5018" s="18" t="s">
        <v>0</v>
      </c>
      <c r="F5018" s="4">
        <v>1</v>
      </c>
      <c r="G5018" s="41">
        <v>8</v>
      </c>
      <c r="H5018" s="41">
        <f>0.01033372*(1000)</f>
        <v>10.33372</v>
      </c>
      <c r="I5018" s="221"/>
      <c r="J5018" s="221"/>
    </row>
    <row r="5019" spans="1:10" s="15" customFormat="1" ht="16.5" hidden="1" customHeight="1" outlineLevel="1" x14ac:dyDescent="0.25">
      <c r="A5019" s="18">
        <v>4154</v>
      </c>
      <c r="B5019" s="4" t="s">
        <v>43</v>
      </c>
      <c r="C5019" s="38" t="s">
        <v>3171</v>
      </c>
      <c r="D5019" s="18">
        <v>2022</v>
      </c>
      <c r="E5019" s="18" t="s">
        <v>0</v>
      </c>
      <c r="F5019" s="4">
        <v>1</v>
      </c>
      <c r="G5019" s="41">
        <v>10</v>
      </c>
      <c r="H5019" s="41">
        <f>0.01033372*(1000)</f>
        <v>10.33372</v>
      </c>
      <c r="I5019" s="221"/>
      <c r="J5019" s="221"/>
    </row>
    <row r="5020" spans="1:10" s="15" customFormat="1" ht="16.5" hidden="1" customHeight="1" outlineLevel="1" x14ac:dyDescent="0.25">
      <c r="A5020" s="18">
        <v>4155</v>
      </c>
      <c r="B5020" s="4" t="s">
        <v>43</v>
      </c>
      <c r="C5020" s="38" t="s">
        <v>3172</v>
      </c>
      <c r="D5020" s="18">
        <v>2022</v>
      </c>
      <c r="E5020" s="18" t="s">
        <v>0</v>
      </c>
      <c r="F5020" s="4">
        <v>1</v>
      </c>
      <c r="G5020" s="41">
        <v>8</v>
      </c>
      <c r="H5020" s="41">
        <f>0.01037621*(1000)</f>
        <v>10.37621</v>
      </c>
      <c r="I5020" s="221"/>
      <c r="J5020" s="221"/>
    </row>
    <row r="5021" spans="1:10" s="15" customFormat="1" ht="16.5" hidden="1" customHeight="1" outlineLevel="1" x14ac:dyDescent="0.25">
      <c r="A5021" s="18">
        <v>4156</v>
      </c>
      <c r="B5021" s="4" t="s">
        <v>43</v>
      </c>
      <c r="C5021" s="38" t="s">
        <v>3173</v>
      </c>
      <c r="D5021" s="18">
        <v>2022</v>
      </c>
      <c r="E5021" s="18" t="s">
        <v>0</v>
      </c>
      <c r="F5021" s="4">
        <v>1</v>
      </c>
      <c r="G5021" s="41">
        <v>8</v>
      </c>
      <c r="H5021" s="41">
        <f>0.01033372*(1000)</f>
        <v>10.33372</v>
      </c>
      <c r="I5021" s="221"/>
      <c r="J5021" s="221"/>
    </row>
    <row r="5022" spans="1:10" s="15" customFormat="1" ht="16.5" hidden="1" customHeight="1" outlineLevel="1" x14ac:dyDescent="0.25">
      <c r="A5022" s="18">
        <v>4157</v>
      </c>
      <c r="B5022" s="4" t="s">
        <v>43</v>
      </c>
      <c r="C5022" s="38" t="s">
        <v>3174</v>
      </c>
      <c r="D5022" s="18">
        <v>2022</v>
      </c>
      <c r="E5022" s="18" t="s">
        <v>0</v>
      </c>
      <c r="F5022" s="4">
        <v>1</v>
      </c>
      <c r="G5022" s="41">
        <v>5</v>
      </c>
      <c r="H5022" s="41">
        <f>0.01059297*(1000)</f>
        <v>10.592969999999999</v>
      </c>
      <c r="I5022" s="221"/>
      <c r="J5022" s="221"/>
    </row>
    <row r="5023" spans="1:10" s="15" customFormat="1" ht="16.5" hidden="1" customHeight="1" outlineLevel="1" x14ac:dyDescent="0.25">
      <c r="A5023" s="18">
        <v>4158</v>
      </c>
      <c r="B5023" s="4" t="s">
        <v>43</v>
      </c>
      <c r="C5023" s="38" t="s">
        <v>3175</v>
      </c>
      <c r="D5023" s="18">
        <v>2022</v>
      </c>
      <c r="E5023" s="18" t="s">
        <v>0</v>
      </c>
      <c r="F5023" s="4">
        <v>1</v>
      </c>
      <c r="G5023" s="41">
        <v>10</v>
      </c>
      <c r="H5023" s="41">
        <f>0.01049996*(1000)</f>
        <v>10.49996</v>
      </c>
      <c r="I5023" s="221"/>
      <c r="J5023" s="221"/>
    </row>
    <row r="5024" spans="1:10" s="15" customFormat="1" ht="16.5" hidden="1" customHeight="1" outlineLevel="1" x14ac:dyDescent="0.25">
      <c r="A5024" s="18">
        <v>4159</v>
      </c>
      <c r="B5024" s="4" t="s">
        <v>43</v>
      </c>
      <c r="C5024" s="38" t="s">
        <v>3176</v>
      </c>
      <c r="D5024" s="18">
        <v>2022</v>
      </c>
      <c r="E5024" s="18" t="s">
        <v>0</v>
      </c>
      <c r="F5024" s="4">
        <v>1</v>
      </c>
      <c r="G5024" s="41">
        <v>10</v>
      </c>
      <c r="H5024" s="41">
        <f>0.0102832*(1000)</f>
        <v>10.283199999999999</v>
      </c>
      <c r="I5024" s="221"/>
      <c r="J5024" s="221"/>
    </row>
    <row r="5025" spans="1:10" s="15" customFormat="1" ht="16.5" hidden="1" customHeight="1" outlineLevel="1" x14ac:dyDescent="0.25">
      <c r="A5025" s="18">
        <v>4160</v>
      </c>
      <c r="B5025" s="4" t="s">
        <v>43</v>
      </c>
      <c r="C5025" s="38" t="s">
        <v>3177</v>
      </c>
      <c r="D5025" s="18">
        <v>2022</v>
      </c>
      <c r="E5025" s="18" t="s">
        <v>0</v>
      </c>
      <c r="F5025" s="4">
        <v>1</v>
      </c>
      <c r="G5025" s="41">
        <v>8</v>
      </c>
      <c r="H5025" s="41">
        <f>0.0102832*(1000)</f>
        <v>10.283199999999999</v>
      </c>
      <c r="I5025" s="221"/>
      <c r="J5025" s="221"/>
    </row>
    <row r="5026" spans="1:10" s="15" customFormat="1" ht="16.5" hidden="1" customHeight="1" outlineLevel="1" x14ac:dyDescent="0.25">
      <c r="A5026" s="18">
        <v>4161</v>
      </c>
      <c r="B5026" s="4" t="s">
        <v>43</v>
      </c>
      <c r="C5026" s="38" t="s">
        <v>3178</v>
      </c>
      <c r="D5026" s="18">
        <v>2022</v>
      </c>
      <c r="E5026" s="18" t="s">
        <v>0</v>
      </c>
      <c r="F5026" s="4">
        <v>1</v>
      </c>
      <c r="G5026" s="41">
        <v>8</v>
      </c>
      <c r="H5026" s="41">
        <f>0.0102832*(1000)</f>
        <v>10.283199999999999</v>
      </c>
      <c r="I5026" s="221"/>
      <c r="J5026" s="221"/>
    </row>
    <row r="5027" spans="1:10" s="15" customFormat="1" ht="16.5" hidden="1" customHeight="1" outlineLevel="1" x14ac:dyDescent="0.25">
      <c r="A5027" s="18">
        <v>4162</v>
      </c>
      <c r="B5027" s="4" t="s">
        <v>43</v>
      </c>
      <c r="C5027" s="38" t="s">
        <v>3179</v>
      </c>
      <c r="D5027" s="18">
        <v>2022</v>
      </c>
      <c r="E5027" s="18" t="s">
        <v>0</v>
      </c>
      <c r="F5027" s="4">
        <v>1</v>
      </c>
      <c r="G5027" s="41">
        <v>8</v>
      </c>
      <c r="H5027" s="41">
        <f>0.01032569*(1000)</f>
        <v>10.32569</v>
      </c>
      <c r="I5027" s="221"/>
      <c r="J5027" s="221"/>
    </row>
    <row r="5028" spans="1:10" s="15" customFormat="1" ht="16.5" hidden="1" customHeight="1" outlineLevel="1" x14ac:dyDescent="0.25">
      <c r="A5028" s="18">
        <v>4163</v>
      </c>
      <c r="B5028" s="4" t="s">
        <v>43</v>
      </c>
      <c r="C5028" s="38" t="s">
        <v>3180</v>
      </c>
      <c r="D5028" s="18">
        <v>2022</v>
      </c>
      <c r="E5028" s="18" t="s">
        <v>0</v>
      </c>
      <c r="F5028" s="4">
        <v>1</v>
      </c>
      <c r="G5028" s="41">
        <v>5</v>
      </c>
      <c r="H5028" s="41">
        <f>0.0102832*(1000)</f>
        <v>10.283199999999999</v>
      </c>
      <c r="I5028" s="221"/>
      <c r="J5028" s="221"/>
    </row>
    <row r="5029" spans="1:10" s="15" customFormat="1" ht="16.5" hidden="1" customHeight="1" outlineLevel="1" x14ac:dyDescent="0.25">
      <c r="A5029" s="18">
        <v>4164</v>
      </c>
      <c r="B5029" s="4" t="s">
        <v>43</v>
      </c>
      <c r="C5029" s="38" t="s">
        <v>3181</v>
      </c>
      <c r="D5029" s="18">
        <v>2022</v>
      </c>
      <c r="E5029" s="18" t="s">
        <v>0</v>
      </c>
      <c r="F5029" s="4">
        <v>1</v>
      </c>
      <c r="G5029" s="41">
        <v>5</v>
      </c>
      <c r="H5029" s="41">
        <f>0.01049996*(1000)</f>
        <v>10.49996</v>
      </c>
      <c r="I5029" s="221"/>
      <c r="J5029" s="221"/>
    </row>
    <row r="5030" spans="1:10" s="15" customFormat="1" ht="16.5" hidden="1" customHeight="1" outlineLevel="1" x14ac:dyDescent="0.25">
      <c r="A5030" s="18">
        <v>4165</v>
      </c>
      <c r="B5030" s="4" t="s">
        <v>43</v>
      </c>
      <c r="C5030" s="38" t="s">
        <v>3182</v>
      </c>
      <c r="D5030" s="18">
        <v>2022</v>
      </c>
      <c r="E5030" s="18" t="s">
        <v>0</v>
      </c>
      <c r="F5030" s="4">
        <v>1</v>
      </c>
      <c r="G5030" s="41">
        <v>8</v>
      </c>
      <c r="H5030" s="41">
        <f>0.01054245*(1000)</f>
        <v>10.542450000000001</v>
      </c>
      <c r="I5030" s="221"/>
      <c r="J5030" s="221"/>
    </row>
    <row r="5031" spans="1:10" s="15" customFormat="1" ht="16.5" hidden="1" customHeight="1" outlineLevel="1" x14ac:dyDescent="0.25">
      <c r="A5031" s="18">
        <v>4166</v>
      </c>
      <c r="B5031" s="4" t="s">
        <v>43</v>
      </c>
      <c r="C5031" s="38" t="s">
        <v>3183</v>
      </c>
      <c r="D5031" s="18">
        <v>2022</v>
      </c>
      <c r="E5031" s="18" t="s">
        <v>0</v>
      </c>
      <c r="F5031" s="4">
        <v>1</v>
      </c>
      <c r="G5031" s="41">
        <v>8</v>
      </c>
      <c r="H5031" s="41">
        <f>0.0102832*(1000)</f>
        <v>10.283199999999999</v>
      </c>
      <c r="I5031" s="221"/>
      <c r="J5031" s="221"/>
    </row>
    <row r="5032" spans="1:10" s="15" customFormat="1" ht="16.5" hidden="1" customHeight="1" outlineLevel="1" x14ac:dyDescent="0.25">
      <c r="A5032" s="18">
        <v>4167</v>
      </c>
      <c r="B5032" s="4" t="s">
        <v>43</v>
      </c>
      <c r="C5032" s="38" t="s">
        <v>3184</v>
      </c>
      <c r="D5032" s="18">
        <v>2022</v>
      </c>
      <c r="E5032" s="18" t="s">
        <v>0</v>
      </c>
      <c r="F5032" s="4">
        <v>1</v>
      </c>
      <c r="G5032" s="41">
        <v>5</v>
      </c>
      <c r="H5032" s="41">
        <f>0.01032569*(1000)</f>
        <v>10.32569</v>
      </c>
      <c r="I5032" s="221"/>
      <c r="J5032" s="221"/>
    </row>
    <row r="5033" spans="1:10" s="15" customFormat="1" ht="16.5" hidden="1" customHeight="1" outlineLevel="1" x14ac:dyDescent="0.25">
      <c r="A5033" s="18">
        <v>4168</v>
      </c>
      <c r="B5033" s="4" t="s">
        <v>43</v>
      </c>
      <c r="C5033" s="38" t="s">
        <v>3185</v>
      </c>
      <c r="D5033" s="18">
        <v>2022</v>
      </c>
      <c r="E5033" s="18" t="s">
        <v>0</v>
      </c>
      <c r="F5033" s="4">
        <v>1</v>
      </c>
      <c r="G5033" s="41">
        <v>8</v>
      </c>
      <c r="H5033" s="41">
        <f>0.0102832*(1000)</f>
        <v>10.283199999999999</v>
      </c>
      <c r="I5033" s="221"/>
      <c r="J5033" s="221"/>
    </row>
    <row r="5034" spans="1:10" s="15" customFormat="1" ht="16.5" hidden="1" customHeight="1" outlineLevel="1" x14ac:dyDescent="0.25">
      <c r="A5034" s="18">
        <v>4169</v>
      </c>
      <c r="B5034" s="4" t="s">
        <v>43</v>
      </c>
      <c r="C5034" s="38" t="s">
        <v>3186</v>
      </c>
      <c r="D5034" s="18">
        <v>2022</v>
      </c>
      <c r="E5034" s="18" t="s">
        <v>0</v>
      </c>
      <c r="F5034" s="4">
        <v>1</v>
      </c>
      <c r="G5034" s="41">
        <v>8</v>
      </c>
      <c r="H5034" s="41">
        <f>0.0102832*(1000)</f>
        <v>10.283199999999999</v>
      </c>
      <c r="I5034" s="221"/>
      <c r="J5034" s="221"/>
    </row>
    <row r="5035" spans="1:10" s="15" customFormat="1" ht="16.5" hidden="1" customHeight="1" outlineLevel="1" x14ac:dyDescent="0.25">
      <c r="A5035" s="18">
        <v>4170</v>
      </c>
      <c r="B5035" s="4" t="s">
        <v>43</v>
      </c>
      <c r="C5035" s="38" t="s">
        <v>3187</v>
      </c>
      <c r="D5035" s="18">
        <v>2022</v>
      </c>
      <c r="E5035" s="18" t="s">
        <v>0</v>
      </c>
      <c r="F5035" s="4">
        <v>1</v>
      </c>
      <c r="G5035" s="41">
        <v>8</v>
      </c>
      <c r="H5035" s="41">
        <f>0.0102832*(1000)</f>
        <v>10.283199999999999</v>
      </c>
      <c r="I5035" s="221"/>
      <c r="J5035" s="221"/>
    </row>
    <row r="5036" spans="1:10" s="15" customFormat="1" ht="16.5" hidden="1" customHeight="1" outlineLevel="1" x14ac:dyDescent="0.25">
      <c r="A5036" s="18">
        <v>4171</v>
      </c>
      <c r="B5036" s="4" t="s">
        <v>43</v>
      </c>
      <c r="C5036" s="38" t="s">
        <v>3188</v>
      </c>
      <c r="D5036" s="18">
        <v>2022</v>
      </c>
      <c r="E5036" s="18" t="s">
        <v>0</v>
      </c>
      <c r="F5036" s="4">
        <v>1</v>
      </c>
      <c r="G5036" s="41">
        <v>5</v>
      </c>
      <c r="H5036" s="41">
        <f>0.01041729*(1000)</f>
        <v>10.417289999999999</v>
      </c>
      <c r="I5036" s="221"/>
      <c r="J5036" s="221"/>
    </row>
    <row r="5037" spans="1:10" s="15" customFormat="1" ht="16.5" hidden="1" customHeight="1" outlineLevel="1" x14ac:dyDescent="0.25">
      <c r="A5037" s="18">
        <v>4172</v>
      </c>
      <c r="B5037" s="4" t="s">
        <v>43</v>
      </c>
      <c r="C5037" s="38" t="s">
        <v>3189</v>
      </c>
      <c r="D5037" s="18">
        <v>2022</v>
      </c>
      <c r="E5037" s="18" t="s">
        <v>0</v>
      </c>
      <c r="F5037" s="4">
        <v>1</v>
      </c>
      <c r="G5037" s="41">
        <v>5</v>
      </c>
      <c r="H5037" s="41">
        <f>0.01041729*(1000)</f>
        <v>10.417289999999999</v>
      </c>
      <c r="I5037" s="221"/>
      <c r="J5037" s="221"/>
    </row>
    <row r="5038" spans="1:10" s="15" customFormat="1" ht="16.5" hidden="1" customHeight="1" outlineLevel="1" x14ac:dyDescent="0.25">
      <c r="A5038" s="18">
        <v>4173</v>
      </c>
      <c r="B5038" s="4" t="s">
        <v>43</v>
      </c>
      <c r="C5038" s="38" t="s">
        <v>3190</v>
      </c>
      <c r="D5038" s="18">
        <v>2022</v>
      </c>
      <c r="E5038" s="18" t="s">
        <v>0</v>
      </c>
      <c r="F5038" s="4">
        <v>1</v>
      </c>
      <c r="G5038" s="41">
        <v>8</v>
      </c>
      <c r="H5038" s="41">
        <f>0.01020055*(1000)</f>
        <v>10.20055</v>
      </c>
      <c r="I5038" s="221"/>
      <c r="J5038" s="221"/>
    </row>
    <row r="5039" spans="1:10" s="15" customFormat="1" ht="16.5" hidden="1" customHeight="1" outlineLevel="1" x14ac:dyDescent="0.25">
      <c r="A5039" s="18">
        <v>4174</v>
      </c>
      <c r="B5039" s="4" t="s">
        <v>43</v>
      </c>
      <c r="C5039" s="38" t="s">
        <v>3191</v>
      </c>
      <c r="D5039" s="18">
        <v>2022</v>
      </c>
      <c r="E5039" s="18" t="s">
        <v>0</v>
      </c>
      <c r="F5039" s="4">
        <v>1</v>
      </c>
      <c r="G5039" s="41">
        <v>8</v>
      </c>
      <c r="H5039" s="41">
        <f>0.01020055*(1000)</f>
        <v>10.20055</v>
      </c>
      <c r="I5039" s="221"/>
      <c r="J5039" s="221"/>
    </row>
    <row r="5040" spans="1:10" s="15" customFormat="1" ht="16.5" hidden="1" customHeight="1" outlineLevel="1" x14ac:dyDescent="0.25">
      <c r="A5040" s="18">
        <v>4175</v>
      </c>
      <c r="B5040" s="4" t="s">
        <v>43</v>
      </c>
      <c r="C5040" s="38" t="s">
        <v>3192</v>
      </c>
      <c r="D5040" s="18">
        <v>2022</v>
      </c>
      <c r="E5040" s="18" t="s">
        <v>0</v>
      </c>
      <c r="F5040" s="4">
        <v>1</v>
      </c>
      <c r="G5040" s="41">
        <v>10</v>
      </c>
      <c r="H5040" s="41">
        <f>0.01020055*(1000)</f>
        <v>10.20055</v>
      </c>
      <c r="I5040" s="221"/>
      <c r="J5040" s="221"/>
    </row>
    <row r="5041" spans="1:10" s="15" customFormat="1" ht="16.5" hidden="1" customHeight="1" outlineLevel="1" x14ac:dyDescent="0.25">
      <c r="A5041" s="18">
        <v>4176</v>
      </c>
      <c r="B5041" s="4" t="s">
        <v>43</v>
      </c>
      <c r="C5041" s="38" t="s">
        <v>3193</v>
      </c>
      <c r="D5041" s="18">
        <v>2022</v>
      </c>
      <c r="E5041" s="18" t="s">
        <v>0</v>
      </c>
      <c r="F5041" s="4">
        <v>1</v>
      </c>
      <c r="G5041" s="41">
        <v>8</v>
      </c>
      <c r="H5041" s="41">
        <f>0.01015807*(1000)</f>
        <v>10.15807</v>
      </c>
      <c r="I5041" s="221"/>
      <c r="J5041" s="221"/>
    </row>
    <row r="5042" spans="1:10" s="15" customFormat="1" ht="16.5" hidden="1" customHeight="1" outlineLevel="1" x14ac:dyDescent="0.25">
      <c r="A5042" s="18">
        <v>4177</v>
      </c>
      <c r="B5042" s="4" t="s">
        <v>43</v>
      </c>
      <c r="C5042" s="38" t="s">
        <v>3194</v>
      </c>
      <c r="D5042" s="18">
        <v>2022</v>
      </c>
      <c r="E5042" s="18" t="s">
        <v>0</v>
      </c>
      <c r="F5042" s="4">
        <v>1</v>
      </c>
      <c r="G5042" s="41">
        <v>8</v>
      </c>
      <c r="H5042" s="41">
        <f>0.01037484*(1000)</f>
        <v>10.374839999999999</v>
      </c>
      <c r="I5042" s="221"/>
      <c r="J5042" s="221"/>
    </row>
    <row r="5043" spans="1:10" s="15" customFormat="1" ht="16.5" hidden="1" customHeight="1" outlineLevel="1" x14ac:dyDescent="0.25">
      <c r="A5043" s="18">
        <v>4178</v>
      </c>
      <c r="B5043" s="4" t="s">
        <v>43</v>
      </c>
      <c r="C5043" s="38" t="s">
        <v>3195</v>
      </c>
      <c r="D5043" s="18">
        <v>2022</v>
      </c>
      <c r="E5043" s="18" t="s">
        <v>0</v>
      </c>
      <c r="F5043" s="4">
        <v>1</v>
      </c>
      <c r="G5043" s="41">
        <v>8</v>
      </c>
      <c r="H5043" s="41">
        <f>0.01037484*(1000)</f>
        <v>10.374839999999999</v>
      </c>
      <c r="I5043" s="221"/>
      <c r="J5043" s="221"/>
    </row>
    <row r="5044" spans="1:10" s="15" customFormat="1" ht="16.5" hidden="1" customHeight="1" outlineLevel="1" x14ac:dyDescent="0.25">
      <c r="A5044" s="18">
        <v>4179</v>
      </c>
      <c r="B5044" s="4" t="s">
        <v>43</v>
      </c>
      <c r="C5044" s="38" t="s">
        <v>3196</v>
      </c>
      <c r="D5044" s="18">
        <v>2022</v>
      </c>
      <c r="E5044" s="18" t="s">
        <v>0</v>
      </c>
      <c r="F5044" s="4">
        <v>1</v>
      </c>
      <c r="G5044" s="41">
        <v>8</v>
      </c>
      <c r="H5044" s="41">
        <f>0.01037484*(1000)</f>
        <v>10.374839999999999</v>
      </c>
      <c r="I5044" s="221"/>
      <c r="J5044" s="221"/>
    </row>
    <row r="5045" spans="1:10" s="15" customFormat="1" ht="16.5" hidden="1" customHeight="1" outlineLevel="1" x14ac:dyDescent="0.25">
      <c r="A5045" s="18">
        <v>4180</v>
      </c>
      <c r="B5045" s="4" t="s">
        <v>43</v>
      </c>
      <c r="C5045" s="38" t="s">
        <v>3197</v>
      </c>
      <c r="D5045" s="18">
        <v>2022</v>
      </c>
      <c r="E5045" s="18" t="s">
        <v>0</v>
      </c>
      <c r="F5045" s="4">
        <v>1</v>
      </c>
      <c r="G5045" s="41">
        <v>5</v>
      </c>
      <c r="H5045" s="41">
        <f>0.01020055*(1000)</f>
        <v>10.20055</v>
      </c>
      <c r="I5045" s="221"/>
      <c r="J5045" s="221"/>
    </row>
    <row r="5046" spans="1:10" s="15" customFormat="1" ht="16.5" hidden="1" customHeight="1" outlineLevel="1" x14ac:dyDescent="0.25">
      <c r="A5046" s="18">
        <v>4181</v>
      </c>
      <c r="B5046" s="4" t="s">
        <v>43</v>
      </c>
      <c r="C5046" s="38" t="s">
        <v>3198</v>
      </c>
      <c r="D5046" s="18">
        <v>2022</v>
      </c>
      <c r="E5046" s="18" t="s">
        <v>0</v>
      </c>
      <c r="F5046" s="4">
        <v>1</v>
      </c>
      <c r="G5046" s="41">
        <v>8</v>
      </c>
      <c r="H5046" s="41">
        <f>0.01015807*(1000)</f>
        <v>10.15807</v>
      </c>
      <c r="I5046" s="221"/>
      <c r="J5046" s="221"/>
    </row>
    <row r="5047" spans="1:10" s="15" customFormat="1" ht="16.5" hidden="1" customHeight="1" outlineLevel="1" x14ac:dyDescent="0.25">
      <c r="A5047" s="18">
        <v>4182</v>
      </c>
      <c r="B5047" s="4" t="s">
        <v>43</v>
      </c>
      <c r="C5047" s="38" t="s">
        <v>3199</v>
      </c>
      <c r="D5047" s="18">
        <v>2022</v>
      </c>
      <c r="E5047" s="18" t="s">
        <v>0</v>
      </c>
      <c r="F5047" s="4">
        <v>1</v>
      </c>
      <c r="G5047" s="41">
        <v>10</v>
      </c>
      <c r="H5047" s="41">
        <f>0.01015806*(1000)</f>
        <v>10.158060000000001</v>
      </c>
      <c r="I5047" s="221"/>
      <c r="J5047" s="221"/>
    </row>
    <row r="5048" spans="1:10" s="15" customFormat="1" ht="16.5" hidden="1" customHeight="1" outlineLevel="1" x14ac:dyDescent="0.25">
      <c r="A5048" s="18">
        <v>4183</v>
      </c>
      <c r="B5048" s="4" t="s">
        <v>43</v>
      </c>
      <c r="C5048" s="38" t="s">
        <v>3200</v>
      </c>
      <c r="D5048" s="18">
        <v>2022</v>
      </c>
      <c r="E5048" s="18" t="s">
        <v>0</v>
      </c>
      <c r="F5048" s="4">
        <v>1</v>
      </c>
      <c r="G5048" s="41">
        <v>5</v>
      </c>
      <c r="H5048" s="41">
        <f>0.01015807*(1000)</f>
        <v>10.15807</v>
      </c>
      <c r="I5048" s="221"/>
      <c r="J5048" s="221"/>
    </row>
    <row r="5049" spans="1:10" s="15" customFormat="1" ht="16.5" hidden="1" customHeight="1" outlineLevel="1" x14ac:dyDescent="0.25">
      <c r="A5049" s="18">
        <v>4184</v>
      </c>
      <c r="B5049" s="4" t="s">
        <v>43</v>
      </c>
      <c r="C5049" s="38" t="s">
        <v>3201</v>
      </c>
      <c r="D5049" s="18">
        <v>2022</v>
      </c>
      <c r="E5049" s="18" t="s">
        <v>0</v>
      </c>
      <c r="F5049" s="4">
        <v>1</v>
      </c>
      <c r="G5049" s="41">
        <v>8</v>
      </c>
      <c r="H5049" s="41">
        <f>0.01037483*(1000)</f>
        <v>10.374829999999999</v>
      </c>
      <c r="I5049" s="221"/>
      <c r="J5049" s="221"/>
    </row>
    <row r="5050" spans="1:10" s="15" customFormat="1" ht="16.5" hidden="1" customHeight="1" outlineLevel="1" x14ac:dyDescent="0.25">
      <c r="A5050" s="18">
        <v>4185</v>
      </c>
      <c r="B5050" s="4" t="s">
        <v>43</v>
      </c>
      <c r="C5050" s="38" t="s">
        <v>3202</v>
      </c>
      <c r="D5050" s="18">
        <v>2022</v>
      </c>
      <c r="E5050" s="18" t="s">
        <v>0</v>
      </c>
      <c r="F5050" s="4">
        <v>1</v>
      </c>
      <c r="G5050" s="41">
        <v>5</v>
      </c>
      <c r="H5050" s="41">
        <f>0.01037483*(1000)</f>
        <v>10.374829999999999</v>
      </c>
      <c r="I5050" s="221"/>
      <c r="J5050" s="221"/>
    </row>
    <row r="5051" spans="1:10" s="15" customFormat="1" ht="16.5" hidden="1" customHeight="1" outlineLevel="1" x14ac:dyDescent="0.25">
      <c r="A5051" s="18">
        <v>4186</v>
      </c>
      <c r="B5051" s="4" t="s">
        <v>43</v>
      </c>
      <c r="C5051" s="38" t="s">
        <v>3203</v>
      </c>
      <c r="D5051" s="18">
        <v>2022</v>
      </c>
      <c r="E5051" s="18" t="s">
        <v>0</v>
      </c>
      <c r="F5051" s="4">
        <v>1</v>
      </c>
      <c r="G5051" s="41">
        <v>8</v>
      </c>
      <c r="H5051" s="41">
        <f>0.01041729*(1000)</f>
        <v>10.417289999999999</v>
      </c>
      <c r="I5051" s="221"/>
      <c r="J5051" s="221"/>
    </row>
    <row r="5052" spans="1:10" s="15" customFormat="1" ht="16.5" hidden="1" customHeight="1" outlineLevel="1" x14ac:dyDescent="0.25">
      <c r="A5052" s="18">
        <v>4187</v>
      </c>
      <c r="B5052" s="4" t="s">
        <v>43</v>
      </c>
      <c r="C5052" s="38" t="s">
        <v>3204</v>
      </c>
      <c r="D5052" s="18">
        <v>2022</v>
      </c>
      <c r="E5052" s="18" t="s">
        <v>0</v>
      </c>
      <c r="F5052" s="4">
        <v>1</v>
      </c>
      <c r="G5052" s="41">
        <v>8</v>
      </c>
      <c r="H5052" s="41">
        <f>0.01037482*(1000)</f>
        <v>10.37482</v>
      </c>
      <c r="I5052" s="221"/>
      <c r="J5052" s="221"/>
    </row>
    <row r="5053" spans="1:10" s="15" customFormat="1" ht="16.5" hidden="1" customHeight="1" outlineLevel="1" x14ac:dyDescent="0.25">
      <c r="A5053" s="18">
        <v>4188</v>
      </c>
      <c r="B5053" s="4" t="s">
        <v>43</v>
      </c>
      <c r="C5053" s="38" t="s">
        <v>3205</v>
      </c>
      <c r="D5053" s="18">
        <v>2022</v>
      </c>
      <c r="E5053" s="18" t="s">
        <v>0</v>
      </c>
      <c r="F5053" s="4">
        <v>1</v>
      </c>
      <c r="G5053" s="41">
        <v>8</v>
      </c>
      <c r="H5053" s="41">
        <f>0.01015807*(1000)</f>
        <v>10.15807</v>
      </c>
      <c r="I5053" s="221"/>
      <c r="J5053" s="221"/>
    </row>
    <row r="5054" spans="1:10" s="15" customFormat="1" ht="16.5" hidden="1" customHeight="1" outlineLevel="1" x14ac:dyDescent="0.25">
      <c r="A5054" s="18">
        <v>4189</v>
      </c>
      <c r="B5054" s="4" t="s">
        <v>43</v>
      </c>
      <c r="C5054" s="38" t="s">
        <v>3206</v>
      </c>
      <c r="D5054" s="18">
        <v>2022</v>
      </c>
      <c r="E5054" s="18" t="s">
        <v>0</v>
      </c>
      <c r="F5054" s="4">
        <v>1</v>
      </c>
      <c r="G5054" s="41">
        <v>8</v>
      </c>
      <c r="H5054" s="41">
        <f>0.01015806*(1000)</f>
        <v>10.158060000000001</v>
      </c>
      <c r="I5054" s="221"/>
      <c r="J5054" s="221"/>
    </row>
    <row r="5055" spans="1:10" s="15" customFormat="1" ht="16.5" hidden="1" customHeight="1" outlineLevel="1" x14ac:dyDescent="0.25">
      <c r="A5055" s="18">
        <v>4190</v>
      </c>
      <c r="B5055" s="4" t="s">
        <v>43</v>
      </c>
      <c r="C5055" s="38" t="s">
        <v>3207</v>
      </c>
      <c r="D5055" s="18">
        <v>2022</v>
      </c>
      <c r="E5055" s="18" t="s">
        <v>0</v>
      </c>
      <c r="F5055" s="4">
        <v>1</v>
      </c>
      <c r="G5055" s="41">
        <v>8</v>
      </c>
      <c r="H5055" s="41">
        <f>0.01015807*(1000)</f>
        <v>10.15807</v>
      </c>
      <c r="I5055" s="221"/>
      <c r="J5055" s="221"/>
    </row>
    <row r="5056" spans="1:10" s="15" customFormat="1" ht="16.5" hidden="1" customHeight="1" outlineLevel="1" x14ac:dyDescent="0.25">
      <c r="A5056" s="18">
        <v>4191</v>
      </c>
      <c r="B5056" s="4" t="s">
        <v>43</v>
      </c>
      <c r="C5056" s="38" t="s">
        <v>3208</v>
      </c>
      <c r="D5056" s="18">
        <v>2022</v>
      </c>
      <c r="E5056" s="18" t="s">
        <v>0</v>
      </c>
      <c r="F5056" s="4">
        <v>1</v>
      </c>
      <c r="G5056" s="41">
        <v>10</v>
      </c>
      <c r="H5056" s="41">
        <f>0.01015681*(1000)</f>
        <v>10.15681</v>
      </c>
      <c r="I5056" s="221"/>
      <c r="J5056" s="221"/>
    </row>
    <row r="5057" spans="1:10" s="15" customFormat="1" ht="16.5" hidden="1" customHeight="1" outlineLevel="1" x14ac:dyDescent="0.25">
      <c r="A5057" s="18">
        <v>4194</v>
      </c>
      <c r="B5057" s="4" t="s">
        <v>43</v>
      </c>
      <c r="C5057" s="38" t="s">
        <v>3209</v>
      </c>
      <c r="D5057" s="18">
        <v>2022</v>
      </c>
      <c r="E5057" s="18" t="s">
        <v>0</v>
      </c>
      <c r="F5057" s="4">
        <v>1</v>
      </c>
      <c r="G5057" s="41">
        <v>6</v>
      </c>
      <c r="H5057" s="41">
        <f>0.01044494*(1000)</f>
        <v>10.444939999999999</v>
      </c>
      <c r="I5057" s="221"/>
      <c r="J5057" s="221"/>
    </row>
    <row r="5058" spans="1:10" s="15" customFormat="1" ht="16.5" hidden="1" customHeight="1" outlineLevel="1" x14ac:dyDescent="0.25">
      <c r="A5058" s="18">
        <v>4196</v>
      </c>
      <c r="B5058" s="4" t="s">
        <v>43</v>
      </c>
      <c r="C5058" s="38" t="s">
        <v>3210</v>
      </c>
      <c r="D5058" s="18">
        <v>2022</v>
      </c>
      <c r="E5058" s="18" t="s">
        <v>0</v>
      </c>
      <c r="F5058" s="4">
        <v>1</v>
      </c>
      <c r="G5058" s="41">
        <v>4</v>
      </c>
      <c r="H5058" s="41">
        <f>0.01075937*(1000)</f>
        <v>10.759370000000001</v>
      </c>
      <c r="I5058" s="221"/>
      <c r="J5058" s="221"/>
    </row>
    <row r="5059" spans="1:10" s="15" customFormat="1" ht="16.5" hidden="1" customHeight="1" outlineLevel="1" x14ac:dyDescent="0.25">
      <c r="A5059" s="18">
        <v>4197</v>
      </c>
      <c r="B5059" s="4" t="s">
        <v>43</v>
      </c>
      <c r="C5059" s="38" t="s">
        <v>3211</v>
      </c>
      <c r="D5059" s="18">
        <v>2022</v>
      </c>
      <c r="E5059" s="18" t="s">
        <v>0</v>
      </c>
      <c r="F5059" s="4">
        <v>1</v>
      </c>
      <c r="G5059" s="41">
        <v>4</v>
      </c>
      <c r="H5059" s="41">
        <f>0.01074478*(1000)</f>
        <v>10.74478</v>
      </c>
      <c r="I5059" s="221"/>
      <c r="J5059" s="221"/>
    </row>
    <row r="5060" spans="1:10" s="15" customFormat="1" ht="16.5" hidden="1" customHeight="1" outlineLevel="1" x14ac:dyDescent="0.25">
      <c r="A5060" s="18">
        <v>4198</v>
      </c>
      <c r="B5060" s="4" t="s">
        <v>43</v>
      </c>
      <c r="C5060" s="38" t="s">
        <v>3212</v>
      </c>
      <c r="D5060" s="18">
        <v>2022</v>
      </c>
      <c r="E5060" s="18" t="s">
        <v>0</v>
      </c>
      <c r="F5060" s="4">
        <v>1</v>
      </c>
      <c r="G5060" s="41">
        <v>4</v>
      </c>
      <c r="H5060" s="41">
        <f>0.01074478*(1000)</f>
        <v>10.74478</v>
      </c>
      <c r="I5060" s="221"/>
      <c r="J5060" s="221"/>
    </row>
    <row r="5061" spans="1:10" s="15" customFormat="1" ht="16.5" hidden="1" customHeight="1" outlineLevel="1" x14ac:dyDescent="0.25">
      <c r="A5061" s="18">
        <v>4199</v>
      </c>
      <c r="B5061" s="4" t="s">
        <v>43</v>
      </c>
      <c r="C5061" s="38" t="s">
        <v>3213</v>
      </c>
      <c r="D5061" s="18">
        <v>2022</v>
      </c>
      <c r="E5061" s="18" t="s">
        <v>0</v>
      </c>
      <c r="F5061" s="4">
        <v>1</v>
      </c>
      <c r="G5061" s="41">
        <v>10</v>
      </c>
      <c r="H5061" s="41">
        <f>0.01077362*(1000)</f>
        <v>10.773619999999999</v>
      </c>
      <c r="I5061" s="221"/>
      <c r="J5061" s="221"/>
    </row>
    <row r="5062" spans="1:10" s="15" customFormat="1" ht="16.5" hidden="1" customHeight="1" outlineLevel="1" x14ac:dyDescent="0.25">
      <c r="A5062" s="18">
        <v>4200</v>
      </c>
      <c r="B5062" s="4" t="s">
        <v>43</v>
      </c>
      <c r="C5062" s="38" t="s">
        <v>3214</v>
      </c>
      <c r="D5062" s="18">
        <v>2022</v>
      </c>
      <c r="E5062" s="18" t="s">
        <v>0</v>
      </c>
      <c r="F5062" s="4">
        <v>1</v>
      </c>
      <c r="G5062" s="41">
        <v>10</v>
      </c>
      <c r="H5062" s="41">
        <f>0.01096042*(1000)</f>
        <v>10.960420000000001</v>
      </c>
      <c r="I5062" s="221"/>
      <c r="J5062" s="221"/>
    </row>
    <row r="5063" spans="1:10" s="15" customFormat="1" ht="16.5" hidden="1" customHeight="1" outlineLevel="1" x14ac:dyDescent="0.25">
      <c r="A5063" s="18">
        <v>4206</v>
      </c>
      <c r="B5063" s="4" t="s">
        <v>43</v>
      </c>
      <c r="C5063" s="38" t="s">
        <v>3215</v>
      </c>
      <c r="D5063" s="18">
        <v>2022</v>
      </c>
      <c r="E5063" s="18" t="s">
        <v>0</v>
      </c>
      <c r="F5063" s="4">
        <v>1</v>
      </c>
      <c r="G5063" s="41">
        <v>15</v>
      </c>
      <c r="H5063" s="41">
        <f>0.01098971*(1000)</f>
        <v>10.989710000000001</v>
      </c>
      <c r="I5063" s="221"/>
      <c r="J5063" s="221"/>
    </row>
    <row r="5064" spans="1:10" s="15" customFormat="1" ht="16.5" hidden="1" customHeight="1" outlineLevel="1" x14ac:dyDescent="0.25">
      <c r="A5064" s="18">
        <v>4207</v>
      </c>
      <c r="B5064" s="4" t="s">
        <v>43</v>
      </c>
      <c r="C5064" s="38" t="s">
        <v>3216</v>
      </c>
      <c r="D5064" s="18">
        <v>2022</v>
      </c>
      <c r="E5064" s="18" t="s">
        <v>0</v>
      </c>
      <c r="F5064" s="4">
        <v>1</v>
      </c>
      <c r="G5064" s="41">
        <v>11</v>
      </c>
      <c r="H5064" s="41">
        <f>0.01138764*(1000)</f>
        <v>11.387639999999999</v>
      </c>
      <c r="I5064" s="221"/>
      <c r="J5064" s="221"/>
    </row>
    <row r="5065" spans="1:10" s="15" customFormat="1" ht="16.5" hidden="1" customHeight="1" outlineLevel="1" x14ac:dyDescent="0.25">
      <c r="A5065" s="18">
        <v>4209</v>
      </c>
      <c r="B5065" s="4" t="s">
        <v>43</v>
      </c>
      <c r="C5065" s="38" t="s">
        <v>3217</v>
      </c>
      <c r="D5065" s="18">
        <v>2022</v>
      </c>
      <c r="E5065" s="18" t="s">
        <v>0</v>
      </c>
      <c r="F5065" s="4">
        <v>1</v>
      </c>
      <c r="G5065" s="41">
        <v>12</v>
      </c>
      <c r="H5065" s="41">
        <f>0.01058868*(1000)</f>
        <v>10.58868</v>
      </c>
      <c r="I5065" s="221"/>
      <c r="J5065" s="221"/>
    </row>
    <row r="5066" spans="1:10" s="15" customFormat="1" ht="16.5" hidden="1" customHeight="1" outlineLevel="1" x14ac:dyDescent="0.25">
      <c r="A5066" s="18">
        <v>4210</v>
      </c>
      <c r="B5066" s="4" t="s">
        <v>43</v>
      </c>
      <c r="C5066" s="38" t="s">
        <v>3218</v>
      </c>
      <c r="D5066" s="18">
        <v>2022</v>
      </c>
      <c r="E5066" s="18" t="s">
        <v>0</v>
      </c>
      <c r="F5066" s="4">
        <v>1</v>
      </c>
      <c r="G5066" s="41">
        <v>5</v>
      </c>
      <c r="H5066" s="41">
        <f>0.01058661*(1000)</f>
        <v>10.58661</v>
      </c>
      <c r="I5066" s="221"/>
      <c r="J5066" s="221"/>
    </row>
    <row r="5067" spans="1:10" s="15" customFormat="1" ht="16.5" hidden="1" customHeight="1" outlineLevel="1" x14ac:dyDescent="0.25">
      <c r="A5067" s="18">
        <v>4211</v>
      </c>
      <c r="B5067" s="4" t="s">
        <v>43</v>
      </c>
      <c r="C5067" s="38" t="s">
        <v>3219</v>
      </c>
      <c r="D5067" s="18">
        <v>2022</v>
      </c>
      <c r="E5067" s="18" t="s">
        <v>0</v>
      </c>
      <c r="F5067" s="4">
        <v>1</v>
      </c>
      <c r="G5067" s="41">
        <v>10</v>
      </c>
      <c r="H5067" s="41">
        <f>0.01060505*(1000)</f>
        <v>10.60505</v>
      </c>
      <c r="I5067" s="221"/>
      <c r="J5067" s="221"/>
    </row>
    <row r="5068" spans="1:10" s="15" customFormat="1" ht="16.5" hidden="1" customHeight="1" outlineLevel="1" x14ac:dyDescent="0.25">
      <c r="A5068" s="18">
        <v>4213</v>
      </c>
      <c r="B5068" s="4" t="s">
        <v>43</v>
      </c>
      <c r="C5068" s="38" t="s">
        <v>3220</v>
      </c>
      <c r="D5068" s="18">
        <v>2022</v>
      </c>
      <c r="E5068" s="18" t="s">
        <v>0</v>
      </c>
      <c r="F5068" s="4">
        <v>1</v>
      </c>
      <c r="G5068" s="41">
        <v>2</v>
      </c>
      <c r="H5068" s="41">
        <f>0.0105866*(1000)</f>
        <v>10.586600000000001</v>
      </c>
      <c r="I5068" s="221"/>
      <c r="J5068" s="221"/>
    </row>
    <row r="5069" spans="1:10" s="15" customFormat="1" ht="16.5" hidden="1" customHeight="1" outlineLevel="1" x14ac:dyDescent="0.25">
      <c r="A5069" s="18">
        <v>4216</v>
      </c>
      <c r="B5069" s="4" t="s">
        <v>43</v>
      </c>
      <c r="C5069" s="38" t="s">
        <v>3221</v>
      </c>
      <c r="D5069" s="18">
        <v>2022</v>
      </c>
      <c r="E5069" s="18" t="s">
        <v>0</v>
      </c>
      <c r="F5069" s="4">
        <v>1</v>
      </c>
      <c r="G5069" s="41">
        <v>10</v>
      </c>
      <c r="H5069" s="41">
        <f>0.01047382*(1000)</f>
        <v>10.47382</v>
      </c>
      <c r="I5069" s="221"/>
      <c r="J5069" s="221"/>
    </row>
    <row r="5070" spans="1:10" s="15" customFormat="1" ht="16.5" hidden="1" customHeight="1" outlineLevel="1" x14ac:dyDescent="0.25">
      <c r="A5070" s="18">
        <v>4219</v>
      </c>
      <c r="B5070" s="4" t="s">
        <v>43</v>
      </c>
      <c r="C5070" s="38" t="s">
        <v>3222</v>
      </c>
      <c r="D5070" s="18">
        <v>2022</v>
      </c>
      <c r="E5070" s="18" t="s">
        <v>0</v>
      </c>
      <c r="F5070" s="4">
        <v>1</v>
      </c>
      <c r="G5070" s="41">
        <v>10</v>
      </c>
      <c r="H5070" s="41">
        <f>0.01867701*(1000)</f>
        <v>18.677009999999999</v>
      </c>
      <c r="I5070" s="221"/>
      <c r="J5070" s="221"/>
    </row>
    <row r="5071" spans="1:10" s="15" customFormat="1" ht="16.5" hidden="1" customHeight="1" outlineLevel="1" x14ac:dyDescent="0.25">
      <c r="A5071" s="18">
        <v>4221</v>
      </c>
      <c r="B5071" s="4" t="s">
        <v>43</v>
      </c>
      <c r="C5071" s="38" t="s">
        <v>3223</v>
      </c>
      <c r="D5071" s="18">
        <v>2022</v>
      </c>
      <c r="E5071" s="18" t="s">
        <v>0</v>
      </c>
      <c r="F5071" s="4">
        <v>1</v>
      </c>
      <c r="G5071" s="41">
        <v>5</v>
      </c>
      <c r="H5071" s="41">
        <f>0.01074478*(1000)</f>
        <v>10.74478</v>
      </c>
      <c r="I5071" s="221"/>
      <c r="J5071" s="221"/>
    </row>
    <row r="5072" spans="1:10" s="15" customFormat="1" ht="16.5" hidden="1" customHeight="1" outlineLevel="1" x14ac:dyDescent="0.25">
      <c r="A5072" s="18">
        <v>4118</v>
      </c>
      <c r="B5072" s="4" t="s">
        <v>43</v>
      </c>
      <c r="C5072" s="38" t="s">
        <v>2191</v>
      </c>
      <c r="D5072" s="18">
        <v>2022</v>
      </c>
      <c r="E5072" s="18" t="s">
        <v>0</v>
      </c>
      <c r="F5072" s="4">
        <v>1</v>
      </c>
      <c r="G5072" s="41">
        <v>15</v>
      </c>
      <c r="H5072" s="41">
        <f>0.12103409*(1000)</f>
        <v>121.03408999999999</v>
      </c>
      <c r="I5072" s="221"/>
      <c r="J5072" s="221"/>
    </row>
    <row r="5073" spans="1:10" s="15" customFormat="1" ht="16.5" hidden="1" customHeight="1" outlineLevel="1" x14ac:dyDescent="0.25">
      <c r="A5073" s="18">
        <v>4120</v>
      </c>
      <c r="B5073" s="4" t="s">
        <v>43</v>
      </c>
      <c r="C5073" s="38" t="s">
        <v>2193</v>
      </c>
      <c r="D5073" s="18">
        <v>2022</v>
      </c>
      <c r="E5073" s="18" t="s">
        <v>0</v>
      </c>
      <c r="F5073" s="4">
        <v>1</v>
      </c>
      <c r="G5073" s="41">
        <v>11</v>
      </c>
      <c r="H5073" s="41">
        <f>0.1561201*(1000)</f>
        <v>156.12010000000001</v>
      </c>
      <c r="I5073" s="221"/>
      <c r="J5073" s="221"/>
    </row>
    <row r="5074" spans="1:10" s="15" customFormat="1" ht="16.5" hidden="1" customHeight="1" outlineLevel="1" x14ac:dyDescent="0.25">
      <c r="A5074" s="18">
        <v>2765</v>
      </c>
      <c r="B5074" s="4" t="s">
        <v>43</v>
      </c>
      <c r="C5074" s="38" t="s">
        <v>2205</v>
      </c>
      <c r="D5074" s="18">
        <v>2022</v>
      </c>
      <c r="E5074" s="18" t="s">
        <v>0</v>
      </c>
      <c r="F5074" s="4">
        <v>1</v>
      </c>
      <c r="G5074" s="41">
        <v>25</v>
      </c>
      <c r="H5074" s="41">
        <f>0.03608165*(1000)</f>
        <v>36.081650000000003</v>
      </c>
      <c r="I5074" s="221"/>
      <c r="J5074" s="221"/>
    </row>
    <row r="5075" spans="1:10" s="15" customFormat="1" ht="16.5" hidden="1" customHeight="1" outlineLevel="1" x14ac:dyDescent="0.25">
      <c r="A5075" s="18">
        <v>2841</v>
      </c>
      <c r="B5075" s="4" t="s">
        <v>43</v>
      </c>
      <c r="C5075" s="38" t="s">
        <v>2209</v>
      </c>
      <c r="D5075" s="18">
        <v>2022</v>
      </c>
      <c r="E5075" s="18" t="s">
        <v>0</v>
      </c>
      <c r="F5075" s="4">
        <v>1</v>
      </c>
      <c r="G5075" s="41">
        <v>10</v>
      </c>
      <c r="H5075" s="41">
        <f>0.03662387*(1000)</f>
        <v>36.623870000000004</v>
      </c>
      <c r="I5075" s="221"/>
      <c r="J5075" s="221"/>
    </row>
    <row r="5076" spans="1:10" s="15" customFormat="1" ht="16.5" hidden="1" customHeight="1" outlineLevel="1" x14ac:dyDescent="0.25">
      <c r="A5076" s="18">
        <v>2848</v>
      </c>
      <c r="B5076" s="4" t="s">
        <v>43</v>
      </c>
      <c r="C5076" s="38" t="s">
        <v>2211</v>
      </c>
      <c r="D5076" s="18">
        <v>2022</v>
      </c>
      <c r="E5076" s="18" t="s">
        <v>0</v>
      </c>
      <c r="F5076" s="4">
        <v>1</v>
      </c>
      <c r="G5076" s="41">
        <v>11</v>
      </c>
      <c r="H5076" s="41">
        <f>0.03601925*(1000)</f>
        <v>36.01925</v>
      </c>
      <c r="I5076" s="221"/>
      <c r="J5076" s="221"/>
    </row>
    <row r="5077" spans="1:10" s="15" customFormat="1" ht="16.5" hidden="1" customHeight="1" outlineLevel="1" x14ac:dyDescent="0.25">
      <c r="A5077" s="18">
        <v>2860</v>
      </c>
      <c r="B5077" s="4" t="s">
        <v>43</v>
      </c>
      <c r="C5077" s="38" t="s">
        <v>2212</v>
      </c>
      <c r="D5077" s="18">
        <v>2022</v>
      </c>
      <c r="E5077" s="18" t="s">
        <v>0</v>
      </c>
      <c r="F5077" s="4">
        <v>1</v>
      </c>
      <c r="G5077" s="41">
        <v>6</v>
      </c>
      <c r="H5077" s="41">
        <f>0.03740404*(1000)</f>
        <v>37.404040000000002</v>
      </c>
      <c r="I5077" s="221"/>
      <c r="J5077" s="221"/>
    </row>
    <row r="5078" spans="1:10" s="15" customFormat="1" ht="16.5" hidden="1" customHeight="1" outlineLevel="1" x14ac:dyDescent="0.25">
      <c r="A5078" s="18">
        <v>2883</v>
      </c>
      <c r="B5078" s="4" t="s">
        <v>43</v>
      </c>
      <c r="C5078" s="38" t="s">
        <v>2217</v>
      </c>
      <c r="D5078" s="18">
        <v>2022</v>
      </c>
      <c r="E5078" s="18" t="s">
        <v>0</v>
      </c>
      <c r="F5078" s="4">
        <v>1</v>
      </c>
      <c r="G5078" s="41">
        <v>8</v>
      </c>
      <c r="H5078" s="41">
        <f>0.03694246*(1000)</f>
        <v>36.942460000000004</v>
      </c>
      <c r="I5078" s="221"/>
      <c r="J5078" s="221"/>
    </row>
    <row r="5079" spans="1:10" s="15" customFormat="1" ht="16.5" hidden="1" customHeight="1" outlineLevel="1" x14ac:dyDescent="0.25">
      <c r="A5079" s="18">
        <v>2884</v>
      </c>
      <c r="B5079" s="4" t="s">
        <v>43</v>
      </c>
      <c r="C5079" s="38" t="s">
        <v>2218</v>
      </c>
      <c r="D5079" s="18">
        <v>2022</v>
      </c>
      <c r="E5079" s="18" t="s">
        <v>0</v>
      </c>
      <c r="F5079" s="4">
        <v>3</v>
      </c>
      <c r="G5079" s="41">
        <v>24</v>
      </c>
      <c r="H5079" s="41">
        <f>0.0732512*(1000)</f>
        <v>73.251199999999997</v>
      </c>
      <c r="I5079" s="221"/>
      <c r="J5079" s="221"/>
    </row>
    <row r="5080" spans="1:10" s="15" customFormat="1" ht="16.5" hidden="1" customHeight="1" outlineLevel="1" x14ac:dyDescent="0.25">
      <c r="A5080" s="18">
        <v>2997</v>
      </c>
      <c r="B5080" s="4" t="s">
        <v>43</v>
      </c>
      <c r="C5080" s="38" t="s">
        <v>2225</v>
      </c>
      <c r="D5080" s="18">
        <v>2022</v>
      </c>
      <c r="E5080" s="18" t="s">
        <v>0</v>
      </c>
      <c r="F5080" s="4">
        <v>1</v>
      </c>
      <c r="G5080" s="41">
        <v>10</v>
      </c>
      <c r="H5080" s="41">
        <f>0.03934899*(1000)</f>
        <v>39.348990000000001</v>
      </c>
      <c r="I5080" s="221"/>
      <c r="J5080" s="221"/>
    </row>
    <row r="5081" spans="1:10" s="15" customFormat="1" ht="16.5" hidden="1" customHeight="1" outlineLevel="1" x14ac:dyDescent="0.25">
      <c r="A5081" s="18">
        <v>2999</v>
      </c>
      <c r="B5081" s="4" t="s">
        <v>43</v>
      </c>
      <c r="C5081" s="38" t="s">
        <v>2227</v>
      </c>
      <c r="D5081" s="18">
        <v>2022</v>
      </c>
      <c r="E5081" s="18" t="s">
        <v>0</v>
      </c>
      <c r="F5081" s="4">
        <v>1</v>
      </c>
      <c r="G5081" s="41">
        <v>10</v>
      </c>
      <c r="H5081" s="41">
        <f>0.03421827*(1000)</f>
        <v>34.218270000000004</v>
      </c>
      <c r="I5081" s="221"/>
      <c r="J5081" s="221"/>
    </row>
    <row r="5082" spans="1:10" s="15" customFormat="1" ht="16.5" hidden="1" customHeight="1" outlineLevel="1" x14ac:dyDescent="0.25">
      <c r="A5082" s="18">
        <v>4230</v>
      </c>
      <c r="B5082" s="4" t="s">
        <v>43</v>
      </c>
      <c r="C5082" s="38" t="s">
        <v>3224</v>
      </c>
      <c r="D5082" s="18">
        <v>2022</v>
      </c>
      <c r="E5082" s="18" t="s">
        <v>0</v>
      </c>
      <c r="F5082" s="4">
        <v>1</v>
      </c>
      <c r="G5082" s="41">
        <v>5</v>
      </c>
      <c r="H5082" s="41">
        <f>0.01130637*(1000)</f>
        <v>11.306369999999999</v>
      </c>
      <c r="I5082" s="221"/>
      <c r="J5082" s="221"/>
    </row>
    <row r="5083" spans="1:10" s="15" customFormat="1" ht="16.5" hidden="1" customHeight="1" outlineLevel="1" x14ac:dyDescent="0.25">
      <c r="A5083" s="18">
        <v>4237</v>
      </c>
      <c r="B5083" s="4" t="s">
        <v>43</v>
      </c>
      <c r="C5083" s="38" t="s">
        <v>3225</v>
      </c>
      <c r="D5083" s="18">
        <v>2022</v>
      </c>
      <c r="E5083" s="18" t="s">
        <v>0</v>
      </c>
      <c r="F5083" s="4">
        <v>1</v>
      </c>
      <c r="G5083" s="41">
        <v>7</v>
      </c>
      <c r="H5083" s="41">
        <f>0.0106004*(1000)</f>
        <v>10.600399999999999</v>
      </c>
      <c r="I5083" s="221"/>
      <c r="J5083" s="221"/>
    </row>
    <row r="5084" spans="1:10" s="15" customFormat="1" ht="16.5" hidden="1" customHeight="1" outlineLevel="1" x14ac:dyDescent="0.25">
      <c r="A5084" s="18">
        <v>4238</v>
      </c>
      <c r="B5084" s="4" t="s">
        <v>43</v>
      </c>
      <c r="C5084" s="38" t="s">
        <v>3226</v>
      </c>
      <c r="D5084" s="18">
        <v>2022</v>
      </c>
      <c r="E5084" s="18" t="s">
        <v>0</v>
      </c>
      <c r="F5084" s="4">
        <v>1</v>
      </c>
      <c r="G5084" s="41">
        <v>5</v>
      </c>
      <c r="H5084" s="41">
        <f>0.0106004*(1000)</f>
        <v>10.600399999999999</v>
      </c>
      <c r="I5084" s="221"/>
      <c r="J5084" s="221"/>
    </row>
    <row r="5085" spans="1:10" s="15" customFormat="1" ht="16.5" hidden="1" customHeight="1" outlineLevel="1" x14ac:dyDescent="0.25">
      <c r="A5085" s="18">
        <v>4245</v>
      </c>
      <c r="B5085" s="4" t="s">
        <v>43</v>
      </c>
      <c r="C5085" s="38" t="s">
        <v>3227</v>
      </c>
      <c r="D5085" s="18">
        <v>2022</v>
      </c>
      <c r="E5085" s="18" t="s">
        <v>0</v>
      </c>
      <c r="F5085" s="4">
        <v>1</v>
      </c>
      <c r="G5085" s="41">
        <v>10</v>
      </c>
      <c r="H5085" s="41">
        <f>0.00992597*(1000)</f>
        <v>9.9259699999999995</v>
      </c>
      <c r="I5085" s="221"/>
      <c r="J5085" s="221"/>
    </row>
    <row r="5086" spans="1:10" s="15" customFormat="1" ht="16.5" hidden="1" customHeight="1" outlineLevel="1" x14ac:dyDescent="0.25">
      <c r="A5086" s="18">
        <v>4246</v>
      </c>
      <c r="B5086" s="4" t="s">
        <v>43</v>
      </c>
      <c r="C5086" s="38" t="s">
        <v>3228</v>
      </c>
      <c r="D5086" s="18">
        <v>2022</v>
      </c>
      <c r="E5086" s="18" t="s">
        <v>0</v>
      </c>
      <c r="F5086" s="4">
        <v>1</v>
      </c>
      <c r="G5086" s="41">
        <v>10</v>
      </c>
      <c r="H5086" s="41">
        <f>0.01012313*(1000)</f>
        <v>10.12313</v>
      </c>
      <c r="I5086" s="221"/>
      <c r="J5086" s="221"/>
    </row>
    <row r="5087" spans="1:10" s="15" customFormat="1" ht="16.5" hidden="1" customHeight="1" outlineLevel="1" x14ac:dyDescent="0.25">
      <c r="A5087" s="18">
        <v>4247</v>
      </c>
      <c r="B5087" s="4" t="s">
        <v>43</v>
      </c>
      <c r="C5087" s="38" t="s">
        <v>3229</v>
      </c>
      <c r="D5087" s="18">
        <v>2022</v>
      </c>
      <c r="E5087" s="18" t="s">
        <v>0</v>
      </c>
      <c r="F5087" s="4">
        <v>1</v>
      </c>
      <c r="G5087" s="41">
        <v>10</v>
      </c>
      <c r="H5087" s="41">
        <f>0.01012313*(1000)</f>
        <v>10.12313</v>
      </c>
      <c r="I5087" s="221"/>
      <c r="J5087" s="221"/>
    </row>
    <row r="5088" spans="1:10" s="15" customFormat="1" ht="16.5" hidden="1" customHeight="1" outlineLevel="1" x14ac:dyDescent="0.25">
      <c r="A5088" s="18">
        <v>4248</v>
      </c>
      <c r="B5088" s="4" t="s">
        <v>43</v>
      </c>
      <c r="C5088" s="38" t="s">
        <v>3230</v>
      </c>
      <c r="D5088" s="18">
        <v>2022</v>
      </c>
      <c r="E5088" s="18" t="s">
        <v>0</v>
      </c>
      <c r="F5088" s="4">
        <v>1</v>
      </c>
      <c r="G5088" s="41">
        <v>10</v>
      </c>
      <c r="H5088" s="41">
        <f>0.01012313*(1000)</f>
        <v>10.12313</v>
      </c>
      <c r="I5088" s="221"/>
      <c r="J5088" s="221"/>
    </row>
    <row r="5089" spans="1:10" s="15" customFormat="1" ht="16.5" hidden="1" customHeight="1" outlineLevel="1" x14ac:dyDescent="0.25">
      <c r="A5089" s="18">
        <v>4249</v>
      </c>
      <c r="B5089" s="4" t="s">
        <v>43</v>
      </c>
      <c r="C5089" s="38" t="s">
        <v>3231</v>
      </c>
      <c r="D5089" s="18">
        <v>2022</v>
      </c>
      <c r="E5089" s="18" t="s">
        <v>0</v>
      </c>
      <c r="F5089" s="4">
        <v>1</v>
      </c>
      <c r="G5089" s="41">
        <v>10</v>
      </c>
      <c r="H5089" s="41">
        <f>0.00992595*(1000)</f>
        <v>9.9259499999999985</v>
      </c>
      <c r="I5089" s="221"/>
      <c r="J5089" s="221"/>
    </row>
    <row r="5090" spans="1:10" s="15" customFormat="1" ht="16.5" hidden="1" customHeight="1" outlineLevel="1" x14ac:dyDescent="0.25">
      <c r="A5090" s="18">
        <v>4250</v>
      </c>
      <c r="B5090" s="4" t="s">
        <v>43</v>
      </c>
      <c r="C5090" s="38" t="s">
        <v>3232</v>
      </c>
      <c r="D5090" s="18">
        <v>2022</v>
      </c>
      <c r="E5090" s="18" t="s">
        <v>0</v>
      </c>
      <c r="F5090" s="4">
        <v>1</v>
      </c>
      <c r="G5090" s="41">
        <v>10</v>
      </c>
      <c r="H5090" s="41">
        <f>0.01012314*(1000)</f>
        <v>10.123139999999999</v>
      </c>
      <c r="I5090" s="221"/>
      <c r="J5090" s="221"/>
    </row>
    <row r="5091" spans="1:10" s="15" customFormat="1" ht="16.5" hidden="1" customHeight="1" outlineLevel="1" x14ac:dyDescent="0.25">
      <c r="A5091" s="18">
        <v>4251</v>
      </c>
      <c r="B5091" s="4" t="s">
        <v>43</v>
      </c>
      <c r="C5091" s="38" t="s">
        <v>3233</v>
      </c>
      <c r="D5091" s="18">
        <v>2022</v>
      </c>
      <c r="E5091" s="18" t="s">
        <v>0</v>
      </c>
      <c r="F5091" s="4">
        <v>1</v>
      </c>
      <c r="G5091" s="41">
        <v>10</v>
      </c>
      <c r="H5091" s="41">
        <f>0.01012313*(1000)</f>
        <v>10.12313</v>
      </c>
      <c r="I5091" s="221"/>
      <c r="J5091" s="221"/>
    </row>
    <row r="5092" spans="1:10" s="15" customFormat="1" ht="16.5" hidden="1" customHeight="1" outlineLevel="1" x14ac:dyDescent="0.25">
      <c r="A5092" s="18">
        <v>4252</v>
      </c>
      <c r="B5092" s="4" t="s">
        <v>43</v>
      </c>
      <c r="C5092" s="38" t="s">
        <v>3234</v>
      </c>
      <c r="D5092" s="18">
        <v>2022</v>
      </c>
      <c r="E5092" s="18" t="s">
        <v>0</v>
      </c>
      <c r="F5092" s="4">
        <v>1</v>
      </c>
      <c r="G5092" s="41">
        <v>10</v>
      </c>
      <c r="H5092" s="41">
        <f>0.01012313*(1000)</f>
        <v>10.12313</v>
      </c>
      <c r="I5092" s="221"/>
      <c r="J5092" s="221"/>
    </row>
    <row r="5093" spans="1:10" s="15" customFormat="1" ht="16.5" hidden="1" customHeight="1" outlineLevel="1" x14ac:dyDescent="0.25">
      <c r="A5093" s="18">
        <v>4257</v>
      </c>
      <c r="B5093" s="4" t="s">
        <v>43</v>
      </c>
      <c r="C5093" s="38" t="s">
        <v>3235</v>
      </c>
      <c r="D5093" s="18">
        <v>2022</v>
      </c>
      <c r="E5093" s="18" t="s">
        <v>0</v>
      </c>
      <c r="F5093" s="4">
        <v>1</v>
      </c>
      <c r="G5093" s="41">
        <v>10</v>
      </c>
      <c r="H5093" s="41">
        <f>0.01012312*(1000)</f>
        <v>10.12312</v>
      </c>
      <c r="I5093" s="221"/>
      <c r="J5093" s="221"/>
    </row>
    <row r="5094" spans="1:10" s="15" customFormat="1" ht="16.5" hidden="1" customHeight="1" outlineLevel="1" x14ac:dyDescent="0.25">
      <c r="A5094" s="18">
        <v>4258</v>
      </c>
      <c r="B5094" s="4" t="s">
        <v>43</v>
      </c>
      <c r="C5094" s="38" t="s">
        <v>3236</v>
      </c>
      <c r="D5094" s="18">
        <v>2022</v>
      </c>
      <c r="E5094" s="18" t="s">
        <v>0</v>
      </c>
      <c r="F5094" s="4">
        <v>1</v>
      </c>
      <c r="G5094" s="41">
        <v>10</v>
      </c>
      <c r="H5094" s="41">
        <f>0.01012313*(1000)</f>
        <v>10.12313</v>
      </c>
      <c r="I5094" s="221"/>
      <c r="J5094" s="221"/>
    </row>
    <row r="5095" spans="1:10" s="15" customFormat="1" ht="16.5" hidden="1" customHeight="1" outlineLevel="1" x14ac:dyDescent="0.25">
      <c r="A5095" s="18">
        <v>4259</v>
      </c>
      <c r="B5095" s="4" t="s">
        <v>43</v>
      </c>
      <c r="C5095" s="38" t="s">
        <v>3237</v>
      </c>
      <c r="D5095" s="18">
        <v>2022</v>
      </c>
      <c r="E5095" s="18" t="s">
        <v>0</v>
      </c>
      <c r="F5095" s="4">
        <v>1</v>
      </c>
      <c r="G5095" s="41">
        <v>10</v>
      </c>
      <c r="H5095" s="41">
        <f>0.01012313*(1000)</f>
        <v>10.12313</v>
      </c>
      <c r="I5095" s="221"/>
      <c r="J5095" s="221"/>
    </row>
    <row r="5096" spans="1:10" s="15" customFormat="1" ht="16.5" hidden="1" customHeight="1" outlineLevel="1" x14ac:dyDescent="0.25">
      <c r="A5096" s="18">
        <v>4261</v>
      </c>
      <c r="B5096" s="4" t="s">
        <v>43</v>
      </c>
      <c r="C5096" s="38" t="s">
        <v>3238</v>
      </c>
      <c r="D5096" s="18">
        <v>2022</v>
      </c>
      <c r="E5096" s="18" t="s">
        <v>0</v>
      </c>
      <c r="F5096" s="4">
        <v>1</v>
      </c>
      <c r="G5096" s="41">
        <v>10</v>
      </c>
      <c r="H5096" s="41">
        <f>0.01012313*(1000)</f>
        <v>10.12313</v>
      </c>
      <c r="I5096" s="221"/>
      <c r="J5096" s="221"/>
    </row>
    <row r="5097" spans="1:10" s="15" customFormat="1" ht="16.5" hidden="1" customHeight="1" outlineLevel="1" x14ac:dyDescent="0.25">
      <c r="A5097" s="18">
        <v>4262</v>
      </c>
      <c r="B5097" s="4" t="s">
        <v>43</v>
      </c>
      <c r="C5097" s="38" t="s">
        <v>3239</v>
      </c>
      <c r="D5097" s="18">
        <v>2022</v>
      </c>
      <c r="E5097" s="18" t="s">
        <v>0</v>
      </c>
      <c r="F5097" s="4">
        <v>1</v>
      </c>
      <c r="G5097" s="41">
        <v>10</v>
      </c>
      <c r="H5097" s="41">
        <f>0.01012313*(1000)</f>
        <v>10.12313</v>
      </c>
      <c r="I5097" s="221"/>
      <c r="J5097" s="221"/>
    </row>
    <row r="5098" spans="1:10" s="15" customFormat="1" ht="16.5" hidden="1" customHeight="1" outlineLevel="1" x14ac:dyDescent="0.25">
      <c r="A5098" s="18">
        <v>4265</v>
      </c>
      <c r="B5098" s="4" t="s">
        <v>43</v>
      </c>
      <c r="C5098" s="38" t="s">
        <v>3240</v>
      </c>
      <c r="D5098" s="18">
        <v>2022</v>
      </c>
      <c r="E5098" s="18" t="s">
        <v>0</v>
      </c>
      <c r="F5098" s="4">
        <v>1</v>
      </c>
      <c r="G5098" s="41">
        <v>10</v>
      </c>
      <c r="H5098" s="41">
        <f>0.01012312*(1000)</f>
        <v>10.12312</v>
      </c>
      <c r="I5098" s="221"/>
      <c r="J5098" s="221"/>
    </row>
    <row r="5099" spans="1:10" s="15" customFormat="1" ht="16.5" hidden="1" customHeight="1" outlineLevel="1" x14ac:dyDescent="0.25">
      <c r="A5099" s="18">
        <v>4266</v>
      </c>
      <c r="B5099" s="4" t="s">
        <v>43</v>
      </c>
      <c r="C5099" s="38" t="s">
        <v>3241</v>
      </c>
      <c r="D5099" s="18">
        <v>2022</v>
      </c>
      <c r="E5099" s="18" t="s">
        <v>0</v>
      </c>
      <c r="F5099" s="4">
        <v>1</v>
      </c>
      <c r="G5099" s="41">
        <v>10</v>
      </c>
      <c r="H5099" s="41">
        <f>0.00986026*(1000)</f>
        <v>9.8602599999999985</v>
      </c>
      <c r="I5099" s="221"/>
      <c r="J5099" s="221"/>
    </row>
    <row r="5100" spans="1:10" s="15" customFormat="1" ht="16.5" hidden="1" customHeight="1" outlineLevel="1" x14ac:dyDescent="0.25">
      <c r="A5100" s="18">
        <v>4268</v>
      </c>
      <c r="B5100" s="4" t="s">
        <v>43</v>
      </c>
      <c r="C5100" s="38" t="s">
        <v>3242</v>
      </c>
      <c r="D5100" s="18">
        <v>2022</v>
      </c>
      <c r="E5100" s="18" t="s">
        <v>0</v>
      </c>
      <c r="F5100" s="4">
        <v>1</v>
      </c>
      <c r="G5100" s="41">
        <v>10</v>
      </c>
      <c r="H5100" s="41">
        <f>0.00986025*(1000)</f>
        <v>9.8602499999999988</v>
      </c>
      <c r="I5100" s="221"/>
      <c r="J5100" s="221"/>
    </row>
    <row r="5101" spans="1:10" s="15" customFormat="1" ht="16.5" hidden="1" customHeight="1" outlineLevel="1" x14ac:dyDescent="0.25">
      <c r="A5101" s="18">
        <v>4270</v>
      </c>
      <c r="B5101" s="4" t="s">
        <v>43</v>
      </c>
      <c r="C5101" s="38" t="s">
        <v>3243</v>
      </c>
      <c r="D5101" s="18">
        <v>2022</v>
      </c>
      <c r="E5101" s="18" t="s">
        <v>0</v>
      </c>
      <c r="F5101" s="4">
        <v>1</v>
      </c>
      <c r="G5101" s="41">
        <v>15</v>
      </c>
      <c r="H5101" s="41">
        <f>0.00986026*(1000)</f>
        <v>9.8602599999999985</v>
      </c>
      <c r="I5101" s="221"/>
      <c r="J5101" s="221"/>
    </row>
    <row r="5102" spans="1:10" s="15" customFormat="1" ht="16.5" hidden="1" customHeight="1" outlineLevel="1" x14ac:dyDescent="0.25">
      <c r="A5102" s="18">
        <v>4272</v>
      </c>
      <c r="B5102" s="4" t="s">
        <v>43</v>
      </c>
      <c r="C5102" s="38" t="s">
        <v>3244</v>
      </c>
      <c r="D5102" s="18">
        <v>2022</v>
      </c>
      <c r="E5102" s="18" t="s">
        <v>0</v>
      </c>
      <c r="F5102" s="4">
        <v>1</v>
      </c>
      <c r="G5102" s="41">
        <v>10</v>
      </c>
      <c r="H5102" s="41">
        <f>0.00975124*(1000)</f>
        <v>9.7512399999999992</v>
      </c>
      <c r="I5102" s="221"/>
      <c r="J5102" s="221"/>
    </row>
    <row r="5103" spans="1:10" s="15" customFormat="1" ht="16.5" hidden="1" customHeight="1" outlineLevel="1" x14ac:dyDescent="0.25">
      <c r="A5103" s="18">
        <v>4273</v>
      </c>
      <c r="B5103" s="4" t="s">
        <v>43</v>
      </c>
      <c r="C5103" s="38" t="s">
        <v>3245</v>
      </c>
      <c r="D5103" s="18">
        <v>2022</v>
      </c>
      <c r="E5103" s="18" t="s">
        <v>0</v>
      </c>
      <c r="F5103" s="4">
        <v>1</v>
      </c>
      <c r="G5103" s="41">
        <v>10</v>
      </c>
      <c r="H5103" s="41">
        <f>0.00994842*(1000)</f>
        <v>9.9484199999999987</v>
      </c>
      <c r="I5103" s="221"/>
      <c r="J5103" s="221"/>
    </row>
    <row r="5104" spans="1:10" s="15" customFormat="1" ht="16.5" hidden="1" customHeight="1" outlineLevel="1" x14ac:dyDescent="0.25">
      <c r="A5104" s="18">
        <v>4274</v>
      </c>
      <c r="B5104" s="4" t="s">
        <v>43</v>
      </c>
      <c r="C5104" s="38" t="s">
        <v>3246</v>
      </c>
      <c r="D5104" s="18">
        <v>2022</v>
      </c>
      <c r="E5104" s="18" t="s">
        <v>0</v>
      </c>
      <c r="F5104" s="4">
        <v>1</v>
      </c>
      <c r="G5104" s="41">
        <v>10</v>
      </c>
      <c r="H5104" s="41">
        <f>0.00975124*(1000)</f>
        <v>9.7512399999999992</v>
      </c>
      <c r="I5104" s="221"/>
      <c r="J5104" s="221"/>
    </row>
    <row r="5105" spans="1:10" s="15" customFormat="1" ht="16.5" hidden="1" customHeight="1" outlineLevel="1" x14ac:dyDescent="0.25">
      <c r="A5105" s="18">
        <v>4275</v>
      </c>
      <c r="B5105" s="4" t="s">
        <v>43</v>
      </c>
      <c r="C5105" s="38" t="s">
        <v>3247</v>
      </c>
      <c r="D5105" s="18">
        <v>2022</v>
      </c>
      <c r="E5105" s="18" t="s">
        <v>0</v>
      </c>
      <c r="F5105" s="4">
        <v>1</v>
      </c>
      <c r="G5105" s="41">
        <v>10</v>
      </c>
      <c r="H5105" s="41">
        <f>0.00975124*(1000)</f>
        <v>9.7512399999999992</v>
      </c>
      <c r="I5105" s="221"/>
      <c r="J5105" s="221"/>
    </row>
    <row r="5106" spans="1:10" s="15" customFormat="1" ht="16.5" hidden="1" customHeight="1" outlineLevel="1" x14ac:dyDescent="0.25">
      <c r="A5106" s="18">
        <v>4276</v>
      </c>
      <c r="B5106" s="4" t="s">
        <v>43</v>
      </c>
      <c r="C5106" s="38" t="s">
        <v>3248</v>
      </c>
      <c r="D5106" s="18">
        <v>2022</v>
      </c>
      <c r="E5106" s="18" t="s">
        <v>0</v>
      </c>
      <c r="F5106" s="4">
        <v>1</v>
      </c>
      <c r="G5106" s="41">
        <v>15</v>
      </c>
      <c r="H5106" s="41">
        <f>0.00968555*(1000)</f>
        <v>9.6855499999999992</v>
      </c>
      <c r="I5106" s="221"/>
      <c r="J5106" s="221"/>
    </row>
    <row r="5107" spans="1:10" s="15" customFormat="1" ht="16.5" hidden="1" customHeight="1" outlineLevel="1" x14ac:dyDescent="0.25">
      <c r="A5107" s="18">
        <v>4278</v>
      </c>
      <c r="B5107" s="4" t="s">
        <v>43</v>
      </c>
      <c r="C5107" s="38" t="s">
        <v>3249</v>
      </c>
      <c r="D5107" s="18">
        <v>2022</v>
      </c>
      <c r="E5107" s="18" t="s">
        <v>0</v>
      </c>
      <c r="F5107" s="4">
        <v>1</v>
      </c>
      <c r="G5107" s="41">
        <v>10</v>
      </c>
      <c r="H5107" s="41">
        <f>0.00989194*(1000)</f>
        <v>9.89194</v>
      </c>
      <c r="I5107" s="221"/>
      <c r="J5107" s="221"/>
    </row>
    <row r="5108" spans="1:10" s="15" customFormat="1" ht="16.5" hidden="1" customHeight="1" outlineLevel="1" x14ac:dyDescent="0.25">
      <c r="A5108" s="18">
        <v>4279</v>
      </c>
      <c r="B5108" s="4" t="s">
        <v>43</v>
      </c>
      <c r="C5108" s="38" t="s">
        <v>3250</v>
      </c>
      <c r="D5108" s="18">
        <v>2022</v>
      </c>
      <c r="E5108" s="18" t="s">
        <v>0</v>
      </c>
      <c r="F5108" s="4">
        <v>1</v>
      </c>
      <c r="G5108" s="41">
        <v>10</v>
      </c>
      <c r="H5108" s="41">
        <f>0.01008912*(1000)</f>
        <v>10.089119999999999</v>
      </c>
      <c r="I5108" s="221"/>
      <c r="J5108" s="221"/>
    </row>
    <row r="5109" spans="1:10" s="15" customFormat="1" ht="16.5" hidden="1" customHeight="1" outlineLevel="1" x14ac:dyDescent="0.25">
      <c r="A5109" s="18">
        <v>4280</v>
      </c>
      <c r="B5109" s="4" t="s">
        <v>43</v>
      </c>
      <c r="C5109" s="38" t="s">
        <v>3251</v>
      </c>
      <c r="D5109" s="18">
        <v>2022</v>
      </c>
      <c r="E5109" s="18" t="s">
        <v>0</v>
      </c>
      <c r="F5109" s="4">
        <v>1</v>
      </c>
      <c r="G5109" s="41">
        <v>10</v>
      </c>
      <c r="H5109" s="41">
        <f>0.01008914*(1000)</f>
        <v>10.08914</v>
      </c>
      <c r="I5109" s="221"/>
      <c r="J5109" s="221"/>
    </row>
    <row r="5110" spans="1:10" s="15" customFormat="1" ht="16.5" hidden="1" customHeight="1" outlineLevel="1" x14ac:dyDescent="0.25">
      <c r="A5110" s="18">
        <v>4281</v>
      </c>
      <c r="B5110" s="4" t="s">
        <v>43</v>
      </c>
      <c r="C5110" s="38" t="s">
        <v>3252</v>
      </c>
      <c r="D5110" s="18">
        <v>2022</v>
      </c>
      <c r="E5110" s="18" t="s">
        <v>0</v>
      </c>
      <c r="F5110" s="4">
        <v>1</v>
      </c>
      <c r="G5110" s="41">
        <v>10</v>
      </c>
      <c r="H5110" s="41">
        <f>0.01015214*(1000)</f>
        <v>10.152140000000001</v>
      </c>
      <c r="I5110" s="221"/>
      <c r="J5110" s="221"/>
    </row>
    <row r="5111" spans="1:10" s="15" customFormat="1" ht="16.5" hidden="1" customHeight="1" outlineLevel="1" x14ac:dyDescent="0.25">
      <c r="A5111" s="18">
        <v>4282</v>
      </c>
      <c r="B5111" s="4" t="s">
        <v>43</v>
      </c>
      <c r="C5111" s="38" t="s">
        <v>3253</v>
      </c>
      <c r="D5111" s="18">
        <v>2022</v>
      </c>
      <c r="E5111" s="18" t="s">
        <v>0</v>
      </c>
      <c r="F5111" s="4">
        <v>1</v>
      </c>
      <c r="G5111" s="41">
        <v>10</v>
      </c>
      <c r="H5111" s="41">
        <f>0.01015215*(1000)</f>
        <v>10.152150000000001</v>
      </c>
      <c r="I5111" s="221"/>
      <c r="J5111" s="221"/>
    </row>
    <row r="5112" spans="1:10" s="15" customFormat="1" ht="16.5" hidden="1" customHeight="1" outlineLevel="1" x14ac:dyDescent="0.25">
      <c r="A5112" s="18">
        <v>4283</v>
      </c>
      <c r="B5112" s="4" t="s">
        <v>43</v>
      </c>
      <c r="C5112" s="38" t="s">
        <v>3254</v>
      </c>
      <c r="D5112" s="18">
        <v>2022</v>
      </c>
      <c r="E5112" s="18" t="s">
        <v>0</v>
      </c>
      <c r="F5112" s="4">
        <v>1</v>
      </c>
      <c r="G5112" s="41">
        <v>10</v>
      </c>
      <c r="H5112" s="41">
        <f>0.01015214*(1000)</f>
        <v>10.152140000000001</v>
      </c>
      <c r="I5112" s="221"/>
      <c r="J5112" s="221"/>
    </row>
    <row r="5113" spans="1:10" s="15" customFormat="1" ht="16.5" hidden="1" customHeight="1" outlineLevel="1" x14ac:dyDescent="0.25">
      <c r="A5113" s="18">
        <v>4284</v>
      </c>
      <c r="B5113" s="4" t="s">
        <v>43</v>
      </c>
      <c r="C5113" s="38" t="s">
        <v>3255</v>
      </c>
      <c r="D5113" s="18">
        <v>2022</v>
      </c>
      <c r="E5113" s="18" t="s">
        <v>0</v>
      </c>
      <c r="F5113" s="4">
        <v>1</v>
      </c>
      <c r="G5113" s="41">
        <v>10</v>
      </c>
      <c r="H5113" s="41">
        <f>0.00995498*(1000)</f>
        <v>9.9549800000000008</v>
      </c>
      <c r="I5113" s="221"/>
      <c r="J5113" s="221"/>
    </row>
    <row r="5114" spans="1:10" s="15" customFormat="1" ht="16.5" hidden="1" customHeight="1" outlineLevel="1" x14ac:dyDescent="0.25">
      <c r="A5114" s="18">
        <v>4287</v>
      </c>
      <c r="B5114" s="4" t="s">
        <v>43</v>
      </c>
      <c r="C5114" s="38" t="s">
        <v>3256</v>
      </c>
      <c r="D5114" s="18">
        <v>2022</v>
      </c>
      <c r="E5114" s="18" t="s">
        <v>0</v>
      </c>
      <c r="F5114" s="4">
        <v>1</v>
      </c>
      <c r="G5114" s="41">
        <v>10</v>
      </c>
      <c r="H5114" s="41">
        <f>0.00988926*(1000)</f>
        <v>9.8892600000000002</v>
      </c>
      <c r="I5114" s="221"/>
      <c r="J5114" s="221"/>
    </row>
    <row r="5115" spans="1:10" s="15" customFormat="1" ht="16.5" hidden="1" customHeight="1" outlineLevel="1" x14ac:dyDescent="0.25">
      <c r="A5115" s="18">
        <v>4288</v>
      </c>
      <c r="B5115" s="4" t="s">
        <v>43</v>
      </c>
      <c r="C5115" s="38" t="s">
        <v>3257</v>
      </c>
      <c r="D5115" s="18">
        <v>2022</v>
      </c>
      <c r="E5115" s="18" t="s">
        <v>0</v>
      </c>
      <c r="F5115" s="4">
        <v>1</v>
      </c>
      <c r="G5115" s="41">
        <v>10</v>
      </c>
      <c r="H5115" s="41">
        <f>0.01015215*(1000)</f>
        <v>10.152150000000001</v>
      </c>
      <c r="I5115" s="221"/>
      <c r="J5115" s="221"/>
    </row>
    <row r="5116" spans="1:10" s="15" customFormat="1" ht="16.5" hidden="1" customHeight="1" outlineLevel="1" x14ac:dyDescent="0.25">
      <c r="A5116" s="18">
        <v>4292</v>
      </c>
      <c r="B5116" s="4" t="s">
        <v>43</v>
      </c>
      <c r="C5116" s="38" t="s">
        <v>3258</v>
      </c>
      <c r="D5116" s="18">
        <v>2022</v>
      </c>
      <c r="E5116" s="18" t="s">
        <v>0</v>
      </c>
      <c r="F5116" s="4">
        <v>1</v>
      </c>
      <c r="G5116" s="41">
        <v>10</v>
      </c>
      <c r="H5116" s="41">
        <f>0.00974858*(1000)</f>
        <v>9.7485800000000005</v>
      </c>
      <c r="I5116" s="221"/>
      <c r="J5116" s="221"/>
    </row>
    <row r="5117" spans="1:10" s="15" customFormat="1" ht="16.5" hidden="1" customHeight="1" outlineLevel="1" x14ac:dyDescent="0.25">
      <c r="A5117" s="18">
        <v>4293</v>
      </c>
      <c r="B5117" s="4" t="s">
        <v>43</v>
      </c>
      <c r="C5117" s="38" t="s">
        <v>3259</v>
      </c>
      <c r="D5117" s="18">
        <v>2022</v>
      </c>
      <c r="E5117" s="18" t="s">
        <v>0</v>
      </c>
      <c r="F5117" s="4">
        <v>1</v>
      </c>
      <c r="G5117" s="41">
        <v>15</v>
      </c>
      <c r="H5117" s="41">
        <f>0.00981431*(1000)</f>
        <v>9.814309999999999</v>
      </c>
      <c r="I5117" s="221"/>
      <c r="J5117" s="221"/>
    </row>
    <row r="5118" spans="1:10" s="15" customFormat="1" ht="16.5" hidden="1" customHeight="1" outlineLevel="1" x14ac:dyDescent="0.25">
      <c r="A5118" s="18">
        <v>4294</v>
      </c>
      <c r="B5118" s="4" t="s">
        <v>43</v>
      </c>
      <c r="C5118" s="38" t="s">
        <v>3260</v>
      </c>
      <c r="D5118" s="18">
        <v>2022</v>
      </c>
      <c r="E5118" s="18" t="s">
        <v>0</v>
      </c>
      <c r="F5118" s="4">
        <v>1</v>
      </c>
      <c r="G5118" s="41">
        <v>10</v>
      </c>
      <c r="H5118" s="41">
        <f>0.0098143*(1000)</f>
        <v>9.8142999999999994</v>
      </c>
      <c r="I5118" s="221"/>
      <c r="J5118" s="221"/>
    </row>
    <row r="5119" spans="1:10" s="15" customFormat="1" ht="16.5" hidden="1" customHeight="1" outlineLevel="1" x14ac:dyDescent="0.25">
      <c r="A5119" s="18">
        <v>4295</v>
      </c>
      <c r="B5119" s="4" t="s">
        <v>43</v>
      </c>
      <c r="C5119" s="38" t="s">
        <v>3261</v>
      </c>
      <c r="D5119" s="18">
        <v>2022</v>
      </c>
      <c r="E5119" s="18" t="s">
        <v>0</v>
      </c>
      <c r="F5119" s="4">
        <v>1</v>
      </c>
      <c r="G5119" s="41">
        <v>10</v>
      </c>
      <c r="H5119" s="41">
        <f>0.0103401*(1000)</f>
        <v>10.3401</v>
      </c>
      <c r="I5119" s="221"/>
      <c r="J5119" s="221"/>
    </row>
    <row r="5120" spans="1:10" s="15" customFormat="1" ht="16.5" hidden="1" customHeight="1" outlineLevel="1" x14ac:dyDescent="0.25">
      <c r="A5120" s="18">
        <v>4298</v>
      </c>
      <c r="B5120" s="4" t="s">
        <v>43</v>
      </c>
      <c r="C5120" s="38" t="s">
        <v>3262</v>
      </c>
      <c r="D5120" s="18">
        <v>2022</v>
      </c>
      <c r="E5120" s="18" t="s">
        <v>0</v>
      </c>
      <c r="F5120" s="4">
        <v>1</v>
      </c>
      <c r="G5120" s="41">
        <v>10</v>
      </c>
      <c r="H5120" s="41">
        <f>0.01034009*(1000)</f>
        <v>10.34009</v>
      </c>
      <c r="I5120" s="221"/>
      <c r="J5120" s="221"/>
    </row>
    <row r="5121" spans="1:10" s="15" customFormat="1" ht="16.5" hidden="1" customHeight="1" outlineLevel="1" x14ac:dyDescent="0.25">
      <c r="A5121" s="18">
        <v>4300</v>
      </c>
      <c r="B5121" s="4" t="s">
        <v>43</v>
      </c>
      <c r="C5121" s="38" t="s">
        <v>3263</v>
      </c>
      <c r="D5121" s="18">
        <v>2022</v>
      </c>
      <c r="E5121" s="18" t="s">
        <v>0</v>
      </c>
      <c r="F5121" s="4">
        <v>1</v>
      </c>
      <c r="G5121" s="41">
        <v>10</v>
      </c>
      <c r="H5121" s="41">
        <f>0.00981431*(1000)</f>
        <v>9.814309999999999</v>
      </c>
      <c r="I5121" s="221"/>
      <c r="J5121" s="221"/>
    </row>
    <row r="5122" spans="1:10" s="15" customFormat="1" ht="16.5" hidden="1" customHeight="1" outlineLevel="1" x14ac:dyDescent="0.25">
      <c r="A5122" s="18">
        <v>4302</v>
      </c>
      <c r="B5122" s="4" t="s">
        <v>43</v>
      </c>
      <c r="C5122" s="38" t="s">
        <v>3264</v>
      </c>
      <c r="D5122" s="18">
        <v>2022</v>
      </c>
      <c r="E5122" s="18" t="s">
        <v>0</v>
      </c>
      <c r="F5122" s="4">
        <v>1</v>
      </c>
      <c r="G5122" s="41">
        <v>10</v>
      </c>
      <c r="H5122" s="41">
        <f>0.0098143*(1000)</f>
        <v>9.8142999999999994</v>
      </c>
      <c r="I5122" s="221"/>
      <c r="J5122" s="221"/>
    </row>
    <row r="5123" spans="1:10" s="15" customFormat="1" ht="16.5" hidden="1" customHeight="1" outlineLevel="1" x14ac:dyDescent="0.25">
      <c r="A5123" s="18">
        <v>4303</v>
      </c>
      <c r="B5123" s="4" t="s">
        <v>43</v>
      </c>
      <c r="C5123" s="38" t="s">
        <v>3265</v>
      </c>
      <c r="D5123" s="18">
        <v>2022</v>
      </c>
      <c r="E5123" s="18" t="s">
        <v>0</v>
      </c>
      <c r="F5123" s="4">
        <v>1</v>
      </c>
      <c r="G5123" s="41">
        <v>10</v>
      </c>
      <c r="H5123" s="41">
        <f>0.00981431*(1000)</f>
        <v>9.814309999999999</v>
      </c>
      <c r="I5123" s="221"/>
      <c r="J5123" s="221"/>
    </row>
    <row r="5124" spans="1:10" s="15" customFormat="1" ht="16.5" hidden="1" customHeight="1" outlineLevel="1" x14ac:dyDescent="0.25">
      <c r="A5124" s="18">
        <v>4304</v>
      </c>
      <c r="B5124" s="4" t="s">
        <v>43</v>
      </c>
      <c r="C5124" s="38" t="s">
        <v>3266</v>
      </c>
      <c r="D5124" s="18">
        <v>2022</v>
      </c>
      <c r="E5124" s="18" t="s">
        <v>0</v>
      </c>
      <c r="F5124" s="4">
        <v>1</v>
      </c>
      <c r="G5124" s="41">
        <v>10</v>
      </c>
      <c r="H5124" s="41">
        <f>0.0098143*(1000)</f>
        <v>9.8142999999999994</v>
      </c>
      <c r="I5124" s="221"/>
      <c r="J5124" s="221"/>
    </row>
    <row r="5125" spans="1:10" s="15" customFormat="1" ht="16.5" hidden="1" customHeight="1" outlineLevel="1" x14ac:dyDescent="0.25">
      <c r="A5125" s="18">
        <v>4308</v>
      </c>
      <c r="B5125" s="4" t="s">
        <v>43</v>
      </c>
      <c r="C5125" s="38" t="s">
        <v>3267</v>
      </c>
      <c r="D5125" s="18">
        <v>2022</v>
      </c>
      <c r="E5125" s="18" t="s">
        <v>0</v>
      </c>
      <c r="F5125" s="4">
        <v>1</v>
      </c>
      <c r="G5125" s="41">
        <v>5</v>
      </c>
      <c r="H5125" s="41">
        <f>0.00981492*(1000)</f>
        <v>9.814919999999999</v>
      </c>
      <c r="I5125" s="221"/>
      <c r="J5125" s="221"/>
    </row>
    <row r="5126" spans="1:10" s="15" customFormat="1" ht="16.5" hidden="1" customHeight="1" outlineLevel="1" x14ac:dyDescent="0.25">
      <c r="A5126" s="18">
        <v>4309</v>
      </c>
      <c r="B5126" s="4" t="s">
        <v>43</v>
      </c>
      <c r="C5126" s="38" t="s">
        <v>3268</v>
      </c>
      <c r="D5126" s="18">
        <v>2022</v>
      </c>
      <c r="E5126" s="18" t="s">
        <v>0</v>
      </c>
      <c r="F5126" s="4">
        <v>1</v>
      </c>
      <c r="G5126" s="41">
        <v>5</v>
      </c>
      <c r="H5126" s="41">
        <f>0.00981494*(1000)</f>
        <v>9.81494</v>
      </c>
      <c r="I5126" s="221"/>
      <c r="J5126" s="221"/>
    </row>
    <row r="5127" spans="1:10" s="15" customFormat="1" ht="16.5" hidden="1" customHeight="1" outlineLevel="1" x14ac:dyDescent="0.25">
      <c r="A5127" s="18">
        <v>4310</v>
      </c>
      <c r="B5127" s="4" t="s">
        <v>43</v>
      </c>
      <c r="C5127" s="38" t="s">
        <v>3269</v>
      </c>
      <c r="D5127" s="18">
        <v>2022</v>
      </c>
      <c r="E5127" s="18" t="s">
        <v>0</v>
      </c>
      <c r="F5127" s="4">
        <v>1</v>
      </c>
      <c r="G5127" s="41">
        <v>10</v>
      </c>
      <c r="H5127" s="41">
        <f>0.01034027*(1000)</f>
        <v>10.34027</v>
      </c>
      <c r="I5127" s="221"/>
      <c r="J5127" s="221"/>
    </row>
    <row r="5128" spans="1:10" s="15" customFormat="1" ht="16.5" hidden="1" customHeight="1" outlineLevel="1" x14ac:dyDescent="0.25">
      <c r="A5128" s="18">
        <v>4311</v>
      </c>
      <c r="B5128" s="4" t="s">
        <v>43</v>
      </c>
      <c r="C5128" s="38" t="s">
        <v>3270</v>
      </c>
      <c r="D5128" s="18">
        <v>2022</v>
      </c>
      <c r="E5128" s="18" t="s">
        <v>0</v>
      </c>
      <c r="F5128" s="4">
        <v>1</v>
      </c>
      <c r="G5128" s="41">
        <v>11</v>
      </c>
      <c r="H5128" s="41">
        <f>0.01107688*(1000)</f>
        <v>11.076880000000001</v>
      </c>
      <c r="I5128" s="221"/>
      <c r="J5128" s="221"/>
    </row>
    <row r="5129" spans="1:10" s="15" customFormat="1" ht="16.5" hidden="1" customHeight="1" outlineLevel="1" x14ac:dyDescent="0.25">
      <c r="A5129" s="18">
        <v>4319</v>
      </c>
      <c r="B5129" s="4" t="s">
        <v>43</v>
      </c>
      <c r="C5129" s="38" t="s">
        <v>3271</v>
      </c>
      <c r="D5129" s="18">
        <v>2022</v>
      </c>
      <c r="E5129" s="18" t="s">
        <v>0</v>
      </c>
      <c r="F5129" s="4">
        <v>1</v>
      </c>
      <c r="G5129" s="41">
        <v>10</v>
      </c>
      <c r="H5129" s="41">
        <f>0.01326637*(1000)</f>
        <v>13.26637</v>
      </c>
      <c r="I5129" s="221"/>
      <c r="J5129" s="221"/>
    </row>
    <row r="5130" spans="1:10" s="15" customFormat="1" ht="16.5" hidden="1" customHeight="1" outlineLevel="1" x14ac:dyDescent="0.25">
      <c r="A5130" s="18">
        <v>4323</v>
      </c>
      <c r="B5130" s="4" t="s">
        <v>43</v>
      </c>
      <c r="C5130" s="38" t="s">
        <v>3272</v>
      </c>
      <c r="D5130" s="18">
        <v>2022</v>
      </c>
      <c r="E5130" s="18" t="s">
        <v>0</v>
      </c>
      <c r="F5130" s="4">
        <v>1</v>
      </c>
      <c r="G5130" s="41">
        <v>11</v>
      </c>
      <c r="H5130" s="41">
        <f>0.01275103*(1000)</f>
        <v>12.75103</v>
      </c>
      <c r="I5130" s="221"/>
      <c r="J5130" s="221"/>
    </row>
    <row r="5131" spans="1:10" s="15" customFormat="1" ht="16.5" hidden="1" customHeight="1" outlineLevel="1" x14ac:dyDescent="0.25">
      <c r="A5131" s="18">
        <v>4325</v>
      </c>
      <c r="B5131" s="4" t="s">
        <v>43</v>
      </c>
      <c r="C5131" s="38" t="s">
        <v>3273</v>
      </c>
      <c r="D5131" s="18">
        <v>2022</v>
      </c>
      <c r="E5131" s="18" t="s">
        <v>0</v>
      </c>
      <c r="F5131" s="4">
        <v>1</v>
      </c>
      <c r="G5131" s="41">
        <v>10</v>
      </c>
      <c r="H5131" s="41">
        <f>0.01272914*(1000)</f>
        <v>12.729139999999999</v>
      </c>
      <c r="I5131" s="221"/>
      <c r="J5131" s="221"/>
    </row>
    <row r="5132" spans="1:10" s="15" customFormat="1" ht="16.5" hidden="1" customHeight="1" outlineLevel="1" x14ac:dyDescent="0.25">
      <c r="A5132" s="18">
        <v>4333</v>
      </c>
      <c r="B5132" s="4" t="s">
        <v>43</v>
      </c>
      <c r="C5132" s="38" t="s">
        <v>3274</v>
      </c>
      <c r="D5132" s="18">
        <v>2022</v>
      </c>
      <c r="E5132" s="18" t="s">
        <v>0</v>
      </c>
      <c r="F5132" s="4">
        <v>1</v>
      </c>
      <c r="G5132" s="41">
        <v>12</v>
      </c>
      <c r="H5132" s="41">
        <f>0.01242216*(1000)</f>
        <v>12.42216</v>
      </c>
      <c r="I5132" s="221"/>
      <c r="J5132" s="221"/>
    </row>
    <row r="5133" spans="1:10" s="15" customFormat="1" ht="16.5" hidden="1" customHeight="1" outlineLevel="1" x14ac:dyDescent="0.25">
      <c r="A5133" s="18">
        <v>4334</v>
      </c>
      <c r="B5133" s="4" t="s">
        <v>43</v>
      </c>
      <c r="C5133" s="38" t="s">
        <v>3275</v>
      </c>
      <c r="D5133" s="18">
        <v>2022</v>
      </c>
      <c r="E5133" s="18" t="s">
        <v>0</v>
      </c>
      <c r="F5133" s="4">
        <v>1</v>
      </c>
      <c r="G5133" s="41">
        <v>8</v>
      </c>
      <c r="H5133" s="41">
        <f>0.01239951*(1000)</f>
        <v>12.399510000000001</v>
      </c>
      <c r="I5133" s="221"/>
      <c r="J5133" s="221"/>
    </row>
    <row r="5134" spans="1:10" s="15" customFormat="1" ht="16.5" hidden="1" customHeight="1" outlineLevel="1" x14ac:dyDescent="0.25">
      <c r="A5134" s="18">
        <v>4335</v>
      </c>
      <c r="B5134" s="4" t="s">
        <v>43</v>
      </c>
      <c r="C5134" s="38" t="s">
        <v>3276</v>
      </c>
      <c r="D5134" s="18">
        <v>2022</v>
      </c>
      <c r="E5134" s="18" t="s">
        <v>0</v>
      </c>
      <c r="F5134" s="4">
        <v>1</v>
      </c>
      <c r="G5134" s="41">
        <v>12</v>
      </c>
      <c r="H5134" s="41">
        <f>0.01070009*(1000)</f>
        <v>10.700090000000001</v>
      </c>
      <c r="I5134" s="221"/>
      <c r="J5134" s="221"/>
    </row>
    <row r="5135" spans="1:10" s="15" customFormat="1" ht="16.5" hidden="1" customHeight="1" outlineLevel="1" x14ac:dyDescent="0.25">
      <c r="A5135" s="18">
        <v>4337</v>
      </c>
      <c r="B5135" s="4" t="s">
        <v>43</v>
      </c>
      <c r="C5135" s="38" t="s">
        <v>3277</v>
      </c>
      <c r="D5135" s="18">
        <v>2022</v>
      </c>
      <c r="E5135" s="18" t="s">
        <v>0</v>
      </c>
      <c r="F5135" s="4">
        <v>1</v>
      </c>
      <c r="G5135" s="41">
        <v>15</v>
      </c>
      <c r="H5135" s="41">
        <f>0.01073202*(1000)</f>
        <v>10.73202</v>
      </c>
      <c r="I5135" s="221"/>
      <c r="J5135" s="221"/>
    </row>
    <row r="5136" spans="1:10" s="15" customFormat="1" ht="16.5" hidden="1" customHeight="1" outlineLevel="1" x14ac:dyDescent="0.25">
      <c r="A5136" s="18">
        <v>4339</v>
      </c>
      <c r="B5136" s="4" t="s">
        <v>43</v>
      </c>
      <c r="C5136" s="38" t="s">
        <v>3278</v>
      </c>
      <c r="D5136" s="18">
        <v>2022</v>
      </c>
      <c r="E5136" s="18" t="s">
        <v>0</v>
      </c>
      <c r="F5136" s="4">
        <v>1</v>
      </c>
      <c r="G5136" s="41">
        <v>10</v>
      </c>
      <c r="H5136" s="41">
        <f>0.01074616*(1000)</f>
        <v>10.74616</v>
      </c>
      <c r="I5136" s="221"/>
      <c r="J5136" s="221"/>
    </row>
    <row r="5137" spans="1:10" s="15" customFormat="1" ht="16.5" hidden="1" customHeight="1" outlineLevel="1" x14ac:dyDescent="0.25">
      <c r="A5137" s="18">
        <v>4340</v>
      </c>
      <c r="B5137" s="4" t="s">
        <v>43</v>
      </c>
      <c r="C5137" s="38" t="s">
        <v>3279</v>
      </c>
      <c r="D5137" s="18">
        <v>2022</v>
      </c>
      <c r="E5137" s="18" t="s">
        <v>0</v>
      </c>
      <c r="F5137" s="4">
        <v>1</v>
      </c>
      <c r="G5137" s="41">
        <v>5</v>
      </c>
      <c r="H5137" s="41">
        <f>0.01073203*(1000)</f>
        <v>10.73203</v>
      </c>
      <c r="I5137" s="221"/>
      <c r="J5137" s="221"/>
    </row>
    <row r="5138" spans="1:10" s="15" customFormat="1" ht="16.5" hidden="1" customHeight="1" outlineLevel="1" x14ac:dyDescent="0.25">
      <c r="A5138" s="18">
        <v>4341</v>
      </c>
      <c r="B5138" s="4" t="s">
        <v>43</v>
      </c>
      <c r="C5138" s="38" t="s">
        <v>3280</v>
      </c>
      <c r="D5138" s="18">
        <v>2022</v>
      </c>
      <c r="E5138" s="18" t="s">
        <v>0</v>
      </c>
      <c r="F5138" s="4">
        <v>1</v>
      </c>
      <c r="G5138" s="41">
        <v>2</v>
      </c>
      <c r="H5138" s="41">
        <f>0.01058454*(1000)</f>
        <v>10.584540000000001</v>
      </c>
      <c r="I5138" s="221"/>
      <c r="J5138" s="221"/>
    </row>
    <row r="5139" spans="1:10" s="15" customFormat="1" ht="16.5" hidden="1" customHeight="1" outlineLevel="1" x14ac:dyDescent="0.25">
      <c r="A5139" s="18">
        <v>4342</v>
      </c>
      <c r="B5139" s="4" t="s">
        <v>43</v>
      </c>
      <c r="C5139" s="38" t="s">
        <v>3281</v>
      </c>
      <c r="D5139" s="18">
        <v>2022</v>
      </c>
      <c r="E5139" s="18" t="s">
        <v>0</v>
      </c>
      <c r="F5139" s="4">
        <v>1</v>
      </c>
      <c r="G5139" s="41">
        <v>2</v>
      </c>
      <c r="H5139" s="41">
        <f>0.01058453*(1000)</f>
        <v>10.584529999999999</v>
      </c>
      <c r="I5139" s="221"/>
      <c r="J5139" s="221"/>
    </row>
    <row r="5140" spans="1:10" s="15" customFormat="1" ht="16.5" hidden="1" customHeight="1" outlineLevel="1" x14ac:dyDescent="0.25">
      <c r="A5140" s="18">
        <v>4343</v>
      </c>
      <c r="B5140" s="4" t="s">
        <v>43</v>
      </c>
      <c r="C5140" s="38" t="s">
        <v>3282</v>
      </c>
      <c r="D5140" s="18">
        <v>2022</v>
      </c>
      <c r="E5140" s="18" t="s">
        <v>0</v>
      </c>
      <c r="F5140" s="4">
        <v>1</v>
      </c>
      <c r="G5140" s="41">
        <v>5</v>
      </c>
      <c r="H5140" s="41">
        <f>0.01147424*(1000)</f>
        <v>11.47424</v>
      </c>
      <c r="I5140" s="221"/>
      <c r="J5140" s="221"/>
    </row>
    <row r="5141" spans="1:10" s="15" customFormat="1" ht="16.5" hidden="1" customHeight="1" outlineLevel="1" x14ac:dyDescent="0.25">
      <c r="A5141" s="18">
        <v>4344</v>
      </c>
      <c r="B5141" s="4" t="s">
        <v>43</v>
      </c>
      <c r="C5141" s="38" t="s">
        <v>3283</v>
      </c>
      <c r="D5141" s="18">
        <v>2022</v>
      </c>
      <c r="E5141" s="18" t="s">
        <v>0</v>
      </c>
      <c r="F5141" s="4">
        <v>1</v>
      </c>
      <c r="G5141" s="41">
        <v>7</v>
      </c>
      <c r="H5141" s="41">
        <f>0.01180172*(1000)</f>
        <v>11.80172</v>
      </c>
      <c r="I5141" s="221"/>
      <c r="J5141" s="221"/>
    </row>
    <row r="5142" spans="1:10" s="15" customFormat="1" ht="16.5" hidden="1" customHeight="1" outlineLevel="1" x14ac:dyDescent="0.25">
      <c r="A5142" s="18">
        <v>4348</v>
      </c>
      <c r="B5142" s="4" t="s">
        <v>43</v>
      </c>
      <c r="C5142" s="38" t="s">
        <v>3284</v>
      </c>
      <c r="D5142" s="18">
        <v>2022</v>
      </c>
      <c r="E5142" s="18" t="s">
        <v>0</v>
      </c>
      <c r="F5142" s="4">
        <v>1</v>
      </c>
      <c r="G5142" s="41">
        <v>5</v>
      </c>
      <c r="H5142" s="41">
        <f>0.01180172*(1000)</f>
        <v>11.80172</v>
      </c>
      <c r="I5142" s="221"/>
      <c r="J5142" s="221"/>
    </row>
    <row r="5143" spans="1:10" s="15" customFormat="1" ht="16.5" hidden="1" customHeight="1" outlineLevel="1" x14ac:dyDescent="0.25">
      <c r="A5143" s="18">
        <v>4349</v>
      </c>
      <c r="B5143" s="4" t="s">
        <v>43</v>
      </c>
      <c r="C5143" s="38" t="s">
        <v>3285</v>
      </c>
      <c r="D5143" s="18">
        <v>2022</v>
      </c>
      <c r="E5143" s="18" t="s">
        <v>0</v>
      </c>
      <c r="F5143" s="4">
        <v>1</v>
      </c>
      <c r="G5143" s="41">
        <v>5</v>
      </c>
      <c r="H5143" s="41">
        <f>0.01180172*(1000)</f>
        <v>11.80172</v>
      </c>
      <c r="I5143" s="221"/>
      <c r="J5143" s="221"/>
    </row>
    <row r="5144" spans="1:10" s="15" customFormat="1" ht="16.5" hidden="1" customHeight="1" outlineLevel="1" x14ac:dyDescent="0.25">
      <c r="A5144" s="18">
        <v>4350</v>
      </c>
      <c r="B5144" s="4" t="s">
        <v>43</v>
      </c>
      <c r="C5144" s="38" t="s">
        <v>3286</v>
      </c>
      <c r="D5144" s="18">
        <v>2022</v>
      </c>
      <c r="E5144" s="18" t="s">
        <v>0</v>
      </c>
      <c r="F5144" s="4">
        <v>1</v>
      </c>
      <c r="G5144" s="41">
        <v>10</v>
      </c>
      <c r="H5144" s="41">
        <f>0.01124568*(1000)</f>
        <v>11.245679999999998</v>
      </c>
      <c r="I5144" s="221"/>
      <c r="J5144" s="221"/>
    </row>
    <row r="5145" spans="1:10" s="15" customFormat="1" ht="16.5" hidden="1" customHeight="1" outlineLevel="1" x14ac:dyDescent="0.25">
      <c r="A5145" s="18">
        <v>4357</v>
      </c>
      <c r="B5145" s="4" t="s">
        <v>43</v>
      </c>
      <c r="C5145" s="38" t="s">
        <v>3287</v>
      </c>
      <c r="D5145" s="18">
        <v>2022</v>
      </c>
      <c r="E5145" s="18" t="s">
        <v>0</v>
      </c>
      <c r="F5145" s="4">
        <v>1</v>
      </c>
      <c r="G5145" s="41">
        <v>5</v>
      </c>
      <c r="H5145" s="41">
        <f>0.01110499*(1000)</f>
        <v>11.104990000000001</v>
      </c>
      <c r="I5145" s="221"/>
      <c r="J5145" s="221"/>
    </row>
    <row r="5146" spans="1:10" s="15" customFormat="1" ht="16.5" hidden="1" customHeight="1" outlineLevel="1" x14ac:dyDescent="0.25">
      <c r="A5146" s="18">
        <v>4359</v>
      </c>
      <c r="B5146" s="4" t="s">
        <v>43</v>
      </c>
      <c r="C5146" s="38" t="s">
        <v>3288</v>
      </c>
      <c r="D5146" s="18">
        <v>2022</v>
      </c>
      <c r="E5146" s="18" t="s">
        <v>0</v>
      </c>
      <c r="F5146" s="4">
        <v>1</v>
      </c>
      <c r="G5146" s="41">
        <v>10</v>
      </c>
      <c r="H5146" s="41">
        <f>0.01110499*(1000)</f>
        <v>11.104990000000001</v>
      </c>
      <c r="I5146" s="221"/>
      <c r="J5146" s="221"/>
    </row>
    <row r="5147" spans="1:10" s="15" customFormat="1" ht="16.5" hidden="1" customHeight="1" outlineLevel="1" x14ac:dyDescent="0.25">
      <c r="A5147" s="18">
        <v>4363</v>
      </c>
      <c r="B5147" s="4" t="s">
        <v>43</v>
      </c>
      <c r="C5147" s="38" t="s">
        <v>3289</v>
      </c>
      <c r="D5147" s="18">
        <v>2022</v>
      </c>
      <c r="E5147" s="18" t="s">
        <v>0</v>
      </c>
      <c r="F5147" s="4">
        <v>1</v>
      </c>
      <c r="G5147" s="41">
        <v>12</v>
      </c>
      <c r="H5147" s="41">
        <f>0.01124568*(1000)</f>
        <v>11.245679999999998</v>
      </c>
      <c r="I5147" s="221"/>
      <c r="J5147" s="221"/>
    </row>
    <row r="5148" spans="1:10" s="15" customFormat="1" ht="16.5" hidden="1" customHeight="1" outlineLevel="1" x14ac:dyDescent="0.25">
      <c r="A5148" s="18">
        <v>4364</v>
      </c>
      <c r="B5148" s="4" t="s">
        <v>43</v>
      </c>
      <c r="C5148" s="38" t="s">
        <v>3290</v>
      </c>
      <c r="D5148" s="18">
        <v>2022</v>
      </c>
      <c r="E5148" s="18" t="s">
        <v>0</v>
      </c>
      <c r="F5148" s="4">
        <v>1</v>
      </c>
      <c r="G5148" s="41">
        <v>5</v>
      </c>
      <c r="H5148" s="41">
        <f>0.01124568*(1000)</f>
        <v>11.245679999999998</v>
      </c>
      <c r="I5148" s="221"/>
      <c r="J5148" s="221"/>
    </row>
    <row r="5149" spans="1:10" s="15" customFormat="1" ht="16.5" hidden="1" customHeight="1" outlineLevel="1" x14ac:dyDescent="0.25">
      <c r="A5149" s="18">
        <v>4365</v>
      </c>
      <c r="B5149" s="4" t="s">
        <v>43</v>
      </c>
      <c r="C5149" s="38" t="s">
        <v>3291</v>
      </c>
      <c r="D5149" s="18">
        <v>2022</v>
      </c>
      <c r="E5149" s="18" t="s">
        <v>0</v>
      </c>
      <c r="F5149" s="4">
        <v>1</v>
      </c>
      <c r="G5149" s="41">
        <v>5</v>
      </c>
      <c r="H5149" s="41">
        <f>0.01124568*(1000)</f>
        <v>11.245679999999998</v>
      </c>
      <c r="I5149" s="221"/>
      <c r="J5149" s="221"/>
    </row>
    <row r="5150" spans="1:10" s="15" customFormat="1" ht="16.5" hidden="1" customHeight="1" outlineLevel="1" x14ac:dyDescent="0.25">
      <c r="A5150" s="18">
        <v>4367</v>
      </c>
      <c r="B5150" s="4" t="s">
        <v>43</v>
      </c>
      <c r="C5150" s="38" t="s">
        <v>3292</v>
      </c>
      <c r="D5150" s="18">
        <v>2022</v>
      </c>
      <c r="E5150" s="18" t="s">
        <v>0</v>
      </c>
      <c r="F5150" s="4">
        <v>1</v>
      </c>
      <c r="G5150" s="41">
        <v>15</v>
      </c>
      <c r="H5150" s="41">
        <f>0.01124568*(1000)</f>
        <v>11.245679999999998</v>
      </c>
      <c r="I5150" s="221"/>
      <c r="J5150" s="221"/>
    </row>
    <row r="5151" spans="1:10" s="15" customFormat="1" ht="16.5" hidden="1" customHeight="1" outlineLevel="1" x14ac:dyDescent="0.25">
      <c r="A5151" s="18">
        <v>4368</v>
      </c>
      <c r="B5151" s="4" t="s">
        <v>43</v>
      </c>
      <c r="C5151" s="38" t="s">
        <v>3293</v>
      </c>
      <c r="D5151" s="18">
        <v>2022</v>
      </c>
      <c r="E5151" s="18" t="s">
        <v>0</v>
      </c>
      <c r="F5151" s="4">
        <v>1</v>
      </c>
      <c r="G5151" s="41">
        <v>5</v>
      </c>
      <c r="H5151" s="41">
        <f>0.01124568*(1000)</f>
        <v>11.245679999999998</v>
      </c>
      <c r="I5151" s="221"/>
      <c r="J5151" s="221"/>
    </row>
    <row r="5152" spans="1:10" s="15" customFormat="1" ht="16.5" hidden="1" customHeight="1" outlineLevel="1" x14ac:dyDescent="0.25">
      <c r="A5152" s="18">
        <v>4369</v>
      </c>
      <c r="B5152" s="4" t="s">
        <v>43</v>
      </c>
      <c r="C5152" s="38" t="s">
        <v>3294</v>
      </c>
      <c r="D5152" s="18">
        <v>2022</v>
      </c>
      <c r="E5152" s="18" t="s">
        <v>0</v>
      </c>
      <c r="F5152" s="4">
        <v>1</v>
      </c>
      <c r="G5152" s="41">
        <v>10</v>
      </c>
      <c r="H5152" s="41">
        <f>0.01096764*(1000)</f>
        <v>10.967640000000001</v>
      </c>
      <c r="I5152" s="221"/>
      <c r="J5152" s="221"/>
    </row>
    <row r="5153" spans="1:10" s="15" customFormat="1" ht="16.5" hidden="1" customHeight="1" outlineLevel="1" x14ac:dyDescent="0.25">
      <c r="A5153" s="18">
        <v>4375</v>
      </c>
      <c r="B5153" s="4" t="s">
        <v>43</v>
      </c>
      <c r="C5153" s="38" t="s">
        <v>3295</v>
      </c>
      <c r="D5153" s="18">
        <v>2022</v>
      </c>
      <c r="E5153" s="18" t="s">
        <v>0</v>
      </c>
      <c r="F5153" s="4">
        <v>1</v>
      </c>
      <c r="G5153" s="41">
        <v>8</v>
      </c>
      <c r="H5153" s="41">
        <f>0.00935009*(1000)</f>
        <v>9.3500899999999998</v>
      </c>
      <c r="I5153" s="221"/>
      <c r="J5153" s="221"/>
    </row>
    <row r="5154" spans="1:10" s="15" customFormat="1" ht="16.5" hidden="1" customHeight="1" outlineLevel="1" x14ac:dyDescent="0.25">
      <c r="A5154" s="18">
        <v>4376</v>
      </c>
      <c r="B5154" s="4" t="s">
        <v>43</v>
      </c>
      <c r="C5154" s="38" t="s">
        <v>3296</v>
      </c>
      <c r="D5154" s="18">
        <v>2022</v>
      </c>
      <c r="E5154" s="18" t="s">
        <v>0</v>
      </c>
      <c r="F5154" s="4">
        <v>1</v>
      </c>
      <c r="G5154" s="41">
        <v>8</v>
      </c>
      <c r="H5154" s="41">
        <f>0.00938407*(1000)</f>
        <v>9.3840699999999995</v>
      </c>
      <c r="I5154" s="221"/>
      <c r="J5154" s="221"/>
    </row>
    <row r="5155" spans="1:10" s="15" customFormat="1" ht="16.5" hidden="1" customHeight="1" outlineLevel="1" x14ac:dyDescent="0.25">
      <c r="A5155" s="18">
        <v>4377</v>
      </c>
      <c r="B5155" s="4" t="s">
        <v>43</v>
      </c>
      <c r="C5155" s="38" t="s">
        <v>3297</v>
      </c>
      <c r="D5155" s="18">
        <v>2022</v>
      </c>
      <c r="E5155" s="18" t="s">
        <v>0</v>
      </c>
      <c r="F5155" s="4">
        <v>1</v>
      </c>
      <c r="G5155" s="41">
        <v>8</v>
      </c>
      <c r="H5155" s="41">
        <f>0.00938409*(1000)</f>
        <v>9.3840899999999987</v>
      </c>
      <c r="I5155" s="221"/>
      <c r="J5155" s="221"/>
    </row>
    <row r="5156" spans="1:10" s="15" customFormat="1" ht="16.5" hidden="1" customHeight="1" outlineLevel="1" x14ac:dyDescent="0.25">
      <c r="A5156" s="18">
        <v>4378</v>
      </c>
      <c r="B5156" s="4" t="s">
        <v>43</v>
      </c>
      <c r="C5156" s="38" t="s">
        <v>3298</v>
      </c>
      <c r="D5156" s="18">
        <v>2022</v>
      </c>
      <c r="E5156" s="18" t="s">
        <v>0</v>
      </c>
      <c r="F5156" s="4">
        <v>1</v>
      </c>
      <c r="G5156" s="41">
        <v>15</v>
      </c>
      <c r="H5156" s="41">
        <f>0.00938409*(1000)</f>
        <v>9.3840899999999987</v>
      </c>
      <c r="I5156" s="221"/>
      <c r="J5156" s="221"/>
    </row>
    <row r="5157" spans="1:10" s="15" customFormat="1" ht="16.5" hidden="1" customHeight="1" outlineLevel="1" x14ac:dyDescent="0.25">
      <c r="A5157" s="18">
        <v>4380</v>
      </c>
      <c r="B5157" s="4" t="s">
        <v>43</v>
      </c>
      <c r="C5157" s="38" t="s">
        <v>3299</v>
      </c>
      <c r="D5157" s="18">
        <v>2022</v>
      </c>
      <c r="E5157" s="18" t="s">
        <v>0</v>
      </c>
      <c r="F5157" s="4">
        <v>1</v>
      </c>
      <c r="G5157" s="41">
        <v>10</v>
      </c>
      <c r="H5157" s="41">
        <f>0.00938406*(1000)</f>
        <v>9.3840599999999998</v>
      </c>
      <c r="I5157" s="221"/>
      <c r="J5157" s="221"/>
    </row>
    <row r="5158" spans="1:10" s="15" customFormat="1" ht="16.5" hidden="1" customHeight="1" outlineLevel="1" x14ac:dyDescent="0.25">
      <c r="A5158" s="18">
        <v>4381</v>
      </c>
      <c r="B5158" s="4" t="s">
        <v>43</v>
      </c>
      <c r="C5158" s="38" t="s">
        <v>3300</v>
      </c>
      <c r="D5158" s="18">
        <v>2022</v>
      </c>
      <c r="E5158" s="18" t="s">
        <v>0</v>
      </c>
      <c r="F5158" s="4">
        <v>1</v>
      </c>
      <c r="G5158" s="41">
        <v>8</v>
      </c>
      <c r="H5158" s="41">
        <f>0.00938409*(1000)</f>
        <v>9.3840899999999987</v>
      </c>
      <c r="I5158" s="221"/>
      <c r="J5158" s="221"/>
    </row>
    <row r="5159" spans="1:10" s="15" customFormat="1" ht="16.5" hidden="1" customHeight="1" outlineLevel="1" x14ac:dyDescent="0.25">
      <c r="A5159" s="18">
        <v>4382</v>
      </c>
      <c r="B5159" s="4" t="s">
        <v>43</v>
      </c>
      <c r="C5159" s="38" t="s">
        <v>3301</v>
      </c>
      <c r="D5159" s="18">
        <v>2022</v>
      </c>
      <c r="E5159" s="18" t="s">
        <v>0</v>
      </c>
      <c r="F5159" s="4">
        <v>1</v>
      </c>
      <c r="G5159" s="41">
        <v>10</v>
      </c>
      <c r="H5159" s="41">
        <f>0.00938409*(1000)</f>
        <v>9.3840899999999987</v>
      </c>
      <c r="I5159" s="221"/>
      <c r="J5159" s="221"/>
    </row>
    <row r="5160" spans="1:10" s="15" customFormat="1" ht="16.5" hidden="1" customHeight="1" outlineLevel="1" x14ac:dyDescent="0.25">
      <c r="A5160" s="18">
        <v>4383</v>
      </c>
      <c r="B5160" s="4" t="s">
        <v>43</v>
      </c>
      <c r="C5160" s="38" t="s">
        <v>3302</v>
      </c>
      <c r="D5160" s="18">
        <v>2022</v>
      </c>
      <c r="E5160" s="18" t="s">
        <v>0</v>
      </c>
      <c r="F5160" s="4">
        <v>1</v>
      </c>
      <c r="G5160" s="41">
        <v>10</v>
      </c>
      <c r="H5160" s="41">
        <f>0.00938408*(1000)</f>
        <v>9.3840799999999991</v>
      </c>
      <c r="I5160" s="221"/>
      <c r="J5160" s="221"/>
    </row>
    <row r="5161" spans="1:10" s="15" customFormat="1" ht="16.5" hidden="1" customHeight="1" outlineLevel="1" x14ac:dyDescent="0.25">
      <c r="A5161" s="18">
        <v>4384</v>
      </c>
      <c r="B5161" s="4" t="s">
        <v>43</v>
      </c>
      <c r="C5161" s="38" t="s">
        <v>3303</v>
      </c>
      <c r="D5161" s="18">
        <v>2022</v>
      </c>
      <c r="E5161" s="18" t="s">
        <v>0</v>
      </c>
      <c r="F5161" s="4">
        <v>1</v>
      </c>
      <c r="G5161" s="41">
        <v>14</v>
      </c>
      <c r="H5161" s="41">
        <f>0.00938409*(1000)</f>
        <v>9.3840899999999987</v>
      </c>
      <c r="I5161" s="221"/>
      <c r="J5161" s="221"/>
    </row>
    <row r="5162" spans="1:10" s="15" customFormat="1" ht="16.5" hidden="1" customHeight="1" outlineLevel="1" x14ac:dyDescent="0.25">
      <c r="A5162" s="18">
        <v>4387</v>
      </c>
      <c r="B5162" s="4" t="s">
        <v>43</v>
      </c>
      <c r="C5162" s="38" t="s">
        <v>3304</v>
      </c>
      <c r="D5162" s="18">
        <v>2022</v>
      </c>
      <c r="E5162" s="18" t="s">
        <v>0</v>
      </c>
      <c r="F5162" s="4">
        <v>1</v>
      </c>
      <c r="G5162" s="41">
        <v>10</v>
      </c>
      <c r="H5162" s="41">
        <f>0.00938409*(1000)</f>
        <v>9.3840899999999987</v>
      </c>
      <c r="I5162" s="221"/>
      <c r="J5162" s="221"/>
    </row>
    <row r="5163" spans="1:10" s="15" customFormat="1" ht="16.5" hidden="1" customHeight="1" outlineLevel="1" x14ac:dyDescent="0.25">
      <c r="A5163" s="18">
        <v>4388</v>
      </c>
      <c r="B5163" s="4" t="s">
        <v>43</v>
      </c>
      <c r="C5163" s="38" t="s">
        <v>3305</v>
      </c>
      <c r="D5163" s="18">
        <v>2022</v>
      </c>
      <c r="E5163" s="18" t="s">
        <v>0</v>
      </c>
      <c r="F5163" s="4">
        <v>1</v>
      </c>
      <c r="G5163" s="41">
        <v>8</v>
      </c>
      <c r="H5163" s="41">
        <f>0.00938407*(1000)</f>
        <v>9.3840699999999995</v>
      </c>
      <c r="I5163" s="221"/>
      <c r="J5163" s="221"/>
    </row>
    <row r="5164" spans="1:10" s="15" customFormat="1" ht="16.5" hidden="1" customHeight="1" outlineLevel="1" x14ac:dyDescent="0.25">
      <c r="A5164" s="18">
        <v>4389</v>
      </c>
      <c r="B5164" s="4" t="s">
        <v>43</v>
      </c>
      <c r="C5164" s="38" t="s">
        <v>3306</v>
      </c>
      <c r="D5164" s="18">
        <v>2022</v>
      </c>
      <c r="E5164" s="18" t="s">
        <v>0</v>
      </c>
      <c r="F5164" s="4">
        <v>1</v>
      </c>
      <c r="G5164" s="41">
        <v>8</v>
      </c>
      <c r="H5164" s="41">
        <f t="shared" ref="H5164:H5169" si="0">0.00938409*(1000)</f>
        <v>9.3840899999999987</v>
      </c>
      <c r="I5164" s="221"/>
      <c r="J5164" s="221"/>
    </row>
    <row r="5165" spans="1:10" s="15" customFormat="1" ht="16.5" hidden="1" customHeight="1" outlineLevel="1" x14ac:dyDescent="0.25">
      <c r="A5165" s="18">
        <v>4390</v>
      </c>
      <c r="B5165" s="4" t="s">
        <v>43</v>
      </c>
      <c r="C5165" s="38" t="s">
        <v>3307</v>
      </c>
      <c r="D5165" s="18">
        <v>2022</v>
      </c>
      <c r="E5165" s="18" t="s">
        <v>0</v>
      </c>
      <c r="F5165" s="4">
        <v>1</v>
      </c>
      <c r="G5165" s="41">
        <v>8</v>
      </c>
      <c r="H5165" s="41">
        <f t="shared" si="0"/>
        <v>9.3840899999999987</v>
      </c>
      <c r="I5165" s="221"/>
      <c r="J5165" s="221"/>
    </row>
    <row r="5166" spans="1:10" s="15" customFormat="1" ht="16.5" hidden="1" customHeight="1" outlineLevel="1" x14ac:dyDescent="0.25">
      <c r="A5166" s="18">
        <v>4392</v>
      </c>
      <c r="B5166" s="4" t="s">
        <v>43</v>
      </c>
      <c r="C5166" s="38" t="s">
        <v>3308</v>
      </c>
      <c r="D5166" s="18">
        <v>2022</v>
      </c>
      <c r="E5166" s="18" t="s">
        <v>0</v>
      </c>
      <c r="F5166" s="4">
        <v>1</v>
      </c>
      <c r="G5166" s="41">
        <v>10</v>
      </c>
      <c r="H5166" s="41">
        <f t="shared" si="0"/>
        <v>9.3840899999999987</v>
      </c>
      <c r="I5166" s="221"/>
      <c r="J5166" s="221"/>
    </row>
    <row r="5167" spans="1:10" s="15" customFormat="1" ht="16.5" hidden="1" customHeight="1" outlineLevel="1" x14ac:dyDescent="0.25">
      <c r="A5167" s="18">
        <v>4393</v>
      </c>
      <c r="B5167" s="4" t="s">
        <v>43</v>
      </c>
      <c r="C5167" s="38" t="s">
        <v>3309</v>
      </c>
      <c r="D5167" s="18">
        <v>2022</v>
      </c>
      <c r="E5167" s="18" t="s">
        <v>0</v>
      </c>
      <c r="F5167" s="4">
        <v>1</v>
      </c>
      <c r="G5167" s="41">
        <v>5</v>
      </c>
      <c r="H5167" s="41">
        <f t="shared" si="0"/>
        <v>9.3840899999999987</v>
      </c>
      <c r="I5167" s="221"/>
      <c r="J5167" s="221"/>
    </row>
    <row r="5168" spans="1:10" s="15" customFormat="1" ht="16.5" hidden="1" customHeight="1" outlineLevel="1" x14ac:dyDescent="0.25">
      <c r="A5168" s="18">
        <v>4394</v>
      </c>
      <c r="B5168" s="4" t="s">
        <v>43</v>
      </c>
      <c r="C5168" s="38" t="s">
        <v>3310</v>
      </c>
      <c r="D5168" s="18">
        <v>2022</v>
      </c>
      <c r="E5168" s="18" t="s">
        <v>0</v>
      </c>
      <c r="F5168" s="4">
        <v>1</v>
      </c>
      <c r="G5168" s="41">
        <v>10</v>
      </c>
      <c r="H5168" s="41">
        <f t="shared" si="0"/>
        <v>9.3840899999999987</v>
      </c>
      <c r="I5168" s="221"/>
      <c r="J5168" s="221"/>
    </row>
    <row r="5169" spans="1:10" s="15" customFormat="1" ht="16.5" hidden="1" customHeight="1" outlineLevel="1" x14ac:dyDescent="0.25">
      <c r="A5169" s="18">
        <v>4395</v>
      </c>
      <c r="B5169" s="4" t="s">
        <v>43</v>
      </c>
      <c r="C5169" s="38" t="s">
        <v>3311</v>
      </c>
      <c r="D5169" s="18">
        <v>2022</v>
      </c>
      <c r="E5169" s="18" t="s">
        <v>0</v>
      </c>
      <c r="F5169" s="4">
        <v>1</v>
      </c>
      <c r="G5169" s="41">
        <v>10</v>
      </c>
      <c r="H5169" s="41">
        <f t="shared" si="0"/>
        <v>9.3840899999999987</v>
      </c>
      <c r="I5169" s="221"/>
      <c r="J5169" s="221"/>
    </row>
    <row r="5170" spans="1:10" s="15" customFormat="1" ht="16.5" hidden="1" customHeight="1" outlineLevel="1" x14ac:dyDescent="0.25">
      <c r="A5170" s="18">
        <v>4396</v>
      </c>
      <c r="B5170" s="4" t="s">
        <v>43</v>
      </c>
      <c r="C5170" s="38" t="s">
        <v>3312</v>
      </c>
      <c r="D5170" s="18">
        <v>2022</v>
      </c>
      <c r="E5170" s="18" t="s">
        <v>0</v>
      </c>
      <c r="F5170" s="4">
        <v>1</v>
      </c>
      <c r="G5170" s="41">
        <v>10</v>
      </c>
      <c r="H5170" s="41">
        <f>0.00938403*(1000)</f>
        <v>9.3840299999999992</v>
      </c>
      <c r="I5170" s="221"/>
      <c r="J5170" s="221"/>
    </row>
    <row r="5171" spans="1:10" s="15" customFormat="1" ht="16.5" hidden="1" customHeight="1" outlineLevel="1" x14ac:dyDescent="0.25">
      <c r="A5171" s="18">
        <v>4397</v>
      </c>
      <c r="B5171" s="4" t="s">
        <v>43</v>
      </c>
      <c r="C5171" s="38" t="s">
        <v>3313</v>
      </c>
      <c r="D5171" s="18">
        <v>2022</v>
      </c>
      <c r="E5171" s="18" t="s">
        <v>0</v>
      </c>
      <c r="F5171" s="4">
        <v>1</v>
      </c>
      <c r="G5171" s="41">
        <v>10</v>
      </c>
      <c r="H5171" s="41">
        <f>0.00938409*(1000)</f>
        <v>9.3840899999999987</v>
      </c>
      <c r="I5171" s="221"/>
      <c r="J5171" s="221"/>
    </row>
    <row r="5172" spans="1:10" s="15" customFormat="1" ht="16.5" hidden="1" customHeight="1" outlineLevel="1" x14ac:dyDescent="0.25">
      <c r="A5172" s="18">
        <v>4398</v>
      </c>
      <c r="B5172" s="4" t="s">
        <v>43</v>
      </c>
      <c r="C5172" s="38" t="s">
        <v>3314</v>
      </c>
      <c r="D5172" s="18">
        <v>2022</v>
      </c>
      <c r="E5172" s="18" t="s">
        <v>0</v>
      </c>
      <c r="F5172" s="4">
        <v>1</v>
      </c>
      <c r="G5172" s="41">
        <v>10</v>
      </c>
      <c r="H5172" s="41">
        <f>0.00938409*(1000)</f>
        <v>9.3840899999999987</v>
      </c>
      <c r="I5172" s="221"/>
      <c r="J5172" s="221"/>
    </row>
    <row r="5173" spans="1:10" s="15" customFormat="1" ht="16.5" hidden="1" customHeight="1" outlineLevel="1" x14ac:dyDescent="0.25">
      <c r="A5173" s="18">
        <v>4400</v>
      </c>
      <c r="B5173" s="4" t="s">
        <v>43</v>
      </c>
      <c r="C5173" s="38" t="s">
        <v>3315</v>
      </c>
      <c r="D5173" s="18">
        <v>2022</v>
      </c>
      <c r="E5173" s="18" t="s">
        <v>0</v>
      </c>
      <c r="F5173" s="4">
        <v>1</v>
      </c>
      <c r="G5173" s="41">
        <v>12</v>
      </c>
      <c r="H5173" s="41">
        <f>0.00938409*(1000)</f>
        <v>9.3840899999999987</v>
      </c>
      <c r="I5173" s="221"/>
      <c r="J5173" s="221"/>
    </row>
    <row r="5174" spans="1:10" s="15" customFormat="1" ht="16.5" hidden="1" customHeight="1" outlineLevel="1" x14ac:dyDescent="0.25">
      <c r="A5174" s="18">
        <v>4401</v>
      </c>
      <c r="B5174" s="4" t="s">
        <v>43</v>
      </c>
      <c r="C5174" s="38" t="s">
        <v>3316</v>
      </c>
      <c r="D5174" s="18">
        <v>2022</v>
      </c>
      <c r="E5174" s="18" t="s">
        <v>0</v>
      </c>
      <c r="F5174" s="4">
        <v>1</v>
      </c>
      <c r="G5174" s="41">
        <v>10</v>
      </c>
      <c r="H5174" s="41">
        <f>0.00938409*(1000)</f>
        <v>9.3840899999999987</v>
      </c>
      <c r="I5174" s="221"/>
      <c r="J5174" s="221"/>
    </row>
    <row r="5175" spans="1:10" s="15" customFormat="1" ht="16.5" hidden="1" customHeight="1" outlineLevel="1" x14ac:dyDescent="0.25">
      <c r="A5175" s="18">
        <v>4403</v>
      </c>
      <c r="B5175" s="4" t="s">
        <v>43</v>
      </c>
      <c r="C5175" s="38" t="s">
        <v>3317</v>
      </c>
      <c r="D5175" s="18">
        <v>2022</v>
      </c>
      <c r="E5175" s="18" t="s">
        <v>0</v>
      </c>
      <c r="F5175" s="4">
        <v>1</v>
      </c>
      <c r="G5175" s="41">
        <v>10</v>
      </c>
      <c r="H5175" s="41">
        <f>0.00938407*(1000)</f>
        <v>9.3840699999999995</v>
      </c>
      <c r="I5175" s="221"/>
      <c r="J5175" s="221"/>
    </row>
    <row r="5176" spans="1:10" s="15" customFormat="1" ht="16.5" hidden="1" customHeight="1" outlineLevel="1" x14ac:dyDescent="0.25">
      <c r="A5176" s="18">
        <v>4404</v>
      </c>
      <c r="B5176" s="4" t="s">
        <v>43</v>
      </c>
      <c r="C5176" s="38" t="s">
        <v>3318</v>
      </c>
      <c r="D5176" s="18">
        <v>2022</v>
      </c>
      <c r="E5176" s="18" t="s">
        <v>0</v>
      </c>
      <c r="F5176" s="4">
        <v>1</v>
      </c>
      <c r="G5176" s="41">
        <v>10</v>
      </c>
      <c r="H5176" s="41">
        <f>0.00938408*(1000)</f>
        <v>9.3840799999999991</v>
      </c>
      <c r="I5176" s="221"/>
      <c r="J5176" s="221"/>
    </row>
    <row r="5177" spans="1:10" s="15" customFormat="1" ht="16.5" hidden="1" customHeight="1" outlineLevel="1" x14ac:dyDescent="0.25">
      <c r="A5177" s="18">
        <v>4405</v>
      </c>
      <c r="B5177" s="4" t="s">
        <v>43</v>
      </c>
      <c r="C5177" s="38" t="s">
        <v>3319</v>
      </c>
      <c r="D5177" s="18">
        <v>2022</v>
      </c>
      <c r="E5177" s="18" t="s">
        <v>0</v>
      </c>
      <c r="F5177" s="4">
        <v>1</v>
      </c>
      <c r="G5177" s="41">
        <v>15</v>
      </c>
      <c r="H5177" s="41">
        <f>0.00938407*(1000)</f>
        <v>9.3840699999999995</v>
      </c>
      <c r="I5177" s="221"/>
      <c r="J5177" s="221"/>
    </row>
    <row r="5178" spans="1:10" s="15" customFormat="1" ht="16.5" hidden="1" customHeight="1" outlineLevel="1" x14ac:dyDescent="0.25">
      <c r="A5178" s="18">
        <v>4406</v>
      </c>
      <c r="B5178" s="4" t="s">
        <v>43</v>
      </c>
      <c r="C5178" s="38" t="s">
        <v>3320</v>
      </c>
      <c r="D5178" s="18">
        <v>2022</v>
      </c>
      <c r="E5178" s="18" t="s">
        <v>0</v>
      </c>
      <c r="F5178" s="4">
        <v>1</v>
      </c>
      <c r="G5178" s="41">
        <v>8</v>
      </c>
      <c r="H5178" s="41">
        <f>0.0093841*(1000)</f>
        <v>9.3841000000000001</v>
      </c>
      <c r="I5178" s="221"/>
      <c r="J5178" s="221"/>
    </row>
    <row r="5179" spans="1:10" s="15" customFormat="1" ht="16.5" hidden="1" customHeight="1" outlineLevel="1" x14ac:dyDescent="0.25">
      <c r="A5179" s="18">
        <v>4407</v>
      </c>
      <c r="B5179" s="4" t="s">
        <v>43</v>
      </c>
      <c r="C5179" s="38" t="s">
        <v>3321</v>
      </c>
      <c r="D5179" s="18">
        <v>2022</v>
      </c>
      <c r="E5179" s="18" t="s">
        <v>0</v>
      </c>
      <c r="F5179" s="4">
        <v>1</v>
      </c>
      <c r="G5179" s="41">
        <v>10</v>
      </c>
      <c r="H5179" s="41">
        <f>0.00938407*(1000)</f>
        <v>9.3840699999999995</v>
      </c>
      <c r="I5179" s="221"/>
      <c r="J5179" s="221"/>
    </row>
    <row r="5180" spans="1:10" s="15" customFormat="1" ht="16.5" hidden="1" customHeight="1" outlineLevel="1" x14ac:dyDescent="0.25">
      <c r="A5180" s="18">
        <v>4408</v>
      </c>
      <c r="B5180" s="4" t="s">
        <v>43</v>
      </c>
      <c r="C5180" s="38" t="s">
        <v>3322</v>
      </c>
      <c r="D5180" s="18">
        <v>2022</v>
      </c>
      <c r="E5180" s="18" t="s">
        <v>0</v>
      </c>
      <c r="F5180" s="4">
        <v>1</v>
      </c>
      <c r="G5180" s="41">
        <v>10</v>
      </c>
      <c r="H5180" s="41">
        <f>0.0093841*(1000)</f>
        <v>9.3841000000000001</v>
      </c>
      <c r="I5180" s="221"/>
      <c r="J5180" s="221"/>
    </row>
    <row r="5181" spans="1:10" s="15" customFormat="1" ht="16.5" hidden="1" customHeight="1" outlineLevel="1" x14ac:dyDescent="0.25">
      <c r="A5181" s="18">
        <v>4410</v>
      </c>
      <c r="B5181" s="4" t="s">
        <v>43</v>
      </c>
      <c r="C5181" s="38" t="s">
        <v>3323</v>
      </c>
      <c r="D5181" s="18">
        <v>2022</v>
      </c>
      <c r="E5181" s="18" t="s">
        <v>0</v>
      </c>
      <c r="F5181" s="4">
        <v>1</v>
      </c>
      <c r="G5181" s="41">
        <v>5</v>
      </c>
      <c r="H5181" s="41">
        <f>0.00938409*(1000)</f>
        <v>9.3840899999999987</v>
      </c>
      <c r="I5181" s="221"/>
      <c r="J5181" s="221"/>
    </row>
    <row r="5182" spans="1:10" s="15" customFormat="1" ht="16.5" hidden="1" customHeight="1" outlineLevel="1" x14ac:dyDescent="0.25">
      <c r="A5182" s="18">
        <v>4411</v>
      </c>
      <c r="B5182" s="4" t="s">
        <v>43</v>
      </c>
      <c r="C5182" s="38" t="s">
        <v>3324</v>
      </c>
      <c r="D5182" s="18">
        <v>2022</v>
      </c>
      <c r="E5182" s="18" t="s">
        <v>0</v>
      </c>
      <c r="F5182" s="4">
        <v>1</v>
      </c>
      <c r="G5182" s="41">
        <v>10</v>
      </c>
      <c r="H5182" s="41">
        <f>0.00938409*(1000)</f>
        <v>9.3840899999999987</v>
      </c>
      <c r="I5182" s="221"/>
      <c r="J5182" s="221"/>
    </row>
    <row r="5183" spans="1:10" s="15" customFormat="1" ht="16.5" hidden="1" customHeight="1" outlineLevel="1" x14ac:dyDescent="0.25">
      <c r="A5183" s="18">
        <v>4412</v>
      </c>
      <c r="B5183" s="4" t="s">
        <v>43</v>
      </c>
      <c r="C5183" s="38" t="s">
        <v>3325</v>
      </c>
      <c r="D5183" s="18">
        <v>2022</v>
      </c>
      <c r="E5183" s="18" t="s">
        <v>0</v>
      </c>
      <c r="F5183" s="4">
        <v>1</v>
      </c>
      <c r="G5183" s="41">
        <v>5</v>
      </c>
      <c r="H5183" s="41">
        <f>0.00938408*(1000)</f>
        <v>9.3840799999999991</v>
      </c>
      <c r="I5183" s="221"/>
      <c r="J5183" s="221"/>
    </row>
    <row r="5184" spans="1:10" s="15" customFormat="1" ht="16.5" hidden="1" customHeight="1" outlineLevel="1" x14ac:dyDescent="0.25">
      <c r="A5184" s="18">
        <v>4413</v>
      </c>
      <c r="B5184" s="4" t="s">
        <v>43</v>
      </c>
      <c r="C5184" s="38" t="s">
        <v>3326</v>
      </c>
      <c r="D5184" s="18">
        <v>2022</v>
      </c>
      <c r="E5184" s="18" t="s">
        <v>0</v>
      </c>
      <c r="F5184" s="4">
        <v>1</v>
      </c>
      <c r="G5184" s="41">
        <v>5</v>
      </c>
      <c r="H5184" s="41">
        <f>0.0093841*(1000)</f>
        <v>9.3841000000000001</v>
      </c>
      <c r="I5184" s="221"/>
      <c r="J5184" s="221"/>
    </row>
    <row r="5185" spans="1:10" s="15" customFormat="1" ht="16.5" hidden="1" customHeight="1" outlineLevel="1" x14ac:dyDescent="0.25">
      <c r="A5185" s="18">
        <v>4414</v>
      </c>
      <c r="B5185" s="4" t="s">
        <v>43</v>
      </c>
      <c r="C5185" s="38" t="s">
        <v>3327</v>
      </c>
      <c r="D5185" s="18">
        <v>2022</v>
      </c>
      <c r="E5185" s="18" t="s">
        <v>0</v>
      </c>
      <c r="F5185" s="4">
        <v>1</v>
      </c>
      <c r="G5185" s="41">
        <v>8</v>
      </c>
      <c r="H5185" s="41">
        <f>0.00938409*(1000)</f>
        <v>9.3840899999999987</v>
      </c>
      <c r="I5185" s="221"/>
      <c r="J5185" s="221"/>
    </row>
    <row r="5186" spans="1:10" s="15" customFormat="1" ht="16.5" hidden="1" customHeight="1" outlineLevel="1" x14ac:dyDescent="0.25">
      <c r="A5186" s="18">
        <v>4416</v>
      </c>
      <c r="B5186" s="4" t="s">
        <v>43</v>
      </c>
      <c r="C5186" s="38" t="s">
        <v>3328</v>
      </c>
      <c r="D5186" s="18">
        <v>2022</v>
      </c>
      <c r="E5186" s="18" t="s">
        <v>0</v>
      </c>
      <c r="F5186" s="4">
        <v>1</v>
      </c>
      <c r="G5186" s="41">
        <v>5</v>
      </c>
      <c r="H5186" s="41">
        <f>0.00938409*(1000)</f>
        <v>9.3840899999999987</v>
      </c>
      <c r="I5186" s="221"/>
      <c r="J5186" s="221"/>
    </row>
    <row r="5187" spans="1:10" s="15" customFormat="1" ht="16.5" hidden="1" customHeight="1" outlineLevel="1" x14ac:dyDescent="0.25">
      <c r="A5187" s="18">
        <v>4417</v>
      </c>
      <c r="B5187" s="4" t="s">
        <v>43</v>
      </c>
      <c r="C5187" s="38" t="s">
        <v>3329</v>
      </c>
      <c r="D5187" s="18">
        <v>2022</v>
      </c>
      <c r="E5187" s="18" t="s">
        <v>0</v>
      </c>
      <c r="F5187" s="4">
        <v>1</v>
      </c>
      <c r="G5187" s="41">
        <v>10</v>
      </c>
      <c r="H5187" s="41">
        <f>0.00938409*(1000)</f>
        <v>9.3840899999999987</v>
      </c>
      <c r="I5187" s="221"/>
      <c r="J5187" s="221"/>
    </row>
    <row r="5188" spans="1:10" s="15" customFormat="1" ht="16.5" hidden="1" customHeight="1" outlineLevel="1" x14ac:dyDescent="0.25">
      <c r="A5188" s="18">
        <v>4419</v>
      </c>
      <c r="B5188" s="4" t="s">
        <v>43</v>
      </c>
      <c r="C5188" s="38" t="s">
        <v>3330</v>
      </c>
      <c r="D5188" s="18">
        <v>2022</v>
      </c>
      <c r="E5188" s="18" t="s">
        <v>0</v>
      </c>
      <c r="F5188" s="4">
        <v>1</v>
      </c>
      <c r="G5188" s="41">
        <v>5</v>
      </c>
      <c r="H5188" s="41">
        <f>0.00938409*(1000)</f>
        <v>9.3840899999999987</v>
      </c>
      <c r="I5188" s="221"/>
      <c r="J5188" s="221"/>
    </row>
    <row r="5189" spans="1:10" s="15" customFormat="1" ht="16.5" hidden="1" customHeight="1" outlineLevel="1" x14ac:dyDescent="0.25">
      <c r="A5189" s="18">
        <v>4420</v>
      </c>
      <c r="B5189" s="4" t="s">
        <v>43</v>
      </c>
      <c r="C5189" s="38" t="s">
        <v>3331</v>
      </c>
      <c r="D5189" s="18">
        <v>2022</v>
      </c>
      <c r="E5189" s="18" t="s">
        <v>0</v>
      </c>
      <c r="F5189" s="4">
        <v>1</v>
      </c>
      <c r="G5189" s="41">
        <v>8</v>
      </c>
      <c r="H5189" s="41">
        <f>0.00938406*(1000)</f>
        <v>9.3840599999999998</v>
      </c>
      <c r="I5189" s="221"/>
      <c r="J5189" s="221"/>
    </row>
    <row r="5190" spans="1:10" s="15" customFormat="1" ht="16.5" hidden="1" customHeight="1" outlineLevel="1" x14ac:dyDescent="0.25">
      <c r="A5190" s="18">
        <v>4421</v>
      </c>
      <c r="B5190" s="4" t="s">
        <v>43</v>
      </c>
      <c r="C5190" s="38" t="s">
        <v>3332</v>
      </c>
      <c r="D5190" s="18">
        <v>2022</v>
      </c>
      <c r="E5190" s="18" t="s">
        <v>0</v>
      </c>
      <c r="F5190" s="4">
        <v>1</v>
      </c>
      <c r="G5190" s="41">
        <v>10</v>
      </c>
      <c r="H5190" s="41">
        <f t="shared" ref="H5190:H5195" si="1">0.00938409*(1000)</f>
        <v>9.3840899999999987</v>
      </c>
      <c r="I5190" s="221"/>
      <c r="J5190" s="221"/>
    </row>
    <row r="5191" spans="1:10" s="15" customFormat="1" ht="16.5" hidden="1" customHeight="1" outlineLevel="1" x14ac:dyDescent="0.25">
      <c r="A5191" s="18">
        <v>4422</v>
      </c>
      <c r="B5191" s="4" t="s">
        <v>43</v>
      </c>
      <c r="C5191" s="38" t="s">
        <v>3333</v>
      </c>
      <c r="D5191" s="18">
        <v>2022</v>
      </c>
      <c r="E5191" s="18" t="s">
        <v>0</v>
      </c>
      <c r="F5191" s="4">
        <v>1</v>
      </c>
      <c r="G5191" s="41">
        <v>10</v>
      </c>
      <c r="H5191" s="41">
        <f t="shared" si="1"/>
        <v>9.3840899999999987</v>
      </c>
      <c r="I5191" s="221"/>
      <c r="J5191" s="221"/>
    </row>
    <row r="5192" spans="1:10" s="15" customFormat="1" ht="16.5" hidden="1" customHeight="1" outlineLevel="1" x14ac:dyDescent="0.25">
      <c r="A5192" s="18">
        <v>4424</v>
      </c>
      <c r="B5192" s="4" t="s">
        <v>43</v>
      </c>
      <c r="C5192" s="38" t="s">
        <v>3334</v>
      </c>
      <c r="D5192" s="18">
        <v>2022</v>
      </c>
      <c r="E5192" s="18" t="s">
        <v>0</v>
      </c>
      <c r="F5192" s="4">
        <v>1</v>
      </c>
      <c r="G5192" s="41">
        <v>5</v>
      </c>
      <c r="H5192" s="41">
        <f t="shared" si="1"/>
        <v>9.3840899999999987</v>
      </c>
      <c r="I5192" s="221"/>
      <c r="J5192" s="221"/>
    </row>
    <row r="5193" spans="1:10" s="15" customFormat="1" ht="16.5" hidden="1" customHeight="1" outlineLevel="1" x14ac:dyDescent="0.25">
      <c r="A5193" s="18">
        <v>4425</v>
      </c>
      <c r="B5193" s="4" t="s">
        <v>43</v>
      </c>
      <c r="C5193" s="38" t="s">
        <v>3335</v>
      </c>
      <c r="D5193" s="18">
        <v>2022</v>
      </c>
      <c r="E5193" s="18" t="s">
        <v>0</v>
      </c>
      <c r="F5193" s="4">
        <v>1</v>
      </c>
      <c r="G5193" s="41">
        <v>8</v>
      </c>
      <c r="H5193" s="41">
        <f t="shared" si="1"/>
        <v>9.3840899999999987</v>
      </c>
      <c r="I5193" s="221"/>
      <c r="J5193" s="221"/>
    </row>
    <row r="5194" spans="1:10" s="15" customFormat="1" ht="16.5" hidden="1" customHeight="1" outlineLevel="1" x14ac:dyDescent="0.25">
      <c r="A5194" s="18">
        <v>4426</v>
      </c>
      <c r="B5194" s="4" t="s">
        <v>43</v>
      </c>
      <c r="C5194" s="38" t="s">
        <v>3336</v>
      </c>
      <c r="D5194" s="18">
        <v>2022</v>
      </c>
      <c r="E5194" s="18" t="s">
        <v>0</v>
      </c>
      <c r="F5194" s="4">
        <v>1</v>
      </c>
      <c r="G5194" s="41">
        <v>10</v>
      </c>
      <c r="H5194" s="41">
        <f t="shared" si="1"/>
        <v>9.3840899999999987</v>
      </c>
      <c r="I5194" s="221"/>
      <c r="J5194" s="221"/>
    </row>
    <row r="5195" spans="1:10" s="15" customFormat="1" ht="16.5" hidden="1" customHeight="1" outlineLevel="1" x14ac:dyDescent="0.25">
      <c r="A5195" s="18">
        <v>4427</v>
      </c>
      <c r="B5195" s="4" t="s">
        <v>43</v>
      </c>
      <c r="C5195" s="38" t="s">
        <v>3337</v>
      </c>
      <c r="D5195" s="18">
        <v>2022</v>
      </c>
      <c r="E5195" s="18" t="s">
        <v>0</v>
      </c>
      <c r="F5195" s="4">
        <v>1</v>
      </c>
      <c r="G5195" s="41">
        <v>10</v>
      </c>
      <c r="H5195" s="41">
        <f t="shared" si="1"/>
        <v>9.3840899999999987</v>
      </c>
      <c r="I5195" s="221"/>
      <c r="J5195" s="221"/>
    </row>
    <row r="5196" spans="1:10" s="15" customFormat="1" ht="16.5" hidden="1" customHeight="1" outlineLevel="1" x14ac:dyDescent="0.25">
      <c r="A5196" s="18">
        <v>4428</v>
      </c>
      <c r="B5196" s="4" t="s">
        <v>43</v>
      </c>
      <c r="C5196" s="38" t="s">
        <v>3338</v>
      </c>
      <c r="D5196" s="18">
        <v>2022</v>
      </c>
      <c r="E5196" s="18" t="s">
        <v>0</v>
      </c>
      <c r="F5196" s="4">
        <v>1</v>
      </c>
      <c r="G5196" s="41">
        <v>8</v>
      </c>
      <c r="H5196" s="41">
        <f>0.0093542*(1000)</f>
        <v>9.3542000000000005</v>
      </c>
      <c r="I5196" s="221"/>
      <c r="J5196" s="221"/>
    </row>
    <row r="5197" spans="1:10" s="15" customFormat="1" ht="16.5" hidden="1" customHeight="1" outlineLevel="1" x14ac:dyDescent="0.25">
      <c r="A5197" s="18">
        <v>4429</v>
      </c>
      <c r="B5197" s="4" t="s">
        <v>43</v>
      </c>
      <c r="C5197" s="38" t="s">
        <v>3339</v>
      </c>
      <c r="D5197" s="18">
        <v>2022</v>
      </c>
      <c r="E5197" s="18" t="s">
        <v>0</v>
      </c>
      <c r="F5197" s="4">
        <v>1</v>
      </c>
      <c r="G5197" s="41">
        <v>10</v>
      </c>
      <c r="H5197" s="41">
        <f>0.0093542*(1000)</f>
        <v>9.3542000000000005</v>
      </c>
      <c r="I5197" s="221"/>
      <c r="J5197" s="221"/>
    </row>
    <row r="5198" spans="1:10" s="15" customFormat="1" ht="16.5" hidden="1" customHeight="1" outlineLevel="1" x14ac:dyDescent="0.25">
      <c r="A5198" s="18">
        <v>4431</v>
      </c>
      <c r="B5198" s="4" t="s">
        <v>43</v>
      </c>
      <c r="C5198" s="38" t="s">
        <v>3340</v>
      </c>
      <c r="D5198" s="18">
        <v>2022</v>
      </c>
      <c r="E5198" s="18" t="s">
        <v>0</v>
      </c>
      <c r="F5198" s="4">
        <v>1</v>
      </c>
      <c r="G5198" s="41">
        <v>8</v>
      </c>
      <c r="H5198" s="41">
        <f t="shared" ref="H5198:H5203" si="2">0.00938409*(1000)</f>
        <v>9.3840899999999987</v>
      </c>
      <c r="I5198" s="221"/>
      <c r="J5198" s="221"/>
    </row>
    <row r="5199" spans="1:10" s="15" customFormat="1" ht="16.5" hidden="1" customHeight="1" outlineLevel="1" x14ac:dyDescent="0.25">
      <c r="A5199" s="18">
        <v>4434</v>
      </c>
      <c r="B5199" s="4" t="s">
        <v>43</v>
      </c>
      <c r="C5199" s="38" t="s">
        <v>3341</v>
      </c>
      <c r="D5199" s="18">
        <v>2022</v>
      </c>
      <c r="E5199" s="18" t="s">
        <v>0</v>
      </c>
      <c r="F5199" s="4">
        <v>1</v>
      </c>
      <c r="G5199" s="41">
        <v>8</v>
      </c>
      <c r="H5199" s="41">
        <f t="shared" si="2"/>
        <v>9.3840899999999987</v>
      </c>
      <c r="I5199" s="221"/>
      <c r="J5199" s="221"/>
    </row>
    <row r="5200" spans="1:10" s="15" customFormat="1" ht="16.5" hidden="1" customHeight="1" outlineLevel="1" x14ac:dyDescent="0.25">
      <c r="A5200" s="18">
        <v>4436</v>
      </c>
      <c r="B5200" s="4" t="s">
        <v>43</v>
      </c>
      <c r="C5200" s="38" t="s">
        <v>3342</v>
      </c>
      <c r="D5200" s="18">
        <v>2022</v>
      </c>
      <c r="E5200" s="18" t="s">
        <v>0</v>
      </c>
      <c r="F5200" s="4">
        <v>1</v>
      </c>
      <c r="G5200" s="41">
        <v>10</v>
      </c>
      <c r="H5200" s="41">
        <f t="shared" si="2"/>
        <v>9.3840899999999987</v>
      </c>
      <c r="I5200" s="221"/>
      <c r="J5200" s="221"/>
    </row>
    <row r="5201" spans="1:10" s="15" customFormat="1" ht="16.5" hidden="1" customHeight="1" outlineLevel="1" x14ac:dyDescent="0.25">
      <c r="A5201" s="18">
        <v>4437</v>
      </c>
      <c r="B5201" s="4" t="s">
        <v>43</v>
      </c>
      <c r="C5201" s="38" t="s">
        <v>3343</v>
      </c>
      <c r="D5201" s="18">
        <v>2022</v>
      </c>
      <c r="E5201" s="18" t="s">
        <v>0</v>
      </c>
      <c r="F5201" s="4">
        <v>1</v>
      </c>
      <c r="G5201" s="41">
        <v>10</v>
      </c>
      <c r="H5201" s="41">
        <f t="shared" si="2"/>
        <v>9.3840899999999987</v>
      </c>
      <c r="I5201" s="221"/>
      <c r="J5201" s="221"/>
    </row>
    <row r="5202" spans="1:10" s="15" customFormat="1" ht="16.5" hidden="1" customHeight="1" outlineLevel="1" x14ac:dyDescent="0.25">
      <c r="A5202" s="18">
        <v>4438</v>
      </c>
      <c r="B5202" s="4" t="s">
        <v>43</v>
      </c>
      <c r="C5202" s="38" t="s">
        <v>3344</v>
      </c>
      <c r="D5202" s="18">
        <v>2022</v>
      </c>
      <c r="E5202" s="18" t="s">
        <v>0</v>
      </c>
      <c r="F5202" s="4">
        <v>1</v>
      </c>
      <c r="G5202" s="41">
        <v>10</v>
      </c>
      <c r="H5202" s="41">
        <f t="shared" si="2"/>
        <v>9.3840899999999987</v>
      </c>
      <c r="I5202" s="221"/>
      <c r="J5202" s="221"/>
    </row>
    <row r="5203" spans="1:10" s="15" customFormat="1" ht="16.5" hidden="1" customHeight="1" outlineLevel="1" x14ac:dyDescent="0.25">
      <c r="A5203" s="18">
        <v>4439</v>
      </c>
      <c r="B5203" s="4" t="s">
        <v>43</v>
      </c>
      <c r="C5203" s="38" t="s">
        <v>3345</v>
      </c>
      <c r="D5203" s="18">
        <v>2022</v>
      </c>
      <c r="E5203" s="18" t="s">
        <v>0</v>
      </c>
      <c r="F5203" s="4">
        <v>1</v>
      </c>
      <c r="G5203" s="41">
        <v>8</v>
      </c>
      <c r="H5203" s="41">
        <f t="shared" si="2"/>
        <v>9.3840899999999987</v>
      </c>
      <c r="I5203" s="221"/>
      <c r="J5203" s="221"/>
    </row>
    <row r="5204" spans="1:10" s="15" customFormat="1" ht="16.5" hidden="1" customHeight="1" outlineLevel="1" x14ac:dyDescent="0.25">
      <c r="A5204" s="18">
        <v>4440</v>
      </c>
      <c r="B5204" s="4" t="s">
        <v>43</v>
      </c>
      <c r="C5204" s="38" t="s">
        <v>3346</v>
      </c>
      <c r="D5204" s="18">
        <v>2022</v>
      </c>
      <c r="E5204" s="18" t="s">
        <v>0</v>
      </c>
      <c r="F5204" s="4">
        <v>1</v>
      </c>
      <c r="G5204" s="41">
        <v>10</v>
      </c>
      <c r="H5204" s="41">
        <f>0.00938079*(1000)</f>
        <v>9.3807899999999993</v>
      </c>
      <c r="I5204" s="221"/>
      <c r="J5204" s="221"/>
    </row>
    <row r="5205" spans="1:10" s="15" customFormat="1" ht="16.5" hidden="1" customHeight="1" outlineLevel="1" x14ac:dyDescent="0.25">
      <c r="A5205" s="18">
        <v>4441</v>
      </c>
      <c r="B5205" s="4" t="s">
        <v>43</v>
      </c>
      <c r="C5205" s="38" t="s">
        <v>3347</v>
      </c>
      <c r="D5205" s="18">
        <v>2022</v>
      </c>
      <c r="E5205" s="18" t="s">
        <v>0</v>
      </c>
      <c r="F5205" s="4">
        <v>1</v>
      </c>
      <c r="G5205" s="41">
        <v>8</v>
      </c>
      <c r="H5205" s="41">
        <f t="shared" ref="H5205:H5216" si="3">0.00938409*(1000)</f>
        <v>9.3840899999999987</v>
      </c>
      <c r="I5205" s="221"/>
      <c r="J5205" s="221"/>
    </row>
    <row r="5206" spans="1:10" s="15" customFormat="1" ht="16.5" hidden="1" customHeight="1" outlineLevel="1" x14ac:dyDescent="0.25">
      <c r="A5206" s="18">
        <v>4443</v>
      </c>
      <c r="B5206" s="4" t="s">
        <v>43</v>
      </c>
      <c r="C5206" s="38" t="s">
        <v>3348</v>
      </c>
      <c r="D5206" s="18">
        <v>2022</v>
      </c>
      <c r="E5206" s="18" t="s">
        <v>0</v>
      </c>
      <c r="F5206" s="4">
        <v>1</v>
      </c>
      <c r="G5206" s="41">
        <v>8</v>
      </c>
      <c r="H5206" s="41">
        <f t="shared" si="3"/>
        <v>9.3840899999999987</v>
      </c>
      <c r="I5206" s="221"/>
      <c r="J5206" s="221"/>
    </row>
    <row r="5207" spans="1:10" s="15" customFormat="1" ht="16.5" hidden="1" customHeight="1" outlineLevel="1" x14ac:dyDescent="0.25">
      <c r="A5207" s="18">
        <v>4445</v>
      </c>
      <c r="B5207" s="4" t="s">
        <v>43</v>
      </c>
      <c r="C5207" s="38" t="s">
        <v>3349</v>
      </c>
      <c r="D5207" s="18">
        <v>2022</v>
      </c>
      <c r="E5207" s="18" t="s">
        <v>0</v>
      </c>
      <c r="F5207" s="4">
        <v>1</v>
      </c>
      <c r="G5207" s="41">
        <v>8</v>
      </c>
      <c r="H5207" s="41">
        <f t="shared" si="3"/>
        <v>9.3840899999999987</v>
      </c>
      <c r="I5207" s="221"/>
      <c r="J5207" s="221"/>
    </row>
    <row r="5208" spans="1:10" s="15" customFormat="1" ht="16.5" hidden="1" customHeight="1" outlineLevel="1" x14ac:dyDescent="0.25">
      <c r="A5208" s="18">
        <v>4447</v>
      </c>
      <c r="B5208" s="4" t="s">
        <v>43</v>
      </c>
      <c r="C5208" s="38" t="s">
        <v>3350</v>
      </c>
      <c r="D5208" s="18">
        <v>2022</v>
      </c>
      <c r="E5208" s="18" t="s">
        <v>0</v>
      </c>
      <c r="F5208" s="4">
        <v>1</v>
      </c>
      <c r="G5208" s="41">
        <v>10</v>
      </c>
      <c r="H5208" s="41">
        <f t="shared" si="3"/>
        <v>9.3840899999999987</v>
      </c>
      <c r="I5208" s="221"/>
      <c r="J5208" s="221"/>
    </row>
    <row r="5209" spans="1:10" s="15" customFormat="1" ht="16.5" hidden="1" customHeight="1" outlineLevel="1" x14ac:dyDescent="0.25">
      <c r="A5209" s="18">
        <v>4448</v>
      </c>
      <c r="B5209" s="4" t="s">
        <v>43</v>
      </c>
      <c r="C5209" s="38" t="s">
        <v>3351</v>
      </c>
      <c r="D5209" s="18">
        <v>2022</v>
      </c>
      <c r="E5209" s="18" t="s">
        <v>0</v>
      </c>
      <c r="F5209" s="4">
        <v>1</v>
      </c>
      <c r="G5209" s="41">
        <v>5</v>
      </c>
      <c r="H5209" s="41">
        <f t="shared" si="3"/>
        <v>9.3840899999999987</v>
      </c>
      <c r="I5209" s="221"/>
      <c r="J5209" s="221"/>
    </row>
    <row r="5210" spans="1:10" s="15" customFormat="1" ht="16.5" hidden="1" customHeight="1" outlineLevel="1" x14ac:dyDescent="0.25">
      <c r="A5210" s="18">
        <v>4449</v>
      </c>
      <c r="B5210" s="4" t="s">
        <v>43</v>
      </c>
      <c r="C5210" s="38" t="s">
        <v>3352</v>
      </c>
      <c r="D5210" s="18">
        <v>2022</v>
      </c>
      <c r="E5210" s="18" t="s">
        <v>0</v>
      </c>
      <c r="F5210" s="4">
        <v>1</v>
      </c>
      <c r="G5210" s="41">
        <v>5</v>
      </c>
      <c r="H5210" s="41">
        <f t="shared" si="3"/>
        <v>9.3840899999999987</v>
      </c>
      <c r="I5210" s="221"/>
      <c r="J5210" s="221"/>
    </row>
    <row r="5211" spans="1:10" s="15" customFormat="1" ht="16.5" hidden="1" customHeight="1" outlineLevel="1" x14ac:dyDescent="0.25">
      <c r="A5211" s="18">
        <v>4450</v>
      </c>
      <c r="B5211" s="4" t="s">
        <v>43</v>
      </c>
      <c r="C5211" s="38" t="s">
        <v>3353</v>
      </c>
      <c r="D5211" s="18">
        <v>2022</v>
      </c>
      <c r="E5211" s="18" t="s">
        <v>0</v>
      </c>
      <c r="F5211" s="4">
        <v>1</v>
      </c>
      <c r="G5211" s="41">
        <v>10</v>
      </c>
      <c r="H5211" s="41">
        <f t="shared" si="3"/>
        <v>9.3840899999999987</v>
      </c>
      <c r="I5211" s="221"/>
      <c r="J5211" s="221"/>
    </row>
    <row r="5212" spans="1:10" s="15" customFormat="1" ht="16.5" hidden="1" customHeight="1" outlineLevel="1" x14ac:dyDescent="0.25">
      <c r="A5212" s="18">
        <v>4451</v>
      </c>
      <c r="B5212" s="4" t="s">
        <v>43</v>
      </c>
      <c r="C5212" s="38" t="s">
        <v>3354</v>
      </c>
      <c r="D5212" s="18">
        <v>2022</v>
      </c>
      <c r="E5212" s="18" t="s">
        <v>0</v>
      </c>
      <c r="F5212" s="4">
        <v>1</v>
      </c>
      <c r="G5212" s="41">
        <v>8</v>
      </c>
      <c r="H5212" s="41">
        <f t="shared" si="3"/>
        <v>9.3840899999999987</v>
      </c>
      <c r="I5212" s="221"/>
      <c r="J5212" s="221"/>
    </row>
    <row r="5213" spans="1:10" s="15" customFormat="1" ht="16.5" hidden="1" customHeight="1" outlineLevel="1" x14ac:dyDescent="0.25">
      <c r="A5213" s="18">
        <v>4452</v>
      </c>
      <c r="B5213" s="4" t="s">
        <v>43</v>
      </c>
      <c r="C5213" s="38" t="s">
        <v>3355</v>
      </c>
      <c r="D5213" s="18">
        <v>2022</v>
      </c>
      <c r="E5213" s="18" t="s">
        <v>0</v>
      </c>
      <c r="F5213" s="4">
        <v>1</v>
      </c>
      <c r="G5213" s="41">
        <v>6</v>
      </c>
      <c r="H5213" s="41">
        <f t="shared" si="3"/>
        <v>9.3840899999999987</v>
      </c>
      <c r="I5213" s="221"/>
      <c r="J5213" s="221"/>
    </row>
    <row r="5214" spans="1:10" s="15" customFormat="1" ht="16.5" hidden="1" customHeight="1" outlineLevel="1" x14ac:dyDescent="0.25">
      <c r="A5214" s="18">
        <v>4453</v>
      </c>
      <c r="B5214" s="4" t="s">
        <v>43</v>
      </c>
      <c r="C5214" s="38" t="s">
        <v>3356</v>
      </c>
      <c r="D5214" s="18">
        <v>2022</v>
      </c>
      <c r="E5214" s="18" t="s">
        <v>0</v>
      </c>
      <c r="F5214" s="4">
        <v>1</v>
      </c>
      <c r="G5214" s="41">
        <v>10</v>
      </c>
      <c r="H5214" s="41">
        <f t="shared" si="3"/>
        <v>9.3840899999999987</v>
      </c>
      <c r="I5214" s="221"/>
      <c r="J5214" s="221"/>
    </row>
    <row r="5215" spans="1:10" s="15" customFormat="1" ht="16.5" hidden="1" customHeight="1" outlineLevel="1" x14ac:dyDescent="0.25">
      <c r="A5215" s="18">
        <v>4455</v>
      </c>
      <c r="B5215" s="4" t="s">
        <v>43</v>
      </c>
      <c r="C5215" s="38" t="s">
        <v>3357</v>
      </c>
      <c r="D5215" s="18">
        <v>2022</v>
      </c>
      <c r="E5215" s="18" t="s">
        <v>0</v>
      </c>
      <c r="F5215" s="4">
        <v>1</v>
      </c>
      <c r="G5215" s="41">
        <v>10</v>
      </c>
      <c r="H5215" s="41">
        <f t="shared" si="3"/>
        <v>9.3840899999999987</v>
      </c>
      <c r="I5215" s="221"/>
      <c r="J5215" s="221"/>
    </row>
    <row r="5216" spans="1:10" s="15" customFormat="1" ht="16.5" hidden="1" customHeight="1" outlineLevel="1" x14ac:dyDescent="0.25">
      <c r="A5216" s="18">
        <v>4457</v>
      </c>
      <c r="B5216" s="4" t="s">
        <v>43</v>
      </c>
      <c r="C5216" s="38" t="s">
        <v>3358</v>
      </c>
      <c r="D5216" s="18">
        <v>2022</v>
      </c>
      <c r="E5216" s="18" t="s">
        <v>0</v>
      </c>
      <c r="F5216" s="4">
        <v>1</v>
      </c>
      <c r="G5216" s="41">
        <v>5</v>
      </c>
      <c r="H5216" s="41">
        <f t="shared" si="3"/>
        <v>9.3840899999999987</v>
      </c>
      <c r="I5216" s="221"/>
      <c r="J5216" s="221"/>
    </row>
    <row r="5217" spans="1:10" s="15" customFormat="1" ht="16.5" hidden="1" customHeight="1" outlineLevel="1" x14ac:dyDescent="0.25">
      <c r="A5217" s="18">
        <v>4458</v>
      </c>
      <c r="B5217" s="4" t="s">
        <v>43</v>
      </c>
      <c r="C5217" s="38" t="s">
        <v>3359</v>
      </c>
      <c r="D5217" s="18">
        <v>2022</v>
      </c>
      <c r="E5217" s="18" t="s">
        <v>0</v>
      </c>
      <c r="F5217" s="4">
        <v>1</v>
      </c>
      <c r="G5217" s="41">
        <v>5</v>
      </c>
      <c r="H5217" s="41">
        <f>0.00935009*(1000)</f>
        <v>9.3500899999999998</v>
      </c>
      <c r="I5217" s="221"/>
      <c r="J5217" s="221"/>
    </row>
    <row r="5218" spans="1:10" s="15" customFormat="1" ht="16.5" hidden="1" customHeight="1" outlineLevel="1" x14ac:dyDescent="0.25">
      <c r="A5218" s="18">
        <v>4459</v>
      </c>
      <c r="B5218" s="4" t="s">
        <v>43</v>
      </c>
      <c r="C5218" s="38" t="s">
        <v>3360</v>
      </c>
      <c r="D5218" s="18">
        <v>2022</v>
      </c>
      <c r="E5218" s="18" t="s">
        <v>0</v>
      </c>
      <c r="F5218" s="4">
        <v>1</v>
      </c>
      <c r="G5218" s="41">
        <v>10</v>
      </c>
      <c r="H5218" s="41">
        <f>0.00938409*(1000)</f>
        <v>9.3840899999999987</v>
      </c>
      <c r="I5218" s="221"/>
      <c r="J5218" s="221"/>
    </row>
    <row r="5219" spans="1:10" s="15" customFormat="1" ht="16.5" hidden="1" customHeight="1" outlineLevel="1" x14ac:dyDescent="0.25">
      <c r="A5219" s="18">
        <v>4460</v>
      </c>
      <c r="B5219" s="4" t="s">
        <v>43</v>
      </c>
      <c r="C5219" s="38" t="s">
        <v>3361</v>
      </c>
      <c r="D5219" s="18">
        <v>2022</v>
      </c>
      <c r="E5219" s="18" t="s">
        <v>0</v>
      </c>
      <c r="F5219" s="4">
        <v>1</v>
      </c>
      <c r="G5219" s="41">
        <v>5</v>
      </c>
      <c r="H5219" s="41">
        <f>0.00935009*(1000)</f>
        <v>9.3500899999999998</v>
      </c>
      <c r="I5219" s="221"/>
      <c r="J5219" s="221"/>
    </row>
    <row r="5220" spans="1:10" s="15" customFormat="1" ht="16.5" hidden="1" customHeight="1" outlineLevel="1" x14ac:dyDescent="0.25">
      <c r="A5220" s="18">
        <v>4461</v>
      </c>
      <c r="B5220" s="4" t="s">
        <v>43</v>
      </c>
      <c r="C5220" s="38" t="s">
        <v>3362</v>
      </c>
      <c r="D5220" s="18">
        <v>2022</v>
      </c>
      <c r="E5220" s="18" t="s">
        <v>0</v>
      </c>
      <c r="F5220" s="4">
        <v>1</v>
      </c>
      <c r="G5220" s="41">
        <v>10</v>
      </c>
      <c r="H5220" s="41">
        <f>0.00938409*(1000)</f>
        <v>9.3840899999999987</v>
      </c>
      <c r="I5220" s="221"/>
      <c r="J5220" s="221"/>
    </row>
    <row r="5221" spans="1:10" s="15" customFormat="1" ht="16.5" hidden="1" customHeight="1" outlineLevel="1" x14ac:dyDescent="0.25">
      <c r="A5221" s="18">
        <v>4462</v>
      </c>
      <c r="B5221" s="4" t="s">
        <v>43</v>
      </c>
      <c r="C5221" s="38" t="s">
        <v>3363</v>
      </c>
      <c r="D5221" s="18">
        <v>2022</v>
      </c>
      <c r="E5221" s="18" t="s">
        <v>0</v>
      </c>
      <c r="F5221" s="4">
        <v>1</v>
      </c>
      <c r="G5221" s="41">
        <v>5</v>
      </c>
      <c r="H5221" s="41">
        <f>0.00935009*(1000)</f>
        <v>9.3500899999999998</v>
      </c>
      <c r="I5221" s="221"/>
      <c r="J5221" s="221"/>
    </row>
    <row r="5222" spans="1:10" s="15" customFormat="1" ht="16.5" hidden="1" customHeight="1" outlineLevel="1" x14ac:dyDescent="0.25">
      <c r="A5222" s="18">
        <v>4463</v>
      </c>
      <c r="B5222" s="4" t="s">
        <v>43</v>
      </c>
      <c r="C5222" s="38" t="s">
        <v>3364</v>
      </c>
      <c r="D5222" s="18">
        <v>2022</v>
      </c>
      <c r="E5222" s="18" t="s">
        <v>0</v>
      </c>
      <c r="F5222" s="4">
        <v>1</v>
      </c>
      <c r="G5222" s="41">
        <v>10</v>
      </c>
      <c r="H5222" s="41">
        <f>0.00938409*(1000)</f>
        <v>9.3840899999999987</v>
      </c>
      <c r="I5222" s="221"/>
      <c r="J5222" s="221"/>
    </row>
    <row r="5223" spans="1:10" s="15" customFormat="1" ht="16.5" hidden="1" customHeight="1" outlineLevel="1" x14ac:dyDescent="0.25">
      <c r="A5223" s="18">
        <v>4464</v>
      </c>
      <c r="B5223" s="4" t="s">
        <v>43</v>
      </c>
      <c r="C5223" s="38" t="s">
        <v>3365</v>
      </c>
      <c r="D5223" s="18">
        <v>2022</v>
      </c>
      <c r="E5223" s="18" t="s">
        <v>0</v>
      </c>
      <c r="F5223" s="4">
        <v>1</v>
      </c>
      <c r="G5223" s="41">
        <v>8</v>
      </c>
      <c r="H5223" s="41">
        <f>0.00935009*(1000)</f>
        <v>9.3500899999999998</v>
      </c>
      <c r="I5223" s="221"/>
      <c r="J5223" s="221"/>
    </row>
    <row r="5224" spans="1:10" s="15" customFormat="1" ht="16.5" hidden="1" customHeight="1" outlineLevel="1" x14ac:dyDescent="0.25">
      <c r="A5224" s="18">
        <v>4466</v>
      </c>
      <c r="B5224" s="4" t="s">
        <v>43</v>
      </c>
      <c r="C5224" s="38" t="s">
        <v>3366</v>
      </c>
      <c r="D5224" s="18">
        <v>2022</v>
      </c>
      <c r="E5224" s="18" t="s">
        <v>0</v>
      </c>
      <c r="F5224" s="4">
        <v>1</v>
      </c>
      <c r="G5224" s="41">
        <v>10</v>
      </c>
      <c r="H5224" s="41">
        <f>0.00935009*(1000)</f>
        <v>9.3500899999999998</v>
      </c>
      <c r="I5224" s="221"/>
      <c r="J5224" s="221"/>
    </row>
    <row r="5225" spans="1:10" s="15" customFormat="1" ht="16.5" hidden="1" customHeight="1" outlineLevel="1" x14ac:dyDescent="0.25">
      <c r="A5225" s="18">
        <v>4467</v>
      </c>
      <c r="B5225" s="4" t="s">
        <v>43</v>
      </c>
      <c r="C5225" s="38" t="s">
        <v>3367</v>
      </c>
      <c r="D5225" s="18">
        <v>2022</v>
      </c>
      <c r="E5225" s="18" t="s">
        <v>0</v>
      </c>
      <c r="F5225" s="4">
        <v>1</v>
      </c>
      <c r="G5225" s="41">
        <v>10</v>
      </c>
      <c r="H5225" s="41">
        <f>0.00938409*(1000)</f>
        <v>9.3840899999999987</v>
      </c>
      <c r="I5225" s="221"/>
      <c r="J5225" s="221"/>
    </row>
    <row r="5226" spans="1:10" s="15" customFormat="1" ht="16.5" hidden="1" customHeight="1" outlineLevel="1" x14ac:dyDescent="0.25">
      <c r="A5226" s="18">
        <v>4468</v>
      </c>
      <c r="B5226" s="4" t="s">
        <v>43</v>
      </c>
      <c r="C5226" s="38" t="s">
        <v>3368</v>
      </c>
      <c r="D5226" s="18">
        <v>2022</v>
      </c>
      <c r="E5226" s="18" t="s">
        <v>0</v>
      </c>
      <c r="F5226" s="4">
        <v>1</v>
      </c>
      <c r="G5226" s="41">
        <v>10</v>
      </c>
      <c r="H5226" s="41">
        <f>0.00945509*(1000)</f>
        <v>9.4550899999999984</v>
      </c>
      <c r="I5226" s="221"/>
      <c r="J5226" s="221"/>
    </row>
    <row r="5227" spans="1:10" s="15" customFormat="1" ht="16.5" hidden="1" customHeight="1" outlineLevel="1" x14ac:dyDescent="0.25">
      <c r="A5227" s="18">
        <v>4469</v>
      </c>
      <c r="B5227" s="4" t="s">
        <v>43</v>
      </c>
      <c r="C5227" s="38" t="s">
        <v>3369</v>
      </c>
      <c r="D5227" s="18">
        <v>2022</v>
      </c>
      <c r="E5227" s="18" t="s">
        <v>0</v>
      </c>
      <c r="F5227" s="4">
        <v>1</v>
      </c>
      <c r="G5227" s="41">
        <v>8</v>
      </c>
      <c r="H5227" s="41">
        <f>0.00938409*(1000)</f>
        <v>9.3840899999999987</v>
      </c>
      <c r="I5227" s="221"/>
      <c r="J5227" s="221"/>
    </row>
    <row r="5228" spans="1:10" s="15" customFormat="1" ht="16.5" hidden="1" customHeight="1" outlineLevel="1" x14ac:dyDescent="0.25">
      <c r="A5228" s="18">
        <v>4471</v>
      </c>
      <c r="B5228" s="4" t="s">
        <v>43</v>
      </c>
      <c r="C5228" s="38" t="s">
        <v>3370</v>
      </c>
      <c r="D5228" s="18">
        <v>2022</v>
      </c>
      <c r="E5228" s="18" t="s">
        <v>0</v>
      </c>
      <c r="F5228" s="4">
        <v>1</v>
      </c>
      <c r="G5228" s="41">
        <v>10</v>
      </c>
      <c r="H5228" s="41">
        <f>0.00928652*(1000)</f>
        <v>9.2865199999999994</v>
      </c>
      <c r="I5228" s="221"/>
      <c r="J5228" s="221"/>
    </row>
    <row r="5229" spans="1:10" s="15" customFormat="1" ht="16.5" hidden="1" customHeight="1" outlineLevel="1" x14ac:dyDescent="0.25">
      <c r="A5229" s="18">
        <v>4474</v>
      </c>
      <c r="B5229" s="4" t="s">
        <v>43</v>
      </c>
      <c r="C5229" s="38" t="s">
        <v>3371</v>
      </c>
      <c r="D5229" s="18">
        <v>2022</v>
      </c>
      <c r="E5229" s="18" t="s">
        <v>0</v>
      </c>
      <c r="F5229" s="4">
        <v>1</v>
      </c>
      <c r="G5229" s="41">
        <v>8</v>
      </c>
      <c r="H5229" s="41">
        <f>0.00925251*(1000)</f>
        <v>9.2525100000000009</v>
      </c>
      <c r="I5229" s="221"/>
      <c r="J5229" s="221"/>
    </row>
    <row r="5230" spans="1:10" s="15" customFormat="1" ht="16.5" hidden="1" customHeight="1" outlineLevel="1" x14ac:dyDescent="0.25">
      <c r="A5230" s="18">
        <v>4475</v>
      </c>
      <c r="B5230" s="4" t="s">
        <v>43</v>
      </c>
      <c r="C5230" s="38" t="s">
        <v>3372</v>
      </c>
      <c r="D5230" s="18">
        <v>2022</v>
      </c>
      <c r="E5230" s="18" t="s">
        <v>0</v>
      </c>
      <c r="F5230" s="4">
        <v>1</v>
      </c>
      <c r="G5230" s="41">
        <v>10</v>
      </c>
      <c r="H5230" s="41">
        <f>0.00911182*(1000)</f>
        <v>9.1118199999999998</v>
      </c>
      <c r="I5230" s="221"/>
      <c r="J5230" s="221"/>
    </row>
    <row r="5231" spans="1:10" s="15" customFormat="1" ht="16.5" hidden="1" customHeight="1" outlineLevel="1" x14ac:dyDescent="0.25">
      <c r="A5231" s="18">
        <v>4477</v>
      </c>
      <c r="B5231" s="4" t="s">
        <v>43</v>
      </c>
      <c r="C5231" s="38" t="s">
        <v>3373</v>
      </c>
      <c r="D5231" s="18">
        <v>2022</v>
      </c>
      <c r="E5231" s="18" t="s">
        <v>0</v>
      </c>
      <c r="F5231" s="4">
        <v>1</v>
      </c>
      <c r="G5231" s="41">
        <v>5</v>
      </c>
      <c r="H5231" s="41">
        <f>0.00911182*(1000)</f>
        <v>9.1118199999999998</v>
      </c>
      <c r="I5231" s="221"/>
      <c r="J5231" s="221"/>
    </row>
    <row r="5232" spans="1:10" s="15" customFormat="1" ht="16.5" hidden="1" customHeight="1" outlineLevel="1" x14ac:dyDescent="0.25">
      <c r="A5232" s="18">
        <v>4478</v>
      </c>
      <c r="B5232" s="4" t="s">
        <v>43</v>
      </c>
      <c r="C5232" s="38" t="s">
        <v>3374</v>
      </c>
      <c r="D5232" s="18">
        <v>2022</v>
      </c>
      <c r="E5232" s="18" t="s">
        <v>0</v>
      </c>
      <c r="F5232" s="4">
        <v>1</v>
      </c>
      <c r="G5232" s="41">
        <v>8</v>
      </c>
      <c r="H5232" s="41">
        <f>0.00925251*(1000)</f>
        <v>9.2525100000000009</v>
      </c>
      <c r="I5232" s="221"/>
      <c r="J5232" s="221"/>
    </row>
    <row r="5233" spans="1:10" s="15" customFormat="1" ht="16.5" hidden="1" customHeight="1" outlineLevel="1" x14ac:dyDescent="0.25">
      <c r="A5233" s="18">
        <v>4479</v>
      </c>
      <c r="B5233" s="4" t="s">
        <v>43</v>
      </c>
      <c r="C5233" s="38" t="s">
        <v>3375</v>
      </c>
      <c r="D5233" s="18">
        <v>2022</v>
      </c>
      <c r="E5233" s="18" t="s">
        <v>0</v>
      </c>
      <c r="F5233" s="4">
        <v>1</v>
      </c>
      <c r="G5233" s="41">
        <v>10</v>
      </c>
      <c r="H5233" s="41">
        <f>0.00911182*(1000)</f>
        <v>9.1118199999999998</v>
      </c>
      <c r="I5233" s="221"/>
      <c r="J5233" s="221"/>
    </row>
    <row r="5234" spans="1:10" s="15" customFormat="1" ht="16.5" hidden="1" customHeight="1" outlineLevel="1" x14ac:dyDescent="0.25">
      <c r="A5234" s="18">
        <v>4480</v>
      </c>
      <c r="B5234" s="4" t="s">
        <v>43</v>
      </c>
      <c r="C5234" s="38" t="s">
        <v>3376</v>
      </c>
      <c r="D5234" s="18">
        <v>2022</v>
      </c>
      <c r="E5234" s="18" t="s">
        <v>0</v>
      </c>
      <c r="F5234" s="4">
        <v>1</v>
      </c>
      <c r="G5234" s="41">
        <v>5</v>
      </c>
      <c r="H5234" s="41">
        <f>0.00925251*(1000)</f>
        <v>9.2525100000000009</v>
      </c>
      <c r="I5234" s="221"/>
      <c r="J5234" s="221"/>
    </row>
    <row r="5235" spans="1:10" s="15" customFormat="1" ht="16.5" hidden="1" customHeight="1" outlineLevel="1" x14ac:dyDescent="0.25">
      <c r="A5235" s="18">
        <v>4481</v>
      </c>
      <c r="B5235" s="4" t="s">
        <v>43</v>
      </c>
      <c r="C5235" s="38" t="s">
        <v>3377</v>
      </c>
      <c r="D5235" s="18">
        <v>2022</v>
      </c>
      <c r="E5235" s="18" t="s">
        <v>0</v>
      </c>
      <c r="F5235" s="4">
        <v>1</v>
      </c>
      <c r="G5235" s="41">
        <v>10</v>
      </c>
      <c r="H5235" s="41">
        <f>0.00911182*(1000)</f>
        <v>9.1118199999999998</v>
      </c>
      <c r="I5235" s="221"/>
      <c r="J5235" s="221"/>
    </row>
    <row r="5236" spans="1:10" s="15" customFormat="1" ht="16.5" hidden="1" customHeight="1" outlineLevel="1" x14ac:dyDescent="0.25">
      <c r="A5236" s="18">
        <v>4482</v>
      </c>
      <c r="B5236" s="4" t="s">
        <v>43</v>
      </c>
      <c r="C5236" s="38" t="s">
        <v>3378</v>
      </c>
      <c r="D5236" s="18">
        <v>2022</v>
      </c>
      <c r="E5236" s="18" t="s">
        <v>0</v>
      </c>
      <c r="F5236" s="4">
        <v>1</v>
      </c>
      <c r="G5236" s="41">
        <v>10</v>
      </c>
      <c r="H5236" s="41">
        <f>0.00925251*(1000)</f>
        <v>9.2525100000000009</v>
      </c>
      <c r="I5236" s="221"/>
      <c r="J5236" s="221"/>
    </row>
    <row r="5237" spans="1:10" s="15" customFormat="1" ht="16.5" hidden="1" customHeight="1" outlineLevel="1" x14ac:dyDescent="0.25">
      <c r="A5237" s="18">
        <v>4483</v>
      </c>
      <c r="B5237" s="4" t="s">
        <v>43</v>
      </c>
      <c r="C5237" s="38" t="s">
        <v>3379</v>
      </c>
      <c r="D5237" s="18">
        <v>2022</v>
      </c>
      <c r="E5237" s="18" t="s">
        <v>0</v>
      </c>
      <c r="F5237" s="4">
        <v>1</v>
      </c>
      <c r="G5237" s="41">
        <v>10</v>
      </c>
      <c r="H5237" s="41">
        <f>0.00911182*(1000)</f>
        <v>9.1118199999999998</v>
      </c>
      <c r="I5237" s="221"/>
      <c r="J5237" s="221"/>
    </row>
    <row r="5238" spans="1:10" s="15" customFormat="1" ht="16.5" hidden="1" customHeight="1" outlineLevel="1" x14ac:dyDescent="0.25">
      <c r="A5238" s="18">
        <v>4484</v>
      </c>
      <c r="B5238" s="4" t="s">
        <v>43</v>
      </c>
      <c r="C5238" s="38" t="s">
        <v>3380</v>
      </c>
      <c r="D5238" s="18">
        <v>2022</v>
      </c>
      <c r="E5238" s="18" t="s">
        <v>0</v>
      </c>
      <c r="F5238" s="4">
        <v>1</v>
      </c>
      <c r="G5238" s="41">
        <v>10</v>
      </c>
      <c r="H5238" s="41">
        <f>0.00925251*(1000)</f>
        <v>9.2525100000000009</v>
      </c>
      <c r="I5238" s="221"/>
      <c r="J5238" s="221"/>
    </row>
    <row r="5239" spans="1:10" s="15" customFormat="1" ht="16.5" hidden="1" customHeight="1" outlineLevel="1" x14ac:dyDescent="0.25">
      <c r="A5239" s="18">
        <v>4485</v>
      </c>
      <c r="B5239" s="4" t="s">
        <v>43</v>
      </c>
      <c r="C5239" s="38" t="s">
        <v>3381</v>
      </c>
      <c r="D5239" s="18">
        <v>2022</v>
      </c>
      <c r="E5239" s="18" t="s">
        <v>0</v>
      </c>
      <c r="F5239" s="4">
        <v>1</v>
      </c>
      <c r="G5239" s="41">
        <v>10</v>
      </c>
      <c r="H5239" s="41">
        <f>0.00911182*(1000)</f>
        <v>9.1118199999999998</v>
      </c>
      <c r="I5239" s="221"/>
      <c r="J5239" s="221"/>
    </row>
    <row r="5240" spans="1:10" s="15" customFormat="1" ht="16.5" hidden="1" customHeight="1" outlineLevel="1" x14ac:dyDescent="0.25">
      <c r="A5240" s="18">
        <v>4486</v>
      </c>
      <c r="B5240" s="4" t="s">
        <v>43</v>
      </c>
      <c r="C5240" s="38" t="s">
        <v>3382</v>
      </c>
      <c r="D5240" s="18">
        <v>2022</v>
      </c>
      <c r="E5240" s="18" t="s">
        <v>0</v>
      </c>
      <c r="F5240" s="4">
        <v>1</v>
      </c>
      <c r="G5240" s="41">
        <v>5</v>
      </c>
      <c r="H5240" s="41">
        <f>0.00925251*(1000)</f>
        <v>9.2525100000000009</v>
      </c>
      <c r="I5240" s="221"/>
      <c r="J5240" s="221"/>
    </row>
    <row r="5241" spans="1:10" s="15" customFormat="1" ht="16.5" hidden="1" customHeight="1" outlineLevel="1" x14ac:dyDescent="0.25">
      <c r="A5241" s="18">
        <v>4488</v>
      </c>
      <c r="B5241" s="4" t="s">
        <v>43</v>
      </c>
      <c r="C5241" s="38" t="s">
        <v>3383</v>
      </c>
      <c r="D5241" s="18">
        <v>2022</v>
      </c>
      <c r="E5241" s="18" t="s">
        <v>0</v>
      </c>
      <c r="F5241" s="4">
        <v>1</v>
      </c>
      <c r="G5241" s="41">
        <v>8</v>
      </c>
      <c r="H5241" s="41">
        <f>0.00925251*(1000)</f>
        <v>9.2525100000000009</v>
      </c>
      <c r="I5241" s="221"/>
      <c r="J5241" s="221"/>
    </row>
    <row r="5242" spans="1:10" s="15" customFormat="1" ht="16.5" hidden="1" customHeight="1" outlineLevel="1" x14ac:dyDescent="0.25">
      <c r="A5242" s="18">
        <v>4490</v>
      </c>
      <c r="B5242" s="4" t="s">
        <v>43</v>
      </c>
      <c r="C5242" s="38" t="s">
        <v>3384</v>
      </c>
      <c r="D5242" s="18">
        <v>2022</v>
      </c>
      <c r="E5242" s="18" t="s">
        <v>0</v>
      </c>
      <c r="F5242" s="4">
        <v>1</v>
      </c>
      <c r="G5242" s="41">
        <v>5</v>
      </c>
      <c r="H5242" s="41">
        <f>0.00925251*(1000)</f>
        <v>9.2525100000000009</v>
      </c>
      <c r="I5242" s="221"/>
      <c r="J5242" s="221"/>
    </row>
    <row r="5243" spans="1:10" s="15" customFormat="1" ht="16.5" hidden="1" customHeight="1" outlineLevel="1" x14ac:dyDescent="0.25">
      <c r="A5243" s="18">
        <v>4491</v>
      </c>
      <c r="B5243" s="4" t="s">
        <v>43</v>
      </c>
      <c r="C5243" s="38" t="s">
        <v>3385</v>
      </c>
      <c r="D5243" s="18">
        <v>2022</v>
      </c>
      <c r="E5243" s="18" t="s">
        <v>0</v>
      </c>
      <c r="F5243" s="4">
        <v>1</v>
      </c>
      <c r="G5243" s="41">
        <v>8</v>
      </c>
      <c r="H5243" s="41">
        <f>0.00911182*(1000)</f>
        <v>9.1118199999999998</v>
      </c>
      <c r="I5243" s="221"/>
      <c r="J5243" s="221"/>
    </row>
    <row r="5244" spans="1:10" s="15" customFormat="1" ht="16.5" hidden="1" customHeight="1" outlineLevel="1" x14ac:dyDescent="0.25">
      <c r="A5244" s="18">
        <v>4492</v>
      </c>
      <c r="B5244" s="4" t="s">
        <v>43</v>
      </c>
      <c r="C5244" s="38" t="s">
        <v>3386</v>
      </c>
      <c r="D5244" s="18">
        <v>2022</v>
      </c>
      <c r="E5244" s="18" t="s">
        <v>0</v>
      </c>
      <c r="F5244" s="4">
        <v>1</v>
      </c>
      <c r="G5244" s="41">
        <v>8</v>
      </c>
      <c r="H5244" s="41">
        <f>0.00925251*(1000)</f>
        <v>9.2525100000000009</v>
      </c>
      <c r="I5244" s="221"/>
      <c r="J5244" s="221"/>
    </row>
    <row r="5245" spans="1:10" s="15" customFormat="1" ht="16.5" hidden="1" customHeight="1" outlineLevel="1" x14ac:dyDescent="0.25">
      <c r="A5245" s="18">
        <v>4494</v>
      </c>
      <c r="B5245" s="4" t="s">
        <v>43</v>
      </c>
      <c r="C5245" s="38" t="s">
        <v>3387</v>
      </c>
      <c r="D5245" s="18">
        <v>2022</v>
      </c>
      <c r="E5245" s="18" t="s">
        <v>0</v>
      </c>
      <c r="F5245" s="4">
        <v>1</v>
      </c>
      <c r="G5245" s="41">
        <v>10</v>
      </c>
      <c r="H5245" s="41">
        <f>0.00925251*(1000)</f>
        <v>9.2525100000000009</v>
      </c>
      <c r="I5245" s="221"/>
      <c r="J5245" s="221"/>
    </row>
    <row r="5246" spans="1:10" s="15" customFormat="1" ht="16.5" hidden="1" customHeight="1" outlineLevel="1" x14ac:dyDescent="0.25">
      <c r="A5246" s="18">
        <v>4495</v>
      </c>
      <c r="B5246" s="4" t="s">
        <v>43</v>
      </c>
      <c r="C5246" s="38" t="s">
        <v>3388</v>
      </c>
      <c r="D5246" s="18">
        <v>2022</v>
      </c>
      <c r="E5246" s="18" t="s">
        <v>0</v>
      </c>
      <c r="F5246" s="4">
        <v>1</v>
      </c>
      <c r="G5246" s="41">
        <v>10</v>
      </c>
      <c r="H5246" s="41">
        <f>0.00911182*(1000)</f>
        <v>9.1118199999999998</v>
      </c>
      <c r="I5246" s="221"/>
      <c r="J5246" s="221"/>
    </row>
    <row r="5247" spans="1:10" s="15" customFormat="1" ht="16.5" hidden="1" customHeight="1" outlineLevel="1" x14ac:dyDescent="0.25">
      <c r="A5247" s="18">
        <v>4496</v>
      </c>
      <c r="B5247" s="4" t="s">
        <v>43</v>
      </c>
      <c r="C5247" s="38" t="s">
        <v>3389</v>
      </c>
      <c r="D5247" s="18">
        <v>2022</v>
      </c>
      <c r="E5247" s="18" t="s">
        <v>0</v>
      </c>
      <c r="F5247" s="4">
        <v>1</v>
      </c>
      <c r="G5247" s="41">
        <v>10</v>
      </c>
      <c r="H5247" s="41">
        <f>0.00925251*(1000)</f>
        <v>9.2525100000000009</v>
      </c>
      <c r="I5247" s="221"/>
      <c r="J5247" s="221"/>
    </row>
    <row r="5248" spans="1:10" s="15" customFormat="1" ht="16.5" hidden="1" customHeight="1" outlineLevel="1" x14ac:dyDescent="0.25">
      <c r="A5248" s="18">
        <v>4497</v>
      </c>
      <c r="B5248" s="4" t="s">
        <v>43</v>
      </c>
      <c r="C5248" s="38" t="s">
        <v>3390</v>
      </c>
      <c r="D5248" s="18">
        <v>2022</v>
      </c>
      <c r="E5248" s="18" t="s">
        <v>0</v>
      </c>
      <c r="F5248" s="4">
        <v>1</v>
      </c>
      <c r="G5248" s="41">
        <v>3</v>
      </c>
      <c r="H5248" s="41">
        <f>0.00911182*(1000)</f>
        <v>9.1118199999999998</v>
      </c>
      <c r="I5248" s="221"/>
      <c r="J5248" s="221"/>
    </row>
    <row r="5249" spans="1:10" s="15" customFormat="1" ht="16.5" hidden="1" customHeight="1" outlineLevel="1" x14ac:dyDescent="0.25">
      <c r="A5249" s="18">
        <v>4499</v>
      </c>
      <c r="B5249" s="4" t="s">
        <v>43</v>
      </c>
      <c r="C5249" s="38" t="s">
        <v>3391</v>
      </c>
      <c r="D5249" s="18">
        <v>2022</v>
      </c>
      <c r="E5249" s="18" t="s">
        <v>0</v>
      </c>
      <c r="F5249" s="4">
        <v>1</v>
      </c>
      <c r="G5249" s="41">
        <v>10</v>
      </c>
      <c r="H5249" s="41">
        <f>0.00911182*(1000)</f>
        <v>9.1118199999999998</v>
      </c>
      <c r="I5249" s="221"/>
      <c r="J5249" s="221"/>
    </row>
    <row r="5250" spans="1:10" s="15" customFormat="1" ht="16.5" hidden="1" customHeight="1" outlineLevel="1" x14ac:dyDescent="0.25">
      <c r="A5250" s="18">
        <v>4501</v>
      </c>
      <c r="B5250" s="4" t="s">
        <v>43</v>
      </c>
      <c r="C5250" s="38" t="s">
        <v>3392</v>
      </c>
      <c r="D5250" s="18">
        <v>2022</v>
      </c>
      <c r="E5250" s="18" t="s">
        <v>0</v>
      </c>
      <c r="F5250" s="4">
        <v>1</v>
      </c>
      <c r="G5250" s="41">
        <v>5</v>
      </c>
      <c r="H5250" s="41">
        <f>0.00911182*(1000)</f>
        <v>9.1118199999999998</v>
      </c>
      <c r="I5250" s="221"/>
      <c r="J5250" s="221"/>
    </row>
    <row r="5251" spans="1:10" s="15" customFormat="1" ht="16.5" hidden="1" customHeight="1" outlineLevel="1" x14ac:dyDescent="0.25">
      <c r="A5251" s="18">
        <v>4502</v>
      </c>
      <c r="B5251" s="4" t="s">
        <v>43</v>
      </c>
      <c r="C5251" s="38" t="s">
        <v>3393</v>
      </c>
      <c r="D5251" s="18">
        <v>2022</v>
      </c>
      <c r="E5251" s="18" t="s">
        <v>0</v>
      </c>
      <c r="F5251" s="4">
        <v>1</v>
      </c>
      <c r="G5251" s="41">
        <v>8</v>
      </c>
      <c r="H5251" s="41">
        <f>0.00925251*(1000)</f>
        <v>9.2525100000000009</v>
      </c>
      <c r="I5251" s="221"/>
      <c r="J5251" s="221"/>
    </row>
    <row r="5252" spans="1:10" s="15" customFormat="1" ht="16.5" hidden="1" customHeight="1" outlineLevel="1" x14ac:dyDescent="0.25">
      <c r="A5252" s="18">
        <v>4503</v>
      </c>
      <c r="B5252" s="4" t="s">
        <v>43</v>
      </c>
      <c r="C5252" s="38" t="s">
        <v>3394</v>
      </c>
      <c r="D5252" s="18">
        <v>2022</v>
      </c>
      <c r="E5252" s="18" t="s">
        <v>0</v>
      </c>
      <c r="F5252" s="4">
        <v>1</v>
      </c>
      <c r="G5252" s="41">
        <v>10</v>
      </c>
      <c r="H5252" s="41">
        <f>0.00911182*(1000)</f>
        <v>9.1118199999999998</v>
      </c>
      <c r="I5252" s="221"/>
      <c r="J5252" s="221"/>
    </row>
    <row r="5253" spans="1:10" s="15" customFormat="1" ht="16.5" hidden="1" customHeight="1" outlineLevel="1" x14ac:dyDescent="0.25">
      <c r="A5253" s="18">
        <v>4504</v>
      </c>
      <c r="B5253" s="4" t="s">
        <v>43</v>
      </c>
      <c r="C5253" s="38" t="s">
        <v>3395</v>
      </c>
      <c r="D5253" s="18">
        <v>2022</v>
      </c>
      <c r="E5253" s="18" t="s">
        <v>0</v>
      </c>
      <c r="F5253" s="4">
        <v>1</v>
      </c>
      <c r="G5253" s="41">
        <v>5</v>
      </c>
      <c r="H5253" s="41">
        <f>0.00925251*(1000)</f>
        <v>9.2525100000000009</v>
      </c>
      <c r="I5253" s="221"/>
      <c r="J5253" s="221"/>
    </row>
    <row r="5254" spans="1:10" s="15" customFormat="1" ht="16.5" hidden="1" customHeight="1" outlineLevel="1" x14ac:dyDescent="0.25">
      <c r="A5254" s="18">
        <v>4505</v>
      </c>
      <c r="B5254" s="4" t="s">
        <v>43</v>
      </c>
      <c r="C5254" s="38" t="s">
        <v>3396</v>
      </c>
      <c r="D5254" s="18">
        <v>2022</v>
      </c>
      <c r="E5254" s="18" t="s">
        <v>0</v>
      </c>
      <c r="F5254" s="4">
        <v>1</v>
      </c>
      <c r="G5254" s="41">
        <v>8</v>
      </c>
      <c r="H5254" s="41">
        <f>0.00911182*(1000)</f>
        <v>9.1118199999999998</v>
      </c>
      <c r="I5254" s="221"/>
      <c r="J5254" s="221"/>
    </row>
    <row r="5255" spans="1:10" s="15" customFormat="1" ht="16.5" hidden="1" customHeight="1" outlineLevel="1" x14ac:dyDescent="0.25">
      <c r="A5255" s="18">
        <v>4506</v>
      </c>
      <c r="B5255" s="4" t="s">
        <v>43</v>
      </c>
      <c r="C5255" s="38" t="s">
        <v>3397</v>
      </c>
      <c r="D5255" s="18">
        <v>2022</v>
      </c>
      <c r="E5255" s="18" t="s">
        <v>0</v>
      </c>
      <c r="F5255" s="4">
        <v>1</v>
      </c>
      <c r="G5255" s="41">
        <v>8</v>
      </c>
      <c r="H5255" s="41">
        <f>0.00925251*(1000)</f>
        <v>9.2525100000000009</v>
      </c>
      <c r="I5255" s="221"/>
      <c r="J5255" s="221"/>
    </row>
    <row r="5256" spans="1:10" s="15" customFormat="1" ht="16.5" hidden="1" customHeight="1" outlineLevel="1" x14ac:dyDescent="0.25">
      <c r="A5256" s="18">
        <v>4507</v>
      </c>
      <c r="B5256" s="4" t="s">
        <v>43</v>
      </c>
      <c r="C5256" s="38" t="s">
        <v>3398</v>
      </c>
      <c r="D5256" s="18">
        <v>2022</v>
      </c>
      <c r="E5256" s="18" t="s">
        <v>0</v>
      </c>
      <c r="F5256" s="4">
        <v>1</v>
      </c>
      <c r="G5256" s="41">
        <v>8</v>
      </c>
      <c r="H5256" s="41">
        <f>0.00911182*(1000)</f>
        <v>9.1118199999999998</v>
      </c>
      <c r="I5256" s="221"/>
      <c r="J5256" s="221"/>
    </row>
    <row r="5257" spans="1:10" s="15" customFormat="1" ht="16.5" hidden="1" customHeight="1" outlineLevel="1" x14ac:dyDescent="0.25">
      <c r="A5257" s="18">
        <v>4508</v>
      </c>
      <c r="B5257" s="4" t="s">
        <v>43</v>
      </c>
      <c r="C5257" s="38" t="s">
        <v>3399</v>
      </c>
      <c r="D5257" s="18">
        <v>2022</v>
      </c>
      <c r="E5257" s="18" t="s">
        <v>0</v>
      </c>
      <c r="F5257" s="4">
        <v>1</v>
      </c>
      <c r="G5257" s="41">
        <v>10</v>
      </c>
      <c r="H5257" s="41">
        <f>0.00925251*(1000)</f>
        <v>9.2525100000000009</v>
      </c>
      <c r="I5257" s="221"/>
      <c r="J5257" s="221"/>
    </row>
    <row r="5258" spans="1:10" s="15" customFormat="1" ht="16.5" hidden="1" customHeight="1" outlineLevel="1" x14ac:dyDescent="0.25">
      <c r="A5258" s="18">
        <v>4509</v>
      </c>
      <c r="B5258" s="4" t="s">
        <v>43</v>
      </c>
      <c r="C5258" s="38" t="s">
        <v>3400</v>
      </c>
      <c r="D5258" s="18">
        <v>2022</v>
      </c>
      <c r="E5258" s="18" t="s">
        <v>0</v>
      </c>
      <c r="F5258" s="4">
        <v>1</v>
      </c>
      <c r="G5258" s="41">
        <v>10</v>
      </c>
      <c r="H5258" s="41">
        <f>0.00911182*(1000)</f>
        <v>9.1118199999999998</v>
      </c>
      <c r="I5258" s="221"/>
      <c r="J5258" s="221"/>
    </row>
    <row r="5259" spans="1:10" s="15" customFormat="1" ht="16.5" hidden="1" customHeight="1" outlineLevel="1" x14ac:dyDescent="0.25">
      <c r="A5259" s="18">
        <v>4510</v>
      </c>
      <c r="B5259" s="4" t="s">
        <v>43</v>
      </c>
      <c r="C5259" s="38" t="s">
        <v>3401</v>
      </c>
      <c r="D5259" s="18">
        <v>2022</v>
      </c>
      <c r="E5259" s="18" t="s">
        <v>0</v>
      </c>
      <c r="F5259" s="4">
        <v>1</v>
      </c>
      <c r="G5259" s="41">
        <v>10</v>
      </c>
      <c r="H5259" s="41">
        <f>0.00925251*(1000)</f>
        <v>9.2525100000000009</v>
      </c>
      <c r="I5259" s="221"/>
      <c r="J5259" s="221"/>
    </row>
    <row r="5260" spans="1:10" s="15" customFormat="1" ht="16.5" hidden="1" customHeight="1" outlineLevel="1" x14ac:dyDescent="0.25">
      <c r="A5260" s="18">
        <v>4511</v>
      </c>
      <c r="B5260" s="4" t="s">
        <v>43</v>
      </c>
      <c r="C5260" s="38" t="s">
        <v>3402</v>
      </c>
      <c r="D5260" s="18">
        <v>2022</v>
      </c>
      <c r="E5260" s="18" t="s">
        <v>0</v>
      </c>
      <c r="F5260" s="4">
        <v>1</v>
      </c>
      <c r="G5260" s="41">
        <v>8</v>
      </c>
      <c r="H5260" s="41">
        <f>0.00911182*(1000)</f>
        <v>9.1118199999999998</v>
      </c>
      <c r="I5260" s="221"/>
      <c r="J5260" s="221"/>
    </row>
    <row r="5261" spans="1:10" s="15" customFormat="1" ht="16.5" hidden="1" customHeight="1" outlineLevel="1" x14ac:dyDescent="0.25">
      <c r="A5261" s="18">
        <v>4512</v>
      </c>
      <c r="B5261" s="4" t="s">
        <v>43</v>
      </c>
      <c r="C5261" s="38" t="s">
        <v>3403</v>
      </c>
      <c r="D5261" s="18">
        <v>2022</v>
      </c>
      <c r="E5261" s="18" t="s">
        <v>0</v>
      </c>
      <c r="F5261" s="4">
        <v>1</v>
      </c>
      <c r="G5261" s="41">
        <v>10</v>
      </c>
      <c r="H5261" s="41">
        <f>0.00925251*(1000)</f>
        <v>9.2525100000000009</v>
      </c>
      <c r="I5261" s="221"/>
      <c r="J5261" s="221"/>
    </row>
    <row r="5262" spans="1:10" s="15" customFormat="1" ht="16.5" hidden="1" customHeight="1" outlineLevel="1" x14ac:dyDescent="0.25">
      <c r="A5262" s="18">
        <v>4513</v>
      </c>
      <c r="B5262" s="4" t="s">
        <v>43</v>
      </c>
      <c r="C5262" s="38" t="s">
        <v>3404</v>
      </c>
      <c r="D5262" s="18">
        <v>2022</v>
      </c>
      <c r="E5262" s="18" t="s">
        <v>0</v>
      </c>
      <c r="F5262" s="4">
        <v>1</v>
      </c>
      <c r="G5262" s="41">
        <v>15</v>
      </c>
      <c r="H5262" s="41">
        <f>0.00911182*(1000)</f>
        <v>9.1118199999999998</v>
      </c>
      <c r="I5262" s="221"/>
      <c r="J5262" s="221"/>
    </row>
    <row r="5263" spans="1:10" s="15" customFormat="1" ht="16.5" hidden="1" customHeight="1" outlineLevel="1" x14ac:dyDescent="0.25">
      <c r="A5263" s="18">
        <v>4514</v>
      </c>
      <c r="B5263" s="4" t="s">
        <v>43</v>
      </c>
      <c r="C5263" s="38" t="s">
        <v>3405</v>
      </c>
      <c r="D5263" s="18">
        <v>2022</v>
      </c>
      <c r="E5263" s="18" t="s">
        <v>0</v>
      </c>
      <c r="F5263" s="4">
        <v>1</v>
      </c>
      <c r="G5263" s="41">
        <v>10</v>
      </c>
      <c r="H5263" s="41">
        <f>0.00925251*(1000)</f>
        <v>9.2525100000000009</v>
      </c>
      <c r="I5263" s="221"/>
      <c r="J5263" s="221"/>
    </row>
    <row r="5264" spans="1:10" s="15" customFormat="1" ht="16.5" hidden="1" customHeight="1" outlineLevel="1" x14ac:dyDescent="0.25">
      <c r="A5264" s="18">
        <v>4515</v>
      </c>
      <c r="B5264" s="4" t="s">
        <v>43</v>
      </c>
      <c r="C5264" s="38" t="s">
        <v>3406</v>
      </c>
      <c r="D5264" s="18">
        <v>2022</v>
      </c>
      <c r="E5264" s="18" t="s">
        <v>0</v>
      </c>
      <c r="F5264" s="4">
        <v>1</v>
      </c>
      <c r="G5264" s="41">
        <v>10</v>
      </c>
      <c r="H5264" s="41">
        <f>0.00911182*(1000)</f>
        <v>9.1118199999999998</v>
      </c>
      <c r="I5264" s="221"/>
      <c r="J5264" s="221"/>
    </row>
    <row r="5265" spans="1:10" s="15" customFormat="1" ht="16.5" hidden="1" customHeight="1" outlineLevel="1" x14ac:dyDescent="0.25">
      <c r="A5265" s="18">
        <v>4516</v>
      </c>
      <c r="B5265" s="4" t="s">
        <v>43</v>
      </c>
      <c r="C5265" s="38" t="s">
        <v>3407</v>
      </c>
      <c r="D5265" s="18">
        <v>2022</v>
      </c>
      <c r="E5265" s="18" t="s">
        <v>0</v>
      </c>
      <c r="F5265" s="4">
        <v>1</v>
      </c>
      <c r="G5265" s="41">
        <v>8</v>
      </c>
      <c r="H5265" s="41">
        <f>0.00925251*(1000)</f>
        <v>9.2525100000000009</v>
      </c>
      <c r="I5265" s="221"/>
      <c r="J5265" s="221"/>
    </row>
    <row r="5266" spans="1:10" s="15" customFormat="1" ht="16.5" hidden="1" customHeight="1" outlineLevel="1" x14ac:dyDescent="0.25">
      <c r="A5266" s="18">
        <v>4517</v>
      </c>
      <c r="B5266" s="4" t="s">
        <v>43</v>
      </c>
      <c r="C5266" s="38" t="s">
        <v>3408</v>
      </c>
      <c r="D5266" s="18">
        <v>2022</v>
      </c>
      <c r="E5266" s="18" t="s">
        <v>0</v>
      </c>
      <c r="F5266" s="4">
        <v>1</v>
      </c>
      <c r="G5266" s="41">
        <v>8</v>
      </c>
      <c r="H5266" s="41">
        <f>0.00911182*(1000)</f>
        <v>9.1118199999999998</v>
      </c>
      <c r="I5266" s="221"/>
      <c r="J5266" s="221"/>
    </row>
    <row r="5267" spans="1:10" s="15" customFormat="1" ht="16.5" hidden="1" customHeight="1" outlineLevel="1" x14ac:dyDescent="0.25">
      <c r="A5267" s="18">
        <v>4518</v>
      </c>
      <c r="B5267" s="4" t="s">
        <v>43</v>
      </c>
      <c r="C5267" s="38" t="s">
        <v>3409</v>
      </c>
      <c r="D5267" s="18">
        <v>2022</v>
      </c>
      <c r="E5267" s="18" t="s">
        <v>0</v>
      </c>
      <c r="F5267" s="4">
        <v>1</v>
      </c>
      <c r="G5267" s="41">
        <v>5</v>
      </c>
      <c r="H5267" s="41">
        <f>0.00925251*(1000)</f>
        <v>9.2525100000000009</v>
      </c>
      <c r="I5267" s="221"/>
      <c r="J5267" s="221"/>
    </row>
    <row r="5268" spans="1:10" s="15" customFormat="1" ht="16.5" hidden="1" customHeight="1" outlineLevel="1" x14ac:dyDescent="0.25">
      <c r="A5268" s="18">
        <v>4519</v>
      </c>
      <c r="B5268" s="4" t="s">
        <v>43</v>
      </c>
      <c r="C5268" s="38" t="s">
        <v>3410</v>
      </c>
      <c r="D5268" s="18">
        <v>2022</v>
      </c>
      <c r="E5268" s="18" t="s">
        <v>0</v>
      </c>
      <c r="F5268" s="4">
        <v>1</v>
      </c>
      <c r="G5268" s="41">
        <v>10</v>
      </c>
      <c r="H5268" s="41">
        <f>0.00911182*(1000)</f>
        <v>9.1118199999999998</v>
      </c>
      <c r="I5268" s="221"/>
      <c r="J5268" s="221"/>
    </row>
    <row r="5269" spans="1:10" s="15" customFormat="1" ht="16.5" hidden="1" customHeight="1" outlineLevel="1" x14ac:dyDescent="0.25">
      <c r="A5269" s="18">
        <v>4520</v>
      </c>
      <c r="B5269" s="4" t="s">
        <v>43</v>
      </c>
      <c r="C5269" s="38" t="s">
        <v>3411</v>
      </c>
      <c r="D5269" s="18">
        <v>2022</v>
      </c>
      <c r="E5269" s="18" t="s">
        <v>0</v>
      </c>
      <c r="F5269" s="4">
        <v>1</v>
      </c>
      <c r="G5269" s="41">
        <v>8</v>
      </c>
      <c r="H5269" s="41">
        <f>0.00925251*(1000)</f>
        <v>9.2525100000000009</v>
      </c>
      <c r="I5269" s="221"/>
      <c r="J5269" s="221"/>
    </row>
    <row r="5270" spans="1:10" s="15" customFormat="1" ht="16.5" hidden="1" customHeight="1" outlineLevel="1" x14ac:dyDescent="0.25">
      <c r="A5270" s="18">
        <v>4521</v>
      </c>
      <c r="B5270" s="4" t="s">
        <v>43</v>
      </c>
      <c r="C5270" s="38" t="s">
        <v>3412</v>
      </c>
      <c r="D5270" s="18">
        <v>2022</v>
      </c>
      <c r="E5270" s="18" t="s">
        <v>0</v>
      </c>
      <c r="F5270" s="4">
        <v>1</v>
      </c>
      <c r="G5270" s="41">
        <v>5</v>
      </c>
      <c r="H5270" s="41">
        <f>0.00911182*(1000)</f>
        <v>9.1118199999999998</v>
      </c>
      <c r="I5270" s="221"/>
      <c r="J5270" s="221"/>
    </row>
    <row r="5271" spans="1:10" s="15" customFormat="1" ht="16.5" hidden="1" customHeight="1" outlineLevel="1" x14ac:dyDescent="0.25">
      <c r="A5271" s="18">
        <v>4522</v>
      </c>
      <c r="B5271" s="4" t="s">
        <v>43</v>
      </c>
      <c r="C5271" s="38" t="s">
        <v>3413</v>
      </c>
      <c r="D5271" s="18">
        <v>2022</v>
      </c>
      <c r="E5271" s="18" t="s">
        <v>0</v>
      </c>
      <c r="F5271" s="4">
        <v>1</v>
      </c>
      <c r="G5271" s="41">
        <v>8</v>
      </c>
      <c r="H5271" s="41">
        <f>0.00925251*(1000)</f>
        <v>9.2525100000000009</v>
      </c>
      <c r="I5271" s="221"/>
      <c r="J5271" s="221"/>
    </row>
    <row r="5272" spans="1:10" s="15" customFormat="1" ht="16.5" hidden="1" customHeight="1" outlineLevel="1" x14ac:dyDescent="0.25">
      <c r="A5272" s="18">
        <v>4523</v>
      </c>
      <c r="B5272" s="4" t="s">
        <v>43</v>
      </c>
      <c r="C5272" s="38" t="s">
        <v>3414</v>
      </c>
      <c r="D5272" s="18">
        <v>2022</v>
      </c>
      <c r="E5272" s="18" t="s">
        <v>0</v>
      </c>
      <c r="F5272" s="4">
        <v>1</v>
      </c>
      <c r="G5272" s="41">
        <v>8</v>
      </c>
      <c r="H5272" s="41">
        <f>0.00911182*(1000)</f>
        <v>9.1118199999999998</v>
      </c>
      <c r="I5272" s="221"/>
      <c r="J5272" s="221"/>
    </row>
    <row r="5273" spans="1:10" s="15" customFormat="1" ht="16.5" hidden="1" customHeight="1" outlineLevel="1" x14ac:dyDescent="0.25">
      <c r="A5273" s="18">
        <v>4524</v>
      </c>
      <c r="B5273" s="4" t="s">
        <v>43</v>
      </c>
      <c r="C5273" s="38" t="s">
        <v>3415</v>
      </c>
      <c r="D5273" s="18">
        <v>2022</v>
      </c>
      <c r="E5273" s="18" t="s">
        <v>0</v>
      </c>
      <c r="F5273" s="4">
        <v>1</v>
      </c>
      <c r="G5273" s="41">
        <v>15</v>
      </c>
      <c r="H5273" s="41">
        <f>0.00925251*(1000)</f>
        <v>9.2525100000000009</v>
      </c>
      <c r="I5273" s="221"/>
      <c r="J5273" s="221"/>
    </row>
    <row r="5274" spans="1:10" s="15" customFormat="1" ht="16.5" hidden="1" customHeight="1" outlineLevel="1" x14ac:dyDescent="0.25">
      <c r="A5274" s="18">
        <v>4525</v>
      </c>
      <c r="B5274" s="4" t="s">
        <v>43</v>
      </c>
      <c r="C5274" s="38" t="s">
        <v>3416</v>
      </c>
      <c r="D5274" s="18">
        <v>2022</v>
      </c>
      <c r="E5274" s="18" t="s">
        <v>0</v>
      </c>
      <c r="F5274" s="4">
        <v>1</v>
      </c>
      <c r="G5274" s="41">
        <v>8</v>
      </c>
      <c r="H5274" s="41">
        <f>0.00911182*(1000)</f>
        <v>9.1118199999999998</v>
      </c>
      <c r="I5274" s="221"/>
      <c r="J5274" s="221"/>
    </row>
    <row r="5275" spans="1:10" s="15" customFormat="1" ht="16.5" hidden="1" customHeight="1" outlineLevel="1" x14ac:dyDescent="0.25">
      <c r="A5275" s="18">
        <v>4526</v>
      </c>
      <c r="B5275" s="4" t="s">
        <v>43</v>
      </c>
      <c r="C5275" s="38" t="s">
        <v>3417</v>
      </c>
      <c r="D5275" s="18">
        <v>2022</v>
      </c>
      <c r="E5275" s="18" t="s">
        <v>0</v>
      </c>
      <c r="F5275" s="4">
        <v>1</v>
      </c>
      <c r="G5275" s="41">
        <v>8</v>
      </c>
      <c r="H5275" s="41">
        <f>0.00925251*(1000)</f>
        <v>9.2525100000000009</v>
      </c>
      <c r="I5275" s="221"/>
      <c r="J5275" s="221"/>
    </row>
    <row r="5276" spans="1:10" s="15" customFormat="1" ht="16.5" hidden="1" customHeight="1" outlineLevel="1" x14ac:dyDescent="0.25">
      <c r="A5276" s="18">
        <v>4527</v>
      </c>
      <c r="B5276" s="4" t="s">
        <v>43</v>
      </c>
      <c r="C5276" s="38" t="s">
        <v>3418</v>
      </c>
      <c r="D5276" s="18">
        <v>2022</v>
      </c>
      <c r="E5276" s="18" t="s">
        <v>0</v>
      </c>
      <c r="F5276" s="4">
        <v>1</v>
      </c>
      <c r="G5276" s="41">
        <v>8</v>
      </c>
      <c r="H5276" s="41">
        <f>0.00911182*(1000)</f>
        <v>9.1118199999999998</v>
      </c>
      <c r="I5276" s="221"/>
      <c r="J5276" s="221"/>
    </row>
    <row r="5277" spans="1:10" s="15" customFormat="1" ht="16.5" hidden="1" customHeight="1" outlineLevel="1" x14ac:dyDescent="0.25">
      <c r="A5277" s="18">
        <v>4528</v>
      </c>
      <c r="B5277" s="4" t="s">
        <v>43</v>
      </c>
      <c r="C5277" s="38" t="s">
        <v>3419</v>
      </c>
      <c r="D5277" s="18">
        <v>2022</v>
      </c>
      <c r="E5277" s="18" t="s">
        <v>0</v>
      </c>
      <c r="F5277" s="4">
        <v>1</v>
      </c>
      <c r="G5277" s="41">
        <v>10</v>
      </c>
      <c r="H5277" s="41">
        <f>0.00925251*(1000)</f>
        <v>9.2525100000000009</v>
      </c>
      <c r="I5277" s="221"/>
      <c r="J5277" s="221"/>
    </row>
    <row r="5278" spans="1:10" s="15" customFormat="1" ht="16.5" hidden="1" customHeight="1" outlineLevel="1" x14ac:dyDescent="0.25">
      <c r="A5278" s="18">
        <v>4529</v>
      </c>
      <c r="B5278" s="4" t="s">
        <v>43</v>
      </c>
      <c r="C5278" s="38" t="s">
        <v>3420</v>
      </c>
      <c r="D5278" s="18">
        <v>2022</v>
      </c>
      <c r="E5278" s="18" t="s">
        <v>0</v>
      </c>
      <c r="F5278" s="4">
        <v>1</v>
      </c>
      <c r="G5278" s="41">
        <v>5</v>
      </c>
      <c r="H5278" s="41">
        <f>0.00911182*(1000)</f>
        <v>9.1118199999999998</v>
      </c>
      <c r="I5278" s="221"/>
      <c r="J5278" s="221"/>
    </row>
    <row r="5279" spans="1:10" s="15" customFormat="1" ht="16.5" hidden="1" customHeight="1" outlineLevel="1" x14ac:dyDescent="0.25">
      <c r="A5279" s="18">
        <v>4530</v>
      </c>
      <c r="B5279" s="4" t="s">
        <v>43</v>
      </c>
      <c r="C5279" s="38" t="s">
        <v>3421</v>
      </c>
      <c r="D5279" s="18">
        <v>2022</v>
      </c>
      <c r="E5279" s="18" t="s">
        <v>0</v>
      </c>
      <c r="F5279" s="4">
        <v>1</v>
      </c>
      <c r="G5279" s="41">
        <v>10</v>
      </c>
      <c r="H5279" s="41">
        <f>0.00925251*(1000)</f>
        <v>9.2525100000000009</v>
      </c>
      <c r="I5279" s="221"/>
      <c r="J5279" s="221"/>
    </row>
    <row r="5280" spans="1:10" s="15" customFormat="1" ht="16.5" hidden="1" customHeight="1" outlineLevel="1" x14ac:dyDescent="0.25">
      <c r="A5280" s="18">
        <v>4533</v>
      </c>
      <c r="B5280" s="4" t="s">
        <v>43</v>
      </c>
      <c r="C5280" s="38" t="s">
        <v>3422</v>
      </c>
      <c r="D5280" s="18">
        <v>2022</v>
      </c>
      <c r="E5280" s="18" t="s">
        <v>0</v>
      </c>
      <c r="F5280" s="4">
        <v>1</v>
      </c>
      <c r="G5280" s="41">
        <v>10</v>
      </c>
      <c r="H5280" s="41">
        <f>0.00911182*(1000)</f>
        <v>9.1118199999999998</v>
      </c>
      <c r="I5280" s="221"/>
      <c r="J5280" s="221"/>
    </row>
    <row r="5281" spans="1:10" s="15" customFormat="1" ht="16.5" hidden="1" customHeight="1" outlineLevel="1" x14ac:dyDescent="0.25">
      <c r="A5281" s="18">
        <v>4535</v>
      </c>
      <c r="B5281" s="4" t="s">
        <v>43</v>
      </c>
      <c r="C5281" s="38" t="s">
        <v>3423</v>
      </c>
      <c r="D5281" s="18">
        <v>2022</v>
      </c>
      <c r="E5281" s="18" t="s">
        <v>0</v>
      </c>
      <c r="F5281" s="4">
        <v>1</v>
      </c>
      <c r="G5281" s="41">
        <v>12</v>
      </c>
      <c r="H5281" s="41">
        <f>0.00925251*(1000)</f>
        <v>9.2525100000000009</v>
      </c>
      <c r="I5281" s="221"/>
      <c r="J5281" s="221"/>
    </row>
    <row r="5282" spans="1:10" s="15" customFormat="1" ht="16.5" hidden="1" customHeight="1" outlineLevel="1" x14ac:dyDescent="0.25">
      <c r="A5282" s="18">
        <v>4536</v>
      </c>
      <c r="B5282" s="4" t="s">
        <v>43</v>
      </c>
      <c r="C5282" s="38" t="s">
        <v>3424</v>
      </c>
      <c r="D5282" s="18">
        <v>2022</v>
      </c>
      <c r="E5282" s="18" t="s">
        <v>0</v>
      </c>
      <c r="F5282" s="4">
        <v>1</v>
      </c>
      <c r="G5282" s="41">
        <v>10</v>
      </c>
      <c r="H5282" s="41">
        <f>0.00911182*(1000)</f>
        <v>9.1118199999999998</v>
      </c>
      <c r="I5282" s="221"/>
      <c r="J5282" s="221"/>
    </row>
    <row r="5283" spans="1:10" s="15" customFormat="1" ht="16.5" hidden="1" customHeight="1" outlineLevel="1" x14ac:dyDescent="0.25">
      <c r="A5283" s="18">
        <v>4537</v>
      </c>
      <c r="B5283" s="4" t="s">
        <v>43</v>
      </c>
      <c r="C5283" s="38" t="s">
        <v>3425</v>
      </c>
      <c r="D5283" s="18">
        <v>2022</v>
      </c>
      <c r="E5283" s="18" t="s">
        <v>0</v>
      </c>
      <c r="F5283" s="4">
        <v>1</v>
      </c>
      <c r="G5283" s="41">
        <v>8</v>
      </c>
      <c r="H5283" s="41">
        <f>0.00911182*(1000)</f>
        <v>9.1118199999999998</v>
      </c>
      <c r="I5283" s="221"/>
      <c r="J5283" s="221"/>
    </row>
    <row r="5284" spans="1:10" s="15" customFormat="1" ht="16.5" hidden="1" customHeight="1" outlineLevel="1" x14ac:dyDescent="0.25">
      <c r="A5284" s="18">
        <v>4538</v>
      </c>
      <c r="B5284" s="4" t="s">
        <v>43</v>
      </c>
      <c r="C5284" s="38" t="s">
        <v>3426</v>
      </c>
      <c r="D5284" s="18">
        <v>2022</v>
      </c>
      <c r="E5284" s="18" t="s">
        <v>0</v>
      </c>
      <c r="F5284" s="4">
        <v>1</v>
      </c>
      <c r="G5284" s="41">
        <v>5</v>
      </c>
      <c r="H5284" s="41">
        <f>0.00911182*(1000)</f>
        <v>9.1118199999999998</v>
      </c>
      <c r="I5284" s="221"/>
      <c r="J5284" s="221"/>
    </row>
    <row r="5285" spans="1:10" s="15" customFormat="1" ht="16.5" hidden="1" customHeight="1" outlineLevel="1" x14ac:dyDescent="0.25">
      <c r="A5285" s="18">
        <v>2792</v>
      </c>
      <c r="B5285" s="4" t="s">
        <v>43</v>
      </c>
      <c r="C5285" s="38" t="s">
        <v>3427</v>
      </c>
      <c r="D5285" s="18">
        <v>2022</v>
      </c>
      <c r="E5285" s="18" t="s">
        <v>0</v>
      </c>
      <c r="F5285" s="4">
        <v>2</v>
      </c>
      <c r="G5285" s="151">
        <v>3.9</v>
      </c>
      <c r="H5285" s="41">
        <f>0.034756*(1000)</f>
        <v>34.756</v>
      </c>
      <c r="I5285" s="221"/>
      <c r="J5285" s="221"/>
    </row>
    <row r="5286" spans="1:10" s="15" customFormat="1" ht="16.5" hidden="1" customHeight="1" outlineLevel="1" x14ac:dyDescent="0.25">
      <c r="A5286" s="18">
        <v>2928</v>
      </c>
      <c r="B5286" s="4" t="s">
        <v>43</v>
      </c>
      <c r="C5286" s="38" t="s">
        <v>3428</v>
      </c>
      <c r="D5286" s="18">
        <v>2022</v>
      </c>
      <c r="E5286" s="18" t="s">
        <v>0</v>
      </c>
      <c r="F5286" s="4">
        <v>2</v>
      </c>
      <c r="G5286" s="41">
        <v>11</v>
      </c>
      <c r="H5286" s="41">
        <f>0.03285479*(1000)</f>
        <v>32.854790000000001</v>
      </c>
      <c r="I5286" s="221"/>
      <c r="J5286" s="221"/>
    </row>
    <row r="5287" spans="1:10" s="15" customFormat="1" ht="16.5" hidden="1" customHeight="1" outlineLevel="1" x14ac:dyDescent="0.25">
      <c r="A5287" s="18">
        <v>2964</v>
      </c>
      <c r="B5287" s="4" t="s">
        <v>43</v>
      </c>
      <c r="C5287" s="38" t="s">
        <v>3429</v>
      </c>
      <c r="D5287" s="18">
        <v>2022</v>
      </c>
      <c r="E5287" s="18" t="s">
        <v>0</v>
      </c>
      <c r="F5287" s="4">
        <v>1</v>
      </c>
      <c r="G5287" s="41">
        <v>6</v>
      </c>
      <c r="H5287" s="41">
        <f>0.01686292*(1000)</f>
        <v>16.862919999999999</v>
      </c>
      <c r="I5287" s="221"/>
      <c r="J5287" s="221"/>
    </row>
    <row r="5288" spans="1:10" s="15" customFormat="1" ht="16.5" hidden="1" customHeight="1" outlineLevel="1" x14ac:dyDescent="0.25">
      <c r="A5288" s="18">
        <v>3010</v>
      </c>
      <c r="B5288" s="4" t="s">
        <v>43</v>
      </c>
      <c r="C5288" s="38" t="s">
        <v>3430</v>
      </c>
      <c r="D5288" s="18">
        <v>2022</v>
      </c>
      <c r="E5288" s="18" t="s">
        <v>0</v>
      </c>
      <c r="F5288" s="4">
        <v>1</v>
      </c>
      <c r="G5288" s="41">
        <v>6</v>
      </c>
      <c r="H5288" s="41">
        <f>0.01290448*(1000)</f>
        <v>12.90448</v>
      </c>
      <c r="I5288" s="221"/>
      <c r="J5288" s="221"/>
    </row>
    <row r="5289" spans="1:10" s="15" customFormat="1" ht="16.5" hidden="1" customHeight="1" outlineLevel="1" x14ac:dyDescent="0.25">
      <c r="A5289" s="18">
        <v>2735</v>
      </c>
      <c r="B5289" s="4" t="s">
        <v>43</v>
      </c>
      <c r="C5289" s="38" t="s">
        <v>3431</v>
      </c>
      <c r="D5289" s="18">
        <v>2022</v>
      </c>
      <c r="E5289" s="18" t="s">
        <v>0</v>
      </c>
      <c r="F5289" s="4">
        <v>1</v>
      </c>
      <c r="G5289" s="41">
        <v>5</v>
      </c>
      <c r="H5289" s="41">
        <f>0.02012642*(1000)</f>
        <v>20.12642</v>
      </c>
      <c r="I5289" s="221"/>
      <c r="J5289" s="221"/>
    </row>
    <row r="5290" spans="1:10" s="15" customFormat="1" ht="16.5" hidden="1" customHeight="1" outlineLevel="1" x14ac:dyDescent="0.25">
      <c r="A5290" s="18">
        <v>2738</v>
      </c>
      <c r="B5290" s="4" t="s">
        <v>43</v>
      </c>
      <c r="C5290" s="38" t="s">
        <v>3432</v>
      </c>
      <c r="D5290" s="18">
        <v>2022</v>
      </c>
      <c r="E5290" s="18" t="s">
        <v>0</v>
      </c>
      <c r="F5290" s="4">
        <v>3</v>
      </c>
      <c r="G5290" s="41">
        <v>10</v>
      </c>
      <c r="H5290" s="41">
        <f>0.06622622*(1000)</f>
        <v>66.226219999999998</v>
      </c>
      <c r="I5290" s="221"/>
      <c r="J5290" s="221"/>
    </row>
    <row r="5291" spans="1:10" s="15" customFormat="1" ht="16.5" hidden="1" customHeight="1" outlineLevel="1" x14ac:dyDescent="0.25">
      <c r="A5291" s="18">
        <v>2741</v>
      </c>
      <c r="B5291" s="4" t="s">
        <v>43</v>
      </c>
      <c r="C5291" s="38" t="s">
        <v>3433</v>
      </c>
      <c r="D5291" s="18">
        <v>2022</v>
      </c>
      <c r="E5291" s="18" t="s">
        <v>0</v>
      </c>
      <c r="F5291" s="4">
        <v>2</v>
      </c>
      <c r="G5291" s="41">
        <v>13</v>
      </c>
      <c r="H5291" s="41">
        <f>0.04042219*(1000)</f>
        <v>40.422189999999993</v>
      </c>
      <c r="I5291" s="221"/>
      <c r="J5291" s="221"/>
    </row>
    <row r="5292" spans="1:10" s="15" customFormat="1" ht="16.5" hidden="1" customHeight="1" outlineLevel="1" x14ac:dyDescent="0.25">
      <c r="A5292" s="18">
        <v>2743</v>
      </c>
      <c r="B5292" s="4" t="s">
        <v>43</v>
      </c>
      <c r="C5292" s="38" t="s">
        <v>3434</v>
      </c>
      <c r="D5292" s="18">
        <v>2022</v>
      </c>
      <c r="E5292" s="18" t="s">
        <v>0</v>
      </c>
      <c r="F5292" s="4">
        <v>2</v>
      </c>
      <c r="G5292" s="41">
        <v>20</v>
      </c>
      <c r="H5292" s="41">
        <f>0.04534787*(1000)</f>
        <v>45.34787</v>
      </c>
      <c r="I5292" s="221"/>
      <c r="J5292" s="221"/>
    </row>
    <row r="5293" spans="1:10" s="15" customFormat="1" ht="16.5" hidden="1" customHeight="1" outlineLevel="1" x14ac:dyDescent="0.25">
      <c r="A5293" s="18">
        <v>2752</v>
      </c>
      <c r="B5293" s="4" t="s">
        <v>43</v>
      </c>
      <c r="C5293" s="38" t="s">
        <v>3435</v>
      </c>
      <c r="D5293" s="18">
        <v>2022</v>
      </c>
      <c r="E5293" s="18" t="s">
        <v>0</v>
      </c>
      <c r="F5293" s="4">
        <v>4</v>
      </c>
      <c r="G5293" s="41">
        <v>32</v>
      </c>
      <c r="H5293" s="41">
        <f>0.10095843*(1000)</f>
        <v>100.95843000000001</v>
      </c>
      <c r="I5293" s="221"/>
      <c r="J5293" s="221"/>
    </row>
    <row r="5294" spans="1:10" s="15" customFormat="1" ht="16.5" hidden="1" customHeight="1" outlineLevel="1" x14ac:dyDescent="0.25">
      <c r="A5294" s="18">
        <v>2772</v>
      </c>
      <c r="B5294" s="4" t="s">
        <v>43</v>
      </c>
      <c r="C5294" s="38" t="s">
        <v>3436</v>
      </c>
      <c r="D5294" s="18">
        <v>2022</v>
      </c>
      <c r="E5294" s="18" t="s">
        <v>0</v>
      </c>
      <c r="F5294" s="4">
        <v>2</v>
      </c>
      <c r="G5294" s="41">
        <v>23</v>
      </c>
      <c r="H5294" s="41">
        <f>0.05912875*(1000)</f>
        <v>59.128750000000004</v>
      </c>
      <c r="I5294" s="221"/>
      <c r="J5294" s="221"/>
    </row>
    <row r="5295" spans="1:10" s="15" customFormat="1" ht="16.5" hidden="1" customHeight="1" outlineLevel="1" x14ac:dyDescent="0.25">
      <c r="A5295" s="18">
        <v>2788</v>
      </c>
      <c r="B5295" s="4" t="s">
        <v>43</v>
      </c>
      <c r="C5295" s="38" t="s">
        <v>3437</v>
      </c>
      <c r="D5295" s="18">
        <v>2022</v>
      </c>
      <c r="E5295" s="18" t="s">
        <v>0</v>
      </c>
      <c r="F5295" s="4">
        <v>1</v>
      </c>
      <c r="G5295" s="41">
        <v>10</v>
      </c>
      <c r="H5295" s="41">
        <f>0.02765034*(1000)</f>
        <v>27.65034</v>
      </c>
      <c r="I5295" s="221"/>
      <c r="J5295" s="221"/>
    </row>
    <row r="5296" spans="1:10" s="15" customFormat="1" ht="16.5" hidden="1" customHeight="1" outlineLevel="1" x14ac:dyDescent="0.25">
      <c r="A5296" s="18">
        <v>2793</v>
      </c>
      <c r="B5296" s="4" t="s">
        <v>43</v>
      </c>
      <c r="C5296" s="38" t="s">
        <v>3438</v>
      </c>
      <c r="D5296" s="18">
        <v>2022</v>
      </c>
      <c r="E5296" s="18" t="s">
        <v>0</v>
      </c>
      <c r="F5296" s="4">
        <v>1</v>
      </c>
      <c r="G5296" s="41">
        <v>11</v>
      </c>
      <c r="H5296" s="41">
        <f>0.01804342*(1000)</f>
        <v>18.043420000000001</v>
      </c>
      <c r="I5296" s="221"/>
      <c r="J5296" s="221"/>
    </row>
    <row r="5297" spans="1:10" s="15" customFormat="1" ht="16.5" hidden="1" customHeight="1" outlineLevel="1" x14ac:dyDescent="0.25">
      <c r="A5297" s="18">
        <v>2816</v>
      </c>
      <c r="B5297" s="4" t="s">
        <v>43</v>
      </c>
      <c r="C5297" s="38" t="s">
        <v>3439</v>
      </c>
      <c r="D5297" s="18">
        <v>2022</v>
      </c>
      <c r="E5297" s="18" t="s">
        <v>0</v>
      </c>
      <c r="F5297" s="4">
        <v>1</v>
      </c>
      <c r="G5297" s="41">
        <v>12</v>
      </c>
      <c r="H5297" s="41">
        <f>0.01953348*(1000)</f>
        <v>19.533479999999997</v>
      </c>
      <c r="I5297" s="221"/>
      <c r="J5297" s="221"/>
    </row>
    <row r="5298" spans="1:10" s="15" customFormat="1" ht="16.5" hidden="1" customHeight="1" outlineLevel="1" x14ac:dyDescent="0.25">
      <c r="A5298" s="18">
        <v>2824</v>
      </c>
      <c r="B5298" s="4" t="s">
        <v>43</v>
      </c>
      <c r="C5298" s="38" t="s">
        <v>3440</v>
      </c>
      <c r="D5298" s="18">
        <v>2022</v>
      </c>
      <c r="E5298" s="18" t="s">
        <v>0</v>
      </c>
      <c r="F5298" s="4">
        <v>1</v>
      </c>
      <c r="G5298" s="41">
        <v>50</v>
      </c>
      <c r="H5298" s="41">
        <f>0.03073352*(1000)</f>
        <v>30.733519999999999</v>
      </c>
      <c r="I5298" s="221"/>
      <c r="J5298" s="221"/>
    </row>
    <row r="5299" spans="1:10" s="15" customFormat="1" ht="16.5" hidden="1" customHeight="1" outlineLevel="1" x14ac:dyDescent="0.25">
      <c r="A5299" s="18">
        <v>2831</v>
      </c>
      <c r="B5299" s="4" t="s">
        <v>43</v>
      </c>
      <c r="C5299" s="38" t="s">
        <v>3441</v>
      </c>
      <c r="D5299" s="18">
        <v>2022</v>
      </c>
      <c r="E5299" s="18" t="s">
        <v>0</v>
      </c>
      <c r="F5299" s="4">
        <v>1</v>
      </c>
      <c r="G5299" s="41">
        <v>10</v>
      </c>
      <c r="H5299" s="41">
        <f>0.01108466*(1000)</f>
        <v>11.08466</v>
      </c>
      <c r="I5299" s="221"/>
      <c r="J5299" s="221"/>
    </row>
    <row r="5300" spans="1:10" s="15" customFormat="1" ht="16.5" hidden="1" customHeight="1" outlineLevel="1" x14ac:dyDescent="0.25">
      <c r="A5300" s="18">
        <v>2837</v>
      </c>
      <c r="B5300" s="4" t="s">
        <v>43</v>
      </c>
      <c r="C5300" s="38" t="s">
        <v>3442</v>
      </c>
      <c r="D5300" s="18">
        <v>2022</v>
      </c>
      <c r="E5300" s="18" t="s">
        <v>0</v>
      </c>
      <c r="F5300" s="4">
        <v>1</v>
      </c>
      <c r="G5300" s="41">
        <v>1</v>
      </c>
      <c r="H5300" s="41">
        <f>0.01777071*(1000)</f>
        <v>17.770709999999998</v>
      </c>
      <c r="I5300" s="221"/>
      <c r="J5300" s="221"/>
    </row>
    <row r="5301" spans="1:10" s="15" customFormat="1" ht="16.5" hidden="1" customHeight="1" outlineLevel="1" x14ac:dyDescent="0.25">
      <c r="A5301" s="18">
        <v>2853</v>
      </c>
      <c r="B5301" s="4" t="s">
        <v>43</v>
      </c>
      <c r="C5301" s="38" t="s">
        <v>3443</v>
      </c>
      <c r="D5301" s="18">
        <v>2022</v>
      </c>
      <c r="E5301" s="18" t="s">
        <v>0</v>
      </c>
      <c r="F5301" s="4">
        <v>1</v>
      </c>
      <c r="G5301" s="41">
        <v>7</v>
      </c>
      <c r="H5301" s="41">
        <f>0.01768438*(1000)</f>
        <v>17.684380000000001</v>
      </c>
      <c r="I5301" s="221"/>
      <c r="J5301" s="221"/>
    </row>
    <row r="5302" spans="1:10" s="15" customFormat="1" ht="16.5" hidden="1" customHeight="1" outlineLevel="1" x14ac:dyDescent="0.25">
      <c r="A5302" s="18">
        <v>2855</v>
      </c>
      <c r="B5302" s="4" t="s">
        <v>43</v>
      </c>
      <c r="C5302" s="38" t="s">
        <v>3444</v>
      </c>
      <c r="D5302" s="18">
        <v>2022</v>
      </c>
      <c r="E5302" s="18" t="s">
        <v>0</v>
      </c>
      <c r="F5302" s="4">
        <v>1</v>
      </c>
      <c r="G5302" s="41">
        <v>6</v>
      </c>
      <c r="H5302" s="41">
        <f>0.01771752*(1000)</f>
        <v>17.71752</v>
      </c>
      <c r="I5302" s="221"/>
      <c r="J5302" s="221"/>
    </row>
    <row r="5303" spans="1:10" s="15" customFormat="1" ht="16.5" hidden="1" customHeight="1" outlineLevel="1" x14ac:dyDescent="0.25">
      <c r="A5303" s="18">
        <v>2876</v>
      </c>
      <c r="B5303" s="4" t="s">
        <v>43</v>
      </c>
      <c r="C5303" s="38" t="s">
        <v>3445</v>
      </c>
      <c r="D5303" s="18">
        <v>2022</v>
      </c>
      <c r="E5303" s="18" t="s">
        <v>0</v>
      </c>
      <c r="F5303" s="4">
        <v>1</v>
      </c>
      <c r="G5303" s="41">
        <v>7</v>
      </c>
      <c r="H5303" s="41">
        <f>0.01785364*(1000)</f>
        <v>17.853640000000002</v>
      </c>
      <c r="I5303" s="221"/>
      <c r="J5303" s="221"/>
    </row>
    <row r="5304" spans="1:10" s="15" customFormat="1" ht="16.5" hidden="1" customHeight="1" outlineLevel="1" x14ac:dyDescent="0.25">
      <c r="A5304" s="18">
        <v>2878</v>
      </c>
      <c r="B5304" s="4" t="s">
        <v>43</v>
      </c>
      <c r="C5304" s="38" t="s">
        <v>3446</v>
      </c>
      <c r="D5304" s="18">
        <v>2022</v>
      </c>
      <c r="E5304" s="18" t="s">
        <v>0</v>
      </c>
      <c r="F5304" s="4">
        <v>1</v>
      </c>
      <c r="G5304" s="41">
        <v>15</v>
      </c>
      <c r="H5304" s="41">
        <f>0.01775138*(1000)</f>
        <v>17.751380000000001</v>
      </c>
      <c r="I5304" s="221"/>
      <c r="J5304" s="221"/>
    </row>
    <row r="5305" spans="1:10" s="15" customFormat="1" ht="16.5" hidden="1" customHeight="1" outlineLevel="1" x14ac:dyDescent="0.25">
      <c r="A5305" s="18">
        <v>2879</v>
      </c>
      <c r="B5305" s="4" t="s">
        <v>43</v>
      </c>
      <c r="C5305" s="38" t="s">
        <v>3447</v>
      </c>
      <c r="D5305" s="18">
        <v>2022</v>
      </c>
      <c r="E5305" s="18" t="s">
        <v>0</v>
      </c>
      <c r="F5305" s="4">
        <v>7</v>
      </c>
      <c r="G5305" s="41">
        <v>42</v>
      </c>
      <c r="H5305" s="41">
        <f>0.09328817*(1000)</f>
        <v>93.288170000000008</v>
      </c>
      <c r="I5305" s="221"/>
      <c r="J5305" s="221"/>
    </row>
    <row r="5306" spans="1:10" s="15" customFormat="1" ht="16.5" hidden="1" customHeight="1" outlineLevel="1" x14ac:dyDescent="0.25">
      <c r="A5306" s="18">
        <v>2889</v>
      </c>
      <c r="B5306" s="4" t="s">
        <v>43</v>
      </c>
      <c r="C5306" s="38" t="s">
        <v>3448</v>
      </c>
      <c r="D5306" s="18">
        <v>2022</v>
      </c>
      <c r="E5306" s="18" t="s">
        <v>0</v>
      </c>
      <c r="F5306" s="4">
        <v>2</v>
      </c>
      <c r="G5306" s="41">
        <v>10</v>
      </c>
      <c r="H5306" s="41">
        <f>0.03051354*(1000)</f>
        <v>30.513539999999999</v>
      </c>
      <c r="I5306" s="221"/>
      <c r="J5306" s="221"/>
    </row>
    <row r="5307" spans="1:10" s="15" customFormat="1" ht="16.5" hidden="1" customHeight="1" outlineLevel="1" x14ac:dyDescent="0.25">
      <c r="A5307" s="18">
        <v>2890</v>
      </c>
      <c r="B5307" s="4" t="s">
        <v>43</v>
      </c>
      <c r="C5307" s="38" t="s">
        <v>3449</v>
      </c>
      <c r="D5307" s="18">
        <v>2022</v>
      </c>
      <c r="E5307" s="18" t="s">
        <v>0</v>
      </c>
      <c r="F5307" s="4">
        <v>2</v>
      </c>
      <c r="G5307" s="41">
        <v>6</v>
      </c>
      <c r="H5307" s="41">
        <f>0.03037642*(1000)</f>
        <v>30.37642</v>
      </c>
      <c r="I5307" s="221"/>
      <c r="J5307" s="221"/>
    </row>
    <row r="5308" spans="1:10" s="15" customFormat="1" ht="16.5" hidden="1" customHeight="1" outlineLevel="1" x14ac:dyDescent="0.25">
      <c r="A5308" s="18">
        <v>2897</v>
      </c>
      <c r="B5308" s="4" t="s">
        <v>43</v>
      </c>
      <c r="C5308" s="38" t="s">
        <v>3450</v>
      </c>
      <c r="D5308" s="18">
        <v>2022</v>
      </c>
      <c r="E5308" s="18" t="s">
        <v>0</v>
      </c>
      <c r="F5308" s="4">
        <v>2</v>
      </c>
      <c r="G5308" s="41">
        <v>11</v>
      </c>
      <c r="H5308" s="41">
        <f>0.03040159*(1000)</f>
        <v>30.401589999999999</v>
      </c>
      <c r="I5308" s="221"/>
      <c r="J5308" s="221"/>
    </row>
    <row r="5309" spans="1:10" s="15" customFormat="1" ht="16.5" hidden="1" customHeight="1" outlineLevel="1" x14ac:dyDescent="0.25">
      <c r="A5309" s="18">
        <v>2906</v>
      </c>
      <c r="B5309" s="4" t="s">
        <v>43</v>
      </c>
      <c r="C5309" s="38" t="s">
        <v>3451</v>
      </c>
      <c r="D5309" s="18">
        <v>2022</v>
      </c>
      <c r="E5309" s="18" t="s">
        <v>0</v>
      </c>
      <c r="F5309" s="4">
        <v>1</v>
      </c>
      <c r="G5309" s="41">
        <v>10</v>
      </c>
      <c r="H5309" s="41">
        <f>0.02492991*(1000)</f>
        <v>24.92991</v>
      </c>
      <c r="I5309" s="221"/>
      <c r="J5309" s="221"/>
    </row>
    <row r="5310" spans="1:10" s="15" customFormat="1" ht="16.5" hidden="1" customHeight="1" outlineLevel="1" x14ac:dyDescent="0.25">
      <c r="A5310" s="18">
        <v>2939</v>
      </c>
      <c r="B5310" s="4" t="s">
        <v>43</v>
      </c>
      <c r="C5310" s="38" t="s">
        <v>3452</v>
      </c>
      <c r="D5310" s="18">
        <v>2022</v>
      </c>
      <c r="E5310" s="18" t="s">
        <v>0</v>
      </c>
      <c r="F5310" s="4">
        <v>2</v>
      </c>
      <c r="G5310" s="151">
        <v>19.600000000000001</v>
      </c>
      <c r="H5310" s="41">
        <f>0.04201027*(1000)</f>
        <v>42.010270000000006</v>
      </c>
      <c r="I5310" s="221"/>
      <c r="J5310" s="221"/>
    </row>
    <row r="5311" spans="1:10" s="15" customFormat="1" ht="16.5" hidden="1" customHeight="1" outlineLevel="1" x14ac:dyDescent="0.25">
      <c r="A5311" s="18">
        <v>2944</v>
      </c>
      <c r="B5311" s="4" t="s">
        <v>43</v>
      </c>
      <c r="C5311" s="38" t="s">
        <v>3453</v>
      </c>
      <c r="D5311" s="18">
        <v>2022</v>
      </c>
      <c r="E5311" s="18" t="s">
        <v>0</v>
      </c>
      <c r="F5311" s="4">
        <v>1</v>
      </c>
      <c r="G5311" s="41">
        <v>11</v>
      </c>
      <c r="H5311" s="41">
        <f>0.02398998*(1000)</f>
        <v>23.989980000000003</v>
      </c>
      <c r="I5311" s="221"/>
      <c r="J5311" s="221"/>
    </row>
    <row r="5312" spans="1:10" s="15" customFormat="1" ht="16.5" hidden="1" customHeight="1" outlineLevel="1" x14ac:dyDescent="0.25">
      <c r="A5312" s="18">
        <v>2952</v>
      </c>
      <c r="B5312" s="4" t="s">
        <v>43</v>
      </c>
      <c r="C5312" s="38" t="s">
        <v>3454</v>
      </c>
      <c r="D5312" s="18">
        <v>2022</v>
      </c>
      <c r="E5312" s="18" t="s">
        <v>0</v>
      </c>
      <c r="F5312" s="4">
        <v>2</v>
      </c>
      <c r="G5312" s="41">
        <v>20</v>
      </c>
      <c r="H5312" s="41">
        <f>0.02492339*(1000)</f>
        <v>24.923390000000001</v>
      </c>
      <c r="I5312" s="221"/>
      <c r="J5312" s="221"/>
    </row>
    <row r="5313" spans="1:10" s="15" customFormat="1" ht="16.5" hidden="1" customHeight="1" outlineLevel="1" x14ac:dyDescent="0.25">
      <c r="A5313" s="18">
        <v>2954</v>
      </c>
      <c r="B5313" s="4" t="s">
        <v>43</v>
      </c>
      <c r="C5313" s="38" t="s">
        <v>3455</v>
      </c>
      <c r="D5313" s="18">
        <v>2022</v>
      </c>
      <c r="E5313" s="18" t="s">
        <v>0</v>
      </c>
      <c r="F5313" s="4">
        <v>2</v>
      </c>
      <c r="G5313" s="41">
        <v>23</v>
      </c>
      <c r="H5313" s="41">
        <f>0.0437935*(1000)</f>
        <v>43.793500000000002</v>
      </c>
      <c r="I5313" s="221"/>
      <c r="J5313" s="221"/>
    </row>
    <row r="5314" spans="1:10" s="15" customFormat="1" ht="16.5" hidden="1" customHeight="1" outlineLevel="1" x14ac:dyDescent="0.25">
      <c r="A5314" s="18">
        <v>2955</v>
      </c>
      <c r="B5314" s="4" t="s">
        <v>43</v>
      </c>
      <c r="C5314" s="38" t="s">
        <v>3456</v>
      </c>
      <c r="D5314" s="18">
        <v>2022</v>
      </c>
      <c r="E5314" s="18" t="s">
        <v>0</v>
      </c>
      <c r="F5314" s="4">
        <v>1</v>
      </c>
      <c r="G5314" s="41">
        <v>10</v>
      </c>
      <c r="H5314" s="41">
        <f>0.01421702*(1000)</f>
        <v>14.21702</v>
      </c>
      <c r="I5314" s="221"/>
      <c r="J5314" s="221"/>
    </row>
    <row r="5315" spans="1:10" s="15" customFormat="1" ht="16.5" hidden="1" customHeight="1" outlineLevel="1" x14ac:dyDescent="0.25">
      <c r="A5315" s="18">
        <v>2957</v>
      </c>
      <c r="B5315" s="4" t="s">
        <v>43</v>
      </c>
      <c r="C5315" s="38" t="s">
        <v>3457</v>
      </c>
      <c r="D5315" s="18">
        <v>2022</v>
      </c>
      <c r="E5315" s="18" t="s">
        <v>0</v>
      </c>
      <c r="F5315" s="4">
        <v>3</v>
      </c>
      <c r="G5315" s="41">
        <v>30</v>
      </c>
      <c r="H5315" s="41">
        <f>0.03566795*(1000)</f>
        <v>35.667949999999998</v>
      </c>
      <c r="I5315" s="221"/>
      <c r="J5315" s="221"/>
    </row>
    <row r="5316" spans="1:10" s="15" customFormat="1" ht="16.5" hidden="1" customHeight="1" outlineLevel="1" x14ac:dyDescent="0.25">
      <c r="A5316" s="18">
        <v>2958</v>
      </c>
      <c r="B5316" s="4" t="s">
        <v>43</v>
      </c>
      <c r="C5316" s="38" t="s">
        <v>3458</v>
      </c>
      <c r="D5316" s="18">
        <v>2022</v>
      </c>
      <c r="E5316" s="18" t="s">
        <v>0</v>
      </c>
      <c r="F5316" s="4">
        <v>3</v>
      </c>
      <c r="G5316" s="41">
        <v>30</v>
      </c>
      <c r="H5316" s="41">
        <f>0.03872782*(1000)</f>
        <v>38.727820000000001</v>
      </c>
      <c r="I5316" s="221"/>
      <c r="J5316" s="221"/>
    </row>
    <row r="5317" spans="1:10" s="15" customFormat="1" ht="16.5" hidden="1" customHeight="1" outlineLevel="1" x14ac:dyDescent="0.25">
      <c r="A5317" s="18">
        <v>2959</v>
      </c>
      <c r="B5317" s="4" t="s">
        <v>43</v>
      </c>
      <c r="C5317" s="38" t="s">
        <v>3459</v>
      </c>
      <c r="D5317" s="18">
        <v>2022</v>
      </c>
      <c r="E5317" s="18" t="s">
        <v>0</v>
      </c>
      <c r="F5317" s="4">
        <v>1</v>
      </c>
      <c r="G5317" s="41">
        <v>11</v>
      </c>
      <c r="H5317" s="41">
        <f>0.02272444*(1000)</f>
        <v>22.724439999999998</v>
      </c>
      <c r="I5317" s="221"/>
      <c r="J5317" s="221"/>
    </row>
    <row r="5318" spans="1:10" s="15" customFormat="1" ht="16.5" hidden="1" customHeight="1" outlineLevel="1" x14ac:dyDescent="0.25">
      <c r="A5318" s="18">
        <v>2962</v>
      </c>
      <c r="B5318" s="4" t="s">
        <v>43</v>
      </c>
      <c r="C5318" s="38" t="s">
        <v>3460</v>
      </c>
      <c r="D5318" s="18">
        <v>2022</v>
      </c>
      <c r="E5318" s="18" t="s">
        <v>0</v>
      </c>
      <c r="F5318" s="4">
        <v>1</v>
      </c>
      <c r="G5318" s="41">
        <v>5</v>
      </c>
      <c r="H5318" s="41">
        <f>0.014522*(1000)</f>
        <v>14.522</v>
      </c>
      <c r="I5318" s="221"/>
      <c r="J5318" s="221"/>
    </row>
    <row r="5319" spans="1:10" s="15" customFormat="1" ht="16.5" hidden="1" customHeight="1" outlineLevel="1" x14ac:dyDescent="0.25">
      <c r="A5319" s="18">
        <v>2968</v>
      </c>
      <c r="B5319" s="4" t="s">
        <v>43</v>
      </c>
      <c r="C5319" s="38" t="s">
        <v>3461</v>
      </c>
      <c r="D5319" s="18">
        <v>2022</v>
      </c>
      <c r="E5319" s="18" t="s">
        <v>0</v>
      </c>
      <c r="F5319" s="4">
        <v>1</v>
      </c>
      <c r="G5319" s="41">
        <v>10</v>
      </c>
      <c r="H5319" s="41">
        <f>0.01414133*(1000)</f>
        <v>14.14133</v>
      </c>
      <c r="I5319" s="221"/>
      <c r="J5319" s="221"/>
    </row>
    <row r="5320" spans="1:10" s="15" customFormat="1" ht="16.5" hidden="1" customHeight="1" outlineLevel="1" x14ac:dyDescent="0.25">
      <c r="A5320" s="18">
        <v>3020</v>
      </c>
      <c r="B5320" s="4" t="s">
        <v>43</v>
      </c>
      <c r="C5320" s="38" t="s">
        <v>3462</v>
      </c>
      <c r="D5320" s="18">
        <v>2022</v>
      </c>
      <c r="E5320" s="18" t="s">
        <v>0</v>
      </c>
      <c r="F5320" s="4">
        <v>1</v>
      </c>
      <c r="G5320" s="41">
        <v>2.5</v>
      </c>
      <c r="H5320" s="41">
        <f>0.01034996*(1000)</f>
        <v>10.349959999999999</v>
      </c>
      <c r="I5320" s="221"/>
      <c r="J5320" s="221"/>
    </row>
    <row r="5321" spans="1:10" s="15" customFormat="1" ht="16.5" hidden="1" customHeight="1" outlineLevel="1" x14ac:dyDescent="0.25">
      <c r="A5321" s="18">
        <v>3021</v>
      </c>
      <c r="B5321" s="4" t="s">
        <v>43</v>
      </c>
      <c r="C5321" s="38" t="s">
        <v>3463</v>
      </c>
      <c r="D5321" s="18">
        <v>2022</v>
      </c>
      <c r="E5321" s="18" t="s">
        <v>0</v>
      </c>
      <c r="F5321" s="4">
        <v>1</v>
      </c>
      <c r="G5321" s="41">
        <v>7</v>
      </c>
      <c r="H5321" s="41">
        <f>0.01029295*(1000)</f>
        <v>10.292950000000001</v>
      </c>
      <c r="I5321" s="221"/>
      <c r="J5321" s="221"/>
    </row>
    <row r="5322" spans="1:10" s="15" customFormat="1" ht="16.5" hidden="1" customHeight="1" outlineLevel="1" x14ac:dyDescent="0.25">
      <c r="A5322" s="18">
        <v>3022</v>
      </c>
      <c r="B5322" s="4" t="s">
        <v>43</v>
      </c>
      <c r="C5322" s="38" t="s">
        <v>3464</v>
      </c>
      <c r="D5322" s="18">
        <v>2022</v>
      </c>
      <c r="E5322" s="18" t="s">
        <v>0</v>
      </c>
      <c r="F5322" s="4">
        <v>2</v>
      </c>
      <c r="G5322" s="41">
        <v>10</v>
      </c>
      <c r="H5322" s="41">
        <f>0.02045422*(1000)</f>
        <v>20.454219999999999</v>
      </c>
      <c r="I5322" s="221"/>
      <c r="J5322" s="221"/>
    </row>
    <row r="5323" spans="1:10" s="15" customFormat="1" ht="16.5" hidden="1" customHeight="1" outlineLevel="1" x14ac:dyDescent="0.25">
      <c r="A5323" s="18">
        <v>3023</v>
      </c>
      <c r="B5323" s="4" t="s">
        <v>43</v>
      </c>
      <c r="C5323" s="38" t="s">
        <v>3465</v>
      </c>
      <c r="D5323" s="18">
        <v>2022</v>
      </c>
      <c r="E5323" s="18" t="s">
        <v>0</v>
      </c>
      <c r="F5323" s="4">
        <v>2</v>
      </c>
      <c r="G5323" s="41">
        <v>10</v>
      </c>
      <c r="H5323" s="41">
        <f>0.02045421*(1000)</f>
        <v>20.45421</v>
      </c>
      <c r="I5323" s="221"/>
      <c r="J5323" s="221"/>
    </row>
    <row r="5324" spans="1:10" s="15" customFormat="1" ht="16.5" hidden="1" customHeight="1" outlineLevel="1" x14ac:dyDescent="0.25">
      <c r="A5324" s="18">
        <v>3028</v>
      </c>
      <c r="B5324" s="4" t="s">
        <v>43</v>
      </c>
      <c r="C5324" s="38" t="s">
        <v>3466</v>
      </c>
      <c r="D5324" s="18">
        <v>2022</v>
      </c>
      <c r="E5324" s="18" t="s">
        <v>0</v>
      </c>
      <c r="F5324" s="4">
        <v>1</v>
      </c>
      <c r="G5324" s="41">
        <v>10</v>
      </c>
      <c r="H5324" s="41">
        <f>0.01057995*(1000)</f>
        <v>10.57995</v>
      </c>
      <c r="I5324" s="221"/>
      <c r="J5324" s="221"/>
    </row>
    <row r="5325" spans="1:10" s="15" customFormat="1" ht="16.5" hidden="1" customHeight="1" outlineLevel="1" x14ac:dyDescent="0.25">
      <c r="A5325" s="18">
        <v>3035</v>
      </c>
      <c r="B5325" s="4" t="s">
        <v>43</v>
      </c>
      <c r="C5325" s="38" t="s">
        <v>3467</v>
      </c>
      <c r="D5325" s="18">
        <v>2022</v>
      </c>
      <c r="E5325" s="18" t="s">
        <v>0</v>
      </c>
      <c r="F5325" s="4">
        <v>1</v>
      </c>
      <c r="G5325" s="41">
        <v>5</v>
      </c>
      <c r="H5325" s="41">
        <f t="shared" ref="H5325:H5330" si="4">0.01034996*(1000)</f>
        <v>10.349959999999999</v>
      </c>
      <c r="I5325" s="221"/>
      <c r="J5325" s="221"/>
    </row>
    <row r="5326" spans="1:10" s="15" customFormat="1" ht="16.5" hidden="1" customHeight="1" outlineLevel="1" x14ac:dyDescent="0.25">
      <c r="A5326" s="18">
        <v>3036</v>
      </c>
      <c r="B5326" s="4" t="s">
        <v>43</v>
      </c>
      <c r="C5326" s="38" t="s">
        <v>3468</v>
      </c>
      <c r="D5326" s="18">
        <v>2022</v>
      </c>
      <c r="E5326" s="18" t="s">
        <v>0</v>
      </c>
      <c r="F5326" s="4">
        <v>1</v>
      </c>
      <c r="G5326" s="41">
        <v>5</v>
      </c>
      <c r="H5326" s="41">
        <f t="shared" si="4"/>
        <v>10.349959999999999</v>
      </c>
      <c r="I5326" s="221"/>
      <c r="J5326" s="221"/>
    </row>
    <row r="5327" spans="1:10" s="15" customFormat="1" ht="16.5" hidden="1" customHeight="1" outlineLevel="1" x14ac:dyDescent="0.25">
      <c r="A5327" s="18">
        <v>3039</v>
      </c>
      <c r="B5327" s="4" t="s">
        <v>43</v>
      </c>
      <c r="C5327" s="38" t="s">
        <v>3469</v>
      </c>
      <c r="D5327" s="18">
        <v>2022</v>
      </c>
      <c r="E5327" s="18" t="s">
        <v>0</v>
      </c>
      <c r="F5327" s="4">
        <v>1</v>
      </c>
      <c r="G5327" s="41">
        <v>8</v>
      </c>
      <c r="H5327" s="41">
        <f t="shared" si="4"/>
        <v>10.349959999999999</v>
      </c>
      <c r="I5327" s="221"/>
      <c r="J5327" s="221"/>
    </row>
    <row r="5328" spans="1:10" s="15" customFormat="1" ht="16.5" hidden="1" customHeight="1" outlineLevel="1" x14ac:dyDescent="0.25">
      <c r="A5328" s="18">
        <v>3042</v>
      </c>
      <c r="B5328" s="4" t="s">
        <v>43</v>
      </c>
      <c r="C5328" s="38" t="s">
        <v>3470</v>
      </c>
      <c r="D5328" s="18">
        <v>2022</v>
      </c>
      <c r="E5328" s="18" t="s">
        <v>0</v>
      </c>
      <c r="F5328" s="4">
        <v>1</v>
      </c>
      <c r="G5328" s="41">
        <v>7</v>
      </c>
      <c r="H5328" s="41">
        <f t="shared" si="4"/>
        <v>10.349959999999999</v>
      </c>
      <c r="I5328" s="221"/>
      <c r="J5328" s="221"/>
    </row>
    <row r="5329" spans="1:10" s="15" customFormat="1" ht="16.5" hidden="1" customHeight="1" outlineLevel="1" x14ac:dyDescent="0.25">
      <c r="A5329" s="18">
        <v>3043</v>
      </c>
      <c r="B5329" s="4" t="s">
        <v>43</v>
      </c>
      <c r="C5329" s="38" t="s">
        <v>3471</v>
      </c>
      <c r="D5329" s="18">
        <v>2022</v>
      </c>
      <c r="E5329" s="18" t="s">
        <v>0</v>
      </c>
      <c r="F5329" s="4">
        <v>1</v>
      </c>
      <c r="G5329" s="41">
        <v>6</v>
      </c>
      <c r="H5329" s="41">
        <f t="shared" si="4"/>
        <v>10.349959999999999</v>
      </c>
      <c r="I5329" s="221"/>
      <c r="J5329" s="221"/>
    </row>
    <row r="5330" spans="1:10" s="15" customFormat="1" ht="16.5" hidden="1" customHeight="1" outlineLevel="1" x14ac:dyDescent="0.25">
      <c r="A5330" s="18">
        <v>3044</v>
      </c>
      <c r="B5330" s="4" t="s">
        <v>43</v>
      </c>
      <c r="C5330" s="38" t="s">
        <v>3472</v>
      </c>
      <c r="D5330" s="18">
        <v>2022</v>
      </c>
      <c r="E5330" s="18" t="s">
        <v>0</v>
      </c>
      <c r="F5330" s="4">
        <v>1</v>
      </c>
      <c r="G5330" s="41">
        <v>5</v>
      </c>
      <c r="H5330" s="41">
        <f t="shared" si="4"/>
        <v>10.349959999999999</v>
      </c>
      <c r="I5330" s="221"/>
      <c r="J5330" s="221"/>
    </row>
    <row r="5331" spans="1:10" s="15" customFormat="1" ht="16.5" hidden="1" customHeight="1" outlineLevel="1" x14ac:dyDescent="0.25">
      <c r="A5331" s="18">
        <v>3055</v>
      </c>
      <c r="B5331" s="4" t="s">
        <v>43</v>
      </c>
      <c r="C5331" s="38" t="s">
        <v>3473</v>
      </c>
      <c r="D5331" s="18">
        <v>2022</v>
      </c>
      <c r="E5331" s="18" t="s">
        <v>0</v>
      </c>
      <c r="F5331" s="4">
        <v>1</v>
      </c>
      <c r="G5331" s="41">
        <v>3.7</v>
      </c>
      <c r="H5331" s="41">
        <f>0.01024185*(1000)</f>
        <v>10.241849999999999</v>
      </c>
      <c r="I5331" s="221"/>
      <c r="J5331" s="221"/>
    </row>
    <row r="5332" spans="1:10" s="15" customFormat="1" ht="16.5" hidden="1" customHeight="1" outlineLevel="1" x14ac:dyDescent="0.25">
      <c r="A5332" s="18">
        <v>3061</v>
      </c>
      <c r="B5332" s="4" t="s">
        <v>43</v>
      </c>
      <c r="C5332" s="38" t="s">
        <v>3474</v>
      </c>
      <c r="D5332" s="18">
        <v>2022</v>
      </c>
      <c r="E5332" s="18" t="s">
        <v>0</v>
      </c>
      <c r="F5332" s="4">
        <v>1</v>
      </c>
      <c r="G5332" s="41">
        <v>6</v>
      </c>
      <c r="H5332" s="41">
        <f>0.01024185*(1000)</f>
        <v>10.241849999999999</v>
      </c>
      <c r="I5332" s="221"/>
      <c r="J5332" s="221"/>
    </row>
    <row r="5333" spans="1:10" s="15" customFormat="1" ht="16.5" hidden="1" customHeight="1" outlineLevel="1" x14ac:dyDescent="0.25">
      <c r="A5333" s="18">
        <v>3063</v>
      </c>
      <c r="B5333" s="4" t="s">
        <v>43</v>
      </c>
      <c r="C5333" s="38" t="s">
        <v>3475</v>
      </c>
      <c r="D5333" s="18">
        <v>2022</v>
      </c>
      <c r="E5333" s="18" t="s">
        <v>0</v>
      </c>
      <c r="F5333" s="4">
        <v>1</v>
      </c>
      <c r="G5333" s="41">
        <v>7</v>
      </c>
      <c r="H5333" s="41">
        <f>0.01024185*(1000)</f>
        <v>10.241849999999999</v>
      </c>
      <c r="I5333" s="221"/>
      <c r="J5333" s="221"/>
    </row>
    <row r="5334" spans="1:10" s="15" customFormat="1" ht="16.5" hidden="1" customHeight="1" outlineLevel="1" x14ac:dyDescent="0.25">
      <c r="A5334" s="18">
        <v>3069</v>
      </c>
      <c r="B5334" s="4" t="s">
        <v>43</v>
      </c>
      <c r="C5334" s="38" t="s">
        <v>3476</v>
      </c>
      <c r="D5334" s="18">
        <v>2022</v>
      </c>
      <c r="E5334" s="18" t="s">
        <v>0</v>
      </c>
      <c r="F5334" s="4">
        <v>1</v>
      </c>
      <c r="G5334" s="41">
        <v>12</v>
      </c>
      <c r="H5334" s="41">
        <f>0.01024185*(1000)</f>
        <v>10.241849999999999</v>
      </c>
      <c r="I5334" s="221"/>
      <c r="J5334" s="221"/>
    </row>
    <row r="5335" spans="1:10" s="15" customFormat="1" ht="16.5" hidden="1" customHeight="1" outlineLevel="1" x14ac:dyDescent="0.25">
      <c r="A5335" s="18">
        <v>3071</v>
      </c>
      <c r="B5335" s="4" t="s">
        <v>43</v>
      </c>
      <c r="C5335" s="38" t="s">
        <v>3477</v>
      </c>
      <c r="D5335" s="18">
        <v>2022</v>
      </c>
      <c r="E5335" s="18" t="s">
        <v>0</v>
      </c>
      <c r="F5335" s="4">
        <v>1</v>
      </c>
      <c r="G5335" s="41">
        <v>6</v>
      </c>
      <c r="H5335" s="41">
        <f>0.01024185*(1000)</f>
        <v>10.241849999999999</v>
      </c>
      <c r="I5335" s="221"/>
      <c r="J5335" s="221"/>
    </row>
    <row r="5336" spans="1:10" s="15" customFormat="1" ht="16.5" hidden="1" customHeight="1" outlineLevel="1" x14ac:dyDescent="0.25">
      <c r="A5336" s="18">
        <v>3077</v>
      </c>
      <c r="B5336" s="4" t="s">
        <v>43</v>
      </c>
      <c r="C5336" s="38" t="s">
        <v>3478</v>
      </c>
      <c r="D5336" s="18">
        <v>2022</v>
      </c>
      <c r="E5336" s="18" t="s">
        <v>0</v>
      </c>
      <c r="F5336" s="4">
        <v>1</v>
      </c>
      <c r="G5336" s="41">
        <v>7</v>
      </c>
      <c r="H5336" s="41">
        <f>0.01024184*(1000)</f>
        <v>10.24184</v>
      </c>
      <c r="I5336" s="221"/>
      <c r="J5336" s="221"/>
    </row>
    <row r="5337" spans="1:10" s="15" customFormat="1" ht="16.5" hidden="1" customHeight="1" outlineLevel="1" x14ac:dyDescent="0.25">
      <c r="A5337" s="18">
        <v>3082</v>
      </c>
      <c r="B5337" s="4" t="s">
        <v>43</v>
      </c>
      <c r="C5337" s="38" t="s">
        <v>3479</v>
      </c>
      <c r="D5337" s="18">
        <v>2022</v>
      </c>
      <c r="E5337" s="18" t="s">
        <v>0</v>
      </c>
      <c r="F5337" s="4">
        <v>1</v>
      </c>
      <c r="G5337" s="41">
        <v>5</v>
      </c>
      <c r="H5337" s="41">
        <f>0.01024184*(1000)</f>
        <v>10.24184</v>
      </c>
      <c r="I5337" s="221"/>
      <c r="J5337" s="221"/>
    </row>
    <row r="5338" spans="1:10" s="15" customFormat="1" ht="16.5" hidden="1" customHeight="1" outlineLevel="1" x14ac:dyDescent="0.25">
      <c r="A5338" s="18">
        <v>3084</v>
      </c>
      <c r="B5338" s="4" t="s">
        <v>43</v>
      </c>
      <c r="C5338" s="38" t="s">
        <v>3480</v>
      </c>
      <c r="D5338" s="18">
        <v>2022</v>
      </c>
      <c r="E5338" s="18" t="s">
        <v>0</v>
      </c>
      <c r="F5338" s="4">
        <v>1</v>
      </c>
      <c r="G5338" s="41">
        <v>6</v>
      </c>
      <c r="H5338" s="41">
        <f>0.01024184*(1000)</f>
        <v>10.24184</v>
      </c>
      <c r="I5338" s="221"/>
      <c r="J5338" s="221"/>
    </row>
    <row r="5339" spans="1:10" s="15" customFormat="1" ht="16.5" hidden="1" customHeight="1" outlineLevel="1" x14ac:dyDescent="0.25">
      <c r="A5339" s="18">
        <v>3085</v>
      </c>
      <c r="B5339" s="4" t="s">
        <v>43</v>
      </c>
      <c r="C5339" s="38" t="s">
        <v>3481</v>
      </c>
      <c r="D5339" s="18">
        <v>2022</v>
      </c>
      <c r="E5339" s="18" t="s">
        <v>0</v>
      </c>
      <c r="F5339" s="4">
        <v>1</v>
      </c>
      <c r="G5339" s="41">
        <v>6</v>
      </c>
      <c r="H5339" s="41">
        <f>0.01024185*(1000)</f>
        <v>10.241849999999999</v>
      </c>
      <c r="I5339" s="221"/>
      <c r="J5339" s="221"/>
    </row>
    <row r="5340" spans="1:10" s="15" customFormat="1" ht="16.5" hidden="1" customHeight="1" outlineLevel="1" x14ac:dyDescent="0.25">
      <c r="A5340" s="18">
        <v>3086</v>
      </c>
      <c r="B5340" s="4" t="s">
        <v>43</v>
      </c>
      <c r="C5340" s="38" t="s">
        <v>3482</v>
      </c>
      <c r="D5340" s="18">
        <v>2022</v>
      </c>
      <c r="E5340" s="18" t="s">
        <v>0</v>
      </c>
      <c r="F5340" s="4">
        <v>1</v>
      </c>
      <c r="G5340" s="41">
        <v>6</v>
      </c>
      <c r="H5340" s="41">
        <f>0.01024184*(1000)</f>
        <v>10.24184</v>
      </c>
      <c r="I5340" s="221"/>
      <c r="J5340" s="221"/>
    </row>
    <row r="5341" spans="1:10" s="15" customFormat="1" ht="16.5" hidden="1" customHeight="1" outlineLevel="1" x14ac:dyDescent="0.25">
      <c r="A5341" s="18">
        <v>3090</v>
      </c>
      <c r="B5341" s="4" t="s">
        <v>43</v>
      </c>
      <c r="C5341" s="38" t="s">
        <v>3483</v>
      </c>
      <c r="D5341" s="18">
        <v>2022</v>
      </c>
      <c r="E5341" s="18" t="s">
        <v>0</v>
      </c>
      <c r="F5341" s="4">
        <v>1</v>
      </c>
      <c r="G5341" s="41">
        <v>6</v>
      </c>
      <c r="H5341" s="41">
        <f>0.01024184*(1000)</f>
        <v>10.24184</v>
      </c>
      <c r="I5341" s="221"/>
      <c r="J5341" s="221"/>
    </row>
    <row r="5342" spans="1:10" s="15" customFormat="1" ht="16.5" hidden="1" customHeight="1" outlineLevel="1" x14ac:dyDescent="0.25">
      <c r="A5342" s="18">
        <v>3091</v>
      </c>
      <c r="B5342" s="4" t="s">
        <v>43</v>
      </c>
      <c r="C5342" s="38" t="s">
        <v>3484</v>
      </c>
      <c r="D5342" s="18">
        <v>2022</v>
      </c>
      <c r="E5342" s="18" t="s">
        <v>0</v>
      </c>
      <c r="F5342" s="4">
        <v>1</v>
      </c>
      <c r="G5342" s="41">
        <v>6</v>
      </c>
      <c r="H5342" s="41">
        <f>0.01024185*(1000)</f>
        <v>10.241849999999999</v>
      </c>
      <c r="I5342" s="221"/>
      <c r="J5342" s="221"/>
    </row>
    <row r="5343" spans="1:10" s="15" customFormat="1" ht="16.5" hidden="1" customHeight="1" outlineLevel="1" x14ac:dyDescent="0.25">
      <c r="A5343" s="18">
        <v>3096</v>
      </c>
      <c r="B5343" s="4" t="s">
        <v>43</v>
      </c>
      <c r="C5343" s="38" t="s">
        <v>3485</v>
      </c>
      <c r="D5343" s="18">
        <v>2022</v>
      </c>
      <c r="E5343" s="18" t="s">
        <v>0</v>
      </c>
      <c r="F5343" s="4">
        <v>1</v>
      </c>
      <c r="G5343" s="41">
        <v>6</v>
      </c>
      <c r="H5343" s="41">
        <f>0.01024184*(1000)</f>
        <v>10.24184</v>
      </c>
      <c r="I5343" s="221"/>
      <c r="J5343" s="221"/>
    </row>
    <row r="5344" spans="1:10" s="15" customFormat="1" ht="16.5" hidden="1" customHeight="1" outlineLevel="1" x14ac:dyDescent="0.25">
      <c r="A5344" s="18">
        <v>3100</v>
      </c>
      <c r="B5344" s="4" t="s">
        <v>43</v>
      </c>
      <c r="C5344" s="38" t="s">
        <v>3486</v>
      </c>
      <c r="D5344" s="18">
        <v>2022</v>
      </c>
      <c r="E5344" s="18" t="s">
        <v>0</v>
      </c>
      <c r="F5344" s="4">
        <v>1</v>
      </c>
      <c r="G5344" s="41">
        <v>5</v>
      </c>
      <c r="H5344" s="41">
        <f>0.01024183*(1000)</f>
        <v>10.24183</v>
      </c>
      <c r="I5344" s="221"/>
      <c r="J5344" s="221"/>
    </row>
    <row r="5345" spans="1:10" s="15" customFormat="1" ht="16.5" hidden="1" customHeight="1" outlineLevel="1" x14ac:dyDescent="0.25">
      <c r="A5345" s="18">
        <v>3101</v>
      </c>
      <c r="B5345" s="4" t="s">
        <v>43</v>
      </c>
      <c r="C5345" s="38" t="s">
        <v>3487</v>
      </c>
      <c r="D5345" s="18">
        <v>2022</v>
      </c>
      <c r="E5345" s="18" t="s">
        <v>0</v>
      </c>
      <c r="F5345" s="4">
        <v>1</v>
      </c>
      <c r="G5345" s="41">
        <v>7</v>
      </c>
      <c r="H5345" s="41">
        <f>0.01024185*(1000)</f>
        <v>10.241849999999999</v>
      </c>
      <c r="I5345" s="221"/>
      <c r="J5345" s="221"/>
    </row>
    <row r="5346" spans="1:10" s="15" customFormat="1" ht="16.5" hidden="1" customHeight="1" outlineLevel="1" x14ac:dyDescent="0.25">
      <c r="A5346" s="18">
        <v>3102</v>
      </c>
      <c r="B5346" s="4" t="s">
        <v>43</v>
      </c>
      <c r="C5346" s="38" t="s">
        <v>3488</v>
      </c>
      <c r="D5346" s="18">
        <v>2022</v>
      </c>
      <c r="E5346" s="18" t="s">
        <v>0</v>
      </c>
      <c r="F5346" s="4">
        <v>1</v>
      </c>
      <c r="G5346" s="41">
        <v>6</v>
      </c>
      <c r="H5346" s="41">
        <f>0.01023995*(1000)</f>
        <v>10.239949999999999</v>
      </c>
      <c r="I5346" s="221"/>
      <c r="J5346" s="221"/>
    </row>
    <row r="5347" spans="1:10" s="15" customFormat="1" ht="16.5" hidden="1" customHeight="1" outlineLevel="1" x14ac:dyDescent="0.25">
      <c r="A5347" s="18">
        <v>3105</v>
      </c>
      <c r="B5347" s="4" t="s">
        <v>43</v>
      </c>
      <c r="C5347" s="38" t="s">
        <v>3489</v>
      </c>
      <c r="D5347" s="18">
        <v>2022</v>
      </c>
      <c r="E5347" s="18" t="s">
        <v>0</v>
      </c>
      <c r="F5347" s="4">
        <v>1</v>
      </c>
      <c r="G5347" s="41">
        <v>5</v>
      </c>
      <c r="H5347" s="41">
        <f>0.01011881*(1000)</f>
        <v>10.11881</v>
      </c>
      <c r="I5347" s="221"/>
      <c r="J5347" s="221"/>
    </row>
    <row r="5348" spans="1:10" s="15" customFormat="1" ht="16.5" hidden="1" customHeight="1" outlineLevel="1" x14ac:dyDescent="0.25">
      <c r="A5348" s="18">
        <v>3110</v>
      </c>
      <c r="B5348" s="4" t="s">
        <v>43</v>
      </c>
      <c r="C5348" s="38" t="s">
        <v>3490</v>
      </c>
      <c r="D5348" s="18">
        <v>2022</v>
      </c>
      <c r="E5348" s="18" t="s">
        <v>0</v>
      </c>
      <c r="F5348" s="4">
        <v>1</v>
      </c>
      <c r="G5348" s="41">
        <v>5</v>
      </c>
      <c r="H5348" s="41">
        <f>0.01011882*(1000)</f>
        <v>10.118820000000001</v>
      </c>
      <c r="I5348" s="221"/>
      <c r="J5348" s="221"/>
    </row>
    <row r="5349" spans="1:10" s="15" customFormat="1" ht="16.5" hidden="1" customHeight="1" outlineLevel="1" x14ac:dyDescent="0.25">
      <c r="A5349" s="18">
        <v>3119</v>
      </c>
      <c r="B5349" s="4" t="s">
        <v>43</v>
      </c>
      <c r="C5349" s="38" t="s">
        <v>3491</v>
      </c>
      <c r="D5349" s="18">
        <v>2022</v>
      </c>
      <c r="E5349" s="18" t="s">
        <v>0</v>
      </c>
      <c r="F5349" s="4">
        <v>1</v>
      </c>
      <c r="G5349" s="41">
        <v>6</v>
      </c>
      <c r="H5349" s="41">
        <f>0.01024184*(1000)</f>
        <v>10.24184</v>
      </c>
      <c r="I5349" s="221"/>
      <c r="J5349" s="221"/>
    </row>
    <row r="5350" spans="1:10" s="15" customFormat="1" ht="16.5" hidden="1" customHeight="1" outlineLevel="1" x14ac:dyDescent="0.25">
      <c r="A5350" s="18">
        <v>3122</v>
      </c>
      <c r="B5350" s="4" t="s">
        <v>43</v>
      </c>
      <c r="C5350" s="38" t="s">
        <v>3492</v>
      </c>
      <c r="D5350" s="18">
        <v>2022</v>
      </c>
      <c r="E5350" s="18" t="s">
        <v>0</v>
      </c>
      <c r="F5350" s="4">
        <v>1</v>
      </c>
      <c r="G5350" s="41">
        <v>6</v>
      </c>
      <c r="H5350" s="41">
        <f>0.01024175*(1000)</f>
        <v>10.241750000000001</v>
      </c>
      <c r="I5350" s="221"/>
      <c r="J5350" s="221"/>
    </row>
    <row r="5351" spans="1:10" s="15" customFormat="1" ht="16.5" hidden="1" customHeight="1" outlineLevel="1" x14ac:dyDescent="0.25">
      <c r="A5351" s="18">
        <v>3124</v>
      </c>
      <c r="B5351" s="4" t="s">
        <v>43</v>
      </c>
      <c r="C5351" s="38" t="s">
        <v>3493</v>
      </c>
      <c r="D5351" s="18">
        <v>2022</v>
      </c>
      <c r="E5351" s="18" t="s">
        <v>0</v>
      </c>
      <c r="F5351" s="4">
        <v>1</v>
      </c>
      <c r="G5351" s="41">
        <v>7</v>
      </c>
      <c r="H5351" s="41">
        <f>0.01024175*(1000)</f>
        <v>10.241750000000001</v>
      </c>
      <c r="I5351" s="221"/>
      <c r="J5351" s="221"/>
    </row>
    <row r="5352" spans="1:10" s="15" customFormat="1" ht="16.5" hidden="1" customHeight="1" outlineLevel="1" x14ac:dyDescent="0.25">
      <c r="A5352" s="18">
        <v>3135</v>
      </c>
      <c r="B5352" s="4" t="s">
        <v>43</v>
      </c>
      <c r="C5352" s="38" t="s">
        <v>3494</v>
      </c>
      <c r="D5352" s="18">
        <v>2022</v>
      </c>
      <c r="E5352" s="18" t="s">
        <v>0</v>
      </c>
      <c r="F5352" s="4">
        <v>1</v>
      </c>
      <c r="G5352" s="41">
        <v>5</v>
      </c>
      <c r="H5352" s="41">
        <f>0.01011871*(1000)</f>
        <v>10.11871</v>
      </c>
      <c r="I5352" s="221"/>
      <c r="J5352" s="221"/>
    </row>
    <row r="5353" spans="1:10" s="15" customFormat="1" ht="16.5" hidden="1" customHeight="1" outlineLevel="1" x14ac:dyDescent="0.25">
      <c r="A5353" s="18">
        <v>3137</v>
      </c>
      <c r="B5353" s="4" t="s">
        <v>43</v>
      </c>
      <c r="C5353" s="38" t="s">
        <v>3495</v>
      </c>
      <c r="D5353" s="18">
        <v>2022</v>
      </c>
      <c r="E5353" s="18" t="s">
        <v>0</v>
      </c>
      <c r="F5353" s="4">
        <v>1</v>
      </c>
      <c r="G5353" s="41">
        <v>7</v>
      </c>
      <c r="H5353" s="41">
        <f>0.01011871*(1000)</f>
        <v>10.11871</v>
      </c>
      <c r="I5353" s="221"/>
      <c r="J5353" s="221"/>
    </row>
    <row r="5354" spans="1:10" s="15" customFormat="1" ht="16.5" hidden="1" customHeight="1" outlineLevel="1" x14ac:dyDescent="0.25">
      <c r="A5354" s="18">
        <v>3138</v>
      </c>
      <c r="B5354" s="4" t="s">
        <v>43</v>
      </c>
      <c r="C5354" s="38" t="s">
        <v>3496</v>
      </c>
      <c r="D5354" s="18">
        <v>2022</v>
      </c>
      <c r="E5354" s="18" t="s">
        <v>0</v>
      </c>
      <c r="F5354" s="4">
        <v>1</v>
      </c>
      <c r="G5354" s="41">
        <v>3</v>
      </c>
      <c r="H5354" s="41">
        <f>0.01011872*(1000)</f>
        <v>10.11872</v>
      </c>
      <c r="I5354" s="221"/>
      <c r="J5354" s="221"/>
    </row>
    <row r="5355" spans="1:10" s="15" customFormat="1" ht="16.5" hidden="1" customHeight="1" outlineLevel="1" x14ac:dyDescent="0.25">
      <c r="A5355" s="18">
        <v>3140</v>
      </c>
      <c r="B5355" s="4" t="s">
        <v>43</v>
      </c>
      <c r="C5355" s="38" t="s">
        <v>3497</v>
      </c>
      <c r="D5355" s="18">
        <v>2022</v>
      </c>
      <c r="E5355" s="18" t="s">
        <v>0</v>
      </c>
      <c r="F5355" s="4">
        <v>1</v>
      </c>
      <c r="G5355" s="41">
        <v>7</v>
      </c>
      <c r="H5355" s="41">
        <f>0.01011872*(1000)</f>
        <v>10.11872</v>
      </c>
      <c r="I5355" s="221"/>
      <c r="J5355" s="221"/>
    </row>
    <row r="5356" spans="1:10" s="15" customFormat="1" ht="16.5" hidden="1" customHeight="1" outlineLevel="1" x14ac:dyDescent="0.25">
      <c r="A5356" s="18">
        <v>3141</v>
      </c>
      <c r="B5356" s="4" t="s">
        <v>43</v>
      </c>
      <c r="C5356" s="38" t="s">
        <v>3498</v>
      </c>
      <c r="D5356" s="18">
        <v>2022</v>
      </c>
      <c r="E5356" s="18" t="s">
        <v>0</v>
      </c>
      <c r="F5356" s="4">
        <v>1</v>
      </c>
      <c r="G5356" s="41">
        <v>5</v>
      </c>
      <c r="H5356" s="41">
        <f>0.01011871*(1000)</f>
        <v>10.11871</v>
      </c>
      <c r="I5356" s="221"/>
      <c r="J5356" s="221"/>
    </row>
    <row r="5357" spans="1:10" s="15" customFormat="1" ht="16.5" hidden="1" customHeight="1" outlineLevel="1" x14ac:dyDescent="0.25">
      <c r="A5357" s="18">
        <v>3142</v>
      </c>
      <c r="B5357" s="4" t="s">
        <v>43</v>
      </c>
      <c r="C5357" s="38" t="s">
        <v>3499</v>
      </c>
      <c r="D5357" s="18">
        <v>2022</v>
      </c>
      <c r="E5357" s="18" t="s">
        <v>0</v>
      </c>
      <c r="F5357" s="4">
        <v>1</v>
      </c>
      <c r="G5357" s="41">
        <v>5</v>
      </c>
      <c r="H5357" s="41">
        <f>0.01011872*(1000)</f>
        <v>10.11872</v>
      </c>
      <c r="I5357" s="221"/>
      <c r="J5357" s="221"/>
    </row>
    <row r="5358" spans="1:10" s="15" customFormat="1" ht="16.5" hidden="1" customHeight="1" outlineLevel="1" x14ac:dyDescent="0.25">
      <c r="A5358" s="18">
        <v>3145</v>
      </c>
      <c r="B5358" s="4" t="s">
        <v>43</v>
      </c>
      <c r="C5358" s="38" t="s">
        <v>3500</v>
      </c>
      <c r="D5358" s="18">
        <v>2022</v>
      </c>
      <c r="E5358" s="18" t="s">
        <v>0</v>
      </c>
      <c r="F5358" s="4">
        <v>1</v>
      </c>
      <c r="G5358" s="41">
        <v>6</v>
      </c>
      <c r="H5358" s="41">
        <f>0.01011871*(1000)</f>
        <v>10.11871</v>
      </c>
      <c r="I5358" s="221"/>
      <c r="J5358" s="221"/>
    </row>
    <row r="5359" spans="1:10" s="15" customFormat="1" ht="16.5" hidden="1" customHeight="1" outlineLevel="1" x14ac:dyDescent="0.25">
      <c r="A5359" s="18">
        <v>3153</v>
      </c>
      <c r="B5359" s="4" t="s">
        <v>43</v>
      </c>
      <c r="C5359" s="38" t="s">
        <v>3501</v>
      </c>
      <c r="D5359" s="18">
        <v>2022</v>
      </c>
      <c r="E5359" s="18" t="s">
        <v>0</v>
      </c>
      <c r="F5359" s="4">
        <v>1</v>
      </c>
      <c r="G5359" s="41">
        <v>6</v>
      </c>
      <c r="H5359" s="41">
        <f>0.01011871*(1000)</f>
        <v>10.11871</v>
      </c>
      <c r="I5359" s="221"/>
      <c r="J5359" s="221"/>
    </row>
    <row r="5360" spans="1:10" s="15" customFormat="1" ht="16.5" hidden="1" customHeight="1" outlineLevel="1" x14ac:dyDescent="0.25">
      <c r="A5360" s="18">
        <v>3156</v>
      </c>
      <c r="B5360" s="4" t="s">
        <v>43</v>
      </c>
      <c r="C5360" s="38" t="s">
        <v>3502</v>
      </c>
      <c r="D5360" s="18">
        <v>2022</v>
      </c>
      <c r="E5360" s="18" t="s">
        <v>0</v>
      </c>
      <c r="F5360" s="4">
        <v>1</v>
      </c>
      <c r="G5360" s="41">
        <v>5</v>
      </c>
      <c r="H5360" s="41">
        <f>0.01011752*(1000)</f>
        <v>10.117519999999999</v>
      </c>
      <c r="I5360" s="221"/>
      <c r="J5360" s="221"/>
    </row>
    <row r="5361" spans="1:10" s="15" customFormat="1" ht="16.5" hidden="1" customHeight="1" outlineLevel="1" x14ac:dyDescent="0.25">
      <c r="A5361" s="18">
        <v>3158</v>
      </c>
      <c r="B5361" s="4" t="s">
        <v>43</v>
      </c>
      <c r="C5361" s="38" t="s">
        <v>3503</v>
      </c>
      <c r="D5361" s="18">
        <v>2022</v>
      </c>
      <c r="E5361" s="18" t="s">
        <v>0</v>
      </c>
      <c r="F5361" s="4">
        <v>1</v>
      </c>
      <c r="G5361" s="41">
        <v>10</v>
      </c>
      <c r="H5361" s="41">
        <f>0.01026643*(1000)</f>
        <v>10.26643</v>
      </c>
      <c r="I5361" s="221"/>
      <c r="J5361" s="221"/>
    </row>
    <row r="5362" spans="1:10" s="15" customFormat="1" ht="16.5" hidden="1" customHeight="1" outlineLevel="1" x14ac:dyDescent="0.25">
      <c r="A5362" s="18">
        <v>3159</v>
      </c>
      <c r="B5362" s="4" t="s">
        <v>43</v>
      </c>
      <c r="C5362" s="38" t="s">
        <v>3504</v>
      </c>
      <c r="D5362" s="18">
        <v>2022</v>
      </c>
      <c r="E5362" s="18" t="s">
        <v>0</v>
      </c>
      <c r="F5362" s="4">
        <v>3</v>
      </c>
      <c r="G5362" s="41">
        <v>30</v>
      </c>
      <c r="H5362" s="41">
        <f>0.03072011*(1000)</f>
        <v>30.720109999999998</v>
      </c>
      <c r="I5362" s="221"/>
      <c r="J5362" s="221"/>
    </row>
    <row r="5363" spans="1:10" s="15" customFormat="1" ht="16.5" hidden="1" customHeight="1" outlineLevel="1" x14ac:dyDescent="0.25">
      <c r="A5363" s="18">
        <v>3161</v>
      </c>
      <c r="B5363" s="4" t="s">
        <v>43</v>
      </c>
      <c r="C5363" s="38" t="s">
        <v>3505</v>
      </c>
      <c r="D5363" s="18">
        <v>2022</v>
      </c>
      <c r="E5363" s="18" t="s">
        <v>0</v>
      </c>
      <c r="F5363" s="4">
        <v>1</v>
      </c>
      <c r="G5363" s="41">
        <v>10</v>
      </c>
      <c r="H5363" s="41">
        <f>0.01777905*(1000)</f>
        <v>17.779050000000002</v>
      </c>
      <c r="I5363" s="221"/>
      <c r="J5363" s="221"/>
    </row>
    <row r="5364" spans="1:10" s="15" customFormat="1" ht="16.5" hidden="1" customHeight="1" outlineLevel="1" x14ac:dyDescent="0.25">
      <c r="A5364" s="18">
        <v>3165</v>
      </c>
      <c r="B5364" s="4" t="s">
        <v>43</v>
      </c>
      <c r="C5364" s="38" t="s">
        <v>3506</v>
      </c>
      <c r="D5364" s="18">
        <v>2022</v>
      </c>
      <c r="E5364" s="18" t="s">
        <v>0</v>
      </c>
      <c r="F5364" s="4">
        <v>4</v>
      </c>
      <c r="G5364" s="41">
        <v>44</v>
      </c>
      <c r="H5364" s="41">
        <f>0.04076683*(1000)</f>
        <v>40.766829999999999</v>
      </c>
      <c r="I5364" s="221"/>
      <c r="J5364" s="221"/>
    </row>
    <row r="5365" spans="1:10" s="15" customFormat="1" ht="16.5" hidden="1" customHeight="1" outlineLevel="1" x14ac:dyDescent="0.25">
      <c r="A5365" s="18">
        <v>3185</v>
      </c>
      <c r="B5365" s="4" t="s">
        <v>43</v>
      </c>
      <c r="C5365" s="38" t="s">
        <v>3507</v>
      </c>
      <c r="D5365" s="18">
        <v>2022</v>
      </c>
      <c r="E5365" s="18" t="s">
        <v>0</v>
      </c>
      <c r="F5365" s="4">
        <v>3</v>
      </c>
      <c r="G5365" s="41">
        <v>30</v>
      </c>
      <c r="H5365" s="41">
        <f>0.04632445*(1000)</f>
        <v>46.324450000000006</v>
      </c>
      <c r="I5365" s="221"/>
      <c r="J5365" s="221"/>
    </row>
    <row r="5366" spans="1:10" s="15" customFormat="1" ht="16.5" hidden="1" customHeight="1" outlineLevel="1" x14ac:dyDescent="0.25">
      <c r="A5366" s="18">
        <v>3193</v>
      </c>
      <c r="B5366" s="4" t="s">
        <v>43</v>
      </c>
      <c r="C5366" s="38" t="s">
        <v>3508</v>
      </c>
      <c r="D5366" s="18">
        <v>2022</v>
      </c>
      <c r="E5366" s="18" t="s">
        <v>0</v>
      </c>
      <c r="F5366" s="4">
        <v>1</v>
      </c>
      <c r="G5366" s="41">
        <v>10</v>
      </c>
      <c r="H5366" s="41">
        <f>0.01092855*(1000)</f>
        <v>10.92855</v>
      </c>
      <c r="I5366" s="221"/>
      <c r="J5366" s="221"/>
    </row>
    <row r="5367" spans="1:10" s="15" customFormat="1" ht="16.5" hidden="1" customHeight="1" outlineLevel="1" x14ac:dyDescent="0.25">
      <c r="A5367" s="18">
        <v>3197</v>
      </c>
      <c r="B5367" s="4" t="s">
        <v>43</v>
      </c>
      <c r="C5367" s="38" t="s">
        <v>3509</v>
      </c>
      <c r="D5367" s="18">
        <v>2022</v>
      </c>
      <c r="E5367" s="18" t="s">
        <v>0</v>
      </c>
      <c r="F5367" s="4">
        <v>3</v>
      </c>
      <c r="G5367" s="41">
        <v>30</v>
      </c>
      <c r="H5367" s="41">
        <f>0.0312199*(1000)</f>
        <v>31.219899999999999</v>
      </c>
      <c r="I5367" s="221"/>
      <c r="J5367" s="221"/>
    </row>
    <row r="5368" spans="1:10" s="15" customFormat="1" ht="16.5" hidden="1" customHeight="1" outlineLevel="1" x14ac:dyDescent="0.25">
      <c r="A5368" s="18">
        <v>3198</v>
      </c>
      <c r="B5368" s="4" t="s">
        <v>43</v>
      </c>
      <c r="C5368" s="38" t="s">
        <v>3510</v>
      </c>
      <c r="D5368" s="18">
        <v>2022</v>
      </c>
      <c r="E5368" s="18" t="s">
        <v>0</v>
      </c>
      <c r="F5368" s="4">
        <v>1</v>
      </c>
      <c r="G5368" s="41">
        <v>10</v>
      </c>
      <c r="H5368" s="41">
        <f>0.00970572*(1000)</f>
        <v>9.7057199999999995</v>
      </c>
      <c r="I5368" s="221"/>
      <c r="J5368" s="221"/>
    </row>
    <row r="5369" spans="1:10" s="15" customFormat="1" ht="16.5" hidden="1" customHeight="1" outlineLevel="1" x14ac:dyDescent="0.25">
      <c r="A5369" s="18">
        <v>3202</v>
      </c>
      <c r="B5369" s="4" t="s">
        <v>43</v>
      </c>
      <c r="C5369" s="38" t="s">
        <v>3511</v>
      </c>
      <c r="D5369" s="18">
        <v>2022</v>
      </c>
      <c r="E5369" s="18" t="s">
        <v>0</v>
      </c>
      <c r="F5369" s="4">
        <v>1</v>
      </c>
      <c r="G5369" s="41">
        <v>10</v>
      </c>
      <c r="H5369" s="41">
        <f t="shared" ref="H5369:H5374" si="5">0.00969518*(1000)</f>
        <v>9.6951799999999988</v>
      </c>
      <c r="I5369" s="221"/>
      <c r="J5369" s="221"/>
    </row>
    <row r="5370" spans="1:10" s="15" customFormat="1" ht="16.5" hidden="1" customHeight="1" outlineLevel="1" x14ac:dyDescent="0.25">
      <c r="A5370" s="18">
        <v>3206</v>
      </c>
      <c r="B5370" s="4" t="s">
        <v>43</v>
      </c>
      <c r="C5370" s="38" t="s">
        <v>3512</v>
      </c>
      <c r="D5370" s="18">
        <v>2022</v>
      </c>
      <c r="E5370" s="18" t="s">
        <v>0</v>
      </c>
      <c r="F5370" s="4">
        <v>1</v>
      </c>
      <c r="G5370" s="41">
        <v>10</v>
      </c>
      <c r="H5370" s="41">
        <f t="shared" si="5"/>
        <v>9.6951799999999988</v>
      </c>
      <c r="I5370" s="221"/>
      <c r="J5370" s="221"/>
    </row>
    <row r="5371" spans="1:10" s="15" customFormat="1" ht="16.5" hidden="1" customHeight="1" outlineLevel="1" x14ac:dyDescent="0.25">
      <c r="A5371" s="18">
        <v>3207</v>
      </c>
      <c r="B5371" s="4" t="s">
        <v>43</v>
      </c>
      <c r="C5371" s="38" t="s">
        <v>3513</v>
      </c>
      <c r="D5371" s="18">
        <v>2022</v>
      </c>
      <c r="E5371" s="18" t="s">
        <v>0</v>
      </c>
      <c r="F5371" s="4">
        <v>1</v>
      </c>
      <c r="G5371" s="41">
        <v>10</v>
      </c>
      <c r="H5371" s="41">
        <f t="shared" si="5"/>
        <v>9.6951799999999988</v>
      </c>
      <c r="I5371" s="221"/>
      <c r="J5371" s="221"/>
    </row>
    <row r="5372" spans="1:10" s="15" customFormat="1" ht="16.5" hidden="1" customHeight="1" outlineLevel="1" x14ac:dyDescent="0.25">
      <c r="A5372" s="18">
        <v>3211</v>
      </c>
      <c r="B5372" s="4" t="s">
        <v>43</v>
      </c>
      <c r="C5372" s="38" t="s">
        <v>3514</v>
      </c>
      <c r="D5372" s="18">
        <v>2022</v>
      </c>
      <c r="E5372" s="18" t="s">
        <v>0</v>
      </c>
      <c r="F5372" s="4">
        <v>1</v>
      </c>
      <c r="G5372" s="41">
        <v>10</v>
      </c>
      <c r="H5372" s="41">
        <f t="shared" si="5"/>
        <v>9.6951799999999988</v>
      </c>
      <c r="I5372" s="221"/>
      <c r="J5372" s="221"/>
    </row>
    <row r="5373" spans="1:10" s="15" customFormat="1" ht="16.5" hidden="1" customHeight="1" outlineLevel="1" x14ac:dyDescent="0.25">
      <c r="A5373" s="18">
        <v>3216</v>
      </c>
      <c r="B5373" s="4" t="s">
        <v>43</v>
      </c>
      <c r="C5373" s="38" t="s">
        <v>3515</v>
      </c>
      <c r="D5373" s="18">
        <v>2022</v>
      </c>
      <c r="E5373" s="18" t="s">
        <v>0</v>
      </c>
      <c r="F5373" s="4">
        <v>1</v>
      </c>
      <c r="G5373" s="41">
        <v>10</v>
      </c>
      <c r="H5373" s="41">
        <f t="shared" si="5"/>
        <v>9.6951799999999988</v>
      </c>
      <c r="I5373" s="221"/>
      <c r="J5373" s="221"/>
    </row>
    <row r="5374" spans="1:10" s="15" customFormat="1" ht="16.5" hidden="1" customHeight="1" outlineLevel="1" x14ac:dyDescent="0.25">
      <c r="A5374" s="18">
        <v>3217</v>
      </c>
      <c r="B5374" s="4" t="s">
        <v>43</v>
      </c>
      <c r="C5374" s="38" t="s">
        <v>3516</v>
      </c>
      <c r="D5374" s="18">
        <v>2022</v>
      </c>
      <c r="E5374" s="18" t="s">
        <v>0</v>
      </c>
      <c r="F5374" s="4">
        <v>1</v>
      </c>
      <c r="G5374" s="41">
        <v>10</v>
      </c>
      <c r="H5374" s="41">
        <f t="shared" si="5"/>
        <v>9.6951799999999988</v>
      </c>
      <c r="I5374" s="221"/>
      <c r="J5374" s="221"/>
    </row>
    <row r="5375" spans="1:10" s="15" customFormat="1" ht="16.5" hidden="1" customHeight="1" outlineLevel="1" x14ac:dyDescent="0.25">
      <c r="A5375" s="18">
        <v>3220</v>
      </c>
      <c r="B5375" s="4" t="s">
        <v>43</v>
      </c>
      <c r="C5375" s="38" t="s">
        <v>3517</v>
      </c>
      <c r="D5375" s="18">
        <v>2022</v>
      </c>
      <c r="E5375" s="18" t="s">
        <v>0</v>
      </c>
      <c r="F5375" s="4">
        <v>1</v>
      </c>
      <c r="G5375" s="41">
        <v>10</v>
      </c>
      <c r="H5375" s="41">
        <f>0.00971642*(1000)</f>
        <v>9.7164199999999994</v>
      </c>
      <c r="I5375" s="221"/>
      <c r="J5375" s="221"/>
    </row>
    <row r="5376" spans="1:10" s="15" customFormat="1" ht="16.5" hidden="1" customHeight="1" outlineLevel="1" x14ac:dyDescent="0.25">
      <c r="A5376" s="18">
        <v>3222</v>
      </c>
      <c r="B5376" s="4" t="s">
        <v>43</v>
      </c>
      <c r="C5376" s="38" t="s">
        <v>3518</v>
      </c>
      <c r="D5376" s="18">
        <v>2022</v>
      </c>
      <c r="E5376" s="18" t="s">
        <v>0</v>
      </c>
      <c r="F5376" s="4">
        <v>1</v>
      </c>
      <c r="G5376" s="41">
        <v>10</v>
      </c>
      <c r="H5376" s="41">
        <f>0.00971642*(1000)</f>
        <v>9.7164199999999994</v>
      </c>
      <c r="I5376" s="221"/>
      <c r="J5376" s="221"/>
    </row>
    <row r="5377" spans="1:10" s="15" customFormat="1" ht="16.5" hidden="1" customHeight="1" outlineLevel="1" x14ac:dyDescent="0.25">
      <c r="A5377" s="18">
        <v>3225</v>
      </c>
      <c r="B5377" s="4" t="s">
        <v>43</v>
      </c>
      <c r="C5377" s="38" t="s">
        <v>3519</v>
      </c>
      <c r="D5377" s="18">
        <v>2022</v>
      </c>
      <c r="E5377" s="18" t="s">
        <v>0</v>
      </c>
      <c r="F5377" s="4">
        <v>1</v>
      </c>
      <c r="G5377" s="41">
        <v>10</v>
      </c>
      <c r="H5377" s="41">
        <f>0.00971642*(1000)</f>
        <v>9.7164199999999994</v>
      </c>
      <c r="I5377" s="221"/>
      <c r="J5377" s="221"/>
    </row>
    <row r="5378" spans="1:10" s="15" customFormat="1" ht="16.5" hidden="1" customHeight="1" outlineLevel="1" x14ac:dyDescent="0.25">
      <c r="A5378" s="18">
        <v>3227</v>
      </c>
      <c r="B5378" s="4" t="s">
        <v>43</v>
      </c>
      <c r="C5378" s="38" t="s">
        <v>3520</v>
      </c>
      <c r="D5378" s="18">
        <v>2022</v>
      </c>
      <c r="E5378" s="18" t="s">
        <v>0</v>
      </c>
      <c r="F5378" s="4">
        <v>1</v>
      </c>
      <c r="G5378" s="41">
        <v>10</v>
      </c>
      <c r="H5378" s="41">
        <f>0.01789794*(1000)</f>
        <v>17.897940000000002</v>
      </c>
      <c r="I5378" s="221"/>
      <c r="J5378" s="221"/>
    </row>
    <row r="5379" spans="1:10" s="15" customFormat="1" ht="16.5" hidden="1" customHeight="1" outlineLevel="1" x14ac:dyDescent="0.25">
      <c r="A5379" s="18">
        <v>3231</v>
      </c>
      <c r="B5379" s="4" t="s">
        <v>43</v>
      </c>
      <c r="C5379" s="38" t="s">
        <v>3521</v>
      </c>
      <c r="D5379" s="18">
        <v>2022</v>
      </c>
      <c r="E5379" s="18" t="s">
        <v>0</v>
      </c>
      <c r="F5379" s="4">
        <v>1</v>
      </c>
      <c r="G5379" s="41">
        <v>10</v>
      </c>
      <c r="H5379" s="41">
        <f>0.00971642*(1000)</f>
        <v>9.7164199999999994</v>
      </c>
      <c r="I5379" s="221"/>
      <c r="J5379" s="221"/>
    </row>
    <row r="5380" spans="1:10" s="15" customFormat="1" ht="16.5" hidden="1" customHeight="1" outlineLevel="1" x14ac:dyDescent="0.25">
      <c r="A5380" s="18">
        <v>3232</v>
      </c>
      <c r="B5380" s="4" t="s">
        <v>43</v>
      </c>
      <c r="C5380" s="38" t="s">
        <v>3522</v>
      </c>
      <c r="D5380" s="18">
        <v>2022</v>
      </c>
      <c r="E5380" s="18" t="s">
        <v>0</v>
      </c>
      <c r="F5380" s="4">
        <v>1</v>
      </c>
      <c r="G5380" s="41">
        <v>10</v>
      </c>
      <c r="H5380" s="41">
        <f>0.00971642*(1000)</f>
        <v>9.7164199999999994</v>
      </c>
      <c r="I5380" s="221"/>
      <c r="J5380" s="221"/>
    </row>
    <row r="5381" spans="1:10" s="15" customFormat="1" ht="16.5" hidden="1" customHeight="1" outlineLevel="1" x14ac:dyDescent="0.25">
      <c r="A5381" s="18">
        <v>3233</v>
      </c>
      <c r="B5381" s="4" t="s">
        <v>43</v>
      </c>
      <c r="C5381" s="38" t="s">
        <v>3523</v>
      </c>
      <c r="D5381" s="18">
        <v>2022</v>
      </c>
      <c r="E5381" s="18" t="s">
        <v>0</v>
      </c>
      <c r="F5381" s="4">
        <v>1</v>
      </c>
      <c r="G5381" s="41">
        <v>10</v>
      </c>
      <c r="H5381" s="41">
        <f>0.00971642*(1000)</f>
        <v>9.7164199999999994</v>
      </c>
      <c r="I5381" s="221"/>
      <c r="J5381" s="221"/>
    </row>
    <row r="5382" spans="1:10" s="15" customFormat="1" ht="16.5" hidden="1" customHeight="1" outlineLevel="1" x14ac:dyDescent="0.25">
      <c r="A5382" s="18">
        <v>3234</v>
      </c>
      <c r="B5382" s="4" t="s">
        <v>43</v>
      </c>
      <c r="C5382" s="38" t="s">
        <v>3524</v>
      </c>
      <c r="D5382" s="18">
        <v>2022</v>
      </c>
      <c r="E5382" s="18" t="s">
        <v>0</v>
      </c>
      <c r="F5382" s="4">
        <v>1</v>
      </c>
      <c r="G5382" s="41">
        <v>10</v>
      </c>
      <c r="H5382" s="41">
        <f>0.00971642*(1000)</f>
        <v>9.7164199999999994</v>
      </c>
      <c r="I5382" s="221"/>
      <c r="J5382" s="221"/>
    </row>
    <row r="5383" spans="1:10" s="15" customFormat="1" ht="16.5" hidden="1" customHeight="1" outlineLevel="1" x14ac:dyDescent="0.25">
      <c r="A5383" s="18">
        <v>3235</v>
      </c>
      <c r="B5383" s="4" t="s">
        <v>43</v>
      </c>
      <c r="C5383" s="38" t="s">
        <v>3525</v>
      </c>
      <c r="D5383" s="18">
        <v>2022</v>
      </c>
      <c r="E5383" s="18" t="s">
        <v>0</v>
      </c>
      <c r="F5383" s="4">
        <v>1</v>
      </c>
      <c r="G5383" s="41">
        <v>5</v>
      </c>
      <c r="H5383" s="41">
        <f>0.00965925*(1000)</f>
        <v>9.6592500000000001</v>
      </c>
      <c r="I5383" s="221"/>
      <c r="J5383" s="221"/>
    </row>
    <row r="5384" spans="1:10" s="15" customFormat="1" ht="16.5" hidden="1" customHeight="1" outlineLevel="1" x14ac:dyDescent="0.25">
      <c r="A5384" s="18">
        <v>3236</v>
      </c>
      <c r="B5384" s="4" t="s">
        <v>43</v>
      </c>
      <c r="C5384" s="38" t="s">
        <v>3526</v>
      </c>
      <c r="D5384" s="18">
        <v>2022</v>
      </c>
      <c r="E5384" s="18" t="s">
        <v>0</v>
      </c>
      <c r="F5384" s="4">
        <v>1</v>
      </c>
      <c r="G5384" s="41">
        <v>5</v>
      </c>
      <c r="H5384" s="41">
        <f>0.01066824*(1000)</f>
        <v>10.668240000000001</v>
      </c>
      <c r="I5384" s="221"/>
      <c r="J5384" s="221"/>
    </row>
    <row r="5385" spans="1:10" s="15" customFormat="1" ht="16.5" hidden="1" customHeight="1" outlineLevel="1" x14ac:dyDescent="0.25">
      <c r="A5385" s="18">
        <v>3238</v>
      </c>
      <c r="B5385" s="4" t="s">
        <v>43</v>
      </c>
      <c r="C5385" s="38" t="s">
        <v>3527</v>
      </c>
      <c r="D5385" s="18">
        <v>2022</v>
      </c>
      <c r="E5385" s="18" t="s">
        <v>0</v>
      </c>
      <c r="F5385" s="4">
        <v>1</v>
      </c>
      <c r="G5385" s="41">
        <v>10</v>
      </c>
      <c r="H5385" s="41">
        <f>0.00971642*(1000)</f>
        <v>9.7164199999999994</v>
      </c>
      <c r="I5385" s="221"/>
      <c r="J5385" s="221"/>
    </row>
    <row r="5386" spans="1:10" s="15" customFormat="1" ht="16.5" hidden="1" customHeight="1" outlineLevel="1" x14ac:dyDescent="0.25">
      <c r="A5386" s="18">
        <v>3239</v>
      </c>
      <c r="B5386" s="4" t="s">
        <v>43</v>
      </c>
      <c r="C5386" s="38" t="s">
        <v>3528</v>
      </c>
      <c r="D5386" s="18">
        <v>2022</v>
      </c>
      <c r="E5386" s="18" t="s">
        <v>0</v>
      </c>
      <c r="F5386" s="4">
        <v>1</v>
      </c>
      <c r="G5386" s="41">
        <v>11</v>
      </c>
      <c r="H5386" s="41">
        <f>0.00971642*(1000)</f>
        <v>9.7164199999999994</v>
      </c>
      <c r="I5386" s="221"/>
      <c r="J5386" s="221"/>
    </row>
    <row r="5387" spans="1:10" s="15" customFormat="1" ht="16.5" hidden="1" customHeight="1" outlineLevel="1" x14ac:dyDescent="0.25">
      <c r="A5387" s="18">
        <v>3244</v>
      </c>
      <c r="B5387" s="4" t="s">
        <v>43</v>
      </c>
      <c r="C5387" s="38" t="s">
        <v>3529</v>
      </c>
      <c r="D5387" s="18">
        <v>2022</v>
      </c>
      <c r="E5387" s="18" t="s">
        <v>0</v>
      </c>
      <c r="F5387" s="4">
        <v>1</v>
      </c>
      <c r="G5387" s="41">
        <v>10</v>
      </c>
      <c r="H5387" s="41">
        <f>0.00971641*(1000)</f>
        <v>9.7164099999999998</v>
      </c>
      <c r="I5387" s="221"/>
      <c r="J5387" s="221"/>
    </row>
    <row r="5388" spans="1:10" s="15" customFormat="1" ht="16.5" hidden="1" customHeight="1" outlineLevel="1" x14ac:dyDescent="0.25">
      <c r="A5388" s="18">
        <v>3245</v>
      </c>
      <c r="B5388" s="4" t="s">
        <v>43</v>
      </c>
      <c r="C5388" s="38" t="s">
        <v>3530</v>
      </c>
      <c r="D5388" s="18">
        <v>2022</v>
      </c>
      <c r="E5388" s="18" t="s">
        <v>0</v>
      </c>
      <c r="F5388" s="4">
        <v>1</v>
      </c>
      <c r="G5388" s="41">
        <v>10</v>
      </c>
      <c r="H5388" s="41">
        <f>0.00971642*(1000)</f>
        <v>9.7164199999999994</v>
      </c>
      <c r="I5388" s="221"/>
      <c r="J5388" s="221"/>
    </row>
    <row r="5389" spans="1:10" s="15" customFormat="1" ht="16.5" hidden="1" customHeight="1" outlineLevel="1" x14ac:dyDescent="0.25">
      <c r="A5389" s="18">
        <v>3246</v>
      </c>
      <c r="B5389" s="4" t="s">
        <v>43</v>
      </c>
      <c r="C5389" s="38" t="s">
        <v>3531</v>
      </c>
      <c r="D5389" s="18">
        <v>2022</v>
      </c>
      <c r="E5389" s="18" t="s">
        <v>0</v>
      </c>
      <c r="F5389" s="4">
        <v>1</v>
      </c>
      <c r="G5389" s="41">
        <v>10</v>
      </c>
      <c r="H5389" s="41">
        <f>0.00971641*(1000)</f>
        <v>9.7164099999999998</v>
      </c>
      <c r="I5389" s="221"/>
      <c r="J5389" s="221"/>
    </row>
    <row r="5390" spans="1:10" s="15" customFormat="1" ht="16.5" hidden="1" customHeight="1" outlineLevel="1" x14ac:dyDescent="0.25">
      <c r="A5390" s="18">
        <v>3247</v>
      </c>
      <c r="B5390" s="4" t="s">
        <v>43</v>
      </c>
      <c r="C5390" s="38" t="s">
        <v>3532</v>
      </c>
      <c r="D5390" s="18">
        <v>2022</v>
      </c>
      <c r="E5390" s="18" t="s">
        <v>0</v>
      </c>
      <c r="F5390" s="4">
        <v>1</v>
      </c>
      <c r="G5390" s="41">
        <v>10</v>
      </c>
      <c r="H5390" s="41">
        <f>0.00971642*(1000)</f>
        <v>9.7164199999999994</v>
      </c>
      <c r="I5390" s="221"/>
      <c r="J5390" s="221"/>
    </row>
    <row r="5391" spans="1:10" s="15" customFormat="1" ht="16.5" hidden="1" customHeight="1" outlineLevel="1" x14ac:dyDescent="0.25">
      <c r="A5391" s="18">
        <v>3250</v>
      </c>
      <c r="B5391" s="4" t="s">
        <v>43</v>
      </c>
      <c r="C5391" s="38" t="s">
        <v>3533</v>
      </c>
      <c r="D5391" s="18">
        <v>2022</v>
      </c>
      <c r="E5391" s="18" t="s">
        <v>0</v>
      </c>
      <c r="F5391" s="4">
        <v>1</v>
      </c>
      <c r="G5391" s="41">
        <v>10</v>
      </c>
      <c r="H5391" s="41">
        <f>0.00971641*(1000)</f>
        <v>9.7164099999999998</v>
      </c>
      <c r="I5391" s="221"/>
      <c r="J5391" s="221"/>
    </row>
    <row r="5392" spans="1:10" s="15" customFormat="1" ht="16.5" hidden="1" customHeight="1" outlineLevel="1" x14ac:dyDescent="0.25">
      <c r="A5392" s="18">
        <v>3252</v>
      </c>
      <c r="B5392" s="4" t="s">
        <v>43</v>
      </c>
      <c r="C5392" s="38" t="s">
        <v>3534</v>
      </c>
      <c r="D5392" s="18">
        <v>2022</v>
      </c>
      <c r="E5392" s="18" t="s">
        <v>0</v>
      </c>
      <c r="F5392" s="4">
        <v>1</v>
      </c>
      <c r="G5392" s="41">
        <v>10</v>
      </c>
      <c r="H5392" s="41">
        <f>0.00971641*(1000)</f>
        <v>9.7164099999999998</v>
      </c>
      <c r="I5392" s="221"/>
      <c r="J5392" s="221"/>
    </row>
    <row r="5393" spans="1:10" s="15" customFormat="1" ht="16.5" hidden="1" customHeight="1" outlineLevel="1" x14ac:dyDescent="0.25">
      <c r="A5393" s="18">
        <v>3253</v>
      </c>
      <c r="B5393" s="4" t="s">
        <v>43</v>
      </c>
      <c r="C5393" s="38" t="s">
        <v>3535</v>
      </c>
      <c r="D5393" s="18">
        <v>2022</v>
      </c>
      <c r="E5393" s="18" t="s">
        <v>0</v>
      </c>
      <c r="F5393" s="4">
        <v>1</v>
      </c>
      <c r="G5393" s="41">
        <v>10</v>
      </c>
      <c r="H5393" s="41">
        <f>0.00971642*(1000)</f>
        <v>9.7164199999999994</v>
      </c>
      <c r="I5393" s="221"/>
      <c r="J5393" s="221"/>
    </row>
    <row r="5394" spans="1:10" s="15" customFormat="1" ht="16.5" hidden="1" customHeight="1" outlineLevel="1" x14ac:dyDescent="0.25">
      <c r="A5394" s="18">
        <v>3255</v>
      </c>
      <c r="B5394" s="4" t="s">
        <v>43</v>
      </c>
      <c r="C5394" s="38" t="s">
        <v>3536</v>
      </c>
      <c r="D5394" s="18">
        <v>2022</v>
      </c>
      <c r="E5394" s="18" t="s">
        <v>0</v>
      </c>
      <c r="F5394" s="4">
        <v>1</v>
      </c>
      <c r="G5394" s="41">
        <v>10</v>
      </c>
      <c r="H5394" s="41">
        <f>0.00971642*(1000)</f>
        <v>9.7164199999999994</v>
      </c>
      <c r="I5394" s="221"/>
      <c r="J5394" s="221"/>
    </row>
    <row r="5395" spans="1:10" s="15" customFormat="1" ht="16.5" hidden="1" customHeight="1" outlineLevel="1" x14ac:dyDescent="0.25">
      <c r="A5395" s="18">
        <v>3256</v>
      </c>
      <c r="B5395" s="4" t="s">
        <v>43</v>
      </c>
      <c r="C5395" s="38" t="s">
        <v>3537</v>
      </c>
      <c r="D5395" s="18">
        <v>2022</v>
      </c>
      <c r="E5395" s="18" t="s">
        <v>0</v>
      </c>
      <c r="F5395" s="4">
        <v>1</v>
      </c>
      <c r="G5395" s="41">
        <v>10</v>
      </c>
      <c r="H5395" s="41">
        <f>0.00971641*(1000)</f>
        <v>9.7164099999999998</v>
      </c>
      <c r="I5395" s="221"/>
      <c r="J5395" s="221"/>
    </row>
    <row r="5396" spans="1:10" s="15" customFormat="1" ht="16.5" hidden="1" customHeight="1" outlineLevel="1" x14ac:dyDescent="0.25">
      <c r="A5396" s="18">
        <v>3260</v>
      </c>
      <c r="B5396" s="4" t="s">
        <v>43</v>
      </c>
      <c r="C5396" s="38" t="s">
        <v>3538</v>
      </c>
      <c r="D5396" s="18">
        <v>2022</v>
      </c>
      <c r="E5396" s="18" t="s">
        <v>0</v>
      </c>
      <c r="F5396" s="4">
        <v>1</v>
      </c>
      <c r="G5396" s="41">
        <v>10</v>
      </c>
      <c r="H5396" s="41">
        <f>0.00971641*(1000)</f>
        <v>9.7164099999999998</v>
      </c>
      <c r="I5396" s="221"/>
      <c r="J5396" s="221"/>
    </row>
    <row r="5397" spans="1:10" s="15" customFormat="1" ht="16.5" hidden="1" customHeight="1" outlineLevel="1" x14ac:dyDescent="0.25">
      <c r="A5397" s="18">
        <v>3263</v>
      </c>
      <c r="B5397" s="4" t="s">
        <v>43</v>
      </c>
      <c r="C5397" s="38" t="s">
        <v>3539</v>
      </c>
      <c r="D5397" s="18">
        <v>2022</v>
      </c>
      <c r="E5397" s="18" t="s">
        <v>0</v>
      </c>
      <c r="F5397" s="4">
        <v>1</v>
      </c>
      <c r="G5397" s="41">
        <v>10</v>
      </c>
      <c r="H5397" s="41">
        <f>0.00971642*(1000)</f>
        <v>9.7164199999999994</v>
      </c>
      <c r="I5397" s="221"/>
      <c r="J5397" s="221"/>
    </row>
    <row r="5398" spans="1:10" s="15" customFormat="1" ht="16.5" hidden="1" customHeight="1" outlineLevel="1" x14ac:dyDescent="0.25">
      <c r="A5398" s="18">
        <v>3264</v>
      </c>
      <c r="B5398" s="4" t="s">
        <v>43</v>
      </c>
      <c r="C5398" s="38" t="s">
        <v>3540</v>
      </c>
      <c r="D5398" s="18">
        <v>2022</v>
      </c>
      <c r="E5398" s="18" t="s">
        <v>0</v>
      </c>
      <c r="F5398" s="4">
        <v>1</v>
      </c>
      <c r="G5398" s="41">
        <v>10</v>
      </c>
      <c r="H5398" s="41">
        <f>0.01789793*(1000)</f>
        <v>17.897929999999999</v>
      </c>
      <c r="I5398" s="221"/>
      <c r="J5398" s="221"/>
    </row>
    <row r="5399" spans="1:10" s="15" customFormat="1" ht="16.5" hidden="1" customHeight="1" outlineLevel="1" x14ac:dyDescent="0.25">
      <c r="A5399" s="18">
        <v>3267</v>
      </c>
      <c r="B5399" s="4" t="s">
        <v>43</v>
      </c>
      <c r="C5399" s="38" t="s">
        <v>3541</v>
      </c>
      <c r="D5399" s="18">
        <v>2022</v>
      </c>
      <c r="E5399" s="18" t="s">
        <v>0</v>
      </c>
      <c r="F5399" s="4">
        <v>1</v>
      </c>
      <c r="G5399" s="41">
        <v>10</v>
      </c>
      <c r="H5399" s="41">
        <f>0.00971642*(1000)</f>
        <v>9.7164199999999994</v>
      </c>
      <c r="I5399" s="221"/>
      <c r="J5399" s="221"/>
    </row>
    <row r="5400" spans="1:10" s="15" customFormat="1" ht="16.5" hidden="1" customHeight="1" outlineLevel="1" x14ac:dyDescent="0.25">
      <c r="A5400" s="18">
        <v>3268</v>
      </c>
      <c r="B5400" s="4" t="s">
        <v>43</v>
      </c>
      <c r="C5400" s="38" t="s">
        <v>3542</v>
      </c>
      <c r="D5400" s="18">
        <v>2022</v>
      </c>
      <c r="E5400" s="18" t="s">
        <v>0</v>
      </c>
      <c r="F5400" s="4">
        <v>1</v>
      </c>
      <c r="G5400" s="41">
        <v>15</v>
      </c>
      <c r="H5400" s="41">
        <f>0.01088753*(1000)</f>
        <v>10.88753</v>
      </c>
      <c r="I5400" s="221"/>
      <c r="J5400" s="221"/>
    </row>
    <row r="5401" spans="1:10" s="15" customFormat="1" ht="16.5" hidden="1" customHeight="1" outlineLevel="1" x14ac:dyDescent="0.25">
      <c r="A5401" s="18">
        <v>3272</v>
      </c>
      <c r="B5401" s="4" t="s">
        <v>43</v>
      </c>
      <c r="C5401" s="38" t="s">
        <v>3543</v>
      </c>
      <c r="D5401" s="18">
        <v>2022</v>
      </c>
      <c r="E5401" s="18" t="s">
        <v>0</v>
      </c>
      <c r="F5401" s="4">
        <v>1</v>
      </c>
      <c r="G5401" s="41">
        <v>10</v>
      </c>
      <c r="H5401" s="41">
        <f>0.01031901*(1000)</f>
        <v>10.31901</v>
      </c>
      <c r="I5401" s="221"/>
      <c r="J5401" s="221"/>
    </row>
    <row r="5402" spans="1:10" s="15" customFormat="1" ht="16.5" hidden="1" customHeight="1" outlineLevel="1" x14ac:dyDescent="0.25">
      <c r="A5402" s="18">
        <v>3273</v>
      </c>
      <c r="B5402" s="4" t="s">
        <v>43</v>
      </c>
      <c r="C5402" s="38" t="s">
        <v>3544</v>
      </c>
      <c r="D5402" s="18">
        <v>2022</v>
      </c>
      <c r="E5402" s="18" t="s">
        <v>0</v>
      </c>
      <c r="F5402" s="4">
        <v>1</v>
      </c>
      <c r="G5402" s="41">
        <v>10</v>
      </c>
      <c r="H5402" s="41">
        <f>0.01031901*(1000)</f>
        <v>10.31901</v>
      </c>
      <c r="I5402" s="221"/>
      <c r="J5402" s="221"/>
    </row>
    <row r="5403" spans="1:10" s="15" customFormat="1" ht="16.5" hidden="1" customHeight="1" outlineLevel="1" x14ac:dyDescent="0.25">
      <c r="A5403" s="18">
        <v>3274</v>
      </c>
      <c r="B5403" s="4" t="s">
        <v>43</v>
      </c>
      <c r="C5403" s="38" t="s">
        <v>3545</v>
      </c>
      <c r="D5403" s="18">
        <v>2022</v>
      </c>
      <c r="E5403" s="18" t="s">
        <v>0</v>
      </c>
      <c r="F5403" s="4">
        <v>1</v>
      </c>
      <c r="G5403" s="41">
        <v>10</v>
      </c>
      <c r="H5403" s="41">
        <f>0.01047567*(1000)</f>
        <v>10.475669999999999</v>
      </c>
      <c r="I5403" s="221"/>
      <c r="J5403" s="221"/>
    </row>
    <row r="5404" spans="1:10" s="15" customFormat="1" ht="16.5" hidden="1" customHeight="1" outlineLevel="1" x14ac:dyDescent="0.25">
      <c r="A5404" s="18">
        <v>3276</v>
      </c>
      <c r="B5404" s="4" t="s">
        <v>43</v>
      </c>
      <c r="C5404" s="38" t="s">
        <v>3546</v>
      </c>
      <c r="D5404" s="18">
        <v>2022</v>
      </c>
      <c r="E5404" s="18" t="s">
        <v>0</v>
      </c>
      <c r="F5404" s="4">
        <v>1</v>
      </c>
      <c r="G5404" s="41">
        <v>11</v>
      </c>
      <c r="H5404" s="41">
        <f>0.01047566*(1000)</f>
        <v>10.47566</v>
      </c>
      <c r="I5404" s="221"/>
      <c r="J5404" s="221"/>
    </row>
    <row r="5405" spans="1:10" s="15" customFormat="1" ht="16.5" hidden="1" customHeight="1" outlineLevel="1" x14ac:dyDescent="0.25">
      <c r="A5405" s="18">
        <v>3279</v>
      </c>
      <c r="B5405" s="4" t="s">
        <v>43</v>
      </c>
      <c r="C5405" s="38" t="s">
        <v>3547</v>
      </c>
      <c r="D5405" s="18">
        <v>2022</v>
      </c>
      <c r="E5405" s="18" t="s">
        <v>0</v>
      </c>
      <c r="F5405" s="4">
        <v>1</v>
      </c>
      <c r="G5405" s="41">
        <v>10</v>
      </c>
      <c r="H5405" s="41">
        <f>0.01047569*(1000)</f>
        <v>10.47569</v>
      </c>
      <c r="I5405" s="221"/>
      <c r="J5405" s="221"/>
    </row>
    <row r="5406" spans="1:10" s="15" customFormat="1" ht="16.5" hidden="1" customHeight="1" outlineLevel="1" x14ac:dyDescent="0.25">
      <c r="A5406" s="18">
        <v>3280</v>
      </c>
      <c r="B5406" s="4" t="s">
        <v>43</v>
      </c>
      <c r="C5406" s="38" t="s">
        <v>3548</v>
      </c>
      <c r="D5406" s="18">
        <v>2022</v>
      </c>
      <c r="E5406" s="18" t="s">
        <v>0</v>
      </c>
      <c r="F5406" s="4">
        <v>1</v>
      </c>
      <c r="G5406" s="41">
        <v>10</v>
      </c>
      <c r="H5406" s="41">
        <f>0.01865717*(1000)</f>
        <v>18.657170000000001</v>
      </c>
      <c r="I5406" s="221"/>
      <c r="J5406" s="221"/>
    </row>
    <row r="5407" spans="1:10" s="15" customFormat="1" ht="16.5" hidden="1" customHeight="1" outlineLevel="1" x14ac:dyDescent="0.25">
      <c r="A5407" s="18">
        <v>3281</v>
      </c>
      <c r="B5407" s="4" t="s">
        <v>43</v>
      </c>
      <c r="C5407" s="38" t="s">
        <v>3549</v>
      </c>
      <c r="D5407" s="18">
        <v>2022</v>
      </c>
      <c r="E5407" s="18" t="s">
        <v>0</v>
      </c>
      <c r="F5407" s="4">
        <v>1</v>
      </c>
      <c r="G5407" s="41">
        <v>15</v>
      </c>
      <c r="H5407" s="41">
        <f>0.00971642*(1000)</f>
        <v>9.7164199999999994</v>
      </c>
      <c r="I5407" s="221"/>
      <c r="J5407" s="221"/>
    </row>
    <row r="5408" spans="1:10" s="15" customFormat="1" ht="16.5" hidden="1" customHeight="1" outlineLevel="1" x14ac:dyDescent="0.25">
      <c r="A5408" s="18">
        <v>3283</v>
      </c>
      <c r="B5408" s="4" t="s">
        <v>43</v>
      </c>
      <c r="C5408" s="38" t="s">
        <v>3550</v>
      </c>
      <c r="D5408" s="18">
        <v>2022</v>
      </c>
      <c r="E5408" s="18" t="s">
        <v>0</v>
      </c>
      <c r="F5408" s="4">
        <v>1</v>
      </c>
      <c r="G5408" s="41">
        <v>10</v>
      </c>
      <c r="H5408" s="41">
        <f>0.00971642*(1000)</f>
        <v>9.7164199999999994</v>
      </c>
      <c r="I5408" s="221"/>
      <c r="J5408" s="221"/>
    </row>
    <row r="5409" spans="1:10" s="15" customFormat="1" ht="16.5" hidden="1" customHeight="1" outlineLevel="1" x14ac:dyDescent="0.25">
      <c r="A5409" s="18">
        <v>3285</v>
      </c>
      <c r="B5409" s="4" t="s">
        <v>43</v>
      </c>
      <c r="C5409" s="38" t="s">
        <v>3551</v>
      </c>
      <c r="D5409" s="18">
        <v>2022</v>
      </c>
      <c r="E5409" s="18" t="s">
        <v>0</v>
      </c>
      <c r="F5409" s="4">
        <v>1</v>
      </c>
      <c r="G5409" s="41">
        <v>10</v>
      </c>
      <c r="H5409" s="41">
        <f>0.00971642*(1000)</f>
        <v>9.7164199999999994</v>
      </c>
      <c r="I5409" s="221"/>
      <c r="J5409" s="221"/>
    </row>
    <row r="5410" spans="1:10" s="15" customFormat="1" ht="16.5" hidden="1" customHeight="1" outlineLevel="1" x14ac:dyDescent="0.25">
      <c r="A5410" s="18">
        <v>3289</v>
      </c>
      <c r="B5410" s="4" t="s">
        <v>43</v>
      </c>
      <c r="C5410" s="38" t="s">
        <v>3552</v>
      </c>
      <c r="D5410" s="18">
        <v>2022</v>
      </c>
      <c r="E5410" s="18" t="s">
        <v>0</v>
      </c>
      <c r="F5410" s="4">
        <v>1</v>
      </c>
      <c r="G5410" s="41">
        <v>10</v>
      </c>
      <c r="H5410" s="41">
        <f>0.00971642*(1000)</f>
        <v>9.7164199999999994</v>
      </c>
      <c r="I5410" s="221"/>
      <c r="J5410" s="221"/>
    </row>
    <row r="5411" spans="1:10" s="15" customFormat="1" ht="16.5" hidden="1" customHeight="1" outlineLevel="1" x14ac:dyDescent="0.25">
      <c r="A5411" s="18">
        <v>3290</v>
      </c>
      <c r="B5411" s="4" t="s">
        <v>43</v>
      </c>
      <c r="C5411" s="38" t="s">
        <v>3553</v>
      </c>
      <c r="D5411" s="18">
        <v>2022</v>
      </c>
      <c r="E5411" s="18" t="s">
        <v>0</v>
      </c>
      <c r="F5411" s="4">
        <v>1</v>
      </c>
      <c r="G5411" s="41">
        <v>10</v>
      </c>
      <c r="H5411" s="41">
        <f>0.00971641*(1000)</f>
        <v>9.7164099999999998</v>
      </c>
      <c r="I5411" s="221"/>
      <c r="J5411" s="221"/>
    </row>
    <row r="5412" spans="1:10" s="15" customFormat="1" ht="16.5" hidden="1" customHeight="1" outlineLevel="1" x14ac:dyDescent="0.25">
      <c r="A5412" s="18">
        <v>3291</v>
      </c>
      <c r="B5412" s="4" t="s">
        <v>43</v>
      </c>
      <c r="C5412" s="38" t="s">
        <v>3554</v>
      </c>
      <c r="D5412" s="18">
        <v>2022</v>
      </c>
      <c r="E5412" s="18" t="s">
        <v>0</v>
      </c>
      <c r="F5412" s="4">
        <v>1</v>
      </c>
      <c r="G5412" s="41">
        <v>10</v>
      </c>
      <c r="H5412" s="41">
        <f>0.01021683*(1000)</f>
        <v>10.21683</v>
      </c>
      <c r="I5412" s="221"/>
      <c r="J5412" s="221"/>
    </row>
    <row r="5413" spans="1:10" s="15" customFormat="1" ht="16.5" hidden="1" customHeight="1" outlineLevel="1" x14ac:dyDescent="0.25">
      <c r="A5413" s="18">
        <v>3292</v>
      </c>
      <c r="B5413" s="4" t="s">
        <v>43</v>
      </c>
      <c r="C5413" s="38" t="s">
        <v>3555</v>
      </c>
      <c r="D5413" s="18">
        <v>2022</v>
      </c>
      <c r="E5413" s="18" t="s">
        <v>0</v>
      </c>
      <c r="F5413" s="4">
        <v>1</v>
      </c>
      <c r="G5413" s="41">
        <v>10</v>
      </c>
      <c r="H5413" s="41">
        <f>0.01039317*(1000)</f>
        <v>10.39317</v>
      </c>
      <c r="I5413" s="221"/>
      <c r="J5413" s="221"/>
    </row>
    <row r="5414" spans="1:10" s="15" customFormat="1" ht="16.5" hidden="1" customHeight="1" outlineLevel="1" x14ac:dyDescent="0.25">
      <c r="A5414" s="18">
        <v>3294</v>
      </c>
      <c r="B5414" s="4" t="s">
        <v>43</v>
      </c>
      <c r="C5414" s="38" t="s">
        <v>3556</v>
      </c>
      <c r="D5414" s="18">
        <v>2022</v>
      </c>
      <c r="E5414" s="18" t="s">
        <v>0</v>
      </c>
      <c r="F5414" s="4">
        <v>1</v>
      </c>
      <c r="G5414" s="41">
        <v>10</v>
      </c>
      <c r="H5414" s="41">
        <f>0.01039317*(1000)</f>
        <v>10.39317</v>
      </c>
      <c r="I5414" s="221"/>
      <c r="J5414" s="221"/>
    </row>
    <row r="5415" spans="1:10" s="15" customFormat="1" ht="16.5" hidden="1" customHeight="1" outlineLevel="1" x14ac:dyDescent="0.25">
      <c r="A5415" s="18">
        <v>3296</v>
      </c>
      <c r="B5415" s="4" t="s">
        <v>43</v>
      </c>
      <c r="C5415" s="38" t="s">
        <v>3557</v>
      </c>
      <c r="D5415" s="18">
        <v>2022</v>
      </c>
      <c r="E5415" s="18" t="s">
        <v>0</v>
      </c>
      <c r="F5415" s="4">
        <v>1</v>
      </c>
      <c r="G5415" s="41">
        <v>10</v>
      </c>
      <c r="H5415" s="41">
        <f>0.01039174*(1000)</f>
        <v>10.39174</v>
      </c>
      <c r="I5415" s="221"/>
      <c r="J5415" s="221"/>
    </row>
    <row r="5416" spans="1:10" s="15" customFormat="1" ht="16.5" hidden="1" customHeight="1" outlineLevel="1" x14ac:dyDescent="0.25">
      <c r="A5416" s="18">
        <v>3297</v>
      </c>
      <c r="B5416" s="4" t="s">
        <v>43</v>
      </c>
      <c r="C5416" s="38" t="s">
        <v>3558</v>
      </c>
      <c r="D5416" s="18">
        <v>2022</v>
      </c>
      <c r="E5416" s="18" t="s">
        <v>0</v>
      </c>
      <c r="F5416" s="4">
        <v>1</v>
      </c>
      <c r="G5416" s="41">
        <v>10</v>
      </c>
      <c r="H5416" s="41">
        <f>0.00971642*(1000)</f>
        <v>9.7164199999999994</v>
      </c>
      <c r="I5416" s="221"/>
      <c r="J5416" s="221"/>
    </row>
    <row r="5417" spans="1:10" s="15" customFormat="1" ht="16.5" hidden="1" customHeight="1" outlineLevel="1" x14ac:dyDescent="0.25">
      <c r="A5417" s="18">
        <v>3300</v>
      </c>
      <c r="B5417" s="4" t="s">
        <v>43</v>
      </c>
      <c r="C5417" s="38" t="s">
        <v>3559</v>
      </c>
      <c r="D5417" s="18">
        <v>2022</v>
      </c>
      <c r="E5417" s="18" t="s">
        <v>0</v>
      </c>
      <c r="F5417" s="4">
        <v>1</v>
      </c>
      <c r="G5417" s="41">
        <v>11</v>
      </c>
      <c r="H5417" s="41">
        <f>0.01152294*(1000)</f>
        <v>11.52294</v>
      </c>
      <c r="I5417" s="221"/>
      <c r="J5417" s="221"/>
    </row>
    <row r="5418" spans="1:10" s="15" customFormat="1" ht="16.5" hidden="1" customHeight="1" outlineLevel="1" x14ac:dyDescent="0.25">
      <c r="A5418" s="18">
        <v>3302</v>
      </c>
      <c r="B5418" s="4" t="s">
        <v>43</v>
      </c>
      <c r="C5418" s="38" t="s">
        <v>3560</v>
      </c>
      <c r="D5418" s="18">
        <v>2022</v>
      </c>
      <c r="E5418" s="18" t="s">
        <v>0</v>
      </c>
      <c r="F5418" s="4">
        <v>1</v>
      </c>
      <c r="G5418" s="41">
        <v>10</v>
      </c>
      <c r="H5418" s="41">
        <f>0.01152293*(1000)</f>
        <v>11.522930000000001</v>
      </c>
      <c r="I5418" s="221"/>
      <c r="J5418" s="221"/>
    </row>
    <row r="5419" spans="1:10" s="15" customFormat="1" ht="16.5" hidden="1" customHeight="1" outlineLevel="1" x14ac:dyDescent="0.25">
      <c r="A5419" s="18">
        <v>3303</v>
      </c>
      <c r="B5419" s="4" t="s">
        <v>43</v>
      </c>
      <c r="C5419" s="38" t="s">
        <v>3561</v>
      </c>
      <c r="D5419" s="18">
        <v>2022</v>
      </c>
      <c r="E5419" s="18" t="s">
        <v>0</v>
      </c>
      <c r="F5419" s="4">
        <v>1</v>
      </c>
      <c r="G5419" s="41">
        <v>10</v>
      </c>
      <c r="H5419" s="41">
        <f>0.01013164*(1000)</f>
        <v>10.131640000000001</v>
      </c>
      <c r="I5419" s="221"/>
      <c r="J5419" s="221"/>
    </row>
    <row r="5420" spans="1:10" s="15" customFormat="1" ht="16.5" hidden="1" customHeight="1" outlineLevel="1" x14ac:dyDescent="0.25">
      <c r="A5420" s="18">
        <v>3304</v>
      </c>
      <c r="B5420" s="4" t="s">
        <v>43</v>
      </c>
      <c r="C5420" s="38" t="s">
        <v>3562</v>
      </c>
      <c r="D5420" s="18">
        <v>2022</v>
      </c>
      <c r="E5420" s="18" t="s">
        <v>0</v>
      </c>
      <c r="F5420" s="4">
        <v>1</v>
      </c>
      <c r="G5420" s="41">
        <v>10</v>
      </c>
      <c r="H5420" s="41">
        <f>0.01003923*(1000)</f>
        <v>10.03923</v>
      </c>
      <c r="I5420" s="221"/>
      <c r="J5420" s="221"/>
    </row>
    <row r="5421" spans="1:10" s="15" customFormat="1" ht="16.5" hidden="1" customHeight="1" outlineLevel="1" x14ac:dyDescent="0.25">
      <c r="A5421" s="18">
        <v>3305</v>
      </c>
      <c r="B5421" s="4" t="s">
        <v>43</v>
      </c>
      <c r="C5421" s="38" t="s">
        <v>3563</v>
      </c>
      <c r="D5421" s="18">
        <v>2022</v>
      </c>
      <c r="E5421" s="18" t="s">
        <v>0</v>
      </c>
      <c r="F5421" s="4">
        <v>1</v>
      </c>
      <c r="G5421" s="41">
        <v>15</v>
      </c>
      <c r="H5421" s="41">
        <f>0.01873326*(1000)</f>
        <v>18.733260000000001</v>
      </c>
      <c r="I5421" s="221"/>
      <c r="J5421" s="221"/>
    </row>
    <row r="5422" spans="1:10" s="15" customFormat="1" ht="16.5" hidden="1" customHeight="1" outlineLevel="1" x14ac:dyDescent="0.25">
      <c r="A5422" s="18">
        <v>3309</v>
      </c>
      <c r="B5422" s="4" t="s">
        <v>43</v>
      </c>
      <c r="C5422" s="38" t="s">
        <v>3564</v>
      </c>
      <c r="D5422" s="18">
        <v>2022</v>
      </c>
      <c r="E5422" s="18" t="s">
        <v>0</v>
      </c>
      <c r="F5422" s="4">
        <v>1</v>
      </c>
      <c r="G5422" s="41">
        <v>10</v>
      </c>
      <c r="H5422" s="41">
        <f>0.01003924*(1000)</f>
        <v>10.039239999999999</v>
      </c>
      <c r="I5422" s="221"/>
      <c r="J5422" s="221"/>
    </row>
    <row r="5423" spans="1:10" s="15" customFormat="1" ht="16.5" hidden="1" customHeight="1" outlineLevel="1" x14ac:dyDescent="0.25">
      <c r="A5423" s="18">
        <v>3310</v>
      </c>
      <c r="B5423" s="4" t="s">
        <v>43</v>
      </c>
      <c r="C5423" s="38" t="s">
        <v>3565</v>
      </c>
      <c r="D5423" s="18">
        <v>2022</v>
      </c>
      <c r="E5423" s="18" t="s">
        <v>0</v>
      </c>
      <c r="F5423" s="4">
        <v>1</v>
      </c>
      <c r="G5423" s="41">
        <v>15</v>
      </c>
      <c r="H5423" s="41">
        <f>0.01003923*(1000)</f>
        <v>10.03923</v>
      </c>
      <c r="I5423" s="221"/>
      <c r="J5423" s="221"/>
    </row>
    <row r="5424" spans="1:10" s="15" customFormat="1" ht="16.5" hidden="1" customHeight="1" outlineLevel="1" x14ac:dyDescent="0.25">
      <c r="A5424" s="18">
        <v>3312</v>
      </c>
      <c r="B5424" s="4" t="s">
        <v>43</v>
      </c>
      <c r="C5424" s="38" t="s">
        <v>3566</v>
      </c>
      <c r="D5424" s="18">
        <v>2022</v>
      </c>
      <c r="E5424" s="18" t="s">
        <v>0</v>
      </c>
      <c r="F5424" s="4">
        <v>1</v>
      </c>
      <c r="G5424" s="41">
        <v>10</v>
      </c>
      <c r="H5424" s="41">
        <f>0.01003923*(1000)</f>
        <v>10.03923</v>
      </c>
      <c r="I5424" s="221"/>
      <c r="J5424" s="221"/>
    </row>
    <row r="5425" spans="1:10" s="15" customFormat="1" ht="16.5" hidden="1" customHeight="1" outlineLevel="1" x14ac:dyDescent="0.25">
      <c r="A5425" s="18">
        <v>3313</v>
      </c>
      <c r="B5425" s="4" t="s">
        <v>43</v>
      </c>
      <c r="C5425" s="38" t="s">
        <v>3567</v>
      </c>
      <c r="D5425" s="18">
        <v>2022</v>
      </c>
      <c r="E5425" s="18" t="s">
        <v>0</v>
      </c>
      <c r="F5425" s="4">
        <v>1</v>
      </c>
      <c r="G5425" s="41">
        <v>10</v>
      </c>
      <c r="H5425" s="41">
        <f>0.01003924*(1000)</f>
        <v>10.039239999999999</v>
      </c>
      <c r="I5425" s="221"/>
      <c r="J5425" s="221"/>
    </row>
    <row r="5426" spans="1:10" s="15" customFormat="1" ht="16.5" hidden="1" customHeight="1" outlineLevel="1" x14ac:dyDescent="0.25">
      <c r="A5426" s="18">
        <v>3314</v>
      </c>
      <c r="B5426" s="4" t="s">
        <v>43</v>
      </c>
      <c r="C5426" s="38" t="s">
        <v>3568</v>
      </c>
      <c r="D5426" s="18">
        <v>2022</v>
      </c>
      <c r="E5426" s="18" t="s">
        <v>0</v>
      </c>
      <c r="F5426" s="4">
        <v>1</v>
      </c>
      <c r="G5426" s="41">
        <v>10</v>
      </c>
      <c r="H5426" s="41">
        <f>0.01003923*(1000)</f>
        <v>10.03923</v>
      </c>
      <c r="I5426" s="221"/>
      <c r="J5426" s="221"/>
    </row>
    <row r="5427" spans="1:10" s="15" customFormat="1" ht="16.5" hidden="1" customHeight="1" outlineLevel="1" x14ac:dyDescent="0.25">
      <c r="A5427" s="18">
        <v>3315</v>
      </c>
      <c r="B5427" s="4" t="s">
        <v>43</v>
      </c>
      <c r="C5427" s="38" t="s">
        <v>3569</v>
      </c>
      <c r="D5427" s="18">
        <v>2022</v>
      </c>
      <c r="E5427" s="18" t="s">
        <v>0</v>
      </c>
      <c r="F5427" s="4">
        <v>1</v>
      </c>
      <c r="G5427" s="41">
        <v>10</v>
      </c>
      <c r="H5427" s="41">
        <f>0.01003924*(1000)</f>
        <v>10.039239999999999</v>
      </c>
      <c r="I5427" s="221"/>
      <c r="J5427" s="221"/>
    </row>
    <row r="5428" spans="1:10" s="15" customFormat="1" ht="16.5" hidden="1" customHeight="1" outlineLevel="1" x14ac:dyDescent="0.25">
      <c r="A5428" s="18">
        <v>3317</v>
      </c>
      <c r="B5428" s="4" t="s">
        <v>43</v>
      </c>
      <c r="C5428" s="38" t="s">
        <v>3570</v>
      </c>
      <c r="D5428" s="18">
        <v>2022</v>
      </c>
      <c r="E5428" s="18" t="s">
        <v>0</v>
      </c>
      <c r="F5428" s="4">
        <v>1</v>
      </c>
      <c r="G5428" s="41">
        <v>10</v>
      </c>
      <c r="H5428" s="41">
        <f>0.01022565*(1000)</f>
        <v>10.22565</v>
      </c>
      <c r="I5428" s="221"/>
      <c r="J5428" s="221"/>
    </row>
    <row r="5429" spans="1:10" s="15" customFormat="1" ht="16.5" hidden="1" customHeight="1" outlineLevel="1" x14ac:dyDescent="0.25">
      <c r="A5429" s="18">
        <v>3318</v>
      </c>
      <c r="B5429" s="4" t="s">
        <v>43</v>
      </c>
      <c r="C5429" s="38" t="s">
        <v>3571</v>
      </c>
      <c r="D5429" s="18">
        <v>2022</v>
      </c>
      <c r="E5429" s="18" t="s">
        <v>0</v>
      </c>
      <c r="F5429" s="4">
        <v>1</v>
      </c>
      <c r="G5429" s="41">
        <v>10</v>
      </c>
      <c r="H5429" s="41">
        <f>0.01022565*(1000)</f>
        <v>10.22565</v>
      </c>
      <c r="I5429" s="221"/>
      <c r="J5429" s="221"/>
    </row>
    <row r="5430" spans="1:10" s="15" customFormat="1" ht="16.5" hidden="1" customHeight="1" outlineLevel="1" x14ac:dyDescent="0.25">
      <c r="A5430" s="18">
        <v>3319</v>
      </c>
      <c r="B5430" s="4" t="s">
        <v>43</v>
      </c>
      <c r="C5430" s="38" t="s">
        <v>3572</v>
      </c>
      <c r="D5430" s="18">
        <v>2022</v>
      </c>
      <c r="E5430" s="18" t="s">
        <v>0</v>
      </c>
      <c r="F5430" s="4">
        <v>1</v>
      </c>
      <c r="G5430" s="41">
        <v>10</v>
      </c>
      <c r="H5430" s="41">
        <f>0.01022565*(1000)</f>
        <v>10.22565</v>
      </c>
      <c r="I5430" s="221"/>
      <c r="J5430" s="221"/>
    </row>
    <row r="5431" spans="1:10" s="15" customFormat="1" ht="16.5" hidden="1" customHeight="1" outlineLevel="1" x14ac:dyDescent="0.25">
      <c r="A5431" s="18">
        <v>3320</v>
      </c>
      <c r="B5431" s="4" t="s">
        <v>43</v>
      </c>
      <c r="C5431" s="38" t="s">
        <v>3573</v>
      </c>
      <c r="D5431" s="18">
        <v>2022</v>
      </c>
      <c r="E5431" s="18" t="s">
        <v>0</v>
      </c>
      <c r="F5431" s="4">
        <v>1</v>
      </c>
      <c r="G5431" s="41">
        <v>10</v>
      </c>
      <c r="H5431" s="41">
        <f>0.00984714*(1000)</f>
        <v>9.8471400000000013</v>
      </c>
      <c r="I5431" s="221"/>
      <c r="J5431" s="221"/>
    </row>
    <row r="5432" spans="1:10" s="15" customFormat="1" ht="16.5" hidden="1" customHeight="1" outlineLevel="1" x14ac:dyDescent="0.25">
      <c r="A5432" s="18">
        <v>3321</v>
      </c>
      <c r="B5432" s="4" t="s">
        <v>43</v>
      </c>
      <c r="C5432" s="38" t="s">
        <v>3574</v>
      </c>
      <c r="D5432" s="18">
        <v>2022</v>
      </c>
      <c r="E5432" s="18" t="s">
        <v>0</v>
      </c>
      <c r="F5432" s="4">
        <v>1</v>
      </c>
      <c r="G5432" s="41">
        <v>10</v>
      </c>
      <c r="H5432" s="41">
        <f>0.01016852*(1000)</f>
        <v>10.168520000000001</v>
      </c>
      <c r="I5432" s="221"/>
      <c r="J5432" s="221"/>
    </row>
    <row r="5433" spans="1:10" s="15" customFormat="1" ht="16.5" hidden="1" customHeight="1" outlineLevel="1" x14ac:dyDescent="0.25">
      <c r="A5433" s="18">
        <v>3327</v>
      </c>
      <c r="B5433" s="4" t="s">
        <v>43</v>
      </c>
      <c r="C5433" s="38" t="s">
        <v>3575</v>
      </c>
      <c r="D5433" s="18">
        <v>2022</v>
      </c>
      <c r="E5433" s="18" t="s">
        <v>0</v>
      </c>
      <c r="F5433" s="4">
        <v>1</v>
      </c>
      <c r="G5433" s="41">
        <v>10</v>
      </c>
      <c r="H5433" s="41">
        <f>0.01016852*(1000)</f>
        <v>10.168520000000001</v>
      </c>
      <c r="I5433" s="221"/>
      <c r="J5433" s="221"/>
    </row>
    <row r="5434" spans="1:10" s="15" customFormat="1" ht="16.5" hidden="1" customHeight="1" outlineLevel="1" x14ac:dyDescent="0.25">
      <c r="A5434" s="18">
        <v>3328</v>
      </c>
      <c r="B5434" s="4" t="s">
        <v>43</v>
      </c>
      <c r="C5434" s="38" t="s">
        <v>3576</v>
      </c>
      <c r="D5434" s="18">
        <v>2022</v>
      </c>
      <c r="E5434" s="18" t="s">
        <v>0</v>
      </c>
      <c r="F5434" s="4">
        <v>1</v>
      </c>
      <c r="G5434" s="41">
        <v>10</v>
      </c>
      <c r="H5434" s="41">
        <f>0.00984714*(1000)</f>
        <v>9.8471400000000013</v>
      </c>
      <c r="I5434" s="221"/>
      <c r="J5434" s="221"/>
    </row>
    <row r="5435" spans="1:10" s="15" customFormat="1" ht="16.5" hidden="1" customHeight="1" outlineLevel="1" x14ac:dyDescent="0.25">
      <c r="A5435" s="18">
        <v>3331</v>
      </c>
      <c r="B5435" s="4" t="s">
        <v>43</v>
      </c>
      <c r="C5435" s="38" t="s">
        <v>3577</v>
      </c>
      <c r="D5435" s="18">
        <v>2022</v>
      </c>
      <c r="E5435" s="18" t="s">
        <v>0</v>
      </c>
      <c r="F5435" s="4">
        <v>1</v>
      </c>
      <c r="G5435" s="41">
        <v>10</v>
      </c>
      <c r="H5435" s="41">
        <f>0.00984567*(1000)</f>
        <v>9.8456700000000001</v>
      </c>
      <c r="I5435" s="221"/>
      <c r="J5435" s="221"/>
    </row>
    <row r="5436" spans="1:10" s="15" customFormat="1" ht="16.5" hidden="1" customHeight="1" outlineLevel="1" x14ac:dyDescent="0.25">
      <c r="A5436" s="18">
        <v>3332</v>
      </c>
      <c r="B5436" s="4" t="s">
        <v>43</v>
      </c>
      <c r="C5436" s="38" t="s">
        <v>3578</v>
      </c>
      <c r="D5436" s="18">
        <v>2022</v>
      </c>
      <c r="E5436" s="18" t="s">
        <v>0</v>
      </c>
      <c r="F5436" s="4">
        <v>1</v>
      </c>
      <c r="G5436" s="41">
        <v>10</v>
      </c>
      <c r="H5436" s="41">
        <f>0.00984567*(1000)</f>
        <v>9.8456700000000001</v>
      </c>
      <c r="I5436" s="221"/>
      <c r="J5436" s="221"/>
    </row>
    <row r="5437" spans="1:10" s="15" customFormat="1" ht="16.5" hidden="1" customHeight="1" outlineLevel="1" x14ac:dyDescent="0.25">
      <c r="A5437" s="18">
        <v>3333</v>
      </c>
      <c r="B5437" s="4" t="s">
        <v>43</v>
      </c>
      <c r="C5437" s="38" t="s">
        <v>3579</v>
      </c>
      <c r="D5437" s="18">
        <v>2022</v>
      </c>
      <c r="E5437" s="18" t="s">
        <v>0</v>
      </c>
      <c r="F5437" s="4">
        <v>1</v>
      </c>
      <c r="G5437" s="41">
        <v>12</v>
      </c>
      <c r="H5437" s="41">
        <f>0.00984567*(1000)</f>
        <v>9.8456700000000001</v>
      </c>
      <c r="I5437" s="221"/>
      <c r="J5437" s="221"/>
    </row>
    <row r="5438" spans="1:10" s="15" customFormat="1" ht="16.5" hidden="1" customHeight="1" outlineLevel="1" x14ac:dyDescent="0.25">
      <c r="A5438" s="18">
        <v>3334</v>
      </c>
      <c r="B5438" s="4" t="s">
        <v>43</v>
      </c>
      <c r="C5438" s="38" t="s">
        <v>3580</v>
      </c>
      <c r="D5438" s="18">
        <v>2022</v>
      </c>
      <c r="E5438" s="18" t="s">
        <v>0</v>
      </c>
      <c r="F5438" s="4">
        <v>1</v>
      </c>
      <c r="G5438" s="41">
        <v>10</v>
      </c>
      <c r="H5438" s="41">
        <f>0.00984567*(1000)</f>
        <v>9.8456700000000001</v>
      </c>
      <c r="I5438" s="221"/>
      <c r="J5438" s="221"/>
    </row>
    <row r="5439" spans="1:10" s="15" customFormat="1" ht="16.5" hidden="1" customHeight="1" outlineLevel="1" x14ac:dyDescent="0.25">
      <c r="A5439" s="18">
        <v>3335</v>
      </c>
      <c r="B5439" s="4" t="s">
        <v>43</v>
      </c>
      <c r="C5439" s="38" t="s">
        <v>3581</v>
      </c>
      <c r="D5439" s="18">
        <v>2022</v>
      </c>
      <c r="E5439" s="18" t="s">
        <v>0</v>
      </c>
      <c r="F5439" s="4">
        <v>1</v>
      </c>
      <c r="G5439" s="41">
        <v>10</v>
      </c>
      <c r="H5439" s="41">
        <f>0.01857891*(1000)</f>
        <v>18.57891</v>
      </c>
      <c r="I5439" s="221"/>
      <c r="J5439" s="221"/>
    </row>
    <row r="5440" spans="1:10" s="15" customFormat="1" ht="16.5" hidden="1" customHeight="1" outlineLevel="1" x14ac:dyDescent="0.25">
      <c r="A5440" s="18">
        <v>3336</v>
      </c>
      <c r="B5440" s="4" t="s">
        <v>43</v>
      </c>
      <c r="C5440" s="38" t="s">
        <v>3582</v>
      </c>
      <c r="D5440" s="18">
        <v>2022</v>
      </c>
      <c r="E5440" s="18" t="s">
        <v>0</v>
      </c>
      <c r="F5440" s="4">
        <v>1</v>
      </c>
      <c r="G5440" s="41">
        <v>10</v>
      </c>
      <c r="H5440" s="41">
        <f>0.00984567*(1000)</f>
        <v>9.8456700000000001</v>
      </c>
      <c r="I5440" s="221"/>
      <c r="J5440" s="221"/>
    </row>
    <row r="5441" spans="1:10" s="15" customFormat="1" ht="16.5" hidden="1" customHeight="1" outlineLevel="1" x14ac:dyDescent="0.25">
      <c r="A5441" s="18">
        <v>3337</v>
      </c>
      <c r="B5441" s="4" t="s">
        <v>43</v>
      </c>
      <c r="C5441" s="38" t="s">
        <v>3583</v>
      </c>
      <c r="D5441" s="18">
        <v>2022</v>
      </c>
      <c r="E5441" s="18" t="s">
        <v>0</v>
      </c>
      <c r="F5441" s="4">
        <v>1</v>
      </c>
      <c r="G5441" s="41">
        <v>10</v>
      </c>
      <c r="H5441" s="41">
        <f>0.00984569*(1000)</f>
        <v>9.8456900000000012</v>
      </c>
      <c r="I5441" s="221"/>
      <c r="J5441" s="221"/>
    </row>
    <row r="5442" spans="1:10" s="15" customFormat="1" ht="16.5" hidden="1" customHeight="1" outlineLevel="1" x14ac:dyDescent="0.25">
      <c r="A5442" s="18">
        <v>3340</v>
      </c>
      <c r="B5442" s="4" t="s">
        <v>43</v>
      </c>
      <c r="C5442" s="38" t="s">
        <v>3584</v>
      </c>
      <c r="D5442" s="18">
        <v>2022</v>
      </c>
      <c r="E5442" s="18" t="s">
        <v>0</v>
      </c>
      <c r="F5442" s="4">
        <v>1</v>
      </c>
      <c r="G5442" s="41">
        <v>12</v>
      </c>
      <c r="H5442" s="41">
        <f>0.00984567*(1000)</f>
        <v>9.8456700000000001</v>
      </c>
      <c r="I5442" s="221"/>
      <c r="J5442" s="221"/>
    </row>
    <row r="5443" spans="1:10" s="15" customFormat="1" ht="16.5" hidden="1" customHeight="1" outlineLevel="1" x14ac:dyDescent="0.25">
      <c r="A5443" s="18">
        <v>3341</v>
      </c>
      <c r="B5443" s="4" t="s">
        <v>43</v>
      </c>
      <c r="C5443" s="38" t="s">
        <v>3585</v>
      </c>
      <c r="D5443" s="18">
        <v>2022</v>
      </c>
      <c r="E5443" s="18" t="s">
        <v>0</v>
      </c>
      <c r="F5443" s="4">
        <v>1</v>
      </c>
      <c r="G5443" s="41">
        <v>10</v>
      </c>
      <c r="H5443" s="41">
        <f>0.0173583*(1000)</f>
        <v>17.3583</v>
      </c>
      <c r="I5443" s="221"/>
      <c r="J5443" s="221"/>
    </row>
    <row r="5444" spans="1:10" s="15" customFormat="1" ht="16.5" hidden="1" customHeight="1" outlineLevel="1" x14ac:dyDescent="0.25">
      <c r="A5444" s="18">
        <v>3343</v>
      </c>
      <c r="B5444" s="4" t="s">
        <v>43</v>
      </c>
      <c r="C5444" s="38" t="s">
        <v>3586</v>
      </c>
      <c r="D5444" s="18">
        <v>2022</v>
      </c>
      <c r="E5444" s="18" t="s">
        <v>0</v>
      </c>
      <c r="F5444" s="4">
        <v>1</v>
      </c>
      <c r="G5444" s="41">
        <v>10</v>
      </c>
      <c r="H5444" s="41">
        <f t="shared" ref="H5444:H5449" si="6">0.01020711*(1000)</f>
        <v>10.20711</v>
      </c>
      <c r="I5444" s="221"/>
      <c r="J5444" s="221"/>
    </row>
    <row r="5445" spans="1:10" s="15" customFormat="1" ht="16.5" hidden="1" customHeight="1" outlineLevel="1" x14ac:dyDescent="0.25">
      <c r="A5445" s="18">
        <v>3344</v>
      </c>
      <c r="B5445" s="4" t="s">
        <v>43</v>
      </c>
      <c r="C5445" s="38" t="s">
        <v>3587</v>
      </c>
      <c r="D5445" s="18">
        <v>2022</v>
      </c>
      <c r="E5445" s="18" t="s">
        <v>0</v>
      </c>
      <c r="F5445" s="4">
        <v>1</v>
      </c>
      <c r="G5445" s="41">
        <v>10</v>
      </c>
      <c r="H5445" s="41">
        <f t="shared" si="6"/>
        <v>10.20711</v>
      </c>
      <c r="I5445" s="221"/>
      <c r="J5445" s="221"/>
    </row>
    <row r="5446" spans="1:10" s="15" customFormat="1" ht="16.5" hidden="1" customHeight="1" outlineLevel="1" x14ac:dyDescent="0.25">
      <c r="A5446" s="18">
        <v>3345</v>
      </c>
      <c r="B5446" s="4" t="s">
        <v>43</v>
      </c>
      <c r="C5446" s="38" t="s">
        <v>3588</v>
      </c>
      <c r="D5446" s="18">
        <v>2022</v>
      </c>
      <c r="E5446" s="18" t="s">
        <v>0</v>
      </c>
      <c r="F5446" s="4">
        <v>1</v>
      </c>
      <c r="G5446" s="41">
        <v>10</v>
      </c>
      <c r="H5446" s="41">
        <f t="shared" si="6"/>
        <v>10.20711</v>
      </c>
      <c r="I5446" s="221"/>
      <c r="J5446" s="221"/>
    </row>
    <row r="5447" spans="1:10" s="15" customFormat="1" ht="16.5" hidden="1" customHeight="1" outlineLevel="1" x14ac:dyDescent="0.25">
      <c r="A5447" s="18">
        <v>3346</v>
      </c>
      <c r="B5447" s="4" t="s">
        <v>43</v>
      </c>
      <c r="C5447" s="38" t="s">
        <v>3589</v>
      </c>
      <c r="D5447" s="18">
        <v>2022</v>
      </c>
      <c r="E5447" s="18" t="s">
        <v>0</v>
      </c>
      <c r="F5447" s="4">
        <v>1</v>
      </c>
      <c r="G5447" s="41">
        <v>10</v>
      </c>
      <c r="H5447" s="41">
        <f t="shared" si="6"/>
        <v>10.20711</v>
      </c>
      <c r="I5447" s="221"/>
      <c r="J5447" s="221"/>
    </row>
    <row r="5448" spans="1:10" s="15" customFormat="1" ht="16.5" hidden="1" customHeight="1" outlineLevel="1" x14ac:dyDescent="0.25">
      <c r="A5448" s="18">
        <v>3347</v>
      </c>
      <c r="B5448" s="4" t="s">
        <v>43</v>
      </c>
      <c r="C5448" s="38" t="s">
        <v>3590</v>
      </c>
      <c r="D5448" s="18">
        <v>2022</v>
      </c>
      <c r="E5448" s="18" t="s">
        <v>0</v>
      </c>
      <c r="F5448" s="4">
        <v>1</v>
      </c>
      <c r="G5448" s="41">
        <v>10</v>
      </c>
      <c r="H5448" s="41">
        <f t="shared" si="6"/>
        <v>10.20711</v>
      </c>
      <c r="I5448" s="221"/>
      <c r="J5448" s="221"/>
    </row>
    <row r="5449" spans="1:10" s="15" customFormat="1" ht="16.5" hidden="1" customHeight="1" outlineLevel="1" x14ac:dyDescent="0.25">
      <c r="A5449" s="18">
        <v>3348</v>
      </c>
      <c r="B5449" s="4" t="s">
        <v>43</v>
      </c>
      <c r="C5449" s="38" t="s">
        <v>3591</v>
      </c>
      <c r="D5449" s="18">
        <v>2022</v>
      </c>
      <c r="E5449" s="18" t="s">
        <v>0</v>
      </c>
      <c r="F5449" s="4">
        <v>1</v>
      </c>
      <c r="G5449" s="41">
        <v>10</v>
      </c>
      <c r="H5449" s="41">
        <f t="shared" si="6"/>
        <v>10.20711</v>
      </c>
      <c r="I5449" s="221"/>
      <c r="J5449" s="221"/>
    </row>
    <row r="5450" spans="1:10" s="15" customFormat="1" ht="16.5" hidden="1" customHeight="1" outlineLevel="1" x14ac:dyDescent="0.25">
      <c r="A5450" s="18">
        <v>3350</v>
      </c>
      <c r="B5450" s="4" t="s">
        <v>43</v>
      </c>
      <c r="C5450" s="38" t="s">
        <v>3592</v>
      </c>
      <c r="D5450" s="18">
        <v>2022</v>
      </c>
      <c r="E5450" s="18" t="s">
        <v>0</v>
      </c>
      <c r="F5450" s="4">
        <v>1</v>
      </c>
      <c r="G5450" s="41">
        <v>10</v>
      </c>
      <c r="H5450" s="41">
        <f>0.01852276*(1000)</f>
        <v>18.522759999999998</v>
      </c>
      <c r="I5450" s="221"/>
      <c r="J5450" s="221"/>
    </row>
    <row r="5451" spans="1:10" s="15" customFormat="1" ht="16.5" hidden="1" customHeight="1" outlineLevel="1" x14ac:dyDescent="0.25">
      <c r="A5451" s="18">
        <v>3352</v>
      </c>
      <c r="B5451" s="4" t="s">
        <v>43</v>
      </c>
      <c r="C5451" s="38" t="s">
        <v>3593</v>
      </c>
      <c r="D5451" s="18">
        <v>2022</v>
      </c>
      <c r="E5451" s="18" t="s">
        <v>0</v>
      </c>
      <c r="F5451" s="4">
        <v>1</v>
      </c>
      <c r="G5451" s="41">
        <v>10</v>
      </c>
      <c r="H5451" s="41">
        <f>0.01741746*(1000)</f>
        <v>17.417459999999998</v>
      </c>
      <c r="I5451" s="221"/>
      <c r="J5451" s="221"/>
    </row>
    <row r="5452" spans="1:10" s="15" customFormat="1" ht="16.5" hidden="1" customHeight="1" outlineLevel="1" x14ac:dyDescent="0.25">
      <c r="A5452" s="18">
        <v>3354</v>
      </c>
      <c r="B5452" s="4" t="s">
        <v>43</v>
      </c>
      <c r="C5452" s="38" t="s">
        <v>3594</v>
      </c>
      <c r="D5452" s="18">
        <v>2022</v>
      </c>
      <c r="E5452" s="18" t="s">
        <v>0</v>
      </c>
      <c r="F5452" s="4">
        <v>1</v>
      </c>
      <c r="G5452" s="41">
        <v>10</v>
      </c>
      <c r="H5452" s="41">
        <f>0.01020711*(1000)</f>
        <v>10.20711</v>
      </c>
      <c r="I5452" s="221"/>
      <c r="J5452" s="221"/>
    </row>
    <row r="5453" spans="1:10" s="15" customFormat="1" ht="16.5" hidden="1" customHeight="1" outlineLevel="1" x14ac:dyDescent="0.25">
      <c r="A5453" s="18">
        <v>3357</v>
      </c>
      <c r="B5453" s="4" t="s">
        <v>43</v>
      </c>
      <c r="C5453" s="38" t="s">
        <v>3595</v>
      </c>
      <c r="D5453" s="18">
        <v>2022</v>
      </c>
      <c r="E5453" s="18" t="s">
        <v>0</v>
      </c>
      <c r="F5453" s="4">
        <v>1</v>
      </c>
      <c r="G5453" s="41">
        <v>10</v>
      </c>
      <c r="H5453" s="41">
        <f>0.01020711*(1000)</f>
        <v>10.20711</v>
      </c>
      <c r="I5453" s="221"/>
      <c r="J5453" s="221"/>
    </row>
    <row r="5454" spans="1:10" s="15" customFormat="1" ht="16.5" hidden="1" customHeight="1" outlineLevel="1" x14ac:dyDescent="0.25">
      <c r="A5454" s="18">
        <v>3359</v>
      </c>
      <c r="B5454" s="4" t="s">
        <v>43</v>
      </c>
      <c r="C5454" s="38" t="s">
        <v>3596</v>
      </c>
      <c r="D5454" s="18">
        <v>2022</v>
      </c>
      <c r="E5454" s="18" t="s">
        <v>0</v>
      </c>
      <c r="F5454" s="4">
        <v>1</v>
      </c>
      <c r="G5454" s="41">
        <v>10</v>
      </c>
      <c r="H5454" s="41">
        <f>0.01020711*(1000)</f>
        <v>10.20711</v>
      </c>
      <c r="I5454" s="221"/>
      <c r="J5454" s="221"/>
    </row>
    <row r="5455" spans="1:10" s="15" customFormat="1" ht="16.5" hidden="1" customHeight="1" outlineLevel="1" x14ac:dyDescent="0.25">
      <c r="A5455" s="18">
        <v>3360</v>
      </c>
      <c r="B5455" s="4" t="s">
        <v>43</v>
      </c>
      <c r="C5455" s="38" t="s">
        <v>3597</v>
      </c>
      <c r="D5455" s="18">
        <v>2022</v>
      </c>
      <c r="E5455" s="18" t="s">
        <v>0</v>
      </c>
      <c r="F5455" s="4">
        <v>1</v>
      </c>
      <c r="G5455" s="41">
        <v>10</v>
      </c>
      <c r="H5455" s="41">
        <f>0.01020711*(1000)</f>
        <v>10.20711</v>
      </c>
      <c r="I5455" s="221"/>
      <c r="J5455" s="221"/>
    </row>
    <row r="5456" spans="1:10" s="15" customFormat="1" ht="16.5" hidden="1" customHeight="1" outlineLevel="1" x14ac:dyDescent="0.25">
      <c r="A5456" s="18">
        <v>3361</v>
      </c>
      <c r="B5456" s="4" t="s">
        <v>43</v>
      </c>
      <c r="C5456" s="38" t="s">
        <v>3598</v>
      </c>
      <c r="D5456" s="18">
        <v>2022</v>
      </c>
      <c r="E5456" s="18" t="s">
        <v>0</v>
      </c>
      <c r="F5456" s="4">
        <v>1</v>
      </c>
      <c r="G5456" s="41">
        <v>10</v>
      </c>
      <c r="H5456" s="41">
        <f>0.01741746*(1000)</f>
        <v>17.417459999999998</v>
      </c>
      <c r="I5456" s="221"/>
      <c r="J5456" s="221"/>
    </row>
    <row r="5457" spans="1:10" s="15" customFormat="1" ht="16.5" hidden="1" customHeight="1" outlineLevel="1" x14ac:dyDescent="0.25">
      <c r="A5457" s="18">
        <v>3365</v>
      </c>
      <c r="B5457" s="4" t="s">
        <v>43</v>
      </c>
      <c r="C5457" s="38" t="s">
        <v>3599</v>
      </c>
      <c r="D5457" s="18">
        <v>2022</v>
      </c>
      <c r="E5457" s="18" t="s">
        <v>0</v>
      </c>
      <c r="F5457" s="4">
        <v>1</v>
      </c>
      <c r="G5457" s="41">
        <v>10</v>
      </c>
      <c r="H5457" s="41">
        <f>0.01019395*(1000)</f>
        <v>10.193950000000001</v>
      </c>
      <c r="I5457" s="221"/>
      <c r="J5457" s="221"/>
    </row>
    <row r="5458" spans="1:10" s="15" customFormat="1" ht="16.5" hidden="1" customHeight="1" outlineLevel="1" x14ac:dyDescent="0.25">
      <c r="A5458" s="18">
        <v>3367</v>
      </c>
      <c r="B5458" s="4" t="s">
        <v>43</v>
      </c>
      <c r="C5458" s="38" t="s">
        <v>3600</v>
      </c>
      <c r="D5458" s="18">
        <v>2022</v>
      </c>
      <c r="E5458" s="18" t="s">
        <v>0</v>
      </c>
      <c r="F5458" s="4">
        <v>1</v>
      </c>
      <c r="G5458" s="41">
        <v>12</v>
      </c>
      <c r="H5458" s="41">
        <f>0.01019395*(1000)</f>
        <v>10.193950000000001</v>
      </c>
      <c r="I5458" s="221"/>
      <c r="J5458" s="221"/>
    </row>
    <row r="5459" spans="1:10" s="15" customFormat="1" ht="16.5" hidden="1" customHeight="1" outlineLevel="1" x14ac:dyDescent="0.25">
      <c r="A5459" s="18">
        <v>3368</v>
      </c>
      <c r="B5459" s="4" t="s">
        <v>43</v>
      </c>
      <c r="C5459" s="38" t="s">
        <v>3601</v>
      </c>
      <c r="D5459" s="18">
        <v>2022</v>
      </c>
      <c r="E5459" s="18" t="s">
        <v>0</v>
      </c>
      <c r="F5459" s="4">
        <v>1</v>
      </c>
      <c r="G5459" s="41">
        <v>10</v>
      </c>
      <c r="H5459" s="41">
        <f>0.01020711*(1000)</f>
        <v>10.20711</v>
      </c>
      <c r="I5459" s="221"/>
      <c r="J5459" s="221"/>
    </row>
    <row r="5460" spans="1:10" s="15" customFormat="1" ht="16.5" hidden="1" customHeight="1" outlineLevel="1" x14ac:dyDescent="0.25">
      <c r="A5460" s="18">
        <v>3373</v>
      </c>
      <c r="B5460" s="4" t="s">
        <v>43</v>
      </c>
      <c r="C5460" s="38" t="s">
        <v>3602</v>
      </c>
      <c r="D5460" s="18">
        <v>2022</v>
      </c>
      <c r="E5460" s="18" t="s">
        <v>0</v>
      </c>
      <c r="F5460" s="4">
        <v>1</v>
      </c>
      <c r="G5460" s="41">
        <v>10</v>
      </c>
      <c r="H5460" s="41">
        <f>0.01020711*(1000)</f>
        <v>10.20711</v>
      </c>
      <c r="I5460" s="221"/>
      <c r="J5460" s="221"/>
    </row>
    <row r="5461" spans="1:10" s="15" customFormat="1" ht="16.5" hidden="1" customHeight="1" outlineLevel="1" x14ac:dyDescent="0.25">
      <c r="A5461" s="18">
        <v>3389</v>
      </c>
      <c r="B5461" s="4" t="s">
        <v>43</v>
      </c>
      <c r="C5461" s="38" t="s">
        <v>3603</v>
      </c>
      <c r="D5461" s="18">
        <v>2022</v>
      </c>
      <c r="E5461" s="18" t="s">
        <v>0</v>
      </c>
      <c r="F5461" s="4">
        <v>1</v>
      </c>
      <c r="G5461" s="41">
        <v>10</v>
      </c>
      <c r="H5461" s="41">
        <f>0.01845652*(1000)</f>
        <v>18.456520000000001</v>
      </c>
      <c r="I5461" s="221"/>
      <c r="J5461" s="221"/>
    </row>
    <row r="5462" spans="1:10" s="15" customFormat="1" ht="16.5" hidden="1" customHeight="1" outlineLevel="1" x14ac:dyDescent="0.25">
      <c r="A5462" s="18">
        <v>3393</v>
      </c>
      <c r="B5462" s="4" t="s">
        <v>43</v>
      </c>
      <c r="C5462" s="38" t="s">
        <v>3604</v>
      </c>
      <c r="D5462" s="18">
        <v>2022</v>
      </c>
      <c r="E5462" s="18" t="s">
        <v>0</v>
      </c>
      <c r="F5462" s="4">
        <v>1</v>
      </c>
      <c r="G5462" s="41">
        <v>12</v>
      </c>
      <c r="H5462" s="41">
        <f>0.01845652*(1000)</f>
        <v>18.456520000000001</v>
      </c>
      <c r="I5462" s="221"/>
      <c r="J5462" s="221"/>
    </row>
    <row r="5463" spans="1:10" s="15" customFormat="1" ht="16.5" hidden="1" customHeight="1" outlineLevel="1" x14ac:dyDescent="0.25">
      <c r="A5463" s="18">
        <v>3399</v>
      </c>
      <c r="B5463" s="4" t="s">
        <v>43</v>
      </c>
      <c r="C5463" s="38" t="s">
        <v>3605</v>
      </c>
      <c r="D5463" s="18">
        <v>2022</v>
      </c>
      <c r="E5463" s="18" t="s">
        <v>0</v>
      </c>
      <c r="F5463" s="4">
        <v>1</v>
      </c>
      <c r="G5463" s="41">
        <v>12</v>
      </c>
      <c r="H5463" s="41">
        <f>0.010275*(1000)</f>
        <v>10.274999999999999</v>
      </c>
      <c r="I5463" s="221"/>
      <c r="J5463" s="221"/>
    </row>
    <row r="5464" spans="1:10" s="15" customFormat="1" ht="16.5" hidden="1" customHeight="1" outlineLevel="1" x14ac:dyDescent="0.25">
      <c r="A5464" s="18">
        <v>3410</v>
      </c>
      <c r="B5464" s="4" t="s">
        <v>43</v>
      </c>
      <c r="C5464" s="38" t="s">
        <v>3606</v>
      </c>
      <c r="D5464" s="18">
        <v>2022</v>
      </c>
      <c r="E5464" s="18" t="s">
        <v>0</v>
      </c>
      <c r="F5464" s="4">
        <v>1</v>
      </c>
      <c r="G5464" s="41">
        <v>10</v>
      </c>
      <c r="H5464" s="41">
        <f>0.010275*(1000)</f>
        <v>10.274999999999999</v>
      </c>
      <c r="I5464" s="221"/>
      <c r="J5464" s="221"/>
    </row>
    <row r="5465" spans="1:10" s="15" customFormat="1" ht="16.5" hidden="1" customHeight="1" outlineLevel="1" x14ac:dyDescent="0.25">
      <c r="A5465" s="18">
        <v>3419</v>
      </c>
      <c r="B5465" s="4" t="s">
        <v>43</v>
      </c>
      <c r="C5465" s="38" t="s">
        <v>3607</v>
      </c>
      <c r="D5465" s="18">
        <v>2022</v>
      </c>
      <c r="E5465" s="18" t="s">
        <v>0</v>
      </c>
      <c r="F5465" s="4">
        <v>1</v>
      </c>
      <c r="G5465" s="41">
        <v>10</v>
      </c>
      <c r="H5465" s="41">
        <f>0.010275*(1000)</f>
        <v>10.274999999999999</v>
      </c>
      <c r="I5465" s="221"/>
      <c r="J5465" s="221"/>
    </row>
    <row r="5466" spans="1:10" s="15" customFormat="1" ht="16.5" hidden="1" customHeight="1" outlineLevel="1" x14ac:dyDescent="0.25">
      <c r="A5466" s="18">
        <v>3421</v>
      </c>
      <c r="B5466" s="4" t="s">
        <v>43</v>
      </c>
      <c r="C5466" s="38" t="s">
        <v>3608</v>
      </c>
      <c r="D5466" s="18">
        <v>2022</v>
      </c>
      <c r="E5466" s="18" t="s">
        <v>0</v>
      </c>
      <c r="F5466" s="4">
        <v>1</v>
      </c>
      <c r="G5466" s="41">
        <v>10</v>
      </c>
      <c r="H5466" s="41">
        <f>0.010275*(1000)</f>
        <v>10.274999999999999</v>
      </c>
      <c r="I5466" s="221"/>
      <c r="J5466" s="221"/>
    </row>
    <row r="5467" spans="1:10" s="15" customFormat="1" ht="16.5" hidden="1" customHeight="1" outlineLevel="1" x14ac:dyDescent="0.25">
      <c r="A5467" s="18">
        <v>3424</v>
      </c>
      <c r="B5467" s="4" t="s">
        <v>43</v>
      </c>
      <c r="C5467" s="38" t="s">
        <v>3609</v>
      </c>
      <c r="D5467" s="18">
        <v>2022</v>
      </c>
      <c r="E5467" s="18" t="s">
        <v>0</v>
      </c>
      <c r="F5467" s="4">
        <v>1</v>
      </c>
      <c r="G5467" s="41">
        <v>11</v>
      </c>
      <c r="H5467" s="41">
        <f>0.01845652*(1000)</f>
        <v>18.456520000000001</v>
      </c>
      <c r="I5467" s="221"/>
      <c r="J5467" s="221"/>
    </row>
    <row r="5468" spans="1:10" s="15" customFormat="1" ht="16.5" hidden="1" customHeight="1" outlineLevel="1" x14ac:dyDescent="0.25">
      <c r="A5468" s="18">
        <v>3427</v>
      </c>
      <c r="B5468" s="4" t="s">
        <v>43</v>
      </c>
      <c r="C5468" s="38" t="s">
        <v>3610</v>
      </c>
      <c r="D5468" s="18">
        <v>2022</v>
      </c>
      <c r="E5468" s="18" t="s">
        <v>0</v>
      </c>
      <c r="F5468" s="4">
        <v>1</v>
      </c>
      <c r="G5468" s="41">
        <v>10</v>
      </c>
      <c r="H5468" s="41">
        <f>0.010275*(1000)</f>
        <v>10.274999999999999</v>
      </c>
      <c r="I5468" s="221"/>
      <c r="J5468" s="221"/>
    </row>
    <row r="5469" spans="1:10" s="15" customFormat="1" ht="16.5" hidden="1" customHeight="1" outlineLevel="1" x14ac:dyDescent="0.25">
      <c r="A5469" s="18">
        <v>3428</v>
      </c>
      <c r="B5469" s="4" t="s">
        <v>43</v>
      </c>
      <c r="C5469" s="38" t="s">
        <v>3611</v>
      </c>
      <c r="D5469" s="18">
        <v>2022</v>
      </c>
      <c r="E5469" s="18" t="s">
        <v>0</v>
      </c>
      <c r="F5469" s="4">
        <v>1</v>
      </c>
      <c r="G5469" s="41">
        <v>10</v>
      </c>
      <c r="H5469" s="41">
        <f>0.01027501*(1000)</f>
        <v>10.27501</v>
      </c>
      <c r="I5469" s="221"/>
      <c r="J5469" s="221"/>
    </row>
    <row r="5470" spans="1:10" s="15" customFormat="1" ht="16.5" hidden="1" customHeight="1" outlineLevel="1" x14ac:dyDescent="0.25">
      <c r="A5470" s="18">
        <v>3429</v>
      </c>
      <c r="B5470" s="4" t="s">
        <v>43</v>
      </c>
      <c r="C5470" s="38" t="s">
        <v>3612</v>
      </c>
      <c r="D5470" s="18">
        <v>2022</v>
      </c>
      <c r="E5470" s="18" t="s">
        <v>0</v>
      </c>
      <c r="F5470" s="4">
        <v>1</v>
      </c>
      <c r="G5470" s="41">
        <v>10</v>
      </c>
      <c r="H5470" s="41">
        <f>0.010275*(1000)</f>
        <v>10.274999999999999</v>
      </c>
      <c r="I5470" s="221"/>
      <c r="J5470" s="221"/>
    </row>
    <row r="5471" spans="1:10" s="15" customFormat="1" ht="16.5" hidden="1" customHeight="1" outlineLevel="1" x14ac:dyDescent="0.25">
      <c r="A5471" s="18">
        <v>3430</v>
      </c>
      <c r="B5471" s="4" t="s">
        <v>43</v>
      </c>
      <c r="C5471" s="38" t="s">
        <v>3613</v>
      </c>
      <c r="D5471" s="18">
        <v>2022</v>
      </c>
      <c r="E5471" s="18" t="s">
        <v>0</v>
      </c>
      <c r="F5471" s="4">
        <v>1</v>
      </c>
      <c r="G5471" s="41">
        <v>3</v>
      </c>
      <c r="H5471" s="41">
        <f>0.01027501*(1000)</f>
        <v>10.27501</v>
      </c>
      <c r="I5471" s="221"/>
      <c r="J5471" s="221"/>
    </row>
    <row r="5472" spans="1:10" s="15" customFormat="1" ht="16.5" hidden="1" customHeight="1" outlineLevel="1" x14ac:dyDescent="0.25">
      <c r="A5472" s="18">
        <v>3439</v>
      </c>
      <c r="B5472" s="4" t="s">
        <v>43</v>
      </c>
      <c r="C5472" s="38" t="s">
        <v>3614</v>
      </c>
      <c r="D5472" s="18">
        <v>2022</v>
      </c>
      <c r="E5472" s="18" t="s">
        <v>0</v>
      </c>
      <c r="F5472" s="4">
        <v>1</v>
      </c>
      <c r="G5472" s="41">
        <v>10</v>
      </c>
      <c r="H5472" s="41">
        <f>0.010275*(1000)</f>
        <v>10.274999999999999</v>
      </c>
      <c r="I5472" s="221"/>
      <c r="J5472" s="221"/>
    </row>
    <row r="5473" spans="1:10" s="15" customFormat="1" ht="16.5" hidden="1" customHeight="1" outlineLevel="1" x14ac:dyDescent="0.25">
      <c r="A5473" s="18">
        <v>3451</v>
      </c>
      <c r="B5473" s="4" t="s">
        <v>43</v>
      </c>
      <c r="C5473" s="38" t="s">
        <v>3615</v>
      </c>
      <c r="D5473" s="18">
        <v>2022</v>
      </c>
      <c r="E5473" s="18" t="s">
        <v>0</v>
      </c>
      <c r="F5473" s="4">
        <v>1</v>
      </c>
      <c r="G5473" s="41">
        <v>10</v>
      </c>
      <c r="H5473" s="41">
        <f>0.01027501*(1000)</f>
        <v>10.27501</v>
      </c>
      <c r="I5473" s="221"/>
      <c r="J5473" s="221"/>
    </row>
    <row r="5474" spans="1:10" s="15" customFormat="1" ht="16.5" hidden="1" customHeight="1" outlineLevel="1" x14ac:dyDescent="0.25">
      <c r="A5474" s="18">
        <v>3455</v>
      </c>
      <c r="B5474" s="4" t="s">
        <v>43</v>
      </c>
      <c r="C5474" s="38" t="s">
        <v>3616</v>
      </c>
      <c r="D5474" s="18">
        <v>2022</v>
      </c>
      <c r="E5474" s="18" t="s">
        <v>0</v>
      </c>
      <c r="F5474" s="4">
        <v>1</v>
      </c>
      <c r="G5474" s="41">
        <v>6</v>
      </c>
      <c r="H5474" s="41">
        <f>0.01731807*(1000)</f>
        <v>17.318070000000002</v>
      </c>
      <c r="I5474" s="221"/>
      <c r="J5474" s="221"/>
    </row>
    <row r="5475" spans="1:10" s="15" customFormat="1" ht="16.5" hidden="1" customHeight="1" outlineLevel="1" x14ac:dyDescent="0.25">
      <c r="A5475" s="18">
        <v>3461</v>
      </c>
      <c r="B5475" s="4" t="s">
        <v>43</v>
      </c>
      <c r="C5475" s="38" t="s">
        <v>3617</v>
      </c>
      <c r="D5475" s="18">
        <v>2022</v>
      </c>
      <c r="E5475" s="18" t="s">
        <v>0</v>
      </c>
      <c r="F5475" s="4">
        <v>1</v>
      </c>
      <c r="G5475" s="41">
        <v>10</v>
      </c>
      <c r="H5475" s="41">
        <f>0.01845652*(1000)</f>
        <v>18.456520000000001</v>
      </c>
      <c r="I5475" s="221"/>
      <c r="J5475" s="221"/>
    </row>
    <row r="5476" spans="1:10" s="15" customFormat="1" ht="16.5" hidden="1" customHeight="1" outlineLevel="1" x14ac:dyDescent="0.25">
      <c r="A5476" s="18">
        <v>3474</v>
      </c>
      <c r="B5476" s="4" t="s">
        <v>43</v>
      </c>
      <c r="C5476" s="38" t="s">
        <v>3618</v>
      </c>
      <c r="D5476" s="18">
        <v>2022</v>
      </c>
      <c r="E5476" s="18" t="s">
        <v>0</v>
      </c>
      <c r="F5476" s="4">
        <v>1</v>
      </c>
      <c r="G5476" s="41">
        <v>10</v>
      </c>
      <c r="H5476" s="41">
        <f>0.01027501*(1000)</f>
        <v>10.27501</v>
      </c>
      <c r="I5476" s="221"/>
      <c r="J5476" s="221"/>
    </row>
    <row r="5477" spans="1:10" s="15" customFormat="1" ht="16.5" hidden="1" customHeight="1" outlineLevel="1" x14ac:dyDescent="0.25">
      <c r="A5477" s="18">
        <v>3475</v>
      </c>
      <c r="B5477" s="4" t="s">
        <v>43</v>
      </c>
      <c r="C5477" s="38" t="s">
        <v>3619</v>
      </c>
      <c r="D5477" s="18">
        <v>2022</v>
      </c>
      <c r="E5477" s="18" t="s">
        <v>0</v>
      </c>
      <c r="F5477" s="4">
        <v>1</v>
      </c>
      <c r="G5477" s="41">
        <v>10</v>
      </c>
      <c r="H5477" s="41">
        <f>0.01027502*(1000)</f>
        <v>10.27502</v>
      </c>
      <c r="I5477" s="221"/>
      <c r="J5477" s="221"/>
    </row>
    <row r="5478" spans="1:10" s="15" customFormat="1" ht="16.5" hidden="1" customHeight="1" outlineLevel="1" x14ac:dyDescent="0.25">
      <c r="A5478" s="18">
        <v>3478</v>
      </c>
      <c r="B5478" s="4" t="s">
        <v>43</v>
      </c>
      <c r="C5478" s="38" t="s">
        <v>3620</v>
      </c>
      <c r="D5478" s="18">
        <v>2022</v>
      </c>
      <c r="E5478" s="18" t="s">
        <v>0</v>
      </c>
      <c r="F5478" s="4">
        <v>1</v>
      </c>
      <c r="G5478" s="41">
        <v>10</v>
      </c>
      <c r="H5478" s="41">
        <f>0.01731807*(1000)</f>
        <v>17.318070000000002</v>
      </c>
      <c r="I5478" s="221"/>
      <c r="J5478" s="221"/>
    </row>
    <row r="5479" spans="1:10" s="15" customFormat="1" ht="16.5" hidden="1" customHeight="1" outlineLevel="1" x14ac:dyDescent="0.25">
      <c r="A5479" s="18">
        <v>3479</v>
      </c>
      <c r="B5479" s="4" t="s">
        <v>43</v>
      </c>
      <c r="C5479" s="38" t="s">
        <v>3621</v>
      </c>
      <c r="D5479" s="18">
        <v>2022</v>
      </c>
      <c r="E5479" s="18" t="s">
        <v>0</v>
      </c>
      <c r="F5479" s="4">
        <v>1</v>
      </c>
      <c r="G5479" s="41">
        <v>10</v>
      </c>
      <c r="H5479" s="41">
        <f>0.01731809*(1000)</f>
        <v>17.318090000000002</v>
      </c>
      <c r="I5479" s="221"/>
      <c r="J5479" s="221"/>
    </row>
    <row r="5480" spans="1:10" s="15" customFormat="1" ht="16.5" hidden="1" customHeight="1" outlineLevel="1" x14ac:dyDescent="0.25">
      <c r="A5480" s="18">
        <v>3480</v>
      </c>
      <c r="B5480" s="4" t="s">
        <v>43</v>
      </c>
      <c r="C5480" s="38" t="s">
        <v>3622</v>
      </c>
      <c r="D5480" s="18">
        <v>2022</v>
      </c>
      <c r="E5480" s="18" t="s">
        <v>0</v>
      </c>
      <c r="F5480" s="4">
        <v>1</v>
      </c>
      <c r="G5480" s="41">
        <v>10</v>
      </c>
      <c r="H5480" s="41">
        <f>0.01027501*(1000)</f>
        <v>10.27501</v>
      </c>
      <c r="I5480" s="221"/>
      <c r="J5480" s="221"/>
    </row>
    <row r="5481" spans="1:10" s="15" customFormat="1" ht="16.5" hidden="1" customHeight="1" outlineLevel="1" x14ac:dyDescent="0.25">
      <c r="A5481" s="18">
        <v>3482</v>
      </c>
      <c r="B5481" s="4" t="s">
        <v>43</v>
      </c>
      <c r="C5481" s="38" t="s">
        <v>3623</v>
      </c>
      <c r="D5481" s="18">
        <v>2022</v>
      </c>
      <c r="E5481" s="18" t="s">
        <v>0</v>
      </c>
      <c r="F5481" s="4">
        <v>1</v>
      </c>
      <c r="G5481" s="41">
        <v>10</v>
      </c>
      <c r="H5481" s="41">
        <f>0.01028005*(1000)</f>
        <v>10.280050000000001</v>
      </c>
      <c r="I5481" s="221"/>
      <c r="J5481" s="221"/>
    </row>
    <row r="5482" spans="1:10" s="15" customFormat="1" ht="16.5" hidden="1" customHeight="1" outlineLevel="1" x14ac:dyDescent="0.25">
      <c r="A5482" s="18">
        <v>3484</v>
      </c>
      <c r="B5482" s="4" t="s">
        <v>43</v>
      </c>
      <c r="C5482" s="38" t="s">
        <v>3624</v>
      </c>
      <c r="D5482" s="18">
        <v>2022</v>
      </c>
      <c r="E5482" s="18" t="s">
        <v>0</v>
      </c>
      <c r="F5482" s="4">
        <v>1</v>
      </c>
      <c r="G5482" s="41">
        <v>10</v>
      </c>
      <c r="H5482" s="41">
        <f>0.01028005*(1000)</f>
        <v>10.280050000000001</v>
      </c>
      <c r="I5482" s="221"/>
      <c r="J5482" s="221"/>
    </row>
    <row r="5483" spans="1:10" s="15" customFormat="1" ht="16.5" hidden="1" customHeight="1" outlineLevel="1" x14ac:dyDescent="0.25">
      <c r="A5483" s="18">
        <v>3486</v>
      </c>
      <c r="B5483" s="4" t="s">
        <v>43</v>
      </c>
      <c r="C5483" s="38" t="s">
        <v>3625</v>
      </c>
      <c r="D5483" s="18">
        <v>2022</v>
      </c>
      <c r="E5483" s="18" t="s">
        <v>0</v>
      </c>
      <c r="F5483" s="4">
        <v>1</v>
      </c>
      <c r="G5483" s="41">
        <v>11</v>
      </c>
      <c r="H5483" s="41">
        <f>0.01028005*(1000)</f>
        <v>10.280050000000001</v>
      </c>
      <c r="I5483" s="221"/>
      <c r="J5483" s="221"/>
    </row>
    <row r="5484" spans="1:10" s="15" customFormat="1" ht="16.5" hidden="1" customHeight="1" outlineLevel="1" x14ac:dyDescent="0.25">
      <c r="A5484" s="18">
        <v>3487</v>
      </c>
      <c r="B5484" s="4" t="s">
        <v>43</v>
      </c>
      <c r="C5484" s="38" t="s">
        <v>3626</v>
      </c>
      <c r="D5484" s="18">
        <v>2022</v>
      </c>
      <c r="E5484" s="18" t="s">
        <v>0</v>
      </c>
      <c r="F5484" s="4">
        <v>1</v>
      </c>
      <c r="G5484" s="41">
        <v>10</v>
      </c>
      <c r="H5484" s="41">
        <f>0.01028006*(1000)</f>
        <v>10.280060000000001</v>
      </c>
      <c r="I5484" s="221"/>
      <c r="J5484" s="221"/>
    </row>
    <row r="5485" spans="1:10" s="15" customFormat="1" ht="16.5" hidden="1" customHeight="1" outlineLevel="1" x14ac:dyDescent="0.25">
      <c r="A5485" s="18">
        <v>3491</v>
      </c>
      <c r="B5485" s="4" t="s">
        <v>43</v>
      </c>
      <c r="C5485" s="38" t="s">
        <v>3627</v>
      </c>
      <c r="D5485" s="18">
        <v>2022</v>
      </c>
      <c r="E5485" s="18" t="s">
        <v>0</v>
      </c>
      <c r="F5485" s="4">
        <v>1</v>
      </c>
      <c r="G5485" s="41">
        <v>11</v>
      </c>
      <c r="H5485" s="41">
        <f>0.01028006*(1000)</f>
        <v>10.280060000000001</v>
      </c>
      <c r="I5485" s="221"/>
      <c r="J5485" s="221"/>
    </row>
    <row r="5486" spans="1:10" s="15" customFormat="1" ht="16.5" hidden="1" customHeight="1" outlineLevel="1" x14ac:dyDescent="0.25">
      <c r="A5486" s="18">
        <v>3492</v>
      </c>
      <c r="B5486" s="4" t="s">
        <v>43</v>
      </c>
      <c r="C5486" s="38" t="s">
        <v>3628</v>
      </c>
      <c r="D5486" s="18">
        <v>2022</v>
      </c>
      <c r="E5486" s="18" t="s">
        <v>0</v>
      </c>
      <c r="F5486" s="4">
        <v>1</v>
      </c>
      <c r="G5486" s="41">
        <v>10</v>
      </c>
      <c r="H5486" s="41">
        <f>0.01732312*(1000)</f>
        <v>17.323119999999999</v>
      </c>
      <c r="I5486" s="221"/>
      <c r="J5486" s="221"/>
    </row>
    <row r="5487" spans="1:10" s="15" customFormat="1" ht="16.5" hidden="1" customHeight="1" outlineLevel="1" x14ac:dyDescent="0.25">
      <c r="A5487" s="18">
        <v>3493</v>
      </c>
      <c r="B5487" s="4" t="s">
        <v>43</v>
      </c>
      <c r="C5487" s="38" t="s">
        <v>3629</v>
      </c>
      <c r="D5487" s="18">
        <v>2022</v>
      </c>
      <c r="E5487" s="18" t="s">
        <v>0</v>
      </c>
      <c r="F5487" s="4">
        <v>1</v>
      </c>
      <c r="G5487" s="41">
        <v>11</v>
      </c>
      <c r="H5487" s="41">
        <f>0.01028006*(1000)</f>
        <v>10.280060000000001</v>
      </c>
      <c r="I5487" s="221"/>
      <c r="J5487" s="221"/>
    </row>
    <row r="5488" spans="1:10" s="15" customFormat="1" ht="16.5" hidden="1" customHeight="1" outlineLevel="1" x14ac:dyDescent="0.25">
      <c r="A5488" s="18">
        <v>3499</v>
      </c>
      <c r="B5488" s="4" t="s">
        <v>43</v>
      </c>
      <c r="C5488" s="38" t="s">
        <v>3630</v>
      </c>
      <c r="D5488" s="18">
        <v>2022</v>
      </c>
      <c r="E5488" s="18" t="s">
        <v>0</v>
      </c>
      <c r="F5488" s="4">
        <v>1</v>
      </c>
      <c r="G5488" s="41">
        <v>12</v>
      </c>
      <c r="H5488" s="41">
        <f>0.01028006*(1000)</f>
        <v>10.280060000000001</v>
      </c>
      <c r="I5488" s="221"/>
      <c r="J5488" s="221"/>
    </row>
    <row r="5489" spans="1:10" s="15" customFormat="1" ht="16.5" hidden="1" customHeight="1" outlineLevel="1" x14ac:dyDescent="0.25">
      <c r="A5489" s="18">
        <v>3500</v>
      </c>
      <c r="B5489" s="4" t="s">
        <v>43</v>
      </c>
      <c r="C5489" s="38" t="s">
        <v>3631</v>
      </c>
      <c r="D5489" s="18">
        <v>2022</v>
      </c>
      <c r="E5489" s="18" t="s">
        <v>0</v>
      </c>
      <c r="F5489" s="4">
        <v>1</v>
      </c>
      <c r="G5489" s="41">
        <v>11</v>
      </c>
      <c r="H5489" s="41">
        <f>0.01028005*(1000)</f>
        <v>10.280050000000001</v>
      </c>
      <c r="I5489" s="221"/>
      <c r="J5489" s="221"/>
    </row>
    <row r="5490" spans="1:10" s="15" customFormat="1" ht="16.5" hidden="1" customHeight="1" outlineLevel="1" x14ac:dyDescent="0.25">
      <c r="A5490" s="18">
        <v>3501</v>
      </c>
      <c r="B5490" s="4" t="s">
        <v>43</v>
      </c>
      <c r="C5490" s="38" t="s">
        <v>3632</v>
      </c>
      <c r="D5490" s="18">
        <v>2022</v>
      </c>
      <c r="E5490" s="18" t="s">
        <v>0</v>
      </c>
      <c r="F5490" s="4">
        <v>1</v>
      </c>
      <c r="G5490" s="41">
        <v>10</v>
      </c>
      <c r="H5490" s="41">
        <f>0.01028006*(1000)</f>
        <v>10.280060000000001</v>
      </c>
      <c r="I5490" s="221"/>
      <c r="J5490" s="221"/>
    </row>
    <row r="5491" spans="1:10" s="15" customFormat="1" ht="16.5" hidden="1" customHeight="1" outlineLevel="1" x14ac:dyDescent="0.25">
      <c r="A5491" s="18">
        <v>3502</v>
      </c>
      <c r="B5491" s="4" t="s">
        <v>43</v>
      </c>
      <c r="C5491" s="38" t="s">
        <v>3633</v>
      </c>
      <c r="D5491" s="18">
        <v>2022</v>
      </c>
      <c r="E5491" s="18" t="s">
        <v>0</v>
      </c>
      <c r="F5491" s="4">
        <v>1</v>
      </c>
      <c r="G5491" s="41">
        <v>11</v>
      </c>
      <c r="H5491" s="41">
        <f>0.01846155*(1000)</f>
        <v>18.461549999999999</v>
      </c>
      <c r="I5491" s="221"/>
      <c r="J5491" s="221"/>
    </row>
    <row r="5492" spans="1:10" s="15" customFormat="1" ht="16.5" hidden="1" customHeight="1" outlineLevel="1" x14ac:dyDescent="0.25">
      <c r="A5492" s="18">
        <v>3507</v>
      </c>
      <c r="B5492" s="4" t="s">
        <v>43</v>
      </c>
      <c r="C5492" s="38" t="s">
        <v>3634</v>
      </c>
      <c r="D5492" s="18">
        <v>2022</v>
      </c>
      <c r="E5492" s="18" t="s">
        <v>0</v>
      </c>
      <c r="F5492" s="4">
        <v>1</v>
      </c>
      <c r="G5492" s="41">
        <v>11</v>
      </c>
      <c r="H5492" s="41">
        <f>0.01028006*(1000)</f>
        <v>10.280060000000001</v>
      </c>
      <c r="I5492" s="221"/>
      <c r="J5492" s="221"/>
    </row>
    <row r="5493" spans="1:10" s="15" customFormat="1" ht="16.5" hidden="1" customHeight="1" outlineLevel="1" x14ac:dyDescent="0.25">
      <c r="A5493" s="18">
        <v>3509</v>
      </c>
      <c r="B5493" s="4" t="s">
        <v>43</v>
      </c>
      <c r="C5493" s="38" t="s">
        <v>3635</v>
      </c>
      <c r="D5493" s="18">
        <v>2022</v>
      </c>
      <c r="E5493" s="18" t="s">
        <v>0</v>
      </c>
      <c r="F5493" s="4">
        <v>1</v>
      </c>
      <c r="G5493" s="41">
        <v>6</v>
      </c>
      <c r="H5493" s="41">
        <f>0.01028006*(1000)</f>
        <v>10.280060000000001</v>
      </c>
      <c r="I5493" s="221"/>
      <c r="J5493" s="221"/>
    </row>
    <row r="5494" spans="1:10" s="15" customFormat="1" ht="16.5" hidden="1" customHeight="1" outlineLevel="1" x14ac:dyDescent="0.25">
      <c r="A5494" s="18">
        <v>3511</v>
      </c>
      <c r="B5494" s="4" t="s">
        <v>43</v>
      </c>
      <c r="C5494" s="38" t="s">
        <v>3636</v>
      </c>
      <c r="D5494" s="18">
        <v>2022</v>
      </c>
      <c r="E5494" s="18" t="s">
        <v>0</v>
      </c>
      <c r="F5494" s="4">
        <v>1</v>
      </c>
      <c r="G5494" s="41">
        <v>10</v>
      </c>
      <c r="H5494" s="41">
        <f>0.01028005*(1000)</f>
        <v>10.280050000000001</v>
      </c>
      <c r="I5494" s="221"/>
      <c r="J5494" s="221"/>
    </row>
    <row r="5495" spans="1:10" s="15" customFormat="1" ht="16.5" hidden="1" customHeight="1" outlineLevel="1" x14ac:dyDescent="0.25">
      <c r="A5495" s="18">
        <v>3515</v>
      </c>
      <c r="B5495" s="4" t="s">
        <v>43</v>
      </c>
      <c r="C5495" s="38" t="s">
        <v>3637</v>
      </c>
      <c r="D5495" s="18">
        <v>2022</v>
      </c>
      <c r="E5495" s="18" t="s">
        <v>0</v>
      </c>
      <c r="F5495" s="4">
        <v>1</v>
      </c>
      <c r="G5495" s="41">
        <v>12</v>
      </c>
      <c r="H5495" s="41">
        <f>0.01028005*(1000)</f>
        <v>10.280050000000001</v>
      </c>
      <c r="I5495" s="221"/>
      <c r="J5495" s="221"/>
    </row>
    <row r="5496" spans="1:10" s="15" customFormat="1" ht="16.5" hidden="1" customHeight="1" outlineLevel="1" x14ac:dyDescent="0.25">
      <c r="A5496" s="18">
        <v>3516</v>
      </c>
      <c r="B5496" s="4" t="s">
        <v>43</v>
      </c>
      <c r="C5496" s="38" t="s">
        <v>3638</v>
      </c>
      <c r="D5496" s="18">
        <v>2022</v>
      </c>
      <c r="E5496" s="18" t="s">
        <v>0</v>
      </c>
      <c r="F5496" s="4">
        <v>1</v>
      </c>
      <c r="G5496" s="41">
        <v>12</v>
      </c>
      <c r="H5496" s="41">
        <f>0.01028003*(1000)</f>
        <v>10.28003</v>
      </c>
      <c r="I5496" s="221"/>
      <c r="J5496" s="221"/>
    </row>
    <row r="5497" spans="1:10" s="15" customFormat="1" ht="16.5" hidden="1" customHeight="1" outlineLevel="1" x14ac:dyDescent="0.25">
      <c r="A5497" s="18">
        <v>3520</v>
      </c>
      <c r="B5497" s="4" t="s">
        <v>43</v>
      </c>
      <c r="C5497" s="38" t="s">
        <v>3639</v>
      </c>
      <c r="D5497" s="18">
        <v>2022</v>
      </c>
      <c r="E5497" s="18" t="s">
        <v>0</v>
      </c>
      <c r="F5497" s="4">
        <v>1</v>
      </c>
      <c r="G5497" s="41">
        <v>11</v>
      </c>
      <c r="H5497" s="41">
        <f>0.01028004*(1000)</f>
        <v>10.280040000000001</v>
      </c>
      <c r="I5497" s="221"/>
      <c r="J5497" s="221"/>
    </row>
    <row r="5498" spans="1:10" s="15" customFormat="1" ht="16.5" hidden="1" customHeight="1" outlineLevel="1" x14ac:dyDescent="0.25">
      <c r="A5498" s="18">
        <v>3521</v>
      </c>
      <c r="B5498" s="4" t="s">
        <v>43</v>
      </c>
      <c r="C5498" s="38" t="s">
        <v>3640</v>
      </c>
      <c r="D5498" s="18">
        <v>2022</v>
      </c>
      <c r="E5498" s="18" t="s">
        <v>0</v>
      </c>
      <c r="F5498" s="4">
        <v>1</v>
      </c>
      <c r="G5498" s="41">
        <v>10</v>
      </c>
      <c r="H5498" s="41">
        <f>0.01028006*(1000)</f>
        <v>10.280060000000001</v>
      </c>
      <c r="I5498" s="221"/>
      <c r="J5498" s="221"/>
    </row>
    <row r="5499" spans="1:10" s="15" customFormat="1" ht="16.5" hidden="1" customHeight="1" outlineLevel="1" x14ac:dyDescent="0.25">
      <c r="A5499" s="18">
        <v>3522</v>
      </c>
      <c r="B5499" s="4" t="s">
        <v>43</v>
      </c>
      <c r="C5499" s="38" t="s">
        <v>3641</v>
      </c>
      <c r="D5499" s="18">
        <v>2022</v>
      </c>
      <c r="E5499" s="18" t="s">
        <v>0</v>
      </c>
      <c r="F5499" s="4">
        <v>1</v>
      </c>
      <c r="G5499" s="41">
        <v>11</v>
      </c>
      <c r="H5499" s="41">
        <f>0.01028003*(1000)</f>
        <v>10.28003</v>
      </c>
      <c r="I5499" s="221"/>
      <c r="J5499" s="221"/>
    </row>
    <row r="5500" spans="1:10" s="15" customFormat="1" ht="16.5" hidden="1" customHeight="1" outlineLevel="1" x14ac:dyDescent="0.25">
      <c r="A5500" s="18">
        <v>3526</v>
      </c>
      <c r="B5500" s="4" t="s">
        <v>43</v>
      </c>
      <c r="C5500" s="38" t="s">
        <v>3642</v>
      </c>
      <c r="D5500" s="18">
        <v>2022</v>
      </c>
      <c r="E5500" s="18" t="s">
        <v>0</v>
      </c>
      <c r="F5500" s="4">
        <v>1</v>
      </c>
      <c r="G5500" s="41">
        <v>10</v>
      </c>
      <c r="H5500" s="41">
        <f>0.01024924*(1000)</f>
        <v>10.24924</v>
      </c>
      <c r="I5500" s="221"/>
      <c r="J5500" s="221"/>
    </row>
    <row r="5501" spans="1:10" s="15" customFormat="1" ht="16.5" hidden="1" customHeight="1" outlineLevel="1" x14ac:dyDescent="0.25">
      <c r="A5501" s="18">
        <v>3528</v>
      </c>
      <c r="B5501" s="4" t="s">
        <v>43</v>
      </c>
      <c r="C5501" s="38" t="s">
        <v>3643</v>
      </c>
      <c r="D5501" s="18">
        <v>2022</v>
      </c>
      <c r="E5501" s="18" t="s">
        <v>0</v>
      </c>
      <c r="F5501" s="4">
        <v>1</v>
      </c>
      <c r="G5501" s="41">
        <v>12</v>
      </c>
      <c r="H5501" s="41">
        <f>0.01024925*(1000)</f>
        <v>10.24925</v>
      </c>
      <c r="I5501" s="221"/>
      <c r="J5501" s="221"/>
    </row>
    <row r="5502" spans="1:10" s="15" customFormat="1" ht="16.5" hidden="1" customHeight="1" outlineLevel="1" x14ac:dyDescent="0.25">
      <c r="A5502" s="18">
        <v>3529</v>
      </c>
      <c r="B5502" s="4" t="s">
        <v>43</v>
      </c>
      <c r="C5502" s="38" t="s">
        <v>3644</v>
      </c>
      <c r="D5502" s="18">
        <v>2022</v>
      </c>
      <c r="E5502" s="18" t="s">
        <v>0</v>
      </c>
      <c r="F5502" s="4">
        <v>1</v>
      </c>
      <c r="G5502" s="41">
        <v>10</v>
      </c>
      <c r="H5502" s="41">
        <f>0.01024927*(1000)</f>
        <v>10.249269999999999</v>
      </c>
      <c r="I5502" s="221"/>
      <c r="J5502" s="221"/>
    </row>
    <row r="5503" spans="1:10" s="15" customFormat="1" ht="16.5" hidden="1" customHeight="1" outlineLevel="1" x14ac:dyDescent="0.25">
      <c r="A5503" s="18">
        <v>3532</v>
      </c>
      <c r="B5503" s="4" t="s">
        <v>43</v>
      </c>
      <c r="C5503" s="38" t="s">
        <v>3645</v>
      </c>
      <c r="D5503" s="18">
        <v>2022</v>
      </c>
      <c r="E5503" s="18" t="s">
        <v>0</v>
      </c>
      <c r="F5503" s="4">
        <v>1</v>
      </c>
      <c r="G5503" s="41">
        <v>12</v>
      </c>
      <c r="H5503" s="41">
        <f>0.01024925*(1000)</f>
        <v>10.24925</v>
      </c>
      <c r="I5503" s="221"/>
      <c r="J5503" s="221"/>
    </row>
    <row r="5504" spans="1:10" s="15" customFormat="1" ht="16.5" hidden="1" customHeight="1" outlineLevel="1" x14ac:dyDescent="0.25">
      <c r="A5504" s="18">
        <v>3533</v>
      </c>
      <c r="B5504" s="4" t="s">
        <v>43</v>
      </c>
      <c r="C5504" s="38" t="s">
        <v>3646</v>
      </c>
      <c r="D5504" s="18">
        <v>2022</v>
      </c>
      <c r="E5504" s="18" t="s">
        <v>0</v>
      </c>
      <c r="F5504" s="4">
        <v>1</v>
      </c>
      <c r="G5504" s="41">
        <v>10</v>
      </c>
      <c r="H5504" s="41">
        <f>0.01024927*(1000)</f>
        <v>10.249269999999999</v>
      </c>
      <c r="I5504" s="221"/>
      <c r="J5504" s="221"/>
    </row>
    <row r="5505" spans="1:10" s="15" customFormat="1" ht="16.5" hidden="1" customHeight="1" outlineLevel="1" x14ac:dyDescent="0.25">
      <c r="A5505" s="18">
        <v>3536</v>
      </c>
      <c r="B5505" s="4" t="s">
        <v>43</v>
      </c>
      <c r="C5505" s="38" t="s">
        <v>3647</v>
      </c>
      <c r="D5505" s="18">
        <v>2022</v>
      </c>
      <c r="E5505" s="18" t="s">
        <v>0</v>
      </c>
      <c r="F5505" s="4">
        <v>1</v>
      </c>
      <c r="G5505" s="41">
        <v>10</v>
      </c>
      <c r="H5505" s="41">
        <f>0.01024925*(1000)</f>
        <v>10.24925</v>
      </c>
      <c r="I5505" s="221"/>
      <c r="J5505" s="221"/>
    </row>
    <row r="5506" spans="1:10" s="15" customFormat="1" ht="16.5" hidden="1" customHeight="1" outlineLevel="1" x14ac:dyDescent="0.25">
      <c r="A5506" s="18">
        <v>3537</v>
      </c>
      <c r="B5506" s="4" t="s">
        <v>43</v>
      </c>
      <c r="C5506" s="38" t="s">
        <v>3648</v>
      </c>
      <c r="D5506" s="18">
        <v>2022</v>
      </c>
      <c r="E5506" s="18" t="s">
        <v>0</v>
      </c>
      <c r="F5506" s="4">
        <v>1</v>
      </c>
      <c r="G5506" s="41">
        <v>10</v>
      </c>
      <c r="H5506" s="41">
        <f>0.01024927*(1000)</f>
        <v>10.249269999999999</v>
      </c>
      <c r="I5506" s="221"/>
      <c r="J5506" s="221"/>
    </row>
    <row r="5507" spans="1:10" s="15" customFormat="1" ht="16.5" hidden="1" customHeight="1" outlineLevel="1" x14ac:dyDescent="0.25">
      <c r="A5507" s="18">
        <v>3543</v>
      </c>
      <c r="B5507" s="4" t="s">
        <v>43</v>
      </c>
      <c r="C5507" s="38" t="s">
        <v>3649</v>
      </c>
      <c r="D5507" s="18">
        <v>2022</v>
      </c>
      <c r="E5507" s="18" t="s">
        <v>0</v>
      </c>
      <c r="F5507" s="4">
        <v>1</v>
      </c>
      <c r="G5507" s="41">
        <v>12</v>
      </c>
      <c r="H5507" s="41">
        <f>0.01047979*(1000)</f>
        <v>10.479789999999999</v>
      </c>
      <c r="I5507" s="221"/>
      <c r="J5507" s="221"/>
    </row>
    <row r="5508" spans="1:10" s="15" customFormat="1" ht="16.5" hidden="1" customHeight="1" outlineLevel="1" x14ac:dyDescent="0.25">
      <c r="A5508" s="18">
        <v>3544</v>
      </c>
      <c r="B5508" s="4" t="s">
        <v>43</v>
      </c>
      <c r="C5508" s="38" t="s">
        <v>3650</v>
      </c>
      <c r="D5508" s="18">
        <v>2022</v>
      </c>
      <c r="E5508" s="18" t="s">
        <v>0</v>
      </c>
      <c r="F5508" s="4">
        <v>1</v>
      </c>
      <c r="G5508" s="41">
        <v>1.5</v>
      </c>
      <c r="H5508" s="41">
        <f>0.01028379*(1000)</f>
        <v>10.28379</v>
      </c>
      <c r="I5508" s="221"/>
      <c r="J5508" s="221"/>
    </row>
    <row r="5509" spans="1:10" s="15" customFormat="1" ht="16.5" hidden="1" customHeight="1" outlineLevel="1" x14ac:dyDescent="0.25">
      <c r="A5509" s="18">
        <v>3545</v>
      </c>
      <c r="B5509" s="4" t="s">
        <v>43</v>
      </c>
      <c r="C5509" s="38" t="s">
        <v>3651</v>
      </c>
      <c r="D5509" s="18">
        <v>2022</v>
      </c>
      <c r="E5509" s="18" t="s">
        <v>0</v>
      </c>
      <c r="F5509" s="4">
        <v>1</v>
      </c>
      <c r="G5509" s="41">
        <v>12</v>
      </c>
      <c r="H5509" s="41">
        <f>0.0102927*(1000)</f>
        <v>10.2927</v>
      </c>
      <c r="I5509" s="221"/>
      <c r="J5509" s="221"/>
    </row>
    <row r="5510" spans="1:10" s="15" customFormat="1" ht="16.5" hidden="1" customHeight="1" outlineLevel="1" x14ac:dyDescent="0.25">
      <c r="A5510" s="18">
        <v>3546</v>
      </c>
      <c r="B5510" s="4" t="s">
        <v>43</v>
      </c>
      <c r="C5510" s="38" t="s">
        <v>3652</v>
      </c>
      <c r="D5510" s="18">
        <v>2022</v>
      </c>
      <c r="E5510" s="18" t="s">
        <v>0</v>
      </c>
      <c r="F5510" s="4">
        <v>1</v>
      </c>
      <c r="G5510" s="41">
        <v>10</v>
      </c>
      <c r="H5510" s="41">
        <f>0.01029269*(1000)</f>
        <v>10.29269</v>
      </c>
      <c r="I5510" s="221"/>
      <c r="J5510" s="221"/>
    </row>
    <row r="5511" spans="1:10" s="15" customFormat="1" ht="16.5" hidden="1" customHeight="1" outlineLevel="1" x14ac:dyDescent="0.25">
      <c r="A5511" s="18">
        <v>3550</v>
      </c>
      <c r="B5511" s="4" t="s">
        <v>43</v>
      </c>
      <c r="C5511" s="38" t="s">
        <v>3653</v>
      </c>
      <c r="D5511" s="18">
        <v>2022</v>
      </c>
      <c r="E5511" s="18" t="s">
        <v>0</v>
      </c>
      <c r="F5511" s="4">
        <v>1</v>
      </c>
      <c r="G5511" s="41">
        <v>8</v>
      </c>
      <c r="H5511" s="41">
        <f>0.01029269*(1000)</f>
        <v>10.29269</v>
      </c>
      <c r="I5511" s="221"/>
      <c r="J5511" s="221"/>
    </row>
    <row r="5512" spans="1:10" s="15" customFormat="1" ht="16.5" hidden="1" customHeight="1" outlineLevel="1" x14ac:dyDescent="0.25">
      <c r="A5512" s="18">
        <v>3551</v>
      </c>
      <c r="B5512" s="4" t="s">
        <v>43</v>
      </c>
      <c r="C5512" s="38" t="s">
        <v>3654</v>
      </c>
      <c r="D5512" s="18">
        <v>2022</v>
      </c>
      <c r="E5512" s="18" t="s">
        <v>0</v>
      </c>
      <c r="F5512" s="4">
        <v>1</v>
      </c>
      <c r="G5512" s="41">
        <v>11</v>
      </c>
      <c r="H5512" s="41">
        <f>0.0102927*(1000)</f>
        <v>10.2927</v>
      </c>
      <c r="I5512" s="221"/>
      <c r="J5512" s="221"/>
    </row>
    <row r="5513" spans="1:10" s="15" customFormat="1" ht="16.5" hidden="1" customHeight="1" outlineLevel="1" x14ac:dyDescent="0.25">
      <c r="A5513" s="18">
        <v>3552</v>
      </c>
      <c r="B5513" s="4" t="s">
        <v>43</v>
      </c>
      <c r="C5513" s="38" t="s">
        <v>3655</v>
      </c>
      <c r="D5513" s="18">
        <v>2022</v>
      </c>
      <c r="E5513" s="18" t="s">
        <v>0</v>
      </c>
      <c r="F5513" s="4">
        <v>1</v>
      </c>
      <c r="G5513" s="41">
        <v>11</v>
      </c>
      <c r="H5513" s="41">
        <f>0.01029269*(1000)</f>
        <v>10.29269</v>
      </c>
      <c r="I5513" s="221"/>
      <c r="J5513" s="221"/>
    </row>
    <row r="5514" spans="1:10" s="15" customFormat="1" ht="16.5" hidden="1" customHeight="1" outlineLevel="1" x14ac:dyDescent="0.25">
      <c r="A5514" s="18">
        <v>3554</v>
      </c>
      <c r="B5514" s="4" t="s">
        <v>43</v>
      </c>
      <c r="C5514" s="38" t="s">
        <v>3656</v>
      </c>
      <c r="D5514" s="18">
        <v>2022</v>
      </c>
      <c r="E5514" s="18" t="s">
        <v>0</v>
      </c>
      <c r="F5514" s="4">
        <v>1</v>
      </c>
      <c r="G5514" s="41">
        <v>10</v>
      </c>
      <c r="H5514" s="41">
        <f>0.01029269*(1000)</f>
        <v>10.29269</v>
      </c>
      <c r="I5514" s="221"/>
      <c r="J5514" s="221"/>
    </row>
    <row r="5515" spans="1:10" s="15" customFormat="1" ht="16.5" hidden="1" customHeight="1" outlineLevel="1" x14ac:dyDescent="0.25">
      <c r="A5515" s="18">
        <v>3555</v>
      </c>
      <c r="B5515" s="4" t="s">
        <v>43</v>
      </c>
      <c r="C5515" s="38" t="s">
        <v>3657</v>
      </c>
      <c r="D5515" s="18">
        <v>2022</v>
      </c>
      <c r="E5515" s="18" t="s">
        <v>0</v>
      </c>
      <c r="F5515" s="4">
        <v>1</v>
      </c>
      <c r="G5515" s="41">
        <v>10</v>
      </c>
      <c r="H5515" s="41">
        <f>0.0102927*(1000)</f>
        <v>10.2927</v>
      </c>
      <c r="I5515" s="221"/>
      <c r="J5515" s="221"/>
    </row>
    <row r="5516" spans="1:10" s="15" customFormat="1" ht="16.5" hidden="1" customHeight="1" outlineLevel="1" x14ac:dyDescent="0.25">
      <c r="A5516" s="18">
        <v>3556</v>
      </c>
      <c r="B5516" s="4" t="s">
        <v>43</v>
      </c>
      <c r="C5516" s="38" t="s">
        <v>3658</v>
      </c>
      <c r="D5516" s="18">
        <v>2022</v>
      </c>
      <c r="E5516" s="18" t="s">
        <v>0</v>
      </c>
      <c r="F5516" s="4">
        <v>1</v>
      </c>
      <c r="G5516" s="41">
        <v>15</v>
      </c>
      <c r="H5516" s="41">
        <f>0.01029269*(1000)</f>
        <v>10.29269</v>
      </c>
      <c r="I5516" s="221"/>
      <c r="J5516" s="221"/>
    </row>
    <row r="5517" spans="1:10" s="15" customFormat="1" ht="16.5" hidden="1" customHeight="1" outlineLevel="1" x14ac:dyDescent="0.25">
      <c r="A5517" s="18">
        <v>3562</v>
      </c>
      <c r="B5517" s="4" t="s">
        <v>43</v>
      </c>
      <c r="C5517" s="38" t="s">
        <v>3659</v>
      </c>
      <c r="D5517" s="18">
        <v>2022</v>
      </c>
      <c r="E5517" s="18" t="s">
        <v>0</v>
      </c>
      <c r="F5517" s="4">
        <v>1</v>
      </c>
      <c r="G5517" s="41">
        <v>5</v>
      </c>
      <c r="H5517" s="41">
        <f>0.01029269*(1000)</f>
        <v>10.29269</v>
      </c>
      <c r="I5517" s="221"/>
      <c r="J5517" s="221"/>
    </row>
    <row r="5518" spans="1:10" s="15" customFormat="1" ht="16.5" hidden="1" customHeight="1" outlineLevel="1" x14ac:dyDescent="0.25">
      <c r="A5518" s="18">
        <v>3566</v>
      </c>
      <c r="B5518" s="4" t="s">
        <v>43</v>
      </c>
      <c r="C5518" s="38" t="s">
        <v>3660</v>
      </c>
      <c r="D5518" s="18">
        <v>2022</v>
      </c>
      <c r="E5518" s="18" t="s">
        <v>0</v>
      </c>
      <c r="F5518" s="4">
        <v>1</v>
      </c>
      <c r="G5518" s="41">
        <v>10</v>
      </c>
      <c r="H5518" s="41">
        <f>0.01044191*(1000)</f>
        <v>10.44191</v>
      </c>
      <c r="I5518" s="221"/>
      <c r="J5518" s="221"/>
    </row>
    <row r="5519" spans="1:10" s="15" customFormat="1" ht="16.5" hidden="1" customHeight="1" outlineLevel="1" x14ac:dyDescent="0.25">
      <c r="A5519" s="18">
        <v>3567</v>
      </c>
      <c r="B5519" s="4" t="s">
        <v>43</v>
      </c>
      <c r="C5519" s="38" t="s">
        <v>3661</v>
      </c>
      <c r="D5519" s="18">
        <v>2022</v>
      </c>
      <c r="E5519" s="18" t="s">
        <v>0</v>
      </c>
      <c r="F5519" s="4">
        <v>1</v>
      </c>
      <c r="G5519" s="151">
        <v>14.7</v>
      </c>
      <c r="H5519" s="41">
        <f>0.01847421*(1000)</f>
        <v>18.474210000000003</v>
      </c>
      <c r="I5519" s="221"/>
      <c r="J5519" s="221"/>
    </row>
    <row r="5520" spans="1:10" s="15" customFormat="1" ht="16.5" hidden="1" customHeight="1" outlineLevel="1" x14ac:dyDescent="0.25">
      <c r="A5520" s="18">
        <v>3568</v>
      </c>
      <c r="B5520" s="4" t="s">
        <v>43</v>
      </c>
      <c r="C5520" s="38" t="s">
        <v>3662</v>
      </c>
      <c r="D5520" s="18">
        <v>2022</v>
      </c>
      <c r="E5520" s="18" t="s">
        <v>0</v>
      </c>
      <c r="F5520" s="4">
        <v>1</v>
      </c>
      <c r="G5520" s="41">
        <v>10</v>
      </c>
      <c r="H5520" s="41">
        <f>0.0102927*(1000)</f>
        <v>10.2927</v>
      </c>
      <c r="I5520" s="221"/>
      <c r="J5520" s="221"/>
    </row>
    <row r="5521" spans="1:10" s="15" customFormat="1" ht="16.5" hidden="1" customHeight="1" outlineLevel="1" x14ac:dyDescent="0.25">
      <c r="A5521" s="18">
        <v>3569</v>
      </c>
      <c r="B5521" s="4" t="s">
        <v>43</v>
      </c>
      <c r="C5521" s="38" t="s">
        <v>3663</v>
      </c>
      <c r="D5521" s="18">
        <v>2022</v>
      </c>
      <c r="E5521" s="18" t="s">
        <v>0</v>
      </c>
      <c r="F5521" s="4">
        <v>1</v>
      </c>
      <c r="G5521" s="41">
        <v>7</v>
      </c>
      <c r="H5521" s="41">
        <f>0.01029269*(1000)</f>
        <v>10.29269</v>
      </c>
      <c r="I5521" s="221"/>
      <c r="J5521" s="221"/>
    </row>
    <row r="5522" spans="1:10" s="15" customFormat="1" ht="16.5" hidden="1" customHeight="1" outlineLevel="1" x14ac:dyDescent="0.25">
      <c r="A5522" s="18">
        <v>3570</v>
      </c>
      <c r="B5522" s="4" t="s">
        <v>43</v>
      </c>
      <c r="C5522" s="38" t="s">
        <v>3664</v>
      </c>
      <c r="D5522" s="18">
        <v>2022</v>
      </c>
      <c r="E5522" s="18" t="s">
        <v>0</v>
      </c>
      <c r="F5522" s="4">
        <v>1</v>
      </c>
      <c r="G5522" s="41">
        <v>5</v>
      </c>
      <c r="H5522" s="41">
        <f>0.0102927*(1000)</f>
        <v>10.2927</v>
      </c>
      <c r="I5522" s="221"/>
      <c r="J5522" s="221"/>
    </row>
    <row r="5523" spans="1:10" s="15" customFormat="1" ht="16.5" hidden="1" customHeight="1" outlineLevel="1" x14ac:dyDescent="0.25">
      <c r="A5523" s="18">
        <v>3571</v>
      </c>
      <c r="B5523" s="4" t="s">
        <v>43</v>
      </c>
      <c r="C5523" s="38" t="s">
        <v>3665</v>
      </c>
      <c r="D5523" s="18">
        <v>2022</v>
      </c>
      <c r="E5523" s="18" t="s">
        <v>0</v>
      </c>
      <c r="F5523" s="4">
        <v>1</v>
      </c>
      <c r="G5523" s="41">
        <v>14</v>
      </c>
      <c r="H5523" s="41">
        <f>0.01029269*(1000)</f>
        <v>10.29269</v>
      </c>
      <c r="I5523" s="221"/>
      <c r="J5523" s="221"/>
    </row>
    <row r="5524" spans="1:10" s="15" customFormat="1" ht="16.5" hidden="1" customHeight="1" outlineLevel="1" x14ac:dyDescent="0.25">
      <c r="A5524" s="18">
        <v>3574</v>
      </c>
      <c r="B5524" s="4" t="s">
        <v>43</v>
      </c>
      <c r="C5524" s="38" t="s">
        <v>3666</v>
      </c>
      <c r="D5524" s="18">
        <v>2022</v>
      </c>
      <c r="E5524" s="18" t="s">
        <v>0</v>
      </c>
      <c r="F5524" s="4">
        <v>1</v>
      </c>
      <c r="G5524" s="151">
        <v>4.7</v>
      </c>
      <c r="H5524" s="41">
        <f>0.01847422*(1000)</f>
        <v>18.474219999999999</v>
      </c>
      <c r="I5524" s="221"/>
      <c r="J5524" s="221"/>
    </row>
    <row r="5525" spans="1:10" s="15" customFormat="1" ht="16.5" hidden="1" customHeight="1" outlineLevel="1" x14ac:dyDescent="0.25">
      <c r="A5525" s="18">
        <v>3575</v>
      </c>
      <c r="B5525" s="4" t="s">
        <v>43</v>
      </c>
      <c r="C5525" s="38" t="s">
        <v>3667</v>
      </c>
      <c r="D5525" s="18">
        <v>2022</v>
      </c>
      <c r="E5525" s="18" t="s">
        <v>0</v>
      </c>
      <c r="F5525" s="4">
        <v>1</v>
      </c>
      <c r="G5525" s="41">
        <v>11</v>
      </c>
      <c r="H5525" s="41">
        <f>0.01029269*(1000)</f>
        <v>10.29269</v>
      </c>
      <c r="I5525" s="221"/>
      <c r="J5525" s="221"/>
    </row>
    <row r="5526" spans="1:10" s="15" customFormat="1" ht="16.5" hidden="1" customHeight="1" outlineLevel="1" x14ac:dyDescent="0.25">
      <c r="A5526" s="18">
        <v>3580</v>
      </c>
      <c r="B5526" s="4" t="s">
        <v>43</v>
      </c>
      <c r="C5526" s="38" t="s">
        <v>3668</v>
      </c>
      <c r="D5526" s="18">
        <v>2022</v>
      </c>
      <c r="E5526" s="18" t="s">
        <v>0</v>
      </c>
      <c r="F5526" s="4">
        <v>1</v>
      </c>
      <c r="G5526" s="41">
        <v>15</v>
      </c>
      <c r="H5526" s="41">
        <f>0.01027189*(1000)</f>
        <v>10.271890000000001</v>
      </c>
      <c r="I5526" s="221"/>
      <c r="J5526" s="221"/>
    </row>
    <row r="5527" spans="1:10" s="15" customFormat="1" ht="16.5" hidden="1" customHeight="1" outlineLevel="1" x14ac:dyDescent="0.25">
      <c r="A5527" s="18">
        <v>3581</v>
      </c>
      <c r="B5527" s="4" t="s">
        <v>43</v>
      </c>
      <c r="C5527" s="38" t="s">
        <v>3669</v>
      </c>
      <c r="D5527" s="18">
        <v>2022</v>
      </c>
      <c r="E5527" s="18" t="s">
        <v>0</v>
      </c>
      <c r="F5527" s="4">
        <v>1</v>
      </c>
      <c r="G5527" s="41">
        <v>14</v>
      </c>
      <c r="H5527" s="41">
        <f>0.01845341*(1000)</f>
        <v>18.453410000000002</v>
      </c>
      <c r="I5527" s="221"/>
      <c r="J5527" s="221"/>
    </row>
    <row r="5528" spans="1:10" s="15" customFormat="1" ht="16.5" hidden="1" customHeight="1" outlineLevel="1" x14ac:dyDescent="0.25">
      <c r="A5528" s="18">
        <v>3582</v>
      </c>
      <c r="B5528" s="4" t="s">
        <v>43</v>
      </c>
      <c r="C5528" s="38" t="s">
        <v>3670</v>
      </c>
      <c r="D5528" s="18">
        <v>2022</v>
      </c>
      <c r="E5528" s="18" t="s">
        <v>0</v>
      </c>
      <c r="F5528" s="4">
        <v>1</v>
      </c>
      <c r="G5528" s="41">
        <v>14</v>
      </c>
      <c r="H5528" s="41">
        <f>0.01027189*(1000)</f>
        <v>10.271890000000001</v>
      </c>
      <c r="I5528" s="221"/>
      <c r="J5528" s="221"/>
    </row>
    <row r="5529" spans="1:10" s="15" customFormat="1" ht="16.5" hidden="1" customHeight="1" outlineLevel="1" x14ac:dyDescent="0.25">
      <c r="A5529" s="18">
        <v>3583</v>
      </c>
      <c r="B5529" s="4" t="s">
        <v>43</v>
      </c>
      <c r="C5529" s="38" t="s">
        <v>3671</v>
      </c>
      <c r="D5529" s="18">
        <v>2022</v>
      </c>
      <c r="E5529" s="18" t="s">
        <v>0</v>
      </c>
      <c r="F5529" s="4">
        <v>1</v>
      </c>
      <c r="G5529" s="41">
        <v>14</v>
      </c>
      <c r="H5529" s="41">
        <f>0.0102719*(1000)</f>
        <v>10.2719</v>
      </c>
      <c r="I5529" s="221"/>
      <c r="J5529" s="221"/>
    </row>
    <row r="5530" spans="1:10" s="15" customFormat="1" ht="16.5" hidden="1" customHeight="1" outlineLevel="1" x14ac:dyDescent="0.25">
      <c r="A5530" s="18">
        <v>3584</v>
      </c>
      <c r="B5530" s="4" t="s">
        <v>43</v>
      </c>
      <c r="C5530" s="38" t="s">
        <v>3672</v>
      </c>
      <c r="D5530" s="18">
        <v>2022</v>
      </c>
      <c r="E5530" s="18" t="s">
        <v>0</v>
      </c>
      <c r="F5530" s="4">
        <v>1</v>
      </c>
      <c r="G5530" s="41">
        <v>14</v>
      </c>
      <c r="H5530" s="41">
        <f>0.01027189*(1000)</f>
        <v>10.271890000000001</v>
      </c>
      <c r="I5530" s="221"/>
      <c r="J5530" s="221"/>
    </row>
    <row r="5531" spans="1:10" s="15" customFormat="1" ht="16.5" hidden="1" customHeight="1" outlineLevel="1" x14ac:dyDescent="0.25">
      <c r="A5531" s="18">
        <v>3585</v>
      </c>
      <c r="B5531" s="4" t="s">
        <v>43</v>
      </c>
      <c r="C5531" s="38" t="s">
        <v>3673</v>
      </c>
      <c r="D5531" s="18">
        <v>2022</v>
      </c>
      <c r="E5531" s="18" t="s">
        <v>0</v>
      </c>
      <c r="F5531" s="4">
        <v>1</v>
      </c>
      <c r="G5531" s="41">
        <v>14</v>
      </c>
      <c r="H5531" s="41">
        <f>0.0102719*(1000)</f>
        <v>10.2719</v>
      </c>
      <c r="I5531" s="221"/>
      <c r="J5531" s="221"/>
    </row>
    <row r="5532" spans="1:10" s="15" customFormat="1" ht="16.5" hidden="1" customHeight="1" outlineLevel="1" x14ac:dyDescent="0.25">
      <c r="A5532" s="18">
        <v>3586</v>
      </c>
      <c r="B5532" s="4" t="s">
        <v>43</v>
      </c>
      <c r="C5532" s="38" t="s">
        <v>3674</v>
      </c>
      <c r="D5532" s="18">
        <v>2022</v>
      </c>
      <c r="E5532" s="18" t="s">
        <v>0</v>
      </c>
      <c r="F5532" s="4">
        <v>1</v>
      </c>
      <c r="G5532" s="41">
        <v>12</v>
      </c>
      <c r="H5532" s="41">
        <f>0.01027189*(1000)</f>
        <v>10.271890000000001</v>
      </c>
      <c r="I5532" s="221"/>
      <c r="J5532" s="221"/>
    </row>
    <row r="5533" spans="1:10" s="15" customFormat="1" ht="16.5" hidden="1" customHeight="1" outlineLevel="1" x14ac:dyDescent="0.25">
      <c r="A5533" s="18">
        <v>3587</v>
      </c>
      <c r="B5533" s="4" t="s">
        <v>43</v>
      </c>
      <c r="C5533" s="38" t="s">
        <v>3675</v>
      </c>
      <c r="D5533" s="18">
        <v>2022</v>
      </c>
      <c r="E5533" s="18" t="s">
        <v>0</v>
      </c>
      <c r="F5533" s="4">
        <v>1</v>
      </c>
      <c r="G5533" s="41">
        <v>12</v>
      </c>
      <c r="H5533" s="41">
        <f>0.0102719*(1000)</f>
        <v>10.2719</v>
      </c>
      <c r="I5533" s="221"/>
      <c r="J5533" s="221"/>
    </row>
    <row r="5534" spans="1:10" s="15" customFormat="1" ht="16.5" hidden="1" customHeight="1" outlineLevel="1" x14ac:dyDescent="0.25">
      <c r="A5534" s="18">
        <v>3588</v>
      </c>
      <c r="B5534" s="4" t="s">
        <v>43</v>
      </c>
      <c r="C5534" s="38" t="s">
        <v>3676</v>
      </c>
      <c r="D5534" s="18">
        <v>2022</v>
      </c>
      <c r="E5534" s="18" t="s">
        <v>0</v>
      </c>
      <c r="F5534" s="4">
        <v>1</v>
      </c>
      <c r="G5534" s="41">
        <v>1</v>
      </c>
      <c r="H5534" s="41">
        <f>0.01027189*(1000)</f>
        <v>10.271890000000001</v>
      </c>
      <c r="I5534" s="221"/>
      <c r="J5534" s="221"/>
    </row>
    <row r="5535" spans="1:10" s="15" customFormat="1" ht="16.5" hidden="1" customHeight="1" outlineLevel="1" x14ac:dyDescent="0.25">
      <c r="A5535" s="18">
        <v>3590</v>
      </c>
      <c r="B5535" s="4" t="s">
        <v>43</v>
      </c>
      <c r="C5535" s="38" t="s">
        <v>3677</v>
      </c>
      <c r="D5535" s="18">
        <v>2022</v>
      </c>
      <c r="E5535" s="18" t="s">
        <v>0</v>
      </c>
      <c r="F5535" s="4">
        <v>1</v>
      </c>
      <c r="G5535" s="41">
        <v>12</v>
      </c>
      <c r="H5535" s="41">
        <f>0.01027189*(1000)</f>
        <v>10.271890000000001</v>
      </c>
      <c r="I5535" s="221"/>
      <c r="J5535" s="221"/>
    </row>
    <row r="5536" spans="1:10" s="15" customFormat="1" ht="16.5" hidden="1" customHeight="1" outlineLevel="1" x14ac:dyDescent="0.25">
      <c r="A5536" s="18">
        <v>3592</v>
      </c>
      <c r="B5536" s="4" t="s">
        <v>43</v>
      </c>
      <c r="C5536" s="38" t="s">
        <v>3678</v>
      </c>
      <c r="D5536" s="18">
        <v>2022</v>
      </c>
      <c r="E5536" s="18" t="s">
        <v>0</v>
      </c>
      <c r="F5536" s="4">
        <v>1</v>
      </c>
      <c r="G5536" s="41">
        <v>12</v>
      </c>
      <c r="H5536" s="41">
        <f>0.0184534*(1000)</f>
        <v>18.453399999999998</v>
      </c>
      <c r="I5536" s="221"/>
      <c r="J5536" s="221"/>
    </row>
    <row r="5537" spans="1:10" s="15" customFormat="1" ht="16.5" hidden="1" customHeight="1" outlineLevel="1" x14ac:dyDescent="0.25">
      <c r="A5537" s="18">
        <v>3596</v>
      </c>
      <c r="B5537" s="4" t="s">
        <v>43</v>
      </c>
      <c r="C5537" s="38" t="s">
        <v>3679</v>
      </c>
      <c r="D5537" s="18">
        <v>2022</v>
      </c>
      <c r="E5537" s="18" t="s">
        <v>0</v>
      </c>
      <c r="F5537" s="4">
        <v>1</v>
      </c>
      <c r="G5537" s="41">
        <v>10</v>
      </c>
      <c r="H5537" s="41">
        <f>0.0102719*(1000)</f>
        <v>10.2719</v>
      </c>
      <c r="I5537" s="221"/>
      <c r="J5537" s="221"/>
    </row>
    <row r="5538" spans="1:10" s="15" customFormat="1" ht="16.5" hidden="1" customHeight="1" outlineLevel="1" x14ac:dyDescent="0.25">
      <c r="A5538" s="18">
        <v>3597</v>
      </c>
      <c r="B5538" s="4" t="s">
        <v>43</v>
      </c>
      <c r="C5538" s="38" t="s">
        <v>3680</v>
      </c>
      <c r="D5538" s="18">
        <v>2022</v>
      </c>
      <c r="E5538" s="18" t="s">
        <v>0</v>
      </c>
      <c r="F5538" s="4">
        <v>1</v>
      </c>
      <c r="G5538" s="41">
        <v>10</v>
      </c>
      <c r="H5538" s="41">
        <f>0.01027189*(1000)</f>
        <v>10.271890000000001</v>
      </c>
      <c r="I5538" s="221"/>
      <c r="J5538" s="221"/>
    </row>
    <row r="5539" spans="1:10" s="15" customFormat="1" ht="16.5" hidden="1" customHeight="1" outlineLevel="1" x14ac:dyDescent="0.25">
      <c r="A5539" s="18">
        <v>3599</v>
      </c>
      <c r="B5539" s="4" t="s">
        <v>43</v>
      </c>
      <c r="C5539" s="38" t="s">
        <v>3681</v>
      </c>
      <c r="D5539" s="18">
        <v>2022</v>
      </c>
      <c r="E5539" s="18" t="s">
        <v>0</v>
      </c>
      <c r="F5539" s="4">
        <v>1</v>
      </c>
      <c r="G5539" s="41">
        <v>10</v>
      </c>
      <c r="H5539" s="41">
        <f>0.01027189*(1000)</f>
        <v>10.271890000000001</v>
      </c>
      <c r="I5539" s="221"/>
      <c r="J5539" s="221"/>
    </row>
    <row r="5540" spans="1:10" s="15" customFormat="1" ht="16.5" hidden="1" customHeight="1" outlineLevel="1" x14ac:dyDescent="0.25">
      <c r="A5540" s="18">
        <v>3601</v>
      </c>
      <c r="B5540" s="4" t="s">
        <v>43</v>
      </c>
      <c r="C5540" s="38" t="s">
        <v>3682</v>
      </c>
      <c r="D5540" s="18">
        <v>2022</v>
      </c>
      <c r="E5540" s="18" t="s">
        <v>0</v>
      </c>
      <c r="F5540" s="4">
        <v>1</v>
      </c>
      <c r="G5540" s="41">
        <v>15</v>
      </c>
      <c r="H5540" s="41">
        <f>0.01027189*(1000)</f>
        <v>10.271890000000001</v>
      </c>
      <c r="I5540" s="221"/>
      <c r="J5540" s="221"/>
    </row>
    <row r="5541" spans="1:10" s="15" customFormat="1" ht="16.5" hidden="1" customHeight="1" outlineLevel="1" x14ac:dyDescent="0.25">
      <c r="A5541" s="18">
        <v>3602</v>
      </c>
      <c r="B5541" s="4" t="s">
        <v>43</v>
      </c>
      <c r="C5541" s="38" t="s">
        <v>3683</v>
      </c>
      <c r="D5541" s="18">
        <v>2022</v>
      </c>
      <c r="E5541" s="18" t="s">
        <v>0</v>
      </c>
      <c r="F5541" s="4">
        <v>1</v>
      </c>
      <c r="G5541" s="41">
        <v>6</v>
      </c>
      <c r="H5541" s="41">
        <f>0.0102719*(1000)</f>
        <v>10.2719</v>
      </c>
      <c r="I5541" s="221"/>
      <c r="J5541" s="221"/>
    </row>
    <row r="5542" spans="1:10" s="15" customFormat="1" ht="16.5" hidden="1" customHeight="1" outlineLevel="1" x14ac:dyDescent="0.25">
      <c r="A5542" s="18">
        <v>3606</v>
      </c>
      <c r="B5542" s="4" t="s">
        <v>43</v>
      </c>
      <c r="C5542" s="38" t="s">
        <v>3684</v>
      </c>
      <c r="D5542" s="18">
        <v>2022</v>
      </c>
      <c r="E5542" s="18" t="s">
        <v>0</v>
      </c>
      <c r="F5542" s="4">
        <v>1</v>
      </c>
      <c r="G5542" s="41">
        <v>10</v>
      </c>
      <c r="H5542" s="41">
        <f>0.01029268*(1000)</f>
        <v>10.292680000000001</v>
      </c>
      <c r="I5542" s="221"/>
      <c r="J5542" s="221"/>
    </row>
    <row r="5543" spans="1:10" s="15" customFormat="1" ht="16.5" hidden="1" customHeight="1" outlineLevel="1" x14ac:dyDescent="0.25">
      <c r="A5543" s="18">
        <v>3609</v>
      </c>
      <c r="B5543" s="4" t="s">
        <v>43</v>
      </c>
      <c r="C5543" s="38" t="s">
        <v>3685</v>
      </c>
      <c r="D5543" s="18">
        <v>2022</v>
      </c>
      <c r="E5543" s="18" t="s">
        <v>0</v>
      </c>
      <c r="F5543" s="4">
        <v>1</v>
      </c>
      <c r="G5543" s="41">
        <v>15</v>
      </c>
      <c r="H5543" s="41">
        <f>0.0102927*(1000)</f>
        <v>10.2927</v>
      </c>
      <c r="I5543" s="221"/>
      <c r="J5543" s="221"/>
    </row>
    <row r="5544" spans="1:10" s="15" customFormat="1" ht="16.5" hidden="1" customHeight="1" outlineLevel="1" x14ac:dyDescent="0.25">
      <c r="A5544" s="18">
        <v>3611</v>
      </c>
      <c r="B5544" s="4" t="s">
        <v>43</v>
      </c>
      <c r="C5544" s="38" t="s">
        <v>3686</v>
      </c>
      <c r="D5544" s="18">
        <v>2022</v>
      </c>
      <c r="E5544" s="18" t="s">
        <v>0</v>
      </c>
      <c r="F5544" s="4">
        <v>1</v>
      </c>
      <c r="G5544" s="41">
        <v>12</v>
      </c>
      <c r="H5544" s="41">
        <f>0.01029268*(1000)</f>
        <v>10.292680000000001</v>
      </c>
      <c r="I5544" s="221"/>
      <c r="J5544" s="221"/>
    </row>
    <row r="5545" spans="1:10" s="15" customFormat="1" ht="16.5" hidden="1" customHeight="1" outlineLevel="1" x14ac:dyDescent="0.25">
      <c r="A5545" s="18">
        <v>3612</v>
      </c>
      <c r="B5545" s="4" t="s">
        <v>43</v>
      </c>
      <c r="C5545" s="38" t="s">
        <v>3687</v>
      </c>
      <c r="D5545" s="18">
        <v>2022</v>
      </c>
      <c r="E5545" s="18" t="s">
        <v>0</v>
      </c>
      <c r="F5545" s="4">
        <v>1</v>
      </c>
      <c r="G5545" s="41">
        <v>12</v>
      </c>
      <c r="H5545" s="41">
        <f>0.0102927*(1000)</f>
        <v>10.2927</v>
      </c>
      <c r="I5545" s="221"/>
      <c r="J5545" s="221"/>
    </row>
    <row r="5546" spans="1:10" s="15" customFormat="1" ht="16.5" hidden="1" customHeight="1" outlineLevel="1" x14ac:dyDescent="0.25">
      <c r="A5546" s="18">
        <v>3613</v>
      </c>
      <c r="B5546" s="4" t="s">
        <v>43</v>
      </c>
      <c r="C5546" s="38" t="s">
        <v>3688</v>
      </c>
      <c r="D5546" s="18">
        <v>2022</v>
      </c>
      <c r="E5546" s="18" t="s">
        <v>0</v>
      </c>
      <c r="F5546" s="4">
        <v>1</v>
      </c>
      <c r="G5546" s="41">
        <v>10</v>
      </c>
      <c r="H5546" s="41">
        <f>0.01029269*(1000)</f>
        <v>10.29269</v>
      </c>
      <c r="I5546" s="221"/>
      <c r="J5546" s="221"/>
    </row>
    <row r="5547" spans="1:10" s="15" customFormat="1" ht="16.5" hidden="1" customHeight="1" outlineLevel="1" x14ac:dyDescent="0.25">
      <c r="A5547" s="18">
        <v>3616</v>
      </c>
      <c r="B5547" s="4" t="s">
        <v>43</v>
      </c>
      <c r="C5547" s="38" t="s">
        <v>3689</v>
      </c>
      <c r="D5547" s="18">
        <v>2022</v>
      </c>
      <c r="E5547" s="18" t="s">
        <v>0</v>
      </c>
      <c r="F5547" s="4">
        <v>1</v>
      </c>
      <c r="G5547" s="41">
        <v>14</v>
      </c>
      <c r="H5547" s="41">
        <f>0.0102927*(1000)</f>
        <v>10.2927</v>
      </c>
      <c r="I5547" s="221"/>
      <c r="J5547" s="221"/>
    </row>
    <row r="5548" spans="1:10" s="15" customFormat="1" ht="16.5" hidden="1" customHeight="1" outlineLevel="1" x14ac:dyDescent="0.25">
      <c r="A5548" s="18">
        <v>3618</v>
      </c>
      <c r="B5548" s="4" t="s">
        <v>43</v>
      </c>
      <c r="C5548" s="38" t="s">
        <v>3690</v>
      </c>
      <c r="D5548" s="18">
        <v>2022</v>
      </c>
      <c r="E5548" s="18" t="s">
        <v>0</v>
      </c>
      <c r="F5548" s="4">
        <v>1</v>
      </c>
      <c r="G5548" s="41">
        <v>8</v>
      </c>
      <c r="H5548" s="41">
        <f>0.01847422*(1000)</f>
        <v>18.474219999999999</v>
      </c>
      <c r="I5548" s="221"/>
      <c r="J5548" s="221"/>
    </row>
    <row r="5549" spans="1:10" s="15" customFormat="1" ht="16.5" hidden="1" customHeight="1" outlineLevel="1" x14ac:dyDescent="0.25">
      <c r="A5549" s="18">
        <v>3624</v>
      </c>
      <c r="B5549" s="4" t="s">
        <v>43</v>
      </c>
      <c r="C5549" s="38" t="s">
        <v>3691</v>
      </c>
      <c r="D5549" s="18">
        <v>2022</v>
      </c>
      <c r="E5549" s="18" t="s">
        <v>0</v>
      </c>
      <c r="F5549" s="4">
        <v>1</v>
      </c>
      <c r="G5549" s="41">
        <v>10</v>
      </c>
      <c r="H5549" s="41">
        <f>0.0102927*(1000)</f>
        <v>10.2927</v>
      </c>
      <c r="I5549" s="221"/>
      <c r="J5549" s="221"/>
    </row>
    <row r="5550" spans="1:10" s="15" customFormat="1" ht="16.5" hidden="1" customHeight="1" outlineLevel="1" x14ac:dyDescent="0.25">
      <c r="A5550" s="18">
        <v>3625</v>
      </c>
      <c r="B5550" s="4" t="s">
        <v>43</v>
      </c>
      <c r="C5550" s="38" t="s">
        <v>3692</v>
      </c>
      <c r="D5550" s="18">
        <v>2022</v>
      </c>
      <c r="E5550" s="18" t="s">
        <v>0</v>
      </c>
      <c r="F5550" s="4">
        <v>1</v>
      </c>
      <c r="G5550" s="41">
        <v>11</v>
      </c>
      <c r="H5550" s="41">
        <f>0.01029269*(1000)</f>
        <v>10.29269</v>
      </c>
      <c r="I5550" s="221"/>
      <c r="J5550" s="221"/>
    </row>
    <row r="5551" spans="1:10" s="15" customFormat="1" ht="16.5" hidden="1" customHeight="1" outlineLevel="1" x14ac:dyDescent="0.25">
      <c r="A5551" s="18">
        <v>3626</v>
      </c>
      <c r="B5551" s="4" t="s">
        <v>43</v>
      </c>
      <c r="C5551" s="38" t="s">
        <v>3693</v>
      </c>
      <c r="D5551" s="18">
        <v>2022</v>
      </c>
      <c r="E5551" s="18" t="s">
        <v>0</v>
      </c>
      <c r="F5551" s="4">
        <v>1</v>
      </c>
      <c r="G5551" s="41">
        <v>11</v>
      </c>
      <c r="H5551" s="41">
        <f>0.0102927*(1000)</f>
        <v>10.2927</v>
      </c>
      <c r="I5551" s="221"/>
      <c r="J5551" s="221"/>
    </row>
    <row r="5552" spans="1:10" s="15" customFormat="1" ht="16.5" hidden="1" customHeight="1" outlineLevel="1" x14ac:dyDescent="0.25">
      <c r="A5552" s="18">
        <v>3631</v>
      </c>
      <c r="B5552" s="4" t="s">
        <v>43</v>
      </c>
      <c r="C5552" s="38" t="s">
        <v>3694</v>
      </c>
      <c r="D5552" s="18">
        <v>2022</v>
      </c>
      <c r="E5552" s="18" t="s">
        <v>0</v>
      </c>
      <c r="F5552" s="4">
        <v>1</v>
      </c>
      <c r="G5552" s="41">
        <v>10</v>
      </c>
      <c r="H5552" s="41">
        <f>0.01029269*(1000)</f>
        <v>10.29269</v>
      </c>
      <c r="I5552" s="221"/>
      <c r="J5552" s="221"/>
    </row>
    <row r="5553" spans="1:10" s="15" customFormat="1" ht="16.5" hidden="1" customHeight="1" outlineLevel="1" x14ac:dyDescent="0.25">
      <c r="A5553" s="18">
        <v>3632</v>
      </c>
      <c r="B5553" s="4" t="s">
        <v>43</v>
      </c>
      <c r="C5553" s="38" t="s">
        <v>3695</v>
      </c>
      <c r="D5553" s="18">
        <v>2022</v>
      </c>
      <c r="E5553" s="18" t="s">
        <v>0</v>
      </c>
      <c r="F5553" s="4">
        <v>1</v>
      </c>
      <c r="G5553" s="41">
        <v>11</v>
      </c>
      <c r="H5553" s="41">
        <f>0.0102927*(1000)</f>
        <v>10.2927</v>
      </c>
      <c r="I5553" s="221"/>
      <c r="J5553" s="221"/>
    </row>
    <row r="5554" spans="1:10" s="15" customFormat="1" ht="16.5" hidden="1" customHeight="1" outlineLevel="1" x14ac:dyDescent="0.25">
      <c r="A5554" s="18">
        <v>3633</v>
      </c>
      <c r="B5554" s="4" t="s">
        <v>43</v>
      </c>
      <c r="C5554" s="38" t="s">
        <v>3696</v>
      </c>
      <c r="D5554" s="18">
        <v>2022</v>
      </c>
      <c r="E5554" s="18" t="s">
        <v>0</v>
      </c>
      <c r="F5554" s="4">
        <v>1</v>
      </c>
      <c r="G5554" s="41">
        <v>12</v>
      </c>
      <c r="H5554" s="41">
        <f>0.01029269*(1000)</f>
        <v>10.29269</v>
      </c>
      <c r="I5554" s="221"/>
      <c r="J5554" s="221"/>
    </row>
    <row r="5555" spans="1:10" s="15" customFormat="1" ht="16.5" hidden="1" customHeight="1" outlineLevel="1" x14ac:dyDescent="0.25">
      <c r="A5555" s="18">
        <v>3635</v>
      </c>
      <c r="B5555" s="4" t="s">
        <v>43</v>
      </c>
      <c r="C5555" s="38" t="s">
        <v>3697</v>
      </c>
      <c r="D5555" s="18">
        <v>2022</v>
      </c>
      <c r="E5555" s="18" t="s">
        <v>0</v>
      </c>
      <c r="F5555" s="4">
        <v>1</v>
      </c>
      <c r="G5555" s="41">
        <v>10</v>
      </c>
      <c r="H5555" s="41">
        <f>0.01029269*(1000)</f>
        <v>10.29269</v>
      </c>
      <c r="I5555" s="221"/>
      <c r="J5555" s="221"/>
    </row>
    <row r="5556" spans="1:10" s="15" customFormat="1" ht="16.5" hidden="1" customHeight="1" outlineLevel="1" x14ac:dyDescent="0.25">
      <c r="A5556" s="18">
        <v>3637</v>
      </c>
      <c r="B5556" s="4" t="s">
        <v>43</v>
      </c>
      <c r="C5556" s="38" t="s">
        <v>3698</v>
      </c>
      <c r="D5556" s="18">
        <v>2022</v>
      </c>
      <c r="E5556" s="18" t="s">
        <v>0</v>
      </c>
      <c r="F5556" s="4">
        <v>1</v>
      </c>
      <c r="G5556" s="41">
        <v>10</v>
      </c>
      <c r="H5556" s="41">
        <f>0.01029269*(1000)</f>
        <v>10.29269</v>
      </c>
      <c r="I5556" s="221"/>
      <c r="J5556" s="221"/>
    </row>
    <row r="5557" spans="1:10" s="15" customFormat="1" ht="16.5" hidden="1" customHeight="1" outlineLevel="1" x14ac:dyDescent="0.25">
      <c r="A5557" s="18">
        <v>3638</v>
      </c>
      <c r="B5557" s="4" t="s">
        <v>43</v>
      </c>
      <c r="C5557" s="38" t="s">
        <v>3699</v>
      </c>
      <c r="D5557" s="18">
        <v>2022</v>
      </c>
      <c r="E5557" s="18" t="s">
        <v>0</v>
      </c>
      <c r="F5557" s="4">
        <v>1</v>
      </c>
      <c r="G5557" s="41">
        <v>3</v>
      </c>
      <c r="H5557" s="41">
        <f>0.0102927*(1000)</f>
        <v>10.2927</v>
      </c>
      <c r="I5557" s="221"/>
      <c r="J5557" s="221"/>
    </row>
    <row r="5558" spans="1:10" s="15" customFormat="1" ht="16.5" hidden="1" customHeight="1" outlineLevel="1" x14ac:dyDescent="0.25">
      <c r="A5558" s="18">
        <v>3640</v>
      </c>
      <c r="B5558" s="4" t="s">
        <v>43</v>
      </c>
      <c r="C5558" s="38" t="s">
        <v>3700</v>
      </c>
      <c r="D5558" s="18">
        <v>2022</v>
      </c>
      <c r="E5558" s="18" t="s">
        <v>0</v>
      </c>
      <c r="F5558" s="4">
        <v>1</v>
      </c>
      <c r="G5558" s="41">
        <v>12</v>
      </c>
      <c r="H5558" s="41">
        <f>0.01029269*(1000)</f>
        <v>10.29269</v>
      </c>
      <c r="I5558" s="221"/>
      <c r="J5558" s="221"/>
    </row>
    <row r="5559" spans="1:10" s="15" customFormat="1" ht="16.5" hidden="1" customHeight="1" outlineLevel="1" x14ac:dyDescent="0.25">
      <c r="A5559" s="18">
        <v>3641</v>
      </c>
      <c r="B5559" s="4" t="s">
        <v>43</v>
      </c>
      <c r="C5559" s="38" t="s">
        <v>3701</v>
      </c>
      <c r="D5559" s="18">
        <v>2022</v>
      </c>
      <c r="E5559" s="18" t="s">
        <v>0</v>
      </c>
      <c r="F5559" s="4">
        <v>1</v>
      </c>
      <c r="G5559" s="41">
        <v>10</v>
      </c>
      <c r="H5559" s="41">
        <f>0.0102927*(1000)</f>
        <v>10.2927</v>
      </c>
      <c r="I5559" s="221"/>
      <c r="J5559" s="221"/>
    </row>
    <row r="5560" spans="1:10" s="15" customFormat="1" ht="16.5" hidden="1" customHeight="1" outlineLevel="1" x14ac:dyDescent="0.25">
      <c r="A5560" s="18">
        <v>3643</v>
      </c>
      <c r="B5560" s="4" t="s">
        <v>43</v>
      </c>
      <c r="C5560" s="38" t="s">
        <v>3702</v>
      </c>
      <c r="D5560" s="18">
        <v>2022</v>
      </c>
      <c r="E5560" s="18" t="s">
        <v>0</v>
      </c>
      <c r="F5560" s="4">
        <v>1</v>
      </c>
      <c r="G5560" s="41">
        <v>10</v>
      </c>
      <c r="H5560" s="41">
        <f>0.01029269*(1000)</f>
        <v>10.29269</v>
      </c>
      <c r="I5560" s="221"/>
      <c r="J5560" s="221"/>
    </row>
    <row r="5561" spans="1:10" s="15" customFormat="1" ht="16.5" hidden="1" customHeight="1" outlineLevel="1" x14ac:dyDescent="0.25">
      <c r="A5561" s="18">
        <v>3645</v>
      </c>
      <c r="B5561" s="4" t="s">
        <v>43</v>
      </c>
      <c r="C5561" s="38" t="s">
        <v>3703</v>
      </c>
      <c r="D5561" s="18">
        <v>2022</v>
      </c>
      <c r="E5561" s="18" t="s">
        <v>0</v>
      </c>
      <c r="F5561" s="4">
        <v>1</v>
      </c>
      <c r="G5561" s="41">
        <v>11</v>
      </c>
      <c r="H5561" s="41">
        <f>0.0102927*(1000)</f>
        <v>10.2927</v>
      </c>
      <c r="I5561" s="221"/>
      <c r="J5561" s="221"/>
    </row>
    <row r="5562" spans="1:10" s="15" customFormat="1" ht="16.5" hidden="1" customHeight="1" outlineLevel="1" x14ac:dyDescent="0.25">
      <c r="A5562" s="18">
        <v>3646</v>
      </c>
      <c r="B5562" s="4" t="s">
        <v>43</v>
      </c>
      <c r="C5562" s="38" t="s">
        <v>3704</v>
      </c>
      <c r="D5562" s="18">
        <v>2022</v>
      </c>
      <c r="E5562" s="18" t="s">
        <v>0</v>
      </c>
      <c r="F5562" s="4">
        <v>1</v>
      </c>
      <c r="G5562" s="41">
        <v>10</v>
      </c>
      <c r="H5562" s="41">
        <f>0.01029269*(1000)</f>
        <v>10.29269</v>
      </c>
      <c r="I5562" s="221"/>
      <c r="J5562" s="221"/>
    </row>
    <row r="5563" spans="1:10" s="15" customFormat="1" ht="16.5" hidden="1" customHeight="1" outlineLevel="1" x14ac:dyDescent="0.25">
      <c r="A5563" s="18">
        <v>3648</v>
      </c>
      <c r="B5563" s="4" t="s">
        <v>43</v>
      </c>
      <c r="C5563" s="38" t="s">
        <v>3705</v>
      </c>
      <c r="D5563" s="18">
        <v>2022</v>
      </c>
      <c r="E5563" s="18" t="s">
        <v>0</v>
      </c>
      <c r="F5563" s="4">
        <v>1</v>
      </c>
      <c r="G5563" s="41">
        <v>15</v>
      </c>
      <c r="H5563" s="41">
        <f>0.0102927*(1000)</f>
        <v>10.2927</v>
      </c>
      <c r="I5563" s="221"/>
      <c r="J5563" s="221"/>
    </row>
    <row r="5564" spans="1:10" s="15" customFormat="1" ht="16.5" hidden="1" customHeight="1" outlineLevel="1" x14ac:dyDescent="0.25">
      <c r="A5564" s="18">
        <v>3655</v>
      </c>
      <c r="B5564" s="4" t="s">
        <v>43</v>
      </c>
      <c r="C5564" s="38" t="s">
        <v>3706</v>
      </c>
      <c r="D5564" s="18">
        <v>2022</v>
      </c>
      <c r="E5564" s="18" t="s">
        <v>0</v>
      </c>
      <c r="F5564" s="4">
        <v>1</v>
      </c>
      <c r="G5564" s="41">
        <v>11</v>
      </c>
      <c r="H5564" s="41">
        <f>0.01029269*(1000)</f>
        <v>10.29269</v>
      </c>
      <c r="I5564" s="221"/>
      <c r="J5564" s="221"/>
    </row>
    <row r="5565" spans="1:10" s="15" customFormat="1" ht="16.5" hidden="1" customHeight="1" outlineLevel="1" x14ac:dyDescent="0.25">
      <c r="A5565" s="18">
        <v>3656</v>
      </c>
      <c r="B5565" s="4" t="s">
        <v>43</v>
      </c>
      <c r="C5565" s="38" t="s">
        <v>3707</v>
      </c>
      <c r="D5565" s="18">
        <v>2022</v>
      </c>
      <c r="E5565" s="18" t="s">
        <v>0</v>
      </c>
      <c r="F5565" s="4">
        <v>1</v>
      </c>
      <c r="G5565" s="41">
        <v>15</v>
      </c>
      <c r="H5565" s="41">
        <f>0.0102927*(1000)</f>
        <v>10.2927</v>
      </c>
      <c r="I5565" s="221"/>
      <c r="J5565" s="221"/>
    </row>
    <row r="5566" spans="1:10" s="15" customFormat="1" ht="16.5" hidden="1" customHeight="1" outlineLevel="1" x14ac:dyDescent="0.25">
      <c r="A5566" s="18">
        <v>3657</v>
      </c>
      <c r="B5566" s="4" t="s">
        <v>43</v>
      </c>
      <c r="C5566" s="38" t="s">
        <v>3708</v>
      </c>
      <c r="D5566" s="18">
        <v>2022</v>
      </c>
      <c r="E5566" s="18" t="s">
        <v>0</v>
      </c>
      <c r="F5566" s="4">
        <v>1</v>
      </c>
      <c r="G5566" s="41">
        <v>11</v>
      </c>
      <c r="H5566" s="41">
        <f>0.01029269*(1000)</f>
        <v>10.29269</v>
      </c>
      <c r="I5566" s="221"/>
      <c r="J5566" s="221"/>
    </row>
    <row r="5567" spans="1:10" s="15" customFormat="1" ht="16.5" hidden="1" customHeight="1" outlineLevel="1" x14ac:dyDescent="0.25">
      <c r="A5567" s="18">
        <v>3658</v>
      </c>
      <c r="B5567" s="4" t="s">
        <v>43</v>
      </c>
      <c r="C5567" s="38" t="s">
        <v>3709</v>
      </c>
      <c r="D5567" s="18">
        <v>2022</v>
      </c>
      <c r="E5567" s="18" t="s">
        <v>0</v>
      </c>
      <c r="F5567" s="4">
        <v>1</v>
      </c>
      <c r="G5567" s="41">
        <v>12</v>
      </c>
      <c r="H5567" s="41">
        <f>0.0102927*(1000)</f>
        <v>10.2927</v>
      </c>
      <c r="I5567" s="221"/>
      <c r="J5567" s="221"/>
    </row>
    <row r="5568" spans="1:10" s="15" customFormat="1" ht="16.5" hidden="1" customHeight="1" outlineLevel="1" x14ac:dyDescent="0.25">
      <c r="A5568" s="18">
        <v>3659</v>
      </c>
      <c r="B5568" s="4" t="s">
        <v>43</v>
      </c>
      <c r="C5568" s="38" t="s">
        <v>3710</v>
      </c>
      <c r="D5568" s="18">
        <v>2022</v>
      </c>
      <c r="E5568" s="18" t="s">
        <v>0</v>
      </c>
      <c r="F5568" s="4">
        <v>1</v>
      </c>
      <c r="G5568" s="41">
        <v>15</v>
      </c>
      <c r="H5568" s="41">
        <f>0.0102927*(1000)</f>
        <v>10.2927</v>
      </c>
      <c r="I5568" s="221"/>
      <c r="J5568" s="221"/>
    </row>
    <row r="5569" spans="1:10" s="15" customFormat="1" ht="16.5" hidden="1" customHeight="1" outlineLevel="1" x14ac:dyDescent="0.25">
      <c r="A5569" s="18">
        <v>3660</v>
      </c>
      <c r="B5569" s="4" t="s">
        <v>43</v>
      </c>
      <c r="C5569" s="38" t="s">
        <v>3711</v>
      </c>
      <c r="D5569" s="18">
        <v>2022</v>
      </c>
      <c r="E5569" s="18" t="s">
        <v>0</v>
      </c>
      <c r="F5569" s="4">
        <v>1</v>
      </c>
      <c r="G5569" s="41">
        <v>15</v>
      </c>
      <c r="H5569" s="41">
        <f>0.01029271*(1000)</f>
        <v>10.29271</v>
      </c>
      <c r="I5569" s="221"/>
      <c r="J5569" s="221"/>
    </row>
    <row r="5570" spans="1:10" s="15" customFormat="1" ht="16.5" hidden="1" customHeight="1" outlineLevel="1" x14ac:dyDescent="0.25">
      <c r="A5570" s="18">
        <v>3661</v>
      </c>
      <c r="B5570" s="4" t="s">
        <v>43</v>
      </c>
      <c r="C5570" s="38" t="s">
        <v>3712</v>
      </c>
      <c r="D5570" s="18">
        <v>2022</v>
      </c>
      <c r="E5570" s="18" t="s">
        <v>0</v>
      </c>
      <c r="F5570" s="4">
        <v>1</v>
      </c>
      <c r="G5570" s="41">
        <v>12</v>
      </c>
      <c r="H5570" s="41">
        <f>0.0102927*(1000)</f>
        <v>10.2927</v>
      </c>
      <c r="I5570" s="221"/>
      <c r="J5570" s="221"/>
    </row>
    <row r="5571" spans="1:10" s="15" customFormat="1" ht="16.5" hidden="1" customHeight="1" outlineLevel="1" x14ac:dyDescent="0.25">
      <c r="A5571" s="18">
        <v>3664</v>
      </c>
      <c r="B5571" s="4" t="s">
        <v>43</v>
      </c>
      <c r="C5571" s="38" t="s">
        <v>3713</v>
      </c>
      <c r="D5571" s="18">
        <v>2022</v>
      </c>
      <c r="E5571" s="18" t="s">
        <v>0</v>
      </c>
      <c r="F5571" s="4">
        <v>1</v>
      </c>
      <c r="G5571" s="41">
        <v>10</v>
      </c>
      <c r="H5571" s="41">
        <f>0.0102838*(1000)</f>
        <v>10.283799999999999</v>
      </c>
      <c r="I5571" s="221"/>
      <c r="J5571" s="221"/>
    </row>
    <row r="5572" spans="1:10" s="15" customFormat="1" ht="16.5" hidden="1" customHeight="1" outlineLevel="1" x14ac:dyDescent="0.25">
      <c r="A5572" s="18">
        <v>3665</v>
      </c>
      <c r="B5572" s="4" t="s">
        <v>43</v>
      </c>
      <c r="C5572" s="38" t="s">
        <v>3714</v>
      </c>
      <c r="D5572" s="18">
        <v>2022</v>
      </c>
      <c r="E5572" s="18" t="s">
        <v>0</v>
      </c>
      <c r="F5572" s="4">
        <v>1</v>
      </c>
      <c r="G5572" s="41">
        <v>10</v>
      </c>
      <c r="H5572" s="41">
        <f>0.01142108*(1000)</f>
        <v>11.42108</v>
      </c>
      <c r="I5572" s="221"/>
      <c r="J5572" s="221"/>
    </row>
    <row r="5573" spans="1:10" s="15" customFormat="1" ht="16.5" hidden="1" customHeight="1" outlineLevel="1" x14ac:dyDescent="0.25">
      <c r="A5573" s="18">
        <v>3666</v>
      </c>
      <c r="B5573" s="4" t="s">
        <v>43</v>
      </c>
      <c r="C5573" s="38" t="s">
        <v>3715</v>
      </c>
      <c r="D5573" s="18">
        <v>2022</v>
      </c>
      <c r="E5573" s="18" t="s">
        <v>0</v>
      </c>
      <c r="F5573" s="4">
        <v>1</v>
      </c>
      <c r="G5573" s="41">
        <v>12</v>
      </c>
      <c r="H5573" s="41">
        <f>0.01160304*(1000)</f>
        <v>11.60304</v>
      </c>
      <c r="I5573" s="221"/>
      <c r="J5573" s="221"/>
    </row>
    <row r="5574" spans="1:10" s="15" customFormat="1" ht="16.5" hidden="1" customHeight="1" outlineLevel="1" x14ac:dyDescent="0.25">
      <c r="A5574" s="18">
        <v>3667</v>
      </c>
      <c r="B5574" s="4" t="s">
        <v>43</v>
      </c>
      <c r="C5574" s="38" t="s">
        <v>3716</v>
      </c>
      <c r="D5574" s="18">
        <v>2022</v>
      </c>
      <c r="E5574" s="18" t="s">
        <v>0</v>
      </c>
      <c r="F5574" s="4">
        <v>1</v>
      </c>
      <c r="G5574" s="41">
        <v>1.5</v>
      </c>
      <c r="H5574" s="41">
        <f>0.01160304*(1000)</f>
        <v>11.60304</v>
      </c>
      <c r="I5574" s="221"/>
      <c r="J5574" s="221"/>
    </row>
    <row r="5575" spans="1:10" s="15" customFormat="1" ht="16.5" hidden="1" customHeight="1" outlineLevel="1" x14ac:dyDescent="0.25">
      <c r="A5575" s="18">
        <v>3673</v>
      </c>
      <c r="B5575" s="4" t="s">
        <v>43</v>
      </c>
      <c r="C5575" s="38" t="s">
        <v>3717</v>
      </c>
      <c r="D5575" s="18">
        <v>2022</v>
      </c>
      <c r="E5575" s="18" t="s">
        <v>0</v>
      </c>
      <c r="F5575" s="4">
        <v>1</v>
      </c>
      <c r="G5575" s="41">
        <v>12</v>
      </c>
      <c r="H5575" s="41">
        <f>0.01160303*(1000)</f>
        <v>11.60303</v>
      </c>
      <c r="I5575" s="221"/>
      <c r="J5575" s="221"/>
    </row>
    <row r="5576" spans="1:10" s="15" customFormat="1" ht="16.5" hidden="1" customHeight="1" outlineLevel="1" x14ac:dyDescent="0.25">
      <c r="A5576" s="18">
        <v>3674</v>
      </c>
      <c r="B5576" s="4" t="s">
        <v>43</v>
      </c>
      <c r="C5576" s="38" t="s">
        <v>3718</v>
      </c>
      <c r="D5576" s="18">
        <v>2022</v>
      </c>
      <c r="E5576" s="18" t="s">
        <v>0</v>
      </c>
      <c r="F5576" s="4">
        <v>1</v>
      </c>
      <c r="G5576" s="41">
        <v>12</v>
      </c>
      <c r="H5576" s="41">
        <f>0.01160305*(1000)</f>
        <v>11.60305</v>
      </c>
      <c r="I5576" s="221"/>
      <c r="J5576" s="221"/>
    </row>
    <row r="5577" spans="1:10" s="15" customFormat="1" ht="16.5" hidden="1" customHeight="1" outlineLevel="1" x14ac:dyDescent="0.25">
      <c r="A5577" s="18">
        <v>3675</v>
      </c>
      <c r="B5577" s="4" t="s">
        <v>43</v>
      </c>
      <c r="C5577" s="38" t="s">
        <v>3719</v>
      </c>
      <c r="D5577" s="18">
        <v>2022</v>
      </c>
      <c r="E5577" s="18" t="s">
        <v>0</v>
      </c>
      <c r="F5577" s="4">
        <v>1</v>
      </c>
      <c r="G5577" s="41">
        <v>11</v>
      </c>
      <c r="H5577" s="41">
        <f>0.01979344*(1000)</f>
        <v>19.79344</v>
      </c>
      <c r="I5577" s="221"/>
      <c r="J5577" s="221"/>
    </row>
    <row r="5578" spans="1:10" s="15" customFormat="1" ht="16.5" hidden="1" customHeight="1" outlineLevel="1" x14ac:dyDescent="0.25">
      <c r="A5578" s="18">
        <v>3679</v>
      </c>
      <c r="B5578" s="4" t="s">
        <v>43</v>
      </c>
      <c r="C5578" s="38" t="s">
        <v>3720</v>
      </c>
      <c r="D5578" s="18">
        <v>2022</v>
      </c>
      <c r="E5578" s="18" t="s">
        <v>0</v>
      </c>
      <c r="F5578" s="4">
        <v>4</v>
      </c>
      <c r="G5578" s="41">
        <v>32</v>
      </c>
      <c r="H5578" s="41">
        <f>0.03948975*(1000)</f>
        <v>39.489749999999994</v>
      </c>
      <c r="I5578" s="221"/>
      <c r="J5578" s="221"/>
    </row>
    <row r="5579" spans="1:10" s="15" customFormat="1" ht="16.5" hidden="1" customHeight="1" outlineLevel="1" x14ac:dyDescent="0.25">
      <c r="A5579" s="18">
        <v>3681</v>
      </c>
      <c r="B5579" s="4" t="s">
        <v>43</v>
      </c>
      <c r="C5579" s="38" t="s">
        <v>3721</v>
      </c>
      <c r="D5579" s="18">
        <v>2022</v>
      </c>
      <c r="E5579" s="18" t="s">
        <v>0</v>
      </c>
      <c r="F5579" s="4">
        <v>1</v>
      </c>
      <c r="G5579" s="41">
        <v>6</v>
      </c>
      <c r="H5579" s="41">
        <f>0.00997337*(1000)</f>
        <v>9.973370000000001</v>
      </c>
      <c r="I5579" s="221"/>
      <c r="J5579" s="221"/>
    </row>
    <row r="5580" spans="1:10" s="15" customFormat="1" ht="16.5" hidden="1" customHeight="1" outlineLevel="1" x14ac:dyDescent="0.25">
      <c r="A5580" s="18">
        <v>3706</v>
      </c>
      <c r="B5580" s="4" t="s">
        <v>43</v>
      </c>
      <c r="C5580" s="38" t="s">
        <v>3722</v>
      </c>
      <c r="D5580" s="18">
        <v>2022</v>
      </c>
      <c r="E5580" s="18" t="s">
        <v>0</v>
      </c>
      <c r="F5580" s="4">
        <v>3</v>
      </c>
      <c r="G5580" s="41">
        <v>15</v>
      </c>
      <c r="H5580" s="41">
        <f>0.0297625*(1000)</f>
        <v>29.762499999999999</v>
      </c>
      <c r="I5580" s="221"/>
      <c r="J5580" s="221"/>
    </row>
    <row r="5581" spans="1:10" s="15" customFormat="1" ht="16.5" hidden="1" customHeight="1" outlineLevel="1" x14ac:dyDescent="0.25">
      <c r="A5581" s="18">
        <v>3709</v>
      </c>
      <c r="B5581" s="4" t="s">
        <v>43</v>
      </c>
      <c r="C5581" s="38" t="s">
        <v>3723</v>
      </c>
      <c r="D5581" s="18">
        <v>2022</v>
      </c>
      <c r="E5581" s="18" t="s">
        <v>0</v>
      </c>
      <c r="F5581" s="4">
        <v>1</v>
      </c>
      <c r="G5581" s="41">
        <v>8</v>
      </c>
      <c r="H5581" s="41">
        <f t="shared" ref="H5581:H5588" si="7">0.01005072*(1000)</f>
        <v>10.05072</v>
      </c>
      <c r="I5581" s="221"/>
      <c r="J5581" s="221"/>
    </row>
    <row r="5582" spans="1:10" s="15" customFormat="1" ht="16.5" hidden="1" customHeight="1" outlineLevel="1" x14ac:dyDescent="0.25">
      <c r="A5582" s="18">
        <v>3710</v>
      </c>
      <c r="B5582" s="4" t="s">
        <v>43</v>
      </c>
      <c r="C5582" s="38" t="s">
        <v>3724</v>
      </c>
      <c r="D5582" s="18">
        <v>2022</v>
      </c>
      <c r="E5582" s="18" t="s">
        <v>0</v>
      </c>
      <c r="F5582" s="4">
        <v>1</v>
      </c>
      <c r="G5582" s="41">
        <v>8</v>
      </c>
      <c r="H5582" s="41">
        <f t="shared" si="7"/>
        <v>10.05072</v>
      </c>
      <c r="I5582" s="221"/>
      <c r="J5582" s="221"/>
    </row>
    <row r="5583" spans="1:10" s="15" customFormat="1" ht="16.5" hidden="1" customHeight="1" outlineLevel="1" x14ac:dyDescent="0.25">
      <c r="A5583" s="18">
        <v>3711</v>
      </c>
      <c r="B5583" s="4" t="s">
        <v>43</v>
      </c>
      <c r="C5583" s="38" t="s">
        <v>3725</v>
      </c>
      <c r="D5583" s="18">
        <v>2022</v>
      </c>
      <c r="E5583" s="18" t="s">
        <v>0</v>
      </c>
      <c r="F5583" s="4">
        <v>1</v>
      </c>
      <c r="G5583" s="41">
        <v>10</v>
      </c>
      <c r="H5583" s="41">
        <f t="shared" si="7"/>
        <v>10.05072</v>
      </c>
      <c r="I5583" s="221"/>
      <c r="J5583" s="221"/>
    </row>
    <row r="5584" spans="1:10" s="15" customFormat="1" ht="16.5" hidden="1" customHeight="1" outlineLevel="1" x14ac:dyDescent="0.25">
      <c r="A5584" s="18">
        <v>3713</v>
      </c>
      <c r="B5584" s="4" t="s">
        <v>43</v>
      </c>
      <c r="C5584" s="38" t="s">
        <v>3726</v>
      </c>
      <c r="D5584" s="18">
        <v>2022</v>
      </c>
      <c r="E5584" s="18" t="s">
        <v>0</v>
      </c>
      <c r="F5584" s="4">
        <v>1</v>
      </c>
      <c r="G5584" s="41">
        <v>10</v>
      </c>
      <c r="H5584" s="41">
        <f t="shared" si="7"/>
        <v>10.05072</v>
      </c>
      <c r="I5584" s="221"/>
      <c r="J5584" s="221"/>
    </row>
    <row r="5585" spans="1:10" s="15" customFormat="1" ht="16.5" hidden="1" customHeight="1" outlineLevel="1" x14ac:dyDescent="0.25">
      <c r="A5585" s="18">
        <v>3714</v>
      </c>
      <c r="B5585" s="4" t="s">
        <v>43</v>
      </c>
      <c r="C5585" s="38" t="s">
        <v>3727</v>
      </c>
      <c r="D5585" s="18">
        <v>2022</v>
      </c>
      <c r="E5585" s="18" t="s">
        <v>0</v>
      </c>
      <c r="F5585" s="4">
        <v>1</v>
      </c>
      <c r="G5585" s="41">
        <v>10</v>
      </c>
      <c r="H5585" s="41">
        <f t="shared" si="7"/>
        <v>10.05072</v>
      </c>
      <c r="I5585" s="221"/>
      <c r="J5585" s="221"/>
    </row>
    <row r="5586" spans="1:10" s="15" customFormat="1" ht="16.5" hidden="1" customHeight="1" outlineLevel="1" x14ac:dyDescent="0.25">
      <c r="A5586" s="18">
        <v>3715</v>
      </c>
      <c r="B5586" s="4" t="s">
        <v>43</v>
      </c>
      <c r="C5586" s="38" t="s">
        <v>3728</v>
      </c>
      <c r="D5586" s="18">
        <v>2022</v>
      </c>
      <c r="E5586" s="18" t="s">
        <v>0</v>
      </c>
      <c r="F5586" s="4">
        <v>1</v>
      </c>
      <c r="G5586" s="41">
        <v>10</v>
      </c>
      <c r="H5586" s="41">
        <f t="shared" si="7"/>
        <v>10.05072</v>
      </c>
      <c r="I5586" s="221"/>
      <c r="J5586" s="221"/>
    </row>
    <row r="5587" spans="1:10" s="15" customFormat="1" ht="16.5" hidden="1" customHeight="1" outlineLevel="1" x14ac:dyDescent="0.25">
      <c r="A5587" s="18">
        <v>3716</v>
      </c>
      <c r="B5587" s="4" t="s">
        <v>43</v>
      </c>
      <c r="C5587" s="38" t="s">
        <v>3729</v>
      </c>
      <c r="D5587" s="18">
        <v>2022</v>
      </c>
      <c r="E5587" s="18" t="s">
        <v>0</v>
      </c>
      <c r="F5587" s="4">
        <v>1</v>
      </c>
      <c r="G5587" s="41">
        <v>8</v>
      </c>
      <c r="H5587" s="41">
        <f t="shared" si="7"/>
        <v>10.05072</v>
      </c>
      <c r="I5587" s="221"/>
      <c r="J5587" s="221"/>
    </row>
    <row r="5588" spans="1:10" s="15" customFormat="1" ht="16.5" hidden="1" customHeight="1" outlineLevel="1" x14ac:dyDescent="0.25">
      <c r="A5588" s="18">
        <v>3717</v>
      </c>
      <c r="B5588" s="4" t="s">
        <v>43</v>
      </c>
      <c r="C5588" s="38" t="s">
        <v>3730</v>
      </c>
      <c r="D5588" s="18">
        <v>2022</v>
      </c>
      <c r="E5588" s="18" t="s">
        <v>0</v>
      </c>
      <c r="F5588" s="4">
        <v>1</v>
      </c>
      <c r="G5588" s="41">
        <v>10</v>
      </c>
      <c r="H5588" s="41">
        <f t="shared" si="7"/>
        <v>10.05072</v>
      </c>
      <c r="I5588" s="221"/>
      <c r="J5588" s="221"/>
    </row>
    <row r="5589" spans="1:10" s="15" customFormat="1" ht="16.5" hidden="1" customHeight="1" outlineLevel="1" x14ac:dyDescent="0.25">
      <c r="A5589" s="18">
        <v>3720</v>
      </c>
      <c r="B5589" s="4" t="s">
        <v>43</v>
      </c>
      <c r="C5589" s="38" t="s">
        <v>3731</v>
      </c>
      <c r="D5589" s="18">
        <v>2022</v>
      </c>
      <c r="E5589" s="18" t="s">
        <v>0</v>
      </c>
      <c r="F5589" s="4">
        <v>1</v>
      </c>
      <c r="G5589" s="41">
        <v>8</v>
      </c>
      <c r="H5589" s="41">
        <f>0.00992767*(1000)</f>
        <v>9.9276699999999991</v>
      </c>
      <c r="I5589" s="221"/>
      <c r="J5589" s="221"/>
    </row>
    <row r="5590" spans="1:10" s="15" customFormat="1" ht="16.5" hidden="1" customHeight="1" outlineLevel="1" x14ac:dyDescent="0.25">
      <c r="A5590" s="18">
        <v>3723</v>
      </c>
      <c r="B5590" s="4" t="s">
        <v>43</v>
      </c>
      <c r="C5590" s="38" t="s">
        <v>3732</v>
      </c>
      <c r="D5590" s="18">
        <v>2022</v>
      </c>
      <c r="E5590" s="18" t="s">
        <v>0</v>
      </c>
      <c r="F5590" s="4">
        <v>1</v>
      </c>
      <c r="G5590" s="41">
        <v>8</v>
      </c>
      <c r="H5590" s="41">
        <f>0.01005072*(1000)</f>
        <v>10.05072</v>
      </c>
      <c r="I5590" s="221"/>
      <c r="J5590" s="221"/>
    </row>
    <row r="5591" spans="1:10" s="15" customFormat="1" ht="16.5" hidden="1" customHeight="1" outlineLevel="1" x14ac:dyDescent="0.25">
      <c r="A5591" s="18">
        <v>3725</v>
      </c>
      <c r="B5591" s="4" t="s">
        <v>43</v>
      </c>
      <c r="C5591" s="38" t="s">
        <v>3733</v>
      </c>
      <c r="D5591" s="18">
        <v>2022</v>
      </c>
      <c r="E5591" s="18" t="s">
        <v>0</v>
      </c>
      <c r="F5591" s="4">
        <v>1</v>
      </c>
      <c r="G5591" s="41">
        <v>8</v>
      </c>
      <c r="H5591" s="41">
        <f>0.01005072*(1000)</f>
        <v>10.05072</v>
      </c>
      <c r="I5591" s="221"/>
      <c r="J5591" s="221"/>
    </row>
    <row r="5592" spans="1:10" s="15" customFormat="1" ht="16.5" hidden="1" customHeight="1" outlineLevel="1" x14ac:dyDescent="0.25">
      <c r="A5592" s="18">
        <v>3726</v>
      </c>
      <c r="B5592" s="4" t="s">
        <v>43</v>
      </c>
      <c r="C5592" s="38" t="s">
        <v>3734</v>
      </c>
      <c r="D5592" s="18">
        <v>2022</v>
      </c>
      <c r="E5592" s="18" t="s">
        <v>0</v>
      </c>
      <c r="F5592" s="4">
        <v>1</v>
      </c>
      <c r="G5592" s="41">
        <v>6</v>
      </c>
      <c r="H5592" s="41">
        <f>0.01005072*(1000)</f>
        <v>10.05072</v>
      </c>
      <c r="I5592" s="221"/>
      <c r="J5592" s="221"/>
    </row>
    <row r="5593" spans="1:10" s="15" customFormat="1" ht="16.5" hidden="1" customHeight="1" outlineLevel="1" x14ac:dyDescent="0.25">
      <c r="A5593" s="18">
        <v>3727</v>
      </c>
      <c r="B5593" s="4" t="s">
        <v>43</v>
      </c>
      <c r="C5593" s="38" t="s">
        <v>3735</v>
      </c>
      <c r="D5593" s="18">
        <v>2022</v>
      </c>
      <c r="E5593" s="18" t="s">
        <v>0</v>
      </c>
      <c r="F5593" s="4">
        <v>1</v>
      </c>
      <c r="G5593" s="41">
        <v>10</v>
      </c>
      <c r="H5593" s="41">
        <f>0.01005072*(1000)</f>
        <v>10.05072</v>
      </c>
      <c r="I5593" s="221"/>
      <c r="J5593" s="221"/>
    </row>
    <row r="5594" spans="1:10" s="15" customFormat="1" ht="16.5" hidden="1" customHeight="1" outlineLevel="1" x14ac:dyDescent="0.25">
      <c r="A5594" s="18">
        <v>3728</v>
      </c>
      <c r="B5594" s="4" t="s">
        <v>43</v>
      </c>
      <c r="C5594" s="38" t="s">
        <v>3736</v>
      </c>
      <c r="D5594" s="18">
        <v>2022</v>
      </c>
      <c r="E5594" s="18" t="s">
        <v>0</v>
      </c>
      <c r="F5594" s="4">
        <v>1</v>
      </c>
      <c r="G5594" s="41">
        <v>10</v>
      </c>
      <c r="H5594" s="41">
        <f>0.01005072*(1000)</f>
        <v>10.05072</v>
      </c>
      <c r="I5594" s="221"/>
      <c r="J5594" s="221"/>
    </row>
    <row r="5595" spans="1:10" s="15" customFormat="1" ht="16.5" hidden="1" customHeight="1" outlineLevel="1" x14ac:dyDescent="0.25">
      <c r="A5595" s="18">
        <v>3731</v>
      </c>
      <c r="B5595" s="4" t="s">
        <v>43</v>
      </c>
      <c r="C5595" s="38" t="s">
        <v>3737</v>
      </c>
      <c r="D5595" s="18">
        <v>2022</v>
      </c>
      <c r="E5595" s="18" t="s">
        <v>0</v>
      </c>
      <c r="F5595" s="4">
        <v>1</v>
      </c>
      <c r="G5595" s="41">
        <v>10</v>
      </c>
      <c r="H5595" s="41">
        <f>0.00992767*(1000)</f>
        <v>9.9276699999999991</v>
      </c>
      <c r="I5595" s="221"/>
      <c r="J5595" s="221"/>
    </row>
    <row r="5596" spans="1:10" s="15" customFormat="1" ht="16.5" hidden="1" customHeight="1" outlineLevel="1" x14ac:dyDescent="0.25">
      <c r="A5596" s="18">
        <v>3733</v>
      </c>
      <c r="B5596" s="4" t="s">
        <v>43</v>
      </c>
      <c r="C5596" s="38" t="s">
        <v>3738</v>
      </c>
      <c r="D5596" s="18">
        <v>2022</v>
      </c>
      <c r="E5596" s="18" t="s">
        <v>0</v>
      </c>
      <c r="F5596" s="4">
        <v>1</v>
      </c>
      <c r="G5596" s="41">
        <v>10</v>
      </c>
      <c r="H5596" s="41">
        <f>0.00992767*(1000)</f>
        <v>9.9276699999999991</v>
      </c>
      <c r="I5596" s="221"/>
      <c r="J5596" s="221"/>
    </row>
    <row r="5597" spans="1:10" s="15" customFormat="1" ht="16.5" hidden="1" customHeight="1" outlineLevel="1" x14ac:dyDescent="0.25">
      <c r="A5597" s="18">
        <v>3735</v>
      </c>
      <c r="B5597" s="4" t="s">
        <v>43</v>
      </c>
      <c r="C5597" s="38" t="s">
        <v>3739</v>
      </c>
      <c r="D5597" s="18">
        <v>2022</v>
      </c>
      <c r="E5597" s="18" t="s">
        <v>0</v>
      </c>
      <c r="F5597" s="4">
        <v>1</v>
      </c>
      <c r="G5597" s="41">
        <v>10</v>
      </c>
      <c r="H5597" s="41">
        <f>0.00992767*(1000)</f>
        <v>9.9276699999999991</v>
      </c>
      <c r="I5597" s="221"/>
      <c r="J5597" s="221"/>
    </row>
    <row r="5598" spans="1:10" s="15" customFormat="1" ht="16.5" hidden="1" customHeight="1" outlineLevel="1" x14ac:dyDescent="0.25">
      <c r="A5598" s="18">
        <v>3736</v>
      </c>
      <c r="B5598" s="4" t="s">
        <v>43</v>
      </c>
      <c r="C5598" s="38" t="s">
        <v>3740</v>
      </c>
      <c r="D5598" s="18">
        <v>2022</v>
      </c>
      <c r="E5598" s="18" t="s">
        <v>0</v>
      </c>
      <c r="F5598" s="4">
        <v>1</v>
      </c>
      <c r="G5598" s="41">
        <v>8</v>
      </c>
      <c r="H5598" s="41">
        <f>0.00992767*(1000)</f>
        <v>9.9276699999999991</v>
      </c>
      <c r="I5598" s="221"/>
      <c r="J5598" s="221"/>
    </row>
    <row r="5599" spans="1:10" s="15" customFormat="1" ht="16.5" hidden="1" customHeight="1" outlineLevel="1" x14ac:dyDescent="0.25">
      <c r="A5599" s="18">
        <v>3737</v>
      </c>
      <c r="B5599" s="4" t="s">
        <v>43</v>
      </c>
      <c r="C5599" s="38" t="s">
        <v>3741</v>
      </c>
      <c r="D5599" s="18">
        <v>2022</v>
      </c>
      <c r="E5599" s="18" t="s">
        <v>0</v>
      </c>
      <c r="F5599" s="4">
        <v>2</v>
      </c>
      <c r="G5599" s="41">
        <v>10</v>
      </c>
      <c r="H5599" s="41">
        <f>0.01973227*(1000)</f>
        <v>19.73227</v>
      </c>
      <c r="I5599" s="221"/>
      <c r="J5599" s="221"/>
    </row>
    <row r="5600" spans="1:10" s="15" customFormat="1" ht="16.5" hidden="1" customHeight="1" outlineLevel="1" x14ac:dyDescent="0.25">
      <c r="A5600" s="18">
        <v>3738</v>
      </c>
      <c r="B5600" s="4" t="s">
        <v>43</v>
      </c>
      <c r="C5600" s="38" t="s">
        <v>3742</v>
      </c>
      <c r="D5600" s="18">
        <v>2022</v>
      </c>
      <c r="E5600" s="18" t="s">
        <v>0</v>
      </c>
      <c r="F5600" s="4">
        <v>1</v>
      </c>
      <c r="G5600" s="41">
        <v>10</v>
      </c>
      <c r="H5600" s="41">
        <f>0.00992767*(1000)</f>
        <v>9.9276699999999991</v>
      </c>
      <c r="I5600" s="221"/>
      <c r="J5600" s="221"/>
    </row>
    <row r="5601" spans="1:10" s="15" customFormat="1" ht="16.5" hidden="1" customHeight="1" outlineLevel="1" x14ac:dyDescent="0.25">
      <c r="A5601" s="18">
        <v>3740</v>
      </c>
      <c r="B5601" s="4" t="s">
        <v>43</v>
      </c>
      <c r="C5601" s="38" t="s">
        <v>3743</v>
      </c>
      <c r="D5601" s="18">
        <v>2022</v>
      </c>
      <c r="E5601" s="18" t="s">
        <v>0</v>
      </c>
      <c r="F5601" s="4">
        <v>1</v>
      </c>
      <c r="G5601" s="41">
        <v>10</v>
      </c>
      <c r="H5601" s="41">
        <f>0.00992767*(1000)</f>
        <v>9.9276699999999991</v>
      </c>
      <c r="I5601" s="221"/>
      <c r="J5601" s="221"/>
    </row>
    <row r="5602" spans="1:10" s="15" customFormat="1" ht="16.5" hidden="1" customHeight="1" outlineLevel="1" x14ac:dyDescent="0.25">
      <c r="A5602" s="18">
        <v>3743</v>
      </c>
      <c r="B5602" s="4" t="s">
        <v>43</v>
      </c>
      <c r="C5602" s="38" t="s">
        <v>3744</v>
      </c>
      <c r="D5602" s="18">
        <v>2022</v>
      </c>
      <c r="E5602" s="18" t="s">
        <v>0</v>
      </c>
      <c r="F5602" s="4">
        <v>1</v>
      </c>
      <c r="G5602" s="41">
        <v>10</v>
      </c>
      <c r="H5602" s="41">
        <f>0.01005071*(1000)</f>
        <v>10.050709999999999</v>
      </c>
      <c r="I5602" s="221"/>
      <c r="J5602" s="221"/>
    </row>
    <row r="5603" spans="1:10" s="15" customFormat="1" ht="16.5" hidden="1" customHeight="1" outlineLevel="1" x14ac:dyDescent="0.25">
      <c r="A5603" s="18">
        <v>3744</v>
      </c>
      <c r="B5603" s="4" t="s">
        <v>43</v>
      </c>
      <c r="C5603" s="38" t="s">
        <v>3745</v>
      </c>
      <c r="D5603" s="18">
        <v>2022</v>
      </c>
      <c r="E5603" s="18" t="s">
        <v>0</v>
      </c>
      <c r="F5603" s="4">
        <v>1</v>
      </c>
      <c r="G5603" s="41">
        <v>10</v>
      </c>
      <c r="H5603" s="41">
        <f>0.01005072*(1000)</f>
        <v>10.05072</v>
      </c>
      <c r="I5603" s="221"/>
      <c r="J5603" s="221"/>
    </row>
    <row r="5604" spans="1:10" s="15" customFormat="1" ht="16.5" hidden="1" customHeight="1" outlineLevel="1" x14ac:dyDescent="0.25">
      <c r="A5604" s="18">
        <v>3745</v>
      </c>
      <c r="B5604" s="4" t="s">
        <v>43</v>
      </c>
      <c r="C5604" s="38" t="s">
        <v>3746</v>
      </c>
      <c r="D5604" s="18">
        <v>2022</v>
      </c>
      <c r="E5604" s="18" t="s">
        <v>0</v>
      </c>
      <c r="F5604" s="4">
        <v>1</v>
      </c>
      <c r="G5604" s="41">
        <v>10</v>
      </c>
      <c r="H5604" s="41">
        <f>0.01005071*(1000)</f>
        <v>10.050709999999999</v>
      </c>
      <c r="I5604" s="221"/>
      <c r="J5604" s="221"/>
    </row>
    <row r="5605" spans="1:10" s="15" customFormat="1" ht="16.5" hidden="1" customHeight="1" outlineLevel="1" x14ac:dyDescent="0.25">
      <c r="A5605" s="18">
        <v>3746</v>
      </c>
      <c r="B5605" s="4" t="s">
        <v>43</v>
      </c>
      <c r="C5605" s="38" t="s">
        <v>3747</v>
      </c>
      <c r="D5605" s="18">
        <v>2022</v>
      </c>
      <c r="E5605" s="18" t="s">
        <v>0</v>
      </c>
      <c r="F5605" s="4">
        <v>1</v>
      </c>
      <c r="G5605" s="41">
        <v>10</v>
      </c>
      <c r="H5605" s="41">
        <f>0.01005072*(1000)</f>
        <v>10.05072</v>
      </c>
      <c r="I5605" s="221"/>
      <c r="J5605" s="221"/>
    </row>
    <row r="5606" spans="1:10" s="15" customFormat="1" ht="16.5" hidden="1" customHeight="1" outlineLevel="1" x14ac:dyDescent="0.25">
      <c r="A5606" s="18">
        <v>3747</v>
      </c>
      <c r="B5606" s="4" t="s">
        <v>43</v>
      </c>
      <c r="C5606" s="38" t="s">
        <v>3748</v>
      </c>
      <c r="D5606" s="18">
        <v>2022</v>
      </c>
      <c r="E5606" s="18" t="s">
        <v>0</v>
      </c>
      <c r="F5606" s="4">
        <v>1</v>
      </c>
      <c r="G5606" s="41">
        <v>10</v>
      </c>
      <c r="H5606" s="41">
        <f>0.01005071*(1000)</f>
        <v>10.050709999999999</v>
      </c>
      <c r="I5606" s="221"/>
      <c r="J5606" s="221"/>
    </row>
    <row r="5607" spans="1:10" s="15" customFormat="1" ht="16.5" hidden="1" customHeight="1" outlineLevel="1" x14ac:dyDescent="0.25">
      <c r="A5607" s="18">
        <v>3750</v>
      </c>
      <c r="B5607" s="4" t="s">
        <v>43</v>
      </c>
      <c r="C5607" s="38" t="s">
        <v>3749</v>
      </c>
      <c r="D5607" s="18">
        <v>2022</v>
      </c>
      <c r="E5607" s="18" t="s">
        <v>0</v>
      </c>
      <c r="F5607" s="4">
        <v>1</v>
      </c>
      <c r="G5607" s="41">
        <v>10</v>
      </c>
      <c r="H5607" s="41">
        <f>0.01005072*(1000)</f>
        <v>10.05072</v>
      </c>
      <c r="I5607" s="221"/>
      <c r="J5607" s="221"/>
    </row>
    <row r="5608" spans="1:10" s="15" customFormat="1" ht="16.5" hidden="1" customHeight="1" outlineLevel="1" x14ac:dyDescent="0.25">
      <c r="A5608" s="18">
        <v>3751</v>
      </c>
      <c r="B5608" s="4" t="s">
        <v>43</v>
      </c>
      <c r="C5608" s="38" t="s">
        <v>3750</v>
      </c>
      <c r="D5608" s="18">
        <v>2022</v>
      </c>
      <c r="E5608" s="18" t="s">
        <v>0</v>
      </c>
      <c r="F5608" s="4">
        <v>1</v>
      </c>
      <c r="G5608" s="41">
        <v>8</v>
      </c>
      <c r="H5608" s="41">
        <f>0.01005071*(1000)</f>
        <v>10.050709999999999</v>
      </c>
      <c r="I5608" s="221"/>
      <c r="J5608" s="221"/>
    </row>
    <row r="5609" spans="1:10" s="15" customFormat="1" ht="16.5" hidden="1" customHeight="1" outlineLevel="1" x14ac:dyDescent="0.25">
      <c r="A5609" s="18">
        <v>3752</v>
      </c>
      <c r="B5609" s="4" t="s">
        <v>43</v>
      </c>
      <c r="C5609" s="38" t="s">
        <v>3751</v>
      </c>
      <c r="D5609" s="18">
        <v>2022</v>
      </c>
      <c r="E5609" s="18" t="s">
        <v>0</v>
      </c>
      <c r="F5609" s="4">
        <v>1</v>
      </c>
      <c r="G5609" s="41">
        <v>10</v>
      </c>
      <c r="H5609" s="41">
        <f>0.01005072*(1000)</f>
        <v>10.05072</v>
      </c>
      <c r="I5609" s="221"/>
      <c r="J5609" s="221"/>
    </row>
    <row r="5610" spans="1:10" s="15" customFormat="1" ht="16.5" hidden="1" customHeight="1" outlineLevel="1" x14ac:dyDescent="0.25">
      <c r="A5610" s="18">
        <v>3757</v>
      </c>
      <c r="B5610" s="4" t="s">
        <v>43</v>
      </c>
      <c r="C5610" s="38" t="s">
        <v>3752</v>
      </c>
      <c r="D5610" s="18">
        <v>2022</v>
      </c>
      <c r="E5610" s="18" t="s">
        <v>0</v>
      </c>
      <c r="F5610" s="4">
        <v>1</v>
      </c>
      <c r="G5610" s="41">
        <v>8</v>
      </c>
      <c r="H5610" s="41">
        <f>0.00992766*(1000)</f>
        <v>9.9276599999999995</v>
      </c>
      <c r="I5610" s="221"/>
      <c r="J5610" s="221"/>
    </row>
    <row r="5611" spans="1:10" s="15" customFormat="1" ht="16.5" hidden="1" customHeight="1" outlineLevel="1" x14ac:dyDescent="0.25">
      <c r="A5611" s="18">
        <v>3758</v>
      </c>
      <c r="B5611" s="4" t="s">
        <v>43</v>
      </c>
      <c r="C5611" s="38" t="s">
        <v>3753</v>
      </c>
      <c r="D5611" s="18">
        <v>2022</v>
      </c>
      <c r="E5611" s="18" t="s">
        <v>0</v>
      </c>
      <c r="F5611" s="4">
        <v>1</v>
      </c>
      <c r="G5611" s="41">
        <v>10</v>
      </c>
      <c r="H5611" s="41">
        <f>0.00992767*(1000)</f>
        <v>9.9276699999999991</v>
      </c>
      <c r="I5611" s="221"/>
      <c r="J5611" s="221"/>
    </row>
    <row r="5612" spans="1:10" s="15" customFormat="1" ht="16.5" hidden="1" customHeight="1" outlineLevel="1" x14ac:dyDescent="0.25">
      <c r="A5612" s="18">
        <v>3759</v>
      </c>
      <c r="B5612" s="4" t="s">
        <v>43</v>
      </c>
      <c r="C5612" s="38" t="s">
        <v>3754</v>
      </c>
      <c r="D5612" s="18">
        <v>2022</v>
      </c>
      <c r="E5612" s="18" t="s">
        <v>0</v>
      </c>
      <c r="F5612" s="4">
        <v>1</v>
      </c>
      <c r="G5612" s="41">
        <v>10</v>
      </c>
      <c r="H5612" s="41">
        <f>0.00992766*(1000)</f>
        <v>9.9276599999999995</v>
      </c>
      <c r="I5612" s="221"/>
      <c r="J5612" s="221"/>
    </row>
    <row r="5613" spans="1:10" s="15" customFormat="1" ht="16.5" hidden="1" customHeight="1" outlineLevel="1" x14ac:dyDescent="0.25">
      <c r="A5613" s="18">
        <v>3760</v>
      </c>
      <c r="B5613" s="4" t="s">
        <v>43</v>
      </c>
      <c r="C5613" s="38" t="s">
        <v>3755</v>
      </c>
      <c r="D5613" s="18">
        <v>2022</v>
      </c>
      <c r="E5613" s="18" t="s">
        <v>0</v>
      </c>
      <c r="F5613" s="4">
        <v>1</v>
      </c>
      <c r="G5613" s="41">
        <v>10</v>
      </c>
      <c r="H5613" s="41">
        <f>0.00996186*(1000)</f>
        <v>9.9618599999999997</v>
      </c>
      <c r="I5613" s="221"/>
      <c r="J5613" s="221"/>
    </row>
    <row r="5614" spans="1:10" s="15" customFormat="1" ht="16.5" hidden="1" customHeight="1" outlineLevel="1" x14ac:dyDescent="0.25">
      <c r="A5614" s="18">
        <v>3761</v>
      </c>
      <c r="B5614" s="4" t="s">
        <v>43</v>
      </c>
      <c r="C5614" s="38" t="s">
        <v>3756</v>
      </c>
      <c r="D5614" s="18">
        <v>2022</v>
      </c>
      <c r="E5614" s="18" t="s">
        <v>0</v>
      </c>
      <c r="F5614" s="4">
        <v>1</v>
      </c>
      <c r="G5614" s="41">
        <v>8</v>
      </c>
      <c r="H5614" s="41">
        <f>0.00996185*(1000)</f>
        <v>9.9618500000000001</v>
      </c>
      <c r="I5614" s="221"/>
      <c r="J5614" s="221"/>
    </row>
    <row r="5615" spans="1:10" s="15" customFormat="1" ht="16.5" hidden="1" customHeight="1" outlineLevel="1" x14ac:dyDescent="0.25">
      <c r="A5615" s="18">
        <v>3762</v>
      </c>
      <c r="B5615" s="4" t="s">
        <v>43</v>
      </c>
      <c r="C5615" s="38" t="s">
        <v>3757</v>
      </c>
      <c r="D5615" s="18">
        <v>2022</v>
      </c>
      <c r="E5615" s="18" t="s">
        <v>0</v>
      </c>
      <c r="F5615" s="4">
        <v>1</v>
      </c>
      <c r="G5615" s="41">
        <v>10</v>
      </c>
      <c r="H5615" s="41">
        <f>0.00996186*(1000)</f>
        <v>9.9618599999999997</v>
      </c>
      <c r="I5615" s="221"/>
      <c r="J5615" s="221"/>
    </row>
    <row r="5616" spans="1:10" s="15" customFormat="1" ht="16.5" hidden="1" customHeight="1" outlineLevel="1" x14ac:dyDescent="0.25">
      <c r="A5616" s="18">
        <v>3763</v>
      </c>
      <c r="B5616" s="4" t="s">
        <v>43</v>
      </c>
      <c r="C5616" s="38" t="s">
        <v>3758</v>
      </c>
      <c r="D5616" s="18">
        <v>2022</v>
      </c>
      <c r="E5616" s="18" t="s">
        <v>0</v>
      </c>
      <c r="F5616" s="4">
        <v>1</v>
      </c>
      <c r="G5616" s="41">
        <v>8</v>
      </c>
      <c r="H5616" s="41">
        <f>0.00996185*(1000)</f>
        <v>9.9618500000000001</v>
      </c>
      <c r="I5616" s="221"/>
      <c r="J5616" s="221"/>
    </row>
    <row r="5617" spans="1:10" s="15" customFormat="1" ht="16.5" hidden="1" customHeight="1" outlineLevel="1" x14ac:dyDescent="0.25">
      <c r="A5617" s="18">
        <v>3765</v>
      </c>
      <c r="B5617" s="4" t="s">
        <v>43</v>
      </c>
      <c r="C5617" s="38" t="s">
        <v>3759</v>
      </c>
      <c r="D5617" s="18">
        <v>2022</v>
      </c>
      <c r="E5617" s="18" t="s">
        <v>0</v>
      </c>
      <c r="F5617" s="4">
        <v>1</v>
      </c>
      <c r="G5617" s="41">
        <v>8</v>
      </c>
      <c r="H5617" s="41">
        <f>0.00996186*(1000)</f>
        <v>9.9618599999999997</v>
      </c>
      <c r="I5617" s="221"/>
      <c r="J5617" s="221"/>
    </row>
    <row r="5618" spans="1:10" s="15" customFormat="1" ht="16.5" hidden="1" customHeight="1" outlineLevel="1" x14ac:dyDescent="0.25">
      <c r="A5618" s="18">
        <v>3769</v>
      </c>
      <c r="B5618" s="4" t="s">
        <v>43</v>
      </c>
      <c r="C5618" s="38" t="s">
        <v>3760</v>
      </c>
      <c r="D5618" s="18">
        <v>2022</v>
      </c>
      <c r="E5618" s="18" t="s">
        <v>0</v>
      </c>
      <c r="F5618" s="4">
        <v>1</v>
      </c>
      <c r="G5618" s="41">
        <v>10</v>
      </c>
      <c r="H5618" s="41">
        <f>0.00996185*(1000)</f>
        <v>9.9618500000000001</v>
      </c>
      <c r="I5618" s="221"/>
      <c r="J5618" s="221"/>
    </row>
    <row r="5619" spans="1:10" s="15" customFormat="1" ht="16.5" hidden="1" customHeight="1" outlineLevel="1" x14ac:dyDescent="0.25">
      <c r="A5619" s="18">
        <v>3771</v>
      </c>
      <c r="B5619" s="4" t="s">
        <v>43</v>
      </c>
      <c r="C5619" s="38" t="s">
        <v>3761</v>
      </c>
      <c r="D5619" s="18">
        <v>2022</v>
      </c>
      <c r="E5619" s="18" t="s">
        <v>0</v>
      </c>
      <c r="F5619" s="4">
        <v>1</v>
      </c>
      <c r="G5619" s="41">
        <v>10</v>
      </c>
      <c r="H5619" s="41">
        <f>0.00996186*(1000)</f>
        <v>9.9618599999999997</v>
      </c>
      <c r="I5619" s="221"/>
      <c r="J5619" s="221"/>
    </row>
    <row r="5620" spans="1:10" s="15" customFormat="1" ht="16.5" hidden="1" customHeight="1" outlineLevel="1" x14ac:dyDescent="0.25">
      <c r="A5620" s="18">
        <v>3772</v>
      </c>
      <c r="B5620" s="4" t="s">
        <v>43</v>
      </c>
      <c r="C5620" s="38" t="s">
        <v>3762</v>
      </c>
      <c r="D5620" s="18">
        <v>2022</v>
      </c>
      <c r="E5620" s="18" t="s">
        <v>0</v>
      </c>
      <c r="F5620" s="4">
        <v>1</v>
      </c>
      <c r="G5620" s="41">
        <v>10</v>
      </c>
      <c r="H5620" s="41">
        <f>0.00996185*(1000)</f>
        <v>9.9618500000000001</v>
      </c>
      <c r="I5620" s="221"/>
      <c r="J5620" s="221"/>
    </row>
    <row r="5621" spans="1:10" s="15" customFormat="1" ht="16.5" hidden="1" customHeight="1" outlineLevel="1" x14ac:dyDescent="0.25">
      <c r="A5621" s="18">
        <v>3774</v>
      </c>
      <c r="B5621" s="4" t="s">
        <v>43</v>
      </c>
      <c r="C5621" s="38" t="s">
        <v>3763</v>
      </c>
      <c r="D5621" s="18">
        <v>2022</v>
      </c>
      <c r="E5621" s="18" t="s">
        <v>0</v>
      </c>
      <c r="F5621" s="4">
        <v>1</v>
      </c>
      <c r="G5621" s="41">
        <v>10</v>
      </c>
      <c r="H5621" s="41">
        <f>0.00996186*(1000)</f>
        <v>9.9618599999999997</v>
      </c>
      <c r="I5621" s="221"/>
      <c r="J5621" s="221"/>
    </row>
    <row r="5622" spans="1:10" s="15" customFormat="1" ht="16.5" hidden="1" customHeight="1" outlineLevel="1" x14ac:dyDescent="0.25">
      <c r="A5622" s="18">
        <v>3775</v>
      </c>
      <c r="B5622" s="4" t="s">
        <v>43</v>
      </c>
      <c r="C5622" s="38" t="s">
        <v>3764</v>
      </c>
      <c r="D5622" s="18">
        <v>2022</v>
      </c>
      <c r="E5622" s="18" t="s">
        <v>0</v>
      </c>
      <c r="F5622" s="4">
        <v>1</v>
      </c>
      <c r="G5622" s="41">
        <v>10</v>
      </c>
      <c r="H5622" s="41">
        <f>0.00996185*(1000)</f>
        <v>9.9618500000000001</v>
      </c>
      <c r="I5622" s="221"/>
      <c r="J5622" s="221"/>
    </row>
    <row r="5623" spans="1:10" s="15" customFormat="1" ht="16.5" hidden="1" customHeight="1" outlineLevel="1" x14ac:dyDescent="0.25">
      <c r="A5623" s="18">
        <v>3777</v>
      </c>
      <c r="B5623" s="4" t="s">
        <v>43</v>
      </c>
      <c r="C5623" s="38" t="s">
        <v>3765</v>
      </c>
      <c r="D5623" s="18">
        <v>2022</v>
      </c>
      <c r="E5623" s="18" t="s">
        <v>0</v>
      </c>
      <c r="F5623" s="4">
        <v>1</v>
      </c>
      <c r="G5623" s="41">
        <v>10</v>
      </c>
      <c r="H5623" s="41">
        <f>0.00996186*(1000)</f>
        <v>9.9618599999999997</v>
      </c>
      <c r="I5623" s="221"/>
      <c r="J5623" s="221"/>
    </row>
    <row r="5624" spans="1:10" s="15" customFormat="1" ht="16.5" hidden="1" customHeight="1" outlineLevel="1" x14ac:dyDescent="0.25">
      <c r="A5624" s="18">
        <v>3778</v>
      </c>
      <c r="B5624" s="4" t="s">
        <v>43</v>
      </c>
      <c r="C5624" s="38" t="s">
        <v>3766</v>
      </c>
      <c r="D5624" s="18">
        <v>2022</v>
      </c>
      <c r="E5624" s="18" t="s">
        <v>0</v>
      </c>
      <c r="F5624" s="4">
        <v>1</v>
      </c>
      <c r="G5624" s="41">
        <v>10</v>
      </c>
      <c r="H5624" s="41">
        <f>0.00996185*(1000)</f>
        <v>9.9618500000000001</v>
      </c>
      <c r="I5624" s="221"/>
      <c r="J5624" s="221"/>
    </row>
    <row r="5625" spans="1:10" s="15" customFormat="1" ht="16.5" hidden="1" customHeight="1" outlineLevel="1" x14ac:dyDescent="0.25">
      <c r="A5625" s="18">
        <v>3781</v>
      </c>
      <c r="B5625" s="4" t="s">
        <v>43</v>
      </c>
      <c r="C5625" s="38" t="s">
        <v>3767</v>
      </c>
      <c r="D5625" s="18">
        <v>2022</v>
      </c>
      <c r="E5625" s="18" t="s">
        <v>0</v>
      </c>
      <c r="F5625" s="4">
        <v>1</v>
      </c>
      <c r="G5625" s="41">
        <v>10</v>
      </c>
      <c r="H5625" s="41">
        <f>0.00996186*(1000)</f>
        <v>9.9618599999999997</v>
      </c>
      <c r="I5625" s="221"/>
      <c r="J5625" s="221"/>
    </row>
    <row r="5626" spans="1:10" s="15" customFormat="1" ht="16.5" hidden="1" customHeight="1" outlineLevel="1" x14ac:dyDescent="0.25">
      <c r="A5626" s="18">
        <v>3782</v>
      </c>
      <c r="B5626" s="4" t="s">
        <v>43</v>
      </c>
      <c r="C5626" s="38" t="s">
        <v>3768</v>
      </c>
      <c r="D5626" s="18">
        <v>2022</v>
      </c>
      <c r="E5626" s="18" t="s">
        <v>0</v>
      </c>
      <c r="F5626" s="4">
        <v>1</v>
      </c>
      <c r="G5626" s="41">
        <v>8</v>
      </c>
      <c r="H5626" s="41">
        <f>0.00996185*(1000)</f>
        <v>9.9618500000000001</v>
      </c>
      <c r="I5626" s="221"/>
      <c r="J5626" s="221"/>
    </row>
    <row r="5627" spans="1:10" s="15" customFormat="1" ht="16.5" hidden="1" customHeight="1" outlineLevel="1" x14ac:dyDescent="0.25">
      <c r="A5627" s="18">
        <v>3785</v>
      </c>
      <c r="B5627" s="4" t="s">
        <v>43</v>
      </c>
      <c r="C5627" s="38" t="s">
        <v>3769</v>
      </c>
      <c r="D5627" s="18">
        <v>2022</v>
      </c>
      <c r="E5627" s="18" t="s">
        <v>0</v>
      </c>
      <c r="F5627" s="4">
        <v>1</v>
      </c>
      <c r="G5627" s="41">
        <v>8</v>
      </c>
      <c r="H5627" s="41">
        <f>0.00996186*(1000)</f>
        <v>9.9618599999999997</v>
      </c>
      <c r="I5627" s="221"/>
      <c r="J5627" s="221"/>
    </row>
    <row r="5628" spans="1:10" s="15" customFormat="1" ht="16.5" hidden="1" customHeight="1" outlineLevel="1" x14ac:dyDescent="0.25">
      <c r="A5628" s="18">
        <v>3786</v>
      </c>
      <c r="B5628" s="4" t="s">
        <v>43</v>
      </c>
      <c r="C5628" s="38" t="s">
        <v>3770</v>
      </c>
      <c r="D5628" s="18">
        <v>2022</v>
      </c>
      <c r="E5628" s="18" t="s">
        <v>0</v>
      </c>
      <c r="F5628" s="4">
        <v>1</v>
      </c>
      <c r="G5628" s="41">
        <v>8</v>
      </c>
      <c r="H5628" s="41">
        <f>0.00996185*(1000)</f>
        <v>9.9618500000000001</v>
      </c>
      <c r="I5628" s="221"/>
      <c r="J5628" s="221"/>
    </row>
    <row r="5629" spans="1:10" s="15" customFormat="1" ht="16.5" hidden="1" customHeight="1" outlineLevel="1" x14ac:dyDescent="0.25">
      <c r="A5629" s="18">
        <v>3788</v>
      </c>
      <c r="B5629" s="4" t="s">
        <v>43</v>
      </c>
      <c r="C5629" s="38" t="s">
        <v>3771</v>
      </c>
      <c r="D5629" s="18">
        <v>2022</v>
      </c>
      <c r="E5629" s="18" t="s">
        <v>0</v>
      </c>
      <c r="F5629" s="4">
        <v>1</v>
      </c>
      <c r="G5629" s="41">
        <v>10</v>
      </c>
      <c r="H5629" s="41">
        <f>0.00996186*(1000)</f>
        <v>9.9618599999999997</v>
      </c>
      <c r="I5629" s="221"/>
      <c r="J5629" s="221"/>
    </row>
    <row r="5630" spans="1:10" s="15" customFormat="1" ht="16.5" hidden="1" customHeight="1" outlineLevel="1" x14ac:dyDescent="0.25">
      <c r="A5630" s="18">
        <v>3791</v>
      </c>
      <c r="B5630" s="4" t="s">
        <v>43</v>
      </c>
      <c r="C5630" s="38" t="s">
        <v>3772</v>
      </c>
      <c r="D5630" s="18">
        <v>2022</v>
      </c>
      <c r="E5630" s="18" t="s">
        <v>0</v>
      </c>
      <c r="F5630" s="4">
        <v>1</v>
      </c>
      <c r="G5630" s="41">
        <v>10</v>
      </c>
      <c r="H5630" s="41">
        <f>0.00997076*(1000)</f>
        <v>9.9707600000000003</v>
      </c>
      <c r="I5630" s="221"/>
      <c r="J5630" s="221"/>
    </row>
    <row r="5631" spans="1:10" s="15" customFormat="1" ht="16.5" hidden="1" customHeight="1" outlineLevel="1" x14ac:dyDescent="0.25">
      <c r="A5631" s="18">
        <v>3792</v>
      </c>
      <c r="B5631" s="4" t="s">
        <v>43</v>
      </c>
      <c r="C5631" s="38" t="s">
        <v>3773</v>
      </c>
      <c r="D5631" s="18">
        <v>2022</v>
      </c>
      <c r="E5631" s="18" t="s">
        <v>0</v>
      </c>
      <c r="F5631" s="4">
        <v>1</v>
      </c>
      <c r="G5631" s="41">
        <v>10</v>
      </c>
      <c r="H5631" s="41">
        <f>0.00997077*(1000)</f>
        <v>9.9707699999999999</v>
      </c>
      <c r="I5631" s="221"/>
      <c r="J5631" s="221"/>
    </row>
    <row r="5632" spans="1:10" s="15" customFormat="1" ht="16.5" hidden="1" customHeight="1" outlineLevel="1" x14ac:dyDescent="0.25">
      <c r="A5632" s="18">
        <v>3794</v>
      </c>
      <c r="B5632" s="4" t="s">
        <v>43</v>
      </c>
      <c r="C5632" s="38" t="s">
        <v>3774</v>
      </c>
      <c r="D5632" s="18">
        <v>2022</v>
      </c>
      <c r="E5632" s="18" t="s">
        <v>0</v>
      </c>
      <c r="F5632" s="4">
        <v>1</v>
      </c>
      <c r="G5632" s="41">
        <v>8</v>
      </c>
      <c r="H5632" s="41">
        <f>0.00997076*(1000)</f>
        <v>9.9707600000000003</v>
      </c>
      <c r="I5632" s="221"/>
      <c r="J5632" s="221"/>
    </row>
    <row r="5633" spans="1:10" s="15" customFormat="1" ht="16.5" hidden="1" customHeight="1" outlineLevel="1" x14ac:dyDescent="0.25">
      <c r="A5633" s="18">
        <v>3795</v>
      </c>
      <c r="B5633" s="4" t="s">
        <v>43</v>
      </c>
      <c r="C5633" s="38" t="s">
        <v>3775</v>
      </c>
      <c r="D5633" s="18">
        <v>2022</v>
      </c>
      <c r="E5633" s="18" t="s">
        <v>0</v>
      </c>
      <c r="F5633" s="4">
        <v>1</v>
      </c>
      <c r="G5633" s="41">
        <v>10</v>
      </c>
      <c r="H5633" s="41">
        <f>0.00993708*(1000)</f>
        <v>9.9370799999999999</v>
      </c>
      <c r="I5633" s="221"/>
      <c r="J5633" s="221"/>
    </row>
    <row r="5634" spans="1:10" s="15" customFormat="1" ht="16.5" hidden="1" customHeight="1" outlineLevel="1" x14ac:dyDescent="0.25">
      <c r="A5634" s="18">
        <v>3796</v>
      </c>
      <c r="B5634" s="4" t="s">
        <v>43</v>
      </c>
      <c r="C5634" s="38" t="s">
        <v>3776</v>
      </c>
      <c r="D5634" s="18">
        <v>2022</v>
      </c>
      <c r="E5634" s="18" t="s">
        <v>0</v>
      </c>
      <c r="F5634" s="4">
        <v>1</v>
      </c>
      <c r="G5634" s="41">
        <v>10</v>
      </c>
      <c r="H5634" s="41">
        <f>0.00993707*(1000)</f>
        <v>9.9370699999999985</v>
      </c>
      <c r="I5634" s="221"/>
      <c r="J5634" s="221"/>
    </row>
    <row r="5635" spans="1:10" s="15" customFormat="1" ht="16.5" hidden="1" customHeight="1" outlineLevel="1" x14ac:dyDescent="0.25">
      <c r="A5635" s="18">
        <v>3797</v>
      </c>
      <c r="B5635" s="4" t="s">
        <v>43</v>
      </c>
      <c r="C5635" s="38" t="s">
        <v>3777</v>
      </c>
      <c r="D5635" s="18">
        <v>2022</v>
      </c>
      <c r="E5635" s="18" t="s">
        <v>0</v>
      </c>
      <c r="F5635" s="4">
        <v>1</v>
      </c>
      <c r="G5635" s="41">
        <v>10</v>
      </c>
      <c r="H5635" s="41">
        <f>0.01006905*(1000)</f>
        <v>10.069049999999999</v>
      </c>
      <c r="I5635" s="221"/>
      <c r="J5635" s="221"/>
    </row>
    <row r="5636" spans="1:10" s="15" customFormat="1" ht="16.5" hidden="1" customHeight="1" outlineLevel="1" x14ac:dyDescent="0.25">
      <c r="A5636" s="18">
        <v>3798</v>
      </c>
      <c r="B5636" s="4" t="s">
        <v>43</v>
      </c>
      <c r="C5636" s="38" t="s">
        <v>3778</v>
      </c>
      <c r="D5636" s="18">
        <v>2022</v>
      </c>
      <c r="E5636" s="18" t="s">
        <v>0</v>
      </c>
      <c r="F5636" s="4">
        <v>1</v>
      </c>
      <c r="G5636" s="41">
        <v>8</v>
      </c>
      <c r="H5636" s="41">
        <f>0.00993707*(1000)</f>
        <v>9.9370699999999985</v>
      </c>
      <c r="I5636" s="221"/>
      <c r="J5636" s="221"/>
    </row>
    <row r="5637" spans="1:10" s="15" customFormat="1" ht="16.5" hidden="1" customHeight="1" outlineLevel="1" x14ac:dyDescent="0.25">
      <c r="A5637" s="18">
        <v>3799</v>
      </c>
      <c r="B5637" s="4" t="s">
        <v>43</v>
      </c>
      <c r="C5637" s="38" t="s">
        <v>3779</v>
      </c>
      <c r="D5637" s="18">
        <v>2022</v>
      </c>
      <c r="E5637" s="18" t="s">
        <v>0</v>
      </c>
      <c r="F5637" s="4">
        <v>1</v>
      </c>
      <c r="G5637" s="41">
        <v>8</v>
      </c>
      <c r="H5637" s="41">
        <f>0.00993708*(1000)</f>
        <v>9.9370799999999999</v>
      </c>
      <c r="I5637" s="221"/>
      <c r="J5637" s="221"/>
    </row>
    <row r="5638" spans="1:10" s="15" customFormat="1" ht="16.5" hidden="1" customHeight="1" outlineLevel="1" x14ac:dyDescent="0.25">
      <c r="A5638" s="18">
        <v>3801</v>
      </c>
      <c r="B5638" s="4" t="s">
        <v>43</v>
      </c>
      <c r="C5638" s="38" t="s">
        <v>3780</v>
      </c>
      <c r="D5638" s="18">
        <v>2022</v>
      </c>
      <c r="E5638" s="18" t="s">
        <v>0</v>
      </c>
      <c r="F5638" s="4">
        <v>1</v>
      </c>
      <c r="G5638" s="41">
        <v>10</v>
      </c>
      <c r="H5638" s="41">
        <f>0.00993707*(1000)</f>
        <v>9.9370699999999985</v>
      </c>
      <c r="I5638" s="221"/>
      <c r="J5638" s="221"/>
    </row>
    <row r="5639" spans="1:10" s="15" customFormat="1" ht="16.5" hidden="1" customHeight="1" outlineLevel="1" x14ac:dyDescent="0.25">
      <c r="A5639" s="18">
        <v>3802</v>
      </c>
      <c r="B5639" s="4" t="s">
        <v>43</v>
      </c>
      <c r="C5639" s="38" t="s">
        <v>3781</v>
      </c>
      <c r="D5639" s="18">
        <v>2022</v>
      </c>
      <c r="E5639" s="18" t="s">
        <v>0</v>
      </c>
      <c r="F5639" s="4">
        <v>4</v>
      </c>
      <c r="G5639" s="41">
        <v>40</v>
      </c>
      <c r="H5639" s="41">
        <f>0.03935236*(1000)</f>
        <v>39.352360000000004</v>
      </c>
      <c r="I5639" s="221"/>
      <c r="J5639" s="221"/>
    </row>
    <row r="5640" spans="1:10" s="15" customFormat="1" ht="16.5" hidden="1" customHeight="1" outlineLevel="1" x14ac:dyDescent="0.25">
      <c r="A5640" s="18">
        <v>3803</v>
      </c>
      <c r="B5640" s="4" t="s">
        <v>43</v>
      </c>
      <c r="C5640" s="38" t="s">
        <v>3782</v>
      </c>
      <c r="D5640" s="18">
        <v>2022</v>
      </c>
      <c r="E5640" s="18" t="s">
        <v>0</v>
      </c>
      <c r="F5640" s="4">
        <v>1</v>
      </c>
      <c r="G5640" s="41">
        <v>8</v>
      </c>
      <c r="H5640" s="41">
        <f>0.00993708*(1000)</f>
        <v>9.9370799999999999</v>
      </c>
      <c r="I5640" s="221"/>
      <c r="J5640" s="221"/>
    </row>
    <row r="5641" spans="1:10" s="15" customFormat="1" ht="16.5" hidden="1" customHeight="1" outlineLevel="1" x14ac:dyDescent="0.25">
      <c r="A5641" s="18">
        <v>3804</v>
      </c>
      <c r="B5641" s="4" t="s">
        <v>43</v>
      </c>
      <c r="C5641" s="38" t="s">
        <v>3783</v>
      </c>
      <c r="D5641" s="18">
        <v>2022</v>
      </c>
      <c r="E5641" s="18" t="s">
        <v>0</v>
      </c>
      <c r="F5641" s="4">
        <v>1</v>
      </c>
      <c r="G5641" s="41">
        <v>10</v>
      </c>
      <c r="H5641" s="41">
        <f>0.00993707*(1000)</f>
        <v>9.9370699999999985</v>
      </c>
      <c r="I5641" s="221"/>
      <c r="J5641" s="221"/>
    </row>
    <row r="5642" spans="1:10" s="15" customFormat="1" ht="16.5" hidden="1" customHeight="1" outlineLevel="1" x14ac:dyDescent="0.25">
      <c r="A5642" s="18">
        <v>3805</v>
      </c>
      <c r="B5642" s="4" t="s">
        <v>43</v>
      </c>
      <c r="C5642" s="38" t="s">
        <v>3784</v>
      </c>
      <c r="D5642" s="18">
        <v>2022</v>
      </c>
      <c r="E5642" s="18" t="s">
        <v>0</v>
      </c>
      <c r="F5642" s="4">
        <v>1</v>
      </c>
      <c r="G5642" s="41">
        <v>10</v>
      </c>
      <c r="H5642" s="41">
        <f>0.00993708*(1000)</f>
        <v>9.9370799999999999</v>
      </c>
      <c r="I5642" s="221"/>
      <c r="J5642" s="221"/>
    </row>
    <row r="5643" spans="1:10" s="15" customFormat="1" ht="16.5" hidden="1" customHeight="1" outlineLevel="1" x14ac:dyDescent="0.25">
      <c r="A5643" s="18">
        <v>3808</v>
      </c>
      <c r="B5643" s="4" t="s">
        <v>43</v>
      </c>
      <c r="C5643" s="38" t="s">
        <v>3785</v>
      </c>
      <c r="D5643" s="18">
        <v>2022</v>
      </c>
      <c r="E5643" s="18" t="s">
        <v>0</v>
      </c>
      <c r="F5643" s="4">
        <v>1</v>
      </c>
      <c r="G5643" s="41">
        <v>8</v>
      </c>
      <c r="H5643" s="41">
        <f>0.00993707*(1000)</f>
        <v>9.9370699999999985</v>
      </c>
      <c r="I5643" s="221"/>
      <c r="J5643" s="221"/>
    </row>
    <row r="5644" spans="1:10" s="15" customFormat="1" ht="16.5" hidden="1" customHeight="1" outlineLevel="1" x14ac:dyDescent="0.25">
      <c r="A5644" s="18">
        <v>3809</v>
      </c>
      <c r="B5644" s="4" t="s">
        <v>43</v>
      </c>
      <c r="C5644" s="38" t="s">
        <v>3786</v>
      </c>
      <c r="D5644" s="18">
        <v>2022</v>
      </c>
      <c r="E5644" s="18" t="s">
        <v>0</v>
      </c>
      <c r="F5644" s="4">
        <v>1</v>
      </c>
      <c r="G5644" s="41">
        <v>10</v>
      </c>
      <c r="H5644" s="41">
        <f>0.00993708*(1000)</f>
        <v>9.9370799999999999</v>
      </c>
      <c r="I5644" s="221"/>
      <c r="J5644" s="221"/>
    </row>
    <row r="5645" spans="1:10" s="15" customFormat="1" ht="16.5" hidden="1" customHeight="1" outlineLevel="1" x14ac:dyDescent="0.25">
      <c r="A5645" s="18">
        <v>3810</v>
      </c>
      <c r="B5645" s="4" t="s">
        <v>43</v>
      </c>
      <c r="C5645" s="38" t="s">
        <v>3787</v>
      </c>
      <c r="D5645" s="18">
        <v>2022</v>
      </c>
      <c r="E5645" s="18" t="s">
        <v>0</v>
      </c>
      <c r="F5645" s="4">
        <v>1</v>
      </c>
      <c r="G5645" s="41">
        <v>10</v>
      </c>
      <c r="H5645" s="41">
        <f>0.00993707*(1000)</f>
        <v>9.9370699999999985</v>
      </c>
      <c r="I5645" s="221"/>
      <c r="J5645" s="221"/>
    </row>
    <row r="5646" spans="1:10" s="15" customFormat="1" ht="16.5" hidden="1" customHeight="1" outlineLevel="1" x14ac:dyDescent="0.25">
      <c r="A5646" s="18">
        <v>3812</v>
      </c>
      <c r="B5646" s="4" t="s">
        <v>43</v>
      </c>
      <c r="C5646" s="38" t="s">
        <v>3788</v>
      </c>
      <c r="D5646" s="18">
        <v>2022</v>
      </c>
      <c r="E5646" s="18" t="s">
        <v>0</v>
      </c>
      <c r="F5646" s="4">
        <v>1</v>
      </c>
      <c r="G5646" s="41">
        <v>8</v>
      </c>
      <c r="H5646" s="41">
        <f>0.00993708*(1000)</f>
        <v>9.9370799999999999</v>
      </c>
      <c r="I5646" s="221"/>
      <c r="J5646" s="221"/>
    </row>
    <row r="5647" spans="1:10" s="15" customFormat="1" ht="16.5" hidden="1" customHeight="1" outlineLevel="1" x14ac:dyDescent="0.25">
      <c r="A5647" s="18">
        <v>3813</v>
      </c>
      <c r="B5647" s="4" t="s">
        <v>43</v>
      </c>
      <c r="C5647" s="38" t="s">
        <v>3789</v>
      </c>
      <c r="D5647" s="18">
        <v>2022</v>
      </c>
      <c r="E5647" s="18" t="s">
        <v>0</v>
      </c>
      <c r="F5647" s="4">
        <v>1</v>
      </c>
      <c r="G5647" s="41">
        <v>8</v>
      </c>
      <c r="H5647" s="41">
        <f>0.00993707*(1000)</f>
        <v>9.9370699999999985</v>
      </c>
      <c r="I5647" s="221"/>
      <c r="J5647" s="221"/>
    </row>
    <row r="5648" spans="1:10" s="15" customFormat="1" ht="16.5" hidden="1" customHeight="1" outlineLevel="1" x14ac:dyDescent="0.25">
      <c r="A5648" s="18">
        <v>3816</v>
      </c>
      <c r="B5648" s="4" t="s">
        <v>43</v>
      </c>
      <c r="C5648" s="38" t="s">
        <v>3790</v>
      </c>
      <c r="D5648" s="18">
        <v>2022</v>
      </c>
      <c r="E5648" s="18" t="s">
        <v>0</v>
      </c>
      <c r="F5648" s="4">
        <v>1</v>
      </c>
      <c r="G5648" s="41">
        <v>10</v>
      </c>
      <c r="H5648" s="41">
        <f>0.00993708*(1000)</f>
        <v>9.9370799999999999</v>
      </c>
      <c r="I5648" s="221"/>
      <c r="J5648" s="221"/>
    </row>
    <row r="5649" spans="1:10" s="15" customFormat="1" ht="16.5" hidden="1" customHeight="1" outlineLevel="1" x14ac:dyDescent="0.25">
      <c r="A5649" s="18">
        <v>3820</v>
      </c>
      <c r="B5649" s="4" t="s">
        <v>43</v>
      </c>
      <c r="C5649" s="38" t="s">
        <v>3791</v>
      </c>
      <c r="D5649" s="18">
        <v>2022</v>
      </c>
      <c r="E5649" s="18" t="s">
        <v>0</v>
      </c>
      <c r="F5649" s="4">
        <v>1</v>
      </c>
      <c r="G5649" s="41">
        <v>8</v>
      </c>
      <c r="H5649" s="41">
        <f>0.00993707*(1000)</f>
        <v>9.9370699999999985</v>
      </c>
      <c r="I5649" s="221"/>
      <c r="J5649" s="221"/>
    </row>
    <row r="5650" spans="1:10" s="15" customFormat="1" ht="16.5" hidden="1" customHeight="1" outlineLevel="1" x14ac:dyDescent="0.25">
      <c r="A5650" s="18">
        <v>3824</v>
      </c>
      <c r="B5650" s="4" t="s">
        <v>43</v>
      </c>
      <c r="C5650" s="38" t="s">
        <v>3792</v>
      </c>
      <c r="D5650" s="18">
        <v>2022</v>
      </c>
      <c r="E5650" s="18" t="s">
        <v>0</v>
      </c>
      <c r="F5650" s="4">
        <v>1</v>
      </c>
      <c r="G5650" s="41">
        <v>8</v>
      </c>
      <c r="H5650" s="41">
        <f>0.00993708*(1000)</f>
        <v>9.9370799999999999</v>
      </c>
      <c r="I5650" s="221"/>
      <c r="J5650" s="221"/>
    </row>
    <row r="5651" spans="1:10" s="15" customFormat="1" ht="16.5" hidden="1" customHeight="1" outlineLevel="1" x14ac:dyDescent="0.25">
      <c r="A5651" s="18">
        <v>3825</v>
      </c>
      <c r="B5651" s="4" t="s">
        <v>43</v>
      </c>
      <c r="C5651" s="38" t="s">
        <v>3793</v>
      </c>
      <c r="D5651" s="18">
        <v>2022</v>
      </c>
      <c r="E5651" s="18" t="s">
        <v>0</v>
      </c>
      <c r="F5651" s="4">
        <v>1</v>
      </c>
      <c r="G5651" s="41">
        <v>10</v>
      </c>
      <c r="H5651" s="41">
        <f>0.00993707*(1000)</f>
        <v>9.9370699999999985</v>
      </c>
      <c r="I5651" s="221"/>
      <c r="J5651" s="221"/>
    </row>
    <row r="5652" spans="1:10" s="15" customFormat="1" ht="16.5" hidden="1" customHeight="1" outlineLevel="1" x14ac:dyDescent="0.25">
      <c r="A5652" s="18">
        <v>3826</v>
      </c>
      <c r="B5652" s="4" t="s">
        <v>43</v>
      </c>
      <c r="C5652" s="38" t="s">
        <v>3794</v>
      </c>
      <c r="D5652" s="18">
        <v>2022</v>
      </c>
      <c r="E5652" s="18" t="s">
        <v>0</v>
      </c>
      <c r="F5652" s="4">
        <v>1</v>
      </c>
      <c r="G5652" s="41">
        <v>8</v>
      </c>
      <c r="H5652" s="41">
        <f>0.00993708*(1000)</f>
        <v>9.9370799999999999</v>
      </c>
      <c r="I5652" s="221"/>
      <c r="J5652" s="221"/>
    </row>
    <row r="5653" spans="1:10" s="15" customFormat="1" ht="16.5" hidden="1" customHeight="1" outlineLevel="1" x14ac:dyDescent="0.25">
      <c r="A5653" s="18">
        <v>3827</v>
      </c>
      <c r="B5653" s="4" t="s">
        <v>43</v>
      </c>
      <c r="C5653" s="38" t="s">
        <v>3795</v>
      </c>
      <c r="D5653" s="18">
        <v>2022</v>
      </c>
      <c r="E5653" s="18" t="s">
        <v>0</v>
      </c>
      <c r="F5653" s="4">
        <v>1</v>
      </c>
      <c r="G5653" s="41">
        <v>8</v>
      </c>
      <c r="H5653" s="41">
        <f>0.00993707*(1000)</f>
        <v>9.9370699999999985</v>
      </c>
      <c r="I5653" s="221"/>
      <c r="J5653" s="221"/>
    </row>
    <row r="5654" spans="1:10" s="15" customFormat="1" ht="16.5" hidden="1" customHeight="1" outlineLevel="1" x14ac:dyDescent="0.25">
      <c r="A5654" s="18">
        <v>3828</v>
      </c>
      <c r="B5654" s="4" t="s">
        <v>43</v>
      </c>
      <c r="C5654" s="38" t="s">
        <v>3796</v>
      </c>
      <c r="D5654" s="18">
        <v>2022</v>
      </c>
      <c r="E5654" s="18" t="s">
        <v>0</v>
      </c>
      <c r="F5654" s="4">
        <v>1</v>
      </c>
      <c r="G5654" s="41">
        <v>10</v>
      </c>
      <c r="H5654" s="41">
        <f>0.00993708*(1000)</f>
        <v>9.9370799999999999</v>
      </c>
      <c r="I5654" s="221"/>
      <c r="J5654" s="221"/>
    </row>
    <row r="5655" spans="1:10" s="15" customFormat="1" ht="16.5" hidden="1" customHeight="1" outlineLevel="1" x14ac:dyDescent="0.25">
      <c r="A5655" s="18">
        <v>3829</v>
      </c>
      <c r="B5655" s="4" t="s">
        <v>43</v>
      </c>
      <c r="C5655" s="38" t="s">
        <v>3797</v>
      </c>
      <c r="D5655" s="18">
        <v>2022</v>
      </c>
      <c r="E5655" s="18" t="s">
        <v>0</v>
      </c>
      <c r="F5655" s="4">
        <v>1</v>
      </c>
      <c r="G5655" s="41">
        <v>10</v>
      </c>
      <c r="H5655" s="41">
        <f>0.00993707*(1000)</f>
        <v>9.9370699999999985</v>
      </c>
      <c r="I5655" s="221"/>
      <c r="J5655" s="221"/>
    </row>
    <row r="5656" spans="1:10" s="15" customFormat="1" ht="16.5" hidden="1" customHeight="1" outlineLevel="1" x14ac:dyDescent="0.25">
      <c r="A5656" s="18">
        <v>3830</v>
      </c>
      <c r="B5656" s="4" t="s">
        <v>43</v>
      </c>
      <c r="C5656" s="38" t="s">
        <v>3798</v>
      </c>
      <c r="D5656" s="18">
        <v>2022</v>
      </c>
      <c r="E5656" s="18" t="s">
        <v>0</v>
      </c>
      <c r="F5656" s="4">
        <v>1</v>
      </c>
      <c r="G5656" s="41">
        <v>8</v>
      </c>
      <c r="H5656" s="41">
        <f>0.00993708*(1000)</f>
        <v>9.9370799999999999</v>
      </c>
      <c r="I5656" s="221"/>
      <c r="J5656" s="221"/>
    </row>
    <row r="5657" spans="1:10" s="15" customFormat="1" ht="16.5" hidden="1" customHeight="1" outlineLevel="1" x14ac:dyDescent="0.25">
      <c r="A5657" s="18">
        <v>3831</v>
      </c>
      <c r="B5657" s="4" t="s">
        <v>43</v>
      </c>
      <c r="C5657" s="38" t="s">
        <v>3799</v>
      </c>
      <c r="D5657" s="18">
        <v>2022</v>
      </c>
      <c r="E5657" s="18" t="s">
        <v>0</v>
      </c>
      <c r="F5657" s="4">
        <v>1</v>
      </c>
      <c r="G5657" s="41">
        <v>10</v>
      </c>
      <c r="H5657" s="41">
        <f>0.00993707*(1000)</f>
        <v>9.9370699999999985</v>
      </c>
      <c r="I5657" s="221"/>
      <c r="J5657" s="221"/>
    </row>
    <row r="5658" spans="1:10" s="15" customFormat="1" ht="16.5" hidden="1" customHeight="1" outlineLevel="1" x14ac:dyDescent="0.25">
      <c r="A5658" s="18">
        <v>3832</v>
      </c>
      <c r="B5658" s="4" t="s">
        <v>43</v>
      </c>
      <c r="C5658" s="38" t="s">
        <v>3800</v>
      </c>
      <c r="D5658" s="18">
        <v>2022</v>
      </c>
      <c r="E5658" s="18" t="s">
        <v>0</v>
      </c>
      <c r="F5658" s="4">
        <v>1</v>
      </c>
      <c r="G5658" s="41">
        <v>10</v>
      </c>
      <c r="H5658" s="41">
        <f>0.00993708*(1000)</f>
        <v>9.9370799999999999</v>
      </c>
      <c r="I5658" s="221"/>
      <c r="J5658" s="221"/>
    </row>
    <row r="5659" spans="1:10" s="15" customFormat="1" ht="16.5" hidden="1" customHeight="1" outlineLevel="1" x14ac:dyDescent="0.25">
      <c r="A5659" s="18">
        <v>3835</v>
      </c>
      <c r="B5659" s="4" t="s">
        <v>43</v>
      </c>
      <c r="C5659" s="38" t="s">
        <v>3801</v>
      </c>
      <c r="D5659" s="18">
        <v>2022</v>
      </c>
      <c r="E5659" s="18" t="s">
        <v>0</v>
      </c>
      <c r="F5659" s="4">
        <v>1</v>
      </c>
      <c r="G5659" s="41">
        <v>10</v>
      </c>
      <c r="H5659" s="41">
        <f>0.00993707*(1000)</f>
        <v>9.9370699999999985</v>
      </c>
      <c r="I5659" s="221"/>
      <c r="J5659" s="221"/>
    </row>
    <row r="5660" spans="1:10" s="15" customFormat="1" ht="16.5" hidden="1" customHeight="1" outlineLevel="1" x14ac:dyDescent="0.25">
      <c r="A5660" s="18">
        <v>3836</v>
      </c>
      <c r="B5660" s="4" t="s">
        <v>43</v>
      </c>
      <c r="C5660" s="38" t="s">
        <v>3802</v>
      </c>
      <c r="D5660" s="18">
        <v>2022</v>
      </c>
      <c r="E5660" s="18" t="s">
        <v>0</v>
      </c>
      <c r="F5660" s="4">
        <v>1</v>
      </c>
      <c r="G5660" s="41">
        <v>8</v>
      </c>
      <c r="H5660" s="41">
        <f>0.00993708*(1000)</f>
        <v>9.9370799999999999</v>
      </c>
      <c r="I5660" s="221"/>
      <c r="J5660" s="221"/>
    </row>
    <row r="5661" spans="1:10" s="15" customFormat="1" ht="16.5" hidden="1" customHeight="1" outlineLevel="1" x14ac:dyDescent="0.25">
      <c r="A5661" s="18">
        <v>3837</v>
      </c>
      <c r="B5661" s="4" t="s">
        <v>43</v>
      </c>
      <c r="C5661" s="38" t="s">
        <v>3803</v>
      </c>
      <c r="D5661" s="18">
        <v>2022</v>
      </c>
      <c r="E5661" s="18" t="s">
        <v>0</v>
      </c>
      <c r="F5661" s="4">
        <v>1</v>
      </c>
      <c r="G5661" s="41">
        <v>8</v>
      </c>
      <c r="H5661" s="41">
        <f>0.00993707*(1000)</f>
        <v>9.9370699999999985</v>
      </c>
      <c r="I5661" s="221"/>
      <c r="J5661" s="221"/>
    </row>
    <row r="5662" spans="1:10" s="15" customFormat="1" ht="16.5" hidden="1" customHeight="1" outlineLevel="1" x14ac:dyDescent="0.25">
      <c r="A5662" s="18">
        <v>3838</v>
      </c>
      <c r="B5662" s="4" t="s">
        <v>43</v>
      </c>
      <c r="C5662" s="38" t="s">
        <v>3804</v>
      </c>
      <c r="D5662" s="18">
        <v>2022</v>
      </c>
      <c r="E5662" s="18" t="s">
        <v>0</v>
      </c>
      <c r="F5662" s="4">
        <v>1</v>
      </c>
      <c r="G5662" s="41">
        <v>8</v>
      </c>
      <c r="H5662" s="41">
        <f>0.00993708*(1000)</f>
        <v>9.9370799999999999</v>
      </c>
      <c r="I5662" s="221"/>
      <c r="J5662" s="221"/>
    </row>
    <row r="5663" spans="1:10" s="15" customFormat="1" ht="16.5" hidden="1" customHeight="1" outlineLevel="1" x14ac:dyDescent="0.25">
      <c r="A5663" s="18">
        <v>3840</v>
      </c>
      <c r="B5663" s="4" t="s">
        <v>43</v>
      </c>
      <c r="C5663" s="38" t="s">
        <v>3805</v>
      </c>
      <c r="D5663" s="18">
        <v>2022</v>
      </c>
      <c r="E5663" s="18" t="s">
        <v>0</v>
      </c>
      <c r="F5663" s="4">
        <v>1</v>
      </c>
      <c r="G5663" s="41">
        <v>5</v>
      </c>
      <c r="H5663" s="41">
        <f>0.00993707*(1000)</f>
        <v>9.9370699999999985</v>
      </c>
      <c r="I5663" s="221"/>
      <c r="J5663" s="221"/>
    </row>
    <row r="5664" spans="1:10" s="15" customFormat="1" ht="16.5" hidden="1" customHeight="1" outlineLevel="1" x14ac:dyDescent="0.25">
      <c r="A5664" s="18">
        <v>3841</v>
      </c>
      <c r="B5664" s="4" t="s">
        <v>43</v>
      </c>
      <c r="C5664" s="38" t="s">
        <v>3806</v>
      </c>
      <c r="D5664" s="18">
        <v>2022</v>
      </c>
      <c r="E5664" s="18" t="s">
        <v>0</v>
      </c>
      <c r="F5664" s="4">
        <v>1</v>
      </c>
      <c r="G5664" s="41">
        <v>5</v>
      </c>
      <c r="H5664" s="41">
        <f>0.00993708*(1000)</f>
        <v>9.9370799999999999</v>
      </c>
      <c r="I5664" s="221"/>
      <c r="J5664" s="221"/>
    </row>
    <row r="5665" spans="1:10" s="15" customFormat="1" ht="16.5" hidden="1" customHeight="1" outlineLevel="1" x14ac:dyDescent="0.25">
      <c r="A5665" s="18">
        <v>3842</v>
      </c>
      <c r="B5665" s="4" t="s">
        <v>43</v>
      </c>
      <c r="C5665" s="38" t="s">
        <v>3807</v>
      </c>
      <c r="D5665" s="18">
        <v>2022</v>
      </c>
      <c r="E5665" s="18" t="s">
        <v>0</v>
      </c>
      <c r="F5665" s="4">
        <v>1</v>
      </c>
      <c r="G5665" s="41">
        <v>5</v>
      </c>
      <c r="H5665" s="41">
        <f>0.00993707*(1000)</f>
        <v>9.9370699999999985</v>
      </c>
      <c r="I5665" s="221"/>
      <c r="J5665" s="221"/>
    </row>
    <row r="5666" spans="1:10" s="15" customFormat="1" ht="16.5" hidden="1" customHeight="1" outlineLevel="1" x14ac:dyDescent="0.25">
      <c r="A5666" s="18">
        <v>3843</v>
      </c>
      <c r="B5666" s="4" t="s">
        <v>43</v>
      </c>
      <c r="C5666" s="38" t="s">
        <v>3808</v>
      </c>
      <c r="D5666" s="18">
        <v>2022</v>
      </c>
      <c r="E5666" s="18" t="s">
        <v>0</v>
      </c>
      <c r="F5666" s="4">
        <v>1</v>
      </c>
      <c r="G5666" s="41">
        <v>5</v>
      </c>
      <c r="H5666" s="41">
        <f>0.00993708*(1000)</f>
        <v>9.9370799999999999</v>
      </c>
      <c r="I5666" s="221"/>
      <c r="J5666" s="221"/>
    </row>
    <row r="5667" spans="1:10" s="15" customFormat="1" ht="16.5" hidden="1" customHeight="1" outlineLevel="1" x14ac:dyDescent="0.25">
      <c r="A5667" s="18">
        <v>3844</v>
      </c>
      <c r="B5667" s="4" t="s">
        <v>43</v>
      </c>
      <c r="C5667" s="38" t="s">
        <v>3809</v>
      </c>
      <c r="D5667" s="18">
        <v>2022</v>
      </c>
      <c r="E5667" s="18" t="s">
        <v>0</v>
      </c>
      <c r="F5667" s="4">
        <v>1</v>
      </c>
      <c r="G5667" s="41">
        <v>8</v>
      </c>
      <c r="H5667" s="41">
        <f>0.00993707*(1000)</f>
        <v>9.9370699999999985</v>
      </c>
      <c r="I5667" s="221"/>
      <c r="J5667" s="221"/>
    </row>
    <row r="5668" spans="1:10" s="15" customFormat="1" ht="16.5" hidden="1" customHeight="1" outlineLevel="1" x14ac:dyDescent="0.25">
      <c r="A5668" s="18">
        <v>3845</v>
      </c>
      <c r="B5668" s="4" t="s">
        <v>43</v>
      </c>
      <c r="C5668" s="38" t="s">
        <v>3810</v>
      </c>
      <c r="D5668" s="18">
        <v>2022</v>
      </c>
      <c r="E5668" s="18" t="s">
        <v>0</v>
      </c>
      <c r="F5668" s="4">
        <v>1</v>
      </c>
      <c r="G5668" s="41">
        <v>10</v>
      </c>
      <c r="H5668" s="41">
        <f>0.00993708*(1000)</f>
        <v>9.9370799999999999</v>
      </c>
      <c r="I5668" s="221"/>
      <c r="J5668" s="221"/>
    </row>
    <row r="5669" spans="1:10" s="15" customFormat="1" ht="16.5" hidden="1" customHeight="1" outlineLevel="1" x14ac:dyDescent="0.25">
      <c r="A5669" s="18">
        <v>3846</v>
      </c>
      <c r="B5669" s="4" t="s">
        <v>43</v>
      </c>
      <c r="C5669" s="38" t="s">
        <v>3811</v>
      </c>
      <c r="D5669" s="18">
        <v>2022</v>
      </c>
      <c r="E5669" s="18" t="s">
        <v>0</v>
      </c>
      <c r="F5669" s="4">
        <v>1</v>
      </c>
      <c r="G5669" s="41">
        <v>10</v>
      </c>
      <c r="H5669" s="41">
        <f>0.00993707*(1000)</f>
        <v>9.9370699999999985</v>
      </c>
      <c r="I5669" s="221"/>
      <c r="J5669" s="221"/>
    </row>
    <row r="5670" spans="1:10" s="15" customFormat="1" ht="16.5" hidden="1" customHeight="1" outlineLevel="1" x14ac:dyDescent="0.25">
      <c r="A5670" s="18">
        <v>3848</v>
      </c>
      <c r="B5670" s="4" t="s">
        <v>43</v>
      </c>
      <c r="C5670" s="38" t="s">
        <v>3812</v>
      </c>
      <c r="D5670" s="18">
        <v>2022</v>
      </c>
      <c r="E5670" s="18" t="s">
        <v>0</v>
      </c>
      <c r="F5670" s="4">
        <v>1</v>
      </c>
      <c r="G5670" s="41">
        <v>10</v>
      </c>
      <c r="H5670" s="41">
        <f>0.00994767*(1000)</f>
        <v>9.9476700000000005</v>
      </c>
      <c r="I5670" s="221"/>
      <c r="J5670" s="221"/>
    </row>
    <row r="5671" spans="1:10" s="15" customFormat="1" ht="16.5" hidden="1" customHeight="1" outlineLevel="1" x14ac:dyDescent="0.25">
      <c r="A5671" s="18">
        <v>3849</v>
      </c>
      <c r="B5671" s="4" t="s">
        <v>43</v>
      </c>
      <c r="C5671" s="38" t="s">
        <v>3813</v>
      </c>
      <c r="D5671" s="18">
        <v>2022</v>
      </c>
      <c r="E5671" s="18" t="s">
        <v>0</v>
      </c>
      <c r="F5671" s="4">
        <v>1</v>
      </c>
      <c r="G5671" s="41">
        <v>10</v>
      </c>
      <c r="H5671" s="41">
        <f>0.00994766*(1000)</f>
        <v>9.9476600000000008</v>
      </c>
      <c r="I5671" s="221"/>
      <c r="J5671" s="221"/>
    </row>
    <row r="5672" spans="1:10" s="15" customFormat="1" ht="16.5" hidden="1" customHeight="1" outlineLevel="1" x14ac:dyDescent="0.25">
      <c r="A5672" s="18">
        <v>3850</v>
      </c>
      <c r="B5672" s="4" t="s">
        <v>43</v>
      </c>
      <c r="C5672" s="38" t="s">
        <v>3814</v>
      </c>
      <c r="D5672" s="18">
        <v>2022</v>
      </c>
      <c r="E5672" s="18" t="s">
        <v>0</v>
      </c>
      <c r="F5672" s="4">
        <v>1</v>
      </c>
      <c r="G5672" s="41">
        <v>10</v>
      </c>
      <c r="H5672" s="41">
        <f>0.00994767*(1000)</f>
        <v>9.9476700000000005</v>
      </c>
      <c r="I5672" s="221"/>
      <c r="J5672" s="221"/>
    </row>
    <row r="5673" spans="1:10" s="15" customFormat="1" ht="16.5" hidden="1" customHeight="1" outlineLevel="1" x14ac:dyDescent="0.25">
      <c r="A5673" s="18">
        <v>3854</v>
      </c>
      <c r="B5673" s="4" t="s">
        <v>43</v>
      </c>
      <c r="C5673" s="38" t="s">
        <v>3815</v>
      </c>
      <c r="D5673" s="18">
        <v>2022</v>
      </c>
      <c r="E5673" s="18" t="s">
        <v>0</v>
      </c>
      <c r="F5673" s="4">
        <v>1</v>
      </c>
      <c r="G5673" s="41">
        <v>8</v>
      </c>
      <c r="H5673" s="41">
        <f>0.00994766*(1000)</f>
        <v>9.9476600000000008</v>
      </c>
      <c r="I5673" s="221"/>
      <c r="J5673" s="221"/>
    </row>
    <row r="5674" spans="1:10" s="15" customFormat="1" ht="16.5" hidden="1" customHeight="1" outlineLevel="1" x14ac:dyDescent="0.25">
      <c r="A5674" s="18">
        <v>3855</v>
      </c>
      <c r="B5674" s="4" t="s">
        <v>43</v>
      </c>
      <c r="C5674" s="38" t="s">
        <v>3816</v>
      </c>
      <c r="D5674" s="18">
        <v>2022</v>
      </c>
      <c r="E5674" s="18" t="s">
        <v>0</v>
      </c>
      <c r="F5674" s="4">
        <v>1</v>
      </c>
      <c r="G5674" s="41">
        <v>8</v>
      </c>
      <c r="H5674" s="41">
        <f>0.00994767*(1000)</f>
        <v>9.9476700000000005</v>
      </c>
      <c r="I5674" s="221"/>
      <c r="J5674" s="221"/>
    </row>
    <row r="5675" spans="1:10" s="15" customFormat="1" ht="16.5" hidden="1" customHeight="1" outlineLevel="1" x14ac:dyDescent="0.25">
      <c r="A5675" s="18">
        <v>3856</v>
      </c>
      <c r="B5675" s="4" t="s">
        <v>43</v>
      </c>
      <c r="C5675" s="38" t="s">
        <v>3817</v>
      </c>
      <c r="D5675" s="18">
        <v>2022</v>
      </c>
      <c r="E5675" s="18" t="s">
        <v>0</v>
      </c>
      <c r="F5675" s="4">
        <v>1</v>
      </c>
      <c r="G5675" s="41">
        <v>8</v>
      </c>
      <c r="H5675" s="41">
        <f>0.00994766*(1000)</f>
        <v>9.9476600000000008</v>
      </c>
      <c r="I5675" s="221"/>
      <c r="J5675" s="221"/>
    </row>
    <row r="5676" spans="1:10" s="15" customFormat="1" ht="16.5" hidden="1" customHeight="1" outlineLevel="1" x14ac:dyDescent="0.25">
      <c r="A5676" s="18">
        <v>3857</v>
      </c>
      <c r="B5676" s="4" t="s">
        <v>43</v>
      </c>
      <c r="C5676" s="38" t="s">
        <v>3818</v>
      </c>
      <c r="D5676" s="18">
        <v>2022</v>
      </c>
      <c r="E5676" s="18" t="s">
        <v>0</v>
      </c>
      <c r="F5676" s="4">
        <v>1</v>
      </c>
      <c r="G5676" s="41">
        <v>8</v>
      </c>
      <c r="H5676" s="41">
        <f>0.00994767*(1000)</f>
        <v>9.9476700000000005</v>
      </c>
      <c r="I5676" s="221"/>
      <c r="J5676" s="221"/>
    </row>
    <row r="5677" spans="1:10" s="15" customFormat="1" ht="16.5" hidden="1" customHeight="1" outlineLevel="1" x14ac:dyDescent="0.25">
      <c r="A5677" s="18">
        <v>3858</v>
      </c>
      <c r="B5677" s="4" t="s">
        <v>43</v>
      </c>
      <c r="C5677" s="38" t="s">
        <v>3819</v>
      </c>
      <c r="D5677" s="18">
        <v>2022</v>
      </c>
      <c r="E5677" s="18" t="s">
        <v>0</v>
      </c>
      <c r="F5677" s="4">
        <v>1</v>
      </c>
      <c r="G5677" s="41">
        <v>6</v>
      </c>
      <c r="H5677" s="41">
        <f>0.00994766*(1000)</f>
        <v>9.9476600000000008</v>
      </c>
      <c r="I5677" s="221"/>
      <c r="J5677" s="221"/>
    </row>
    <row r="5678" spans="1:10" s="15" customFormat="1" ht="16.5" hidden="1" customHeight="1" outlineLevel="1" x14ac:dyDescent="0.25">
      <c r="A5678" s="18">
        <v>3859</v>
      </c>
      <c r="B5678" s="4" t="s">
        <v>43</v>
      </c>
      <c r="C5678" s="38" t="s">
        <v>3820</v>
      </c>
      <c r="D5678" s="18">
        <v>2022</v>
      </c>
      <c r="E5678" s="18" t="s">
        <v>0</v>
      </c>
      <c r="F5678" s="4">
        <v>1</v>
      </c>
      <c r="G5678" s="41">
        <v>10</v>
      </c>
      <c r="H5678" s="41">
        <f>0.00994767*(1000)</f>
        <v>9.9476700000000005</v>
      </c>
      <c r="I5678" s="221"/>
      <c r="J5678" s="221"/>
    </row>
    <row r="5679" spans="1:10" s="15" customFormat="1" ht="16.5" hidden="1" customHeight="1" outlineLevel="1" x14ac:dyDescent="0.25">
      <c r="A5679" s="18">
        <v>3861</v>
      </c>
      <c r="B5679" s="4" t="s">
        <v>43</v>
      </c>
      <c r="C5679" s="38" t="s">
        <v>3821</v>
      </c>
      <c r="D5679" s="18">
        <v>2022</v>
      </c>
      <c r="E5679" s="18" t="s">
        <v>0</v>
      </c>
      <c r="F5679" s="4">
        <v>1</v>
      </c>
      <c r="G5679" s="41">
        <v>8</v>
      </c>
      <c r="H5679" s="41">
        <f>0.00994766*(1000)</f>
        <v>9.9476600000000008</v>
      </c>
      <c r="I5679" s="221"/>
      <c r="J5679" s="221"/>
    </row>
    <row r="5680" spans="1:10" s="15" customFormat="1" ht="16.5" hidden="1" customHeight="1" outlineLevel="1" x14ac:dyDescent="0.25">
      <c r="A5680" s="18">
        <v>3863</v>
      </c>
      <c r="B5680" s="4" t="s">
        <v>43</v>
      </c>
      <c r="C5680" s="38" t="s">
        <v>3822</v>
      </c>
      <c r="D5680" s="18">
        <v>2022</v>
      </c>
      <c r="E5680" s="18" t="s">
        <v>0</v>
      </c>
      <c r="F5680" s="4">
        <v>1</v>
      </c>
      <c r="G5680" s="41">
        <v>10</v>
      </c>
      <c r="H5680" s="41">
        <f>0.01007967*(1000)</f>
        <v>10.07967</v>
      </c>
      <c r="I5680" s="221"/>
      <c r="J5680" s="221"/>
    </row>
    <row r="5681" spans="1:10" s="15" customFormat="1" ht="16.5" hidden="1" customHeight="1" outlineLevel="1" x14ac:dyDescent="0.25">
      <c r="A5681" s="18">
        <v>3865</v>
      </c>
      <c r="B5681" s="4" t="s">
        <v>43</v>
      </c>
      <c r="C5681" s="38" t="s">
        <v>3823</v>
      </c>
      <c r="D5681" s="18">
        <v>2022</v>
      </c>
      <c r="E5681" s="18" t="s">
        <v>0</v>
      </c>
      <c r="F5681" s="4">
        <v>1</v>
      </c>
      <c r="G5681" s="41">
        <v>10</v>
      </c>
      <c r="H5681" s="41">
        <f>0.00994766*(1000)</f>
        <v>9.9476600000000008</v>
      </c>
      <c r="I5681" s="221"/>
      <c r="J5681" s="221"/>
    </row>
    <row r="5682" spans="1:10" s="15" customFormat="1" ht="16.5" hidden="1" customHeight="1" outlineLevel="1" x14ac:dyDescent="0.25">
      <c r="A5682" s="18">
        <v>3866</v>
      </c>
      <c r="B5682" s="4" t="s">
        <v>43</v>
      </c>
      <c r="C5682" s="38" t="s">
        <v>3824</v>
      </c>
      <c r="D5682" s="18">
        <v>2022</v>
      </c>
      <c r="E5682" s="18" t="s">
        <v>0</v>
      </c>
      <c r="F5682" s="4">
        <v>1</v>
      </c>
      <c r="G5682" s="41">
        <v>15</v>
      </c>
      <c r="H5682" s="41">
        <f>0.00994767*(1000)</f>
        <v>9.9476700000000005</v>
      </c>
      <c r="I5682" s="221"/>
      <c r="J5682" s="221"/>
    </row>
    <row r="5683" spans="1:10" s="15" customFormat="1" ht="16.5" hidden="1" customHeight="1" outlineLevel="1" x14ac:dyDescent="0.25">
      <c r="A5683" s="18">
        <v>3867</v>
      </c>
      <c r="B5683" s="4" t="s">
        <v>43</v>
      </c>
      <c r="C5683" s="38" t="s">
        <v>3825</v>
      </c>
      <c r="D5683" s="18">
        <v>2022</v>
      </c>
      <c r="E5683" s="18" t="s">
        <v>0</v>
      </c>
      <c r="F5683" s="4">
        <v>1</v>
      </c>
      <c r="G5683" s="41">
        <v>10</v>
      </c>
      <c r="H5683" s="41">
        <f>0.00994766*(1000)</f>
        <v>9.9476600000000008</v>
      </c>
      <c r="I5683" s="221"/>
      <c r="J5683" s="221"/>
    </row>
    <row r="5684" spans="1:10" s="15" customFormat="1" ht="16.5" hidden="1" customHeight="1" outlineLevel="1" x14ac:dyDescent="0.25">
      <c r="A5684" s="18">
        <v>3868</v>
      </c>
      <c r="B5684" s="4" t="s">
        <v>43</v>
      </c>
      <c r="C5684" s="38" t="s">
        <v>3826</v>
      </c>
      <c r="D5684" s="18">
        <v>2022</v>
      </c>
      <c r="E5684" s="18" t="s">
        <v>0</v>
      </c>
      <c r="F5684" s="4">
        <v>1</v>
      </c>
      <c r="G5684" s="41">
        <v>8</v>
      </c>
      <c r="H5684" s="41">
        <f>0.00994767*(1000)</f>
        <v>9.9476700000000005</v>
      </c>
      <c r="I5684" s="221"/>
      <c r="J5684" s="221"/>
    </row>
    <row r="5685" spans="1:10" s="15" customFormat="1" ht="16.5" hidden="1" customHeight="1" outlineLevel="1" x14ac:dyDescent="0.25">
      <c r="A5685" s="18">
        <v>3870</v>
      </c>
      <c r="B5685" s="4" t="s">
        <v>43</v>
      </c>
      <c r="C5685" s="38" t="s">
        <v>3827</v>
      </c>
      <c r="D5685" s="18">
        <v>2022</v>
      </c>
      <c r="E5685" s="18" t="s">
        <v>0</v>
      </c>
      <c r="F5685" s="4">
        <v>1</v>
      </c>
      <c r="G5685" s="41">
        <v>8</v>
      </c>
      <c r="H5685" s="41">
        <f>0.00994766*(1000)</f>
        <v>9.9476600000000008</v>
      </c>
      <c r="I5685" s="221"/>
      <c r="J5685" s="221"/>
    </row>
    <row r="5686" spans="1:10" s="15" customFormat="1" ht="16.5" hidden="1" customHeight="1" outlineLevel="1" x14ac:dyDescent="0.25">
      <c r="A5686" s="18">
        <v>3871</v>
      </c>
      <c r="B5686" s="4" t="s">
        <v>43</v>
      </c>
      <c r="C5686" s="38" t="s">
        <v>3828</v>
      </c>
      <c r="D5686" s="18">
        <v>2022</v>
      </c>
      <c r="E5686" s="18" t="s">
        <v>0</v>
      </c>
      <c r="F5686" s="4">
        <v>1</v>
      </c>
      <c r="G5686" s="41">
        <v>10</v>
      </c>
      <c r="H5686" s="41">
        <f>0.00994767*(1000)</f>
        <v>9.9476700000000005</v>
      </c>
      <c r="I5686" s="221"/>
      <c r="J5686" s="221"/>
    </row>
    <row r="5687" spans="1:10" s="15" customFormat="1" ht="16.5" hidden="1" customHeight="1" outlineLevel="1" x14ac:dyDescent="0.25">
      <c r="A5687" s="18">
        <v>3872</v>
      </c>
      <c r="B5687" s="4" t="s">
        <v>43</v>
      </c>
      <c r="C5687" s="38" t="s">
        <v>3829</v>
      </c>
      <c r="D5687" s="18">
        <v>2022</v>
      </c>
      <c r="E5687" s="18" t="s">
        <v>0</v>
      </c>
      <c r="F5687" s="4">
        <v>1</v>
      </c>
      <c r="G5687" s="41">
        <v>10</v>
      </c>
      <c r="H5687" s="41">
        <f>0.00994765*(1000)</f>
        <v>9.9476500000000012</v>
      </c>
      <c r="I5687" s="221"/>
      <c r="J5687" s="221"/>
    </row>
    <row r="5688" spans="1:10" s="15" customFormat="1" ht="16.5" hidden="1" customHeight="1" outlineLevel="1" x14ac:dyDescent="0.25">
      <c r="A5688" s="18">
        <v>3873</v>
      </c>
      <c r="B5688" s="4" t="s">
        <v>43</v>
      </c>
      <c r="C5688" s="38" t="s">
        <v>3830</v>
      </c>
      <c r="D5688" s="18">
        <v>2022</v>
      </c>
      <c r="E5688" s="18" t="s">
        <v>0</v>
      </c>
      <c r="F5688" s="4">
        <v>1</v>
      </c>
      <c r="G5688" s="41">
        <v>14</v>
      </c>
      <c r="H5688" s="41">
        <f>0.00994767*(1000)</f>
        <v>9.9476700000000005</v>
      </c>
      <c r="I5688" s="221"/>
      <c r="J5688" s="221"/>
    </row>
    <row r="5689" spans="1:10" s="15" customFormat="1" ht="16.5" hidden="1" customHeight="1" outlineLevel="1" x14ac:dyDescent="0.25">
      <c r="A5689" s="18">
        <v>3875</v>
      </c>
      <c r="B5689" s="4" t="s">
        <v>43</v>
      </c>
      <c r="C5689" s="38" t="s">
        <v>3831</v>
      </c>
      <c r="D5689" s="18">
        <v>2022</v>
      </c>
      <c r="E5689" s="18" t="s">
        <v>0</v>
      </c>
      <c r="F5689" s="4">
        <v>1</v>
      </c>
      <c r="G5689" s="41">
        <v>8</v>
      </c>
      <c r="H5689" s="41">
        <f t="shared" ref="H5689:H5694" si="8">0.00994766*(1000)</f>
        <v>9.9476600000000008</v>
      </c>
      <c r="I5689" s="221"/>
      <c r="J5689" s="221"/>
    </row>
    <row r="5690" spans="1:10" s="15" customFormat="1" ht="16.5" hidden="1" customHeight="1" outlineLevel="1" x14ac:dyDescent="0.25">
      <c r="A5690" s="18">
        <v>3876</v>
      </c>
      <c r="B5690" s="4" t="s">
        <v>43</v>
      </c>
      <c r="C5690" s="38" t="s">
        <v>3832</v>
      </c>
      <c r="D5690" s="18">
        <v>2022</v>
      </c>
      <c r="E5690" s="18" t="s">
        <v>0</v>
      </c>
      <c r="F5690" s="4">
        <v>1</v>
      </c>
      <c r="G5690" s="41">
        <v>8</v>
      </c>
      <c r="H5690" s="41">
        <f t="shared" si="8"/>
        <v>9.9476600000000008</v>
      </c>
      <c r="I5690" s="221"/>
      <c r="J5690" s="221"/>
    </row>
    <row r="5691" spans="1:10" s="15" customFormat="1" ht="16.5" hidden="1" customHeight="1" outlineLevel="1" x14ac:dyDescent="0.25">
      <c r="A5691" s="18">
        <v>3878</v>
      </c>
      <c r="B5691" s="4" t="s">
        <v>43</v>
      </c>
      <c r="C5691" s="38" t="s">
        <v>3833</v>
      </c>
      <c r="D5691" s="18">
        <v>2022</v>
      </c>
      <c r="E5691" s="18" t="s">
        <v>0</v>
      </c>
      <c r="F5691" s="4">
        <v>1</v>
      </c>
      <c r="G5691" s="41">
        <v>10</v>
      </c>
      <c r="H5691" s="41">
        <f t="shared" si="8"/>
        <v>9.9476600000000008</v>
      </c>
      <c r="I5691" s="221"/>
      <c r="J5691" s="221"/>
    </row>
    <row r="5692" spans="1:10" s="15" customFormat="1" ht="16.5" hidden="1" customHeight="1" outlineLevel="1" x14ac:dyDescent="0.25">
      <c r="A5692" s="18">
        <v>3879</v>
      </c>
      <c r="B5692" s="4" t="s">
        <v>43</v>
      </c>
      <c r="C5692" s="38" t="s">
        <v>3834</v>
      </c>
      <c r="D5692" s="18">
        <v>2022</v>
      </c>
      <c r="E5692" s="18" t="s">
        <v>0</v>
      </c>
      <c r="F5692" s="4">
        <v>1</v>
      </c>
      <c r="G5692" s="41">
        <v>10</v>
      </c>
      <c r="H5692" s="41">
        <f t="shared" si="8"/>
        <v>9.9476600000000008</v>
      </c>
      <c r="I5692" s="221"/>
      <c r="J5692" s="221"/>
    </row>
    <row r="5693" spans="1:10" s="15" customFormat="1" ht="16.5" hidden="1" customHeight="1" outlineLevel="1" x14ac:dyDescent="0.25">
      <c r="A5693" s="18">
        <v>3880</v>
      </c>
      <c r="B5693" s="4" t="s">
        <v>43</v>
      </c>
      <c r="C5693" s="38" t="s">
        <v>3835</v>
      </c>
      <c r="D5693" s="18">
        <v>2022</v>
      </c>
      <c r="E5693" s="18" t="s">
        <v>0</v>
      </c>
      <c r="F5693" s="4">
        <v>1</v>
      </c>
      <c r="G5693" s="41">
        <v>8</v>
      </c>
      <c r="H5693" s="41">
        <f t="shared" si="8"/>
        <v>9.9476600000000008</v>
      </c>
      <c r="I5693" s="221"/>
      <c r="J5693" s="221"/>
    </row>
    <row r="5694" spans="1:10" s="15" customFormat="1" ht="16.5" hidden="1" customHeight="1" outlineLevel="1" x14ac:dyDescent="0.25">
      <c r="A5694" s="18">
        <v>3881</v>
      </c>
      <c r="B5694" s="4" t="s">
        <v>43</v>
      </c>
      <c r="C5694" s="38" t="s">
        <v>3836</v>
      </c>
      <c r="D5694" s="18">
        <v>2022</v>
      </c>
      <c r="E5694" s="18" t="s">
        <v>0</v>
      </c>
      <c r="F5694" s="4">
        <v>1</v>
      </c>
      <c r="G5694" s="41">
        <v>8</v>
      </c>
      <c r="H5694" s="41">
        <f t="shared" si="8"/>
        <v>9.9476600000000008</v>
      </c>
      <c r="I5694" s="221"/>
      <c r="J5694" s="221"/>
    </row>
    <row r="5695" spans="1:10" s="15" customFormat="1" ht="16.5" hidden="1" customHeight="1" outlineLevel="1" x14ac:dyDescent="0.25">
      <c r="A5695" s="18">
        <v>3884</v>
      </c>
      <c r="B5695" s="4" t="s">
        <v>43</v>
      </c>
      <c r="C5695" s="38" t="s">
        <v>3837</v>
      </c>
      <c r="D5695" s="18">
        <v>2022</v>
      </c>
      <c r="E5695" s="18" t="s">
        <v>0</v>
      </c>
      <c r="F5695" s="4">
        <v>1</v>
      </c>
      <c r="G5695" s="41">
        <v>10</v>
      </c>
      <c r="H5695" s="41">
        <f>0.01007966*(1000)</f>
        <v>10.079660000000001</v>
      </c>
      <c r="I5695" s="221"/>
      <c r="J5695" s="221"/>
    </row>
    <row r="5696" spans="1:10" s="15" customFormat="1" ht="16.5" hidden="1" customHeight="1" outlineLevel="1" x14ac:dyDescent="0.25">
      <c r="A5696" s="18">
        <v>3886</v>
      </c>
      <c r="B5696" s="4" t="s">
        <v>43</v>
      </c>
      <c r="C5696" s="38" t="s">
        <v>3838</v>
      </c>
      <c r="D5696" s="18">
        <v>2022</v>
      </c>
      <c r="E5696" s="18" t="s">
        <v>0</v>
      </c>
      <c r="F5696" s="4">
        <v>1</v>
      </c>
      <c r="G5696" s="41">
        <v>10</v>
      </c>
      <c r="H5696" s="41">
        <f>0.01007967*(1000)</f>
        <v>10.07967</v>
      </c>
      <c r="I5696" s="221"/>
      <c r="J5696" s="221"/>
    </row>
    <row r="5697" spans="1:10" s="15" customFormat="1" ht="16.5" hidden="1" customHeight="1" outlineLevel="1" x14ac:dyDescent="0.25">
      <c r="A5697" s="18">
        <v>3887</v>
      </c>
      <c r="B5697" s="4" t="s">
        <v>43</v>
      </c>
      <c r="C5697" s="38" t="s">
        <v>3839</v>
      </c>
      <c r="D5697" s="18">
        <v>2022</v>
      </c>
      <c r="E5697" s="18" t="s">
        <v>0</v>
      </c>
      <c r="F5697" s="4">
        <v>1</v>
      </c>
      <c r="G5697" s="41">
        <v>8</v>
      </c>
      <c r="H5697" s="41">
        <f>0.00994766*(1000)</f>
        <v>9.9476600000000008</v>
      </c>
      <c r="I5697" s="221"/>
      <c r="J5697" s="221"/>
    </row>
    <row r="5698" spans="1:10" s="15" customFormat="1" ht="16.5" hidden="1" customHeight="1" outlineLevel="1" x14ac:dyDescent="0.25">
      <c r="A5698" s="18">
        <v>3893</v>
      </c>
      <c r="B5698" s="4" t="s">
        <v>43</v>
      </c>
      <c r="C5698" s="38" t="s">
        <v>3840</v>
      </c>
      <c r="D5698" s="18">
        <v>2022</v>
      </c>
      <c r="E5698" s="18" t="s">
        <v>0</v>
      </c>
      <c r="F5698" s="4">
        <v>1</v>
      </c>
      <c r="G5698" s="41">
        <v>8</v>
      </c>
      <c r="H5698" s="41">
        <f>0.01007967*(1000)</f>
        <v>10.07967</v>
      </c>
      <c r="I5698" s="221"/>
      <c r="J5698" s="221"/>
    </row>
    <row r="5699" spans="1:10" s="15" customFormat="1" ht="16.5" hidden="1" customHeight="1" outlineLevel="1" x14ac:dyDescent="0.25">
      <c r="A5699" s="18">
        <v>3894</v>
      </c>
      <c r="B5699" s="4" t="s">
        <v>43</v>
      </c>
      <c r="C5699" s="38" t="s">
        <v>3841</v>
      </c>
      <c r="D5699" s="18">
        <v>2022</v>
      </c>
      <c r="E5699" s="18" t="s">
        <v>0</v>
      </c>
      <c r="F5699" s="4">
        <v>1</v>
      </c>
      <c r="G5699" s="41">
        <v>10</v>
      </c>
      <c r="H5699" s="41">
        <f>0.01007966*(1000)</f>
        <v>10.079660000000001</v>
      </c>
      <c r="I5699" s="221"/>
      <c r="J5699" s="221"/>
    </row>
    <row r="5700" spans="1:10" s="15" customFormat="1" ht="16.5" hidden="1" customHeight="1" outlineLevel="1" x14ac:dyDescent="0.25">
      <c r="A5700" s="18">
        <v>3896</v>
      </c>
      <c r="B5700" s="4" t="s">
        <v>43</v>
      </c>
      <c r="C5700" s="38" t="s">
        <v>3842</v>
      </c>
      <c r="D5700" s="18">
        <v>2022</v>
      </c>
      <c r="E5700" s="18" t="s">
        <v>0</v>
      </c>
      <c r="F5700" s="4">
        <v>1</v>
      </c>
      <c r="G5700" s="41">
        <v>10</v>
      </c>
      <c r="H5700" s="41">
        <f>0.00994767*(1000)</f>
        <v>9.9476700000000005</v>
      </c>
      <c r="I5700" s="221"/>
      <c r="J5700" s="221"/>
    </row>
    <row r="5701" spans="1:10" s="15" customFormat="1" ht="16.5" hidden="1" customHeight="1" outlineLevel="1" x14ac:dyDescent="0.25">
      <c r="A5701" s="18">
        <v>3897</v>
      </c>
      <c r="B5701" s="4" t="s">
        <v>43</v>
      </c>
      <c r="C5701" s="38" t="s">
        <v>3843</v>
      </c>
      <c r="D5701" s="18">
        <v>2022</v>
      </c>
      <c r="E5701" s="18" t="s">
        <v>0</v>
      </c>
      <c r="F5701" s="4">
        <v>1</v>
      </c>
      <c r="G5701" s="41">
        <v>10</v>
      </c>
      <c r="H5701" s="41">
        <f>0.01008192*(1000)</f>
        <v>10.08192</v>
      </c>
      <c r="I5701" s="221"/>
      <c r="J5701" s="221"/>
    </row>
    <row r="5702" spans="1:10" s="15" customFormat="1" ht="16.5" hidden="1" customHeight="1" outlineLevel="1" x14ac:dyDescent="0.25">
      <c r="A5702" s="18">
        <v>3898</v>
      </c>
      <c r="B5702" s="4" t="s">
        <v>43</v>
      </c>
      <c r="C5702" s="38" t="s">
        <v>3844</v>
      </c>
      <c r="D5702" s="18">
        <v>2022</v>
      </c>
      <c r="E5702" s="18" t="s">
        <v>0</v>
      </c>
      <c r="F5702" s="4">
        <v>1</v>
      </c>
      <c r="G5702" s="41">
        <v>10</v>
      </c>
      <c r="H5702" s="41">
        <f>0.00994997*(1000)</f>
        <v>9.9499700000000004</v>
      </c>
      <c r="I5702" s="221"/>
      <c r="J5702" s="221"/>
    </row>
    <row r="5703" spans="1:10" s="15" customFormat="1" ht="16.5" hidden="1" customHeight="1" outlineLevel="1" x14ac:dyDescent="0.25">
      <c r="A5703" s="18">
        <v>3899</v>
      </c>
      <c r="B5703" s="4" t="s">
        <v>43</v>
      </c>
      <c r="C5703" s="38" t="s">
        <v>3845</v>
      </c>
      <c r="D5703" s="18">
        <v>2022</v>
      </c>
      <c r="E5703" s="18" t="s">
        <v>0</v>
      </c>
      <c r="F5703" s="4">
        <v>1</v>
      </c>
      <c r="G5703" s="41">
        <v>8</v>
      </c>
      <c r="H5703" s="41">
        <f>0.01008192*(1000)</f>
        <v>10.08192</v>
      </c>
      <c r="I5703" s="221"/>
      <c r="J5703" s="221"/>
    </row>
    <row r="5704" spans="1:10" s="15" customFormat="1" ht="16.5" hidden="1" customHeight="1" outlineLevel="1" x14ac:dyDescent="0.25">
      <c r="A5704" s="18">
        <v>3901</v>
      </c>
      <c r="B5704" s="4" t="s">
        <v>43</v>
      </c>
      <c r="C5704" s="38" t="s">
        <v>3846</v>
      </c>
      <c r="D5704" s="18">
        <v>2022</v>
      </c>
      <c r="E5704" s="18" t="s">
        <v>0</v>
      </c>
      <c r="F5704" s="4">
        <v>1</v>
      </c>
      <c r="G5704" s="41">
        <v>10</v>
      </c>
      <c r="H5704" s="41">
        <f>0.00994997*(1000)</f>
        <v>9.9499700000000004</v>
      </c>
      <c r="I5704" s="221"/>
      <c r="J5704" s="221"/>
    </row>
    <row r="5705" spans="1:10" s="15" customFormat="1" ht="16.5" hidden="1" customHeight="1" outlineLevel="1" x14ac:dyDescent="0.25">
      <c r="A5705" s="18">
        <v>3902</v>
      </c>
      <c r="B5705" s="4" t="s">
        <v>43</v>
      </c>
      <c r="C5705" s="38" t="s">
        <v>3847</v>
      </c>
      <c r="D5705" s="18">
        <v>2022</v>
      </c>
      <c r="E5705" s="18" t="s">
        <v>0</v>
      </c>
      <c r="F5705" s="4">
        <v>1</v>
      </c>
      <c r="G5705" s="41">
        <v>8</v>
      </c>
      <c r="H5705" s="41">
        <f>0.00994995*(1000)</f>
        <v>9.9499500000000012</v>
      </c>
      <c r="I5705" s="221"/>
      <c r="J5705" s="221"/>
    </row>
    <row r="5706" spans="1:10" s="15" customFormat="1" ht="16.5" hidden="1" customHeight="1" outlineLevel="1" x14ac:dyDescent="0.25">
      <c r="A5706" s="18">
        <v>3904</v>
      </c>
      <c r="B5706" s="4" t="s">
        <v>43</v>
      </c>
      <c r="C5706" s="38" t="s">
        <v>3848</v>
      </c>
      <c r="D5706" s="18">
        <v>2022</v>
      </c>
      <c r="E5706" s="18" t="s">
        <v>0</v>
      </c>
      <c r="F5706" s="4">
        <v>1</v>
      </c>
      <c r="G5706" s="41">
        <v>10</v>
      </c>
      <c r="H5706" s="41">
        <f>0.00993893*(1000)</f>
        <v>9.9389300000000009</v>
      </c>
      <c r="I5706" s="221"/>
      <c r="J5706" s="221"/>
    </row>
    <row r="5707" spans="1:10" s="15" customFormat="1" ht="16.5" hidden="1" customHeight="1" outlineLevel="1" x14ac:dyDescent="0.25">
      <c r="A5707" s="18">
        <v>3907</v>
      </c>
      <c r="B5707" s="4" t="s">
        <v>43</v>
      </c>
      <c r="C5707" s="38" t="s">
        <v>3849</v>
      </c>
      <c r="D5707" s="18">
        <v>2022</v>
      </c>
      <c r="E5707" s="18" t="s">
        <v>0</v>
      </c>
      <c r="F5707" s="4">
        <v>1</v>
      </c>
      <c r="G5707" s="41">
        <v>10</v>
      </c>
      <c r="H5707" s="41">
        <f>0.00993892*(1000)</f>
        <v>9.9389199999999995</v>
      </c>
      <c r="I5707" s="221"/>
      <c r="J5707" s="221"/>
    </row>
    <row r="5708" spans="1:10" s="15" customFormat="1" ht="16.5" hidden="1" customHeight="1" outlineLevel="1" x14ac:dyDescent="0.25">
      <c r="A5708" s="18">
        <v>3909</v>
      </c>
      <c r="B5708" s="4" t="s">
        <v>43</v>
      </c>
      <c r="C5708" s="38" t="s">
        <v>3850</v>
      </c>
      <c r="D5708" s="18">
        <v>2022</v>
      </c>
      <c r="E5708" s="18" t="s">
        <v>0</v>
      </c>
      <c r="F5708" s="4">
        <v>1</v>
      </c>
      <c r="G5708" s="41">
        <v>10</v>
      </c>
      <c r="H5708" s="41">
        <f>0.00993893*(1000)</f>
        <v>9.9389300000000009</v>
      </c>
      <c r="I5708" s="221"/>
      <c r="J5708" s="221"/>
    </row>
    <row r="5709" spans="1:10" s="15" customFormat="1" ht="16.5" hidden="1" customHeight="1" outlineLevel="1" x14ac:dyDescent="0.25">
      <c r="A5709" s="18">
        <v>3910</v>
      </c>
      <c r="B5709" s="4" t="s">
        <v>43</v>
      </c>
      <c r="C5709" s="38" t="s">
        <v>3851</v>
      </c>
      <c r="D5709" s="18">
        <v>2022</v>
      </c>
      <c r="E5709" s="18" t="s">
        <v>0</v>
      </c>
      <c r="F5709" s="4">
        <v>1</v>
      </c>
      <c r="G5709" s="41">
        <v>10</v>
      </c>
      <c r="H5709" s="41">
        <f>0.00993892*(1000)</f>
        <v>9.9389199999999995</v>
      </c>
      <c r="I5709" s="221"/>
      <c r="J5709" s="221"/>
    </row>
    <row r="5710" spans="1:10" s="15" customFormat="1" ht="16.5" hidden="1" customHeight="1" outlineLevel="1" x14ac:dyDescent="0.25">
      <c r="A5710" s="18">
        <v>3912</v>
      </c>
      <c r="B5710" s="4" t="s">
        <v>43</v>
      </c>
      <c r="C5710" s="38" t="s">
        <v>3852</v>
      </c>
      <c r="D5710" s="18">
        <v>2022</v>
      </c>
      <c r="E5710" s="18" t="s">
        <v>0</v>
      </c>
      <c r="F5710" s="4">
        <v>1</v>
      </c>
      <c r="G5710" s="41">
        <v>8</v>
      </c>
      <c r="H5710" s="41">
        <f>0.00993893*(1000)</f>
        <v>9.9389300000000009</v>
      </c>
      <c r="I5710" s="221"/>
      <c r="J5710" s="221"/>
    </row>
    <row r="5711" spans="1:10" s="15" customFormat="1" ht="16.5" hidden="1" customHeight="1" outlineLevel="1" x14ac:dyDescent="0.25">
      <c r="A5711" s="18">
        <v>3913</v>
      </c>
      <c r="B5711" s="4" t="s">
        <v>43</v>
      </c>
      <c r="C5711" s="38" t="s">
        <v>3853</v>
      </c>
      <c r="D5711" s="18">
        <v>2022</v>
      </c>
      <c r="E5711" s="18" t="s">
        <v>0</v>
      </c>
      <c r="F5711" s="4">
        <v>1</v>
      </c>
      <c r="G5711" s="41">
        <v>8</v>
      </c>
      <c r="H5711" s="41">
        <f>0.00993892*(1000)</f>
        <v>9.9389199999999995</v>
      </c>
      <c r="I5711" s="221"/>
      <c r="J5711" s="221"/>
    </row>
    <row r="5712" spans="1:10" s="15" customFormat="1" ht="16.5" hidden="1" customHeight="1" outlineLevel="1" x14ac:dyDescent="0.25">
      <c r="A5712" s="18">
        <v>3914</v>
      </c>
      <c r="B5712" s="4" t="s">
        <v>43</v>
      </c>
      <c r="C5712" s="38" t="s">
        <v>3854</v>
      </c>
      <c r="D5712" s="18">
        <v>2022</v>
      </c>
      <c r="E5712" s="18" t="s">
        <v>0</v>
      </c>
      <c r="F5712" s="4">
        <v>1</v>
      </c>
      <c r="G5712" s="41">
        <v>10</v>
      </c>
      <c r="H5712" s="41">
        <f>0.00993893*(1000)</f>
        <v>9.9389300000000009</v>
      </c>
      <c r="I5712" s="221"/>
      <c r="J5712" s="221"/>
    </row>
    <row r="5713" spans="1:10" s="15" customFormat="1" ht="16.5" hidden="1" customHeight="1" outlineLevel="1" x14ac:dyDescent="0.25">
      <c r="A5713" s="18">
        <v>3916</v>
      </c>
      <c r="B5713" s="4" t="s">
        <v>43</v>
      </c>
      <c r="C5713" s="38" t="s">
        <v>3855</v>
      </c>
      <c r="D5713" s="18">
        <v>2022</v>
      </c>
      <c r="E5713" s="18" t="s">
        <v>0</v>
      </c>
      <c r="F5713" s="4">
        <v>1</v>
      </c>
      <c r="G5713" s="41">
        <v>10</v>
      </c>
      <c r="H5713" s="41">
        <f>0.00993892*(1000)</f>
        <v>9.9389199999999995</v>
      </c>
      <c r="I5713" s="221"/>
      <c r="J5713" s="221"/>
    </row>
    <row r="5714" spans="1:10" s="15" customFormat="1" ht="16.5" hidden="1" customHeight="1" outlineLevel="1" x14ac:dyDescent="0.25">
      <c r="A5714" s="18">
        <v>3917</v>
      </c>
      <c r="B5714" s="4" t="s">
        <v>43</v>
      </c>
      <c r="C5714" s="38" t="s">
        <v>3856</v>
      </c>
      <c r="D5714" s="18">
        <v>2022</v>
      </c>
      <c r="E5714" s="18" t="s">
        <v>0</v>
      </c>
      <c r="F5714" s="4">
        <v>1</v>
      </c>
      <c r="G5714" s="41">
        <v>10</v>
      </c>
      <c r="H5714" s="41">
        <f>0.00993893*(1000)</f>
        <v>9.9389300000000009</v>
      </c>
      <c r="I5714" s="221"/>
      <c r="J5714" s="221"/>
    </row>
    <row r="5715" spans="1:10" s="15" customFormat="1" ht="16.5" hidden="1" customHeight="1" outlineLevel="1" x14ac:dyDescent="0.25">
      <c r="A5715" s="18">
        <v>3918</v>
      </c>
      <c r="B5715" s="4" t="s">
        <v>43</v>
      </c>
      <c r="C5715" s="38" t="s">
        <v>3857</v>
      </c>
      <c r="D5715" s="18">
        <v>2022</v>
      </c>
      <c r="E5715" s="18" t="s">
        <v>0</v>
      </c>
      <c r="F5715" s="4">
        <v>1</v>
      </c>
      <c r="G5715" s="41">
        <v>8</v>
      </c>
      <c r="H5715" s="41">
        <f>0.00993892*(1000)</f>
        <v>9.9389199999999995</v>
      </c>
      <c r="I5715" s="221"/>
      <c r="J5715" s="221"/>
    </row>
    <row r="5716" spans="1:10" s="15" customFormat="1" ht="16.5" hidden="1" customHeight="1" outlineLevel="1" x14ac:dyDescent="0.25">
      <c r="A5716" s="18">
        <v>3919</v>
      </c>
      <c r="B5716" s="4" t="s">
        <v>43</v>
      </c>
      <c r="C5716" s="38" t="s">
        <v>3858</v>
      </c>
      <c r="D5716" s="18">
        <v>2022</v>
      </c>
      <c r="E5716" s="18" t="s">
        <v>0</v>
      </c>
      <c r="F5716" s="4">
        <v>1</v>
      </c>
      <c r="G5716" s="41">
        <v>10</v>
      </c>
      <c r="H5716" s="41">
        <f>0.00993893*(1000)</f>
        <v>9.9389300000000009</v>
      </c>
      <c r="I5716" s="221"/>
      <c r="J5716" s="221"/>
    </row>
    <row r="5717" spans="1:10" s="15" customFormat="1" ht="16.5" hidden="1" customHeight="1" outlineLevel="1" x14ac:dyDescent="0.25">
      <c r="A5717" s="18">
        <v>3920</v>
      </c>
      <c r="B5717" s="4" t="s">
        <v>43</v>
      </c>
      <c r="C5717" s="38" t="s">
        <v>3859</v>
      </c>
      <c r="D5717" s="18">
        <v>2022</v>
      </c>
      <c r="E5717" s="18" t="s">
        <v>0</v>
      </c>
      <c r="F5717" s="4">
        <v>1</v>
      </c>
      <c r="G5717" s="41">
        <v>8</v>
      </c>
      <c r="H5717" s="41">
        <f>0.00991633*(1000)</f>
        <v>9.9163299999999985</v>
      </c>
      <c r="I5717" s="221"/>
      <c r="J5717" s="221"/>
    </row>
    <row r="5718" spans="1:10" s="15" customFormat="1" ht="16.5" hidden="1" customHeight="1" outlineLevel="1" x14ac:dyDescent="0.25">
      <c r="A5718" s="18">
        <v>3924</v>
      </c>
      <c r="B5718" s="4" t="s">
        <v>43</v>
      </c>
      <c r="C5718" s="38" t="s">
        <v>3860</v>
      </c>
      <c r="D5718" s="18">
        <v>2022</v>
      </c>
      <c r="E5718" s="18" t="s">
        <v>0</v>
      </c>
      <c r="F5718" s="4">
        <v>1</v>
      </c>
      <c r="G5718" s="41">
        <v>8</v>
      </c>
      <c r="H5718" s="41">
        <f>0.00991634*(1000)</f>
        <v>9.9163399999999999</v>
      </c>
      <c r="I5718" s="221"/>
      <c r="J5718" s="221"/>
    </row>
    <row r="5719" spans="1:10" s="15" customFormat="1" ht="16.5" hidden="1" customHeight="1" outlineLevel="1" x14ac:dyDescent="0.25">
      <c r="A5719" s="18">
        <v>3925</v>
      </c>
      <c r="B5719" s="4" t="s">
        <v>43</v>
      </c>
      <c r="C5719" s="38" t="s">
        <v>3861</v>
      </c>
      <c r="D5719" s="18">
        <v>2022</v>
      </c>
      <c r="E5719" s="18" t="s">
        <v>0</v>
      </c>
      <c r="F5719" s="4">
        <v>1</v>
      </c>
      <c r="G5719" s="41">
        <v>10</v>
      </c>
      <c r="H5719" s="41">
        <f>0.00991633*(1000)</f>
        <v>9.9163299999999985</v>
      </c>
      <c r="I5719" s="221"/>
      <c r="J5719" s="221"/>
    </row>
    <row r="5720" spans="1:10" s="15" customFormat="1" ht="16.5" hidden="1" customHeight="1" outlineLevel="1" x14ac:dyDescent="0.25">
      <c r="A5720" s="18">
        <v>3926</v>
      </c>
      <c r="B5720" s="4" t="s">
        <v>43</v>
      </c>
      <c r="C5720" s="38" t="s">
        <v>3862</v>
      </c>
      <c r="D5720" s="18">
        <v>2022</v>
      </c>
      <c r="E5720" s="18" t="s">
        <v>0</v>
      </c>
      <c r="F5720" s="4">
        <v>1</v>
      </c>
      <c r="G5720" s="41">
        <v>10</v>
      </c>
      <c r="H5720" s="41">
        <f>0.00991634*(1000)</f>
        <v>9.9163399999999999</v>
      </c>
      <c r="I5720" s="221"/>
      <c r="J5720" s="221"/>
    </row>
    <row r="5721" spans="1:10" s="15" customFormat="1" ht="16.5" hidden="1" customHeight="1" outlineLevel="1" x14ac:dyDescent="0.25">
      <c r="A5721" s="18">
        <v>3927</v>
      </c>
      <c r="B5721" s="4" t="s">
        <v>43</v>
      </c>
      <c r="C5721" s="38" t="s">
        <v>3863</v>
      </c>
      <c r="D5721" s="18">
        <v>2022</v>
      </c>
      <c r="E5721" s="18" t="s">
        <v>0</v>
      </c>
      <c r="F5721" s="4">
        <v>1</v>
      </c>
      <c r="G5721" s="41">
        <v>10</v>
      </c>
      <c r="H5721" s="41">
        <f>0.00991633*(1000)</f>
        <v>9.9163299999999985</v>
      </c>
      <c r="I5721" s="221"/>
      <c r="J5721" s="221"/>
    </row>
    <row r="5722" spans="1:10" s="15" customFormat="1" ht="16.5" hidden="1" customHeight="1" outlineLevel="1" x14ac:dyDescent="0.25">
      <c r="A5722" s="18">
        <v>3928</v>
      </c>
      <c r="B5722" s="4" t="s">
        <v>43</v>
      </c>
      <c r="C5722" s="38" t="s">
        <v>3864</v>
      </c>
      <c r="D5722" s="18">
        <v>2022</v>
      </c>
      <c r="E5722" s="18" t="s">
        <v>0</v>
      </c>
      <c r="F5722" s="4">
        <v>1</v>
      </c>
      <c r="G5722" s="41">
        <v>10</v>
      </c>
      <c r="H5722" s="41">
        <f>0.00991634*(1000)</f>
        <v>9.9163399999999999</v>
      </c>
      <c r="I5722" s="221"/>
      <c r="J5722" s="221"/>
    </row>
    <row r="5723" spans="1:10" s="15" customFormat="1" ht="16.5" hidden="1" customHeight="1" outlineLevel="1" x14ac:dyDescent="0.25">
      <c r="A5723" s="18">
        <v>3929</v>
      </c>
      <c r="B5723" s="4" t="s">
        <v>43</v>
      </c>
      <c r="C5723" s="38" t="s">
        <v>3865</v>
      </c>
      <c r="D5723" s="18">
        <v>2022</v>
      </c>
      <c r="E5723" s="18" t="s">
        <v>0</v>
      </c>
      <c r="F5723" s="4">
        <v>1</v>
      </c>
      <c r="G5723" s="41">
        <v>8</v>
      </c>
      <c r="H5723" s="41">
        <f>0.00991633*(1000)</f>
        <v>9.9163299999999985</v>
      </c>
      <c r="I5723" s="221"/>
      <c r="J5723" s="221"/>
    </row>
    <row r="5724" spans="1:10" s="15" customFormat="1" ht="16.5" hidden="1" customHeight="1" outlineLevel="1" x14ac:dyDescent="0.25">
      <c r="A5724" s="18">
        <v>3932</v>
      </c>
      <c r="B5724" s="4" t="s">
        <v>43</v>
      </c>
      <c r="C5724" s="38" t="s">
        <v>3866</v>
      </c>
      <c r="D5724" s="18">
        <v>2022</v>
      </c>
      <c r="E5724" s="18" t="s">
        <v>0</v>
      </c>
      <c r="F5724" s="4">
        <v>1</v>
      </c>
      <c r="G5724" s="41">
        <v>10</v>
      </c>
      <c r="H5724" s="41">
        <f>0.00991634*(1000)</f>
        <v>9.9163399999999999</v>
      </c>
      <c r="I5724" s="221"/>
      <c r="J5724" s="221"/>
    </row>
    <row r="5725" spans="1:10" s="15" customFormat="1" ht="16.5" hidden="1" customHeight="1" outlineLevel="1" x14ac:dyDescent="0.25">
      <c r="A5725" s="18">
        <v>3934</v>
      </c>
      <c r="B5725" s="4" t="s">
        <v>43</v>
      </c>
      <c r="C5725" s="38" t="s">
        <v>3867</v>
      </c>
      <c r="D5725" s="18">
        <v>2022</v>
      </c>
      <c r="E5725" s="18" t="s">
        <v>0</v>
      </c>
      <c r="F5725" s="4">
        <v>1</v>
      </c>
      <c r="G5725" s="41">
        <v>10</v>
      </c>
      <c r="H5725" s="41">
        <f>0.00991633*(1000)</f>
        <v>9.9163299999999985</v>
      </c>
      <c r="I5725" s="221"/>
      <c r="J5725" s="221"/>
    </row>
    <row r="5726" spans="1:10" s="15" customFormat="1" ht="16.5" hidden="1" customHeight="1" outlineLevel="1" x14ac:dyDescent="0.25">
      <c r="A5726" s="18">
        <v>3935</v>
      </c>
      <c r="B5726" s="4" t="s">
        <v>43</v>
      </c>
      <c r="C5726" s="38" t="s">
        <v>3868</v>
      </c>
      <c r="D5726" s="18">
        <v>2022</v>
      </c>
      <c r="E5726" s="18" t="s">
        <v>0</v>
      </c>
      <c r="F5726" s="4">
        <v>1</v>
      </c>
      <c r="G5726" s="41">
        <v>8</v>
      </c>
      <c r="H5726" s="41">
        <f>0.00991634*(1000)</f>
        <v>9.9163399999999999</v>
      </c>
      <c r="I5726" s="221"/>
      <c r="J5726" s="221"/>
    </row>
    <row r="5727" spans="1:10" s="15" customFormat="1" ht="16.5" hidden="1" customHeight="1" outlineLevel="1" x14ac:dyDescent="0.25">
      <c r="A5727" s="18">
        <v>3937</v>
      </c>
      <c r="B5727" s="4" t="s">
        <v>43</v>
      </c>
      <c r="C5727" s="38" t="s">
        <v>3869</v>
      </c>
      <c r="D5727" s="18">
        <v>2022</v>
      </c>
      <c r="E5727" s="18" t="s">
        <v>0</v>
      </c>
      <c r="F5727" s="4">
        <v>1</v>
      </c>
      <c r="G5727" s="41">
        <v>10</v>
      </c>
      <c r="H5727" s="41">
        <f>0.00991633*(1000)</f>
        <v>9.9163299999999985</v>
      </c>
      <c r="I5727" s="221"/>
      <c r="J5727" s="221"/>
    </row>
    <row r="5728" spans="1:10" s="15" customFormat="1" ht="16.5" hidden="1" customHeight="1" outlineLevel="1" x14ac:dyDescent="0.25">
      <c r="A5728" s="18">
        <v>3939</v>
      </c>
      <c r="B5728" s="4" t="s">
        <v>43</v>
      </c>
      <c r="C5728" s="38" t="s">
        <v>3870</v>
      </c>
      <c r="D5728" s="18">
        <v>2022</v>
      </c>
      <c r="E5728" s="18" t="s">
        <v>0</v>
      </c>
      <c r="F5728" s="4">
        <v>1</v>
      </c>
      <c r="G5728" s="41">
        <v>10</v>
      </c>
      <c r="H5728" s="41">
        <f>0.00991634*(1000)</f>
        <v>9.9163399999999999</v>
      </c>
      <c r="I5728" s="221"/>
      <c r="J5728" s="221"/>
    </row>
    <row r="5729" spans="1:10" s="15" customFormat="1" ht="16.5" hidden="1" customHeight="1" outlineLevel="1" x14ac:dyDescent="0.25">
      <c r="A5729" s="18">
        <v>3940</v>
      </c>
      <c r="B5729" s="4" t="s">
        <v>43</v>
      </c>
      <c r="C5729" s="38" t="s">
        <v>3871</v>
      </c>
      <c r="D5729" s="18">
        <v>2022</v>
      </c>
      <c r="E5729" s="18" t="s">
        <v>0</v>
      </c>
      <c r="F5729" s="4">
        <v>1</v>
      </c>
      <c r="G5729" s="41">
        <v>5</v>
      </c>
      <c r="H5729" s="41">
        <f>0.00991633*(1000)</f>
        <v>9.9163299999999985</v>
      </c>
      <c r="I5729" s="221"/>
      <c r="J5729" s="221"/>
    </row>
    <row r="5730" spans="1:10" s="15" customFormat="1" ht="16.5" hidden="1" customHeight="1" outlineLevel="1" x14ac:dyDescent="0.25">
      <c r="A5730" s="18">
        <v>3941</v>
      </c>
      <c r="B5730" s="4" t="s">
        <v>43</v>
      </c>
      <c r="C5730" s="38" t="s">
        <v>3872</v>
      </c>
      <c r="D5730" s="18">
        <v>2022</v>
      </c>
      <c r="E5730" s="18" t="s">
        <v>0</v>
      </c>
      <c r="F5730" s="4">
        <v>1</v>
      </c>
      <c r="G5730" s="41">
        <v>8</v>
      </c>
      <c r="H5730" s="41">
        <f>0.00991634*(1000)</f>
        <v>9.9163399999999999</v>
      </c>
      <c r="I5730" s="221"/>
      <c r="J5730" s="221"/>
    </row>
    <row r="5731" spans="1:10" s="15" customFormat="1" ht="16.5" hidden="1" customHeight="1" outlineLevel="1" x14ac:dyDescent="0.25">
      <c r="A5731" s="18">
        <v>3942</v>
      </c>
      <c r="B5731" s="4" t="s">
        <v>43</v>
      </c>
      <c r="C5731" s="38" t="s">
        <v>3873</v>
      </c>
      <c r="D5731" s="18">
        <v>2022</v>
      </c>
      <c r="E5731" s="18" t="s">
        <v>0</v>
      </c>
      <c r="F5731" s="4">
        <v>1</v>
      </c>
      <c r="G5731" s="41">
        <v>8</v>
      </c>
      <c r="H5731" s="41">
        <f>0.00991633*(1000)</f>
        <v>9.9163299999999985</v>
      </c>
      <c r="I5731" s="221"/>
      <c r="J5731" s="221"/>
    </row>
    <row r="5732" spans="1:10" s="15" customFormat="1" ht="16.5" hidden="1" customHeight="1" outlineLevel="1" x14ac:dyDescent="0.25">
      <c r="A5732" s="18">
        <v>3943</v>
      </c>
      <c r="B5732" s="4" t="s">
        <v>43</v>
      </c>
      <c r="C5732" s="38" t="s">
        <v>3874</v>
      </c>
      <c r="D5732" s="18">
        <v>2022</v>
      </c>
      <c r="E5732" s="18" t="s">
        <v>0</v>
      </c>
      <c r="F5732" s="4">
        <v>1</v>
      </c>
      <c r="G5732" s="41">
        <v>8</v>
      </c>
      <c r="H5732" s="41">
        <f>0.00991634*(1000)</f>
        <v>9.9163399999999999</v>
      </c>
      <c r="I5732" s="221"/>
      <c r="J5732" s="221"/>
    </row>
    <row r="5733" spans="1:10" s="15" customFormat="1" ht="16.5" hidden="1" customHeight="1" outlineLevel="1" x14ac:dyDescent="0.25">
      <c r="A5733" s="18">
        <v>3944</v>
      </c>
      <c r="B5733" s="4" t="s">
        <v>43</v>
      </c>
      <c r="C5733" s="38" t="s">
        <v>3875</v>
      </c>
      <c r="D5733" s="18">
        <v>2022</v>
      </c>
      <c r="E5733" s="18" t="s">
        <v>0</v>
      </c>
      <c r="F5733" s="4">
        <v>1</v>
      </c>
      <c r="G5733" s="41">
        <v>8</v>
      </c>
      <c r="H5733" s="41">
        <f>0.00991633*(1000)</f>
        <v>9.9163299999999985</v>
      </c>
      <c r="I5733" s="221"/>
      <c r="J5733" s="221"/>
    </row>
    <row r="5734" spans="1:10" s="15" customFormat="1" ht="16.5" hidden="1" customHeight="1" outlineLevel="1" x14ac:dyDescent="0.25">
      <c r="A5734" s="18">
        <v>3945</v>
      </c>
      <c r="B5734" s="4" t="s">
        <v>43</v>
      </c>
      <c r="C5734" s="38" t="s">
        <v>3876</v>
      </c>
      <c r="D5734" s="18">
        <v>2022</v>
      </c>
      <c r="E5734" s="18" t="s">
        <v>0</v>
      </c>
      <c r="F5734" s="4">
        <v>1</v>
      </c>
      <c r="G5734" s="41">
        <v>8</v>
      </c>
      <c r="H5734" s="41">
        <f>0.00991634*(1000)</f>
        <v>9.9163399999999999</v>
      </c>
      <c r="I5734" s="221"/>
      <c r="J5734" s="221"/>
    </row>
    <row r="5735" spans="1:10" s="15" customFormat="1" ht="16.5" hidden="1" customHeight="1" outlineLevel="1" x14ac:dyDescent="0.25">
      <c r="A5735" s="18">
        <v>3946</v>
      </c>
      <c r="B5735" s="4" t="s">
        <v>43</v>
      </c>
      <c r="C5735" s="38" t="s">
        <v>3877</v>
      </c>
      <c r="D5735" s="18">
        <v>2022</v>
      </c>
      <c r="E5735" s="18" t="s">
        <v>0</v>
      </c>
      <c r="F5735" s="4">
        <v>1</v>
      </c>
      <c r="G5735" s="41">
        <v>5</v>
      </c>
      <c r="H5735" s="41">
        <f>0.00991633*(1000)</f>
        <v>9.9163299999999985</v>
      </c>
      <c r="I5735" s="221"/>
      <c r="J5735" s="221"/>
    </row>
    <row r="5736" spans="1:10" s="15" customFormat="1" ht="16.5" hidden="1" customHeight="1" outlineLevel="1" x14ac:dyDescent="0.25">
      <c r="A5736" s="18">
        <v>3947</v>
      </c>
      <c r="B5736" s="4" t="s">
        <v>43</v>
      </c>
      <c r="C5736" s="38" t="s">
        <v>3878</v>
      </c>
      <c r="D5736" s="18">
        <v>2022</v>
      </c>
      <c r="E5736" s="18" t="s">
        <v>0</v>
      </c>
      <c r="F5736" s="4">
        <v>1</v>
      </c>
      <c r="G5736" s="41">
        <v>10</v>
      </c>
      <c r="H5736" s="41">
        <f>0.00991634*(1000)</f>
        <v>9.9163399999999999</v>
      </c>
      <c r="I5736" s="221"/>
      <c r="J5736" s="221"/>
    </row>
    <row r="5737" spans="1:10" s="15" customFormat="1" ht="16.5" hidden="1" customHeight="1" outlineLevel="1" x14ac:dyDescent="0.25">
      <c r="A5737" s="18">
        <v>3948</v>
      </c>
      <c r="B5737" s="4" t="s">
        <v>43</v>
      </c>
      <c r="C5737" s="38" t="s">
        <v>3879</v>
      </c>
      <c r="D5737" s="18">
        <v>2022</v>
      </c>
      <c r="E5737" s="18" t="s">
        <v>0</v>
      </c>
      <c r="F5737" s="4">
        <v>1</v>
      </c>
      <c r="G5737" s="41">
        <v>10</v>
      </c>
      <c r="H5737" s="41">
        <f>0.00993715*(1000)</f>
        <v>9.9371500000000008</v>
      </c>
      <c r="I5737" s="221"/>
      <c r="J5737" s="221"/>
    </row>
    <row r="5738" spans="1:10" s="15" customFormat="1" ht="16.5" hidden="1" customHeight="1" outlineLevel="1" x14ac:dyDescent="0.25">
      <c r="A5738" s="18">
        <v>3949</v>
      </c>
      <c r="B5738" s="4" t="s">
        <v>43</v>
      </c>
      <c r="C5738" s="38" t="s">
        <v>3880</v>
      </c>
      <c r="D5738" s="18">
        <v>2022</v>
      </c>
      <c r="E5738" s="18" t="s">
        <v>0</v>
      </c>
      <c r="F5738" s="4">
        <v>1</v>
      </c>
      <c r="G5738" s="41">
        <v>8</v>
      </c>
      <c r="H5738" s="41">
        <f>0.00993716*(1000)</f>
        <v>9.9371600000000004</v>
      </c>
      <c r="I5738" s="221"/>
      <c r="J5738" s="221"/>
    </row>
    <row r="5739" spans="1:10" s="15" customFormat="1" ht="16.5" hidden="1" customHeight="1" outlineLevel="1" x14ac:dyDescent="0.25">
      <c r="A5739" s="18">
        <v>3950</v>
      </c>
      <c r="B5739" s="4" t="s">
        <v>43</v>
      </c>
      <c r="C5739" s="38" t="s">
        <v>3881</v>
      </c>
      <c r="D5739" s="18">
        <v>2022</v>
      </c>
      <c r="E5739" s="18" t="s">
        <v>0</v>
      </c>
      <c r="F5739" s="4">
        <v>1</v>
      </c>
      <c r="G5739" s="41">
        <v>8</v>
      </c>
      <c r="H5739" s="41">
        <f>0.00993715*(1000)</f>
        <v>9.9371500000000008</v>
      </c>
      <c r="I5739" s="221"/>
      <c r="J5739" s="221"/>
    </row>
    <row r="5740" spans="1:10" s="15" customFormat="1" ht="16.5" hidden="1" customHeight="1" outlineLevel="1" x14ac:dyDescent="0.25">
      <c r="A5740" s="18">
        <v>3951</v>
      </c>
      <c r="B5740" s="4" t="s">
        <v>43</v>
      </c>
      <c r="C5740" s="38" t="s">
        <v>3882</v>
      </c>
      <c r="D5740" s="18">
        <v>2022</v>
      </c>
      <c r="E5740" s="18" t="s">
        <v>0</v>
      </c>
      <c r="F5740" s="4">
        <v>1</v>
      </c>
      <c r="G5740" s="41">
        <v>10</v>
      </c>
      <c r="H5740" s="41">
        <f>0.00993716*(1000)</f>
        <v>9.9371600000000004</v>
      </c>
      <c r="I5740" s="221"/>
      <c r="J5740" s="221"/>
    </row>
    <row r="5741" spans="1:10" s="15" customFormat="1" ht="16.5" hidden="1" customHeight="1" outlineLevel="1" x14ac:dyDescent="0.25">
      <c r="A5741" s="18">
        <v>3952</v>
      </c>
      <c r="B5741" s="4" t="s">
        <v>43</v>
      </c>
      <c r="C5741" s="38" t="s">
        <v>3883</v>
      </c>
      <c r="D5741" s="18">
        <v>2022</v>
      </c>
      <c r="E5741" s="18" t="s">
        <v>0</v>
      </c>
      <c r="F5741" s="4">
        <v>1</v>
      </c>
      <c r="G5741" s="41">
        <v>10</v>
      </c>
      <c r="H5741" s="41">
        <f>0.00993715*(1000)</f>
        <v>9.9371500000000008</v>
      </c>
      <c r="I5741" s="221"/>
      <c r="J5741" s="221"/>
    </row>
    <row r="5742" spans="1:10" s="15" customFormat="1" ht="16.5" hidden="1" customHeight="1" outlineLevel="1" x14ac:dyDescent="0.25">
      <c r="A5742" s="18">
        <v>3953</v>
      </c>
      <c r="B5742" s="4" t="s">
        <v>43</v>
      </c>
      <c r="C5742" s="38" t="s">
        <v>3884</v>
      </c>
      <c r="D5742" s="18">
        <v>2022</v>
      </c>
      <c r="E5742" s="18" t="s">
        <v>0</v>
      </c>
      <c r="F5742" s="4">
        <v>1</v>
      </c>
      <c r="G5742" s="41">
        <v>10</v>
      </c>
      <c r="H5742" s="41">
        <f>0.00993716*(1000)</f>
        <v>9.9371600000000004</v>
      </c>
      <c r="I5742" s="221"/>
      <c r="J5742" s="221"/>
    </row>
    <row r="5743" spans="1:10" s="15" customFormat="1" ht="16.5" hidden="1" customHeight="1" outlineLevel="1" x14ac:dyDescent="0.25">
      <c r="A5743" s="18">
        <v>3954</v>
      </c>
      <c r="B5743" s="4" t="s">
        <v>43</v>
      </c>
      <c r="C5743" s="38" t="s">
        <v>3885</v>
      </c>
      <c r="D5743" s="18">
        <v>2022</v>
      </c>
      <c r="E5743" s="18" t="s">
        <v>0</v>
      </c>
      <c r="F5743" s="4">
        <v>1</v>
      </c>
      <c r="G5743" s="41">
        <v>10</v>
      </c>
      <c r="H5743" s="41">
        <f>0.00993715*(1000)</f>
        <v>9.9371500000000008</v>
      </c>
      <c r="I5743" s="221"/>
      <c r="J5743" s="221"/>
    </row>
    <row r="5744" spans="1:10" s="15" customFormat="1" ht="16.5" hidden="1" customHeight="1" outlineLevel="1" x14ac:dyDescent="0.25">
      <c r="A5744" s="18">
        <v>3955</v>
      </c>
      <c r="B5744" s="4" t="s">
        <v>43</v>
      </c>
      <c r="C5744" s="38" t="s">
        <v>3886</v>
      </c>
      <c r="D5744" s="18">
        <v>2022</v>
      </c>
      <c r="E5744" s="18" t="s">
        <v>0</v>
      </c>
      <c r="F5744" s="4">
        <v>1</v>
      </c>
      <c r="G5744" s="41">
        <v>8</v>
      </c>
      <c r="H5744" s="41">
        <f>0.00993716*(1000)</f>
        <v>9.9371600000000004</v>
      </c>
      <c r="I5744" s="221"/>
      <c r="J5744" s="221"/>
    </row>
    <row r="5745" spans="1:10" s="15" customFormat="1" ht="16.5" hidden="1" customHeight="1" outlineLevel="1" x14ac:dyDescent="0.25">
      <c r="A5745" s="18">
        <v>3956</v>
      </c>
      <c r="B5745" s="4" t="s">
        <v>43</v>
      </c>
      <c r="C5745" s="38" t="s">
        <v>3887</v>
      </c>
      <c r="D5745" s="18">
        <v>2022</v>
      </c>
      <c r="E5745" s="18" t="s">
        <v>0</v>
      </c>
      <c r="F5745" s="4">
        <v>1</v>
      </c>
      <c r="G5745" s="41">
        <v>10</v>
      </c>
      <c r="H5745" s="41">
        <f>0.00993715*(1000)</f>
        <v>9.9371500000000008</v>
      </c>
      <c r="I5745" s="221"/>
      <c r="J5745" s="221"/>
    </row>
    <row r="5746" spans="1:10" s="15" customFormat="1" ht="16.5" hidden="1" customHeight="1" outlineLevel="1" x14ac:dyDescent="0.25">
      <c r="A5746" s="18">
        <v>3957</v>
      </c>
      <c r="B5746" s="4" t="s">
        <v>43</v>
      </c>
      <c r="C5746" s="38" t="s">
        <v>3888</v>
      </c>
      <c r="D5746" s="18">
        <v>2022</v>
      </c>
      <c r="E5746" s="18" t="s">
        <v>0</v>
      </c>
      <c r="F5746" s="4">
        <v>1</v>
      </c>
      <c r="G5746" s="41">
        <v>10</v>
      </c>
      <c r="H5746" s="41">
        <f>0.00993716*(1000)</f>
        <v>9.9371600000000004</v>
      </c>
      <c r="I5746" s="221"/>
      <c r="J5746" s="221"/>
    </row>
    <row r="5747" spans="1:10" s="15" customFormat="1" ht="16.5" hidden="1" customHeight="1" outlineLevel="1" x14ac:dyDescent="0.25">
      <c r="A5747" s="18">
        <v>3958</v>
      </c>
      <c r="B5747" s="4" t="s">
        <v>43</v>
      </c>
      <c r="C5747" s="38" t="s">
        <v>3889</v>
      </c>
      <c r="D5747" s="18">
        <v>2022</v>
      </c>
      <c r="E5747" s="18" t="s">
        <v>0</v>
      </c>
      <c r="F5747" s="4">
        <v>1</v>
      </c>
      <c r="G5747" s="41">
        <v>10</v>
      </c>
      <c r="H5747" s="41">
        <f>0.00993715*(1000)</f>
        <v>9.9371500000000008</v>
      </c>
      <c r="I5747" s="221"/>
      <c r="J5747" s="221"/>
    </row>
    <row r="5748" spans="1:10" s="15" customFormat="1" ht="16.5" hidden="1" customHeight="1" outlineLevel="1" x14ac:dyDescent="0.25">
      <c r="A5748" s="18">
        <v>3959</v>
      </c>
      <c r="B5748" s="4" t="s">
        <v>43</v>
      </c>
      <c r="C5748" s="38" t="s">
        <v>3890</v>
      </c>
      <c r="D5748" s="18">
        <v>2022</v>
      </c>
      <c r="E5748" s="18" t="s">
        <v>0</v>
      </c>
      <c r="F5748" s="4">
        <v>1</v>
      </c>
      <c r="G5748" s="41">
        <v>8</v>
      </c>
      <c r="H5748" s="41">
        <f>0.00993716*(1000)</f>
        <v>9.9371600000000004</v>
      </c>
      <c r="I5748" s="221"/>
      <c r="J5748" s="221"/>
    </row>
    <row r="5749" spans="1:10" s="15" customFormat="1" ht="16.5" hidden="1" customHeight="1" outlineLevel="1" x14ac:dyDescent="0.25">
      <c r="A5749" s="18">
        <v>3960</v>
      </c>
      <c r="B5749" s="4" t="s">
        <v>43</v>
      </c>
      <c r="C5749" s="38" t="s">
        <v>3891</v>
      </c>
      <c r="D5749" s="18">
        <v>2022</v>
      </c>
      <c r="E5749" s="18" t="s">
        <v>0</v>
      </c>
      <c r="F5749" s="4">
        <v>1</v>
      </c>
      <c r="G5749" s="41">
        <v>10</v>
      </c>
      <c r="H5749" s="41">
        <f>0.00993715*(1000)</f>
        <v>9.9371500000000008</v>
      </c>
      <c r="I5749" s="221"/>
      <c r="J5749" s="221"/>
    </row>
    <row r="5750" spans="1:10" s="15" customFormat="1" ht="16.5" hidden="1" customHeight="1" outlineLevel="1" x14ac:dyDescent="0.25">
      <c r="A5750" s="18">
        <v>3961</v>
      </c>
      <c r="B5750" s="4" t="s">
        <v>43</v>
      </c>
      <c r="C5750" s="38" t="s">
        <v>3892</v>
      </c>
      <c r="D5750" s="18">
        <v>2022</v>
      </c>
      <c r="E5750" s="18" t="s">
        <v>0</v>
      </c>
      <c r="F5750" s="4">
        <v>1</v>
      </c>
      <c r="G5750" s="41">
        <v>8</v>
      </c>
      <c r="H5750" s="41">
        <f>0.00993716*(1000)</f>
        <v>9.9371600000000004</v>
      </c>
      <c r="I5750" s="221"/>
      <c r="J5750" s="221"/>
    </row>
    <row r="5751" spans="1:10" s="15" customFormat="1" ht="16.5" hidden="1" customHeight="1" outlineLevel="1" x14ac:dyDescent="0.25">
      <c r="A5751" s="18">
        <v>3962</v>
      </c>
      <c r="B5751" s="4" t="s">
        <v>43</v>
      </c>
      <c r="C5751" s="38" t="s">
        <v>3893</v>
      </c>
      <c r="D5751" s="18">
        <v>2022</v>
      </c>
      <c r="E5751" s="18" t="s">
        <v>0</v>
      </c>
      <c r="F5751" s="4">
        <v>1</v>
      </c>
      <c r="G5751" s="41">
        <v>10</v>
      </c>
      <c r="H5751" s="41">
        <f>0.00993715*(1000)</f>
        <v>9.9371500000000008</v>
      </c>
      <c r="I5751" s="221"/>
      <c r="J5751" s="221"/>
    </row>
    <row r="5752" spans="1:10" s="15" customFormat="1" ht="16.5" hidden="1" customHeight="1" outlineLevel="1" x14ac:dyDescent="0.25">
      <c r="A5752" s="18">
        <v>3964</v>
      </c>
      <c r="B5752" s="4" t="s">
        <v>43</v>
      </c>
      <c r="C5752" s="38" t="s">
        <v>3894</v>
      </c>
      <c r="D5752" s="18">
        <v>2022</v>
      </c>
      <c r="E5752" s="18" t="s">
        <v>0</v>
      </c>
      <c r="F5752" s="4">
        <v>1</v>
      </c>
      <c r="G5752" s="41">
        <v>8</v>
      </c>
      <c r="H5752" s="41">
        <f>0.00993716*(1000)</f>
        <v>9.9371600000000004</v>
      </c>
      <c r="I5752" s="221"/>
      <c r="J5752" s="221"/>
    </row>
    <row r="5753" spans="1:10" s="15" customFormat="1" ht="16.5" hidden="1" customHeight="1" outlineLevel="1" x14ac:dyDescent="0.25">
      <c r="A5753" s="18">
        <v>3965</v>
      </c>
      <c r="B5753" s="4" t="s">
        <v>43</v>
      </c>
      <c r="C5753" s="38" t="s">
        <v>3895</v>
      </c>
      <c r="D5753" s="18">
        <v>2022</v>
      </c>
      <c r="E5753" s="18" t="s">
        <v>0</v>
      </c>
      <c r="F5753" s="4">
        <v>1</v>
      </c>
      <c r="G5753" s="41">
        <v>5</v>
      </c>
      <c r="H5753" s="41">
        <f>0.00993715*(1000)</f>
        <v>9.9371500000000008</v>
      </c>
      <c r="I5753" s="221"/>
      <c r="J5753" s="221"/>
    </row>
    <row r="5754" spans="1:10" s="15" customFormat="1" ht="16.5" hidden="1" customHeight="1" outlineLevel="1" x14ac:dyDescent="0.25">
      <c r="A5754" s="18">
        <v>3967</v>
      </c>
      <c r="B5754" s="4" t="s">
        <v>43</v>
      </c>
      <c r="C5754" s="38" t="s">
        <v>3896</v>
      </c>
      <c r="D5754" s="18">
        <v>2022</v>
      </c>
      <c r="E5754" s="18" t="s">
        <v>0</v>
      </c>
      <c r="F5754" s="4">
        <v>1</v>
      </c>
      <c r="G5754" s="41">
        <v>10</v>
      </c>
      <c r="H5754" s="41">
        <f>0.00993716*(1000)</f>
        <v>9.9371600000000004</v>
      </c>
      <c r="I5754" s="221"/>
      <c r="J5754" s="221"/>
    </row>
    <row r="5755" spans="1:10" s="15" customFormat="1" ht="16.5" hidden="1" customHeight="1" outlineLevel="1" x14ac:dyDescent="0.25">
      <c r="A5755" s="18">
        <v>3968</v>
      </c>
      <c r="B5755" s="4" t="s">
        <v>43</v>
      </c>
      <c r="C5755" s="38" t="s">
        <v>3897</v>
      </c>
      <c r="D5755" s="18">
        <v>2022</v>
      </c>
      <c r="E5755" s="18" t="s">
        <v>0</v>
      </c>
      <c r="F5755" s="4">
        <v>1</v>
      </c>
      <c r="G5755" s="41">
        <v>15</v>
      </c>
      <c r="H5755" s="41">
        <f>0.00993715*(1000)</f>
        <v>9.9371500000000008</v>
      </c>
      <c r="I5755" s="221"/>
      <c r="J5755" s="221"/>
    </row>
    <row r="5756" spans="1:10" s="15" customFormat="1" ht="16.5" hidden="1" customHeight="1" outlineLevel="1" x14ac:dyDescent="0.25">
      <c r="A5756" s="18">
        <v>3969</v>
      </c>
      <c r="B5756" s="4" t="s">
        <v>43</v>
      </c>
      <c r="C5756" s="38" t="s">
        <v>3898</v>
      </c>
      <c r="D5756" s="18">
        <v>2022</v>
      </c>
      <c r="E5756" s="18" t="s">
        <v>0</v>
      </c>
      <c r="F5756" s="4">
        <v>1</v>
      </c>
      <c r="G5756" s="41">
        <v>8</v>
      </c>
      <c r="H5756" s="41">
        <f>0.00993717*(1000)</f>
        <v>9.9371700000000001</v>
      </c>
      <c r="I5756" s="221"/>
      <c r="J5756" s="221"/>
    </row>
    <row r="5757" spans="1:10" s="15" customFormat="1" ht="16.5" hidden="1" customHeight="1" outlineLevel="1" x14ac:dyDescent="0.25">
      <c r="A5757" s="18">
        <v>3970</v>
      </c>
      <c r="B5757" s="4" t="s">
        <v>43</v>
      </c>
      <c r="C5757" s="38" t="s">
        <v>3899</v>
      </c>
      <c r="D5757" s="18">
        <v>2022</v>
      </c>
      <c r="E5757" s="18" t="s">
        <v>0</v>
      </c>
      <c r="F5757" s="4">
        <v>1</v>
      </c>
      <c r="G5757" s="41">
        <v>8</v>
      </c>
      <c r="H5757" s="41">
        <f>0.00993716*(1000)</f>
        <v>9.9371600000000004</v>
      </c>
      <c r="I5757" s="221"/>
      <c r="J5757" s="221"/>
    </row>
    <row r="5758" spans="1:10" s="15" customFormat="1" ht="16.5" hidden="1" customHeight="1" outlineLevel="1" x14ac:dyDescent="0.25">
      <c r="A5758" s="18">
        <v>3972</v>
      </c>
      <c r="B5758" s="4" t="s">
        <v>43</v>
      </c>
      <c r="C5758" s="38" t="s">
        <v>3900</v>
      </c>
      <c r="D5758" s="18">
        <v>2022</v>
      </c>
      <c r="E5758" s="18" t="s">
        <v>0</v>
      </c>
      <c r="F5758" s="4">
        <v>1</v>
      </c>
      <c r="G5758" s="41">
        <v>10</v>
      </c>
      <c r="H5758" s="41">
        <f>0.00993715*(1000)</f>
        <v>9.9371500000000008</v>
      </c>
      <c r="I5758" s="221"/>
      <c r="J5758" s="221"/>
    </row>
    <row r="5759" spans="1:10" s="15" customFormat="1" ht="16.5" hidden="1" customHeight="1" outlineLevel="1" x14ac:dyDescent="0.25">
      <c r="A5759" s="18">
        <v>3973</v>
      </c>
      <c r="B5759" s="4" t="s">
        <v>43</v>
      </c>
      <c r="C5759" s="38" t="s">
        <v>3901</v>
      </c>
      <c r="D5759" s="18">
        <v>2022</v>
      </c>
      <c r="E5759" s="18" t="s">
        <v>0</v>
      </c>
      <c r="F5759" s="4">
        <v>1</v>
      </c>
      <c r="G5759" s="41">
        <v>8</v>
      </c>
      <c r="H5759" s="41">
        <f>0.00993715*(1000)</f>
        <v>9.9371500000000008</v>
      </c>
      <c r="I5759" s="221"/>
      <c r="J5759" s="221"/>
    </row>
    <row r="5760" spans="1:10" s="15" customFormat="1" ht="16.5" hidden="1" customHeight="1" outlineLevel="1" x14ac:dyDescent="0.25">
      <c r="A5760" s="18">
        <v>3976</v>
      </c>
      <c r="B5760" s="4" t="s">
        <v>43</v>
      </c>
      <c r="C5760" s="38" t="s">
        <v>3902</v>
      </c>
      <c r="D5760" s="18">
        <v>2022</v>
      </c>
      <c r="E5760" s="18" t="s">
        <v>0</v>
      </c>
      <c r="F5760" s="4">
        <v>1</v>
      </c>
      <c r="G5760" s="41">
        <v>5</v>
      </c>
      <c r="H5760" s="41">
        <f>0.00993716*(1000)</f>
        <v>9.9371600000000004</v>
      </c>
      <c r="I5760" s="221"/>
      <c r="J5760" s="221"/>
    </row>
    <row r="5761" spans="1:10" s="15" customFormat="1" ht="16.5" hidden="1" customHeight="1" outlineLevel="1" x14ac:dyDescent="0.25">
      <c r="A5761" s="18">
        <v>3980</v>
      </c>
      <c r="B5761" s="4" t="s">
        <v>43</v>
      </c>
      <c r="C5761" s="38" t="s">
        <v>3903</v>
      </c>
      <c r="D5761" s="18">
        <v>2022</v>
      </c>
      <c r="E5761" s="18" t="s">
        <v>0</v>
      </c>
      <c r="F5761" s="4">
        <v>1</v>
      </c>
      <c r="G5761" s="41">
        <v>5</v>
      </c>
      <c r="H5761" s="41">
        <f>0.00993715*(1000)</f>
        <v>9.9371500000000008</v>
      </c>
      <c r="I5761" s="221"/>
      <c r="J5761" s="221"/>
    </row>
    <row r="5762" spans="1:10" s="15" customFormat="1" ht="16.5" hidden="1" customHeight="1" outlineLevel="1" x14ac:dyDescent="0.25">
      <c r="A5762" s="18">
        <v>3982</v>
      </c>
      <c r="B5762" s="4" t="s">
        <v>43</v>
      </c>
      <c r="C5762" s="38" t="s">
        <v>3904</v>
      </c>
      <c r="D5762" s="18">
        <v>2022</v>
      </c>
      <c r="E5762" s="18" t="s">
        <v>0</v>
      </c>
      <c r="F5762" s="4">
        <v>1</v>
      </c>
      <c r="G5762" s="41">
        <v>8</v>
      </c>
      <c r="H5762" s="41">
        <f>0.00993715*(1000)</f>
        <v>9.9371500000000008</v>
      </c>
      <c r="I5762" s="221"/>
      <c r="J5762" s="221"/>
    </row>
    <row r="5763" spans="1:10" s="15" customFormat="1" ht="16.5" hidden="1" customHeight="1" outlineLevel="1" x14ac:dyDescent="0.25">
      <c r="A5763" s="18">
        <v>3983</v>
      </c>
      <c r="B5763" s="4" t="s">
        <v>43</v>
      </c>
      <c r="C5763" s="38" t="s">
        <v>3905</v>
      </c>
      <c r="D5763" s="18">
        <v>2022</v>
      </c>
      <c r="E5763" s="18" t="s">
        <v>0</v>
      </c>
      <c r="F5763" s="4">
        <v>1</v>
      </c>
      <c r="G5763" s="41">
        <v>10</v>
      </c>
      <c r="H5763" s="41">
        <f>0.00993716*(1000)</f>
        <v>9.9371600000000004</v>
      </c>
      <c r="I5763" s="221"/>
      <c r="J5763" s="221"/>
    </row>
    <row r="5764" spans="1:10" s="15" customFormat="1" ht="16.5" hidden="1" customHeight="1" outlineLevel="1" x14ac:dyDescent="0.25">
      <c r="A5764" s="18">
        <v>3984</v>
      </c>
      <c r="B5764" s="4" t="s">
        <v>43</v>
      </c>
      <c r="C5764" s="38" t="s">
        <v>3906</v>
      </c>
      <c r="D5764" s="18">
        <v>2022</v>
      </c>
      <c r="E5764" s="18" t="s">
        <v>0</v>
      </c>
      <c r="F5764" s="4">
        <v>1</v>
      </c>
      <c r="G5764" s="41">
        <v>10</v>
      </c>
      <c r="H5764" s="41">
        <f>0.00993715*(1000)</f>
        <v>9.9371500000000008</v>
      </c>
      <c r="I5764" s="221"/>
      <c r="J5764" s="221"/>
    </row>
    <row r="5765" spans="1:10" s="15" customFormat="1" ht="16.5" hidden="1" customHeight="1" outlineLevel="1" x14ac:dyDescent="0.25">
      <c r="A5765" s="18">
        <v>3985</v>
      </c>
      <c r="B5765" s="4" t="s">
        <v>43</v>
      </c>
      <c r="C5765" s="38" t="s">
        <v>3907</v>
      </c>
      <c r="D5765" s="18">
        <v>2022</v>
      </c>
      <c r="E5765" s="18" t="s">
        <v>0</v>
      </c>
      <c r="F5765" s="4">
        <v>1</v>
      </c>
      <c r="G5765" s="41">
        <v>10</v>
      </c>
      <c r="H5765" s="41">
        <f>0.00993716*(1000)</f>
        <v>9.9371600000000004</v>
      </c>
      <c r="I5765" s="221"/>
      <c r="J5765" s="221"/>
    </row>
    <row r="5766" spans="1:10" s="15" customFormat="1" ht="16.5" hidden="1" customHeight="1" outlineLevel="1" x14ac:dyDescent="0.25">
      <c r="A5766" s="18">
        <v>3986</v>
      </c>
      <c r="B5766" s="4" t="s">
        <v>43</v>
      </c>
      <c r="C5766" s="38" t="s">
        <v>3908</v>
      </c>
      <c r="D5766" s="18">
        <v>2022</v>
      </c>
      <c r="E5766" s="18" t="s">
        <v>0</v>
      </c>
      <c r="F5766" s="4">
        <v>1</v>
      </c>
      <c r="G5766" s="41">
        <v>8</v>
      </c>
      <c r="H5766" s="41">
        <f>0.00993715*(1000)</f>
        <v>9.9371500000000008</v>
      </c>
      <c r="I5766" s="221"/>
      <c r="J5766" s="221"/>
    </row>
    <row r="5767" spans="1:10" s="15" customFormat="1" ht="16.5" hidden="1" customHeight="1" outlineLevel="1" x14ac:dyDescent="0.25">
      <c r="A5767" s="18">
        <v>3987</v>
      </c>
      <c r="B5767" s="4" t="s">
        <v>43</v>
      </c>
      <c r="C5767" s="38" t="s">
        <v>3909</v>
      </c>
      <c r="D5767" s="18">
        <v>2022</v>
      </c>
      <c r="E5767" s="18" t="s">
        <v>0</v>
      </c>
      <c r="F5767" s="4">
        <v>1</v>
      </c>
      <c r="G5767" s="41">
        <v>5</v>
      </c>
      <c r="H5767" s="41">
        <f>0.00993716*(1000)</f>
        <v>9.9371600000000004</v>
      </c>
      <c r="I5767" s="221"/>
      <c r="J5767" s="221"/>
    </row>
    <row r="5768" spans="1:10" s="15" customFormat="1" ht="16.5" hidden="1" customHeight="1" outlineLevel="1" x14ac:dyDescent="0.25">
      <c r="A5768" s="18">
        <v>3988</v>
      </c>
      <c r="B5768" s="4" t="s">
        <v>43</v>
      </c>
      <c r="C5768" s="38" t="s">
        <v>3910</v>
      </c>
      <c r="D5768" s="18">
        <v>2022</v>
      </c>
      <c r="E5768" s="18" t="s">
        <v>0</v>
      </c>
      <c r="F5768" s="4">
        <v>1</v>
      </c>
      <c r="G5768" s="41">
        <v>10</v>
      </c>
      <c r="H5768" s="41">
        <f>0.00993715*(1000)</f>
        <v>9.9371500000000008</v>
      </c>
      <c r="I5768" s="221"/>
      <c r="J5768" s="221"/>
    </row>
    <row r="5769" spans="1:10" s="15" customFormat="1" ht="16.5" hidden="1" customHeight="1" outlineLevel="1" x14ac:dyDescent="0.25">
      <c r="A5769" s="18">
        <v>3989</v>
      </c>
      <c r="B5769" s="4" t="s">
        <v>43</v>
      </c>
      <c r="C5769" s="38" t="s">
        <v>3911</v>
      </c>
      <c r="D5769" s="18">
        <v>2022</v>
      </c>
      <c r="E5769" s="18" t="s">
        <v>0</v>
      </c>
      <c r="F5769" s="4">
        <v>1</v>
      </c>
      <c r="G5769" s="41">
        <v>5</v>
      </c>
      <c r="H5769" s="41">
        <f>0.00993716*(1000)</f>
        <v>9.9371600000000004</v>
      </c>
      <c r="I5769" s="221"/>
      <c r="J5769" s="221"/>
    </row>
    <row r="5770" spans="1:10" s="15" customFormat="1" ht="16.5" hidden="1" customHeight="1" outlineLevel="1" x14ac:dyDescent="0.25">
      <c r="A5770" s="18">
        <v>3990</v>
      </c>
      <c r="B5770" s="4" t="s">
        <v>43</v>
      </c>
      <c r="C5770" s="38" t="s">
        <v>3912</v>
      </c>
      <c r="D5770" s="18">
        <v>2022</v>
      </c>
      <c r="E5770" s="18" t="s">
        <v>0</v>
      </c>
      <c r="F5770" s="4">
        <v>1</v>
      </c>
      <c r="G5770" s="41">
        <v>10</v>
      </c>
      <c r="H5770" s="41">
        <f>0.00993715*(1000)</f>
        <v>9.9371500000000008</v>
      </c>
      <c r="I5770" s="221"/>
      <c r="J5770" s="221"/>
    </row>
    <row r="5771" spans="1:10" s="15" customFormat="1" ht="16.5" hidden="1" customHeight="1" outlineLevel="1" x14ac:dyDescent="0.25">
      <c r="A5771" s="18">
        <v>3991</v>
      </c>
      <c r="B5771" s="4" t="s">
        <v>43</v>
      </c>
      <c r="C5771" s="38" t="s">
        <v>3913</v>
      </c>
      <c r="D5771" s="18">
        <v>2022</v>
      </c>
      <c r="E5771" s="18" t="s">
        <v>0</v>
      </c>
      <c r="F5771" s="4">
        <v>1</v>
      </c>
      <c r="G5771" s="41">
        <v>8</v>
      </c>
      <c r="H5771" s="41">
        <f>0.00993716*(1000)</f>
        <v>9.9371600000000004</v>
      </c>
      <c r="I5771" s="221"/>
      <c r="J5771" s="221"/>
    </row>
    <row r="5772" spans="1:10" s="15" customFormat="1" ht="16.5" hidden="1" customHeight="1" outlineLevel="1" x14ac:dyDescent="0.25">
      <c r="A5772" s="18">
        <v>3992</v>
      </c>
      <c r="B5772" s="4" t="s">
        <v>43</v>
      </c>
      <c r="C5772" s="38" t="s">
        <v>3914</v>
      </c>
      <c r="D5772" s="18">
        <v>2022</v>
      </c>
      <c r="E5772" s="18" t="s">
        <v>0</v>
      </c>
      <c r="F5772" s="4">
        <v>1</v>
      </c>
      <c r="G5772" s="41">
        <v>8</v>
      </c>
      <c r="H5772" s="41">
        <f>0.00993715*(1000)</f>
        <v>9.9371500000000008</v>
      </c>
      <c r="I5772" s="221"/>
      <c r="J5772" s="221"/>
    </row>
    <row r="5773" spans="1:10" s="15" customFormat="1" ht="16.5" hidden="1" customHeight="1" outlineLevel="1" x14ac:dyDescent="0.25">
      <c r="A5773" s="18">
        <v>3993</v>
      </c>
      <c r="B5773" s="4" t="s">
        <v>43</v>
      </c>
      <c r="C5773" s="38" t="s">
        <v>3915</v>
      </c>
      <c r="D5773" s="18">
        <v>2022</v>
      </c>
      <c r="E5773" s="18" t="s">
        <v>0</v>
      </c>
      <c r="F5773" s="4">
        <v>1</v>
      </c>
      <c r="G5773" s="41">
        <v>10</v>
      </c>
      <c r="H5773" s="41">
        <f>0.00993716*(1000)</f>
        <v>9.9371600000000004</v>
      </c>
      <c r="I5773" s="221"/>
      <c r="J5773" s="221"/>
    </row>
    <row r="5774" spans="1:10" s="15" customFormat="1" ht="16.5" hidden="1" customHeight="1" outlineLevel="1" x14ac:dyDescent="0.25">
      <c r="A5774" s="18">
        <v>3994</v>
      </c>
      <c r="B5774" s="4" t="s">
        <v>43</v>
      </c>
      <c r="C5774" s="38" t="s">
        <v>3916</v>
      </c>
      <c r="D5774" s="18">
        <v>2022</v>
      </c>
      <c r="E5774" s="18" t="s">
        <v>0</v>
      </c>
      <c r="F5774" s="4">
        <v>1</v>
      </c>
      <c r="G5774" s="41">
        <v>10</v>
      </c>
      <c r="H5774" s="41">
        <f>0.00993715*(1000)</f>
        <v>9.9371500000000008</v>
      </c>
      <c r="I5774" s="221"/>
      <c r="J5774" s="221"/>
    </row>
    <row r="5775" spans="1:10" s="15" customFormat="1" ht="16.5" hidden="1" customHeight="1" outlineLevel="1" x14ac:dyDescent="0.25">
      <c r="A5775" s="18">
        <v>3996</v>
      </c>
      <c r="B5775" s="4" t="s">
        <v>43</v>
      </c>
      <c r="C5775" s="38" t="s">
        <v>3917</v>
      </c>
      <c r="D5775" s="18">
        <v>2022</v>
      </c>
      <c r="E5775" s="18" t="s">
        <v>0</v>
      </c>
      <c r="F5775" s="4">
        <v>1</v>
      </c>
      <c r="G5775" s="41">
        <v>8</v>
      </c>
      <c r="H5775" s="41">
        <f>0.00993716*(1000)</f>
        <v>9.9371600000000004</v>
      </c>
      <c r="I5775" s="221"/>
      <c r="J5775" s="221"/>
    </row>
    <row r="5776" spans="1:10" s="15" customFormat="1" ht="16.5" hidden="1" customHeight="1" outlineLevel="1" x14ac:dyDescent="0.25">
      <c r="A5776" s="18">
        <v>3997</v>
      </c>
      <c r="B5776" s="4" t="s">
        <v>43</v>
      </c>
      <c r="C5776" s="38" t="s">
        <v>3918</v>
      </c>
      <c r="D5776" s="18">
        <v>2022</v>
      </c>
      <c r="E5776" s="18" t="s">
        <v>0</v>
      </c>
      <c r="F5776" s="4">
        <v>1</v>
      </c>
      <c r="G5776" s="41">
        <v>8</v>
      </c>
      <c r="H5776" s="41">
        <f>0.00993715*(1000)</f>
        <v>9.9371500000000008</v>
      </c>
      <c r="I5776" s="221"/>
      <c r="J5776" s="221"/>
    </row>
    <row r="5777" spans="1:10" s="15" customFormat="1" ht="16.5" hidden="1" customHeight="1" outlineLevel="1" x14ac:dyDescent="0.25">
      <c r="A5777" s="18">
        <v>3998</v>
      </c>
      <c r="B5777" s="4" t="s">
        <v>43</v>
      </c>
      <c r="C5777" s="38" t="s">
        <v>3919</v>
      </c>
      <c r="D5777" s="18">
        <v>2022</v>
      </c>
      <c r="E5777" s="18" t="s">
        <v>0</v>
      </c>
      <c r="F5777" s="4">
        <v>1</v>
      </c>
      <c r="G5777" s="41">
        <v>10</v>
      </c>
      <c r="H5777" s="41">
        <f>0.00993716*(1000)</f>
        <v>9.9371600000000004</v>
      </c>
      <c r="I5777" s="221"/>
      <c r="J5777" s="221"/>
    </row>
    <row r="5778" spans="1:10" s="15" customFormat="1" ht="16.5" hidden="1" customHeight="1" outlineLevel="1" x14ac:dyDescent="0.25">
      <c r="A5778" s="18">
        <v>3999</v>
      </c>
      <c r="B5778" s="4" t="s">
        <v>43</v>
      </c>
      <c r="C5778" s="38" t="s">
        <v>3920</v>
      </c>
      <c r="D5778" s="18">
        <v>2022</v>
      </c>
      <c r="E5778" s="18" t="s">
        <v>0</v>
      </c>
      <c r="F5778" s="4">
        <v>1</v>
      </c>
      <c r="G5778" s="41">
        <v>10</v>
      </c>
      <c r="H5778" s="41">
        <f>0.00993715*(1000)</f>
        <v>9.9371500000000008</v>
      </c>
      <c r="I5778" s="221"/>
      <c r="J5778" s="221"/>
    </row>
    <row r="5779" spans="1:10" s="15" customFormat="1" ht="16.5" hidden="1" customHeight="1" outlineLevel="1" x14ac:dyDescent="0.25">
      <c r="A5779" s="18">
        <v>4000</v>
      </c>
      <c r="B5779" s="4" t="s">
        <v>43</v>
      </c>
      <c r="C5779" s="38" t="s">
        <v>3921</v>
      </c>
      <c r="D5779" s="18">
        <v>2022</v>
      </c>
      <c r="E5779" s="18" t="s">
        <v>0</v>
      </c>
      <c r="F5779" s="4">
        <v>1</v>
      </c>
      <c r="G5779" s="41">
        <v>10</v>
      </c>
      <c r="H5779" s="41">
        <f>0.00993716*(1000)</f>
        <v>9.9371600000000004</v>
      </c>
      <c r="I5779" s="221"/>
      <c r="J5779" s="221"/>
    </row>
    <row r="5780" spans="1:10" s="15" customFormat="1" ht="16.5" hidden="1" customHeight="1" outlineLevel="1" x14ac:dyDescent="0.25">
      <c r="A5780" s="18">
        <v>4003</v>
      </c>
      <c r="B5780" s="4" t="s">
        <v>43</v>
      </c>
      <c r="C5780" s="38" t="s">
        <v>3922</v>
      </c>
      <c r="D5780" s="18">
        <v>2022</v>
      </c>
      <c r="E5780" s="18" t="s">
        <v>0</v>
      </c>
      <c r="F5780" s="4">
        <v>1</v>
      </c>
      <c r="G5780" s="41">
        <v>10</v>
      </c>
      <c r="H5780" s="41">
        <f>0.00993715*(1000)</f>
        <v>9.9371500000000008</v>
      </c>
      <c r="I5780" s="221"/>
      <c r="J5780" s="221"/>
    </row>
    <row r="5781" spans="1:10" s="15" customFormat="1" ht="16.5" hidden="1" customHeight="1" outlineLevel="1" x14ac:dyDescent="0.25">
      <c r="A5781" s="18">
        <v>4004</v>
      </c>
      <c r="B5781" s="4" t="s">
        <v>43</v>
      </c>
      <c r="C5781" s="38" t="s">
        <v>3923</v>
      </c>
      <c r="D5781" s="18">
        <v>2022</v>
      </c>
      <c r="E5781" s="18" t="s">
        <v>0</v>
      </c>
      <c r="F5781" s="4">
        <v>1</v>
      </c>
      <c r="G5781" s="41">
        <v>10</v>
      </c>
      <c r="H5781" s="41">
        <f>0.00993716*(1000)</f>
        <v>9.9371600000000004</v>
      </c>
      <c r="I5781" s="221"/>
      <c r="J5781" s="221"/>
    </row>
    <row r="5782" spans="1:10" s="15" customFormat="1" ht="16.5" hidden="1" customHeight="1" outlineLevel="1" x14ac:dyDescent="0.25">
      <c r="A5782" s="18">
        <v>4007</v>
      </c>
      <c r="B5782" s="4" t="s">
        <v>43</v>
      </c>
      <c r="C5782" s="38" t="s">
        <v>3924</v>
      </c>
      <c r="D5782" s="18">
        <v>2022</v>
      </c>
      <c r="E5782" s="18" t="s">
        <v>0</v>
      </c>
      <c r="F5782" s="4">
        <v>1</v>
      </c>
      <c r="G5782" s="41">
        <v>5</v>
      </c>
      <c r="H5782" s="41">
        <f>0.01008633*(1000)</f>
        <v>10.086329999999998</v>
      </c>
      <c r="I5782" s="221"/>
      <c r="J5782" s="221"/>
    </row>
    <row r="5783" spans="1:10" s="15" customFormat="1" ht="16.5" hidden="1" customHeight="1" outlineLevel="1" x14ac:dyDescent="0.25">
      <c r="A5783" s="18">
        <v>4008</v>
      </c>
      <c r="B5783" s="4" t="s">
        <v>43</v>
      </c>
      <c r="C5783" s="38" t="s">
        <v>3925</v>
      </c>
      <c r="D5783" s="18">
        <v>2022</v>
      </c>
      <c r="E5783" s="18" t="s">
        <v>0</v>
      </c>
      <c r="F5783" s="4">
        <v>1</v>
      </c>
      <c r="G5783" s="41">
        <v>8</v>
      </c>
      <c r="H5783" s="41">
        <f>0.00993716*(1000)</f>
        <v>9.9371600000000004</v>
      </c>
      <c r="I5783" s="221"/>
      <c r="J5783" s="221"/>
    </row>
    <row r="5784" spans="1:10" s="15" customFormat="1" ht="16.5" hidden="1" customHeight="1" outlineLevel="1" x14ac:dyDescent="0.25">
      <c r="A5784" s="18">
        <v>4009</v>
      </c>
      <c r="B5784" s="4" t="s">
        <v>43</v>
      </c>
      <c r="C5784" s="38" t="s">
        <v>3926</v>
      </c>
      <c r="D5784" s="18">
        <v>2022</v>
      </c>
      <c r="E5784" s="18" t="s">
        <v>0</v>
      </c>
      <c r="F5784" s="4">
        <v>1</v>
      </c>
      <c r="G5784" s="41">
        <v>8</v>
      </c>
      <c r="H5784" s="41">
        <f>0.00993715*(1000)</f>
        <v>9.9371500000000008</v>
      </c>
      <c r="I5784" s="221"/>
      <c r="J5784" s="221"/>
    </row>
    <row r="5785" spans="1:10" s="15" customFormat="1" ht="16.5" hidden="1" customHeight="1" outlineLevel="1" x14ac:dyDescent="0.25">
      <c r="A5785" s="18">
        <v>4010</v>
      </c>
      <c r="B5785" s="4" t="s">
        <v>43</v>
      </c>
      <c r="C5785" s="38" t="s">
        <v>3927</v>
      </c>
      <c r="D5785" s="18">
        <v>2022</v>
      </c>
      <c r="E5785" s="18" t="s">
        <v>0</v>
      </c>
      <c r="F5785" s="4">
        <v>1</v>
      </c>
      <c r="G5785" s="41">
        <v>5</v>
      </c>
      <c r="H5785" s="41">
        <f>0.00993716*(1000)</f>
        <v>9.9371600000000004</v>
      </c>
      <c r="I5785" s="221"/>
      <c r="J5785" s="221"/>
    </row>
    <row r="5786" spans="1:10" s="15" customFormat="1" ht="16.5" hidden="1" customHeight="1" outlineLevel="1" x14ac:dyDescent="0.25">
      <c r="A5786" s="18">
        <v>4011</v>
      </c>
      <c r="B5786" s="4" t="s">
        <v>43</v>
      </c>
      <c r="C5786" s="38" t="s">
        <v>3928</v>
      </c>
      <c r="D5786" s="18">
        <v>2022</v>
      </c>
      <c r="E5786" s="18" t="s">
        <v>0</v>
      </c>
      <c r="F5786" s="4">
        <v>1</v>
      </c>
      <c r="G5786" s="41">
        <v>10</v>
      </c>
      <c r="H5786" s="41">
        <f>0.00993715*(1000)</f>
        <v>9.9371500000000008</v>
      </c>
      <c r="I5786" s="221"/>
      <c r="J5786" s="221"/>
    </row>
    <row r="5787" spans="1:10" s="15" customFormat="1" ht="16.5" hidden="1" customHeight="1" outlineLevel="1" x14ac:dyDescent="0.25">
      <c r="A5787" s="18">
        <v>4012</v>
      </c>
      <c r="B5787" s="4" t="s">
        <v>43</v>
      </c>
      <c r="C5787" s="38" t="s">
        <v>3929</v>
      </c>
      <c r="D5787" s="18">
        <v>2022</v>
      </c>
      <c r="E5787" s="18" t="s">
        <v>0</v>
      </c>
      <c r="F5787" s="4">
        <v>1</v>
      </c>
      <c r="G5787" s="41">
        <v>10</v>
      </c>
      <c r="H5787" s="41">
        <f>0.00993717*(1000)</f>
        <v>9.9371700000000001</v>
      </c>
      <c r="I5787" s="221"/>
      <c r="J5787" s="221"/>
    </row>
    <row r="5788" spans="1:10" s="15" customFormat="1" ht="16.5" hidden="1" customHeight="1" outlineLevel="1" x14ac:dyDescent="0.25">
      <c r="A5788" s="18">
        <v>4013</v>
      </c>
      <c r="B5788" s="4" t="s">
        <v>43</v>
      </c>
      <c r="C5788" s="38" t="s">
        <v>3930</v>
      </c>
      <c r="D5788" s="18">
        <v>2022</v>
      </c>
      <c r="E5788" s="18" t="s">
        <v>0</v>
      </c>
      <c r="F5788" s="4">
        <v>1</v>
      </c>
      <c r="G5788" s="41">
        <v>10</v>
      </c>
      <c r="H5788" s="41">
        <f>0.00993715*(1000)</f>
        <v>9.9371500000000008</v>
      </c>
      <c r="I5788" s="221"/>
      <c r="J5788" s="221"/>
    </row>
    <row r="5789" spans="1:10" s="15" customFormat="1" ht="16.5" hidden="1" customHeight="1" outlineLevel="1" x14ac:dyDescent="0.25">
      <c r="A5789" s="18">
        <v>4015</v>
      </c>
      <c r="B5789" s="4" t="s">
        <v>43</v>
      </c>
      <c r="C5789" s="38" t="s">
        <v>3931</v>
      </c>
      <c r="D5789" s="18">
        <v>2022</v>
      </c>
      <c r="E5789" s="18" t="s">
        <v>0</v>
      </c>
      <c r="F5789" s="4">
        <v>1</v>
      </c>
      <c r="G5789" s="41">
        <v>5</v>
      </c>
      <c r="H5789" s="41">
        <f>0.00993717*(1000)</f>
        <v>9.9371700000000001</v>
      </c>
      <c r="I5789" s="221"/>
      <c r="J5789" s="221"/>
    </row>
    <row r="5790" spans="1:10" s="15" customFormat="1" ht="16.5" hidden="1" customHeight="1" outlineLevel="1" x14ac:dyDescent="0.25">
      <c r="A5790" s="18">
        <v>4016</v>
      </c>
      <c r="B5790" s="4" t="s">
        <v>43</v>
      </c>
      <c r="C5790" s="38" t="s">
        <v>3932</v>
      </c>
      <c r="D5790" s="18">
        <v>2022</v>
      </c>
      <c r="E5790" s="18" t="s">
        <v>0</v>
      </c>
      <c r="F5790" s="4">
        <v>1</v>
      </c>
      <c r="G5790" s="41">
        <v>10</v>
      </c>
      <c r="H5790" s="41">
        <f>0.00993715*(1000)</f>
        <v>9.9371500000000008</v>
      </c>
      <c r="I5790" s="221"/>
      <c r="J5790" s="221"/>
    </row>
    <row r="5791" spans="1:10" s="15" customFormat="1" ht="16.5" hidden="1" customHeight="1" outlineLevel="1" x14ac:dyDescent="0.25">
      <c r="A5791" s="18">
        <v>4018</v>
      </c>
      <c r="B5791" s="4" t="s">
        <v>43</v>
      </c>
      <c r="C5791" s="38" t="s">
        <v>3933</v>
      </c>
      <c r="D5791" s="18">
        <v>2022</v>
      </c>
      <c r="E5791" s="18" t="s">
        <v>0</v>
      </c>
      <c r="F5791" s="4">
        <v>1</v>
      </c>
      <c r="G5791" s="41">
        <v>10</v>
      </c>
      <c r="H5791" s="41">
        <f>0.00993717*(1000)</f>
        <v>9.9371700000000001</v>
      </c>
      <c r="I5791" s="221"/>
      <c r="J5791" s="221"/>
    </row>
    <row r="5792" spans="1:10" s="15" customFormat="1" ht="16.5" hidden="1" customHeight="1" outlineLevel="1" x14ac:dyDescent="0.25">
      <c r="A5792" s="18">
        <v>4019</v>
      </c>
      <c r="B5792" s="4" t="s">
        <v>43</v>
      </c>
      <c r="C5792" s="38" t="s">
        <v>3934</v>
      </c>
      <c r="D5792" s="18">
        <v>2022</v>
      </c>
      <c r="E5792" s="18" t="s">
        <v>0</v>
      </c>
      <c r="F5792" s="4">
        <v>1</v>
      </c>
      <c r="G5792" s="41">
        <v>10</v>
      </c>
      <c r="H5792" s="41">
        <f>0.00993716*(1000)</f>
        <v>9.9371600000000004</v>
      </c>
      <c r="I5792" s="221"/>
      <c r="J5792" s="221"/>
    </row>
    <row r="5793" spans="1:10" s="15" customFormat="1" ht="16.5" hidden="1" customHeight="1" outlineLevel="1" x14ac:dyDescent="0.25">
      <c r="A5793" s="18">
        <v>4020</v>
      </c>
      <c r="B5793" s="4" t="s">
        <v>43</v>
      </c>
      <c r="C5793" s="38" t="s">
        <v>3935</v>
      </c>
      <c r="D5793" s="18">
        <v>2022</v>
      </c>
      <c r="E5793" s="18" t="s">
        <v>0</v>
      </c>
      <c r="F5793" s="4">
        <v>1</v>
      </c>
      <c r="G5793" s="41">
        <v>10</v>
      </c>
      <c r="H5793" s="41">
        <f>0.00993717*(1000)</f>
        <v>9.9371700000000001</v>
      </c>
      <c r="I5793" s="221"/>
      <c r="J5793" s="221"/>
    </row>
    <row r="5794" spans="1:10" s="15" customFormat="1" ht="16.5" hidden="1" customHeight="1" outlineLevel="1" x14ac:dyDescent="0.25">
      <c r="A5794" s="18">
        <v>4021</v>
      </c>
      <c r="B5794" s="4" t="s">
        <v>43</v>
      </c>
      <c r="C5794" s="38" t="s">
        <v>3936</v>
      </c>
      <c r="D5794" s="18">
        <v>2022</v>
      </c>
      <c r="E5794" s="18" t="s">
        <v>0</v>
      </c>
      <c r="F5794" s="4">
        <v>1</v>
      </c>
      <c r="G5794" s="41">
        <v>10</v>
      </c>
      <c r="H5794" s="41">
        <f>0.00993715*(1000)</f>
        <v>9.9371500000000008</v>
      </c>
      <c r="I5794" s="221"/>
      <c r="J5794" s="221"/>
    </row>
    <row r="5795" spans="1:10" s="15" customFormat="1" ht="16.5" hidden="1" customHeight="1" outlineLevel="1" x14ac:dyDescent="0.25">
      <c r="A5795" s="18">
        <v>4022</v>
      </c>
      <c r="B5795" s="4" t="s">
        <v>43</v>
      </c>
      <c r="C5795" s="38" t="s">
        <v>3937</v>
      </c>
      <c r="D5795" s="18">
        <v>2022</v>
      </c>
      <c r="E5795" s="18" t="s">
        <v>0</v>
      </c>
      <c r="F5795" s="4">
        <v>1</v>
      </c>
      <c r="G5795" s="41">
        <v>10</v>
      </c>
      <c r="H5795" s="41">
        <f>0.00993715*(1000)</f>
        <v>9.9371500000000008</v>
      </c>
      <c r="I5795" s="221"/>
      <c r="J5795" s="221"/>
    </row>
    <row r="5796" spans="1:10" s="15" customFormat="1" ht="16.5" hidden="1" customHeight="1" outlineLevel="1" x14ac:dyDescent="0.25">
      <c r="A5796" s="18">
        <v>4023</v>
      </c>
      <c r="B5796" s="4" t="s">
        <v>43</v>
      </c>
      <c r="C5796" s="38" t="s">
        <v>3938</v>
      </c>
      <c r="D5796" s="18">
        <v>2022</v>
      </c>
      <c r="E5796" s="18" t="s">
        <v>0</v>
      </c>
      <c r="F5796" s="4">
        <v>1</v>
      </c>
      <c r="G5796" s="41">
        <v>10</v>
      </c>
      <c r="H5796" s="41">
        <f>0.00993715*(1000)</f>
        <v>9.9371500000000008</v>
      </c>
      <c r="I5796" s="221"/>
      <c r="J5796" s="221"/>
    </row>
    <row r="5797" spans="1:10" s="15" customFormat="1" ht="16.5" hidden="1" customHeight="1" outlineLevel="1" x14ac:dyDescent="0.25">
      <c r="A5797" s="18">
        <v>4024</v>
      </c>
      <c r="B5797" s="4" t="s">
        <v>43</v>
      </c>
      <c r="C5797" s="38" t="s">
        <v>3939</v>
      </c>
      <c r="D5797" s="18">
        <v>2022</v>
      </c>
      <c r="E5797" s="18" t="s">
        <v>0</v>
      </c>
      <c r="F5797" s="4">
        <v>1</v>
      </c>
      <c r="G5797" s="41">
        <v>10</v>
      </c>
      <c r="H5797" s="41">
        <f>0.00993717*(1000)</f>
        <v>9.9371700000000001</v>
      </c>
      <c r="I5797" s="221"/>
      <c r="J5797" s="221"/>
    </row>
    <row r="5798" spans="1:10" s="15" customFormat="1" ht="16.5" hidden="1" customHeight="1" outlineLevel="1" x14ac:dyDescent="0.25">
      <c r="A5798" s="18">
        <v>4025</v>
      </c>
      <c r="B5798" s="4" t="s">
        <v>43</v>
      </c>
      <c r="C5798" s="38" t="s">
        <v>3940</v>
      </c>
      <c r="D5798" s="18">
        <v>2022</v>
      </c>
      <c r="E5798" s="18" t="s">
        <v>0</v>
      </c>
      <c r="F5798" s="4">
        <v>1</v>
      </c>
      <c r="G5798" s="41">
        <v>10</v>
      </c>
      <c r="H5798" s="41">
        <f>0.00993715*(1000)</f>
        <v>9.9371500000000008</v>
      </c>
      <c r="I5798" s="221"/>
      <c r="J5798" s="221"/>
    </row>
    <row r="5799" spans="1:10" s="15" customFormat="1" ht="16.5" hidden="1" customHeight="1" outlineLevel="1" x14ac:dyDescent="0.25">
      <c r="A5799" s="18">
        <v>4026</v>
      </c>
      <c r="B5799" s="4" t="s">
        <v>43</v>
      </c>
      <c r="C5799" s="38" t="s">
        <v>3941</v>
      </c>
      <c r="D5799" s="18">
        <v>2022</v>
      </c>
      <c r="E5799" s="18" t="s">
        <v>0</v>
      </c>
      <c r="F5799" s="4">
        <v>1</v>
      </c>
      <c r="G5799" s="41">
        <v>5</v>
      </c>
      <c r="H5799" s="41">
        <f>0.00993717*(1000)</f>
        <v>9.9371700000000001</v>
      </c>
      <c r="I5799" s="221"/>
      <c r="J5799" s="221"/>
    </row>
    <row r="5800" spans="1:10" s="15" customFormat="1" ht="16.5" hidden="1" customHeight="1" outlineLevel="1" x14ac:dyDescent="0.25">
      <c r="A5800" s="18">
        <v>4032</v>
      </c>
      <c r="B5800" s="4" t="s">
        <v>43</v>
      </c>
      <c r="C5800" s="38" t="s">
        <v>3942</v>
      </c>
      <c r="D5800" s="18">
        <v>2022</v>
      </c>
      <c r="E5800" s="18" t="s">
        <v>0</v>
      </c>
      <c r="F5800" s="4">
        <v>5</v>
      </c>
      <c r="G5800" s="41">
        <v>25</v>
      </c>
      <c r="H5800" s="41">
        <f>0.05070504*(1000)</f>
        <v>50.705039999999997</v>
      </c>
      <c r="I5800" s="221"/>
      <c r="J5800" s="221"/>
    </row>
    <row r="5801" spans="1:10" s="15" customFormat="1" ht="16.5" hidden="1" customHeight="1" outlineLevel="1" x14ac:dyDescent="0.25">
      <c r="A5801" s="18">
        <v>4040</v>
      </c>
      <c r="B5801" s="4" t="s">
        <v>43</v>
      </c>
      <c r="C5801" s="38" t="s">
        <v>3943</v>
      </c>
      <c r="D5801" s="18">
        <v>2022</v>
      </c>
      <c r="E5801" s="18" t="s">
        <v>0</v>
      </c>
      <c r="F5801" s="4">
        <v>5</v>
      </c>
      <c r="G5801" s="41">
        <v>51</v>
      </c>
      <c r="H5801" s="41">
        <f>0.04947721*(1000)</f>
        <v>49.477209999999999</v>
      </c>
      <c r="I5801" s="221"/>
      <c r="J5801" s="221"/>
    </row>
    <row r="5802" spans="1:10" s="15" customFormat="1" ht="16.5" hidden="1" customHeight="1" outlineLevel="1" x14ac:dyDescent="0.25">
      <c r="A5802" s="18">
        <v>4048</v>
      </c>
      <c r="B5802" s="4" t="s">
        <v>43</v>
      </c>
      <c r="C5802" s="38" t="s">
        <v>3944</v>
      </c>
      <c r="D5802" s="18">
        <v>2022</v>
      </c>
      <c r="E5802" s="18" t="s">
        <v>0</v>
      </c>
      <c r="F5802" s="4">
        <v>3</v>
      </c>
      <c r="G5802" s="41">
        <v>30</v>
      </c>
      <c r="H5802" s="41">
        <f>0.02976196*(1000)</f>
        <v>29.761960000000002</v>
      </c>
      <c r="I5802" s="221"/>
      <c r="J5802" s="221"/>
    </row>
    <row r="5803" spans="1:10" s="15" customFormat="1" ht="16.5" hidden="1" customHeight="1" outlineLevel="1" x14ac:dyDescent="0.25">
      <c r="A5803" s="18">
        <v>4051</v>
      </c>
      <c r="B5803" s="4" t="s">
        <v>43</v>
      </c>
      <c r="C5803" s="38" t="s">
        <v>3945</v>
      </c>
      <c r="D5803" s="18">
        <v>2022</v>
      </c>
      <c r="E5803" s="18" t="s">
        <v>0</v>
      </c>
      <c r="F5803" s="4">
        <v>1</v>
      </c>
      <c r="G5803" s="41">
        <v>10</v>
      </c>
      <c r="H5803" s="41">
        <f>0.0102518*(1000)</f>
        <v>10.251799999999999</v>
      </c>
      <c r="I5803" s="221"/>
      <c r="J5803" s="221"/>
    </row>
    <row r="5804" spans="1:10" s="15" customFormat="1" ht="16.5" hidden="1" customHeight="1" outlineLevel="1" x14ac:dyDescent="0.25">
      <c r="A5804" s="18">
        <v>4052</v>
      </c>
      <c r="B5804" s="4" t="s">
        <v>43</v>
      </c>
      <c r="C5804" s="38" t="s">
        <v>3946</v>
      </c>
      <c r="D5804" s="18">
        <v>2022</v>
      </c>
      <c r="E5804" s="18" t="s">
        <v>0</v>
      </c>
      <c r="F5804" s="4">
        <v>1</v>
      </c>
      <c r="G5804" s="151">
        <v>13.5</v>
      </c>
      <c r="H5804" s="41">
        <f>0.01025183*(1000)</f>
        <v>10.25183</v>
      </c>
      <c r="I5804" s="221"/>
      <c r="J5804" s="221"/>
    </row>
    <row r="5805" spans="1:10" s="15" customFormat="1" ht="16.5" hidden="1" customHeight="1" outlineLevel="1" x14ac:dyDescent="0.25">
      <c r="A5805" s="18">
        <v>4055</v>
      </c>
      <c r="B5805" s="4" t="s">
        <v>43</v>
      </c>
      <c r="C5805" s="38" t="s">
        <v>3947</v>
      </c>
      <c r="D5805" s="18">
        <v>2022</v>
      </c>
      <c r="E5805" s="18" t="s">
        <v>0</v>
      </c>
      <c r="F5805" s="4">
        <v>2</v>
      </c>
      <c r="G5805" s="41">
        <v>20</v>
      </c>
      <c r="H5805" s="41">
        <f>0.02005818*(1000)</f>
        <v>20.05818</v>
      </c>
      <c r="I5805" s="221"/>
      <c r="J5805" s="221"/>
    </row>
    <row r="5806" spans="1:10" s="15" customFormat="1" ht="16.5" hidden="1" customHeight="1" outlineLevel="1" x14ac:dyDescent="0.25">
      <c r="A5806" s="18">
        <v>4065</v>
      </c>
      <c r="B5806" s="4" t="s">
        <v>43</v>
      </c>
      <c r="C5806" s="38" t="s">
        <v>3948</v>
      </c>
      <c r="D5806" s="18">
        <v>2022</v>
      </c>
      <c r="E5806" s="18" t="s">
        <v>0</v>
      </c>
      <c r="F5806" s="4">
        <v>1</v>
      </c>
      <c r="G5806" s="41">
        <v>10</v>
      </c>
      <c r="H5806" s="41">
        <f>0.01004719*(1000)</f>
        <v>10.047189999999999</v>
      </c>
      <c r="I5806" s="221"/>
      <c r="J5806" s="221"/>
    </row>
    <row r="5807" spans="1:10" s="15" customFormat="1" ht="16.5" hidden="1" customHeight="1" outlineLevel="1" x14ac:dyDescent="0.25">
      <c r="A5807" s="18">
        <v>4067</v>
      </c>
      <c r="B5807" s="4" t="s">
        <v>43</v>
      </c>
      <c r="C5807" s="38" t="s">
        <v>3949</v>
      </c>
      <c r="D5807" s="18">
        <v>2022</v>
      </c>
      <c r="E5807" s="18" t="s">
        <v>0</v>
      </c>
      <c r="F5807" s="4">
        <v>3</v>
      </c>
      <c r="G5807" s="41">
        <v>30</v>
      </c>
      <c r="H5807" s="41">
        <f>0.03345631*(1000)</f>
        <v>33.456310000000002</v>
      </c>
      <c r="I5807" s="221"/>
      <c r="J5807" s="221"/>
    </row>
    <row r="5808" spans="1:10" s="15" customFormat="1" ht="16.5" hidden="1" customHeight="1" outlineLevel="1" x14ac:dyDescent="0.25">
      <c r="A5808" s="18">
        <v>4077</v>
      </c>
      <c r="B5808" s="4" t="s">
        <v>43</v>
      </c>
      <c r="C5808" s="38" t="s">
        <v>3950</v>
      </c>
      <c r="D5808" s="18">
        <v>2022</v>
      </c>
      <c r="E5808" s="18" t="s">
        <v>0</v>
      </c>
      <c r="F5808" s="4">
        <v>1</v>
      </c>
      <c r="G5808" s="41">
        <v>10</v>
      </c>
      <c r="H5808" s="41">
        <f>0.0100703*(1000)</f>
        <v>10.070300000000001</v>
      </c>
      <c r="I5808" s="221"/>
      <c r="J5808" s="221"/>
    </row>
    <row r="5809" spans="1:10" s="15" customFormat="1" ht="16.5" hidden="1" customHeight="1" outlineLevel="1" x14ac:dyDescent="0.25">
      <c r="A5809" s="18">
        <v>4081</v>
      </c>
      <c r="B5809" s="4" t="s">
        <v>43</v>
      </c>
      <c r="C5809" s="38" t="s">
        <v>3951</v>
      </c>
      <c r="D5809" s="18">
        <v>2022</v>
      </c>
      <c r="E5809" s="18" t="s">
        <v>0</v>
      </c>
      <c r="F5809" s="4">
        <v>1</v>
      </c>
      <c r="G5809" s="41">
        <v>10</v>
      </c>
      <c r="H5809" s="41">
        <f>0.01033422*(1000)</f>
        <v>10.33422</v>
      </c>
      <c r="I5809" s="221"/>
      <c r="J5809" s="221"/>
    </row>
    <row r="5810" spans="1:10" s="15" customFormat="1" ht="16.5" hidden="1" customHeight="1" outlineLevel="1" x14ac:dyDescent="0.25">
      <c r="A5810" s="18">
        <v>4084</v>
      </c>
      <c r="B5810" s="4" t="s">
        <v>43</v>
      </c>
      <c r="C5810" s="38" t="s">
        <v>3952</v>
      </c>
      <c r="D5810" s="18">
        <v>2022</v>
      </c>
      <c r="E5810" s="18" t="s">
        <v>0</v>
      </c>
      <c r="F5810" s="4">
        <v>1</v>
      </c>
      <c r="G5810" s="41">
        <v>10</v>
      </c>
      <c r="H5810" s="41">
        <f>0.01033422*(1000)</f>
        <v>10.33422</v>
      </c>
      <c r="I5810" s="221"/>
      <c r="J5810" s="221"/>
    </row>
    <row r="5811" spans="1:10" s="15" customFormat="1" ht="16.5" hidden="1" customHeight="1" outlineLevel="1" x14ac:dyDescent="0.25">
      <c r="A5811" s="18">
        <v>4087</v>
      </c>
      <c r="B5811" s="4" t="s">
        <v>43</v>
      </c>
      <c r="C5811" s="38" t="s">
        <v>3953</v>
      </c>
      <c r="D5811" s="18">
        <v>2022</v>
      </c>
      <c r="E5811" s="18" t="s">
        <v>0</v>
      </c>
      <c r="F5811" s="4">
        <v>1</v>
      </c>
      <c r="G5811" s="41">
        <v>10</v>
      </c>
      <c r="H5811" s="41">
        <f>0.01033422*(1000)</f>
        <v>10.33422</v>
      </c>
      <c r="I5811" s="221"/>
      <c r="J5811" s="221"/>
    </row>
    <row r="5812" spans="1:10" s="15" customFormat="1" ht="16.5" hidden="1" customHeight="1" outlineLevel="1" x14ac:dyDescent="0.25">
      <c r="A5812" s="18">
        <v>4088</v>
      </c>
      <c r="B5812" s="4" t="s">
        <v>43</v>
      </c>
      <c r="C5812" s="38" t="s">
        <v>3954</v>
      </c>
      <c r="D5812" s="18">
        <v>2022</v>
      </c>
      <c r="E5812" s="18" t="s">
        <v>0</v>
      </c>
      <c r="F5812" s="4">
        <v>1</v>
      </c>
      <c r="G5812" s="41">
        <v>10</v>
      </c>
      <c r="H5812" s="41">
        <f>0.01033422*(1000)</f>
        <v>10.33422</v>
      </c>
      <c r="I5812" s="221"/>
      <c r="J5812" s="221"/>
    </row>
    <row r="5813" spans="1:10" s="15" customFormat="1" ht="16.5" hidden="1" customHeight="1" outlineLevel="1" x14ac:dyDescent="0.25">
      <c r="A5813" s="18">
        <v>4089</v>
      </c>
      <c r="B5813" s="4" t="s">
        <v>43</v>
      </c>
      <c r="C5813" s="38" t="s">
        <v>3955</v>
      </c>
      <c r="D5813" s="18">
        <v>2022</v>
      </c>
      <c r="E5813" s="18" t="s">
        <v>0</v>
      </c>
      <c r="F5813" s="4">
        <v>1</v>
      </c>
      <c r="G5813" s="41">
        <v>15</v>
      </c>
      <c r="H5813" s="41">
        <f>0.01033422*(1000)</f>
        <v>10.33422</v>
      </c>
      <c r="I5813" s="221"/>
      <c r="J5813" s="221"/>
    </row>
    <row r="5814" spans="1:10" s="15" customFormat="1" ht="16.5" hidden="1" customHeight="1" outlineLevel="1" x14ac:dyDescent="0.25">
      <c r="A5814" s="18">
        <v>4099</v>
      </c>
      <c r="B5814" s="4" t="s">
        <v>43</v>
      </c>
      <c r="C5814" s="38" t="s">
        <v>3956</v>
      </c>
      <c r="D5814" s="18">
        <v>2022</v>
      </c>
      <c r="E5814" s="18" t="s">
        <v>0</v>
      </c>
      <c r="F5814" s="4">
        <v>1</v>
      </c>
      <c r="G5814" s="41">
        <v>10</v>
      </c>
      <c r="H5814" s="41">
        <f>0.01031541*(1000)</f>
        <v>10.31541</v>
      </c>
      <c r="I5814" s="221"/>
      <c r="J5814" s="221"/>
    </row>
    <row r="5815" spans="1:10" s="15" customFormat="1" ht="16.5" hidden="1" customHeight="1" outlineLevel="1" x14ac:dyDescent="0.25">
      <c r="A5815" s="18">
        <v>4100</v>
      </c>
      <c r="B5815" s="4" t="s">
        <v>43</v>
      </c>
      <c r="C5815" s="38" t="s">
        <v>3957</v>
      </c>
      <c r="D5815" s="18">
        <v>2022</v>
      </c>
      <c r="E5815" s="18" t="s">
        <v>0</v>
      </c>
      <c r="F5815" s="4">
        <v>1</v>
      </c>
      <c r="G5815" s="41">
        <v>15</v>
      </c>
      <c r="H5815" s="41">
        <f>0.01031541*(1000)</f>
        <v>10.31541</v>
      </c>
      <c r="I5815" s="221"/>
      <c r="J5815" s="221"/>
    </row>
    <row r="5816" spans="1:10" s="15" customFormat="1" ht="16.5" hidden="1" customHeight="1" outlineLevel="1" x14ac:dyDescent="0.25">
      <c r="A5816" s="18">
        <v>4101</v>
      </c>
      <c r="B5816" s="4" t="s">
        <v>43</v>
      </c>
      <c r="C5816" s="38" t="s">
        <v>3958</v>
      </c>
      <c r="D5816" s="18">
        <v>2022</v>
      </c>
      <c r="E5816" s="18" t="s">
        <v>0</v>
      </c>
      <c r="F5816" s="4">
        <v>1</v>
      </c>
      <c r="G5816" s="41">
        <v>10</v>
      </c>
      <c r="H5816" s="41">
        <f>0.01031541*(1000)</f>
        <v>10.31541</v>
      </c>
      <c r="I5816" s="221"/>
      <c r="J5816" s="221"/>
    </row>
    <row r="5817" spans="1:10" s="15" customFormat="1" ht="16.5" hidden="1" customHeight="1" outlineLevel="1" x14ac:dyDescent="0.25">
      <c r="A5817" s="18">
        <v>4103</v>
      </c>
      <c r="B5817" s="4" t="s">
        <v>43</v>
      </c>
      <c r="C5817" s="38" t="s">
        <v>3959</v>
      </c>
      <c r="D5817" s="18">
        <v>2022</v>
      </c>
      <c r="E5817" s="18" t="s">
        <v>0</v>
      </c>
      <c r="F5817" s="4">
        <v>1</v>
      </c>
      <c r="G5817" s="41">
        <v>10</v>
      </c>
      <c r="H5817" s="41">
        <f>0.01031541*(1000)</f>
        <v>10.31541</v>
      </c>
      <c r="I5817" s="221"/>
      <c r="J5817" s="221"/>
    </row>
    <row r="5818" spans="1:10" s="15" customFormat="1" ht="16.5" hidden="1" customHeight="1" outlineLevel="1" x14ac:dyDescent="0.25">
      <c r="A5818" s="18">
        <v>3212</v>
      </c>
      <c r="B5818" s="4" t="s">
        <v>43</v>
      </c>
      <c r="C5818" s="38" t="s">
        <v>3960</v>
      </c>
      <c r="D5818" s="18">
        <v>2022</v>
      </c>
      <c r="E5818" s="18" t="s">
        <v>0</v>
      </c>
      <c r="F5818" s="4">
        <v>1</v>
      </c>
      <c r="G5818" s="41">
        <v>7</v>
      </c>
      <c r="H5818" s="41">
        <f>0.017054*(1000)</f>
        <v>17.053999999999998</v>
      </c>
      <c r="I5818" s="221"/>
      <c r="J5818" s="221"/>
    </row>
    <row r="5819" spans="1:10" s="15" customFormat="1" ht="16.5" hidden="1" customHeight="1" outlineLevel="1" x14ac:dyDescent="0.25">
      <c r="A5819" s="18">
        <v>1228</v>
      </c>
      <c r="B5819" s="4" t="s">
        <v>43</v>
      </c>
      <c r="C5819" s="38" t="s">
        <v>3961</v>
      </c>
      <c r="D5819" s="18">
        <v>2022</v>
      </c>
      <c r="E5819" s="18" t="s">
        <v>0</v>
      </c>
      <c r="F5819" s="4">
        <v>1</v>
      </c>
      <c r="G5819" s="41">
        <v>6</v>
      </c>
      <c r="H5819" s="41">
        <v>36.682519999999997</v>
      </c>
      <c r="I5819" s="221"/>
      <c r="J5819" s="221"/>
    </row>
    <row r="5820" spans="1:10" s="15" customFormat="1" ht="16.5" hidden="1" customHeight="1" outlineLevel="1" x14ac:dyDescent="0.25">
      <c r="A5820" s="18">
        <v>1213</v>
      </c>
      <c r="B5820" s="4" t="s">
        <v>43</v>
      </c>
      <c r="C5820" s="38" t="s">
        <v>3962</v>
      </c>
      <c r="D5820" s="18">
        <v>2022</v>
      </c>
      <c r="E5820" s="18" t="s">
        <v>0</v>
      </c>
      <c r="F5820" s="4">
        <v>1</v>
      </c>
      <c r="G5820" s="41">
        <v>5</v>
      </c>
      <c r="H5820" s="41">
        <v>37.361550000000001</v>
      </c>
      <c r="I5820" s="221"/>
      <c r="J5820" s="221"/>
    </row>
    <row r="5821" spans="1:10" s="15" customFormat="1" ht="16.5" hidden="1" customHeight="1" outlineLevel="1" x14ac:dyDescent="0.25">
      <c r="A5821" s="18">
        <v>1253</v>
      </c>
      <c r="B5821" s="4" t="s">
        <v>43</v>
      </c>
      <c r="C5821" s="38" t="s">
        <v>3963</v>
      </c>
      <c r="D5821" s="18">
        <v>2022</v>
      </c>
      <c r="E5821" s="18" t="s">
        <v>0</v>
      </c>
      <c r="F5821" s="4">
        <v>1</v>
      </c>
      <c r="G5821" s="41">
        <v>5</v>
      </c>
      <c r="H5821" s="41">
        <v>41.559229999999999</v>
      </c>
      <c r="I5821" s="221"/>
      <c r="J5821" s="221"/>
    </row>
    <row r="5822" spans="1:10" s="15" customFormat="1" ht="16.5" hidden="1" customHeight="1" outlineLevel="1" x14ac:dyDescent="0.25">
      <c r="A5822" s="18">
        <v>1271</v>
      </c>
      <c r="B5822" s="4" t="s">
        <v>43</v>
      </c>
      <c r="C5822" s="38" t="s">
        <v>3964</v>
      </c>
      <c r="D5822" s="18">
        <v>2022</v>
      </c>
      <c r="E5822" s="18" t="s">
        <v>0</v>
      </c>
      <c r="F5822" s="4">
        <v>1</v>
      </c>
      <c r="G5822" s="41">
        <v>8</v>
      </c>
      <c r="H5822" s="41">
        <v>26.298210000000001</v>
      </c>
      <c r="I5822" s="221"/>
      <c r="J5822" s="221"/>
    </row>
    <row r="5823" spans="1:10" s="15" customFormat="1" ht="16.5" hidden="1" customHeight="1" outlineLevel="1" x14ac:dyDescent="0.25">
      <c r="A5823" s="18">
        <v>1069</v>
      </c>
      <c r="B5823" s="4" t="s">
        <v>43</v>
      </c>
      <c r="C5823" s="38" t="s">
        <v>3965</v>
      </c>
      <c r="D5823" s="18">
        <v>2022</v>
      </c>
      <c r="E5823" s="18" t="s">
        <v>0</v>
      </c>
      <c r="F5823" s="4">
        <v>1</v>
      </c>
      <c r="G5823" s="41">
        <v>6</v>
      </c>
      <c r="H5823" s="41">
        <v>38.5732</v>
      </c>
      <c r="I5823" s="221"/>
      <c r="J5823" s="221"/>
    </row>
    <row r="5824" spans="1:10" s="15" customFormat="1" ht="16.5" hidden="1" customHeight="1" outlineLevel="1" x14ac:dyDescent="0.25">
      <c r="A5824" s="18">
        <v>1071</v>
      </c>
      <c r="B5824" s="4" t="s">
        <v>43</v>
      </c>
      <c r="C5824" s="38" t="s">
        <v>3966</v>
      </c>
      <c r="D5824" s="18">
        <v>2022</v>
      </c>
      <c r="E5824" s="18" t="s">
        <v>0</v>
      </c>
      <c r="F5824" s="4">
        <v>1</v>
      </c>
      <c r="G5824" s="41">
        <v>6</v>
      </c>
      <c r="H5824" s="41">
        <v>35.233110000000003</v>
      </c>
      <c r="I5824" s="221"/>
      <c r="J5824" s="221"/>
    </row>
    <row r="5825" spans="1:10" s="15" customFormat="1" ht="16.5" hidden="1" customHeight="1" outlineLevel="1" x14ac:dyDescent="0.25">
      <c r="A5825" s="18">
        <v>1078</v>
      </c>
      <c r="B5825" s="4" t="s">
        <v>43</v>
      </c>
      <c r="C5825" s="38" t="s">
        <v>3967</v>
      </c>
      <c r="D5825" s="18">
        <v>2022</v>
      </c>
      <c r="E5825" s="18" t="s">
        <v>0</v>
      </c>
      <c r="F5825" s="4">
        <v>1</v>
      </c>
      <c r="G5825" s="41">
        <v>1</v>
      </c>
      <c r="H5825" s="41">
        <v>34.862349999999999</v>
      </c>
      <c r="I5825" s="221"/>
      <c r="J5825" s="221"/>
    </row>
    <row r="5826" spans="1:10" s="15" customFormat="1" ht="16.5" hidden="1" customHeight="1" outlineLevel="1" x14ac:dyDescent="0.25">
      <c r="A5826" s="18">
        <v>1074</v>
      </c>
      <c r="B5826" s="4" t="s">
        <v>43</v>
      </c>
      <c r="C5826" s="38" t="s">
        <v>3968</v>
      </c>
      <c r="D5826" s="18">
        <v>2022</v>
      </c>
      <c r="E5826" s="18" t="s">
        <v>0</v>
      </c>
      <c r="F5826" s="4">
        <v>1</v>
      </c>
      <c r="G5826" s="41">
        <v>4.5999999999999996</v>
      </c>
      <c r="H5826" s="41">
        <v>32.994</v>
      </c>
      <c r="I5826" s="221"/>
      <c r="J5826" s="221"/>
    </row>
    <row r="5827" spans="1:10" s="15" customFormat="1" ht="16.5" hidden="1" customHeight="1" outlineLevel="1" x14ac:dyDescent="0.25">
      <c r="A5827" s="18">
        <v>1186</v>
      </c>
      <c r="B5827" s="4" t="s">
        <v>43</v>
      </c>
      <c r="C5827" s="38" t="s">
        <v>3969</v>
      </c>
      <c r="D5827" s="18">
        <v>2022</v>
      </c>
      <c r="E5827" s="18" t="s">
        <v>0</v>
      </c>
      <c r="F5827" s="4">
        <v>1</v>
      </c>
      <c r="G5827" s="41">
        <v>5</v>
      </c>
      <c r="H5827" s="41">
        <v>29.303750000000001</v>
      </c>
      <c r="I5827" s="221"/>
      <c r="J5827" s="221"/>
    </row>
    <row r="5828" spans="1:10" s="15" customFormat="1" ht="16.5" hidden="1" customHeight="1" outlineLevel="1" x14ac:dyDescent="0.25">
      <c r="A5828" s="18">
        <v>1190</v>
      </c>
      <c r="B5828" s="4" t="s">
        <v>43</v>
      </c>
      <c r="C5828" s="38" t="s">
        <v>3970</v>
      </c>
      <c r="D5828" s="18">
        <v>2022</v>
      </c>
      <c r="E5828" s="18" t="s">
        <v>0</v>
      </c>
      <c r="F5828" s="4">
        <v>1</v>
      </c>
      <c r="G5828" s="41">
        <v>6</v>
      </c>
      <c r="H5828" s="41">
        <v>26.106030000000001</v>
      </c>
      <c r="I5828" s="221"/>
      <c r="J5828" s="221"/>
    </row>
    <row r="5829" spans="1:10" s="15" customFormat="1" ht="16.5" hidden="1" customHeight="1" outlineLevel="1" x14ac:dyDescent="0.25">
      <c r="A5829" s="18">
        <v>1241</v>
      </c>
      <c r="B5829" s="4" t="s">
        <v>43</v>
      </c>
      <c r="C5829" s="38" t="s">
        <v>3971</v>
      </c>
      <c r="D5829" s="18">
        <v>2022</v>
      </c>
      <c r="E5829" s="18" t="s">
        <v>0</v>
      </c>
      <c r="F5829" s="4">
        <v>1</v>
      </c>
      <c r="G5829" s="41">
        <v>5</v>
      </c>
      <c r="H5829" s="41">
        <v>36.486800000000002</v>
      </c>
      <c r="I5829" s="221"/>
      <c r="J5829" s="221"/>
    </row>
    <row r="5830" spans="1:10" s="15" customFormat="1" ht="16.5" hidden="1" customHeight="1" outlineLevel="1" x14ac:dyDescent="0.25">
      <c r="A5830" s="18">
        <v>1308</v>
      </c>
      <c r="B5830" s="4" t="s">
        <v>43</v>
      </c>
      <c r="C5830" s="38" t="s">
        <v>3972</v>
      </c>
      <c r="D5830" s="18">
        <v>2022</v>
      </c>
      <c r="E5830" s="18" t="s">
        <v>0</v>
      </c>
      <c r="F5830" s="4">
        <v>1</v>
      </c>
      <c r="G5830" s="41">
        <v>6</v>
      </c>
      <c r="H5830" s="41">
        <v>50.413240000000002</v>
      </c>
      <c r="I5830" s="221"/>
      <c r="J5830" s="221"/>
    </row>
    <row r="5831" spans="1:10" s="15" customFormat="1" ht="16.5" hidden="1" customHeight="1" outlineLevel="1" x14ac:dyDescent="0.25">
      <c r="A5831" s="18">
        <v>1371</v>
      </c>
      <c r="B5831" s="4" t="s">
        <v>43</v>
      </c>
      <c r="C5831" s="38" t="s">
        <v>3973</v>
      </c>
      <c r="D5831" s="18">
        <v>2022</v>
      </c>
      <c r="E5831" s="18" t="s">
        <v>0</v>
      </c>
      <c r="F5831" s="4">
        <v>1</v>
      </c>
      <c r="G5831" s="41">
        <v>7</v>
      </c>
      <c r="H5831" s="41">
        <v>52.284480000000002</v>
      </c>
      <c r="I5831" s="221"/>
      <c r="J5831" s="221"/>
    </row>
    <row r="5832" spans="1:10" s="15" customFormat="1" ht="16.5" hidden="1" customHeight="1" outlineLevel="1" x14ac:dyDescent="0.25">
      <c r="A5832" s="18">
        <v>1343</v>
      </c>
      <c r="B5832" s="4" t="s">
        <v>43</v>
      </c>
      <c r="C5832" s="38" t="s">
        <v>3974</v>
      </c>
      <c r="D5832" s="18">
        <v>2022</v>
      </c>
      <c r="E5832" s="18" t="s">
        <v>0</v>
      </c>
      <c r="F5832" s="4">
        <v>1</v>
      </c>
      <c r="G5832" s="41">
        <v>1</v>
      </c>
      <c r="H5832" s="41">
        <v>28.387</v>
      </c>
      <c r="I5832" s="221"/>
      <c r="J5832" s="221"/>
    </row>
    <row r="5833" spans="1:10" s="15" customFormat="1" ht="16.5" hidden="1" customHeight="1" outlineLevel="1" x14ac:dyDescent="0.25">
      <c r="A5833" s="18">
        <v>1367</v>
      </c>
      <c r="B5833" s="4" t="s">
        <v>43</v>
      </c>
      <c r="C5833" s="38" t="s">
        <v>3975</v>
      </c>
      <c r="D5833" s="18">
        <v>2022</v>
      </c>
      <c r="E5833" s="18" t="s">
        <v>0</v>
      </c>
      <c r="F5833" s="4">
        <v>1</v>
      </c>
      <c r="G5833" s="41">
        <v>5</v>
      </c>
      <c r="H5833" s="41">
        <v>59.40878</v>
      </c>
      <c r="I5833" s="221"/>
      <c r="J5833" s="221"/>
    </row>
    <row r="5834" spans="1:10" s="15" customFormat="1" ht="16.5" hidden="1" customHeight="1" outlineLevel="1" x14ac:dyDescent="0.25">
      <c r="A5834" s="18">
        <v>1387</v>
      </c>
      <c r="B5834" s="4" t="s">
        <v>43</v>
      </c>
      <c r="C5834" s="38" t="s">
        <v>3976</v>
      </c>
      <c r="D5834" s="18">
        <v>2022</v>
      </c>
      <c r="E5834" s="18" t="s">
        <v>0</v>
      </c>
      <c r="F5834" s="4">
        <v>1</v>
      </c>
      <c r="G5834" s="41">
        <v>5</v>
      </c>
      <c r="H5834" s="41">
        <v>54.428100000000001</v>
      </c>
      <c r="I5834" s="221"/>
      <c r="J5834" s="221"/>
    </row>
    <row r="5835" spans="1:10" s="15" customFormat="1" ht="16.5" hidden="1" customHeight="1" outlineLevel="1" x14ac:dyDescent="0.25">
      <c r="A5835" s="18">
        <v>1245</v>
      </c>
      <c r="B5835" s="4" t="s">
        <v>43</v>
      </c>
      <c r="C5835" s="38" t="s">
        <v>3977</v>
      </c>
      <c r="D5835" s="18">
        <v>2022</v>
      </c>
      <c r="E5835" s="18" t="s">
        <v>0</v>
      </c>
      <c r="F5835" s="4">
        <v>1</v>
      </c>
      <c r="G5835" s="41">
        <v>5</v>
      </c>
      <c r="H5835" s="41">
        <v>31.20025</v>
      </c>
      <c r="I5835" s="221"/>
      <c r="J5835" s="221"/>
    </row>
    <row r="5836" spans="1:10" s="15" customFormat="1" ht="16.5" hidden="1" customHeight="1" outlineLevel="1" x14ac:dyDescent="0.25">
      <c r="A5836" s="18">
        <v>1401</v>
      </c>
      <c r="B5836" s="4" t="s">
        <v>43</v>
      </c>
      <c r="C5836" s="38" t="s">
        <v>3978</v>
      </c>
      <c r="D5836" s="18">
        <v>2022</v>
      </c>
      <c r="E5836" s="18" t="s">
        <v>0</v>
      </c>
      <c r="F5836" s="4">
        <v>1</v>
      </c>
      <c r="G5836" s="41">
        <v>6.2</v>
      </c>
      <c r="H5836" s="41">
        <v>35.254600000000003</v>
      </c>
      <c r="I5836" s="221"/>
      <c r="J5836" s="221"/>
    </row>
    <row r="5837" spans="1:10" s="15" customFormat="1" ht="16.5" hidden="1" customHeight="1" outlineLevel="1" x14ac:dyDescent="0.25">
      <c r="A5837" s="18">
        <v>1158</v>
      </c>
      <c r="B5837" s="4" t="s">
        <v>43</v>
      </c>
      <c r="C5837" s="38" t="s">
        <v>3979</v>
      </c>
      <c r="D5837" s="18">
        <v>2022</v>
      </c>
      <c r="E5837" s="18" t="s">
        <v>0</v>
      </c>
      <c r="F5837" s="4">
        <v>1</v>
      </c>
      <c r="G5837" s="41">
        <v>5</v>
      </c>
      <c r="H5837" s="41">
        <v>35.588720000000002</v>
      </c>
      <c r="I5837" s="221"/>
      <c r="J5837" s="221"/>
    </row>
    <row r="5838" spans="1:10" s="15" customFormat="1" ht="16.5" hidden="1" customHeight="1" outlineLevel="1" x14ac:dyDescent="0.25">
      <c r="A5838" s="18">
        <v>1172</v>
      </c>
      <c r="B5838" s="4" t="s">
        <v>43</v>
      </c>
      <c r="C5838" s="38" t="s">
        <v>3980</v>
      </c>
      <c r="D5838" s="18">
        <v>2022</v>
      </c>
      <c r="E5838" s="18" t="s">
        <v>0</v>
      </c>
      <c r="F5838" s="4">
        <v>1</v>
      </c>
      <c r="G5838" s="41">
        <v>5</v>
      </c>
      <c r="H5838" s="41">
        <v>36.73509</v>
      </c>
      <c r="I5838" s="221"/>
      <c r="J5838" s="221"/>
    </row>
    <row r="5839" spans="1:10" s="15" customFormat="1" ht="16.5" hidden="1" customHeight="1" outlineLevel="1" x14ac:dyDescent="0.25">
      <c r="A5839" s="18">
        <v>1273</v>
      </c>
      <c r="B5839" s="4" t="s">
        <v>43</v>
      </c>
      <c r="C5839" s="38" t="s">
        <v>3981</v>
      </c>
      <c r="D5839" s="18">
        <v>2022</v>
      </c>
      <c r="E5839" s="18" t="s">
        <v>0</v>
      </c>
      <c r="F5839" s="4">
        <v>1</v>
      </c>
      <c r="G5839" s="41">
        <v>7</v>
      </c>
      <c r="H5839" s="41">
        <v>28.427949999999999</v>
      </c>
      <c r="I5839" s="221"/>
      <c r="J5839" s="221"/>
    </row>
    <row r="5840" spans="1:10" s="15" customFormat="1" ht="16.5" hidden="1" customHeight="1" outlineLevel="1" x14ac:dyDescent="0.25">
      <c r="A5840" s="18">
        <v>1101</v>
      </c>
      <c r="B5840" s="4" t="s">
        <v>43</v>
      </c>
      <c r="C5840" s="38" t="s">
        <v>3982</v>
      </c>
      <c r="D5840" s="18">
        <v>2022</v>
      </c>
      <c r="E5840" s="18" t="s">
        <v>0</v>
      </c>
      <c r="F5840" s="4">
        <v>1</v>
      </c>
      <c r="G5840" s="41">
        <v>7</v>
      </c>
      <c r="H5840" s="41">
        <v>42.869030000000002</v>
      </c>
      <c r="I5840" s="221"/>
      <c r="J5840" s="221"/>
    </row>
    <row r="5841" spans="1:10" s="15" customFormat="1" ht="16.5" hidden="1" customHeight="1" outlineLevel="1" x14ac:dyDescent="0.25">
      <c r="A5841" s="18">
        <v>1369</v>
      </c>
      <c r="B5841" s="4" t="s">
        <v>43</v>
      </c>
      <c r="C5841" s="38" t="s">
        <v>3983</v>
      </c>
      <c r="D5841" s="18">
        <v>2022</v>
      </c>
      <c r="E5841" s="18" t="s">
        <v>0</v>
      </c>
      <c r="F5841" s="4">
        <v>1</v>
      </c>
      <c r="G5841" s="41">
        <v>6</v>
      </c>
      <c r="H5841" s="41">
        <v>26.598510000000001</v>
      </c>
      <c r="I5841" s="221"/>
      <c r="J5841" s="221"/>
    </row>
    <row r="5842" spans="1:10" s="15" customFormat="1" ht="16.5" hidden="1" customHeight="1" outlineLevel="1" x14ac:dyDescent="0.25">
      <c r="A5842" s="18">
        <v>1442</v>
      </c>
      <c r="B5842" s="4" t="s">
        <v>43</v>
      </c>
      <c r="C5842" s="38" t="s">
        <v>3984</v>
      </c>
      <c r="D5842" s="18">
        <v>2022</v>
      </c>
      <c r="E5842" s="18" t="s">
        <v>0</v>
      </c>
      <c r="F5842" s="4">
        <v>1</v>
      </c>
      <c r="G5842" s="41">
        <v>5</v>
      </c>
      <c r="H5842" s="41">
        <v>28.33315</v>
      </c>
      <c r="I5842" s="221"/>
      <c r="J5842" s="221"/>
    </row>
    <row r="5843" spans="1:10" s="15" customFormat="1" ht="16.5" hidden="1" customHeight="1" outlineLevel="1" x14ac:dyDescent="0.25">
      <c r="A5843" s="18">
        <v>1053</v>
      </c>
      <c r="B5843" s="4" t="s">
        <v>43</v>
      </c>
      <c r="C5843" s="38" t="s">
        <v>3985</v>
      </c>
      <c r="D5843" s="18">
        <v>2022</v>
      </c>
      <c r="E5843" s="18" t="s">
        <v>0</v>
      </c>
      <c r="F5843" s="4">
        <v>1</v>
      </c>
      <c r="G5843" s="41">
        <v>5</v>
      </c>
      <c r="H5843" s="41">
        <v>131.17383000000001</v>
      </c>
      <c r="I5843" s="221"/>
      <c r="J5843" s="221"/>
    </row>
    <row r="5844" spans="1:10" s="15" customFormat="1" ht="16.5" hidden="1" customHeight="1" outlineLevel="1" x14ac:dyDescent="0.25">
      <c r="A5844" s="18">
        <v>1130</v>
      </c>
      <c r="B5844" s="4" t="s">
        <v>43</v>
      </c>
      <c r="C5844" s="38" t="s">
        <v>3986</v>
      </c>
      <c r="D5844" s="18">
        <v>2022</v>
      </c>
      <c r="E5844" s="18" t="s">
        <v>0</v>
      </c>
      <c r="F5844" s="4">
        <v>3</v>
      </c>
      <c r="G5844" s="41">
        <v>9</v>
      </c>
      <c r="H5844" s="41">
        <v>101.19049</v>
      </c>
      <c r="I5844" s="221"/>
      <c r="J5844" s="221"/>
    </row>
    <row r="5845" spans="1:10" s="15" customFormat="1" ht="16.5" hidden="1" customHeight="1" outlineLevel="1" x14ac:dyDescent="0.25">
      <c r="A5845" s="18">
        <v>1133</v>
      </c>
      <c r="B5845" s="4" t="s">
        <v>43</v>
      </c>
      <c r="C5845" s="38" t="s">
        <v>3987</v>
      </c>
      <c r="D5845" s="18">
        <v>2022</v>
      </c>
      <c r="E5845" s="18" t="s">
        <v>0</v>
      </c>
      <c r="F5845" s="4">
        <v>3</v>
      </c>
      <c r="G5845" s="41">
        <v>9</v>
      </c>
      <c r="H5845" s="41">
        <v>164.16990000000001</v>
      </c>
      <c r="I5845" s="221"/>
      <c r="J5845" s="221"/>
    </row>
    <row r="5846" spans="1:10" s="15" customFormat="1" ht="16.5" hidden="1" customHeight="1" outlineLevel="1" x14ac:dyDescent="0.25">
      <c r="A5846" s="18">
        <v>1439</v>
      </c>
      <c r="B5846" s="4" t="s">
        <v>43</v>
      </c>
      <c r="C5846" s="38" t="s">
        <v>3988</v>
      </c>
      <c r="D5846" s="18">
        <v>2022</v>
      </c>
      <c r="E5846" s="18" t="s">
        <v>0</v>
      </c>
      <c r="F5846" s="4">
        <v>1</v>
      </c>
      <c r="G5846" s="41">
        <v>5</v>
      </c>
      <c r="H5846" s="41">
        <v>82.701840000000004</v>
      </c>
      <c r="I5846" s="221"/>
      <c r="J5846" s="221"/>
    </row>
    <row r="5847" spans="1:10" s="15" customFormat="1" ht="16.5" hidden="1" customHeight="1" outlineLevel="1" x14ac:dyDescent="0.25">
      <c r="A5847" s="18">
        <v>1463</v>
      </c>
      <c r="B5847" s="4" t="s">
        <v>43</v>
      </c>
      <c r="C5847" s="38" t="s">
        <v>3989</v>
      </c>
      <c r="D5847" s="18">
        <v>2022</v>
      </c>
      <c r="E5847" s="18" t="s">
        <v>0</v>
      </c>
      <c r="F5847" s="4">
        <v>1</v>
      </c>
      <c r="G5847" s="41">
        <v>5</v>
      </c>
      <c r="H5847" s="41">
        <v>73.163480000000007</v>
      </c>
      <c r="I5847" s="221"/>
      <c r="J5847" s="221"/>
    </row>
    <row r="5848" spans="1:10" s="15" customFormat="1" ht="16.5" hidden="1" customHeight="1" outlineLevel="1" x14ac:dyDescent="0.25">
      <c r="A5848" s="18">
        <v>1515</v>
      </c>
      <c r="B5848" s="4" t="s">
        <v>43</v>
      </c>
      <c r="C5848" s="38" t="s">
        <v>3990</v>
      </c>
      <c r="D5848" s="18">
        <v>2022</v>
      </c>
      <c r="E5848" s="18" t="s">
        <v>0</v>
      </c>
      <c r="F5848" s="4">
        <v>1</v>
      </c>
      <c r="G5848" s="41">
        <v>5</v>
      </c>
      <c r="H5848" s="41">
        <v>64.396060000000006</v>
      </c>
      <c r="I5848" s="221"/>
      <c r="J5848" s="221"/>
    </row>
    <row r="5849" spans="1:10" s="15" customFormat="1" ht="16.5" hidden="1" customHeight="1" outlineLevel="1" x14ac:dyDescent="0.25">
      <c r="A5849" s="18">
        <v>1135</v>
      </c>
      <c r="B5849" s="4" t="s">
        <v>43</v>
      </c>
      <c r="C5849" s="38" t="s">
        <v>2254</v>
      </c>
      <c r="D5849" s="18">
        <v>2022</v>
      </c>
      <c r="E5849" s="18" t="s">
        <v>0</v>
      </c>
      <c r="F5849" s="4">
        <v>1</v>
      </c>
      <c r="G5849" s="41">
        <v>0.5</v>
      </c>
      <c r="H5849" s="41">
        <v>32.334980000000002</v>
      </c>
      <c r="I5849" s="221"/>
      <c r="J5849" s="221"/>
    </row>
    <row r="5850" spans="1:10" s="15" customFormat="1" ht="16.5" hidden="1" customHeight="1" outlineLevel="1" x14ac:dyDescent="0.25">
      <c r="A5850" s="18">
        <v>1067</v>
      </c>
      <c r="B5850" s="4" t="s">
        <v>43</v>
      </c>
      <c r="C5850" s="38" t="s">
        <v>3991</v>
      </c>
      <c r="D5850" s="18">
        <v>2022</v>
      </c>
      <c r="E5850" s="18" t="s">
        <v>0</v>
      </c>
      <c r="F5850" s="4">
        <v>1</v>
      </c>
      <c r="G5850" s="41">
        <v>50</v>
      </c>
      <c r="H5850" s="41">
        <v>44.226750000000003</v>
      </c>
      <c r="I5850" s="221"/>
      <c r="J5850" s="221"/>
    </row>
    <row r="5851" spans="1:10" s="15" customFormat="1" ht="16.5" hidden="1" customHeight="1" outlineLevel="1" x14ac:dyDescent="0.25">
      <c r="A5851" s="18">
        <v>1056</v>
      </c>
      <c r="B5851" s="4" t="s">
        <v>43</v>
      </c>
      <c r="C5851" s="38" t="s">
        <v>3992</v>
      </c>
      <c r="D5851" s="18">
        <v>2022</v>
      </c>
      <c r="E5851" s="18" t="s">
        <v>0</v>
      </c>
      <c r="F5851" s="4">
        <v>1</v>
      </c>
      <c r="G5851" s="41">
        <v>6</v>
      </c>
      <c r="H5851" s="41">
        <v>100.25472000000001</v>
      </c>
      <c r="I5851" s="221"/>
      <c r="J5851" s="221"/>
    </row>
    <row r="5852" spans="1:10" s="15" customFormat="1" ht="16.5" hidden="1" customHeight="1" outlineLevel="1" x14ac:dyDescent="0.25">
      <c r="A5852" s="18">
        <v>1063</v>
      </c>
      <c r="B5852" s="4" t="s">
        <v>43</v>
      </c>
      <c r="C5852" s="38" t="s">
        <v>3993</v>
      </c>
      <c r="D5852" s="18">
        <v>2022</v>
      </c>
      <c r="E5852" s="18" t="s">
        <v>0</v>
      </c>
      <c r="F5852" s="4">
        <v>1</v>
      </c>
      <c r="G5852" s="41">
        <v>5</v>
      </c>
      <c r="H5852" s="41">
        <v>49.535220000000002</v>
      </c>
      <c r="I5852" s="221"/>
      <c r="J5852" s="221"/>
    </row>
    <row r="5853" spans="1:10" s="15" customFormat="1" ht="16.5" hidden="1" customHeight="1" outlineLevel="1" x14ac:dyDescent="0.25">
      <c r="A5853" s="18">
        <v>1337</v>
      </c>
      <c r="B5853" s="4" t="s">
        <v>43</v>
      </c>
      <c r="C5853" s="38" t="s">
        <v>3994</v>
      </c>
      <c r="D5853" s="18">
        <v>2022</v>
      </c>
      <c r="E5853" s="18" t="s">
        <v>0</v>
      </c>
      <c r="F5853" s="4">
        <v>1</v>
      </c>
      <c r="G5853" s="41">
        <v>5</v>
      </c>
      <c r="H5853" s="41">
        <v>26.08906</v>
      </c>
      <c r="I5853" s="221"/>
      <c r="J5853" s="221"/>
    </row>
    <row r="5854" spans="1:10" s="15" customFormat="1" ht="16.5" hidden="1" customHeight="1" outlineLevel="1" x14ac:dyDescent="0.25">
      <c r="A5854" s="18">
        <v>1529</v>
      </c>
      <c r="B5854" s="4" t="s">
        <v>43</v>
      </c>
      <c r="C5854" s="38" t="s">
        <v>3995</v>
      </c>
      <c r="D5854" s="18">
        <v>2022</v>
      </c>
      <c r="E5854" s="18" t="s">
        <v>0</v>
      </c>
      <c r="F5854" s="4">
        <v>1</v>
      </c>
      <c r="G5854" s="41">
        <v>10</v>
      </c>
      <c r="H5854" s="41">
        <v>41.525210000000001</v>
      </c>
      <c r="I5854" s="221"/>
      <c r="J5854" s="221"/>
    </row>
    <row r="5855" spans="1:10" s="15" customFormat="1" ht="16.5" hidden="1" customHeight="1" outlineLevel="1" x14ac:dyDescent="0.25">
      <c r="A5855" s="18">
        <v>1365</v>
      </c>
      <c r="B5855" s="4" t="s">
        <v>43</v>
      </c>
      <c r="C5855" s="38" t="s">
        <v>3996</v>
      </c>
      <c r="D5855" s="18">
        <v>2022</v>
      </c>
      <c r="E5855" s="18" t="s">
        <v>0</v>
      </c>
      <c r="F5855" s="4">
        <v>1</v>
      </c>
      <c r="G5855" s="41">
        <v>6</v>
      </c>
      <c r="H5855" s="41">
        <v>47.953989999999997</v>
      </c>
      <c r="I5855" s="221"/>
      <c r="J5855" s="221"/>
    </row>
    <row r="5856" spans="1:10" s="15" customFormat="1" ht="16.5" hidden="1" customHeight="1" outlineLevel="1" x14ac:dyDescent="0.25">
      <c r="A5856" s="18">
        <v>1466</v>
      </c>
      <c r="B5856" s="4" t="s">
        <v>43</v>
      </c>
      <c r="C5856" s="38" t="s">
        <v>2262</v>
      </c>
      <c r="D5856" s="18">
        <v>2022</v>
      </c>
      <c r="E5856" s="18" t="s">
        <v>0</v>
      </c>
      <c r="F5856" s="4">
        <v>1</v>
      </c>
      <c r="G5856" s="41">
        <v>15</v>
      </c>
      <c r="H5856" s="41">
        <v>53.796250000000001</v>
      </c>
      <c r="I5856" s="221"/>
      <c r="J5856" s="221"/>
    </row>
    <row r="5857" spans="1:10" s="15" customFormat="1" ht="16.5" hidden="1" customHeight="1" outlineLevel="1" x14ac:dyDescent="0.25">
      <c r="A5857" s="18">
        <v>1507</v>
      </c>
      <c r="B5857" s="4" t="s">
        <v>43</v>
      </c>
      <c r="C5857" s="38" t="s">
        <v>3997</v>
      </c>
      <c r="D5857" s="18">
        <v>2022</v>
      </c>
      <c r="E5857" s="18" t="s">
        <v>0</v>
      </c>
      <c r="F5857" s="4">
        <v>1</v>
      </c>
      <c r="G5857" s="41">
        <v>6</v>
      </c>
      <c r="H5857" s="41">
        <v>16.739550000000001</v>
      </c>
      <c r="I5857" s="221"/>
      <c r="J5857" s="221"/>
    </row>
    <row r="5858" spans="1:10" s="15" customFormat="1" ht="16.5" hidden="1" customHeight="1" outlineLevel="1" x14ac:dyDescent="0.25">
      <c r="A5858" s="18">
        <v>1524</v>
      </c>
      <c r="B5858" s="4" t="s">
        <v>43</v>
      </c>
      <c r="C5858" s="38" t="s">
        <v>3998</v>
      </c>
      <c r="D5858" s="18">
        <v>2022</v>
      </c>
      <c r="E5858" s="18" t="s">
        <v>0</v>
      </c>
      <c r="F5858" s="4">
        <v>1</v>
      </c>
      <c r="G5858" s="41">
        <v>12</v>
      </c>
      <c r="H5858" s="41">
        <v>24.705220000000001</v>
      </c>
      <c r="I5858" s="221"/>
      <c r="J5858" s="221"/>
    </row>
    <row r="5859" spans="1:10" s="15" customFormat="1" ht="16.5" hidden="1" customHeight="1" outlineLevel="1" x14ac:dyDescent="0.25">
      <c r="A5859" s="18">
        <v>1551</v>
      </c>
      <c r="B5859" s="4" t="s">
        <v>43</v>
      </c>
      <c r="C5859" s="38" t="s">
        <v>3999</v>
      </c>
      <c r="D5859" s="18">
        <v>2022</v>
      </c>
      <c r="E5859" s="18" t="s">
        <v>0</v>
      </c>
      <c r="F5859" s="4">
        <v>1</v>
      </c>
      <c r="G5859" s="41">
        <v>4.2</v>
      </c>
      <c r="H5859" s="41">
        <v>24.57536</v>
      </c>
      <c r="I5859" s="221"/>
      <c r="J5859" s="221"/>
    </row>
    <row r="5860" spans="1:10" s="15" customFormat="1" ht="16.5" hidden="1" customHeight="1" outlineLevel="1" x14ac:dyDescent="0.25">
      <c r="A5860" s="18">
        <v>1462</v>
      </c>
      <c r="B5860" s="4" t="s">
        <v>43</v>
      </c>
      <c r="C5860" s="38" t="s">
        <v>4000</v>
      </c>
      <c r="D5860" s="18">
        <v>2022</v>
      </c>
      <c r="E5860" s="18" t="s">
        <v>0</v>
      </c>
      <c r="F5860" s="4">
        <v>1</v>
      </c>
      <c r="G5860" s="41">
        <v>8</v>
      </c>
      <c r="H5860" s="41">
        <v>16.105229999999999</v>
      </c>
      <c r="I5860" s="221"/>
      <c r="J5860" s="221"/>
    </row>
    <row r="5861" spans="1:10" s="15" customFormat="1" ht="16.5" hidden="1" customHeight="1" outlineLevel="1" x14ac:dyDescent="0.25">
      <c r="A5861" s="18">
        <v>1499</v>
      </c>
      <c r="B5861" s="4" t="s">
        <v>43</v>
      </c>
      <c r="C5861" s="38" t="s">
        <v>4001</v>
      </c>
      <c r="D5861" s="18">
        <v>2022</v>
      </c>
      <c r="E5861" s="18" t="s">
        <v>0</v>
      </c>
      <c r="F5861" s="4">
        <v>1</v>
      </c>
      <c r="G5861" s="41">
        <v>15</v>
      </c>
      <c r="H5861" s="41">
        <v>25.47203</v>
      </c>
      <c r="I5861" s="221"/>
      <c r="J5861" s="221"/>
    </row>
    <row r="5862" spans="1:10" s="15" customFormat="1" ht="16.5" hidden="1" customHeight="1" outlineLevel="1" x14ac:dyDescent="0.25">
      <c r="A5862" s="18">
        <v>1514</v>
      </c>
      <c r="B5862" s="4" t="s">
        <v>43</v>
      </c>
      <c r="C5862" s="38" t="s">
        <v>4002</v>
      </c>
      <c r="D5862" s="18">
        <v>2022</v>
      </c>
      <c r="E5862" s="18" t="s">
        <v>0</v>
      </c>
      <c r="F5862" s="4">
        <v>1</v>
      </c>
      <c r="G5862" s="41">
        <v>10</v>
      </c>
      <c r="H5862" s="41">
        <v>23.766069999999999</v>
      </c>
      <c r="I5862" s="221"/>
      <c r="J5862" s="221"/>
    </row>
    <row r="5863" spans="1:10" s="15" customFormat="1" ht="16.5" hidden="1" customHeight="1" outlineLevel="1" x14ac:dyDescent="0.25">
      <c r="A5863" s="18">
        <v>1502</v>
      </c>
      <c r="B5863" s="4" t="s">
        <v>43</v>
      </c>
      <c r="C5863" s="38" t="s">
        <v>4003</v>
      </c>
      <c r="D5863" s="18">
        <v>2022</v>
      </c>
      <c r="E5863" s="18" t="s">
        <v>0</v>
      </c>
      <c r="F5863" s="4">
        <v>1</v>
      </c>
      <c r="G5863" s="41">
        <v>6</v>
      </c>
      <c r="H5863" s="41">
        <v>31.462250000000001</v>
      </c>
      <c r="I5863" s="221"/>
      <c r="J5863" s="221"/>
    </row>
    <row r="5864" spans="1:10" s="15" customFormat="1" ht="16.5" hidden="1" customHeight="1" outlineLevel="1" x14ac:dyDescent="0.25">
      <c r="A5864" s="18">
        <v>1327</v>
      </c>
      <c r="B5864" s="4" t="s">
        <v>43</v>
      </c>
      <c r="C5864" s="38" t="s">
        <v>4004</v>
      </c>
      <c r="D5864" s="18">
        <v>2022</v>
      </c>
      <c r="E5864" s="18" t="s">
        <v>0</v>
      </c>
      <c r="F5864" s="4">
        <v>1</v>
      </c>
      <c r="G5864" s="41">
        <v>5</v>
      </c>
      <c r="H5864" s="41">
        <v>28.789249999999999</v>
      </c>
      <c r="I5864" s="221"/>
      <c r="J5864" s="221"/>
    </row>
    <row r="5865" spans="1:10" s="15" customFormat="1" ht="16.5" hidden="1" customHeight="1" outlineLevel="1" x14ac:dyDescent="0.25">
      <c r="A5865" s="18">
        <v>1313</v>
      </c>
      <c r="B5865" s="4" t="s">
        <v>43</v>
      </c>
      <c r="C5865" s="38" t="s">
        <v>4005</v>
      </c>
      <c r="D5865" s="18">
        <v>2022</v>
      </c>
      <c r="E5865" s="18" t="s">
        <v>0</v>
      </c>
      <c r="F5865" s="4">
        <v>1</v>
      </c>
      <c r="G5865" s="41">
        <v>5</v>
      </c>
      <c r="H5865" s="41">
        <v>45.970660000000002</v>
      </c>
      <c r="I5865" s="221"/>
      <c r="J5865" s="221"/>
    </row>
    <row r="5866" spans="1:10" s="15" customFormat="1" ht="16.5" hidden="1" customHeight="1" outlineLevel="1" x14ac:dyDescent="0.25">
      <c r="A5866" s="18">
        <v>1584</v>
      </c>
      <c r="B5866" s="4" t="s">
        <v>43</v>
      </c>
      <c r="C5866" s="38" t="s">
        <v>4006</v>
      </c>
      <c r="D5866" s="18">
        <v>2022</v>
      </c>
      <c r="E5866" s="18" t="s">
        <v>0</v>
      </c>
      <c r="F5866" s="4">
        <v>1</v>
      </c>
      <c r="G5866" s="41">
        <v>5</v>
      </c>
      <c r="H5866" s="41">
        <v>20.626570000000001</v>
      </c>
      <c r="I5866" s="221"/>
      <c r="J5866" s="221"/>
    </row>
    <row r="5867" spans="1:10" s="15" customFormat="1" ht="16.5" hidden="1" customHeight="1" outlineLevel="1" x14ac:dyDescent="0.25">
      <c r="A5867" s="18">
        <v>1388</v>
      </c>
      <c r="B5867" s="4" t="s">
        <v>43</v>
      </c>
      <c r="C5867" s="38" t="s">
        <v>4007</v>
      </c>
      <c r="D5867" s="18">
        <v>2022</v>
      </c>
      <c r="E5867" s="18" t="s">
        <v>0</v>
      </c>
      <c r="F5867" s="4">
        <v>1</v>
      </c>
      <c r="G5867" s="41">
        <v>5</v>
      </c>
      <c r="H5867" s="41">
        <v>34.17324</v>
      </c>
      <c r="I5867" s="221"/>
      <c r="J5867" s="221"/>
    </row>
    <row r="5868" spans="1:10" s="15" customFormat="1" ht="16.5" hidden="1" customHeight="1" outlineLevel="1" x14ac:dyDescent="0.25">
      <c r="A5868" s="18">
        <v>1331</v>
      </c>
      <c r="B5868" s="4" t="s">
        <v>43</v>
      </c>
      <c r="C5868" s="38" t="s">
        <v>4008</v>
      </c>
      <c r="D5868" s="18">
        <v>2022</v>
      </c>
      <c r="E5868" s="18" t="s">
        <v>0</v>
      </c>
      <c r="F5868" s="4">
        <v>1</v>
      </c>
      <c r="G5868" s="41">
        <v>5</v>
      </c>
      <c r="H5868" s="41">
        <v>26.196770000000001</v>
      </c>
      <c r="I5868" s="221"/>
      <c r="J5868" s="221"/>
    </row>
    <row r="5869" spans="1:10" s="15" customFormat="1" ht="16.5" hidden="1" customHeight="1" outlineLevel="1" x14ac:dyDescent="0.25">
      <c r="A5869" s="18">
        <v>1261</v>
      </c>
      <c r="B5869" s="4" t="s">
        <v>43</v>
      </c>
      <c r="C5869" s="38" t="s">
        <v>4009</v>
      </c>
      <c r="D5869" s="18">
        <v>2022</v>
      </c>
      <c r="E5869" s="18" t="s">
        <v>0</v>
      </c>
      <c r="F5869" s="4">
        <v>1</v>
      </c>
      <c r="G5869" s="41">
        <v>5</v>
      </c>
      <c r="H5869" s="41">
        <v>30.549209999999999</v>
      </c>
      <c r="I5869" s="221"/>
      <c r="J5869" s="221"/>
    </row>
    <row r="5870" spans="1:10" s="15" customFormat="1" ht="16.5" hidden="1" customHeight="1" outlineLevel="1" x14ac:dyDescent="0.25">
      <c r="A5870" s="18">
        <v>1593</v>
      </c>
      <c r="B5870" s="4" t="s">
        <v>43</v>
      </c>
      <c r="C5870" s="38" t="s">
        <v>4010</v>
      </c>
      <c r="D5870" s="18">
        <v>2022</v>
      </c>
      <c r="E5870" s="18" t="s">
        <v>0</v>
      </c>
      <c r="F5870" s="4">
        <v>1</v>
      </c>
      <c r="G5870" s="41">
        <v>5</v>
      </c>
      <c r="H5870" s="41">
        <v>14.34492</v>
      </c>
      <c r="I5870" s="221"/>
      <c r="J5870" s="221"/>
    </row>
    <row r="5871" spans="1:10" s="15" customFormat="1" ht="16.5" hidden="1" customHeight="1" outlineLevel="1" x14ac:dyDescent="0.25">
      <c r="A5871" s="18">
        <v>1599</v>
      </c>
      <c r="B5871" s="4" t="s">
        <v>43</v>
      </c>
      <c r="C5871" s="38" t="s">
        <v>4011</v>
      </c>
      <c r="D5871" s="18">
        <v>2022</v>
      </c>
      <c r="E5871" s="18" t="s">
        <v>0</v>
      </c>
      <c r="F5871" s="4">
        <v>1</v>
      </c>
      <c r="G5871" s="41">
        <v>5</v>
      </c>
      <c r="H5871" s="41">
        <v>11.99863</v>
      </c>
      <c r="I5871" s="221"/>
      <c r="J5871" s="221"/>
    </row>
    <row r="5872" spans="1:10" s="15" customFormat="1" ht="16.5" hidden="1" customHeight="1" outlineLevel="1" x14ac:dyDescent="0.25">
      <c r="A5872" s="18">
        <v>1598</v>
      </c>
      <c r="B5872" s="4" t="s">
        <v>43</v>
      </c>
      <c r="C5872" s="38" t="s">
        <v>4012</v>
      </c>
      <c r="D5872" s="18">
        <v>2022</v>
      </c>
      <c r="E5872" s="18" t="s">
        <v>0</v>
      </c>
      <c r="F5872" s="4">
        <v>1</v>
      </c>
      <c r="G5872" s="41">
        <v>5</v>
      </c>
      <c r="H5872" s="41">
        <v>11.99863</v>
      </c>
      <c r="I5872" s="221"/>
      <c r="J5872" s="221"/>
    </row>
    <row r="5873" spans="1:10" s="15" customFormat="1" ht="16.5" hidden="1" customHeight="1" outlineLevel="1" x14ac:dyDescent="0.25">
      <c r="A5873" s="18">
        <v>1060</v>
      </c>
      <c r="B5873" s="4" t="s">
        <v>43</v>
      </c>
      <c r="C5873" s="38" t="s">
        <v>4013</v>
      </c>
      <c r="D5873" s="18">
        <v>2022</v>
      </c>
      <c r="E5873" s="18" t="s">
        <v>0</v>
      </c>
      <c r="F5873" s="4">
        <v>1</v>
      </c>
      <c r="G5873" s="41">
        <v>5</v>
      </c>
      <c r="H5873" s="41">
        <v>56.3872</v>
      </c>
      <c r="I5873" s="221"/>
      <c r="J5873" s="221"/>
    </row>
    <row r="5874" spans="1:10" s="15" customFormat="1" ht="16.5" hidden="1" customHeight="1" outlineLevel="1" x14ac:dyDescent="0.25">
      <c r="A5874" s="18">
        <v>1090</v>
      </c>
      <c r="B5874" s="4" t="s">
        <v>43</v>
      </c>
      <c r="C5874" s="38" t="s">
        <v>4014</v>
      </c>
      <c r="D5874" s="18">
        <v>2022</v>
      </c>
      <c r="E5874" s="18" t="s">
        <v>0</v>
      </c>
      <c r="F5874" s="4">
        <v>1</v>
      </c>
      <c r="G5874" s="41">
        <v>5</v>
      </c>
      <c r="H5874" s="41">
        <v>56.221769999999999</v>
      </c>
      <c r="I5874" s="221"/>
      <c r="J5874" s="221"/>
    </row>
    <row r="5875" spans="1:10" s="15" customFormat="1" ht="16.5" hidden="1" customHeight="1" outlineLevel="1" x14ac:dyDescent="0.25">
      <c r="A5875" s="18">
        <v>1471</v>
      </c>
      <c r="B5875" s="4" t="s">
        <v>43</v>
      </c>
      <c r="C5875" s="38" t="s">
        <v>4015</v>
      </c>
      <c r="D5875" s="18">
        <v>2022</v>
      </c>
      <c r="E5875" s="18" t="s">
        <v>0</v>
      </c>
      <c r="F5875" s="4">
        <v>1</v>
      </c>
      <c r="G5875" s="41">
        <v>1.5</v>
      </c>
      <c r="H5875" s="41">
        <v>16.845559999999999</v>
      </c>
      <c r="I5875" s="221"/>
      <c r="J5875" s="221"/>
    </row>
    <row r="5876" spans="1:10" s="15" customFormat="1" ht="16.5" hidden="1" customHeight="1" outlineLevel="1" x14ac:dyDescent="0.25">
      <c r="A5876" s="18">
        <v>1218</v>
      </c>
      <c r="B5876" s="4" t="s">
        <v>43</v>
      </c>
      <c r="C5876" s="38" t="s">
        <v>4016</v>
      </c>
      <c r="D5876" s="18">
        <v>2022</v>
      </c>
      <c r="E5876" s="18" t="s">
        <v>0</v>
      </c>
      <c r="F5876" s="4">
        <v>1</v>
      </c>
      <c r="G5876" s="41">
        <v>5</v>
      </c>
      <c r="H5876" s="41">
        <v>16.683579999999999</v>
      </c>
      <c r="I5876" s="221"/>
      <c r="J5876" s="221"/>
    </row>
    <row r="5877" spans="1:10" s="15" customFormat="1" ht="16.5" hidden="1" customHeight="1" outlineLevel="1" x14ac:dyDescent="0.25">
      <c r="A5877" s="18">
        <v>1249</v>
      </c>
      <c r="B5877" s="4" t="s">
        <v>43</v>
      </c>
      <c r="C5877" s="38" t="s">
        <v>4017</v>
      </c>
      <c r="D5877" s="18">
        <v>2022</v>
      </c>
      <c r="E5877" s="18" t="s">
        <v>0</v>
      </c>
      <c r="F5877" s="4">
        <v>1</v>
      </c>
      <c r="G5877" s="41">
        <v>5</v>
      </c>
      <c r="H5877" s="41">
        <v>34.141309999999997</v>
      </c>
      <c r="I5877" s="221"/>
      <c r="J5877" s="221"/>
    </row>
    <row r="5878" spans="1:10" s="15" customFormat="1" ht="16.5" hidden="1" customHeight="1" outlineLevel="1" x14ac:dyDescent="0.25">
      <c r="A5878" s="18">
        <v>1603</v>
      </c>
      <c r="B5878" s="4" t="s">
        <v>43</v>
      </c>
      <c r="C5878" s="38" t="s">
        <v>4018</v>
      </c>
      <c r="D5878" s="18">
        <v>2022</v>
      </c>
      <c r="E5878" s="18" t="s">
        <v>0</v>
      </c>
      <c r="F5878" s="4">
        <v>1</v>
      </c>
      <c r="G5878" s="41">
        <v>7</v>
      </c>
      <c r="H5878" s="41">
        <v>13.21561</v>
      </c>
      <c r="I5878" s="221"/>
      <c r="J5878" s="221"/>
    </row>
    <row r="5879" spans="1:10" s="15" customFormat="1" ht="16.5" hidden="1" customHeight="1" outlineLevel="1" x14ac:dyDescent="0.25">
      <c r="A5879" s="18">
        <v>1616</v>
      </c>
      <c r="B5879" s="4" t="s">
        <v>43</v>
      </c>
      <c r="C5879" s="38" t="s">
        <v>4019</v>
      </c>
      <c r="D5879" s="18">
        <v>2022</v>
      </c>
      <c r="E5879" s="18" t="s">
        <v>0</v>
      </c>
      <c r="F5879" s="4">
        <v>1</v>
      </c>
      <c r="G5879" s="41">
        <v>7</v>
      </c>
      <c r="H5879" s="41">
        <v>12.343260000000001</v>
      </c>
      <c r="I5879" s="221"/>
      <c r="J5879" s="221"/>
    </row>
    <row r="5880" spans="1:10" s="15" customFormat="1" ht="16.5" hidden="1" customHeight="1" outlineLevel="1" x14ac:dyDescent="0.25">
      <c r="A5880" s="18">
        <v>1230</v>
      </c>
      <c r="B5880" s="4" t="s">
        <v>43</v>
      </c>
      <c r="C5880" s="38" t="s">
        <v>2264</v>
      </c>
      <c r="D5880" s="18">
        <v>2022</v>
      </c>
      <c r="E5880" s="18" t="s">
        <v>0</v>
      </c>
      <c r="F5880" s="4">
        <v>1</v>
      </c>
      <c r="G5880" s="41">
        <v>1</v>
      </c>
      <c r="H5880" s="41">
        <v>30.645980000000002</v>
      </c>
      <c r="I5880" s="221"/>
      <c r="J5880" s="221"/>
    </row>
    <row r="5881" spans="1:10" s="15" customFormat="1" ht="16.5" hidden="1" customHeight="1" outlineLevel="1" x14ac:dyDescent="0.25">
      <c r="A5881" s="18">
        <v>1566</v>
      </c>
      <c r="B5881" s="4" t="s">
        <v>43</v>
      </c>
      <c r="C5881" s="38" t="s">
        <v>4020</v>
      </c>
      <c r="D5881" s="18">
        <v>2022</v>
      </c>
      <c r="E5881" s="18" t="s">
        <v>0</v>
      </c>
      <c r="F5881" s="4">
        <v>1</v>
      </c>
      <c r="G5881" s="41">
        <v>15</v>
      </c>
      <c r="H5881" s="41">
        <v>23.009789999999999</v>
      </c>
      <c r="I5881" s="221"/>
      <c r="J5881" s="221"/>
    </row>
    <row r="5882" spans="1:10" s="15" customFormat="1" ht="16.5" hidden="1" customHeight="1" outlineLevel="1" x14ac:dyDescent="0.25">
      <c r="A5882" s="18">
        <v>1563</v>
      </c>
      <c r="B5882" s="4" t="s">
        <v>43</v>
      </c>
      <c r="C5882" s="38" t="s">
        <v>4021</v>
      </c>
      <c r="D5882" s="18">
        <v>2022</v>
      </c>
      <c r="E5882" s="18" t="s">
        <v>0</v>
      </c>
      <c r="F5882" s="4">
        <v>1</v>
      </c>
      <c r="G5882" s="41">
        <v>5</v>
      </c>
      <c r="H5882" s="41">
        <v>18.242139999999999</v>
      </c>
      <c r="I5882" s="221"/>
      <c r="J5882" s="221"/>
    </row>
    <row r="5883" spans="1:10" s="15" customFormat="1" ht="16.5" hidden="1" customHeight="1" outlineLevel="1" x14ac:dyDescent="0.25">
      <c r="A5883" s="18">
        <v>1553</v>
      </c>
      <c r="B5883" s="4" t="s">
        <v>43</v>
      </c>
      <c r="C5883" s="38" t="s">
        <v>4022</v>
      </c>
      <c r="D5883" s="18">
        <v>2022</v>
      </c>
      <c r="E5883" s="18" t="s">
        <v>0</v>
      </c>
      <c r="F5883" s="4">
        <v>1</v>
      </c>
      <c r="G5883" s="41">
        <v>5</v>
      </c>
      <c r="H5883" s="41">
        <v>19.096689999999999</v>
      </c>
      <c r="I5883" s="221"/>
      <c r="J5883" s="221"/>
    </row>
    <row r="5884" spans="1:10" s="15" customFormat="1" ht="16.5" hidden="1" customHeight="1" outlineLevel="1" x14ac:dyDescent="0.25">
      <c r="A5884" s="18">
        <v>1115</v>
      </c>
      <c r="B5884" s="4" t="s">
        <v>43</v>
      </c>
      <c r="C5884" s="38" t="s">
        <v>4023</v>
      </c>
      <c r="D5884" s="18">
        <v>2022</v>
      </c>
      <c r="E5884" s="18" t="s">
        <v>0</v>
      </c>
      <c r="F5884" s="4">
        <v>1</v>
      </c>
      <c r="G5884" s="41">
        <v>5</v>
      </c>
      <c r="H5884" s="41">
        <v>35.608829999999998</v>
      </c>
      <c r="I5884" s="221"/>
      <c r="J5884" s="221"/>
    </row>
    <row r="5885" spans="1:10" s="15" customFormat="1" ht="16.5" hidden="1" customHeight="1" outlineLevel="1" x14ac:dyDescent="0.25">
      <c r="A5885" s="18">
        <v>1352</v>
      </c>
      <c r="B5885" s="4" t="s">
        <v>43</v>
      </c>
      <c r="C5885" s="38" t="s">
        <v>4024</v>
      </c>
      <c r="D5885" s="18">
        <v>2022</v>
      </c>
      <c r="E5885" s="18" t="s">
        <v>0</v>
      </c>
      <c r="F5885" s="4">
        <v>1</v>
      </c>
      <c r="G5885" s="41">
        <v>2</v>
      </c>
      <c r="H5885" s="41">
        <v>26.066220000000001</v>
      </c>
      <c r="I5885" s="221"/>
      <c r="J5885" s="221"/>
    </row>
    <row r="5886" spans="1:10" s="15" customFormat="1" ht="16.5" hidden="1" customHeight="1" outlineLevel="1" x14ac:dyDescent="0.25">
      <c r="A5886" s="18">
        <v>1376</v>
      </c>
      <c r="B5886" s="4" t="s">
        <v>43</v>
      </c>
      <c r="C5886" s="38" t="s">
        <v>4025</v>
      </c>
      <c r="D5886" s="18">
        <v>2022</v>
      </c>
      <c r="E5886" s="18" t="s">
        <v>0</v>
      </c>
      <c r="F5886" s="4">
        <v>1</v>
      </c>
      <c r="G5886" s="41">
        <v>15</v>
      </c>
      <c r="H5886" s="41">
        <v>19.371469999999999</v>
      </c>
      <c r="I5886" s="221"/>
      <c r="J5886" s="221"/>
    </row>
    <row r="5887" spans="1:10" s="15" customFormat="1" ht="16.5" hidden="1" customHeight="1" outlineLevel="1" x14ac:dyDescent="0.25">
      <c r="A5887" s="18">
        <v>1557</v>
      </c>
      <c r="B5887" s="4" t="s">
        <v>43</v>
      </c>
      <c r="C5887" s="38" t="s">
        <v>4026</v>
      </c>
      <c r="D5887" s="18">
        <v>2022</v>
      </c>
      <c r="E5887" s="18" t="s">
        <v>0</v>
      </c>
      <c r="F5887" s="4">
        <v>1</v>
      </c>
      <c r="G5887" s="41">
        <v>7</v>
      </c>
      <c r="H5887" s="41">
        <v>27.503900000000002</v>
      </c>
      <c r="I5887" s="221"/>
      <c r="J5887" s="221"/>
    </row>
    <row r="5888" spans="1:10" s="15" customFormat="1" ht="16.5" hidden="1" customHeight="1" outlineLevel="1" x14ac:dyDescent="0.25">
      <c r="A5888" s="18">
        <v>1441</v>
      </c>
      <c r="B5888" s="4" t="s">
        <v>43</v>
      </c>
      <c r="C5888" s="38" t="s">
        <v>4027</v>
      </c>
      <c r="D5888" s="18">
        <v>2022</v>
      </c>
      <c r="E5888" s="18" t="s">
        <v>0</v>
      </c>
      <c r="F5888" s="4">
        <v>1</v>
      </c>
      <c r="G5888" s="41">
        <v>5</v>
      </c>
      <c r="H5888" s="41">
        <v>18.204190000000001</v>
      </c>
      <c r="I5888" s="221"/>
      <c r="J5888" s="221"/>
    </row>
    <row r="5889" spans="1:10" s="15" customFormat="1" ht="16.5" hidden="1" customHeight="1" outlineLevel="1" x14ac:dyDescent="0.25">
      <c r="A5889" s="18">
        <v>1654</v>
      </c>
      <c r="B5889" s="4" t="s">
        <v>43</v>
      </c>
      <c r="C5889" s="38" t="s">
        <v>4028</v>
      </c>
      <c r="D5889" s="18">
        <v>2022</v>
      </c>
      <c r="E5889" s="18" t="s">
        <v>0</v>
      </c>
      <c r="F5889" s="4">
        <v>1</v>
      </c>
      <c r="G5889" s="41">
        <v>5</v>
      </c>
      <c r="H5889" s="41">
        <v>11.991099999999999</v>
      </c>
      <c r="I5889" s="221"/>
      <c r="J5889" s="221"/>
    </row>
    <row r="5890" spans="1:10" s="15" customFormat="1" ht="16.5" hidden="1" customHeight="1" outlineLevel="1" x14ac:dyDescent="0.25">
      <c r="A5890" s="18">
        <v>1461</v>
      </c>
      <c r="B5890" s="4" t="s">
        <v>43</v>
      </c>
      <c r="C5890" s="38" t="s">
        <v>4029</v>
      </c>
      <c r="D5890" s="18">
        <v>2022</v>
      </c>
      <c r="E5890" s="18" t="s">
        <v>0</v>
      </c>
      <c r="F5890" s="4">
        <v>1</v>
      </c>
      <c r="G5890" s="41">
        <v>5</v>
      </c>
      <c r="H5890" s="41">
        <v>26.817029999999999</v>
      </c>
      <c r="I5890" s="221"/>
      <c r="J5890" s="221"/>
    </row>
    <row r="5891" spans="1:10" s="15" customFormat="1" ht="16.5" hidden="1" customHeight="1" outlineLevel="1" x14ac:dyDescent="0.25">
      <c r="A5891" s="18">
        <v>1421</v>
      </c>
      <c r="B5891" s="4" t="s">
        <v>43</v>
      </c>
      <c r="C5891" s="38" t="s">
        <v>4030</v>
      </c>
      <c r="D5891" s="18">
        <v>2022</v>
      </c>
      <c r="E5891" s="18" t="s">
        <v>0</v>
      </c>
      <c r="F5891" s="4">
        <v>1</v>
      </c>
      <c r="G5891" s="41">
        <v>7</v>
      </c>
      <c r="H5891" s="41">
        <v>26.70431</v>
      </c>
      <c r="I5891" s="221"/>
      <c r="J5891" s="221"/>
    </row>
    <row r="5892" spans="1:10" s="15" customFormat="1" ht="16.5" hidden="1" customHeight="1" outlineLevel="1" x14ac:dyDescent="0.25">
      <c r="A5892" s="18">
        <v>1177</v>
      </c>
      <c r="B5892" s="4" t="s">
        <v>43</v>
      </c>
      <c r="C5892" s="38" t="s">
        <v>4031</v>
      </c>
      <c r="D5892" s="18">
        <v>2022</v>
      </c>
      <c r="E5892" s="18" t="s">
        <v>0</v>
      </c>
      <c r="F5892" s="4">
        <v>1</v>
      </c>
      <c r="G5892" s="41">
        <v>5</v>
      </c>
      <c r="H5892" s="41">
        <v>27.717939999999999</v>
      </c>
      <c r="I5892" s="221"/>
      <c r="J5892" s="221"/>
    </row>
    <row r="5893" spans="1:10" s="15" customFormat="1" ht="16.5" hidden="1" customHeight="1" outlineLevel="1" x14ac:dyDescent="0.25">
      <c r="A5893" s="18">
        <v>1114</v>
      </c>
      <c r="B5893" s="4" t="s">
        <v>43</v>
      </c>
      <c r="C5893" s="38" t="s">
        <v>4032</v>
      </c>
      <c r="D5893" s="18">
        <v>2022</v>
      </c>
      <c r="E5893" s="18" t="s">
        <v>0</v>
      </c>
      <c r="F5893" s="4">
        <v>1</v>
      </c>
      <c r="G5893" s="41">
        <v>5</v>
      </c>
      <c r="H5893" s="41">
        <v>36.252299999999998</v>
      </c>
      <c r="I5893" s="221"/>
      <c r="J5893" s="221"/>
    </row>
    <row r="5894" spans="1:10" s="15" customFormat="1" ht="16.5" hidden="1" customHeight="1" outlineLevel="1" x14ac:dyDescent="0.25">
      <c r="A5894" s="18">
        <v>1564</v>
      </c>
      <c r="B5894" s="4" t="s">
        <v>43</v>
      </c>
      <c r="C5894" s="38" t="s">
        <v>4033</v>
      </c>
      <c r="D5894" s="18">
        <v>2022</v>
      </c>
      <c r="E5894" s="18" t="s">
        <v>0</v>
      </c>
      <c r="F5894" s="4">
        <v>1</v>
      </c>
      <c r="G5894" s="41">
        <v>7</v>
      </c>
      <c r="H5894" s="41">
        <v>19.90889</v>
      </c>
      <c r="I5894" s="221"/>
      <c r="J5894" s="221"/>
    </row>
    <row r="5895" spans="1:10" s="15" customFormat="1" ht="16.5" hidden="1" customHeight="1" outlineLevel="1" x14ac:dyDescent="0.25">
      <c r="A5895" s="18">
        <v>1655</v>
      </c>
      <c r="B5895" s="4" t="s">
        <v>43</v>
      </c>
      <c r="C5895" s="38" t="s">
        <v>4034</v>
      </c>
      <c r="D5895" s="18">
        <v>2022</v>
      </c>
      <c r="E5895" s="18" t="s">
        <v>0</v>
      </c>
      <c r="F5895" s="4">
        <v>1</v>
      </c>
      <c r="G5895" s="41">
        <v>7</v>
      </c>
      <c r="H5895" s="41">
        <v>12.4499</v>
      </c>
      <c r="I5895" s="221"/>
      <c r="J5895" s="221"/>
    </row>
    <row r="5896" spans="1:10" s="15" customFormat="1" ht="16.5" hidden="1" customHeight="1" outlineLevel="1" x14ac:dyDescent="0.25">
      <c r="A5896" s="18">
        <v>1552</v>
      </c>
      <c r="B5896" s="4" t="s">
        <v>43</v>
      </c>
      <c r="C5896" s="38" t="s">
        <v>4035</v>
      </c>
      <c r="D5896" s="18">
        <v>2022</v>
      </c>
      <c r="E5896" s="18" t="s">
        <v>0</v>
      </c>
      <c r="F5896" s="4">
        <v>1</v>
      </c>
      <c r="G5896" s="41">
        <v>7</v>
      </c>
      <c r="H5896" s="41">
        <v>19.74682</v>
      </c>
      <c r="I5896" s="221"/>
      <c r="J5896" s="221"/>
    </row>
    <row r="5897" spans="1:10" s="15" customFormat="1" ht="16.5" hidden="1" customHeight="1" outlineLevel="1" x14ac:dyDescent="0.25">
      <c r="A5897" s="18">
        <v>1650</v>
      </c>
      <c r="B5897" s="4" t="s">
        <v>43</v>
      </c>
      <c r="C5897" s="38" t="s">
        <v>4036</v>
      </c>
      <c r="D5897" s="18">
        <v>2022</v>
      </c>
      <c r="E5897" s="18" t="s">
        <v>0</v>
      </c>
      <c r="F5897" s="4">
        <v>1</v>
      </c>
      <c r="G5897" s="41">
        <v>5</v>
      </c>
      <c r="H5897" s="41">
        <v>11.842610000000001</v>
      </c>
      <c r="I5897" s="221"/>
      <c r="J5897" s="221"/>
    </row>
    <row r="5898" spans="1:10" s="15" customFormat="1" ht="16.5" hidden="1" customHeight="1" outlineLevel="1" x14ac:dyDescent="0.25">
      <c r="A5898" s="18">
        <v>1628</v>
      </c>
      <c r="B5898" s="4" t="s">
        <v>43</v>
      </c>
      <c r="C5898" s="38" t="s">
        <v>4037</v>
      </c>
      <c r="D5898" s="18">
        <v>2022</v>
      </c>
      <c r="E5898" s="18" t="s">
        <v>0</v>
      </c>
      <c r="F5898" s="4">
        <v>1</v>
      </c>
      <c r="G5898" s="41">
        <v>5</v>
      </c>
      <c r="H5898" s="41">
        <v>12.87139</v>
      </c>
      <c r="I5898" s="221"/>
      <c r="J5898" s="221"/>
    </row>
    <row r="5899" spans="1:10" s="15" customFormat="1" ht="16.5" hidden="1" customHeight="1" outlineLevel="1" x14ac:dyDescent="0.25">
      <c r="A5899" s="18">
        <v>1155</v>
      </c>
      <c r="B5899" s="4" t="s">
        <v>43</v>
      </c>
      <c r="C5899" s="38" t="s">
        <v>4038</v>
      </c>
      <c r="D5899" s="18">
        <v>2022</v>
      </c>
      <c r="E5899" s="18" t="s">
        <v>0</v>
      </c>
      <c r="F5899" s="4">
        <v>1</v>
      </c>
      <c r="G5899" s="41">
        <v>5</v>
      </c>
      <c r="H5899" s="41">
        <v>18.12135</v>
      </c>
      <c r="I5899" s="221"/>
      <c r="J5899" s="221"/>
    </row>
    <row r="5900" spans="1:10" s="15" customFormat="1" ht="16.5" hidden="1" customHeight="1" outlineLevel="1" x14ac:dyDescent="0.25">
      <c r="A5900" s="18">
        <v>1676</v>
      </c>
      <c r="B5900" s="4" t="s">
        <v>43</v>
      </c>
      <c r="C5900" s="38" t="s">
        <v>4039</v>
      </c>
      <c r="D5900" s="18">
        <v>2022</v>
      </c>
      <c r="E5900" s="18" t="s">
        <v>0</v>
      </c>
      <c r="F5900" s="4">
        <v>1</v>
      </c>
      <c r="G5900" s="41">
        <v>5</v>
      </c>
      <c r="H5900" s="41">
        <v>12.355639999999999</v>
      </c>
      <c r="I5900" s="221"/>
      <c r="J5900" s="221"/>
    </row>
    <row r="5901" spans="1:10" s="15" customFormat="1" ht="16.5" hidden="1" customHeight="1" outlineLevel="1" x14ac:dyDescent="0.25">
      <c r="A5901" s="18">
        <v>1287</v>
      </c>
      <c r="B5901" s="4" t="s">
        <v>43</v>
      </c>
      <c r="C5901" s="38" t="s">
        <v>4040</v>
      </c>
      <c r="D5901" s="18">
        <v>2022</v>
      </c>
      <c r="E5901" s="18" t="s">
        <v>0</v>
      </c>
      <c r="F5901" s="4">
        <v>1</v>
      </c>
      <c r="G5901" s="41">
        <v>30</v>
      </c>
      <c r="H5901" s="41">
        <v>27.723120000000002</v>
      </c>
      <c r="I5901" s="221"/>
      <c r="J5901" s="221"/>
    </row>
    <row r="5902" spans="1:10" s="15" customFormat="1" ht="16.5" hidden="1" customHeight="1" outlineLevel="1" x14ac:dyDescent="0.25">
      <c r="A5902" s="18">
        <v>1669</v>
      </c>
      <c r="B5902" s="4" t="s">
        <v>43</v>
      </c>
      <c r="C5902" s="38" t="s">
        <v>4041</v>
      </c>
      <c r="D5902" s="18">
        <v>2022</v>
      </c>
      <c r="E5902" s="18" t="s">
        <v>0</v>
      </c>
      <c r="F5902" s="4">
        <v>1</v>
      </c>
      <c r="G5902" s="41">
        <v>7</v>
      </c>
      <c r="H5902" s="41">
        <v>13.563739999999999</v>
      </c>
      <c r="I5902" s="221"/>
      <c r="J5902" s="221"/>
    </row>
    <row r="5903" spans="1:10" s="15" customFormat="1" ht="16.5" hidden="1" customHeight="1" outlineLevel="1" x14ac:dyDescent="0.25">
      <c r="A5903" s="18">
        <v>1605</v>
      </c>
      <c r="B5903" s="4" t="s">
        <v>43</v>
      </c>
      <c r="C5903" s="38" t="s">
        <v>4042</v>
      </c>
      <c r="D5903" s="18">
        <v>2022</v>
      </c>
      <c r="E5903" s="18" t="s">
        <v>0</v>
      </c>
      <c r="F5903" s="4">
        <v>1</v>
      </c>
      <c r="G5903" s="41">
        <v>5</v>
      </c>
      <c r="H5903" s="41">
        <v>13.501469999999999</v>
      </c>
      <c r="I5903" s="221"/>
      <c r="J5903" s="221"/>
    </row>
    <row r="5904" spans="1:10" s="15" customFormat="1" ht="16.5" hidden="1" customHeight="1" outlineLevel="1" x14ac:dyDescent="0.25">
      <c r="A5904" s="18">
        <v>1631</v>
      </c>
      <c r="B5904" s="4" t="s">
        <v>43</v>
      </c>
      <c r="C5904" s="38" t="s">
        <v>4043</v>
      </c>
      <c r="D5904" s="18">
        <v>2022</v>
      </c>
      <c r="E5904" s="18" t="s">
        <v>0</v>
      </c>
      <c r="F5904" s="4">
        <v>1</v>
      </c>
      <c r="G5904" s="41">
        <v>11</v>
      </c>
      <c r="H5904" s="41">
        <v>12.289580000000001</v>
      </c>
      <c r="I5904" s="221"/>
      <c r="J5904" s="221"/>
    </row>
    <row r="5905" spans="1:10" s="15" customFormat="1" ht="16.5" hidden="1" customHeight="1" outlineLevel="1" x14ac:dyDescent="0.25">
      <c r="A5905" s="18">
        <v>1674</v>
      </c>
      <c r="B5905" s="4" t="s">
        <v>43</v>
      </c>
      <c r="C5905" s="38" t="s">
        <v>4044</v>
      </c>
      <c r="D5905" s="18">
        <v>2022</v>
      </c>
      <c r="E5905" s="18" t="s">
        <v>0</v>
      </c>
      <c r="F5905" s="4">
        <v>1</v>
      </c>
      <c r="G5905" s="117">
        <v>0.22</v>
      </c>
      <c r="H5905" s="41">
        <v>13.65502</v>
      </c>
      <c r="I5905" s="221"/>
      <c r="J5905" s="221"/>
    </row>
    <row r="5906" spans="1:10" s="15" customFormat="1" ht="16.5" hidden="1" customHeight="1" outlineLevel="1" x14ac:dyDescent="0.25">
      <c r="A5906" s="18">
        <v>1680</v>
      </c>
      <c r="B5906" s="4" t="s">
        <v>43</v>
      </c>
      <c r="C5906" s="38" t="s">
        <v>4045</v>
      </c>
      <c r="D5906" s="18">
        <v>2022</v>
      </c>
      <c r="E5906" s="18" t="s">
        <v>0</v>
      </c>
      <c r="F5906" s="4">
        <v>1</v>
      </c>
      <c r="G5906" s="117">
        <v>0.45</v>
      </c>
      <c r="H5906" s="41">
        <v>12.526070000000001</v>
      </c>
      <c r="I5906" s="221"/>
      <c r="J5906" s="221"/>
    </row>
    <row r="5907" spans="1:10" s="15" customFormat="1" ht="16.5" hidden="1" customHeight="1" outlineLevel="1" x14ac:dyDescent="0.25">
      <c r="A5907" s="18">
        <v>1692</v>
      </c>
      <c r="B5907" s="4" t="s">
        <v>43</v>
      </c>
      <c r="C5907" s="38" t="s">
        <v>4046</v>
      </c>
      <c r="D5907" s="18">
        <v>2022</v>
      </c>
      <c r="E5907" s="18" t="s">
        <v>0</v>
      </c>
      <c r="F5907" s="4">
        <v>1</v>
      </c>
      <c r="G5907" s="41">
        <v>6</v>
      </c>
      <c r="H5907" s="41">
        <v>12.253299999999999</v>
      </c>
      <c r="I5907" s="221"/>
      <c r="J5907" s="221"/>
    </row>
    <row r="5908" spans="1:10" s="15" customFormat="1" ht="16.5" hidden="1" customHeight="1" outlineLevel="1" x14ac:dyDescent="0.25">
      <c r="A5908" s="18">
        <v>1687</v>
      </c>
      <c r="B5908" s="4" t="s">
        <v>43</v>
      </c>
      <c r="C5908" s="38" t="s">
        <v>4047</v>
      </c>
      <c r="D5908" s="18">
        <v>2022</v>
      </c>
      <c r="E5908" s="18" t="s">
        <v>0</v>
      </c>
      <c r="F5908" s="4">
        <v>1</v>
      </c>
      <c r="G5908" s="41">
        <v>6</v>
      </c>
      <c r="H5908" s="41">
        <v>12.11218</v>
      </c>
      <c r="I5908" s="221"/>
      <c r="J5908" s="221"/>
    </row>
    <row r="5909" spans="1:10" s="15" customFormat="1" ht="16.5" hidden="1" customHeight="1" outlineLevel="1" x14ac:dyDescent="0.25">
      <c r="A5909" s="18">
        <v>1686</v>
      </c>
      <c r="B5909" s="4" t="s">
        <v>43</v>
      </c>
      <c r="C5909" s="38" t="s">
        <v>4048</v>
      </c>
      <c r="D5909" s="18">
        <v>2022</v>
      </c>
      <c r="E5909" s="18" t="s">
        <v>0</v>
      </c>
      <c r="F5909" s="4">
        <v>1</v>
      </c>
      <c r="G5909" s="41">
        <v>6</v>
      </c>
      <c r="H5909" s="41">
        <v>12.04791</v>
      </c>
      <c r="I5909" s="221"/>
      <c r="J5909" s="221"/>
    </row>
    <row r="5910" spans="1:10" s="15" customFormat="1" ht="16.5" hidden="1" customHeight="1" outlineLevel="1" x14ac:dyDescent="0.25">
      <c r="A5910" s="18">
        <v>1684</v>
      </c>
      <c r="B5910" s="4" t="s">
        <v>43</v>
      </c>
      <c r="C5910" s="38" t="s">
        <v>4049</v>
      </c>
      <c r="D5910" s="18">
        <v>2022</v>
      </c>
      <c r="E5910" s="18" t="s">
        <v>0</v>
      </c>
      <c r="F5910" s="4">
        <v>1</v>
      </c>
      <c r="G5910" s="41">
        <v>6</v>
      </c>
      <c r="H5910" s="41">
        <v>12.083119999999999</v>
      </c>
      <c r="I5910" s="221"/>
      <c r="J5910" s="221"/>
    </row>
    <row r="5911" spans="1:10" s="15" customFormat="1" ht="16.5" hidden="1" customHeight="1" outlineLevel="1" x14ac:dyDescent="0.25">
      <c r="A5911" s="18">
        <v>1685</v>
      </c>
      <c r="B5911" s="4" t="s">
        <v>43</v>
      </c>
      <c r="C5911" s="38" t="s">
        <v>4050</v>
      </c>
      <c r="D5911" s="18">
        <v>2022</v>
      </c>
      <c r="E5911" s="18" t="s">
        <v>0</v>
      </c>
      <c r="F5911" s="4">
        <v>1</v>
      </c>
      <c r="G5911" s="41">
        <v>6</v>
      </c>
      <c r="H5911" s="41">
        <v>12.078950000000001</v>
      </c>
      <c r="I5911" s="221"/>
      <c r="J5911" s="221"/>
    </row>
    <row r="5912" spans="1:10" s="15" customFormat="1" ht="16.5" hidden="1" customHeight="1" outlineLevel="1" x14ac:dyDescent="0.25">
      <c r="A5912" s="18">
        <v>1587</v>
      </c>
      <c r="B5912" s="4" t="s">
        <v>43</v>
      </c>
      <c r="C5912" s="38" t="s">
        <v>4051</v>
      </c>
      <c r="D5912" s="18">
        <v>2022</v>
      </c>
      <c r="E5912" s="18" t="s">
        <v>0</v>
      </c>
      <c r="F5912" s="4">
        <v>1</v>
      </c>
      <c r="G5912" s="41">
        <v>4.75</v>
      </c>
      <c r="H5912" s="41">
        <v>16.910769999999999</v>
      </c>
      <c r="I5912" s="221"/>
      <c r="J5912" s="221"/>
    </row>
    <row r="5913" spans="1:10" s="15" customFormat="1" ht="16.5" hidden="1" customHeight="1" outlineLevel="1" x14ac:dyDescent="0.25">
      <c r="A5913" s="18">
        <v>1710</v>
      </c>
      <c r="B5913" s="4" t="s">
        <v>43</v>
      </c>
      <c r="C5913" s="38" t="s">
        <v>4052</v>
      </c>
      <c r="D5913" s="18">
        <v>2022</v>
      </c>
      <c r="E5913" s="18" t="s">
        <v>0</v>
      </c>
      <c r="F5913" s="4">
        <v>1</v>
      </c>
      <c r="G5913" s="41">
        <v>6</v>
      </c>
      <c r="H5913" s="41">
        <v>11.760759999999999</v>
      </c>
      <c r="I5913" s="221"/>
      <c r="J5913" s="221"/>
    </row>
    <row r="5914" spans="1:10" s="15" customFormat="1" ht="16.5" hidden="1" customHeight="1" outlineLevel="1" x14ac:dyDescent="0.25">
      <c r="A5914" s="18">
        <v>1649</v>
      </c>
      <c r="B5914" s="4" t="s">
        <v>43</v>
      </c>
      <c r="C5914" s="38" t="s">
        <v>4053</v>
      </c>
      <c r="D5914" s="18">
        <v>2022</v>
      </c>
      <c r="E5914" s="18" t="s">
        <v>0</v>
      </c>
      <c r="F5914" s="4">
        <v>1</v>
      </c>
      <c r="G5914" s="41">
        <v>5</v>
      </c>
      <c r="H5914" s="41">
        <v>19.643439999999998</v>
      </c>
      <c r="I5914" s="221"/>
      <c r="J5914" s="221"/>
    </row>
    <row r="5915" spans="1:10" s="15" customFormat="1" ht="16.5" hidden="1" customHeight="1" outlineLevel="1" x14ac:dyDescent="0.25">
      <c r="A5915" s="18">
        <v>1601</v>
      </c>
      <c r="B5915" s="4" t="s">
        <v>43</v>
      </c>
      <c r="C5915" s="38" t="s">
        <v>4054</v>
      </c>
      <c r="D5915" s="18">
        <v>2022</v>
      </c>
      <c r="E5915" s="18" t="s">
        <v>0</v>
      </c>
      <c r="F5915" s="4">
        <v>1</v>
      </c>
      <c r="G5915" s="41">
        <v>10</v>
      </c>
      <c r="H5915" s="41">
        <v>14.57812</v>
      </c>
      <c r="I5915" s="221"/>
      <c r="J5915" s="221"/>
    </row>
    <row r="5916" spans="1:10" s="15" customFormat="1" ht="16.5" hidden="1" customHeight="1" outlineLevel="1" x14ac:dyDescent="0.25">
      <c r="A5916" s="18">
        <v>1701</v>
      </c>
      <c r="B5916" s="4" t="s">
        <v>43</v>
      </c>
      <c r="C5916" s="38" t="s">
        <v>4055</v>
      </c>
      <c r="D5916" s="18">
        <v>2022</v>
      </c>
      <c r="E5916" s="18" t="s">
        <v>0</v>
      </c>
      <c r="F5916" s="4">
        <v>1</v>
      </c>
      <c r="G5916" s="41">
        <v>7</v>
      </c>
      <c r="H5916" s="41">
        <v>12.82981</v>
      </c>
      <c r="I5916" s="221"/>
      <c r="J5916" s="221"/>
    </row>
    <row r="5917" spans="1:10" s="15" customFormat="1" ht="16.5" hidden="1" customHeight="1" outlineLevel="1" x14ac:dyDescent="0.25">
      <c r="A5917" s="18">
        <v>1706</v>
      </c>
      <c r="B5917" s="4" t="s">
        <v>43</v>
      </c>
      <c r="C5917" s="38" t="s">
        <v>4056</v>
      </c>
      <c r="D5917" s="18">
        <v>2022</v>
      </c>
      <c r="E5917" s="18" t="s">
        <v>0</v>
      </c>
      <c r="F5917" s="4">
        <v>1</v>
      </c>
      <c r="G5917" s="41">
        <v>7</v>
      </c>
      <c r="H5917" s="41">
        <v>12.19839</v>
      </c>
      <c r="I5917" s="221"/>
      <c r="J5917" s="221"/>
    </row>
    <row r="5918" spans="1:10" s="15" customFormat="1" ht="16.5" hidden="1" customHeight="1" outlineLevel="1" x14ac:dyDescent="0.25">
      <c r="A5918" s="18">
        <v>1653</v>
      </c>
      <c r="B5918" s="4" t="s">
        <v>43</v>
      </c>
      <c r="C5918" s="38" t="s">
        <v>4057</v>
      </c>
      <c r="D5918" s="18">
        <v>2022</v>
      </c>
      <c r="E5918" s="18" t="s">
        <v>0</v>
      </c>
      <c r="F5918" s="4">
        <v>1</v>
      </c>
      <c r="G5918" s="41">
        <v>6</v>
      </c>
      <c r="H5918" s="41">
        <v>22.468160000000001</v>
      </c>
      <c r="I5918" s="221"/>
      <c r="J5918" s="221"/>
    </row>
    <row r="5919" spans="1:10" s="15" customFormat="1" ht="16.5" hidden="1" customHeight="1" outlineLevel="1" x14ac:dyDescent="0.25">
      <c r="A5919" s="18">
        <v>1712</v>
      </c>
      <c r="B5919" s="4" t="s">
        <v>43</v>
      </c>
      <c r="C5919" s="38" t="s">
        <v>4058</v>
      </c>
      <c r="D5919" s="18">
        <v>2022</v>
      </c>
      <c r="E5919" s="18" t="s">
        <v>0</v>
      </c>
      <c r="F5919" s="4">
        <v>1</v>
      </c>
      <c r="G5919" s="41">
        <v>10</v>
      </c>
      <c r="H5919" s="41">
        <v>11.1332</v>
      </c>
      <c r="I5919" s="221"/>
      <c r="J5919" s="221"/>
    </row>
    <row r="5920" spans="1:10" s="15" customFormat="1" ht="16.5" hidden="1" customHeight="1" outlineLevel="1" x14ac:dyDescent="0.25">
      <c r="A5920" s="18">
        <v>1704</v>
      </c>
      <c r="B5920" s="4" t="s">
        <v>43</v>
      </c>
      <c r="C5920" s="38" t="s">
        <v>4059</v>
      </c>
      <c r="D5920" s="18">
        <v>2022</v>
      </c>
      <c r="E5920" s="18" t="s">
        <v>0</v>
      </c>
      <c r="F5920" s="4">
        <v>1</v>
      </c>
      <c r="G5920" s="41">
        <v>5</v>
      </c>
      <c r="H5920" s="41">
        <v>12.22125</v>
      </c>
      <c r="I5920" s="221"/>
      <c r="J5920" s="221"/>
    </row>
    <row r="5921" spans="1:10" s="15" customFormat="1" ht="16.5" hidden="1" customHeight="1" outlineLevel="1" x14ac:dyDescent="0.25">
      <c r="A5921" s="18">
        <v>1711</v>
      </c>
      <c r="B5921" s="4" t="s">
        <v>43</v>
      </c>
      <c r="C5921" s="38" t="s">
        <v>4060</v>
      </c>
      <c r="D5921" s="18">
        <v>2022</v>
      </c>
      <c r="E5921" s="18" t="s">
        <v>0</v>
      </c>
      <c r="F5921" s="4">
        <v>1</v>
      </c>
      <c r="G5921" s="41">
        <v>5</v>
      </c>
      <c r="H5921" s="41">
        <v>12.312620000000001</v>
      </c>
      <c r="I5921" s="221"/>
      <c r="J5921" s="221"/>
    </row>
    <row r="5922" spans="1:10" s="15" customFormat="1" ht="16.5" hidden="1" customHeight="1" outlineLevel="1" x14ac:dyDescent="0.25">
      <c r="A5922" s="18">
        <v>1109</v>
      </c>
      <c r="B5922" s="4" t="s">
        <v>43</v>
      </c>
      <c r="C5922" s="38" t="s">
        <v>2285</v>
      </c>
      <c r="D5922" s="18">
        <v>2022</v>
      </c>
      <c r="E5922" s="18" t="s">
        <v>0</v>
      </c>
      <c r="F5922" s="4">
        <v>1</v>
      </c>
      <c r="G5922" s="41">
        <v>5</v>
      </c>
      <c r="H5922" s="41">
        <v>56.587389999999999</v>
      </c>
      <c r="I5922" s="221"/>
      <c r="J5922" s="221"/>
    </row>
    <row r="5923" spans="1:10" s="15" customFormat="1" ht="16.5" hidden="1" customHeight="1" outlineLevel="1" x14ac:dyDescent="0.25">
      <c r="A5923" s="18">
        <v>1573</v>
      </c>
      <c r="B5923" s="4" t="s">
        <v>43</v>
      </c>
      <c r="C5923" s="38" t="s">
        <v>4061</v>
      </c>
      <c r="D5923" s="18">
        <v>2022</v>
      </c>
      <c r="E5923" s="18" t="s">
        <v>0</v>
      </c>
      <c r="F5923" s="4">
        <v>1</v>
      </c>
      <c r="G5923" s="41">
        <v>7</v>
      </c>
      <c r="H5923" s="41">
        <v>29.007729999999999</v>
      </c>
      <c r="I5923" s="221"/>
      <c r="J5923" s="221"/>
    </row>
    <row r="5924" spans="1:10" s="15" customFormat="1" ht="16.5" hidden="1" customHeight="1" outlineLevel="1" x14ac:dyDescent="0.25">
      <c r="A5924" s="18">
        <v>1458</v>
      </c>
      <c r="B5924" s="4" t="s">
        <v>43</v>
      </c>
      <c r="C5924" s="38" t="s">
        <v>4062</v>
      </c>
      <c r="D5924" s="18">
        <v>2022</v>
      </c>
      <c r="E5924" s="18" t="s">
        <v>0</v>
      </c>
      <c r="F5924" s="4">
        <v>1</v>
      </c>
      <c r="G5924" s="41">
        <v>5</v>
      </c>
      <c r="H5924" s="41">
        <v>27.802820000000001</v>
      </c>
      <c r="I5924" s="221"/>
      <c r="J5924" s="221"/>
    </row>
    <row r="5925" spans="1:10" s="15" customFormat="1" ht="16.5" hidden="1" customHeight="1" outlineLevel="1" x14ac:dyDescent="0.25">
      <c r="A5925" s="18">
        <v>1749</v>
      </c>
      <c r="B5925" s="4" t="s">
        <v>43</v>
      </c>
      <c r="C5925" s="38" t="s">
        <v>4063</v>
      </c>
      <c r="D5925" s="18">
        <v>2022</v>
      </c>
      <c r="E5925" s="18" t="s">
        <v>0</v>
      </c>
      <c r="F5925" s="4">
        <v>1</v>
      </c>
      <c r="G5925" s="41">
        <v>5</v>
      </c>
      <c r="H5925" s="41">
        <v>20.98856</v>
      </c>
      <c r="I5925" s="221"/>
      <c r="J5925" s="221"/>
    </row>
    <row r="5926" spans="1:10" s="15" customFormat="1" ht="16.5" hidden="1" customHeight="1" outlineLevel="1" x14ac:dyDescent="0.25">
      <c r="A5926" s="18">
        <v>1750</v>
      </c>
      <c r="B5926" s="4" t="s">
        <v>43</v>
      </c>
      <c r="C5926" s="38" t="s">
        <v>4064</v>
      </c>
      <c r="D5926" s="18">
        <v>2022</v>
      </c>
      <c r="E5926" s="18" t="s">
        <v>0</v>
      </c>
      <c r="F5926" s="4">
        <v>1</v>
      </c>
      <c r="G5926" s="41">
        <v>5</v>
      </c>
      <c r="H5926" s="41">
        <v>20.98856</v>
      </c>
      <c r="I5926" s="221"/>
      <c r="J5926" s="221"/>
    </row>
    <row r="5927" spans="1:10" s="15" customFormat="1" ht="16.5" hidden="1" customHeight="1" outlineLevel="1" x14ac:dyDescent="0.25">
      <c r="A5927" s="18">
        <v>1698</v>
      </c>
      <c r="B5927" s="4" t="s">
        <v>43</v>
      </c>
      <c r="C5927" s="38" t="s">
        <v>4065</v>
      </c>
      <c r="D5927" s="18">
        <v>2022</v>
      </c>
      <c r="E5927" s="18" t="s">
        <v>0</v>
      </c>
      <c r="F5927" s="4">
        <v>1</v>
      </c>
      <c r="G5927" s="41">
        <v>5</v>
      </c>
      <c r="H5927" s="41">
        <v>12.25573</v>
      </c>
      <c r="I5927" s="221"/>
      <c r="J5927" s="221"/>
    </row>
    <row r="5928" spans="1:10" s="15" customFormat="1" ht="16.5" hidden="1" customHeight="1" outlineLevel="1" x14ac:dyDescent="0.25">
      <c r="A5928" s="18">
        <v>1728</v>
      </c>
      <c r="B5928" s="4" t="s">
        <v>43</v>
      </c>
      <c r="C5928" s="38" t="s">
        <v>4066</v>
      </c>
      <c r="D5928" s="18">
        <v>2022</v>
      </c>
      <c r="E5928" s="18" t="s">
        <v>0</v>
      </c>
      <c r="F5928" s="4">
        <v>1</v>
      </c>
      <c r="G5928" s="41">
        <v>5</v>
      </c>
      <c r="H5928" s="41">
        <v>13.95219</v>
      </c>
      <c r="I5928" s="221"/>
      <c r="J5928" s="221"/>
    </row>
    <row r="5929" spans="1:10" s="15" customFormat="1" ht="16.5" hidden="1" customHeight="1" outlineLevel="1" x14ac:dyDescent="0.25">
      <c r="A5929" s="18">
        <v>1604</v>
      </c>
      <c r="B5929" s="4" t="s">
        <v>43</v>
      </c>
      <c r="C5929" s="38" t="s">
        <v>4067</v>
      </c>
      <c r="D5929" s="18">
        <v>2022</v>
      </c>
      <c r="E5929" s="18" t="s">
        <v>0</v>
      </c>
      <c r="F5929" s="4">
        <v>1</v>
      </c>
      <c r="G5929" s="41">
        <v>15</v>
      </c>
      <c r="H5929" s="41">
        <v>14.57498</v>
      </c>
      <c r="I5929" s="221"/>
      <c r="J5929" s="221"/>
    </row>
    <row r="5930" spans="1:10" s="15" customFormat="1" ht="16.5" hidden="1" customHeight="1" outlineLevel="1" x14ac:dyDescent="0.25">
      <c r="A5930" s="18">
        <v>1632</v>
      </c>
      <c r="B5930" s="4" t="s">
        <v>43</v>
      </c>
      <c r="C5930" s="38" t="s">
        <v>4068</v>
      </c>
      <c r="D5930" s="18">
        <v>2022</v>
      </c>
      <c r="E5930" s="18" t="s">
        <v>0</v>
      </c>
      <c r="F5930" s="4">
        <v>1</v>
      </c>
      <c r="G5930" s="41">
        <v>15</v>
      </c>
      <c r="H5930" s="41">
        <v>12.797840000000001</v>
      </c>
      <c r="I5930" s="221"/>
      <c r="J5930" s="221"/>
    </row>
    <row r="5931" spans="1:10" s="15" customFormat="1" ht="16.5" hidden="1" customHeight="1" outlineLevel="1" x14ac:dyDescent="0.25">
      <c r="A5931" s="18">
        <v>1231</v>
      </c>
      <c r="B5931" s="4" t="s">
        <v>43</v>
      </c>
      <c r="C5931" s="38" t="s">
        <v>2308</v>
      </c>
      <c r="D5931" s="18">
        <v>2022</v>
      </c>
      <c r="E5931" s="18" t="s">
        <v>0</v>
      </c>
      <c r="F5931" s="4">
        <v>1</v>
      </c>
      <c r="G5931" s="41">
        <v>6</v>
      </c>
      <c r="H5931" s="41">
        <v>47.936669999999999</v>
      </c>
      <c r="I5931" s="221"/>
      <c r="J5931" s="221"/>
    </row>
    <row r="5932" spans="1:10" s="15" customFormat="1" ht="16.5" hidden="1" customHeight="1" outlineLevel="1" x14ac:dyDescent="0.25">
      <c r="A5932" s="18">
        <v>1384</v>
      </c>
      <c r="B5932" s="4" t="s">
        <v>43</v>
      </c>
      <c r="C5932" s="38" t="s">
        <v>2319</v>
      </c>
      <c r="D5932" s="18">
        <v>2022</v>
      </c>
      <c r="E5932" s="18" t="s">
        <v>0</v>
      </c>
      <c r="F5932" s="4">
        <v>1</v>
      </c>
      <c r="G5932" s="41">
        <v>15</v>
      </c>
      <c r="H5932" s="41">
        <v>30.091100000000001</v>
      </c>
      <c r="I5932" s="221"/>
      <c r="J5932" s="221"/>
    </row>
    <row r="5933" spans="1:10" s="15" customFormat="1" ht="16.5" hidden="1" customHeight="1" outlineLevel="1" x14ac:dyDescent="0.25">
      <c r="A5933" s="18">
        <v>1708</v>
      </c>
      <c r="B5933" s="4" t="s">
        <v>43</v>
      </c>
      <c r="C5933" s="38" t="s">
        <v>4069</v>
      </c>
      <c r="D5933" s="18">
        <v>2022</v>
      </c>
      <c r="E5933" s="18" t="s">
        <v>0</v>
      </c>
      <c r="F5933" s="4">
        <v>1</v>
      </c>
      <c r="G5933" s="41">
        <v>15</v>
      </c>
      <c r="H5933" s="41">
        <v>12.4064</v>
      </c>
      <c r="I5933" s="221"/>
      <c r="J5933" s="221"/>
    </row>
    <row r="5934" spans="1:10" s="15" customFormat="1" ht="16.5" hidden="1" customHeight="1" outlineLevel="1" x14ac:dyDescent="0.25">
      <c r="A5934" s="18">
        <v>1792</v>
      </c>
      <c r="B5934" s="4" t="s">
        <v>43</v>
      </c>
      <c r="C5934" s="38" t="s">
        <v>4070</v>
      </c>
      <c r="D5934" s="18">
        <v>2022</v>
      </c>
      <c r="E5934" s="18" t="s">
        <v>0</v>
      </c>
      <c r="F5934" s="4">
        <v>1</v>
      </c>
      <c r="G5934" s="41">
        <v>7</v>
      </c>
      <c r="H5934" s="41">
        <v>11.66006</v>
      </c>
      <c r="I5934" s="221"/>
      <c r="J5934" s="221"/>
    </row>
    <row r="5935" spans="1:10" s="15" customFormat="1" ht="16.5" hidden="1" customHeight="1" outlineLevel="1" x14ac:dyDescent="0.25">
      <c r="A5935" s="18">
        <v>1785</v>
      </c>
      <c r="B5935" s="4" t="s">
        <v>43</v>
      </c>
      <c r="C5935" s="38" t="s">
        <v>4071</v>
      </c>
      <c r="D5935" s="18">
        <v>2022</v>
      </c>
      <c r="E5935" s="18" t="s">
        <v>0</v>
      </c>
      <c r="F5935" s="4">
        <v>1</v>
      </c>
      <c r="G5935" s="41">
        <v>5</v>
      </c>
      <c r="H5935" s="41">
        <v>11.765639999999999</v>
      </c>
      <c r="I5935" s="221"/>
      <c r="J5935" s="221"/>
    </row>
    <row r="5936" spans="1:10" s="15" customFormat="1" ht="16.5" hidden="1" customHeight="1" outlineLevel="1" x14ac:dyDescent="0.25">
      <c r="A5936" s="18">
        <v>1788</v>
      </c>
      <c r="B5936" s="4" t="s">
        <v>43</v>
      </c>
      <c r="C5936" s="38" t="s">
        <v>4072</v>
      </c>
      <c r="D5936" s="18">
        <v>2022</v>
      </c>
      <c r="E5936" s="18" t="s">
        <v>0</v>
      </c>
      <c r="F5936" s="4">
        <v>1</v>
      </c>
      <c r="G5936" s="41">
        <v>7</v>
      </c>
      <c r="H5936" s="41">
        <v>11.734769999999999</v>
      </c>
      <c r="I5936" s="221"/>
      <c r="J5936" s="221"/>
    </row>
    <row r="5937" spans="1:10" s="15" customFormat="1" ht="16.5" hidden="1" customHeight="1" outlineLevel="1" x14ac:dyDescent="0.25">
      <c r="A5937" s="18">
        <v>1779</v>
      </c>
      <c r="B5937" s="4" t="s">
        <v>43</v>
      </c>
      <c r="C5937" s="38" t="s">
        <v>4073</v>
      </c>
      <c r="D5937" s="18">
        <v>2022</v>
      </c>
      <c r="E5937" s="18" t="s">
        <v>0</v>
      </c>
      <c r="F5937" s="4">
        <v>1</v>
      </c>
      <c r="G5937" s="41">
        <v>15</v>
      </c>
      <c r="H5937" s="41">
        <v>11.88923</v>
      </c>
      <c r="I5937" s="221"/>
      <c r="J5937" s="221"/>
    </row>
    <row r="5938" spans="1:10" s="15" customFormat="1" ht="16.5" hidden="1" customHeight="1" outlineLevel="1" x14ac:dyDescent="0.25">
      <c r="A5938" s="18">
        <v>1265</v>
      </c>
      <c r="B5938" s="4" t="s">
        <v>43</v>
      </c>
      <c r="C5938" s="38" t="s">
        <v>2327</v>
      </c>
      <c r="D5938" s="18">
        <v>2022</v>
      </c>
      <c r="E5938" s="18" t="s">
        <v>0</v>
      </c>
      <c r="F5938" s="4">
        <v>1</v>
      </c>
      <c r="G5938" s="41">
        <v>5</v>
      </c>
      <c r="H5938" s="41">
        <v>54.862850000000002</v>
      </c>
      <c r="I5938" s="221"/>
      <c r="J5938" s="221"/>
    </row>
    <row r="5939" spans="1:10" s="15" customFormat="1" ht="16.5" hidden="1" customHeight="1" outlineLevel="1" x14ac:dyDescent="0.25">
      <c r="A5939" s="18">
        <v>1197</v>
      </c>
      <c r="B5939" s="4" t="s">
        <v>43</v>
      </c>
      <c r="C5939" s="38" t="s">
        <v>2332</v>
      </c>
      <c r="D5939" s="18">
        <v>2022</v>
      </c>
      <c r="E5939" s="18" t="s">
        <v>0</v>
      </c>
      <c r="F5939" s="4">
        <v>1</v>
      </c>
      <c r="G5939" s="41">
        <v>5</v>
      </c>
      <c r="H5939" s="41">
        <v>25.975259999999999</v>
      </c>
      <c r="I5939" s="221"/>
      <c r="J5939" s="221"/>
    </row>
    <row r="5940" spans="1:10" s="15" customFormat="1" ht="16.5" hidden="1" customHeight="1" outlineLevel="1" x14ac:dyDescent="0.25">
      <c r="A5940" s="18">
        <v>1288</v>
      </c>
      <c r="B5940" s="4" t="s">
        <v>43</v>
      </c>
      <c r="C5940" s="38" t="s">
        <v>2335</v>
      </c>
      <c r="D5940" s="18">
        <v>2022</v>
      </c>
      <c r="E5940" s="18" t="s">
        <v>0</v>
      </c>
      <c r="F5940" s="4">
        <v>1</v>
      </c>
      <c r="G5940" s="41">
        <v>5</v>
      </c>
      <c r="H5940" s="41">
        <v>57.121980000000001</v>
      </c>
      <c r="I5940" s="221"/>
      <c r="J5940" s="221"/>
    </row>
    <row r="5941" spans="1:10" s="15" customFormat="1" ht="16.5" hidden="1" customHeight="1" outlineLevel="1" x14ac:dyDescent="0.25">
      <c r="A5941" s="18">
        <v>1489</v>
      </c>
      <c r="B5941" s="4" t="s">
        <v>43</v>
      </c>
      <c r="C5941" s="38" t="s">
        <v>2336</v>
      </c>
      <c r="D5941" s="18">
        <v>2022</v>
      </c>
      <c r="E5941" s="18" t="s">
        <v>0</v>
      </c>
      <c r="F5941" s="4">
        <v>1</v>
      </c>
      <c r="G5941" s="41">
        <v>5</v>
      </c>
      <c r="H5941" s="41">
        <v>29.015250000000002</v>
      </c>
      <c r="I5941" s="221"/>
      <c r="J5941" s="221"/>
    </row>
    <row r="5942" spans="1:10" s="15" customFormat="1" ht="16.5" hidden="1" customHeight="1" outlineLevel="1" x14ac:dyDescent="0.25">
      <c r="A5942" s="18">
        <v>1769</v>
      </c>
      <c r="B5942" s="4" t="s">
        <v>43</v>
      </c>
      <c r="C5942" s="38" t="s">
        <v>4074</v>
      </c>
      <c r="D5942" s="18">
        <v>2022</v>
      </c>
      <c r="E5942" s="18" t="s">
        <v>0</v>
      </c>
      <c r="F5942" s="4">
        <v>1</v>
      </c>
      <c r="G5942" s="41">
        <v>7.5</v>
      </c>
      <c r="H5942" s="41">
        <v>12.190720000000001</v>
      </c>
      <c r="I5942" s="221"/>
      <c r="J5942" s="221"/>
    </row>
    <row r="5943" spans="1:10" s="15" customFormat="1" ht="16.5" hidden="1" customHeight="1" outlineLevel="1" x14ac:dyDescent="0.25">
      <c r="A5943" s="18">
        <v>1767</v>
      </c>
      <c r="B5943" s="4" t="s">
        <v>43</v>
      </c>
      <c r="C5943" s="38" t="s">
        <v>4075</v>
      </c>
      <c r="D5943" s="18">
        <v>2022</v>
      </c>
      <c r="E5943" s="18" t="s">
        <v>0</v>
      </c>
      <c r="F5943" s="4">
        <v>1</v>
      </c>
      <c r="G5943" s="41">
        <v>5</v>
      </c>
      <c r="H5943" s="41">
        <v>12.604570000000001</v>
      </c>
      <c r="I5943" s="221"/>
      <c r="J5943" s="221"/>
    </row>
    <row r="5944" spans="1:10" s="15" customFormat="1" ht="16.5" hidden="1" customHeight="1" outlineLevel="1" x14ac:dyDescent="0.25">
      <c r="A5944" s="18">
        <v>1768</v>
      </c>
      <c r="B5944" s="4" t="s">
        <v>43</v>
      </c>
      <c r="C5944" s="38" t="s">
        <v>4076</v>
      </c>
      <c r="D5944" s="18">
        <v>2022</v>
      </c>
      <c r="E5944" s="18" t="s">
        <v>0</v>
      </c>
      <c r="F5944" s="4">
        <v>1</v>
      </c>
      <c r="G5944" s="41">
        <v>5</v>
      </c>
      <c r="H5944" s="41">
        <v>12.422040000000001</v>
      </c>
      <c r="I5944" s="221"/>
      <c r="J5944" s="221"/>
    </row>
    <row r="5945" spans="1:10" s="15" customFormat="1" ht="16.5" hidden="1" customHeight="1" outlineLevel="1" x14ac:dyDescent="0.25">
      <c r="A5945" s="18">
        <v>1350</v>
      </c>
      <c r="B5945" s="4" t="s">
        <v>43</v>
      </c>
      <c r="C5945" s="38" t="s">
        <v>2341</v>
      </c>
      <c r="D5945" s="18">
        <v>2022</v>
      </c>
      <c r="E5945" s="18" t="s">
        <v>0</v>
      </c>
      <c r="F5945" s="4">
        <v>1</v>
      </c>
      <c r="G5945" s="41">
        <v>7</v>
      </c>
      <c r="H5945" s="41">
        <v>18.610410000000002</v>
      </c>
      <c r="I5945" s="221"/>
      <c r="J5945" s="221"/>
    </row>
    <row r="5946" spans="1:10" s="15" customFormat="1" ht="16.5" hidden="1" customHeight="1" outlineLevel="1" x14ac:dyDescent="0.25">
      <c r="A5946" s="18">
        <v>1806</v>
      </c>
      <c r="B5946" s="4" t="s">
        <v>43</v>
      </c>
      <c r="C5946" s="38" t="s">
        <v>4077</v>
      </c>
      <c r="D5946" s="18">
        <v>2022</v>
      </c>
      <c r="E5946" s="18" t="s">
        <v>0</v>
      </c>
      <c r="F5946" s="4">
        <v>1</v>
      </c>
      <c r="G5946" s="41">
        <v>7</v>
      </c>
      <c r="H5946" s="41">
        <v>14.45444</v>
      </c>
      <c r="I5946" s="221"/>
      <c r="J5946" s="221"/>
    </row>
    <row r="5947" spans="1:10" s="15" customFormat="1" ht="16.5" hidden="1" customHeight="1" outlineLevel="1" x14ac:dyDescent="0.25">
      <c r="A5947" s="18">
        <v>1809</v>
      </c>
      <c r="B5947" s="4" t="s">
        <v>43</v>
      </c>
      <c r="C5947" s="38" t="s">
        <v>4078</v>
      </c>
      <c r="D5947" s="18">
        <v>2022</v>
      </c>
      <c r="E5947" s="18" t="s">
        <v>0</v>
      </c>
      <c r="F5947" s="4">
        <v>1</v>
      </c>
      <c r="G5947" s="41">
        <v>7</v>
      </c>
      <c r="H5947" s="41">
        <v>12.542289999999999</v>
      </c>
      <c r="I5947" s="221"/>
      <c r="J5947" s="221"/>
    </row>
    <row r="5948" spans="1:10" s="15" customFormat="1" ht="16.5" hidden="1" customHeight="1" outlineLevel="1" x14ac:dyDescent="0.25">
      <c r="A5948" s="18">
        <v>1817</v>
      </c>
      <c r="B5948" s="4" t="s">
        <v>43</v>
      </c>
      <c r="C5948" s="38" t="s">
        <v>4079</v>
      </c>
      <c r="D5948" s="18">
        <v>2022</v>
      </c>
      <c r="E5948" s="18" t="s">
        <v>0</v>
      </c>
      <c r="F5948" s="4">
        <v>1</v>
      </c>
      <c r="G5948" s="41">
        <v>7</v>
      </c>
      <c r="H5948" s="41">
        <v>13.27093</v>
      </c>
      <c r="I5948" s="221"/>
      <c r="J5948" s="221"/>
    </row>
    <row r="5949" spans="1:10" s="15" customFormat="1" ht="16.5" hidden="1" customHeight="1" outlineLevel="1" x14ac:dyDescent="0.25">
      <c r="A5949" s="18">
        <v>1813</v>
      </c>
      <c r="B5949" s="4" t="s">
        <v>43</v>
      </c>
      <c r="C5949" s="38" t="s">
        <v>4080</v>
      </c>
      <c r="D5949" s="18">
        <v>2022</v>
      </c>
      <c r="E5949" s="18" t="s">
        <v>0</v>
      </c>
      <c r="F5949" s="4">
        <v>1</v>
      </c>
      <c r="G5949" s="41">
        <v>15</v>
      </c>
      <c r="H5949" s="41">
        <v>15.919</v>
      </c>
      <c r="I5949" s="221"/>
      <c r="J5949" s="221"/>
    </row>
    <row r="5950" spans="1:10" s="15" customFormat="1" ht="16.5" hidden="1" customHeight="1" outlineLevel="1" x14ac:dyDescent="0.25">
      <c r="A5950" s="18">
        <v>1814</v>
      </c>
      <c r="B5950" s="4" t="s">
        <v>43</v>
      </c>
      <c r="C5950" s="38" t="s">
        <v>4081</v>
      </c>
      <c r="D5950" s="18">
        <v>2022</v>
      </c>
      <c r="E5950" s="18" t="s">
        <v>0</v>
      </c>
      <c r="F5950" s="4">
        <v>1</v>
      </c>
      <c r="G5950" s="41">
        <v>5</v>
      </c>
      <c r="H5950" s="41">
        <v>13.19293</v>
      </c>
      <c r="I5950" s="221"/>
      <c r="J5950" s="221"/>
    </row>
    <row r="5951" spans="1:10" s="15" customFormat="1" ht="16.5" hidden="1" customHeight="1" outlineLevel="1" x14ac:dyDescent="0.25">
      <c r="A5951" s="18">
        <v>1454</v>
      </c>
      <c r="B5951" s="4" t="s">
        <v>43</v>
      </c>
      <c r="C5951" s="38" t="s">
        <v>2352</v>
      </c>
      <c r="D5951" s="18">
        <v>2022</v>
      </c>
      <c r="E5951" s="18" t="s">
        <v>0</v>
      </c>
      <c r="F5951" s="4">
        <v>1</v>
      </c>
      <c r="G5951" s="41">
        <v>81</v>
      </c>
      <c r="H5951" s="41">
        <v>20.76933</v>
      </c>
      <c r="I5951" s="221"/>
      <c r="J5951" s="221"/>
    </row>
    <row r="5952" spans="1:10" s="15" customFormat="1" ht="16.5" hidden="1" customHeight="1" outlineLevel="1" x14ac:dyDescent="0.25">
      <c r="A5952" s="18">
        <v>1793</v>
      </c>
      <c r="B5952" s="4" t="s">
        <v>43</v>
      </c>
      <c r="C5952" s="38" t="s">
        <v>4082</v>
      </c>
      <c r="D5952" s="18">
        <v>2022</v>
      </c>
      <c r="E5952" s="18" t="s">
        <v>0</v>
      </c>
      <c r="F5952" s="4">
        <v>1</v>
      </c>
      <c r="G5952" s="41">
        <v>2</v>
      </c>
      <c r="H5952" s="41">
        <v>21.83503</v>
      </c>
      <c r="I5952" s="221"/>
      <c r="J5952" s="221"/>
    </row>
    <row r="5953" spans="1:10" s="15" customFormat="1" ht="16.5" hidden="1" customHeight="1" outlineLevel="1" x14ac:dyDescent="0.25">
      <c r="A5953" s="18">
        <v>1694</v>
      </c>
      <c r="B5953" s="4" t="s">
        <v>43</v>
      </c>
      <c r="C5953" s="38" t="s">
        <v>4083</v>
      </c>
      <c r="D5953" s="18">
        <v>2022</v>
      </c>
      <c r="E5953" s="18" t="s">
        <v>0</v>
      </c>
      <c r="F5953" s="4">
        <v>1</v>
      </c>
      <c r="G5953" s="41">
        <v>5</v>
      </c>
      <c r="H5953" s="41">
        <v>12.61811</v>
      </c>
      <c r="I5953" s="221"/>
      <c r="J5953" s="221"/>
    </row>
    <row r="5954" spans="1:10" s="15" customFormat="1" ht="16.5" hidden="1" customHeight="1" outlineLevel="1" x14ac:dyDescent="0.25">
      <c r="A5954" s="18">
        <v>1695</v>
      </c>
      <c r="B5954" s="4" t="s">
        <v>43</v>
      </c>
      <c r="C5954" s="38" t="s">
        <v>4084</v>
      </c>
      <c r="D5954" s="18">
        <v>2022</v>
      </c>
      <c r="E5954" s="18" t="s">
        <v>0</v>
      </c>
      <c r="F5954" s="4">
        <v>1</v>
      </c>
      <c r="G5954" s="41">
        <v>5</v>
      </c>
      <c r="H5954" s="41">
        <v>12.61811</v>
      </c>
      <c r="I5954" s="221"/>
      <c r="J5954" s="221"/>
    </row>
    <row r="5955" spans="1:10" s="15" customFormat="1" ht="16.5" hidden="1" customHeight="1" outlineLevel="1" x14ac:dyDescent="0.25">
      <c r="A5955" s="18">
        <v>1696</v>
      </c>
      <c r="B5955" s="4" t="s">
        <v>43</v>
      </c>
      <c r="C5955" s="38" t="s">
        <v>4085</v>
      </c>
      <c r="D5955" s="18">
        <v>2022</v>
      </c>
      <c r="E5955" s="18" t="s">
        <v>0</v>
      </c>
      <c r="F5955" s="4">
        <v>1</v>
      </c>
      <c r="G5955" s="41">
        <v>5</v>
      </c>
      <c r="H5955" s="41">
        <v>12.61675</v>
      </c>
      <c r="I5955" s="221"/>
      <c r="J5955" s="221"/>
    </row>
    <row r="5956" spans="1:10" s="15" customFormat="1" ht="16.5" hidden="1" customHeight="1" outlineLevel="1" x14ac:dyDescent="0.25">
      <c r="A5956" s="18">
        <v>1522</v>
      </c>
      <c r="B5956" s="4" t="s">
        <v>43</v>
      </c>
      <c r="C5956" s="38" t="s">
        <v>4086</v>
      </c>
      <c r="D5956" s="18">
        <v>2022</v>
      </c>
      <c r="E5956" s="18" t="s">
        <v>0</v>
      </c>
      <c r="F5956" s="4">
        <v>1</v>
      </c>
      <c r="G5956" s="41">
        <v>5</v>
      </c>
      <c r="H5956" s="41">
        <v>19.60923</v>
      </c>
      <c r="I5956" s="221"/>
      <c r="J5956" s="221"/>
    </row>
    <row r="5957" spans="1:10" s="15" customFormat="1" ht="16.5" hidden="1" customHeight="1" outlineLevel="1" x14ac:dyDescent="0.25">
      <c r="A5957" s="18">
        <v>1548</v>
      </c>
      <c r="B5957" s="4" t="s">
        <v>43</v>
      </c>
      <c r="C5957" s="38" t="s">
        <v>2369</v>
      </c>
      <c r="D5957" s="18">
        <v>2022</v>
      </c>
      <c r="E5957" s="18" t="s">
        <v>0</v>
      </c>
      <c r="F5957" s="4">
        <v>1</v>
      </c>
      <c r="G5957" s="41">
        <v>5</v>
      </c>
      <c r="H5957" s="41">
        <v>28.131530000000001</v>
      </c>
      <c r="I5957" s="221"/>
      <c r="J5957" s="221"/>
    </row>
    <row r="5958" spans="1:10" s="15" customFormat="1" ht="16.5" hidden="1" customHeight="1" outlineLevel="1" x14ac:dyDescent="0.25">
      <c r="A5958" s="18">
        <v>1822</v>
      </c>
      <c r="B5958" s="4" t="s">
        <v>43</v>
      </c>
      <c r="C5958" s="38" t="s">
        <v>4087</v>
      </c>
      <c r="D5958" s="18">
        <v>2022</v>
      </c>
      <c r="E5958" s="18" t="s">
        <v>0</v>
      </c>
      <c r="F5958" s="4">
        <v>1</v>
      </c>
      <c r="G5958" s="41">
        <v>7</v>
      </c>
      <c r="H5958" s="41">
        <v>13.70036</v>
      </c>
      <c r="I5958" s="221"/>
      <c r="J5958" s="221"/>
    </row>
    <row r="5959" spans="1:10" s="15" customFormat="1" ht="16.5" hidden="1" customHeight="1" outlineLevel="1" x14ac:dyDescent="0.25">
      <c r="A5959" s="18">
        <v>1798</v>
      </c>
      <c r="B5959" s="4" t="s">
        <v>43</v>
      </c>
      <c r="C5959" s="38" t="s">
        <v>4088</v>
      </c>
      <c r="D5959" s="18">
        <v>2022</v>
      </c>
      <c r="E5959" s="18" t="s">
        <v>0</v>
      </c>
      <c r="F5959" s="4">
        <v>1</v>
      </c>
      <c r="G5959" s="41">
        <v>5</v>
      </c>
      <c r="H5959" s="41">
        <v>12.886229999999999</v>
      </c>
      <c r="I5959" s="221"/>
      <c r="J5959" s="221"/>
    </row>
    <row r="5960" spans="1:10" s="15" customFormat="1" ht="16.5" hidden="1" customHeight="1" outlineLevel="1" x14ac:dyDescent="0.25">
      <c r="A5960" s="18">
        <v>1435</v>
      </c>
      <c r="B5960" s="4" t="s">
        <v>43</v>
      </c>
      <c r="C5960" s="38" t="s">
        <v>2380</v>
      </c>
      <c r="D5960" s="18">
        <v>2022</v>
      </c>
      <c r="E5960" s="18" t="s">
        <v>0</v>
      </c>
      <c r="F5960" s="4">
        <v>1</v>
      </c>
      <c r="G5960" s="41">
        <v>15</v>
      </c>
      <c r="H5960" s="41">
        <v>13.439679999999999</v>
      </c>
      <c r="I5960" s="221"/>
      <c r="J5960" s="221"/>
    </row>
    <row r="5961" spans="1:10" s="15" customFormat="1" ht="16.5" hidden="1" customHeight="1" outlineLevel="1" x14ac:dyDescent="0.25">
      <c r="A5961" s="18">
        <v>507</v>
      </c>
      <c r="B5961" s="4" t="s">
        <v>43</v>
      </c>
      <c r="C5961" s="38" t="s">
        <v>4089</v>
      </c>
      <c r="D5961" s="18">
        <v>2022</v>
      </c>
      <c r="E5961" s="18" t="s">
        <v>0</v>
      </c>
      <c r="F5961" s="4">
        <v>1</v>
      </c>
      <c r="G5961" s="41">
        <v>25</v>
      </c>
      <c r="H5961" s="41">
        <v>17.70138</v>
      </c>
      <c r="I5961" s="221"/>
      <c r="J5961" s="221"/>
    </row>
    <row r="5962" spans="1:10" s="15" customFormat="1" ht="16.5" hidden="1" customHeight="1" outlineLevel="1" x14ac:dyDescent="0.25">
      <c r="A5962" s="18">
        <v>495</v>
      </c>
      <c r="B5962" s="4" t="s">
        <v>43</v>
      </c>
      <c r="C5962" s="38" t="s">
        <v>2386</v>
      </c>
      <c r="D5962" s="18">
        <v>2022</v>
      </c>
      <c r="E5962" s="18" t="s">
        <v>0</v>
      </c>
      <c r="F5962" s="4">
        <v>2</v>
      </c>
      <c r="G5962" s="41">
        <v>48</v>
      </c>
      <c r="H5962" s="41">
        <v>42.724260000000001</v>
      </c>
      <c r="I5962" s="221"/>
      <c r="J5962" s="221"/>
    </row>
    <row r="5963" spans="1:10" s="15" customFormat="1" ht="16.5" hidden="1" customHeight="1" outlineLevel="1" x14ac:dyDescent="0.25">
      <c r="A5963" s="18">
        <v>758</v>
      </c>
      <c r="B5963" s="4" t="s">
        <v>43</v>
      </c>
      <c r="C5963" s="38" t="s">
        <v>4090</v>
      </c>
      <c r="D5963" s="18">
        <v>2022</v>
      </c>
      <c r="E5963" s="18" t="s">
        <v>0</v>
      </c>
      <c r="F5963" s="4">
        <v>1</v>
      </c>
      <c r="G5963" s="41">
        <v>6</v>
      </c>
      <c r="H5963" s="41">
        <v>19.545210000000001</v>
      </c>
      <c r="I5963" s="221"/>
      <c r="J5963" s="221"/>
    </row>
    <row r="5964" spans="1:10" s="15" customFormat="1" ht="16.5" hidden="1" customHeight="1" outlineLevel="1" x14ac:dyDescent="0.25">
      <c r="A5964" s="18">
        <v>749</v>
      </c>
      <c r="B5964" s="4" t="s">
        <v>43</v>
      </c>
      <c r="C5964" s="38" t="s">
        <v>4091</v>
      </c>
      <c r="D5964" s="18">
        <v>2022</v>
      </c>
      <c r="E5964" s="18" t="s">
        <v>0</v>
      </c>
      <c r="F5964" s="4">
        <v>1</v>
      </c>
      <c r="G5964" s="41">
        <v>6</v>
      </c>
      <c r="H5964" s="41">
        <v>17.880780000000001</v>
      </c>
      <c r="I5964" s="221"/>
      <c r="J5964" s="221"/>
    </row>
    <row r="5965" spans="1:10" s="15" customFormat="1" ht="16.5" hidden="1" customHeight="1" outlineLevel="1" x14ac:dyDescent="0.25">
      <c r="A5965" s="18">
        <v>774</v>
      </c>
      <c r="B5965" s="4" t="s">
        <v>43</v>
      </c>
      <c r="C5965" s="38" t="s">
        <v>4092</v>
      </c>
      <c r="D5965" s="18">
        <v>2022</v>
      </c>
      <c r="E5965" s="18" t="s">
        <v>0</v>
      </c>
      <c r="F5965" s="4">
        <v>1</v>
      </c>
      <c r="G5965" s="41">
        <v>6</v>
      </c>
      <c r="H5965" s="41">
        <v>19.545190000000002</v>
      </c>
      <c r="I5965" s="221"/>
      <c r="J5965" s="221"/>
    </row>
    <row r="5966" spans="1:10" s="15" customFormat="1" ht="16.5" hidden="1" customHeight="1" outlineLevel="1" x14ac:dyDescent="0.25">
      <c r="A5966" s="18">
        <v>648</v>
      </c>
      <c r="B5966" s="4" t="s">
        <v>43</v>
      </c>
      <c r="C5966" s="38" t="s">
        <v>4093</v>
      </c>
      <c r="D5966" s="18">
        <v>2022</v>
      </c>
      <c r="E5966" s="18" t="s">
        <v>0</v>
      </c>
      <c r="F5966" s="4">
        <v>1</v>
      </c>
      <c r="G5966" s="41">
        <v>10</v>
      </c>
      <c r="H5966" s="41">
        <v>20.250830000000001</v>
      </c>
      <c r="I5966" s="221"/>
      <c r="J5966" s="221"/>
    </row>
    <row r="5967" spans="1:10" s="15" customFormat="1" ht="16.5" hidden="1" customHeight="1" outlineLevel="1" x14ac:dyDescent="0.25">
      <c r="A5967" s="18">
        <v>705</v>
      </c>
      <c r="B5967" s="4" t="s">
        <v>43</v>
      </c>
      <c r="C5967" s="38" t="s">
        <v>4094</v>
      </c>
      <c r="D5967" s="18">
        <v>2022</v>
      </c>
      <c r="E5967" s="18" t="s">
        <v>0</v>
      </c>
      <c r="F5967" s="4">
        <v>1</v>
      </c>
      <c r="G5967" s="41">
        <v>6</v>
      </c>
      <c r="H5967" s="41">
        <v>17.743770000000001</v>
      </c>
      <c r="I5967" s="221"/>
      <c r="J5967" s="221"/>
    </row>
    <row r="5968" spans="1:10" s="15" customFormat="1" ht="16.5" hidden="1" customHeight="1" outlineLevel="1" x14ac:dyDescent="0.25">
      <c r="A5968" s="18">
        <v>657</v>
      </c>
      <c r="B5968" s="4" t="s">
        <v>43</v>
      </c>
      <c r="C5968" s="38" t="s">
        <v>4095</v>
      </c>
      <c r="D5968" s="18">
        <v>2022</v>
      </c>
      <c r="E5968" s="18" t="s">
        <v>0</v>
      </c>
      <c r="F5968" s="4">
        <v>1</v>
      </c>
      <c r="G5968" s="41">
        <v>8</v>
      </c>
      <c r="H5968" s="41">
        <v>18.65832</v>
      </c>
      <c r="I5968" s="221"/>
      <c r="J5968" s="221"/>
    </row>
    <row r="5969" spans="1:10" s="15" customFormat="1" ht="16.5" hidden="1" customHeight="1" outlineLevel="1" x14ac:dyDescent="0.25">
      <c r="A5969" s="18">
        <v>504</v>
      </c>
      <c r="B5969" s="4" t="s">
        <v>43</v>
      </c>
      <c r="C5969" s="38" t="s">
        <v>2393</v>
      </c>
      <c r="D5969" s="18">
        <v>2022</v>
      </c>
      <c r="E5969" s="18" t="s">
        <v>0</v>
      </c>
      <c r="F5969" s="4">
        <v>1</v>
      </c>
      <c r="G5969" s="41">
        <v>8</v>
      </c>
      <c r="H5969" s="41">
        <v>24.30498</v>
      </c>
      <c r="I5969" s="221"/>
      <c r="J5969" s="221"/>
    </row>
    <row r="5970" spans="1:10" s="15" customFormat="1" ht="16.5" hidden="1" customHeight="1" outlineLevel="1" x14ac:dyDescent="0.25">
      <c r="A5970" s="18">
        <v>668</v>
      </c>
      <c r="B5970" s="4" t="s">
        <v>43</v>
      </c>
      <c r="C5970" s="38" t="s">
        <v>4096</v>
      </c>
      <c r="D5970" s="18">
        <v>2022</v>
      </c>
      <c r="E5970" s="18" t="s">
        <v>0</v>
      </c>
      <c r="F5970" s="4">
        <v>1</v>
      </c>
      <c r="G5970" s="41">
        <v>10</v>
      </c>
      <c r="H5970" s="41">
        <v>17.208659999999998</v>
      </c>
      <c r="I5970" s="221"/>
      <c r="J5970" s="221"/>
    </row>
    <row r="5971" spans="1:10" s="15" customFormat="1" ht="16.5" hidden="1" customHeight="1" outlineLevel="1" x14ac:dyDescent="0.25">
      <c r="A5971" s="18">
        <v>713</v>
      </c>
      <c r="B5971" s="4" t="s">
        <v>43</v>
      </c>
      <c r="C5971" s="38" t="s">
        <v>4097</v>
      </c>
      <c r="D5971" s="18">
        <v>2022</v>
      </c>
      <c r="E5971" s="18" t="s">
        <v>0</v>
      </c>
      <c r="F5971" s="4">
        <v>1</v>
      </c>
      <c r="G5971" s="41">
        <v>10</v>
      </c>
      <c r="H5971" s="41">
        <v>15.971970000000001</v>
      </c>
      <c r="I5971" s="221"/>
      <c r="J5971" s="221"/>
    </row>
    <row r="5972" spans="1:10" s="15" customFormat="1" ht="16.5" hidden="1" customHeight="1" outlineLevel="1" x14ac:dyDescent="0.25">
      <c r="A5972" s="18">
        <v>709</v>
      </c>
      <c r="B5972" s="4" t="s">
        <v>43</v>
      </c>
      <c r="C5972" s="38" t="s">
        <v>4098</v>
      </c>
      <c r="D5972" s="18">
        <v>2022</v>
      </c>
      <c r="E5972" s="18" t="s">
        <v>0</v>
      </c>
      <c r="F5972" s="4">
        <v>1</v>
      </c>
      <c r="G5972" s="41">
        <v>10</v>
      </c>
      <c r="H5972" s="41">
        <v>16.486840000000001</v>
      </c>
      <c r="I5972" s="221"/>
      <c r="J5972" s="221"/>
    </row>
    <row r="5973" spans="1:10" s="15" customFormat="1" ht="16.5" hidden="1" customHeight="1" outlineLevel="1" x14ac:dyDescent="0.25">
      <c r="A5973" s="18">
        <v>708</v>
      </c>
      <c r="B5973" s="4" t="s">
        <v>43</v>
      </c>
      <c r="C5973" s="38" t="s">
        <v>4099</v>
      </c>
      <c r="D5973" s="18">
        <v>2022</v>
      </c>
      <c r="E5973" s="18" t="s">
        <v>0</v>
      </c>
      <c r="F5973" s="4">
        <v>1</v>
      </c>
      <c r="G5973" s="41">
        <v>10</v>
      </c>
      <c r="H5973" s="41">
        <v>17.029250000000001</v>
      </c>
      <c r="I5973" s="221"/>
      <c r="J5973" s="221"/>
    </row>
    <row r="5974" spans="1:10" s="15" customFormat="1" ht="16.5" hidden="1" customHeight="1" outlineLevel="1" x14ac:dyDescent="0.25">
      <c r="A5974" s="18">
        <v>706</v>
      </c>
      <c r="B5974" s="4" t="s">
        <v>43</v>
      </c>
      <c r="C5974" s="38" t="s">
        <v>4100</v>
      </c>
      <c r="D5974" s="18">
        <v>2022</v>
      </c>
      <c r="E5974" s="18" t="s">
        <v>0</v>
      </c>
      <c r="F5974" s="4">
        <v>1</v>
      </c>
      <c r="G5974" s="41">
        <v>10</v>
      </c>
      <c r="H5974" s="41">
        <v>16.486840000000001</v>
      </c>
      <c r="I5974" s="221"/>
      <c r="J5974" s="221"/>
    </row>
    <row r="5975" spans="1:10" s="15" customFormat="1" ht="16.5" hidden="1" customHeight="1" outlineLevel="1" x14ac:dyDescent="0.25">
      <c r="A5975" s="18">
        <v>700</v>
      </c>
      <c r="B5975" s="4" t="s">
        <v>43</v>
      </c>
      <c r="C5975" s="38" t="s">
        <v>4101</v>
      </c>
      <c r="D5975" s="18">
        <v>2022</v>
      </c>
      <c r="E5975" s="18" t="s">
        <v>0</v>
      </c>
      <c r="F5975" s="4">
        <v>1</v>
      </c>
      <c r="G5975" s="41">
        <v>10</v>
      </c>
      <c r="H5975" s="41">
        <v>15.944380000000001</v>
      </c>
      <c r="I5975" s="221"/>
      <c r="J5975" s="221"/>
    </row>
    <row r="5976" spans="1:10" s="15" customFormat="1" ht="16.5" hidden="1" customHeight="1" outlineLevel="1" x14ac:dyDescent="0.25">
      <c r="A5976" s="18">
        <v>712</v>
      </c>
      <c r="B5976" s="4" t="s">
        <v>43</v>
      </c>
      <c r="C5976" s="38" t="s">
        <v>4102</v>
      </c>
      <c r="D5976" s="18">
        <v>2022</v>
      </c>
      <c r="E5976" s="18" t="s">
        <v>0</v>
      </c>
      <c r="F5976" s="4">
        <v>1</v>
      </c>
      <c r="G5976" s="41">
        <v>10</v>
      </c>
      <c r="H5976" s="41">
        <v>18.525670000000002</v>
      </c>
      <c r="I5976" s="221"/>
      <c r="J5976" s="221"/>
    </row>
    <row r="5977" spans="1:10" s="15" customFormat="1" ht="16.5" hidden="1" customHeight="1" outlineLevel="1" x14ac:dyDescent="0.25">
      <c r="A5977" s="18">
        <v>653</v>
      </c>
      <c r="B5977" s="4" t="s">
        <v>43</v>
      </c>
      <c r="C5977" s="38" t="s">
        <v>4103</v>
      </c>
      <c r="D5977" s="18">
        <v>2022</v>
      </c>
      <c r="E5977" s="18" t="s">
        <v>0</v>
      </c>
      <c r="F5977" s="4">
        <v>1</v>
      </c>
      <c r="G5977" s="41">
        <v>9</v>
      </c>
      <c r="H5977" s="41">
        <v>22.058399999999999</v>
      </c>
      <c r="I5977" s="221"/>
      <c r="J5977" s="221"/>
    </row>
    <row r="5978" spans="1:10" s="15" customFormat="1" ht="16.5" hidden="1" customHeight="1" outlineLevel="1" x14ac:dyDescent="0.25">
      <c r="A5978" s="18">
        <v>726</v>
      </c>
      <c r="B5978" s="4" t="s">
        <v>43</v>
      </c>
      <c r="C5978" s="38" t="s">
        <v>4104</v>
      </c>
      <c r="D5978" s="18">
        <v>2022</v>
      </c>
      <c r="E5978" s="18" t="s">
        <v>0</v>
      </c>
      <c r="F5978" s="4">
        <v>1</v>
      </c>
      <c r="G5978" s="41">
        <v>9</v>
      </c>
      <c r="H5978" s="41">
        <v>19.420120000000001</v>
      </c>
      <c r="I5978" s="221"/>
      <c r="J5978" s="221"/>
    </row>
    <row r="5979" spans="1:10" s="15" customFormat="1" ht="16.5" hidden="1" customHeight="1" outlineLevel="1" x14ac:dyDescent="0.25">
      <c r="A5979" s="18">
        <v>601</v>
      </c>
      <c r="B5979" s="4" t="s">
        <v>43</v>
      </c>
      <c r="C5979" s="38" t="s">
        <v>4105</v>
      </c>
      <c r="D5979" s="18">
        <v>2022</v>
      </c>
      <c r="E5979" s="18" t="s">
        <v>0</v>
      </c>
      <c r="F5979" s="4">
        <v>2</v>
      </c>
      <c r="G5979" s="41">
        <v>16</v>
      </c>
      <c r="H5979" s="41">
        <v>30.145330000000001</v>
      </c>
      <c r="I5979" s="221"/>
      <c r="J5979" s="221"/>
    </row>
    <row r="5980" spans="1:10" s="15" customFormat="1" ht="16.5" hidden="1" customHeight="1" outlineLevel="1" x14ac:dyDescent="0.25">
      <c r="A5980" s="18">
        <v>637</v>
      </c>
      <c r="B5980" s="4" t="s">
        <v>43</v>
      </c>
      <c r="C5980" s="38" t="s">
        <v>4106</v>
      </c>
      <c r="D5980" s="18">
        <v>2022</v>
      </c>
      <c r="E5980" s="18" t="s">
        <v>0</v>
      </c>
      <c r="F5980" s="4">
        <v>1</v>
      </c>
      <c r="G5980" s="41">
        <v>10</v>
      </c>
      <c r="H5980" s="41">
        <v>23.328579999999999</v>
      </c>
      <c r="I5980" s="221"/>
      <c r="J5980" s="221"/>
    </row>
    <row r="5981" spans="1:10" s="15" customFormat="1" ht="16.5" hidden="1" customHeight="1" outlineLevel="1" x14ac:dyDescent="0.25">
      <c r="A5981" s="18">
        <v>515</v>
      </c>
      <c r="B5981" s="4" t="s">
        <v>43</v>
      </c>
      <c r="C5981" s="38" t="s">
        <v>2408</v>
      </c>
      <c r="D5981" s="18">
        <v>2022</v>
      </c>
      <c r="E5981" s="18" t="s">
        <v>0</v>
      </c>
      <c r="F5981" s="4">
        <v>1</v>
      </c>
      <c r="G5981" s="41">
        <v>8</v>
      </c>
      <c r="H5981" s="41">
        <v>22.494509999999998</v>
      </c>
      <c r="I5981" s="221"/>
      <c r="J5981" s="221"/>
    </row>
    <row r="5982" spans="1:10" s="15" customFormat="1" ht="16.5" hidden="1" customHeight="1" outlineLevel="1" x14ac:dyDescent="0.25">
      <c r="A5982" s="18">
        <v>646</v>
      </c>
      <c r="B5982" s="4" t="s">
        <v>43</v>
      </c>
      <c r="C5982" s="38" t="s">
        <v>4107</v>
      </c>
      <c r="D5982" s="18">
        <v>2022</v>
      </c>
      <c r="E5982" s="18" t="s">
        <v>0</v>
      </c>
      <c r="F5982" s="4">
        <v>1</v>
      </c>
      <c r="G5982" s="41">
        <v>7</v>
      </c>
      <c r="H5982" s="41">
        <v>18.149249999999999</v>
      </c>
      <c r="I5982" s="221"/>
      <c r="J5982" s="221"/>
    </row>
    <row r="5983" spans="1:10" s="15" customFormat="1" ht="16.5" hidden="1" customHeight="1" outlineLevel="1" x14ac:dyDescent="0.25">
      <c r="A5983" s="18">
        <v>670</v>
      </c>
      <c r="B5983" s="4" t="s">
        <v>43</v>
      </c>
      <c r="C5983" s="38" t="s">
        <v>4108</v>
      </c>
      <c r="D5983" s="18">
        <v>2022</v>
      </c>
      <c r="E5983" s="18" t="s">
        <v>0</v>
      </c>
      <c r="F5983" s="4">
        <v>1</v>
      </c>
      <c r="G5983" s="41">
        <v>10</v>
      </c>
      <c r="H5983" s="41">
        <v>20.559609999999999</v>
      </c>
      <c r="I5983" s="221"/>
      <c r="J5983" s="221"/>
    </row>
    <row r="5984" spans="1:10" s="15" customFormat="1" ht="16.5" hidden="1" customHeight="1" outlineLevel="1" x14ac:dyDescent="0.25">
      <c r="A5984" s="18">
        <v>672</v>
      </c>
      <c r="B5984" s="4" t="s">
        <v>43</v>
      </c>
      <c r="C5984" s="38" t="s">
        <v>4109</v>
      </c>
      <c r="D5984" s="18">
        <v>2022</v>
      </c>
      <c r="E5984" s="18" t="s">
        <v>0</v>
      </c>
      <c r="F5984" s="4">
        <v>1</v>
      </c>
      <c r="G5984" s="41">
        <v>8</v>
      </c>
      <c r="H5984" s="41">
        <v>22.021470000000001</v>
      </c>
      <c r="I5984" s="221"/>
      <c r="J5984" s="221"/>
    </row>
    <row r="5985" spans="1:10" s="15" customFormat="1" ht="16.5" hidden="1" customHeight="1" outlineLevel="1" x14ac:dyDescent="0.25">
      <c r="A5985" s="18">
        <v>622</v>
      </c>
      <c r="B5985" s="4" t="s">
        <v>43</v>
      </c>
      <c r="C5985" s="38" t="s">
        <v>4110</v>
      </c>
      <c r="D5985" s="18">
        <v>2022</v>
      </c>
      <c r="E5985" s="18" t="s">
        <v>0</v>
      </c>
      <c r="F5985" s="4">
        <v>1</v>
      </c>
      <c r="G5985" s="41">
        <v>0.06</v>
      </c>
      <c r="H5985" s="41">
        <v>19.471029999999999</v>
      </c>
      <c r="I5985" s="221"/>
      <c r="J5985" s="221"/>
    </row>
    <row r="5986" spans="1:10" s="15" customFormat="1" ht="16.5" hidden="1" customHeight="1" outlineLevel="1" x14ac:dyDescent="0.25">
      <c r="A5986" s="18">
        <v>621</v>
      </c>
      <c r="B5986" s="4" t="s">
        <v>43</v>
      </c>
      <c r="C5986" s="38" t="s">
        <v>4111</v>
      </c>
      <c r="D5986" s="18">
        <v>2022</v>
      </c>
      <c r="E5986" s="18" t="s">
        <v>0</v>
      </c>
      <c r="F5986" s="4">
        <v>1</v>
      </c>
      <c r="G5986" s="41">
        <v>0.06</v>
      </c>
      <c r="H5986" s="41">
        <v>22.266470000000002</v>
      </c>
      <c r="I5986" s="221"/>
      <c r="J5986" s="221"/>
    </row>
    <row r="5987" spans="1:10" s="15" customFormat="1" ht="16.5" hidden="1" customHeight="1" outlineLevel="1" x14ac:dyDescent="0.25">
      <c r="A5987" s="18">
        <v>490</v>
      </c>
      <c r="B5987" s="4" t="s">
        <v>43</v>
      </c>
      <c r="C5987" s="38" t="s">
        <v>4112</v>
      </c>
      <c r="D5987" s="18">
        <v>2022</v>
      </c>
      <c r="E5987" s="18" t="s">
        <v>0</v>
      </c>
      <c r="F5987" s="4">
        <v>1</v>
      </c>
      <c r="G5987" s="41">
        <v>6</v>
      </c>
      <c r="H5987" s="41">
        <v>21.070879999999999</v>
      </c>
      <c r="I5987" s="221"/>
      <c r="J5987" s="221"/>
    </row>
    <row r="5988" spans="1:10" s="15" customFormat="1" ht="16.5" hidden="1" customHeight="1" outlineLevel="1" x14ac:dyDescent="0.25">
      <c r="A5988" s="18">
        <v>600</v>
      </c>
      <c r="B5988" s="4" t="s">
        <v>43</v>
      </c>
      <c r="C5988" s="38" t="s">
        <v>4113</v>
      </c>
      <c r="D5988" s="18">
        <v>2022</v>
      </c>
      <c r="E5988" s="18" t="s">
        <v>0</v>
      </c>
      <c r="F5988" s="4">
        <v>1</v>
      </c>
      <c r="G5988" s="41">
        <v>2</v>
      </c>
      <c r="H5988" s="41">
        <v>15.053610000000001</v>
      </c>
      <c r="I5988" s="221"/>
      <c r="J5988" s="221"/>
    </row>
    <row r="5989" spans="1:10" s="15" customFormat="1" ht="16.5" hidden="1" customHeight="1" outlineLevel="1" x14ac:dyDescent="0.25">
      <c r="A5989" s="18">
        <v>592</v>
      </c>
      <c r="B5989" s="4" t="s">
        <v>43</v>
      </c>
      <c r="C5989" s="38" t="s">
        <v>4114</v>
      </c>
      <c r="D5989" s="18">
        <v>2022</v>
      </c>
      <c r="E5989" s="18" t="s">
        <v>0</v>
      </c>
      <c r="F5989" s="4">
        <v>1</v>
      </c>
      <c r="G5989" s="41">
        <v>6</v>
      </c>
      <c r="H5989" s="41">
        <v>15.7651</v>
      </c>
      <c r="I5989" s="221"/>
      <c r="J5989" s="221"/>
    </row>
    <row r="5990" spans="1:10" s="15" customFormat="1" ht="16.5" hidden="1" customHeight="1" outlineLevel="1" x14ac:dyDescent="0.25">
      <c r="A5990" s="18">
        <v>710</v>
      </c>
      <c r="B5990" s="4" t="s">
        <v>43</v>
      </c>
      <c r="C5990" s="38" t="s">
        <v>4115</v>
      </c>
      <c r="D5990" s="18">
        <v>2022</v>
      </c>
      <c r="E5990" s="18" t="s">
        <v>0</v>
      </c>
      <c r="F5990" s="4">
        <v>1</v>
      </c>
      <c r="G5990" s="41">
        <v>6</v>
      </c>
      <c r="H5990" s="41">
        <v>19.49325</v>
      </c>
      <c r="I5990" s="221"/>
      <c r="J5990" s="221"/>
    </row>
    <row r="5991" spans="1:10" s="15" customFormat="1" ht="16.5" hidden="1" customHeight="1" outlineLevel="1" x14ac:dyDescent="0.25">
      <c r="A5991" s="18">
        <v>780</v>
      </c>
      <c r="B5991" s="4" t="s">
        <v>43</v>
      </c>
      <c r="C5991" s="38" t="s">
        <v>4116</v>
      </c>
      <c r="D5991" s="18">
        <v>2022</v>
      </c>
      <c r="E5991" s="18" t="s">
        <v>0</v>
      </c>
      <c r="F5991" s="4">
        <v>1</v>
      </c>
      <c r="G5991" s="41">
        <v>6</v>
      </c>
      <c r="H5991" s="41">
        <v>17.522860000000001</v>
      </c>
      <c r="I5991" s="221"/>
      <c r="J5991" s="221"/>
    </row>
    <row r="5992" spans="1:10" s="15" customFormat="1" ht="16.5" hidden="1" customHeight="1" outlineLevel="1" x14ac:dyDescent="0.25">
      <c r="A5992" s="18">
        <v>728</v>
      </c>
      <c r="B5992" s="4" t="s">
        <v>43</v>
      </c>
      <c r="C5992" s="38" t="s">
        <v>4117</v>
      </c>
      <c r="D5992" s="18">
        <v>2022</v>
      </c>
      <c r="E5992" s="18" t="s">
        <v>0</v>
      </c>
      <c r="F5992" s="4">
        <v>1</v>
      </c>
      <c r="G5992" s="41">
        <v>6</v>
      </c>
      <c r="H5992" s="41">
        <v>17.488910000000001</v>
      </c>
      <c r="I5992" s="221"/>
      <c r="J5992" s="221"/>
    </row>
    <row r="5993" spans="1:10" s="15" customFormat="1" ht="16.5" hidden="1" customHeight="1" outlineLevel="1" x14ac:dyDescent="0.25">
      <c r="A5993" s="18">
        <v>733</v>
      </c>
      <c r="B5993" s="4" t="s">
        <v>43</v>
      </c>
      <c r="C5993" s="38" t="s">
        <v>4118</v>
      </c>
      <c r="D5993" s="18">
        <v>2022</v>
      </c>
      <c r="E5993" s="18" t="s">
        <v>0</v>
      </c>
      <c r="F5993" s="4">
        <v>1</v>
      </c>
      <c r="G5993" s="41">
        <v>0.06</v>
      </c>
      <c r="H5993" s="41">
        <v>22.085789999999999</v>
      </c>
      <c r="I5993" s="221"/>
      <c r="J5993" s="221"/>
    </row>
    <row r="5994" spans="1:10" s="15" customFormat="1" ht="16.5" hidden="1" customHeight="1" outlineLevel="1" x14ac:dyDescent="0.25">
      <c r="A5994" s="18">
        <v>696</v>
      </c>
      <c r="B5994" s="4" t="s">
        <v>43</v>
      </c>
      <c r="C5994" s="38" t="s">
        <v>4119</v>
      </c>
      <c r="D5994" s="18">
        <v>2022</v>
      </c>
      <c r="E5994" s="18" t="s">
        <v>0</v>
      </c>
      <c r="F5994" s="4">
        <v>1</v>
      </c>
      <c r="G5994" s="41">
        <v>1.2</v>
      </c>
      <c r="H5994" s="41">
        <v>18.48817</v>
      </c>
      <c r="I5994" s="221"/>
      <c r="J5994" s="221"/>
    </row>
    <row r="5995" spans="1:10" s="15" customFormat="1" ht="16.5" hidden="1" customHeight="1" outlineLevel="1" x14ac:dyDescent="0.25">
      <c r="A5995" s="18">
        <v>738</v>
      </c>
      <c r="B5995" s="4" t="s">
        <v>43</v>
      </c>
      <c r="C5995" s="38" t="s">
        <v>4120</v>
      </c>
      <c r="D5995" s="18">
        <v>2022</v>
      </c>
      <c r="E5995" s="18" t="s">
        <v>0</v>
      </c>
      <c r="F5995" s="4">
        <v>1</v>
      </c>
      <c r="G5995" s="41">
        <v>6</v>
      </c>
      <c r="H5995" s="41">
        <v>20.134910000000001</v>
      </c>
      <c r="I5995" s="221"/>
      <c r="J5995" s="221"/>
    </row>
    <row r="5996" spans="1:10" s="15" customFormat="1" ht="16.5" hidden="1" customHeight="1" outlineLevel="1" x14ac:dyDescent="0.25">
      <c r="A5996" s="18">
        <v>816</v>
      </c>
      <c r="B5996" s="4" t="s">
        <v>43</v>
      </c>
      <c r="C5996" s="38" t="s">
        <v>4121</v>
      </c>
      <c r="D5996" s="18">
        <v>2022</v>
      </c>
      <c r="E5996" s="18" t="s">
        <v>0</v>
      </c>
      <c r="F5996" s="4">
        <v>1</v>
      </c>
      <c r="G5996" s="41">
        <v>6</v>
      </c>
      <c r="H5996" s="41">
        <v>19.058309999999999</v>
      </c>
      <c r="I5996" s="221"/>
      <c r="J5996" s="221"/>
    </row>
    <row r="5997" spans="1:10" s="15" customFormat="1" ht="16.5" hidden="1" customHeight="1" outlineLevel="1" x14ac:dyDescent="0.25">
      <c r="A5997" s="18">
        <v>703</v>
      </c>
      <c r="B5997" s="4" t="s">
        <v>43</v>
      </c>
      <c r="C5997" s="38" t="s">
        <v>4122</v>
      </c>
      <c r="D5997" s="18">
        <v>2022</v>
      </c>
      <c r="E5997" s="18" t="s">
        <v>0</v>
      </c>
      <c r="F5997" s="4">
        <v>1</v>
      </c>
      <c r="G5997" s="41">
        <v>6</v>
      </c>
      <c r="H5997" s="41">
        <v>17.297550000000001</v>
      </c>
      <c r="I5997" s="221"/>
      <c r="J5997" s="221"/>
    </row>
    <row r="5998" spans="1:10" s="15" customFormat="1" ht="16.5" hidden="1" customHeight="1" outlineLevel="1" x14ac:dyDescent="0.25">
      <c r="A5998" s="18">
        <v>782</v>
      </c>
      <c r="B5998" s="4" t="s">
        <v>43</v>
      </c>
      <c r="C5998" s="38" t="s">
        <v>4123</v>
      </c>
      <c r="D5998" s="18">
        <v>2022</v>
      </c>
      <c r="E5998" s="18" t="s">
        <v>0</v>
      </c>
      <c r="F5998" s="4">
        <v>1</v>
      </c>
      <c r="G5998" s="41">
        <v>6</v>
      </c>
      <c r="H5998" s="41">
        <v>17.5655</v>
      </c>
      <c r="I5998" s="221"/>
      <c r="J5998" s="221"/>
    </row>
    <row r="5999" spans="1:10" s="15" customFormat="1" ht="16.5" hidden="1" customHeight="1" outlineLevel="1" x14ac:dyDescent="0.25">
      <c r="A5999" s="18">
        <v>800</v>
      </c>
      <c r="B5999" s="4" t="s">
        <v>43</v>
      </c>
      <c r="C5999" s="38" t="s">
        <v>4124</v>
      </c>
      <c r="D5999" s="18">
        <v>2022</v>
      </c>
      <c r="E5999" s="18" t="s">
        <v>0</v>
      </c>
      <c r="F5999" s="4">
        <v>1</v>
      </c>
      <c r="G5999" s="41">
        <v>6</v>
      </c>
      <c r="H5999" s="41">
        <v>17.503360000000001</v>
      </c>
      <c r="I5999" s="221"/>
      <c r="J5999" s="221"/>
    </row>
    <row r="6000" spans="1:10" s="15" customFormat="1" ht="16.5" hidden="1" customHeight="1" outlineLevel="1" x14ac:dyDescent="0.25">
      <c r="A6000" s="18">
        <v>813</v>
      </c>
      <c r="B6000" s="4" t="s">
        <v>43</v>
      </c>
      <c r="C6000" s="38" t="s">
        <v>4125</v>
      </c>
      <c r="D6000" s="18">
        <v>2022</v>
      </c>
      <c r="E6000" s="18" t="s">
        <v>0</v>
      </c>
      <c r="F6000" s="4">
        <v>1</v>
      </c>
      <c r="G6000" s="41">
        <v>6</v>
      </c>
      <c r="H6000" s="41">
        <v>18.787140000000001</v>
      </c>
      <c r="I6000" s="221"/>
      <c r="J6000" s="221"/>
    </row>
    <row r="6001" spans="1:10" s="15" customFormat="1" ht="16.5" hidden="1" customHeight="1" outlineLevel="1" x14ac:dyDescent="0.25">
      <c r="A6001" s="18">
        <v>666</v>
      </c>
      <c r="B6001" s="4" t="s">
        <v>43</v>
      </c>
      <c r="C6001" s="38" t="s">
        <v>4126</v>
      </c>
      <c r="D6001" s="18">
        <v>2022</v>
      </c>
      <c r="E6001" s="18" t="s">
        <v>0</v>
      </c>
      <c r="F6001" s="4">
        <v>1</v>
      </c>
      <c r="G6001" s="41">
        <v>6</v>
      </c>
      <c r="H6001" s="41">
        <v>15.940810000000001</v>
      </c>
      <c r="I6001" s="221"/>
      <c r="J6001" s="221"/>
    </row>
    <row r="6002" spans="1:10" s="15" customFormat="1" ht="16.5" hidden="1" customHeight="1" outlineLevel="1" x14ac:dyDescent="0.25">
      <c r="A6002" s="18">
        <v>804</v>
      </c>
      <c r="B6002" s="4" t="s">
        <v>43</v>
      </c>
      <c r="C6002" s="38" t="s">
        <v>4127</v>
      </c>
      <c r="D6002" s="18">
        <v>2022</v>
      </c>
      <c r="E6002" s="18" t="s">
        <v>0</v>
      </c>
      <c r="F6002" s="4">
        <v>1</v>
      </c>
      <c r="G6002" s="41">
        <v>6</v>
      </c>
      <c r="H6002" s="41">
        <v>17.73931</v>
      </c>
      <c r="I6002" s="221"/>
      <c r="J6002" s="221"/>
    </row>
    <row r="6003" spans="1:10" s="15" customFormat="1" ht="16.5" hidden="1" customHeight="1" outlineLevel="1" x14ac:dyDescent="0.25">
      <c r="A6003" s="18">
        <v>835</v>
      </c>
      <c r="B6003" s="4" t="s">
        <v>43</v>
      </c>
      <c r="C6003" s="38" t="s">
        <v>4128</v>
      </c>
      <c r="D6003" s="18">
        <v>2022</v>
      </c>
      <c r="E6003" s="18" t="s">
        <v>0</v>
      </c>
      <c r="F6003" s="4">
        <v>1</v>
      </c>
      <c r="G6003" s="41">
        <v>6</v>
      </c>
      <c r="H6003" s="41">
        <v>18.935110000000002</v>
      </c>
      <c r="I6003" s="221"/>
      <c r="J6003" s="221"/>
    </row>
    <row r="6004" spans="1:10" s="15" customFormat="1" ht="16.5" hidden="1" customHeight="1" outlineLevel="1" x14ac:dyDescent="0.25">
      <c r="A6004" s="18">
        <v>805</v>
      </c>
      <c r="B6004" s="4" t="s">
        <v>43</v>
      </c>
      <c r="C6004" s="38" t="s">
        <v>4129</v>
      </c>
      <c r="D6004" s="18">
        <v>2022</v>
      </c>
      <c r="E6004" s="18" t="s">
        <v>0</v>
      </c>
      <c r="F6004" s="4">
        <v>1</v>
      </c>
      <c r="G6004" s="41">
        <v>6</v>
      </c>
      <c r="H6004" s="41">
        <v>18.935189999999999</v>
      </c>
      <c r="I6004" s="221"/>
      <c r="J6004" s="221"/>
    </row>
    <row r="6005" spans="1:10" s="15" customFormat="1" ht="16.5" hidden="1" customHeight="1" outlineLevel="1" x14ac:dyDescent="0.25">
      <c r="A6005" s="18">
        <v>792</v>
      </c>
      <c r="B6005" s="4" t="s">
        <v>43</v>
      </c>
      <c r="C6005" s="38" t="s">
        <v>4130</v>
      </c>
      <c r="D6005" s="18">
        <v>2022</v>
      </c>
      <c r="E6005" s="18" t="s">
        <v>0</v>
      </c>
      <c r="F6005" s="4">
        <v>1</v>
      </c>
      <c r="G6005" s="41">
        <v>10</v>
      </c>
      <c r="H6005" s="41">
        <v>17.216899999999999</v>
      </c>
      <c r="I6005" s="221"/>
      <c r="J6005" s="221"/>
    </row>
    <row r="6006" spans="1:10" s="15" customFormat="1" ht="16.5" hidden="1" customHeight="1" outlineLevel="1" x14ac:dyDescent="0.25">
      <c r="A6006" s="18">
        <v>747</v>
      </c>
      <c r="B6006" s="4" t="s">
        <v>43</v>
      </c>
      <c r="C6006" s="38" t="s">
        <v>4131</v>
      </c>
      <c r="D6006" s="18">
        <v>2022</v>
      </c>
      <c r="E6006" s="18" t="s">
        <v>0</v>
      </c>
      <c r="F6006" s="4">
        <v>1</v>
      </c>
      <c r="G6006" s="41">
        <v>10</v>
      </c>
      <c r="H6006" s="41">
        <v>17.599049999999998</v>
      </c>
      <c r="I6006" s="221"/>
      <c r="J6006" s="221"/>
    </row>
    <row r="6007" spans="1:10" s="15" customFormat="1" ht="16.5" hidden="1" customHeight="1" outlineLevel="1" x14ac:dyDescent="0.25">
      <c r="A6007" s="18">
        <v>719</v>
      </c>
      <c r="B6007" s="4" t="s">
        <v>43</v>
      </c>
      <c r="C6007" s="38" t="s">
        <v>4132</v>
      </c>
      <c r="D6007" s="18">
        <v>2022</v>
      </c>
      <c r="E6007" s="18" t="s">
        <v>0</v>
      </c>
      <c r="F6007" s="4">
        <v>1</v>
      </c>
      <c r="G6007" s="41">
        <v>9</v>
      </c>
      <c r="H6007" s="41">
        <v>21.493539999999999</v>
      </c>
      <c r="I6007" s="221"/>
      <c r="J6007" s="221"/>
    </row>
    <row r="6008" spans="1:10" s="15" customFormat="1" ht="16.5" hidden="1" customHeight="1" outlineLevel="1" x14ac:dyDescent="0.25">
      <c r="A6008" s="18">
        <v>735</v>
      </c>
      <c r="B6008" s="4" t="s">
        <v>43</v>
      </c>
      <c r="C6008" s="38" t="s">
        <v>4133</v>
      </c>
      <c r="D6008" s="18">
        <v>2022</v>
      </c>
      <c r="E6008" s="18" t="s">
        <v>0</v>
      </c>
      <c r="F6008" s="4">
        <v>1</v>
      </c>
      <c r="G6008" s="41">
        <v>10</v>
      </c>
      <c r="H6008" s="41">
        <v>21.510470000000002</v>
      </c>
      <c r="I6008" s="221"/>
      <c r="J6008" s="221"/>
    </row>
    <row r="6009" spans="1:10" s="15" customFormat="1" ht="16.5" hidden="1" customHeight="1" outlineLevel="1" x14ac:dyDescent="0.25">
      <c r="A6009" s="18">
        <v>736</v>
      </c>
      <c r="B6009" s="4" t="s">
        <v>43</v>
      </c>
      <c r="C6009" s="38" t="s">
        <v>4134</v>
      </c>
      <c r="D6009" s="18">
        <v>2022</v>
      </c>
      <c r="E6009" s="18" t="s">
        <v>0</v>
      </c>
      <c r="F6009" s="4">
        <v>1</v>
      </c>
      <c r="G6009" s="41">
        <v>15</v>
      </c>
      <c r="H6009" s="41">
        <v>18.15634</v>
      </c>
      <c r="I6009" s="221"/>
      <c r="J6009" s="221"/>
    </row>
    <row r="6010" spans="1:10" s="15" customFormat="1" ht="16.5" hidden="1" customHeight="1" outlineLevel="1" x14ac:dyDescent="0.25">
      <c r="A6010" s="18">
        <v>654</v>
      </c>
      <c r="B6010" s="4" t="s">
        <v>43</v>
      </c>
      <c r="C6010" s="38" t="s">
        <v>4135</v>
      </c>
      <c r="D6010" s="18">
        <v>2022</v>
      </c>
      <c r="E6010" s="18" t="s">
        <v>0</v>
      </c>
      <c r="F6010" s="4">
        <v>1</v>
      </c>
      <c r="G6010" s="41">
        <v>8</v>
      </c>
      <c r="H6010" s="41">
        <v>24.370979999999999</v>
      </c>
      <c r="I6010" s="221"/>
      <c r="J6010" s="221"/>
    </row>
    <row r="6011" spans="1:10" s="15" customFormat="1" ht="16.5" hidden="1" customHeight="1" outlineLevel="1" x14ac:dyDescent="0.25">
      <c r="A6011" s="18">
        <v>783</v>
      </c>
      <c r="B6011" s="4" t="s">
        <v>43</v>
      </c>
      <c r="C6011" s="38" t="s">
        <v>4136</v>
      </c>
      <c r="D6011" s="18">
        <v>2022</v>
      </c>
      <c r="E6011" s="18" t="s">
        <v>0</v>
      </c>
      <c r="F6011" s="4">
        <v>1</v>
      </c>
      <c r="G6011" s="41">
        <v>8</v>
      </c>
      <c r="H6011" s="41">
        <v>19.673839999999998</v>
      </c>
      <c r="I6011" s="221"/>
      <c r="J6011" s="221"/>
    </row>
    <row r="6012" spans="1:10" s="15" customFormat="1" ht="16.5" hidden="1" customHeight="1" outlineLevel="1" x14ac:dyDescent="0.25">
      <c r="A6012" s="18">
        <v>611</v>
      </c>
      <c r="B6012" s="4" t="s">
        <v>43</v>
      </c>
      <c r="C6012" s="38" t="s">
        <v>4137</v>
      </c>
      <c r="D6012" s="18">
        <v>2022</v>
      </c>
      <c r="E6012" s="18" t="s">
        <v>0</v>
      </c>
      <c r="F6012" s="4">
        <v>1</v>
      </c>
      <c r="G6012" s="41">
        <v>8</v>
      </c>
      <c r="H6012" s="41">
        <v>18.267690000000002</v>
      </c>
      <c r="I6012" s="221"/>
      <c r="J6012" s="221"/>
    </row>
    <row r="6013" spans="1:10" s="15" customFormat="1" ht="16.5" hidden="1" customHeight="1" outlineLevel="1" x14ac:dyDescent="0.25">
      <c r="A6013" s="18">
        <v>642</v>
      </c>
      <c r="B6013" s="4" t="s">
        <v>43</v>
      </c>
      <c r="C6013" s="38" t="s">
        <v>4138</v>
      </c>
      <c r="D6013" s="18">
        <v>2022</v>
      </c>
      <c r="E6013" s="18" t="s">
        <v>0</v>
      </c>
      <c r="F6013" s="4">
        <v>1</v>
      </c>
      <c r="G6013" s="41">
        <v>10</v>
      </c>
      <c r="H6013" s="41">
        <v>23.763999999999999</v>
      </c>
      <c r="I6013" s="221"/>
      <c r="J6013" s="221"/>
    </row>
    <row r="6014" spans="1:10" s="15" customFormat="1" ht="16.5" hidden="1" customHeight="1" outlineLevel="1" x14ac:dyDescent="0.25">
      <c r="A6014" s="18">
        <v>651</v>
      </c>
      <c r="B6014" s="4" t="s">
        <v>43</v>
      </c>
      <c r="C6014" s="38" t="s">
        <v>4139</v>
      </c>
      <c r="D6014" s="18">
        <v>2022</v>
      </c>
      <c r="E6014" s="18" t="s">
        <v>0</v>
      </c>
      <c r="F6014" s="4">
        <v>1</v>
      </c>
      <c r="G6014" s="41">
        <v>6</v>
      </c>
      <c r="H6014" s="41">
        <v>21.20411</v>
      </c>
      <c r="I6014" s="221"/>
      <c r="J6014" s="221"/>
    </row>
    <row r="6015" spans="1:10" s="15" customFormat="1" ht="16.5" hidden="1" customHeight="1" outlineLevel="1" x14ac:dyDescent="0.25">
      <c r="A6015" s="18">
        <v>817</v>
      </c>
      <c r="B6015" s="4" t="s">
        <v>43</v>
      </c>
      <c r="C6015" s="38" t="s">
        <v>4140</v>
      </c>
      <c r="D6015" s="18">
        <v>2022</v>
      </c>
      <c r="E6015" s="18" t="s">
        <v>0</v>
      </c>
      <c r="F6015" s="4">
        <v>1</v>
      </c>
      <c r="G6015" s="41">
        <v>6</v>
      </c>
      <c r="H6015" s="41">
        <v>17.656690000000001</v>
      </c>
      <c r="I6015" s="221"/>
      <c r="J6015" s="221"/>
    </row>
    <row r="6016" spans="1:10" s="15" customFormat="1" ht="16.5" hidden="1" customHeight="1" outlineLevel="1" x14ac:dyDescent="0.25">
      <c r="A6016" s="18">
        <v>479</v>
      </c>
      <c r="B6016" s="4" t="s">
        <v>43</v>
      </c>
      <c r="C6016" s="38" t="s">
        <v>2910</v>
      </c>
      <c r="D6016" s="18">
        <v>2022</v>
      </c>
      <c r="E6016" s="18" t="s">
        <v>0</v>
      </c>
      <c r="F6016" s="4">
        <v>1</v>
      </c>
      <c r="G6016" s="41">
        <v>10</v>
      </c>
      <c r="H6016" s="41">
        <v>16.9908</v>
      </c>
      <c r="I6016" s="221"/>
      <c r="J6016" s="221"/>
    </row>
    <row r="6017" spans="1:10" s="15" customFormat="1" ht="16.5" hidden="1" customHeight="1" outlineLevel="1" x14ac:dyDescent="0.25">
      <c r="A6017" s="18">
        <v>521</v>
      </c>
      <c r="B6017" s="4" t="s">
        <v>43</v>
      </c>
      <c r="C6017" s="38" t="s">
        <v>2424</v>
      </c>
      <c r="D6017" s="18">
        <v>2022</v>
      </c>
      <c r="E6017" s="18" t="s">
        <v>0</v>
      </c>
      <c r="F6017" s="4">
        <v>1</v>
      </c>
      <c r="G6017" s="41">
        <v>6</v>
      </c>
      <c r="H6017" s="41">
        <v>20.150310000000001</v>
      </c>
      <c r="I6017" s="221"/>
      <c r="J6017" s="221"/>
    </row>
    <row r="6018" spans="1:10" s="15" customFormat="1" ht="16.5" hidden="1" customHeight="1" outlineLevel="1" x14ac:dyDescent="0.25">
      <c r="A6018" s="18">
        <v>737</v>
      </c>
      <c r="B6018" s="4" t="s">
        <v>43</v>
      </c>
      <c r="C6018" s="38" t="s">
        <v>4141</v>
      </c>
      <c r="D6018" s="18">
        <v>2022</v>
      </c>
      <c r="E6018" s="18" t="s">
        <v>0</v>
      </c>
      <c r="F6018" s="4">
        <v>1</v>
      </c>
      <c r="G6018" s="41">
        <v>10</v>
      </c>
      <c r="H6018" s="41">
        <v>19.34995</v>
      </c>
      <c r="I6018" s="221"/>
      <c r="J6018" s="221"/>
    </row>
    <row r="6019" spans="1:10" s="15" customFormat="1" ht="16.5" hidden="1" customHeight="1" outlineLevel="1" x14ac:dyDescent="0.25">
      <c r="A6019" s="18">
        <v>752</v>
      </c>
      <c r="B6019" s="4" t="s">
        <v>43</v>
      </c>
      <c r="C6019" s="38" t="s">
        <v>4142</v>
      </c>
      <c r="D6019" s="18">
        <v>2022</v>
      </c>
      <c r="E6019" s="18" t="s">
        <v>0</v>
      </c>
      <c r="F6019" s="4">
        <v>1</v>
      </c>
      <c r="G6019" s="41">
        <v>8</v>
      </c>
      <c r="H6019" s="41">
        <v>20.04073</v>
      </c>
      <c r="I6019" s="221"/>
      <c r="J6019" s="221"/>
    </row>
    <row r="6020" spans="1:10" s="15" customFormat="1" ht="16.5" hidden="1" customHeight="1" outlineLevel="1" x14ac:dyDescent="0.25">
      <c r="A6020" s="18">
        <v>727</v>
      </c>
      <c r="B6020" s="4" t="s">
        <v>43</v>
      </c>
      <c r="C6020" s="38" t="s">
        <v>4143</v>
      </c>
      <c r="D6020" s="18">
        <v>2022</v>
      </c>
      <c r="E6020" s="18" t="s">
        <v>0</v>
      </c>
      <c r="F6020" s="4">
        <v>1</v>
      </c>
      <c r="G6020" s="41">
        <v>8</v>
      </c>
      <c r="H6020" s="41">
        <v>18.642189999999999</v>
      </c>
      <c r="I6020" s="221"/>
      <c r="J6020" s="221"/>
    </row>
    <row r="6021" spans="1:10" s="15" customFormat="1" ht="16.5" hidden="1" customHeight="1" outlineLevel="1" x14ac:dyDescent="0.25">
      <c r="A6021" s="18">
        <v>868</v>
      </c>
      <c r="B6021" s="4" t="s">
        <v>43</v>
      </c>
      <c r="C6021" s="38" t="s">
        <v>4144</v>
      </c>
      <c r="D6021" s="18">
        <v>2022</v>
      </c>
      <c r="E6021" s="18" t="s">
        <v>0</v>
      </c>
      <c r="F6021" s="4">
        <v>1</v>
      </c>
      <c r="G6021" s="41">
        <v>10</v>
      </c>
      <c r="H6021" s="41">
        <v>19.243040000000001</v>
      </c>
      <c r="I6021" s="221"/>
      <c r="J6021" s="221"/>
    </row>
    <row r="6022" spans="1:10" s="15" customFormat="1" ht="16.5" hidden="1" customHeight="1" outlineLevel="1" x14ac:dyDescent="0.25">
      <c r="A6022" s="18">
        <v>734</v>
      </c>
      <c r="B6022" s="4" t="s">
        <v>43</v>
      </c>
      <c r="C6022" s="38" t="s">
        <v>4145</v>
      </c>
      <c r="D6022" s="18">
        <v>2022</v>
      </c>
      <c r="E6022" s="18" t="s">
        <v>0</v>
      </c>
      <c r="F6022" s="4">
        <v>1</v>
      </c>
      <c r="G6022" s="41">
        <v>10</v>
      </c>
      <c r="H6022" s="41">
        <v>18.659179999999999</v>
      </c>
      <c r="I6022" s="221"/>
      <c r="J6022" s="221"/>
    </row>
    <row r="6023" spans="1:10" s="15" customFormat="1" ht="16.5" hidden="1" customHeight="1" outlineLevel="1" x14ac:dyDescent="0.25">
      <c r="A6023" s="18">
        <v>629</v>
      </c>
      <c r="B6023" s="4" t="s">
        <v>43</v>
      </c>
      <c r="C6023" s="38" t="s">
        <v>4146</v>
      </c>
      <c r="D6023" s="18">
        <v>2022</v>
      </c>
      <c r="E6023" s="18" t="s">
        <v>0</v>
      </c>
      <c r="F6023" s="4">
        <v>1</v>
      </c>
      <c r="G6023" s="41">
        <v>7</v>
      </c>
      <c r="H6023" s="41">
        <v>21.86919</v>
      </c>
      <c r="I6023" s="221"/>
      <c r="J6023" s="221"/>
    </row>
    <row r="6024" spans="1:10" s="15" customFormat="1" ht="16.5" hidden="1" customHeight="1" outlineLevel="1" x14ac:dyDescent="0.25">
      <c r="A6024" s="18">
        <v>607</v>
      </c>
      <c r="B6024" s="4" t="s">
        <v>43</v>
      </c>
      <c r="C6024" s="38" t="s">
        <v>4147</v>
      </c>
      <c r="D6024" s="18">
        <v>2022</v>
      </c>
      <c r="E6024" s="18" t="s">
        <v>0</v>
      </c>
      <c r="F6024" s="4">
        <v>1</v>
      </c>
      <c r="G6024" s="41">
        <v>8</v>
      </c>
      <c r="H6024" s="41">
        <v>19.395689999999998</v>
      </c>
      <c r="I6024" s="221"/>
      <c r="J6024" s="221"/>
    </row>
    <row r="6025" spans="1:10" s="15" customFormat="1" ht="16.5" hidden="1" customHeight="1" outlineLevel="1" x14ac:dyDescent="0.25">
      <c r="A6025" s="18">
        <v>638</v>
      </c>
      <c r="B6025" s="4" t="s">
        <v>43</v>
      </c>
      <c r="C6025" s="38" t="s">
        <v>4148</v>
      </c>
      <c r="D6025" s="18">
        <v>2022</v>
      </c>
      <c r="E6025" s="18" t="s">
        <v>0</v>
      </c>
      <c r="F6025" s="4">
        <v>1</v>
      </c>
      <c r="G6025" s="41">
        <v>8</v>
      </c>
      <c r="H6025" s="41">
        <v>19.796880000000002</v>
      </c>
      <c r="I6025" s="221"/>
      <c r="J6025" s="221"/>
    </row>
    <row r="6026" spans="1:10" s="15" customFormat="1" ht="16.5" hidden="1" customHeight="1" outlineLevel="1" x14ac:dyDescent="0.25">
      <c r="A6026" s="18">
        <v>612</v>
      </c>
      <c r="B6026" s="4" t="s">
        <v>43</v>
      </c>
      <c r="C6026" s="38" t="s">
        <v>4149</v>
      </c>
      <c r="D6026" s="18">
        <v>2022</v>
      </c>
      <c r="E6026" s="18" t="s">
        <v>0</v>
      </c>
      <c r="F6026" s="4">
        <v>1</v>
      </c>
      <c r="G6026" s="41">
        <v>15</v>
      </c>
      <c r="H6026" s="41">
        <v>19.127359999999999</v>
      </c>
      <c r="I6026" s="221"/>
      <c r="J6026" s="221"/>
    </row>
    <row r="6027" spans="1:10" s="15" customFormat="1" ht="16.5" hidden="1" customHeight="1" outlineLevel="1" x14ac:dyDescent="0.25">
      <c r="A6027" s="18">
        <v>558</v>
      </c>
      <c r="B6027" s="4" t="s">
        <v>43</v>
      </c>
      <c r="C6027" s="38" t="s">
        <v>2427</v>
      </c>
      <c r="D6027" s="18">
        <v>2022</v>
      </c>
      <c r="E6027" s="18" t="s">
        <v>0</v>
      </c>
      <c r="F6027" s="4">
        <v>1</v>
      </c>
      <c r="G6027" s="41">
        <v>6</v>
      </c>
      <c r="H6027" s="41">
        <v>55.554470000000002</v>
      </c>
      <c r="I6027" s="221"/>
      <c r="J6027" s="221"/>
    </row>
    <row r="6028" spans="1:10" s="15" customFormat="1" ht="16.5" hidden="1" customHeight="1" outlineLevel="1" x14ac:dyDescent="0.25">
      <c r="A6028" s="18">
        <v>724</v>
      </c>
      <c r="B6028" s="4" t="s">
        <v>43</v>
      </c>
      <c r="C6028" s="38" t="s">
        <v>4150</v>
      </c>
      <c r="D6028" s="18">
        <v>2022</v>
      </c>
      <c r="E6028" s="18" t="s">
        <v>0</v>
      </c>
      <c r="F6028" s="4">
        <v>1</v>
      </c>
      <c r="G6028" s="41">
        <v>10</v>
      </c>
      <c r="H6028" s="41">
        <v>17.23385</v>
      </c>
      <c r="I6028" s="221"/>
      <c r="J6028" s="221"/>
    </row>
    <row r="6029" spans="1:10" s="15" customFormat="1" ht="16.5" hidden="1" customHeight="1" outlineLevel="1" x14ac:dyDescent="0.25">
      <c r="A6029" s="18">
        <v>754</v>
      </c>
      <c r="B6029" s="4" t="s">
        <v>43</v>
      </c>
      <c r="C6029" s="38" t="s">
        <v>4151</v>
      </c>
      <c r="D6029" s="18">
        <v>2022</v>
      </c>
      <c r="E6029" s="18" t="s">
        <v>0</v>
      </c>
      <c r="F6029" s="4">
        <v>1</v>
      </c>
      <c r="G6029" s="41">
        <v>10</v>
      </c>
      <c r="H6029" s="41">
        <v>17.25067</v>
      </c>
      <c r="I6029" s="221"/>
      <c r="J6029" s="221"/>
    </row>
    <row r="6030" spans="1:10" s="15" customFormat="1" ht="16.5" hidden="1" customHeight="1" outlineLevel="1" x14ac:dyDescent="0.25">
      <c r="A6030" s="18">
        <v>788</v>
      </c>
      <c r="B6030" s="4" t="s">
        <v>43</v>
      </c>
      <c r="C6030" s="38" t="s">
        <v>4152</v>
      </c>
      <c r="D6030" s="18">
        <v>2022</v>
      </c>
      <c r="E6030" s="18" t="s">
        <v>0</v>
      </c>
      <c r="F6030" s="4">
        <v>1</v>
      </c>
      <c r="G6030" s="41">
        <v>10</v>
      </c>
      <c r="H6030" s="41">
        <v>17.82321</v>
      </c>
      <c r="I6030" s="221"/>
      <c r="J6030" s="221"/>
    </row>
    <row r="6031" spans="1:10" s="15" customFormat="1" ht="16.5" hidden="1" customHeight="1" outlineLevel="1" x14ac:dyDescent="0.25">
      <c r="A6031" s="18">
        <v>789</v>
      </c>
      <c r="B6031" s="4" t="s">
        <v>43</v>
      </c>
      <c r="C6031" s="38" t="s">
        <v>4153</v>
      </c>
      <c r="D6031" s="18">
        <v>2022</v>
      </c>
      <c r="E6031" s="18" t="s">
        <v>0</v>
      </c>
      <c r="F6031" s="4">
        <v>1</v>
      </c>
      <c r="G6031" s="41">
        <v>9</v>
      </c>
      <c r="H6031" s="41">
        <v>25.398209999999999</v>
      </c>
      <c r="I6031" s="221"/>
      <c r="J6031" s="221"/>
    </row>
    <row r="6032" spans="1:10" s="15" customFormat="1" ht="16.5" hidden="1" customHeight="1" outlineLevel="1" x14ac:dyDescent="0.25">
      <c r="A6032" s="18">
        <v>793</v>
      </c>
      <c r="B6032" s="4" t="s">
        <v>43</v>
      </c>
      <c r="C6032" s="38" t="s">
        <v>4154</v>
      </c>
      <c r="D6032" s="18">
        <v>2022</v>
      </c>
      <c r="E6032" s="18" t="s">
        <v>0</v>
      </c>
      <c r="F6032" s="4">
        <v>1</v>
      </c>
      <c r="G6032" s="41">
        <v>10</v>
      </c>
      <c r="H6032" s="41">
        <v>16.994350000000001</v>
      </c>
      <c r="I6032" s="221"/>
      <c r="J6032" s="221"/>
    </row>
    <row r="6033" spans="1:10" s="15" customFormat="1" ht="16.5" hidden="1" customHeight="1" outlineLevel="1" x14ac:dyDescent="0.25">
      <c r="A6033" s="18">
        <v>795</v>
      </c>
      <c r="B6033" s="4" t="s">
        <v>43</v>
      </c>
      <c r="C6033" s="38" t="s">
        <v>4155</v>
      </c>
      <c r="D6033" s="18">
        <v>2022</v>
      </c>
      <c r="E6033" s="18" t="s">
        <v>0</v>
      </c>
      <c r="F6033" s="4">
        <v>1</v>
      </c>
      <c r="G6033" s="41">
        <v>10</v>
      </c>
      <c r="H6033" s="41">
        <v>16.994330000000001</v>
      </c>
      <c r="I6033" s="221"/>
      <c r="J6033" s="221"/>
    </row>
    <row r="6034" spans="1:10" s="15" customFormat="1" ht="16.5" hidden="1" customHeight="1" outlineLevel="1" x14ac:dyDescent="0.25">
      <c r="A6034" s="18">
        <v>559</v>
      </c>
      <c r="B6034" s="4" t="s">
        <v>43</v>
      </c>
      <c r="C6034" s="38" t="s">
        <v>2429</v>
      </c>
      <c r="D6034" s="18">
        <v>2022</v>
      </c>
      <c r="E6034" s="18" t="s">
        <v>0</v>
      </c>
      <c r="F6034" s="4">
        <v>1</v>
      </c>
      <c r="G6034" s="41">
        <v>10</v>
      </c>
      <c r="H6034" s="41">
        <v>17.851859999999999</v>
      </c>
      <c r="I6034" s="221"/>
      <c r="J6034" s="221"/>
    </row>
    <row r="6035" spans="1:10" s="15" customFormat="1" ht="16.5" hidden="1" customHeight="1" outlineLevel="1" x14ac:dyDescent="0.25">
      <c r="A6035" s="18">
        <v>844</v>
      </c>
      <c r="B6035" s="4" t="s">
        <v>43</v>
      </c>
      <c r="C6035" s="38" t="s">
        <v>4156</v>
      </c>
      <c r="D6035" s="18">
        <v>2022</v>
      </c>
      <c r="E6035" s="18" t="s">
        <v>0</v>
      </c>
      <c r="F6035" s="4">
        <v>1</v>
      </c>
      <c r="G6035" s="41">
        <v>6</v>
      </c>
      <c r="H6035" s="41">
        <v>18.428229999999999</v>
      </c>
      <c r="I6035" s="221"/>
      <c r="J6035" s="221"/>
    </row>
    <row r="6036" spans="1:10" s="15" customFormat="1" ht="16.5" hidden="1" customHeight="1" outlineLevel="1" x14ac:dyDescent="0.25">
      <c r="A6036" s="18">
        <v>682</v>
      </c>
      <c r="B6036" s="4" t="s">
        <v>43</v>
      </c>
      <c r="C6036" s="38" t="s">
        <v>4157</v>
      </c>
      <c r="D6036" s="18">
        <v>2022</v>
      </c>
      <c r="E6036" s="18" t="s">
        <v>0</v>
      </c>
      <c r="F6036" s="4">
        <v>1</v>
      </c>
      <c r="G6036" s="41">
        <v>10</v>
      </c>
      <c r="H6036" s="41">
        <v>21.330220000000001</v>
      </c>
      <c r="I6036" s="221"/>
      <c r="J6036" s="221"/>
    </row>
    <row r="6037" spans="1:10" s="15" customFormat="1" ht="16.5" hidden="1" customHeight="1" outlineLevel="1" x14ac:dyDescent="0.25">
      <c r="A6037" s="18">
        <v>498</v>
      </c>
      <c r="B6037" s="4" t="s">
        <v>43</v>
      </c>
      <c r="C6037" s="38" t="s">
        <v>2433</v>
      </c>
      <c r="D6037" s="18">
        <v>2022</v>
      </c>
      <c r="E6037" s="18" t="s">
        <v>0</v>
      </c>
      <c r="F6037" s="4">
        <v>1</v>
      </c>
      <c r="G6037" s="41">
        <v>15</v>
      </c>
      <c r="H6037" s="41">
        <v>27.585229999999999</v>
      </c>
      <c r="I6037" s="221"/>
      <c r="J6037" s="221"/>
    </row>
    <row r="6038" spans="1:10" s="15" customFormat="1" ht="16.5" hidden="1" customHeight="1" outlineLevel="1" x14ac:dyDescent="0.25">
      <c r="A6038" s="18">
        <v>839</v>
      </c>
      <c r="B6038" s="4" t="s">
        <v>43</v>
      </c>
      <c r="C6038" s="38" t="s">
        <v>4158</v>
      </c>
      <c r="D6038" s="18">
        <v>2022</v>
      </c>
      <c r="E6038" s="18" t="s">
        <v>0</v>
      </c>
      <c r="F6038" s="4">
        <v>1</v>
      </c>
      <c r="G6038" s="41">
        <v>10</v>
      </c>
      <c r="H6038" s="41">
        <v>20.561399999999999</v>
      </c>
      <c r="I6038" s="221"/>
      <c r="J6038" s="221"/>
    </row>
    <row r="6039" spans="1:10" s="15" customFormat="1" ht="16.5" hidden="1" customHeight="1" outlineLevel="1" x14ac:dyDescent="0.25">
      <c r="A6039" s="18">
        <v>834</v>
      </c>
      <c r="B6039" s="4" t="s">
        <v>43</v>
      </c>
      <c r="C6039" s="38" t="s">
        <v>4159</v>
      </c>
      <c r="D6039" s="18">
        <v>2022</v>
      </c>
      <c r="E6039" s="18" t="s">
        <v>0</v>
      </c>
      <c r="F6039" s="4">
        <v>1</v>
      </c>
      <c r="G6039" s="41">
        <v>4</v>
      </c>
      <c r="H6039" s="41">
        <v>20.548819999999999</v>
      </c>
      <c r="I6039" s="221"/>
      <c r="J6039" s="221"/>
    </row>
    <row r="6040" spans="1:10" s="15" customFormat="1" ht="16.5" hidden="1" customHeight="1" outlineLevel="1" x14ac:dyDescent="0.25">
      <c r="A6040" s="18">
        <v>655</v>
      </c>
      <c r="B6040" s="4" t="s">
        <v>43</v>
      </c>
      <c r="C6040" s="38" t="s">
        <v>4160</v>
      </c>
      <c r="D6040" s="18">
        <v>2022</v>
      </c>
      <c r="E6040" s="18" t="s">
        <v>0</v>
      </c>
      <c r="F6040" s="4">
        <v>1</v>
      </c>
      <c r="G6040" s="41">
        <v>8</v>
      </c>
      <c r="H6040" s="41">
        <v>19.979109999999999</v>
      </c>
      <c r="I6040" s="221"/>
      <c r="J6040" s="221"/>
    </row>
    <row r="6041" spans="1:10" s="15" customFormat="1" ht="16.5" hidden="1" customHeight="1" outlineLevel="1" x14ac:dyDescent="0.25">
      <c r="A6041" s="18">
        <v>880</v>
      </c>
      <c r="B6041" s="4" t="s">
        <v>43</v>
      </c>
      <c r="C6041" s="38" t="s">
        <v>4161</v>
      </c>
      <c r="D6041" s="18">
        <v>2022</v>
      </c>
      <c r="E6041" s="18" t="s">
        <v>0</v>
      </c>
      <c r="F6041" s="4">
        <v>1</v>
      </c>
      <c r="G6041" s="41">
        <v>10</v>
      </c>
      <c r="H6041" s="41">
        <v>9.7461800000000007</v>
      </c>
      <c r="I6041" s="221"/>
      <c r="J6041" s="221"/>
    </row>
    <row r="6042" spans="1:10" s="15" customFormat="1" ht="16.5" hidden="1" customHeight="1" outlineLevel="1" x14ac:dyDescent="0.25">
      <c r="A6042" s="18">
        <v>840</v>
      </c>
      <c r="B6042" s="4" t="s">
        <v>43</v>
      </c>
      <c r="C6042" s="38" t="s">
        <v>4162</v>
      </c>
      <c r="D6042" s="18">
        <v>2022</v>
      </c>
      <c r="E6042" s="18" t="s">
        <v>0</v>
      </c>
      <c r="F6042" s="4">
        <v>1</v>
      </c>
      <c r="G6042" s="41">
        <v>6</v>
      </c>
      <c r="H6042" s="41">
        <v>17.296510000000001</v>
      </c>
      <c r="I6042" s="221"/>
      <c r="J6042" s="221"/>
    </row>
    <row r="6043" spans="1:10" s="15" customFormat="1" ht="16.5" hidden="1" customHeight="1" outlineLevel="1" x14ac:dyDescent="0.25">
      <c r="A6043" s="18">
        <v>870</v>
      </c>
      <c r="B6043" s="4" t="s">
        <v>43</v>
      </c>
      <c r="C6043" s="38" t="s">
        <v>4163</v>
      </c>
      <c r="D6043" s="18">
        <v>2022</v>
      </c>
      <c r="E6043" s="18" t="s">
        <v>0</v>
      </c>
      <c r="F6043" s="4">
        <v>1</v>
      </c>
      <c r="G6043" s="41">
        <v>6</v>
      </c>
      <c r="H6043" s="41">
        <v>17.958539999999999</v>
      </c>
      <c r="I6043" s="221"/>
      <c r="J6043" s="221"/>
    </row>
    <row r="6044" spans="1:10" s="15" customFormat="1" ht="16.5" hidden="1" customHeight="1" outlineLevel="1" x14ac:dyDescent="0.25">
      <c r="A6044" s="18">
        <v>858</v>
      </c>
      <c r="B6044" s="4" t="s">
        <v>43</v>
      </c>
      <c r="C6044" s="38" t="s">
        <v>4164</v>
      </c>
      <c r="D6044" s="18">
        <v>2022</v>
      </c>
      <c r="E6044" s="18" t="s">
        <v>0</v>
      </c>
      <c r="F6044" s="4">
        <v>1</v>
      </c>
      <c r="G6044" s="41">
        <v>6</v>
      </c>
      <c r="H6044" s="41">
        <v>17.95851</v>
      </c>
      <c r="I6044" s="221"/>
      <c r="J6044" s="221"/>
    </row>
    <row r="6045" spans="1:10" s="15" customFormat="1" ht="16.5" hidden="1" customHeight="1" outlineLevel="1" x14ac:dyDescent="0.25">
      <c r="A6045" s="18">
        <v>850</v>
      </c>
      <c r="B6045" s="4" t="s">
        <v>43</v>
      </c>
      <c r="C6045" s="38" t="s">
        <v>4165</v>
      </c>
      <c r="D6045" s="18">
        <v>2022</v>
      </c>
      <c r="E6045" s="18" t="s">
        <v>0</v>
      </c>
      <c r="F6045" s="4">
        <v>1</v>
      </c>
      <c r="G6045" s="41">
        <v>6</v>
      </c>
      <c r="H6045" s="41">
        <v>19.489540000000002</v>
      </c>
      <c r="I6045" s="221"/>
      <c r="J6045" s="221"/>
    </row>
    <row r="6046" spans="1:10" s="15" customFormat="1" ht="16.5" hidden="1" customHeight="1" outlineLevel="1" x14ac:dyDescent="0.25">
      <c r="A6046" s="18">
        <v>841</v>
      </c>
      <c r="B6046" s="4" t="s">
        <v>43</v>
      </c>
      <c r="C6046" s="38" t="s">
        <v>4166</v>
      </c>
      <c r="D6046" s="18">
        <v>2022</v>
      </c>
      <c r="E6046" s="18" t="s">
        <v>0</v>
      </c>
      <c r="F6046" s="4">
        <v>1</v>
      </c>
      <c r="G6046" s="41">
        <v>6</v>
      </c>
      <c r="H6046" s="41">
        <v>17.78856</v>
      </c>
      <c r="I6046" s="221"/>
      <c r="J6046" s="221"/>
    </row>
    <row r="6047" spans="1:10" s="15" customFormat="1" ht="16.5" hidden="1" customHeight="1" outlineLevel="1" x14ac:dyDescent="0.25">
      <c r="A6047" s="18">
        <v>529</v>
      </c>
      <c r="B6047" s="4" t="s">
        <v>43</v>
      </c>
      <c r="C6047" s="38" t="s">
        <v>2442</v>
      </c>
      <c r="D6047" s="18">
        <v>2022</v>
      </c>
      <c r="E6047" s="18" t="s">
        <v>0</v>
      </c>
      <c r="F6047" s="4">
        <v>1</v>
      </c>
      <c r="G6047" s="41">
        <v>10</v>
      </c>
      <c r="H6047" s="41">
        <v>21.40673</v>
      </c>
      <c r="I6047" s="221"/>
      <c r="J6047" s="221"/>
    </row>
    <row r="6048" spans="1:10" s="15" customFormat="1" ht="16.5" hidden="1" customHeight="1" outlineLevel="1" x14ac:dyDescent="0.25">
      <c r="A6048" s="18">
        <v>883</v>
      </c>
      <c r="B6048" s="4" t="s">
        <v>43</v>
      </c>
      <c r="C6048" s="38" t="s">
        <v>4167</v>
      </c>
      <c r="D6048" s="18">
        <v>2022</v>
      </c>
      <c r="E6048" s="18" t="s">
        <v>0</v>
      </c>
      <c r="F6048" s="4">
        <v>1</v>
      </c>
      <c r="G6048" s="41">
        <v>6</v>
      </c>
      <c r="H6048" s="41">
        <v>11.41581</v>
      </c>
      <c r="I6048" s="221"/>
      <c r="J6048" s="221"/>
    </row>
    <row r="6049" spans="1:10" s="15" customFormat="1" ht="16.5" hidden="1" customHeight="1" outlineLevel="1" x14ac:dyDescent="0.25">
      <c r="A6049" s="18">
        <v>884</v>
      </c>
      <c r="B6049" s="4" t="s">
        <v>43</v>
      </c>
      <c r="C6049" s="38" t="s">
        <v>4168</v>
      </c>
      <c r="D6049" s="18">
        <v>2022</v>
      </c>
      <c r="E6049" s="18" t="s">
        <v>0</v>
      </c>
      <c r="F6049" s="4">
        <v>1</v>
      </c>
      <c r="G6049" s="41">
        <v>6</v>
      </c>
      <c r="H6049" s="41">
        <v>11.41586</v>
      </c>
      <c r="I6049" s="221"/>
      <c r="J6049" s="221"/>
    </row>
    <row r="6050" spans="1:10" s="15" customFormat="1" ht="16.5" hidden="1" customHeight="1" outlineLevel="1" x14ac:dyDescent="0.25">
      <c r="A6050" s="18">
        <v>886</v>
      </c>
      <c r="B6050" s="4" t="s">
        <v>43</v>
      </c>
      <c r="C6050" s="38" t="s">
        <v>4169</v>
      </c>
      <c r="D6050" s="18">
        <v>2022</v>
      </c>
      <c r="E6050" s="18" t="s">
        <v>0</v>
      </c>
      <c r="F6050" s="4">
        <v>1</v>
      </c>
      <c r="G6050" s="41">
        <v>10</v>
      </c>
      <c r="H6050" s="41">
        <v>11.41583</v>
      </c>
      <c r="I6050" s="221"/>
      <c r="J6050" s="221"/>
    </row>
    <row r="6051" spans="1:10" s="15" customFormat="1" ht="16.5" hidden="1" customHeight="1" outlineLevel="1" x14ac:dyDescent="0.25">
      <c r="A6051" s="18">
        <v>882</v>
      </c>
      <c r="B6051" s="4" t="s">
        <v>43</v>
      </c>
      <c r="C6051" s="38" t="s">
        <v>4170</v>
      </c>
      <c r="D6051" s="18">
        <v>2022</v>
      </c>
      <c r="E6051" s="18" t="s">
        <v>0</v>
      </c>
      <c r="F6051" s="4">
        <v>1</v>
      </c>
      <c r="G6051" s="41">
        <v>6</v>
      </c>
      <c r="H6051" s="41">
        <v>11.415850000000001</v>
      </c>
      <c r="I6051" s="221"/>
      <c r="J6051" s="221"/>
    </row>
    <row r="6052" spans="1:10" s="15" customFormat="1" ht="16.5" hidden="1" customHeight="1" outlineLevel="1" x14ac:dyDescent="0.25">
      <c r="A6052" s="18">
        <v>881</v>
      </c>
      <c r="B6052" s="4" t="s">
        <v>43</v>
      </c>
      <c r="C6052" s="38" t="s">
        <v>4171</v>
      </c>
      <c r="D6052" s="18">
        <v>2022</v>
      </c>
      <c r="E6052" s="18" t="s">
        <v>0</v>
      </c>
      <c r="F6052" s="4">
        <v>1</v>
      </c>
      <c r="G6052" s="41">
        <v>6</v>
      </c>
      <c r="H6052" s="41">
        <v>11.415839999999999</v>
      </c>
      <c r="I6052" s="221"/>
      <c r="J6052" s="221"/>
    </row>
    <row r="6053" spans="1:10" s="15" customFormat="1" ht="16.5" hidden="1" customHeight="1" outlineLevel="1" x14ac:dyDescent="0.25">
      <c r="A6053" s="18">
        <v>896</v>
      </c>
      <c r="B6053" s="4" t="s">
        <v>43</v>
      </c>
      <c r="C6053" s="38" t="s">
        <v>4172</v>
      </c>
      <c r="D6053" s="18">
        <v>2022</v>
      </c>
      <c r="E6053" s="18" t="s">
        <v>0</v>
      </c>
      <c r="F6053" s="4">
        <v>1</v>
      </c>
      <c r="G6053" s="41">
        <v>6</v>
      </c>
      <c r="H6053" s="41">
        <v>12.037649999999999</v>
      </c>
      <c r="I6053" s="221"/>
      <c r="J6053" s="221"/>
    </row>
    <row r="6054" spans="1:10" s="15" customFormat="1" ht="16.5" hidden="1" customHeight="1" outlineLevel="1" x14ac:dyDescent="0.25">
      <c r="A6054" s="18">
        <v>897</v>
      </c>
      <c r="B6054" s="4" t="s">
        <v>43</v>
      </c>
      <c r="C6054" s="38" t="s">
        <v>4173</v>
      </c>
      <c r="D6054" s="18">
        <v>2022</v>
      </c>
      <c r="E6054" s="18" t="s">
        <v>0</v>
      </c>
      <c r="F6054" s="4">
        <v>1</v>
      </c>
      <c r="G6054" s="41">
        <v>8</v>
      </c>
      <c r="H6054" s="41">
        <v>14.404859999999999</v>
      </c>
      <c r="I6054" s="221"/>
      <c r="J6054" s="221"/>
    </row>
    <row r="6055" spans="1:10" s="15" customFormat="1" ht="16.5" hidden="1" customHeight="1" outlineLevel="1" x14ac:dyDescent="0.25">
      <c r="A6055" s="18">
        <v>536</v>
      </c>
      <c r="B6055" s="4" t="s">
        <v>43</v>
      </c>
      <c r="C6055" s="38" t="s">
        <v>2445</v>
      </c>
      <c r="D6055" s="18">
        <v>2022</v>
      </c>
      <c r="E6055" s="18" t="s">
        <v>0</v>
      </c>
      <c r="F6055" s="4">
        <v>1</v>
      </c>
      <c r="G6055" s="41">
        <v>9</v>
      </c>
      <c r="H6055" s="41">
        <v>20.986249999999998</v>
      </c>
      <c r="I6055" s="221"/>
      <c r="J6055" s="221"/>
    </row>
    <row r="6056" spans="1:10" s="15" customFormat="1" ht="16.5" hidden="1" customHeight="1" outlineLevel="1" x14ac:dyDescent="0.25">
      <c r="A6056" s="18">
        <v>827</v>
      </c>
      <c r="B6056" s="4" t="s">
        <v>43</v>
      </c>
      <c r="C6056" s="38" t="s">
        <v>4174</v>
      </c>
      <c r="D6056" s="18">
        <v>2022</v>
      </c>
      <c r="E6056" s="18" t="s">
        <v>0</v>
      </c>
      <c r="F6056" s="4">
        <v>1</v>
      </c>
      <c r="G6056" s="41">
        <v>10</v>
      </c>
      <c r="H6056" s="41">
        <v>16.91488</v>
      </c>
      <c r="I6056" s="221"/>
      <c r="J6056" s="221"/>
    </row>
    <row r="6057" spans="1:10" s="15" customFormat="1" ht="16.5" hidden="1" customHeight="1" outlineLevel="1" x14ac:dyDescent="0.25">
      <c r="A6057" s="18">
        <v>829</v>
      </c>
      <c r="B6057" s="4" t="s">
        <v>43</v>
      </c>
      <c r="C6057" s="38" t="s">
        <v>4175</v>
      </c>
      <c r="D6057" s="18">
        <v>2022</v>
      </c>
      <c r="E6057" s="18" t="s">
        <v>0</v>
      </c>
      <c r="F6057" s="4">
        <v>1</v>
      </c>
      <c r="G6057" s="41">
        <v>10</v>
      </c>
      <c r="H6057" s="41">
        <v>17.320650000000001</v>
      </c>
      <c r="I6057" s="221"/>
      <c r="J6057" s="221"/>
    </row>
    <row r="6058" spans="1:10" s="15" customFormat="1" ht="16.5" hidden="1" customHeight="1" outlineLevel="1" x14ac:dyDescent="0.25">
      <c r="A6058" s="18">
        <v>878</v>
      </c>
      <c r="B6058" s="4" t="s">
        <v>43</v>
      </c>
      <c r="C6058" s="38" t="s">
        <v>4176</v>
      </c>
      <c r="D6058" s="18">
        <v>2022</v>
      </c>
      <c r="E6058" s="18" t="s">
        <v>0</v>
      </c>
      <c r="F6058" s="4">
        <v>1</v>
      </c>
      <c r="G6058" s="41">
        <v>10</v>
      </c>
      <c r="H6058" s="41">
        <v>17.63194</v>
      </c>
      <c r="I6058" s="221"/>
      <c r="J6058" s="221"/>
    </row>
    <row r="6059" spans="1:10" s="15" customFormat="1" ht="16.5" hidden="1" customHeight="1" outlineLevel="1" x14ac:dyDescent="0.25">
      <c r="A6059" s="18">
        <v>861</v>
      </c>
      <c r="B6059" s="4" t="s">
        <v>43</v>
      </c>
      <c r="C6059" s="38" t="s">
        <v>4177</v>
      </c>
      <c r="D6059" s="18">
        <v>2022</v>
      </c>
      <c r="E6059" s="18" t="s">
        <v>0</v>
      </c>
      <c r="F6059" s="4">
        <v>1</v>
      </c>
      <c r="G6059" s="41">
        <v>10</v>
      </c>
      <c r="H6059" s="41">
        <v>17.63194</v>
      </c>
      <c r="I6059" s="221"/>
      <c r="J6059" s="221"/>
    </row>
    <row r="6060" spans="1:10" s="15" customFormat="1" ht="16.5" hidden="1" customHeight="1" outlineLevel="1" x14ac:dyDescent="0.25">
      <c r="A6060" s="18">
        <v>910</v>
      </c>
      <c r="B6060" s="4" t="s">
        <v>43</v>
      </c>
      <c r="C6060" s="38" t="s">
        <v>4178</v>
      </c>
      <c r="D6060" s="18">
        <v>2022</v>
      </c>
      <c r="E6060" s="18" t="s">
        <v>0</v>
      </c>
      <c r="F6060" s="4">
        <v>1</v>
      </c>
      <c r="G6060" s="41">
        <v>10</v>
      </c>
      <c r="H6060" s="41">
        <v>9.6498899999999992</v>
      </c>
      <c r="I6060" s="221"/>
      <c r="J6060" s="221"/>
    </row>
    <row r="6061" spans="1:10" s="15" customFormat="1" ht="16.5" hidden="1" customHeight="1" outlineLevel="1" x14ac:dyDescent="0.25">
      <c r="A6061" s="18">
        <v>911</v>
      </c>
      <c r="B6061" s="4" t="s">
        <v>43</v>
      </c>
      <c r="C6061" s="38" t="s">
        <v>4179</v>
      </c>
      <c r="D6061" s="18">
        <v>2022</v>
      </c>
      <c r="E6061" s="18" t="s">
        <v>0</v>
      </c>
      <c r="F6061" s="4">
        <v>1</v>
      </c>
      <c r="G6061" s="41">
        <v>10</v>
      </c>
      <c r="H6061" s="41">
        <v>9.6498899999999992</v>
      </c>
      <c r="I6061" s="221"/>
      <c r="J6061" s="221"/>
    </row>
    <row r="6062" spans="1:10" s="15" customFormat="1" ht="16.5" hidden="1" customHeight="1" outlineLevel="1" x14ac:dyDescent="0.25">
      <c r="A6062" s="18">
        <v>912</v>
      </c>
      <c r="B6062" s="4" t="s">
        <v>43</v>
      </c>
      <c r="C6062" s="38" t="s">
        <v>4180</v>
      </c>
      <c r="D6062" s="18">
        <v>2022</v>
      </c>
      <c r="E6062" s="18" t="s">
        <v>0</v>
      </c>
      <c r="F6062" s="4">
        <v>1</v>
      </c>
      <c r="G6062" s="41">
        <v>10</v>
      </c>
      <c r="H6062" s="41">
        <v>9.6498500000000007</v>
      </c>
      <c r="I6062" s="221"/>
      <c r="J6062" s="221"/>
    </row>
    <row r="6063" spans="1:10" s="15" customFormat="1" ht="16.5" hidden="1" customHeight="1" outlineLevel="1" x14ac:dyDescent="0.25">
      <c r="A6063" s="18">
        <v>913</v>
      </c>
      <c r="B6063" s="4" t="s">
        <v>43</v>
      </c>
      <c r="C6063" s="38" t="s">
        <v>4181</v>
      </c>
      <c r="D6063" s="18">
        <v>2022</v>
      </c>
      <c r="E6063" s="18" t="s">
        <v>0</v>
      </c>
      <c r="F6063" s="4">
        <v>1</v>
      </c>
      <c r="G6063" s="41">
        <v>10</v>
      </c>
      <c r="H6063" s="41">
        <v>10.39758</v>
      </c>
      <c r="I6063" s="221"/>
      <c r="J6063" s="221"/>
    </row>
    <row r="6064" spans="1:10" s="15" customFormat="1" ht="16.5" hidden="1" customHeight="1" outlineLevel="1" x14ac:dyDescent="0.25">
      <c r="A6064" s="18">
        <v>826</v>
      </c>
      <c r="B6064" s="4" t="s">
        <v>43</v>
      </c>
      <c r="C6064" s="38" t="s">
        <v>4182</v>
      </c>
      <c r="D6064" s="18">
        <v>2022</v>
      </c>
      <c r="E6064" s="18" t="s">
        <v>0</v>
      </c>
      <c r="F6064" s="4">
        <v>1</v>
      </c>
      <c r="G6064" s="41">
        <v>10</v>
      </c>
      <c r="H6064" s="41">
        <v>17.1648</v>
      </c>
      <c r="I6064" s="221"/>
      <c r="J6064" s="221"/>
    </row>
    <row r="6065" spans="1:10" s="15" customFormat="1" ht="16.5" hidden="1" customHeight="1" outlineLevel="1" x14ac:dyDescent="0.25">
      <c r="A6065" s="18">
        <v>830</v>
      </c>
      <c r="B6065" s="4" t="s">
        <v>43</v>
      </c>
      <c r="C6065" s="38" t="s">
        <v>4183</v>
      </c>
      <c r="D6065" s="18">
        <v>2022</v>
      </c>
      <c r="E6065" s="18" t="s">
        <v>0</v>
      </c>
      <c r="F6065" s="4">
        <v>1</v>
      </c>
      <c r="G6065" s="41">
        <v>10</v>
      </c>
      <c r="H6065" s="41">
        <v>17.067640000000001</v>
      </c>
      <c r="I6065" s="221"/>
      <c r="J6065" s="221"/>
    </row>
    <row r="6066" spans="1:10" s="15" customFormat="1" ht="16.5" hidden="1" customHeight="1" outlineLevel="1" x14ac:dyDescent="0.25">
      <c r="A6066" s="18">
        <v>917</v>
      </c>
      <c r="B6066" s="4" t="s">
        <v>43</v>
      </c>
      <c r="C6066" s="38" t="s">
        <v>4184</v>
      </c>
      <c r="D6066" s="18">
        <v>2022</v>
      </c>
      <c r="E6066" s="18" t="s">
        <v>0</v>
      </c>
      <c r="F6066" s="4">
        <v>1</v>
      </c>
      <c r="G6066" s="41">
        <v>6</v>
      </c>
      <c r="H6066" s="41">
        <v>8.9618800000000007</v>
      </c>
      <c r="I6066" s="221"/>
      <c r="J6066" s="221"/>
    </row>
    <row r="6067" spans="1:10" s="15" customFormat="1" ht="16.5" hidden="1" customHeight="1" outlineLevel="1" x14ac:dyDescent="0.25">
      <c r="A6067" s="18">
        <v>919</v>
      </c>
      <c r="B6067" s="4" t="s">
        <v>43</v>
      </c>
      <c r="C6067" s="38" t="s">
        <v>4185</v>
      </c>
      <c r="D6067" s="18">
        <v>2022</v>
      </c>
      <c r="E6067" s="18" t="s">
        <v>0</v>
      </c>
      <c r="F6067" s="4">
        <v>1</v>
      </c>
      <c r="G6067" s="41">
        <v>6</v>
      </c>
      <c r="H6067" s="41">
        <v>11.29921</v>
      </c>
      <c r="I6067" s="221"/>
      <c r="J6067" s="221"/>
    </row>
    <row r="6068" spans="1:10" s="15" customFormat="1" ht="16.5" hidden="1" customHeight="1" outlineLevel="1" x14ac:dyDescent="0.25">
      <c r="A6068" s="18">
        <v>920</v>
      </c>
      <c r="B6068" s="4" t="s">
        <v>43</v>
      </c>
      <c r="C6068" s="38" t="s">
        <v>4186</v>
      </c>
      <c r="D6068" s="18">
        <v>2022</v>
      </c>
      <c r="E6068" s="18" t="s">
        <v>0</v>
      </c>
      <c r="F6068" s="4">
        <v>1</v>
      </c>
      <c r="G6068" s="41">
        <v>6</v>
      </c>
      <c r="H6068" s="41">
        <v>11.118969999999999</v>
      </c>
      <c r="I6068" s="221"/>
      <c r="J6068" s="221"/>
    </row>
    <row r="6069" spans="1:10" s="15" customFormat="1" ht="16.5" hidden="1" customHeight="1" outlineLevel="1" x14ac:dyDescent="0.25">
      <c r="A6069" s="18">
        <v>921</v>
      </c>
      <c r="B6069" s="4" t="s">
        <v>43</v>
      </c>
      <c r="C6069" s="38" t="s">
        <v>4187</v>
      </c>
      <c r="D6069" s="18">
        <v>2022</v>
      </c>
      <c r="E6069" s="18" t="s">
        <v>0</v>
      </c>
      <c r="F6069" s="4">
        <v>1</v>
      </c>
      <c r="G6069" s="41">
        <v>6</v>
      </c>
      <c r="H6069" s="41">
        <v>11.118980000000001</v>
      </c>
      <c r="I6069" s="221"/>
      <c r="J6069" s="221"/>
    </row>
    <row r="6070" spans="1:10" s="15" customFormat="1" ht="16.5" hidden="1" customHeight="1" outlineLevel="1" x14ac:dyDescent="0.25">
      <c r="A6070" s="18">
        <v>922</v>
      </c>
      <c r="B6070" s="4" t="s">
        <v>43</v>
      </c>
      <c r="C6070" s="38" t="s">
        <v>4188</v>
      </c>
      <c r="D6070" s="18">
        <v>2022</v>
      </c>
      <c r="E6070" s="18" t="s">
        <v>0</v>
      </c>
      <c r="F6070" s="4">
        <v>1</v>
      </c>
      <c r="G6070" s="41">
        <v>6</v>
      </c>
      <c r="H6070" s="41">
        <v>11.299250000000001</v>
      </c>
      <c r="I6070" s="221"/>
      <c r="J6070" s="221"/>
    </row>
    <row r="6071" spans="1:10" s="15" customFormat="1" ht="16.5" hidden="1" customHeight="1" outlineLevel="1" x14ac:dyDescent="0.25">
      <c r="A6071" s="18">
        <v>924</v>
      </c>
      <c r="B6071" s="4" t="s">
        <v>43</v>
      </c>
      <c r="C6071" s="38" t="s">
        <v>4189</v>
      </c>
      <c r="D6071" s="18">
        <v>2022</v>
      </c>
      <c r="E6071" s="18" t="s">
        <v>0</v>
      </c>
      <c r="F6071" s="4">
        <v>1</v>
      </c>
      <c r="G6071" s="41">
        <v>10</v>
      </c>
      <c r="H6071" s="41">
        <v>9.1409800000000008</v>
      </c>
      <c r="I6071" s="221"/>
      <c r="J6071" s="221"/>
    </row>
    <row r="6072" spans="1:10" s="15" customFormat="1" ht="16.5" hidden="1" customHeight="1" outlineLevel="1" x14ac:dyDescent="0.25">
      <c r="A6072" s="18">
        <v>925</v>
      </c>
      <c r="B6072" s="4" t="s">
        <v>43</v>
      </c>
      <c r="C6072" s="38" t="s">
        <v>4190</v>
      </c>
      <c r="D6072" s="18">
        <v>2022</v>
      </c>
      <c r="E6072" s="18" t="s">
        <v>0</v>
      </c>
      <c r="F6072" s="4">
        <v>1</v>
      </c>
      <c r="G6072" s="41">
        <v>10</v>
      </c>
      <c r="H6072" s="41">
        <v>9.3571100000000005</v>
      </c>
      <c r="I6072" s="221"/>
      <c r="J6072" s="221"/>
    </row>
    <row r="6073" spans="1:10" s="15" customFormat="1" ht="16.5" hidden="1" customHeight="1" outlineLevel="1" x14ac:dyDescent="0.25">
      <c r="A6073" s="18">
        <v>927</v>
      </c>
      <c r="B6073" s="4" t="s">
        <v>43</v>
      </c>
      <c r="C6073" s="38" t="s">
        <v>4191</v>
      </c>
      <c r="D6073" s="18">
        <v>2022</v>
      </c>
      <c r="E6073" s="18" t="s">
        <v>0</v>
      </c>
      <c r="F6073" s="4">
        <v>1</v>
      </c>
      <c r="G6073" s="41">
        <v>9</v>
      </c>
      <c r="H6073" s="41">
        <v>9.3571299999999997</v>
      </c>
      <c r="I6073" s="221"/>
      <c r="J6073" s="221"/>
    </row>
    <row r="6074" spans="1:10" s="15" customFormat="1" ht="16.5" hidden="1" customHeight="1" outlineLevel="1" x14ac:dyDescent="0.25">
      <c r="A6074" s="18">
        <v>928</v>
      </c>
      <c r="B6074" s="4" t="s">
        <v>43</v>
      </c>
      <c r="C6074" s="38" t="s">
        <v>4192</v>
      </c>
      <c r="D6074" s="18">
        <v>2022</v>
      </c>
      <c r="E6074" s="18" t="s">
        <v>0</v>
      </c>
      <c r="F6074" s="4">
        <v>1</v>
      </c>
      <c r="G6074" s="41">
        <v>10</v>
      </c>
      <c r="H6074" s="41">
        <v>9.3571299999999997</v>
      </c>
      <c r="I6074" s="221"/>
      <c r="J6074" s="221"/>
    </row>
    <row r="6075" spans="1:10" s="15" customFormat="1" ht="16.5" hidden="1" customHeight="1" outlineLevel="1" x14ac:dyDescent="0.25">
      <c r="A6075" s="18">
        <v>472</v>
      </c>
      <c r="B6075" s="4" t="s">
        <v>43</v>
      </c>
      <c r="C6075" s="38" t="s">
        <v>2916</v>
      </c>
      <c r="D6075" s="18">
        <v>2022</v>
      </c>
      <c r="E6075" s="18" t="s">
        <v>0</v>
      </c>
      <c r="F6075" s="4">
        <v>4</v>
      </c>
      <c r="G6075" s="41">
        <v>100</v>
      </c>
      <c r="H6075" s="41">
        <v>175.87592000000001</v>
      </c>
      <c r="I6075" s="221"/>
      <c r="J6075" s="221"/>
    </row>
    <row r="6076" spans="1:10" s="15" customFormat="1" ht="16.5" hidden="1" customHeight="1" outlineLevel="1" x14ac:dyDescent="0.25">
      <c r="A6076" s="18">
        <v>941</v>
      </c>
      <c r="B6076" s="4" t="s">
        <v>43</v>
      </c>
      <c r="C6076" s="38" t="s">
        <v>4193</v>
      </c>
      <c r="D6076" s="18">
        <v>2022</v>
      </c>
      <c r="E6076" s="18" t="s">
        <v>0</v>
      </c>
      <c r="F6076" s="4">
        <v>1</v>
      </c>
      <c r="G6076" s="41">
        <v>6</v>
      </c>
      <c r="H6076" s="41">
        <v>11.373390000000001</v>
      </c>
      <c r="I6076" s="221"/>
      <c r="J6076" s="221"/>
    </row>
    <row r="6077" spans="1:10" s="15" customFormat="1" ht="16.5" hidden="1" customHeight="1" outlineLevel="1" x14ac:dyDescent="0.25">
      <c r="A6077" s="18">
        <v>942</v>
      </c>
      <c r="B6077" s="4" t="s">
        <v>43</v>
      </c>
      <c r="C6077" s="38" t="s">
        <v>4194</v>
      </c>
      <c r="D6077" s="18">
        <v>2022</v>
      </c>
      <c r="E6077" s="18" t="s">
        <v>0</v>
      </c>
      <c r="F6077" s="4">
        <v>1</v>
      </c>
      <c r="G6077" s="41">
        <v>6</v>
      </c>
      <c r="H6077" s="41">
        <v>11.1538</v>
      </c>
      <c r="I6077" s="221"/>
      <c r="J6077" s="221"/>
    </row>
    <row r="6078" spans="1:10" s="15" customFormat="1" ht="16.5" hidden="1" customHeight="1" outlineLevel="1" x14ac:dyDescent="0.25">
      <c r="A6078" s="18">
        <v>943</v>
      </c>
      <c r="B6078" s="4" t="s">
        <v>43</v>
      </c>
      <c r="C6078" s="38" t="s">
        <v>4195</v>
      </c>
      <c r="D6078" s="18">
        <v>2022</v>
      </c>
      <c r="E6078" s="18" t="s">
        <v>0</v>
      </c>
      <c r="F6078" s="4">
        <v>1</v>
      </c>
      <c r="G6078" s="41">
        <v>6</v>
      </c>
      <c r="H6078" s="41">
        <v>11.15377</v>
      </c>
      <c r="I6078" s="221"/>
      <c r="J6078" s="221"/>
    </row>
    <row r="6079" spans="1:10" s="15" customFormat="1" ht="16.5" hidden="1" customHeight="1" outlineLevel="1" x14ac:dyDescent="0.25">
      <c r="A6079" s="18">
        <v>944</v>
      </c>
      <c r="B6079" s="4" t="s">
        <v>43</v>
      </c>
      <c r="C6079" s="38" t="s">
        <v>4196</v>
      </c>
      <c r="D6079" s="18">
        <v>2022</v>
      </c>
      <c r="E6079" s="18" t="s">
        <v>0</v>
      </c>
      <c r="F6079" s="4">
        <v>1</v>
      </c>
      <c r="G6079" s="41">
        <v>6</v>
      </c>
      <c r="H6079" s="41">
        <v>9.3388399999999994</v>
      </c>
      <c r="I6079" s="221"/>
      <c r="J6079" s="221"/>
    </row>
    <row r="6080" spans="1:10" s="15" customFormat="1" ht="16.5" hidden="1" customHeight="1" outlineLevel="1" x14ac:dyDescent="0.25">
      <c r="A6080" s="18">
        <v>945</v>
      </c>
      <c r="B6080" s="4" t="s">
        <v>43</v>
      </c>
      <c r="C6080" s="38" t="s">
        <v>4197</v>
      </c>
      <c r="D6080" s="18">
        <v>2022</v>
      </c>
      <c r="E6080" s="18" t="s">
        <v>0</v>
      </c>
      <c r="F6080" s="4">
        <v>1</v>
      </c>
      <c r="G6080" s="41">
        <v>6</v>
      </c>
      <c r="H6080" s="41">
        <v>9.3388399999999994</v>
      </c>
      <c r="I6080" s="221"/>
      <c r="J6080" s="221"/>
    </row>
    <row r="6081" spans="1:10" s="15" customFormat="1" ht="16.5" hidden="1" customHeight="1" outlineLevel="1" x14ac:dyDescent="0.25">
      <c r="A6081" s="18">
        <v>947</v>
      </c>
      <c r="B6081" s="4" t="s">
        <v>43</v>
      </c>
      <c r="C6081" s="38" t="s">
        <v>4198</v>
      </c>
      <c r="D6081" s="18">
        <v>2022</v>
      </c>
      <c r="E6081" s="18" t="s">
        <v>0</v>
      </c>
      <c r="F6081" s="4">
        <v>1</v>
      </c>
      <c r="G6081" s="41">
        <v>6</v>
      </c>
      <c r="H6081" s="41">
        <v>11.593</v>
      </c>
      <c r="I6081" s="221"/>
      <c r="J6081" s="221"/>
    </row>
    <row r="6082" spans="1:10" s="15" customFormat="1" ht="16.5" hidden="1" customHeight="1" outlineLevel="1" x14ac:dyDescent="0.25">
      <c r="A6082" s="18">
        <v>948</v>
      </c>
      <c r="B6082" s="4" t="s">
        <v>43</v>
      </c>
      <c r="C6082" s="38" t="s">
        <v>4199</v>
      </c>
      <c r="D6082" s="18">
        <v>2022</v>
      </c>
      <c r="E6082" s="18" t="s">
        <v>0</v>
      </c>
      <c r="F6082" s="4">
        <v>1</v>
      </c>
      <c r="G6082" s="41">
        <v>6</v>
      </c>
      <c r="H6082" s="41">
        <v>15.37945</v>
      </c>
      <c r="I6082" s="221"/>
      <c r="J6082" s="221"/>
    </row>
    <row r="6083" spans="1:10" s="15" customFormat="1" ht="16.5" hidden="1" customHeight="1" outlineLevel="1" x14ac:dyDescent="0.25">
      <c r="A6083" s="18">
        <v>950</v>
      </c>
      <c r="B6083" s="4" t="s">
        <v>43</v>
      </c>
      <c r="C6083" s="38" t="s">
        <v>4200</v>
      </c>
      <c r="D6083" s="18">
        <v>2022</v>
      </c>
      <c r="E6083" s="18" t="s">
        <v>0</v>
      </c>
      <c r="F6083" s="4">
        <v>1</v>
      </c>
      <c r="G6083" s="41">
        <v>6</v>
      </c>
      <c r="H6083" s="41">
        <v>8.9911200000000004</v>
      </c>
      <c r="I6083" s="221"/>
      <c r="J6083" s="221"/>
    </row>
    <row r="6084" spans="1:10" s="15" customFormat="1" ht="16.5" hidden="1" customHeight="1" outlineLevel="1" x14ac:dyDescent="0.25">
      <c r="A6084" s="18">
        <v>951</v>
      </c>
      <c r="B6084" s="4" t="s">
        <v>43</v>
      </c>
      <c r="C6084" s="38" t="s">
        <v>4201</v>
      </c>
      <c r="D6084" s="18">
        <v>2022</v>
      </c>
      <c r="E6084" s="18" t="s">
        <v>0</v>
      </c>
      <c r="F6084" s="4">
        <v>1</v>
      </c>
      <c r="G6084" s="41">
        <v>6</v>
      </c>
      <c r="H6084" s="41">
        <v>11.14053</v>
      </c>
      <c r="I6084" s="221"/>
      <c r="J6084" s="221"/>
    </row>
    <row r="6085" spans="1:10" s="15" customFormat="1" ht="16.5" hidden="1" customHeight="1" outlineLevel="1" x14ac:dyDescent="0.25">
      <c r="A6085" s="18">
        <v>957</v>
      </c>
      <c r="B6085" s="4" t="s">
        <v>43</v>
      </c>
      <c r="C6085" s="38" t="s">
        <v>4202</v>
      </c>
      <c r="D6085" s="18">
        <v>2022</v>
      </c>
      <c r="E6085" s="18" t="s">
        <v>0</v>
      </c>
      <c r="F6085" s="4">
        <v>1</v>
      </c>
      <c r="G6085" s="41">
        <v>6</v>
      </c>
      <c r="H6085" s="41">
        <v>11.498049999999999</v>
      </c>
      <c r="I6085" s="221"/>
      <c r="J6085" s="221"/>
    </row>
    <row r="6086" spans="1:10" s="15" customFormat="1" ht="16.5" hidden="1" customHeight="1" outlineLevel="1" x14ac:dyDescent="0.25">
      <c r="A6086" s="18">
        <v>958</v>
      </c>
      <c r="B6086" s="4" t="s">
        <v>43</v>
      </c>
      <c r="C6086" s="38" t="s">
        <v>4203</v>
      </c>
      <c r="D6086" s="18">
        <v>2022</v>
      </c>
      <c r="E6086" s="18" t="s">
        <v>0</v>
      </c>
      <c r="F6086" s="4">
        <v>1</v>
      </c>
      <c r="G6086" s="41">
        <v>6</v>
      </c>
      <c r="H6086" s="41">
        <v>11.712440000000001</v>
      </c>
      <c r="I6086" s="221"/>
      <c r="J6086" s="221"/>
    </row>
    <row r="6087" spans="1:10" s="15" customFormat="1" ht="16.5" hidden="1" customHeight="1" outlineLevel="1" x14ac:dyDescent="0.25">
      <c r="A6087" s="18">
        <v>973</v>
      </c>
      <c r="B6087" s="4" t="s">
        <v>43</v>
      </c>
      <c r="C6087" s="38" t="s">
        <v>4204</v>
      </c>
      <c r="D6087" s="18">
        <v>2022</v>
      </c>
      <c r="E6087" s="18" t="s">
        <v>0</v>
      </c>
      <c r="F6087" s="4">
        <v>1</v>
      </c>
      <c r="G6087" s="41">
        <v>10</v>
      </c>
      <c r="H6087" s="41">
        <v>9.4889899999999994</v>
      </c>
      <c r="I6087" s="221"/>
      <c r="J6087" s="221"/>
    </row>
    <row r="6088" spans="1:10" s="15" customFormat="1" ht="16.5" hidden="1" customHeight="1" outlineLevel="1" x14ac:dyDescent="0.25">
      <c r="A6088" s="18">
        <v>974</v>
      </c>
      <c r="B6088" s="4" t="s">
        <v>43</v>
      </c>
      <c r="C6088" s="38" t="s">
        <v>4205</v>
      </c>
      <c r="D6088" s="18">
        <v>2022</v>
      </c>
      <c r="E6088" s="18" t="s">
        <v>0</v>
      </c>
      <c r="F6088" s="4">
        <v>1</v>
      </c>
      <c r="G6088" s="41">
        <v>8</v>
      </c>
      <c r="H6088" s="41">
        <v>9.4889899999999994</v>
      </c>
      <c r="I6088" s="221"/>
      <c r="J6088" s="221"/>
    </row>
    <row r="6089" spans="1:10" s="15" customFormat="1" ht="16.5" hidden="1" customHeight="1" outlineLevel="1" x14ac:dyDescent="0.25">
      <c r="A6089" s="18">
        <v>975</v>
      </c>
      <c r="B6089" s="4" t="s">
        <v>43</v>
      </c>
      <c r="C6089" s="38" t="s">
        <v>4206</v>
      </c>
      <c r="D6089" s="18">
        <v>2022</v>
      </c>
      <c r="E6089" s="18" t="s">
        <v>0</v>
      </c>
      <c r="F6089" s="4">
        <v>1</v>
      </c>
      <c r="G6089" s="41">
        <v>10</v>
      </c>
      <c r="H6089" s="41">
        <v>9.2733500000000006</v>
      </c>
      <c r="I6089" s="221"/>
      <c r="J6089" s="221"/>
    </row>
    <row r="6090" spans="1:10" s="15" customFormat="1" ht="16.5" hidden="1" customHeight="1" outlineLevel="1" x14ac:dyDescent="0.25">
      <c r="A6090" s="18">
        <v>976</v>
      </c>
      <c r="B6090" s="4" t="s">
        <v>43</v>
      </c>
      <c r="C6090" s="38" t="s">
        <v>4207</v>
      </c>
      <c r="D6090" s="18">
        <v>2022</v>
      </c>
      <c r="E6090" s="18" t="s">
        <v>0</v>
      </c>
      <c r="F6090" s="4">
        <v>1</v>
      </c>
      <c r="G6090" s="41">
        <v>10</v>
      </c>
      <c r="H6090" s="41">
        <v>9.27332</v>
      </c>
      <c r="I6090" s="221"/>
      <c r="J6090" s="221"/>
    </row>
    <row r="6091" spans="1:10" s="15" customFormat="1" ht="16.5" hidden="1" customHeight="1" outlineLevel="1" x14ac:dyDescent="0.25">
      <c r="A6091" s="18">
        <v>977</v>
      </c>
      <c r="B6091" s="4" t="s">
        <v>43</v>
      </c>
      <c r="C6091" s="38" t="s">
        <v>4208</v>
      </c>
      <c r="D6091" s="18">
        <v>2022</v>
      </c>
      <c r="E6091" s="18" t="s">
        <v>0</v>
      </c>
      <c r="F6091" s="4">
        <v>1</v>
      </c>
      <c r="G6091" s="41">
        <v>10</v>
      </c>
      <c r="H6091" s="41">
        <v>9.3811800000000005</v>
      </c>
      <c r="I6091" s="221"/>
      <c r="J6091" s="221"/>
    </row>
    <row r="6092" spans="1:10" s="15" customFormat="1" ht="16.5" hidden="1" customHeight="1" outlineLevel="1" x14ac:dyDescent="0.25">
      <c r="A6092" s="18">
        <v>978</v>
      </c>
      <c r="B6092" s="4" t="s">
        <v>43</v>
      </c>
      <c r="C6092" s="38" t="s">
        <v>4209</v>
      </c>
      <c r="D6092" s="18">
        <v>2022</v>
      </c>
      <c r="E6092" s="18" t="s">
        <v>0</v>
      </c>
      <c r="F6092" s="4">
        <v>1</v>
      </c>
      <c r="G6092" s="41">
        <v>10</v>
      </c>
      <c r="H6092" s="41">
        <v>9.3811800000000005</v>
      </c>
      <c r="I6092" s="221"/>
      <c r="J6092" s="221"/>
    </row>
    <row r="6093" spans="1:10" s="15" customFormat="1" ht="16.5" hidden="1" customHeight="1" outlineLevel="1" x14ac:dyDescent="0.25">
      <c r="A6093" s="18">
        <v>979</v>
      </c>
      <c r="B6093" s="4" t="s">
        <v>43</v>
      </c>
      <c r="C6093" s="38" t="s">
        <v>4210</v>
      </c>
      <c r="D6093" s="18">
        <v>2022</v>
      </c>
      <c r="E6093" s="18" t="s">
        <v>0</v>
      </c>
      <c r="F6093" s="4">
        <v>1</v>
      </c>
      <c r="G6093" s="41">
        <v>10</v>
      </c>
      <c r="H6093" s="41">
        <v>9.3811800000000005</v>
      </c>
      <c r="I6093" s="221"/>
      <c r="J6093" s="221"/>
    </row>
    <row r="6094" spans="1:10" s="15" customFormat="1" ht="16.5" hidden="1" customHeight="1" outlineLevel="1" x14ac:dyDescent="0.25">
      <c r="A6094" s="18">
        <v>980</v>
      </c>
      <c r="B6094" s="4" t="s">
        <v>43</v>
      </c>
      <c r="C6094" s="38" t="s">
        <v>4211</v>
      </c>
      <c r="D6094" s="18">
        <v>2022</v>
      </c>
      <c r="E6094" s="18" t="s">
        <v>0</v>
      </c>
      <c r="F6094" s="4">
        <v>1</v>
      </c>
      <c r="G6094" s="41">
        <v>10</v>
      </c>
      <c r="H6094" s="41">
        <v>9.3811599999999995</v>
      </c>
      <c r="I6094" s="221"/>
      <c r="J6094" s="221"/>
    </row>
    <row r="6095" spans="1:10" s="15" customFormat="1" ht="16.5" hidden="1" customHeight="1" outlineLevel="1" x14ac:dyDescent="0.25">
      <c r="A6095" s="18">
        <v>981</v>
      </c>
      <c r="B6095" s="4" t="s">
        <v>43</v>
      </c>
      <c r="C6095" s="38" t="s">
        <v>4212</v>
      </c>
      <c r="D6095" s="18">
        <v>2022</v>
      </c>
      <c r="E6095" s="18" t="s">
        <v>0</v>
      </c>
      <c r="F6095" s="4">
        <v>1</v>
      </c>
      <c r="G6095" s="41">
        <v>10</v>
      </c>
      <c r="H6095" s="41">
        <v>9.3811699999999991</v>
      </c>
      <c r="I6095" s="221"/>
      <c r="J6095" s="221"/>
    </row>
    <row r="6096" spans="1:10" s="15" customFormat="1" ht="16.5" hidden="1" customHeight="1" outlineLevel="1" x14ac:dyDescent="0.25">
      <c r="A6096" s="18">
        <v>982</v>
      </c>
      <c r="B6096" s="4" t="s">
        <v>43</v>
      </c>
      <c r="C6096" s="38" t="s">
        <v>4213</v>
      </c>
      <c r="D6096" s="18">
        <v>2022</v>
      </c>
      <c r="E6096" s="18" t="s">
        <v>0</v>
      </c>
      <c r="F6096" s="4">
        <v>1</v>
      </c>
      <c r="G6096" s="41">
        <v>10</v>
      </c>
      <c r="H6096" s="41">
        <v>9.3811599999999995</v>
      </c>
      <c r="I6096" s="221"/>
      <c r="J6096" s="221"/>
    </row>
    <row r="6097" spans="1:10" s="15" customFormat="1" ht="16.5" hidden="1" customHeight="1" outlineLevel="1" x14ac:dyDescent="0.25">
      <c r="A6097" s="18">
        <v>991</v>
      </c>
      <c r="B6097" s="4" t="s">
        <v>43</v>
      </c>
      <c r="C6097" s="38" t="s">
        <v>4214</v>
      </c>
      <c r="D6097" s="18">
        <v>2022</v>
      </c>
      <c r="E6097" s="18" t="s">
        <v>0</v>
      </c>
      <c r="F6097" s="4">
        <v>1</v>
      </c>
      <c r="G6097" s="41">
        <v>10</v>
      </c>
      <c r="H6097" s="41">
        <v>9.6026699999999998</v>
      </c>
      <c r="I6097" s="221"/>
      <c r="J6097" s="221"/>
    </row>
    <row r="6098" spans="1:10" s="15" customFormat="1" ht="16.5" hidden="1" customHeight="1" outlineLevel="1" x14ac:dyDescent="0.25">
      <c r="A6098" s="18">
        <v>994</v>
      </c>
      <c r="B6098" s="4" t="s">
        <v>43</v>
      </c>
      <c r="C6098" s="38" t="s">
        <v>4215</v>
      </c>
      <c r="D6098" s="18">
        <v>2022</v>
      </c>
      <c r="E6098" s="18" t="s">
        <v>0</v>
      </c>
      <c r="F6098" s="4">
        <v>1</v>
      </c>
      <c r="G6098" s="41">
        <v>10</v>
      </c>
      <c r="H6098" s="41">
        <v>10.27379</v>
      </c>
      <c r="I6098" s="221"/>
      <c r="J6098" s="221"/>
    </row>
    <row r="6099" spans="1:10" s="15" customFormat="1" ht="16.5" hidden="1" customHeight="1" outlineLevel="1" x14ac:dyDescent="0.25">
      <c r="A6099" s="18">
        <v>995</v>
      </c>
      <c r="B6099" s="4" t="s">
        <v>43</v>
      </c>
      <c r="C6099" s="38" t="s">
        <v>4216</v>
      </c>
      <c r="D6099" s="18">
        <v>2022</v>
      </c>
      <c r="E6099" s="18" t="s">
        <v>0</v>
      </c>
      <c r="F6099" s="4">
        <v>1</v>
      </c>
      <c r="G6099" s="41">
        <v>10</v>
      </c>
      <c r="H6099" s="41">
        <v>10.273759999999999</v>
      </c>
      <c r="I6099" s="221"/>
      <c r="J6099" s="221"/>
    </row>
    <row r="6100" spans="1:10" s="15" customFormat="1" ht="16.5" hidden="1" customHeight="1" outlineLevel="1" x14ac:dyDescent="0.25">
      <c r="A6100" s="18">
        <v>996</v>
      </c>
      <c r="B6100" s="4" t="s">
        <v>43</v>
      </c>
      <c r="C6100" s="38" t="s">
        <v>4217</v>
      </c>
      <c r="D6100" s="18">
        <v>2022</v>
      </c>
      <c r="E6100" s="18" t="s">
        <v>0</v>
      </c>
      <c r="F6100" s="4">
        <v>1</v>
      </c>
      <c r="G6100" s="41">
        <v>15</v>
      </c>
      <c r="H6100" s="41">
        <v>9.6026600000000002</v>
      </c>
      <c r="I6100" s="221"/>
      <c r="J6100" s="221"/>
    </row>
    <row r="6101" spans="1:10" s="15" customFormat="1" ht="16.5" hidden="1" customHeight="1" outlineLevel="1" x14ac:dyDescent="0.25">
      <c r="A6101" s="18">
        <v>1000</v>
      </c>
      <c r="B6101" s="4" t="s">
        <v>43</v>
      </c>
      <c r="C6101" s="38" t="s">
        <v>4218</v>
      </c>
      <c r="D6101" s="18">
        <v>2022</v>
      </c>
      <c r="E6101" s="18" t="s">
        <v>0</v>
      </c>
      <c r="F6101" s="4">
        <v>1</v>
      </c>
      <c r="G6101" s="41">
        <v>10</v>
      </c>
      <c r="H6101" s="41">
        <v>9.6022200000000009</v>
      </c>
      <c r="I6101" s="221"/>
      <c r="J6101" s="221"/>
    </row>
    <row r="6102" spans="1:10" s="15" customFormat="1" ht="16.5" hidden="1" customHeight="1" outlineLevel="1" x14ac:dyDescent="0.25">
      <c r="A6102" s="18">
        <v>1002</v>
      </c>
      <c r="B6102" s="4" t="s">
        <v>43</v>
      </c>
      <c r="C6102" s="38" t="s">
        <v>4219</v>
      </c>
      <c r="D6102" s="18">
        <v>2022</v>
      </c>
      <c r="E6102" s="18" t="s">
        <v>0</v>
      </c>
      <c r="F6102" s="4">
        <v>1</v>
      </c>
      <c r="G6102" s="41">
        <v>8</v>
      </c>
      <c r="H6102" s="41">
        <v>9.6026600000000002</v>
      </c>
      <c r="I6102" s="221"/>
      <c r="J6102" s="221"/>
    </row>
    <row r="6103" spans="1:10" s="15" customFormat="1" ht="16.5" hidden="1" customHeight="1" outlineLevel="1" x14ac:dyDescent="0.25">
      <c r="A6103" s="18">
        <v>1004</v>
      </c>
      <c r="B6103" s="4" t="s">
        <v>43</v>
      </c>
      <c r="C6103" s="38" t="s">
        <v>4220</v>
      </c>
      <c r="D6103" s="18">
        <v>2022</v>
      </c>
      <c r="E6103" s="18" t="s">
        <v>0</v>
      </c>
      <c r="F6103" s="4">
        <v>1</v>
      </c>
      <c r="G6103" s="41">
        <v>8</v>
      </c>
      <c r="H6103" s="41">
        <v>12.95553</v>
      </c>
      <c r="I6103" s="221"/>
      <c r="J6103" s="221"/>
    </row>
    <row r="6104" spans="1:10" s="15" customFormat="1" ht="16.5" hidden="1" customHeight="1" outlineLevel="1" x14ac:dyDescent="0.25">
      <c r="A6104" s="18">
        <v>1005</v>
      </c>
      <c r="B6104" s="4" t="s">
        <v>43</v>
      </c>
      <c r="C6104" s="38" t="s">
        <v>4221</v>
      </c>
      <c r="D6104" s="18">
        <v>2022</v>
      </c>
      <c r="E6104" s="18" t="s">
        <v>0</v>
      </c>
      <c r="F6104" s="4">
        <v>1</v>
      </c>
      <c r="G6104" s="41">
        <v>6</v>
      </c>
      <c r="H6104" s="41">
        <v>12.95546</v>
      </c>
      <c r="I6104" s="221"/>
      <c r="J6104" s="221"/>
    </row>
    <row r="6105" spans="1:10" s="15" customFormat="1" ht="16.5" hidden="1" customHeight="1" outlineLevel="1" x14ac:dyDescent="0.25">
      <c r="A6105" s="18">
        <v>1006</v>
      </c>
      <c r="B6105" s="4" t="s">
        <v>43</v>
      </c>
      <c r="C6105" s="38" t="s">
        <v>4222</v>
      </c>
      <c r="D6105" s="18">
        <v>2022</v>
      </c>
      <c r="E6105" s="18" t="s">
        <v>0</v>
      </c>
      <c r="F6105" s="4">
        <v>1</v>
      </c>
      <c r="G6105" s="41">
        <v>10</v>
      </c>
      <c r="H6105" s="41">
        <v>9.4777299999999993</v>
      </c>
      <c r="I6105" s="221"/>
      <c r="J6105" s="221"/>
    </row>
    <row r="6106" spans="1:10" s="15" customFormat="1" ht="16.5" hidden="1" customHeight="1" outlineLevel="1" x14ac:dyDescent="0.25">
      <c r="A6106" s="18">
        <v>1007</v>
      </c>
      <c r="B6106" s="4" t="s">
        <v>43</v>
      </c>
      <c r="C6106" s="38" t="s">
        <v>4223</v>
      </c>
      <c r="D6106" s="18">
        <v>2022</v>
      </c>
      <c r="E6106" s="18" t="s">
        <v>0</v>
      </c>
      <c r="F6106" s="4">
        <v>1</v>
      </c>
      <c r="G6106" s="41">
        <v>10</v>
      </c>
      <c r="H6106" s="41">
        <v>9.4777299999999993</v>
      </c>
      <c r="I6106" s="221"/>
      <c r="J6106" s="221"/>
    </row>
    <row r="6107" spans="1:10" s="15" customFormat="1" ht="16.5" hidden="1" customHeight="1" outlineLevel="1" x14ac:dyDescent="0.25">
      <c r="A6107" s="18">
        <v>1008</v>
      </c>
      <c r="B6107" s="4" t="s">
        <v>43</v>
      </c>
      <c r="C6107" s="38" t="s">
        <v>4224</v>
      </c>
      <c r="D6107" s="18">
        <v>2022</v>
      </c>
      <c r="E6107" s="18" t="s">
        <v>0</v>
      </c>
      <c r="F6107" s="4">
        <v>1</v>
      </c>
      <c r="G6107" s="41">
        <v>10</v>
      </c>
      <c r="H6107" s="41">
        <v>9.4777100000000001</v>
      </c>
      <c r="I6107" s="221"/>
      <c r="J6107" s="221"/>
    </row>
    <row r="6108" spans="1:10" s="15" customFormat="1" ht="16.5" hidden="1" customHeight="1" outlineLevel="1" x14ac:dyDescent="0.25">
      <c r="A6108" s="18">
        <v>1009</v>
      </c>
      <c r="B6108" s="4" t="s">
        <v>43</v>
      </c>
      <c r="C6108" s="38" t="s">
        <v>4225</v>
      </c>
      <c r="D6108" s="18">
        <v>2022</v>
      </c>
      <c r="E6108" s="18" t="s">
        <v>0</v>
      </c>
      <c r="F6108" s="4">
        <v>1</v>
      </c>
      <c r="G6108" s="41">
        <v>10</v>
      </c>
      <c r="H6108" s="41">
        <v>9.4777299999999993</v>
      </c>
      <c r="I6108" s="221"/>
      <c r="J6108" s="221"/>
    </row>
    <row r="6109" spans="1:10" s="15" customFormat="1" ht="16.5" hidden="1" customHeight="1" outlineLevel="1" x14ac:dyDescent="0.25">
      <c r="A6109" s="18">
        <v>1010</v>
      </c>
      <c r="B6109" s="4" t="s">
        <v>43</v>
      </c>
      <c r="C6109" s="38" t="s">
        <v>4226</v>
      </c>
      <c r="D6109" s="18">
        <v>2022</v>
      </c>
      <c r="E6109" s="18" t="s">
        <v>0</v>
      </c>
      <c r="F6109" s="4">
        <v>1</v>
      </c>
      <c r="G6109" s="41">
        <v>10</v>
      </c>
      <c r="H6109" s="41">
        <v>9.4777000000000005</v>
      </c>
      <c r="I6109" s="221"/>
      <c r="J6109" s="221"/>
    </row>
    <row r="6110" spans="1:10" s="15" customFormat="1" ht="16.5" hidden="1" customHeight="1" outlineLevel="1" x14ac:dyDescent="0.25">
      <c r="A6110" s="18">
        <v>1011</v>
      </c>
      <c r="B6110" s="4" t="s">
        <v>43</v>
      </c>
      <c r="C6110" s="38" t="s">
        <v>4227</v>
      </c>
      <c r="D6110" s="18">
        <v>2022</v>
      </c>
      <c r="E6110" s="18" t="s">
        <v>0</v>
      </c>
      <c r="F6110" s="4">
        <v>1</v>
      </c>
      <c r="G6110" s="41">
        <v>10</v>
      </c>
      <c r="H6110" s="41">
        <v>9.4777299999999993</v>
      </c>
      <c r="I6110" s="221"/>
      <c r="J6110" s="221"/>
    </row>
    <row r="6111" spans="1:10" s="15" customFormat="1" ht="16.5" hidden="1" customHeight="1" outlineLevel="1" x14ac:dyDescent="0.25">
      <c r="A6111" s="18">
        <v>1012</v>
      </c>
      <c r="B6111" s="4" t="s">
        <v>43</v>
      </c>
      <c r="C6111" s="38" t="s">
        <v>4228</v>
      </c>
      <c r="D6111" s="18">
        <v>2022</v>
      </c>
      <c r="E6111" s="18" t="s">
        <v>0</v>
      </c>
      <c r="F6111" s="4">
        <v>1</v>
      </c>
      <c r="G6111" s="41">
        <v>10</v>
      </c>
      <c r="H6111" s="41">
        <v>9.2576800000000006</v>
      </c>
      <c r="I6111" s="221"/>
      <c r="J6111" s="221"/>
    </row>
    <row r="6112" spans="1:10" s="15" customFormat="1" ht="16.5" hidden="1" customHeight="1" outlineLevel="1" x14ac:dyDescent="0.25">
      <c r="A6112" s="18">
        <v>1013</v>
      </c>
      <c r="B6112" s="4" t="s">
        <v>43</v>
      </c>
      <c r="C6112" s="38" t="s">
        <v>4229</v>
      </c>
      <c r="D6112" s="18">
        <v>2022</v>
      </c>
      <c r="E6112" s="18" t="s">
        <v>0</v>
      </c>
      <c r="F6112" s="4">
        <v>1</v>
      </c>
      <c r="G6112" s="41">
        <v>10</v>
      </c>
      <c r="H6112" s="41">
        <v>9.2572299999999998</v>
      </c>
      <c r="I6112" s="221"/>
      <c r="J6112" s="221"/>
    </row>
    <row r="6113" spans="1:10" s="15" customFormat="1" ht="16.5" hidden="1" customHeight="1" outlineLevel="1" x14ac:dyDescent="0.25">
      <c r="A6113" s="18">
        <v>1014</v>
      </c>
      <c r="B6113" s="4" t="s">
        <v>43</v>
      </c>
      <c r="C6113" s="38" t="s">
        <v>4230</v>
      </c>
      <c r="D6113" s="18">
        <v>2022</v>
      </c>
      <c r="E6113" s="18" t="s">
        <v>0</v>
      </c>
      <c r="F6113" s="4">
        <v>1</v>
      </c>
      <c r="G6113" s="41">
        <v>10</v>
      </c>
      <c r="H6113" s="41">
        <v>9.2576800000000006</v>
      </c>
      <c r="I6113" s="221"/>
      <c r="J6113" s="221"/>
    </row>
    <row r="6114" spans="1:10" s="15" customFormat="1" ht="16.5" hidden="1" customHeight="1" outlineLevel="1" x14ac:dyDescent="0.25">
      <c r="A6114" s="18">
        <v>1019</v>
      </c>
      <c r="B6114" s="4" t="s">
        <v>43</v>
      </c>
      <c r="C6114" s="38" t="s">
        <v>4231</v>
      </c>
      <c r="D6114" s="18">
        <v>2022</v>
      </c>
      <c r="E6114" s="18" t="s">
        <v>0</v>
      </c>
      <c r="F6114" s="4">
        <v>1</v>
      </c>
      <c r="G6114" s="41">
        <v>10</v>
      </c>
      <c r="H6114" s="41">
        <v>9.2577200000000008</v>
      </c>
      <c r="I6114" s="221"/>
      <c r="J6114" s="221"/>
    </row>
    <row r="6115" spans="1:10" s="15" customFormat="1" ht="16.5" hidden="1" customHeight="1" outlineLevel="1" x14ac:dyDescent="0.25">
      <c r="A6115" s="18">
        <v>1020</v>
      </c>
      <c r="B6115" s="4" t="s">
        <v>43</v>
      </c>
      <c r="C6115" s="38" t="s">
        <v>4232</v>
      </c>
      <c r="D6115" s="18">
        <v>2022</v>
      </c>
      <c r="E6115" s="18" t="s">
        <v>0</v>
      </c>
      <c r="F6115" s="4">
        <v>1</v>
      </c>
      <c r="G6115" s="41">
        <v>10</v>
      </c>
      <c r="H6115" s="41">
        <v>9.2577200000000008</v>
      </c>
      <c r="I6115" s="221"/>
      <c r="J6115" s="221"/>
    </row>
    <row r="6116" spans="1:10" s="15" customFormat="1" ht="16.5" hidden="1" customHeight="1" outlineLevel="1" x14ac:dyDescent="0.25">
      <c r="A6116" s="18">
        <v>1021</v>
      </c>
      <c r="B6116" s="4" t="s">
        <v>43</v>
      </c>
      <c r="C6116" s="38" t="s">
        <v>4233</v>
      </c>
      <c r="D6116" s="18">
        <v>2022</v>
      </c>
      <c r="E6116" s="18" t="s">
        <v>0</v>
      </c>
      <c r="F6116" s="4">
        <v>1</v>
      </c>
      <c r="G6116" s="41">
        <v>10</v>
      </c>
      <c r="H6116" s="41">
        <v>9.2577200000000008</v>
      </c>
      <c r="I6116" s="221"/>
      <c r="J6116" s="221"/>
    </row>
    <row r="6117" spans="1:10" s="15" customFormat="1" ht="16.5" hidden="1" customHeight="1" outlineLevel="1" x14ac:dyDescent="0.25">
      <c r="A6117" s="18">
        <v>1022</v>
      </c>
      <c r="B6117" s="4" t="s">
        <v>43</v>
      </c>
      <c r="C6117" s="38" t="s">
        <v>4234</v>
      </c>
      <c r="D6117" s="18">
        <v>2022</v>
      </c>
      <c r="E6117" s="18" t="s">
        <v>0</v>
      </c>
      <c r="F6117" s="4">
        <v>1</v>
      </c>
      <c r="G6117" s="41">
        <v>10</v>
      </c>
      <c r="H6117" s="41">
        <v>9.4777100000000001</v>
      </c>
      <c r="I6117" s="221"/>
      <c r="J6117" s="221"/>
    </row>
    <row r="6118" spans="1:10" s="15" customFormat="1" ht="16.5" hidden="1" customHeight="1" outlineLevel="1" x14ac:dyDescent="0.25">
      <c r="A6118" s="18">
        <v>1023</v>
      </c>
      <c r="B6118" s="4" t="s">
        <v>43</v>
      </c>
      <c r="C6118" s="38" t="s">
        <v>4235</v>
      </c>
      <c r="D6118" s="18">
        <v>2022</v>
      </c>
      <c r="E6118" s="18" t="s">
        <v>0</v>
      </c>
      <c r="F6118" s="4">
        <v>1</v>
      </c>
      <c r="G6118" s="41">
        <v>10</v>
      </c>
      <c r="H6118" s="41">
        <v>9.4776900000000008</v>
      </c>
      <c r="I6118" s="221"/>
      <c r="J6118" s="221"/>
    </row>
    <row r="6119" spans="1:10" s="15" customFormat="1" ht="16.5" hidden="1" customHeight="1" outlineLevel="1" x14ac:dyDescent="0.25">
      <c r="A6119" s="18">
        <v>1024</v>
      </c>
      <c r="B6119" s="4" t="s">
        <v>43</v>
      </c>
      <c r="C6119" s="38" t="s">
        <v>4236</v>
      </c>
      <c r="D6119" s="18">
        <v>2022</v>
      </c>
      <c r="E6119" s="18" t="s">
        <v>0</v>
      </c>
      <c r="F6119" s="4">
        <v>1</v>
      </c>
      <c r="G6119" s="41">
        <v>10</v>
      </c>
      <c r="H6119" s="41">
        <v>9.2577200000000008</v>
      </c>
      <c r="I6119" s="221"/>
      <c r="J6119" s="221"/>
    </row>
    <row r="6120" spans="1:10" s="15" customFormat="1" ht="16.5" hidden="1" customHeight="1" outlineLevel="1" x14ac:dyDescent="0.25">
      <c r="A6120" s="18">
        <v>1025</v>
      </c>
      <c r="B6120" s="4" t="s">
        <v>43</v>
      </c>
      <c r="C6120" s="38" t="s">
        <v>4237</v>
      </c>
      <c r="D6120" s="18">
        <v>2022</v>
      </c>
      <c r="E6120" s="18" t="s">
        <v>0</v>
      </c>
      <c r="F6120" s="4">
        <v>1</v>
      </c>
      <c r="G6120" s="41">
        <v>10</v>
      </c>
      <c r="H6120" s="41">
        <v>9.2576800000000006</v>
      </c>
      <c r="I6120" s="221"/>
      <c r="J6120" s="221"/>
    </row>
    <row r="6121" spans="1:10" s="15" customFormat="1" ht="16.5" hidden="1" customHeight="1" outlineLevel="1" x14ac:dyDescent="0.25">
      <c r="A6121" s="18">
        <v>1026</v>
      </c>
      <c r="B6121" s="4" t="s">
        <v>43</v>
      </c>
      <c r="C6121" s="38" t="s">
        <v>4238</v>
      </c>
      <c r="D6121" s="18">
        <v>2022</v>
      </c>
      <c r="E6121" s="18" t="s">
        <v>0</v>
      </c>
      <c r="F6121" s="4">
        <v>1</v>
      </c>
      <c r="G6121" s="41">
        <v>10</v>
      </c>
      <c r="H6121" s="41">
        <v>9.7817799999999995</v>
      </c>
      <c r="I6121" s="221"/>
      <c r="J6121" s="221"/>
    </row>
    <row r="6122" spans="1:10" s="15" customFormat="1" ht="16.5" hidden="1" customHeight="1" outlineLevel="1" x14ac:dyDescent="0.25">
      <c r="A6122" s="18">
        <v>1027</v>
      </c>
      <c r="B6122" s="4" t="s">
        <v>43</v>
      </c>
      <c r="C6122" s="38" t="s">
        <v>4239</v>
      </c>
      <c r="D6122" s="18">
        <v>2022</v>
      </c>
      <c r="E6122" s="18" t="s">
        <v>0</v>
      </c>
      <c r="F6122" s="4">
        <v>1</v>
      </c>
      <c r="G6122" s="41">
        <v>10</v>
      </c>
      <c r="H6122" s="41">
        <v>9.3417499999999993</v>
      </c>
      <c r="I6122" s="221"/>
      <c r="J6122" s="221"/>
    </row>
    <row r="6123" spans="1:10" s="15" customFormat="1" ht="16.5" hidden="1" customHeight="1" outlineLevel="1" x14ac:dyDescent="0.25">
      <c r="A6123" s="18">
        <v>1028</v>
      </c>
      <c r="B6123" s="4" t="s">
        <v>43</v>
      </c>
      <c r="C6123" s="38" t="s">
        <v>4240</v>
      </c>
      <c r="D6123" s="18">
        <v>2022</v>
      </c>
      <c r="E6123" s="18" t="s">
        <v>0</v>
      </c>
      <c r="F6123" s="4">
        <v>1</v>
      </c>
      <c r="G6123" s="41">
        <v>10</v>
      </c>
      <c r="H6123" s="41">
        <v>9.7817799999999995</v>
      </c>
      <c r="I6123" s="221"/>
      <c r="J6123" s="221"/>
    </row>
    <row r="6124" spans="1:10" s="15" customFormat="1" ht="16.5" hidden="1" customHeight="1" outlineLevel="1" x14ac:dyDescent="0.25">
      <c r="A6124" s="18">
        <v>1029</v>
      </c>
      <c r="B6124" s="4" t="s">
        <v>43</v>
      </c>
      <c r="C6124" s="38" t="s">
        <v>4241</v>
      </c>
      <c r="D6124" s="18">
        <v>2022</v>
      </c>
      <c r="E6124" s="18" t="s">
        <v>0</v>
      </c>
      <c r="F6124" s="4">
        <v>1</v>
      </c>
      <c r="G6124" s="41">
        <v>10</v>
      </c>
      <c r="H6124" s="41">
        <v>9.3417399999999997</v>
      </c>
      <c r="I6124" s="221"/>
      <c r="J6124" s="221"/>
    </row>
    <row r="6125" spans="1:10" s="15" customFormat="1" ht="16.5" hidden="1" customHeight="1" outlineLevel="1" x14ac:dyDescent="0.25">
      <c r="A6125" s="18">
        <v>1030</v>
      </c>
      <c r="B6125" s="4" t="s">
        <v>43</v>
      </c>
      <c r="C6125" s="38" t="s">
        <v>4242</v>
      </c>
      <c r="D6125" s="18">
        <v>2022</v>
      </c>
      <c r="E6125" s="18" t="s">
        <v>0</v>
      </c>
      <c r="F6125" s="4">
        <v>1</v>
      </c>
      <c r="G6125" s="41">
        <v>10</v>
      </c>
      <c r="H6125" s="41">
        <v>9.7817699999999999</v>
      </c>
      <c r="I6125" s="221"/>
      <c r="J6125" s="221"/>
    </row>
    <row r="6126" spans="1:10" s="15" customFormat="1" ht="16.5" hidden="1" customHeight="1" outlineLevel="1" x14ac:dyDescent="0.25">
      <c r="A6126" s="18">
        <v>1031</v>
      </c>
      <c r="B6126" s="4" t="s">
        <v>43</v>
      </c>
      <c r="C6126" s="38" t="s">
        <v>4243</v>
      </c>
      <c r="D6126" s="18">
        <v>2022</v>
      </c>
      <c r="E6126" s="18" t="s">
        <v>0</v>
      </c>
      <c r="F6126" s="4">
        <v>1</v>
      </c>
      <c r="G6126" s="41">
        <v>10</v>
      </c>
      <c r="H6126" s="41">
        <v>9.7817600000000002</v>
      </c>
      <c r="I6126" s="221"/>
      <c r="J6126" s="221"/>
    </row>
    <row r="6127" spans="1:10" s="15" customFormat="1" ht="16.5" hidden="1" customHeight="1" outlineLevel="1" x14ac:dyDescent="0.25">
      <c r="A6127" s="18">
        <v>4741</v>
      </c>
      <c r="B6127" s="4" t="s">
        <v>43</v>
      </c>
      <c r="C6127" s="38" t="s">
        <v>4244</v>
      </c>
      <c r="D6127" s="18">
        <v>2022</v>
      </c>
      <c r="E6127" s="18" t="s">
        <v>0</v>
      </c>
      <c r="F6127" s="4">
        <v>1</v>
      </c>
      <c r="G6127" s="41">
        <v>3</v>
      </c>
      <c r="H6127" s="41">
        <v>79</v>
      </c>
      <c r="I6127" s="221"/>
      <c r="J6127" s="221"/>
    </row>
    <row r="6128" spans="1:10" s="15" customFormat="1" ht="16.5" hidden="1" customHeight="1" outlineLevel="1" x14ac:dyDescent="0.25">
      <c r="A6128" s="18">
        <v>4742</v>
      </c>
      <c r="B6128" s="4" t="s">
        <v>43</v>
      </c>
      <c r="C6128" s="38" t="s">
        <v>4245</v>
      </c>
      <c r="D6128" s="18">
        <v>2022</v>
      </c>
      <c r="E6128" s="18" t="s">
        <v>0</v>
      </c>
      <c r="F6128" s="4">
        <v>1</v>
      </c>
      <c r="G6128" s="41">
        <v>3</v>
      </c>
      <c r="H6128" s="41">
        <v>79</v>
      </c>
      <c r="I6128" s="221"/>
      <c r="J6128" s="221"/>
    </row>
    <row r="6129" spans="1:10" s="15" customFormat="1" ht="16.5" hidden="1" customHeight="1" outlineLevel="1" x14ac:dyDescent="0.25">
      <c r="A6129" s="18">
        <v>4552</v>
      </c>
      <c r="B6129" s="4" t="s">
        <v>43</v>
      </c>
      <c r="C6129" s="38" t="s">
        <v>4246</v>
      </c>
      <c r="D6129" s="18">
        <v>2022</v>
      </c>
      <c r="E6129" s="18" t="s">
        <v>0</v>
      </c>
      <c r="F6129" s="4">
        <v>1</v>
      </c>
      <c r="G6129" s="41">
        <v>5</v>
      </c>
      <c r="H6129" s="41">
        <v>29</v>
      </c>
      <c r="I6129" s="221"/>
      <c r="J6129" s="221"/>
    </row>
    <row r="6130" spans="1:10" s="15" customFormat="1" ht="16.5" hidden="1" customHeight="1" outlineLevel="1" x14ac:dyDescent="0.25">
      <c r="A6130" s="18">
        <v>4553</v>
      </c>
      <c r="B6130" s="4" t="s">
        <v>43</v>
      </c>
      <c r="C6130" s="38" t="s">
        <v>4247</v>
      </c>
      <c r="D6130" s="18">
        <v>2022</v>
      </c>
      <c r="E6130" s="18" t="s">
        <v>0</v>
      </c>
      <c r="F6130" s="4">
        <v>1</v>
      </c>
      <c r="G6130" s="41">
        <v>5</v>
      </c>
      <c r="H6130" s="41">
        <v>29</v>
      </c>
      <c r="I6130" s="221"/>
      <c r="J6130" s="221"/>
    </row>
    <row r="6131" spans="1:10" s="15" customFormat="1" ht="16.5" hidden="1" customHeight="1" outlineLevel="1" x14ac:dyDescent="0.25">
      <c r="A6131" s="18">
        <v>4556</v>
      </c>
      <c r="B6131" s="4" t="s">
        <v>43</v>
      </c>
      <c r="C6131" s="38" t="s">
        <v>4248</v>
      </c>
      <c r="D6131" s="18">
        <v>2022</v>
      </c>
      <c r="E6131" s="18" t="s">
        <v>0</v>
      </c>
      <c r="F6131" s="4">
        <v>1</v>
      </c>
      <c r="G6131" s="41">
        <v>5</v>
      </c>
      <c r="H6131" s="41">
        <v>29</v>
      </c>
      <c r="I6131" s="221"/>
      <c r="J6131" s="221"/>
    </row>
    <row r="6132" spans="1:10" s="15" customFormat="1" ht="16.5" hidden="1" customHeight="1" outlineLevel="1" x14ac:dyDescent="0.25">
      <c r="A6132" s="18">
        <v>4565</v>
      </c>
      <c r="B6132" s="4" t="s">
        <v>43</v>
      </c>
      <c r="C6132" s="38" t="s">
        <v>4249</v>
      </c>
      <c r="D6132" s="18">
        <v>2022</v>
      </c>
      <c r="E6132" s="18" t="s">
        <v>0</v>
      </c>
      <c r="F6132" s="4">
        <v>1</v>
      </c>
      <c r="G6132" s="41">
        <v>5</v>
      </c>
      <c r="H6132" s="41">
        <v>29</v>
      </c>
      <c r="I6132" s="221"/>
      <c r="J6132" s="221"/>
    </row>
    <row r="6133" spans="1:10" s="15" customFormat="1" ht="16.5" hidden="1" customHeight="1" outlineLevel="1" x14ac:dyDescent="0.25">
      <c r="A6133" s="18">
        <v>4574</v>
      </c>
      <c r="B6133" s="4" t="s">
        <v>43</v>
      </c>
      <c r="C6133" s="38" t="s">
        <v>4250</v>
      </c>
      <c r="D6133" s="18">
        <v>2022</v>
      </c>
      <c r="E6133" s="18" t="s">
        <v>0</v>
      </c>
      <c r="F6133" s="4">
        <v>1</v>
      </c>
      <c r="G6133" s="41">
        <v>5</v>
      </c>
      <c r="H6133" s="41">
        <v>29</v>
      </c>
      <c r="I6133" s="221"/>
      <c r="J6133" s="221"/>
    </row>
    <row r="6134" spans="1:10" s="15" customFormat="1" ht="16.5" hidden="1" customHeight="1" outlineLevel="1" x14ac:dyDescent="0.25">
      <c r="A6134" s="18">
        <v>4665</v>
      </c>
      <c r="B6134" s="4" t="s">
        <v>43</v>
      </c>
      <c r="C6134" s="38" t="s">
        <v>4251</v>
      </c>
      <c r="D6134" s="18">
        <v>2022</v>
      </c>
      <c r="E6134" s="18" t="s">
        <v>0</v>
      </c>
      <c r="F6134" s="4">
        <v>1</v>
      </c>
      <c r="G6134" s="41">
        <v>5</v>
      </c>
      <c r="H6134" s="41">
        <v>26</v>
      </c>
      <c r="I6134" s="221"/>
      <c r="J6134" s="221"/>
    </row>
    <row r="6135" spans="1:10" s="15" customFormat="1" ht="16.5" hidden="1" customHeight="1" outlineLevel="1" x14ac:dyDescent="0.25">
      <c r="A6135" s="18">
        <v>4561</v>
      </c>
      <c r="B6135" s="4" t="s">
        <v>43</v>
      </c>
      <c r="C6135" s="38" t="s">
        <v>4252</v>
      </c>
      <c r="D6135" s="18">
        <v>2022</v>
      </c>
      <c r="E6135" s="18" t="s">
        <v>0</v>
      </c>
      <c r="F6135" s="4">
        <v>1</v>
      </c>
      <c r="G6135" s="41">
        <v>3</v>
      </c>
      <c r="H6135" s="41">
        <v>27</v>
      </c>
      <c r="I6135" s="221"/>
      <c r="J6135" s="221"/>
    </row>
    <row r="6136" spans="1:10" s="15" customFormat="1" ht="16.5" hidden="1" customHeight="1" outlineLevel="1" x14ac:dyDescent="0.25">
      <c r="A6136" s="18">
        <v>4569</v>
      </c>
      <c r="B6136" s="4" t="s">
        <v>43</v>
      </c>
      <c r="C6136" s="38" t="s">
        <v>4253</v>
      </c>
      <c r="D6136" s="18">
        <v>2022</v>
      </c>
      <c r="E6136" s="18" t="s">
        <v>0</v>
      </c>
      <c r="F6136" s="4">
        <v>1</v>
      </c>
      <c r="G6136" s="41">
        <v>3</v>
      </c>
      <c r="H6136" s="41">
        <v>28.84</v>
      </c>
      <c r="I6136" s="221"/>
      <c r="J6136" s="221"/>
    </row>
    <row r="6137" spans="1:10" s="15" customFormat="1" ht="16.5" hidden="1" customHeight="1" outlineLevel="1" x14ac:dyDescent="0.25">
      <c r="A6137" s="18">
        <v>4557</v>
      </c>
      <c r="B6137" s="4" t="s">
        <v>43</v>
      </c>
      <c r="C6137" s="38" t="s">
        <v>4254</v>
      </c>
      <c r="D6137" s="18">
        <v>2022</v>
      </c>
      <c r="E6137" s="18" t="s">
        <v>0</v>
      </c>
      <c r="F6137" s="4">
        <v>1</v>
      </c>
      <c r="G6137" s="41">
        <v>5</v>
      </c>
      <c r="H6137" s="41">
        <v>24</v>
      </c>
      <c r="I6137" s="221"/>
      <c r="J6137" s="221"/>
    </row>
    <row r="6138" spans="1:10" s="15" customFormat="1" ht="16.5" hidden="1" customHeight="1" outlineLevel="1" x14ac:dyDescent="0.25">
      <c r="A6138" s="18">
        <v>4663</v>
      </c>
      <c r="B6138" s="4" t="s">
        <v>43</v>
      </c>
      <c r="C6138" s="38" t="s">
        <v>4255</v>
      </c>
      <c r="D6138" s="18">
        <v>2022</v>
      </c>
      <c r="E6138" s="18" t="s">
        <v>0</v>
      </c>
      <c r="F6138" s="4">
        <v>1</v>
      </c>
      <c r="G6138" s="41">
        <v>5</v>
      </c>
      <c r="H6138" s="41">
        <v>23</v>
      </c>
      <c r="I6138" s="221"/>
      <c r="J6138" s="221"/>
    </row>
    <row r="6139" spans="1:10" s="15" customFormat="1" ht="16.5" hidden="1" customHeight="1" outlineLevel="1" x14ac:dyDescent="0.25">
      <c r="A6139" s="18">
        <v>4683</v>
      </c>
      <c r="B6139" s="4" t="s">
        <v>43</v>
      </c>
      <c r="C6139" s="38" t="s">
        <v>4256</v>
      </c>
      <c r="D6139" s="18">
        <v>2022</v>
      </c>
      <c r="E6139" s="18" t="s">
        <v>0</v>
      </c>
      <c r="F6139" s="4">
        <v>1</v>
      </c>
      <c r="G6139" s="41">
        <v>5</v>
      </c>
      <c r="H6139" s="41">
        <v>23</v>
      </c>
      <c r="I6139" s="221"/>
      <c r="J6139" s="221"/>
    </row>
    <row r="6140" spans="1:10" s="15" customFormat="1" ht="16.5" hidden="1" customHeight="1" outlineLevel="1" x14ac:dyDescent="0.25">
      <c r="A6140" s="18">
        <v>4694</v>
      </c>
      <c r="B6140" s="4" t="s">
        <v>43</v>
      </c>
      <c r="C6140" s="38" t="s">
        <v>4257</v>
      </c>
      <c r="D6140" s="18">
        <v>2022</v>
      </c>
      <c r="E6140" s="18" t="s">
        <v>0</v>
      </c>
      <c r="F6140" s="4">
        <v>1</v>
      </c>
      <c r="G6140" s="41">
        <v>5</v>
      </c>
      <c r="H6140" s="41">
        <v>23</v>
      </c>
      <c r="I6140" s="221"/>
      <c r="J6140" s="221"/>
    </row>
    <row r="6141" spans="1:10" s="15" customFormat="1" ht="16.5" hidden="1" customHeight="1" outlineLevel="1" x14ac:dyDescent="0.25">
      <c r="A6141" s="18">
        <v>4709</v>
      </c>
      <c r="B6141" s="4" t="s">
        <v>43</v>
      </c>
      <c r="C6141" s="38" t="s">
        <v>4258</v>
      </c>
      <c r="D6141" s="18">
        <v>2022</v>
      </c>
      <c r="E6141" s="18" t="s">
        <v>0</v>
      </c>
      <c r="F6141" s="4">
        <v>1</v>
      </c>
      <c r="G6141" s="41">
        <v>5</v>
      </c>
      <c r="H6141" s="41">
        <v>19</v>
      </c>
      <c r="I6141" s="221"/>
      <c r="J6141" s="221"/>
    </row>
    <row r="6142" spans="1:10" s="15" customFormat="1" ht="16.5" hidden="1" customHeight="1" outlineLevel="1" x14ac:dyDescent="0.25">
      <c r="A6142" s="18">
        <v>4716</v>
      </c>
      <c r="B6142" s="4" t="s">
        <v>43</v>
      </c>
      <c r="C6142" s="38" t="s">
        <v>4259</v>
      </c>
      <c r="D6142" s="18">
        <v>2022</v>
      </c>
      <c r="E6142" s="18" t="s">
        <v>0</v>
      </c>
      <c r="F6142" s="4">
        <v>1</v>
      </c>
      <c r="G6142" s="41">
        <v>5</v>
      </c>
      <c r="H6142" s="41">
        <v>19</v>
      </c>
      <c r="I6142" s="221"/>
      <c r="J6142" s="221"/>
    </row>
    <row r="6143" spans="1:10" s="15" customFormat="1" ht="16.5" hidden="1" customHeight="1" outlineLevel="1" x14ac:dyDescent="0.25">
      <c r="A6143" s="18">
        <v>4718</v>
      </c>
      <c r="B6143" s="4" t="s">
        <v>43</v>
      </c>
      <c r="C6143" s="38" t="s">
        <v>4260</v>
      </c>
      <c r="D6143" s="18">
        <v>2022</v>
      </c>
      <c r="E6143" s="18" t="s">
        <v>0</v>
      </c>
      <c r="F6143" s="4">
        <v>1</v>
      </c>
      <c r="G6143" s="41">
        <v>2</v>
      </c>
      <c r="H6143" s="41">
        <v>19</v>
      </c>
      <c r="I6143" s="221"/>
      <c r="J6143" s="221"/>
    </row>
    <row r="6144" spans="1:10" s="15" customFormat="1" ht="16.5" hidden="1" customHeight="1" outlineLevel="1" x14ac:dyDescent="0.25">
      <c r="A6144" s="18">
        <v>4843</v>
      </c>
      <c r="B6144" s="4" t="s">
        <v>43</v>
      </c>
      <c r="C6144" s="38" t="s">
        <v>4261</v>
      </c>
      <c r="D6144" s="18">
        <v>2022</v>
      </c>
      <c r="E6144" s="18" t="s">
        <v>0</v>
      </c>
      <c r="F6144" s="4">
        <v>1</v>
      </c>
      <c r="G6144" s="41">
        <v>5</v>
      </c>
      <c r="H6144" s="41">
        <v>18</v>
      </c>
      <c r="I6144" s="221"/>
      <c r="J6144" s="221"/>
    </row>
    <row r="6145" spans="1:10" s="15" customFormat="1" ht="16.5" hidden="1" customHeight="1" outlineLevel="1" x14ac:dyDescent="0.25">
      <c r="A6145" s="18">
        <v>4881</v>
      </c>
      <c r="B6145" s="4" t="s">
        <v>43</v>
      </c>
      <c r="C6145" s="38" t="s">
        <v>4262</v>
      </c>
      <c r="D6145" s="18">
        <v>2022</v>
      </c>
      <c r="E6145" s="18" t="s">
        <v>0</v>
      </c>
      <c r="F6145" s="4">
        <v>1</v>
      </c>
      <c r="G6145" s="41">
        <v>5</v>
      </c>
      <c r="H6145" s="41">
        <v>19</v>
      </c>
      <c r="I6145" s="221"/>
      <c r="J6145" s="221"/>
    </row>
    <row r="6146" spans="1:10" s="15" customFormat="1" ht="16.5" hidden="1" customHeight="1" outlineLevel="1" x14ac:dyDescent="0.25">
      <c r="A6146" s="18">
        <v>4889</v>
      </c>
      <c r="B6146" s="4" t="s">
        <v>43</v>
      </c>
      <c r="C6146" s="38" t="s">
        <v>4263</v>
      </c>
      <c r="D6146" s="18">
        <v>2022</v>
      </c>
      <c r="E6146" s="18" t="s">
        <v>0</v>
      </c>
      <c r="F6146" s="4">
        <v>1</v>
      </c>
      <c r="G6146" s="41">
        <v>5</v>
      </c>
      <c r="H6146" s="41">
        <v>20</v>
      </c>
      <c r="I6146" s="221"/>
      <c r="J6146" s="221"/>
    </row>
    <row r="6147" spans="1:10" s="15" customFormat="1" ht="16.5" hidden="1" customHeight="1" outlineLevel="1" x14ac:dyDescent="0.25">
      <c r="A6147" s="18">
        <v>4666</v>
      </c>
      <c r="B6147" s="4" t="s">
        <v>43</v>
      </c>
      <c r="C6147" s="38" t="s">
        <v>4264</v>
      </c>
      <c r="D6147" s="18">
        <v>2022</v>
      </c>
      <c r="E6147" s="18" t="s">
        <v>0</v>
      </c>
      <c r="F6147" s="4">
        <v>1</v>
      </c>
      <c r="G6147" s="41">
        <v>2</v>
      </c>
      <c r="H6147" s="41">
        <v>21</v>
      </c>
      <c r="I6147" s="221"/>
      <c r="J6147" s="221"/>
    </row>
    <row r="6148" spans="1:10" s="15" customFormat="1" ht="16.5" hidden="1" customHeight="1" outlineLevel="1" x14ac:dyDescent="0.25">
      <c r="A6148" s="18">
        <v>4667</v>
      </c>
      <c r="B6148" s="4" t="s">
        <v>43</v>
      </c>
      <c r="C6148" s="38" t="s">
        <v>4265</v>
      </c>
      <c r="D6148" s="18">
        <v>2022</v>
      </c>
      <c r="E6148" s="18" t="s">
        <v>0</v>
      </c>
      <c r="F6148" s="4">
        <v>1</v>
      </c>
      <c r="G6148" s="41">
        <v>2</v>
      </c>
      <c r="H6148" s="41">
        <v>21</v>
      </c>
      <c r="I6148" s="221"/>
      <c r="J6148" s="221"/>
    </row>
    <row r="6149" spans="1:10" s="15" customFormat="1" ht="16.5" hidden="1" customHeight="1" outlineLevel="1" x14ac:dyDescent="0.25">
      <c r="A6149" s="18">
        <v>4668</v>
      </c>
      <c r="B6149" s="4" t="s">
        <v>43</v>
      </c>
      <c r="C6149" s="38" t="s">
        <v>4266</v>
      </c>
      <c r="D6149" s="18">
        <v>2022</v>
      </c>
      <c r="E6149" s="18" t="s">
        <v>0</v>
      </c>
      <c r="F6149" s="4">
        <v>1</v>
      </c>
      <c r="G6149" s="41">
        <v>1</v>
      </c>
      <c r="H6149" s="41">
        <v>20</v>
      </c>
      <c r="I6149" s="221"/>
      <c r="J6149" s="221"/>
    </row>
    <row r="6150" spans="1:10" s="15" customFormat="1" ht="16.5" hidden="1" customHeight="1" outlineLevel="1" x14ac:dyDescent="0.25">
      <c r="A6150" s="18">
        <v>4669</v>
      </c>
      <c r="B6150" s="4" t="s">
        <v>43</v>
      </c>
      <c r="C6150" s="38" t="s">
        <v>4267</v>
      </c>
      <c r="D6150" s="18">
        <v>2022</v>
      </c>
      <c r="E6150" s="18" t="s">
        <v>0</v>
      </c>
      <c r="F6150" s="4">
        <v>1</v>
      </c>
      <c r="G6150" s="41">
        <v>2</v>
      </c>
      <c r="H6150" s="41">
        <v>20</v>
      </c>
      <c r="I6150" s="221"/>
      <c r="J6150" s="221"/>
    </row>
    <row r="6151" spans="1:10" s="15" customFormat="1" ht="16.5" hidden="1" customHeight="1" outlineLevel="1" x14ac:dyDescent="0.25">
      <c r="A6151" s="18">
        <v>4645</v>
      </c>
      <c r="B6151" s="4" t="s">
        <v>43</v>
      </c>
      <c r="C6151" s="38" t="s">
        <v>4268</v>
      </c>
      <c r="D6151" s="18">
        <v>2022</v>
      </c>
      <c r="E6151" s="18" t="s">
        <v>0</v>
      </c>
      <c r="F6151" s="4">
        <v>1</v>
      </c>
      <c r="G6151" s="41">
        <v>10</v>
      </c>
      <c r="H6151" s="41">
        <v>27</v>
      </c>
      <c r="I6151" s="221"/>
      <c r="J6151" s="221"/>
    </row>
    <row r="6152" spans="1:10" s="15" customFormat="1" ht="16.5" hidden="1" customHeight="1" outlineLevel="1" x14ac:dyDescent="0.25">
      <c r="A6152" s="18">
        <v>4605</v>
      </c>
      <c r="B6152" s="4" t="s">
        <v>43</v>
      </c>
      <c r="C6152" s="38" t="s">
        <v>4269</v>
      </c>
      <c r="D6152" s="18">
        <v>2022</v>
      </c>
      <c r="E6152" s="18" t="s">
        <v>0</v>
      </c>
      <c r="F6152" s="4">
        <v>1</v>
      </c>
      <c r="G6152" s="41">
        <v>5</v>
      </c>
      <c r="H6152" s="41">
        <v>20</v>
      </c>
      <c r="I6152" s="221"/>
      <c r="J6152" s="221"/>
    </row>
    <row r="6153" spans="1:10" s="15" customFormat="1" ht="16.5" hidden="1" customHeight="1" outlineLevel="1" x14ac:dyDescent="0.25">
      <c r="A6153" s="18">
        <v>4608</v>
      </c>
      <c r="B6153" s="4" t="s">
        <v>43</v>
      </c>
      <c r="C6153" s="38" t="s">
        <v>4270</v>
      </c>
      <c r="D6153" s="18">
        <v>2022</v>
      </c>
      <c r="E6153" s="18" t="s">
        <v>0</v>
      </c>
      <c r="F6153" s="4">
        <v>1</v>
      </c>
      <c r="G6153" s="41">
        <v>5</v>
      </c>
      <c r="H6153" s="41">
        <v>19</v>
      </c>
      <c r="I6153" s="221"/>
      <c r="J6153" s="221"/>
    </row>
    <row r="6154" spans="1:10" s="15" customFormat="1" ht="16.5" hidden="1" customHeight="1" outlineLevel="1" x14ac:dyDescent="0.25">
      <c r="A6154" s="18">
        <v>4624</v>
      </c>
      <c r="B6154" s="4" t="s">
        <v>43</v>
      </c>
      <c r="C6154" s="38" t="s">
        <v>4271</v>
      </c>
      <c r="D6154" s="18">
        <v>2022</v>
      </c>
      <c r="E6154" s="18" t="s">
        <v>0</v>
      </c>
      <c r="F6154" s="4">
        <v>1</v>
      </c>
      <c r="G6154" s="41">
        <v>5.5</v>
      </c>
      <c r="H6154" s="41">
        <v>21</v>
      </c>
      <c r="I6154" s="221"/>
      <c r="J6154" s="221"/>
    </row>
    <row r="6155" spans="1:10" s="15" customFormat="1" ht="16.5" hidden="1" customHeight="1" outlineLevel="1" x14ac:dyDescent="0.25">
      <c r="A6155" s="18">
        <v>4671</v>
      </c>
      <c r="B6155" s="4" t="s">
        <v>43</v>
      </c>
      <c r="C6155" s="38" t="s">
        <v>4272</v>
      </c>
      <c r="D6155" s="18">
        <v>2022</v>
      </c>
      <c r="E6155" s="18" t="s">
        <v>0</v>
      </c>
      <c r="F6155" s="4">
        <v>1</v>
      </c>
      <c r="G6155" s="41">
        <v>5</v>
      </c>
      <c r="H6155" s="41">
        <v>19</v>
      </c>
      <c r="I6155" s="221"/>
      <c r="J6155" s="221"/>
    </row>
    <row r="6156" spans="1:10" s="15" customFormat="1" ht="16.5" hidden="1" customHeight="1" outlineLevel="1" x14ac:dyDescent="0.25">
      <c r="A6156" s="18">
        <v>4672</v>
      </c>
      <c r="B6156" s="4" t="s">
        <v>43</v>
      </c>
      <c r="C6156" s="38" t="s">
        <v>4273</v>
      </c>
      <c r="D6156" s="18">
        <v>2022</v>
      </c>
      <c r="E6156" s="18" t="s">
        <v>0</v>
      </c>
      <c r="F6156" s="4">
        <v>1</v>
      </c>
      <c r="G6156" s="41">
        <v>5</v>
      </c>
      <c r="H6156" s="41">
        <v>17</v>
      </c>
      <c r="I6156" s="221"/>
      <c r="J6156" s="221"/>
    </row>
    <row r="6157" spans="1:10" s="15" customFormat="1" ht="16.5" hidden="1" customHeight="1" outlineLevel="1" x14ac:dyDescent="0.25">
      <c r="A6157" s="18">
        <v>4696</v>
      </c>
      <c r="B6157" s="4" t="s">
        <v>43</v>
      </c>
      <c r="C6157" s="38" t="s">
        <v>4274</v>
      </c>
      <c r="D6157" s="18">
        <v>2022</v>
      </c>
      <c r="E6157" s="18" t="s">
        <v>0</v>
      </c>
      <c r="F6157" s="4">
        <v>1</v>
      </c>
      <c r="G6157" s="41">
        <v>5</v>
      </c>
      <c r="H6157" s="41">
        <v>17</v>
      </c>
      <c r="I6157" s="221"/>
      <c r="J6157" s="221"/>
    </row>
    <row r="6158" spans="1:10" s="15" customFormat="1" ht="16.5" hidden="1" customHeight="1" outlineLevel="1" x14ac:dyDescent="0.25">
      <c r="A6158" s="18">
        <v>4697</v>
      </c>
      <c r="B6158" s="4" t="s">
        <v>43</v>
      </c>
      <c r="C6158" s="38" t="s">
        <v>4275</v>
      </c>
      <c r="D6158" s="18">
        <v>2022</v>
      </c>
      <c r="E6158" s="18" t="s">
        <v>0</v>
      </c>
      <c r="F6158" s="4">
        <v>1</v>
      </c>
      <c r="G6158" s="41">
        <v>5</v>
      </c>
      <c r="H6158" s="41">
        <v>21</v>
      </c>
      <c r="I6158" s="221"/>
      <c r="J6158" s="221"/>
    </row>
    <row r="6159" spans="1:10" s="15" customFormat="1" ht="16.5" hidden="1" customHeight="1" outlineLevel="1" x14ac:dyDescent="0.25">
      <c r="A6159" s="18">
        <v>4698</v>
      </c>
      <c r="B6159" s="4" t="s">
        <v>43</v>
      </c>
      <c r="C6159" s="38" t="s">
        <v>4276</v>
      </c>
      <c r="D6159" s="18">
        <v>2022</v>
      </c>
      <c r="E6159" s="18" t="s">
        <v>0</v>
      </c>
      <c r="F6159" s="4">
        <v>1</v>
      </c>
      <c r="G6159" s="41">
        <v>5</v>
      </c>
      <c r="H6159" s="41">
        <v>19</v>
      </c>
      <c r="I6159" s="221"/>
      <c r="J6159" s="221"/>
    </row>
    <row r="6160" spans="1:10" s="15" customFormat="1" ht="16.5" hidden="1" customHeight="1" outlineLevel="1" x14ac:dyDescent="0.25">
      <c r="A6160" s="18">
        <v>4621</v>
      </c>
      <c r="B6160" s="4" t="s">
        <v>43</v>
      </c>
      <c r="C6160" s="38" t="s">
        <v>4277</v>
      </c>
      <c r="D6160" s="18">
        <v>2022</v>
      </c>
      <c r="E6160" s="18" t="s">
        <v>0</v>
      </c>
      <c r="F6160" s="4">
        <v>1</v>
      </c>
      <c r="G6160" s="41">
        <v>5</v>
      </c>
      <c r="H6160" s="41">
        <v>21</v>
      </c>
      <c r="I6160" s="221"/>
      <c r="J6160" s="221"/>
    </row>
    <row r="6161" spans="1:10" s="15" customFormat="1" ht="16.5" hidden="1" customHeight="1" outlineLevel="1" x14ac:dyDescent="0.25">
      <c r="A6161" s="18">
        <v>4623</v>
      </c>
      <c r="B6161" s="4" t="s">
        <v>43</v>
      </c>
      <c r="C6161" s="38" t="s">
        <v>4278</v>
      </c>
      <c r="D6161" s="18">
        <v>2022</v>
      </c>
      <c r="E6161" s="18" t="s">
        <v>0</v>
      </c>
      <c r="F6161" s="4">
        <v>1</v>
      </c>
      <c r="G6161" s="41">
        <v>5</v>
      </c>
      <c r="H6161" s="41">
        <v>21</v>
      </c>
      <c r="I6161" s="221"/>
      <c r="J6161" s="221"/>
    </row>
    <row r="6162" spans="1:10" s="15" customFormat="1" ht="16.5" hidden="1" customHeight="1" outlineLevel="1" x14ac:dyDescent="0.25">
      <c r="A6162" s="18">
        <v>4637</v>
      </c>
      <c r="B6162" s="4" t="s">
        <v>43</v>
      </c>
      <c r="C6162" s="38" t="s">
        <v>4279</v>
      </c>
      <c r="D6162" s="18">
        <v>2022</v>
      </c>
      <c r="E6162" s="18" t="s">
        <v>0</v>
      </c>
      <c r="F6162" s="4">
        <v>1</v>
      </c>
      <c r="G6162" s="41">
        <v>5</v>
      </c>
      <c r="H6162" s="41">
        <v>20</v>
      </c>
      <c r="I6162" s="221"/>
      <c r="J6162" s="221"/>
    </row>
    <row r="6163" spans="1:10" s="15" customFormat="1" ht="16.5" hidden="1" customHeight="1" outlineLevel="1" x14ac:dyDescent="0.25">
      <c r="A6163" s="18">
        <v>4678</v>
      </c>
      <c r="B6163" s="4" t="s">
        <v>43</v>
      </c>
      <c r="C6163" s="38" t="s">
        <v>4280</v>
      </c>
      <c r="D6163" s="18">
        <v>2022</v>
      </c>
      <c r="E6163" s="18" t="s">
        <v>0</v>
      </c>
      <c r="F6163" s="4">
        <v>1</v>
      </c>
      <c r="G6163" s="41">
        <v>5</v>
      </c>
      <c r="H6163" s="41">
        <v>17</v>
      </c>
      <c r="I6163" s="221"/>
      <c r="J6163" s="221"/>
    </row>
    <row r="6164" spans="1:10" s="15" customFormat="1" ht="16.5" hidden="1" customHeight="1" outlineLevel="1" x14ac:dyDescent="0.25">
      <c r="A6164" s="18">
        <v>4679</v>
      </c>
      <c r="B6164" s="4" t="s">
        <v>43</v>
      </c>
      <c r="C6164" s="38" t="s">
        <v>4281</v>
      </c>
      <c r="D6164" s="18">
        <v>2022</v>
      </c>
      <c r="E6164" s="18" t="s">
        <v>0</v>
      </c>
      <c r="F6164" s="4">
        <v>1</v>
      </c>
      <c r="G6164" s="41">
        <v>5</v>
      </c>
      <c r="H6164" s="41">
        <v>17</v>
      </c>
      <c r="I6164" s="221"/>
      <c r="J6164" s="221"/>
    </row>
    <row r="6165" spans="1:10" s="15" customFormat="1" ht="16.5" hidden="1" customHeight="1" outlineLevel="1" x14ac:dyDescent="0.25">
      <c r="A6165" s="18">
        <v>4680</v>
      </c>
      <c r="B6165" s="4" t="s">
        <v>43</v>
      </c>
      <c r="C6165" s="38" t="s">
        <v>4282</v>
      </c>
      <c r="D6165" s="18">
        <v>2022</v>
      </c>
      <c r="E6165" s="18" t="s">
        <v>0</v>
      </c>
      <c r="F6165" s="4">
        <v>1</v>
      </c>
      <c r="G6165" s="41">
        <v>5</v>
      </c>
      <c r="H6165" s="41">
        <v>19</v>
      </c>
      <c r="I6165" s="221"/>
      <c r="J6165" s="221"/>
    </row>
    <row r="6166" spans="1:10" s="15" customFormat="1" ht="16.5" hidden="1" customHeight="1" outlineLevel="1" x14ac:dyDescent="0.25">
      <c r="A6166" s="18">
        <v>4681</v>
      </c>
      <c r="B6166" s="4" t="s">
        <v>43</v>
      </c>
      <c r="C6166" s="38" t="s">
        <v>4283</v>
      </c>
      <c r="D6166" s="18">
        <v>2022</v>
      </c>
      <c r="E6166" s="18" t="s">
        <v>0</v>
      </c>
      <c r="F6166" s="4">
        <v>1</v>
      </c>
      <c r="G6166" s="41">
        <v>5</v>
      </c>
      <c r="H6166" s="41">
        <v>17</v>
      </c>
      <c r="I6166" s="221"/>
      <c r="J6166" s="221"/>
    </row>
    <row r="6167" spans="1:10" s="15" customFormat="1" ht="16.5" hidden="1" customHeight="1" outlineLevel="1" x14ac:dyDescent="0.25">
      <c r="A6167" s="18">
        <v>4720</v>
      </c>
      <c r="B6167" s="4" t="s">
        <v>43</v>
      </c>
      <c r="C6167" s="38" t="s">
        <v>4284</v>
      </c>
      <c r="D6167" s="18">
        <v>2022</v>
      </c>
      <c r="E6167" s="18" t="s">
        <v>0</v>
      </c>
      <c r="F6167" s="4">
        <v>1</v>
      </c>
      <c r="G6167" s="41">
        <v>5</v>
      </c>
      <c r="H6167" s="41">
        <v>17</v>
      </c>
      <c r="I6167" s="221"/>
      <c r="J6167" s="221"/>
    </row>
    <row r="6168" spans="1:10" s="15" customFormat="1" ht="16.5" hidden="1" customHeight="1" outlineLevel="1" x14ac:dyDescent="0.25">
      <c r="A6168" s="18">
        <v>4733</v>
      </c>
      <c r="B6168" s="4" t="s">
        <v>43</v>
      </c>
      <c r="C6168" s="38" t="s">
        <v>4285</v>
      </c>
      <c r="D6168" s="18">
        <v>2022</v>
      </c>
      <c r="E6168" s="18" t="s">
        <v>0</v>
      </c>
      <c r="F6168" s="4">
        <v>1</v>
      </c>
      <c r="G6168" s="41">
        <v>5</v>
      </c>
      <c r="H6168" s="41">
        <v>18</v>
      </c>
      <c r="I6168" s="221"/>
      <c r="J6168" s="221"/>
    </row>
    <row r="6169" spans="1:10" s="15" customFormat="1" ht="16.5" hidden="1" customHeight="1" outlineLevel="1" x14ac:dyDescent="0.25">
      <c r="A6169" s="18">
        <v>4738</v>
      </c>
      <c r="B6169" s="4" t="s">
        <v>43</v>
      </c>
      <c r="C6169" s="38" t="s">
        <v>4286</v>
      </c>
      <c r="D6169" s="18">
        <v>2022</v>
      </c>
      <c r="E6169" s="18" t="s">
        <v>0</v>
      </c>
      <c r="F6169" s="4">
        <v>1</v>
      </c>
      <c r="G6169" s="41">
        <v>5</v>
      </c>
      <c r="H6169" s="41">
        <v>18</v>
      </c>
      <c r="I6169" s="221"/>
      <c r="J6169" s="221"/>
    </row>
    <row r="6170" spans="1:10" s="15" customFormat="1" ht="16.5" hidden="1" customHeight="1" outlineLevel="1" x14ac:dyDescent="0.25">
      <c r="A6170" s="18">
        <v>4744</v>
      </c>
      <c r="B6170" s="4" t="s">
        <v>43</v>
      </c>
      <c r="C6170" s="38" t="s">
        <v>4287</v>
      </c>
      <c r="D6170" s="18">
        <v>2022</v>
      </c>
      <c r="E6170" s="18" t="s">
        <v>0</v>
      </c>
      <c r="F6170" s="4">
        <v>1</v>
      </c>
      <c r="G6170" s="41">
        <v>5</v>
      </c>
      <c r="H6170" s="41">
        <v>18</v>
      </c>
      <c r="I6170" s="221"/>
      <c r="J6170" s="221"/>
    </row>
    <row r="6171" spans="1:10" s="15" customFormat="1" ht="16.5" hidden="1" customHeight="1" outlineLevel="1" x14ac:dyDescent="0.25">
      <c r="A6171" s="18">
        <v>4768</v>
      </c>
      <c r="B6171" s="4" t="s">
        <v>43</v>
      </c>
      <c r="C6171" s="38" t="s">
        <v>4288</v>
      </c>
      <c r="D6171" s="18">
        <v>2022</v>
      </c>
      <c r="E6171" s="18" t="s">
        <v>0</v>
      </c>
      <c r="F6171" s="4">
        <v>1</v>
      </c>
      <c r="G6171" s="41">
        <v>5</v>
      </c>
      <c r="H6171" s="41">
        <v>18</v>
      </c>
      <c r="I6171" s="221"/>
      <c r="J6171" s="221"/>
    </row>
    <row r="6172" spans="1:10" s="15" customFormat="1" ht="16.5" hidden="1" customHeight="1" outlineLevel="1" x14ac:dyDescent="0.25">
      <c r="A6172" s="18">
        <v>4769</v>
      </c>
      <c r="B6172" s="4" t="s">
        <v>43</v>
      </c>
      <c r="C6172" s="38" t="s">
        <v>4289</v>
      </c>
      <c r="D6172" s="18">
        <v>2022</v>
      </c>
      <c r="E6172" s="18" t="s">
        <v>0</v>
      </c>
      <c r="F6172" s="4">
        <v>1</v>
      </c>
      <c r="G6172" s="41">
        <v>5</v>
      </c>
      <c r="H6172" s="41">
        <v>17</v>
      </c>
      <c r="I6172" s="221"/>
      <c r="J6172" s="221"/>
    </row>
    <row r="6173" spans="1:10" s="15" customFormat="1" ht="16.5" hidden="1" customHeight="1" outlineLevel="1" x14ac:dyDescent="0.25">
      <c r="A6173" s="18">
        <v>4771</v>
      </c>
      <c r="B6173" s="4" t="s">
        <v>43</v>
      </c>
      <c r="C6173" s="38" t="s">
        <v>4290</v>
      </c>
      <c r="D6173" s="18">
        <v>2022</v>
      </c>
      <c r="E6173" s="18" t="s">
        <v>0</v>
      </c>
      <c r="F6173" s="4">
        <v>1</v>
      </c>
      <c r="G6173" s="41">
        <v>5</v>
      </c>
      <c r="H6173" s="41">
        <v>17</v>
      </c>
      <c r="I6173" s="221"/>
      <c r="J6173" s="221"/>
    </row>
    <row r="6174" spans="1:10" s="15" customFormat="1" ht="16.5" hidden="1" customHeight="1" outlineLevel="1" x14ac:dyDescent="0.25">
      <c r="A6174" s="18">
        <v>4772</v>
      </c>
      <c r="B6174" s="4" t="s">
        <v>43</v>
      </c>
      <c r="C6174" s="38" t="s">
        <v>4291</v>
      </c>
      <c r="D6174" s="18">
        <v>2022</v>
      </c>
      <c r="E6174" s="18" t="s">
        <v>0</v>
      </c>
      <c r="F6174" s="4">
        <v>1</v>
      </c>
      <c r="G6174" s="41">
        <v>5</v>
      </c>
      <c r="H6174" s="41">
        <v>18</v>
      </c>
      <c r="I6174" s="221"/>
      <c r="J6174" s="221"/>
    </row>
    <row r="6175" spans="1:10" s="15" customFormat="1" ht="16.5" hidden="1" customHeight="1" outlineLevel="1" x14ac:dyDescent="0.25">
      <c r="A6175" s="18">
        <v>4773</v>
      </c>
      <c r="B6175" s="4" t="s">
        <v>43</v>
      </c>
      <c r="C6175" s="38" t="s">
        <v>4292</v>
      </c>
      <c r="D6175" s="18">
        <v>2022</v>
      </c>
      <c r="E6175" s="18" t="s">
        <v>0</v>
      </c>
      <c r="F6175" s="4">
        <v>1</v>
      </c>
      <c r="G6175" s="41">
        <v>5</v>
      </c>
      <c r="H6175" s="41">
        <v>18</v>
      </c>
      <c r="I6175" s="221"/>
      <c r="J6175" s="221"/>
    </row>
    <row r="6176" spans="1:10" s="15" customFormat="1" ht="16.5" hidden="1" customHeight="1" outlineLevel="1" x14ac:dyDescent="0.25">
      <c r="A6176" s="18">
        <v>4774</v>
      </c>
      <c r="B6176" s="4" t="s">
        <v>43</v>
      </c>
      <c r="C6176" s="38" t="s">
        <v>4293</v>
      </c>
      <c r="D6176" s="18">
        <v>2022</v>
      </c>
      <c r="E6176" s="18" t="s">
        <v>0</v>
      </c>
      <c r="F6176" s="4">
        <v>1</v>
      </c>
      <c r="G6176" s="41">
        <v>5</v>
      </c>
      <c r="H6176" s="41">
        <v>18</v>
      </c>
      <c r="I6176" s="221"/>
      <c r="J6176" s="221"/>
    </row>
    <row r="6177" spans="1:10" s="15" customFormat="1" ht="16.5" hidden="1" customHeight="1" outlineLevel="1" x14ac:dyDescent="0.25">
      <c r="A6177" s="18">
        <v>4776</v>
      </c>
      <c r="B6177" s="4" t="s">
        <v>43</v>
      </c>
      <c r="C6177" s="38" t="s">
        <v>4294</v>
      </c>
      <c r="D6177" s="18">
        <v>2022</v>
      </c>
      <c r="E6177" s="18" t="s">
        <v>0</v>
      </c>
      <c r="F6177" s="4">
        <v>1</v>
      </c>
      <c r="G6177" s="41">
        <v>5</v>
      </c>
      <c r="H6177" s="41">
        <v>18</v>
      </c>
      <c r="I6177" s="221"/>
      <c r="J6177" s="221"/>
    </row>
    <row r="6178" spans="1:10" s="15" customFormat="1" ht="16.5" hidden="1" customHeight="1" outlineLevel="1" x14ac:dyDescent="0.25">
      <c r="A6178" s="18">
        <v>4699</v>
      </c>
      <c r="B6178" s="4" t="s">
        <v>43</v>
      </c>
      <c r="C6178" s="38" t="s">
        <v>4295</v>
      </c>
      <c r="D6178" s="18">
        <v>2022</v>
      </c>
      <c r="E6178" s="18" t="s">
        <v>0</v>
      </c>
      <c r="F6178" s="4">
        <v>1</v>
      </c>
      <c r="G6178" s="41">
        <v>3</v>
      </c>
      <c r="H6178" s="41">
        <v>19</v>
      </c>
      <c r="I6178" s="221"/>
      <c r="J6178" s="221"/>
    </row>
    <row r="6179" spans="1:10" s="15" customFormat="1" ht="16.5" hidden="1" customHeight="1" outlineLevel="1" x14ac:dyDescent="0.25">
      <c r="A6179" s="18">
        <v>4719</v>
      </c>
      <c r="B6179" s="4" t="s">
        <v>43</v>
      </c>
      <c r="C6179" s="38" t="s">
        <v>4296</v>
      </c>
      <c r="D6179" s="18">
        <v>2022</v>
      </c>
      <c r="E6179" s="18" t="s">
        <v>0</v>
      </c>
      <c r="F6179" s="4">
        <v>1</v>
      </c>
      <c r="G6179" s="41">
        <v>10</v>
      </c>
      <c r="H6179" s="41">
        <v>23</v>
      </c>
      <c r="I6179" s="221"/>
      <c r="J6179" s="221"/>
    </row>
    <row r="6180" spans="1:10" s="15" customFormat="1" ht="16.5" hidden="1" customHeight="1" outlineLevel="1" x14ac:dyDescent="0.25">
      <c r="A6180" s="18">
        <v>4787</v>
      </c>
      <c r="B6180" s="4" t="s">
        <v>43</v>
      </c>
      <c r="C6180" s="38" t="s">
        <v>4297</v>
      </c>
      <c r="D6180" s="18">
        <v>2022</v>
      </c>
      <c r="E6180" s="18" t="s">
        <v>0</v>
      </c>
      <c r="F6180" s="4">
        <v>1</v>
      </c>
      <c r="G6180" s="41">
        <v>5</v>
      </c>
      <c r="H6180" s="41">
        <v>20</v>
      </c>
      <c r="I6180" s="221"/>
      <c r="J6180" s="221"/>
    </row>
    <row r="6181" spans="1:10" s="15" customFormat="1" ht="16.5" hidden="1" customHeight="1" outlineLevel="1" x14ac:dyDescent="0.25">
      <c r="A6181" s="18">
        <v>4590</v>
      </c>
      <c r="B6181" s="4" t="s">
        <v>43</v>
      </c>
      <c r="C6181" s="38" t="s">
        <v>4298</v>
      </c>
      <c r="D6181" s="18">
        <v>2022</v>
      </c>
      <c r="E6181" s="18" t="s">
        <v>0</v>
      </c>
      <c r="F6181" s="4">
        <v>1</v>
      </c>
      <c r="G6181" s="41">
        <v>5</v>
      </c>
      <c r="H6181" s="41">
        <v>15.7</v>
      </c>
      <c r="I6181" s="221"/>
      <c r="J6181" s="221"/>
    </row>
    <row r="6182" spans="1:10" s="15" customFormat="1" ht="16.5" hidden="1" customHeight="1" outlineLevel="1" x14ac:dyDescent="0.25">
      <c r="A6182" s="18">
        <v>4658</v>
      </c>
      <c r="B6182" s="4" t="s">
        <v>43</v>
      </c>
      <c r="C6182" s="38" t="s">
        <v>4299</v>
      </c>
      <c r="D6182" s="18">
        <v>2022</v>
      </c>
      <c r="E6182" s="18" t="s">
        <v>0</v>
      </c>
      <c r="F6182" s="4">
        <v>1</v>
      </c>
      <c r="G6182" s="41">
        <v>5</v>
      </c>
      <c r="H6182" s="41">
        <v>22.9</v>
      </c>
      <c r="I6182" s="221"/>
      <c r="J6182" s="221"/>
    </row>
    <row r="6183" spans="1:10" s="15" customFormat="1" ht="16.5" hidden="1" customHeight="1" outlineLevel="1" x14ac:dyDescent="0.25">
      <c r="A6183" s="18">
        <v>4822</v>
      </c>
      <c r="B6183" s="4" t="s">
        <v>43</v>
      </c>
      <c r="C6183" s="38" t="s">
        <v>4300</v>
      </c>
      <c r="D6183" s="18">
        <v>2022</v>
      </c>
      <c r="E6183" s="18" t="s">
        <v>0</v>
      </c>
      <c r="F6183" s="4">
        <v>1</v>
      </c>
      <c r="G6183" s="41">
        <v>5</v>
      </c>
      <c r="H6183" s="41">
        <v>23</v>
      </c>
      <c r="I6183" s="221"/>
      <c r="J6183" s="221"/>
    </row>
    <row r="6184" spans="1:10" s="15" customFormat="1" ht="16.5" hidden="1" customHeight="1" outlineLevel="1" x14ac:dyDescent="0.25">
      <c r="A6184" s="18">
        <v>4823</v>
      </c>
      <c r="B6184" s="4" t="s">
        <v>43</v>
      </c>
      <c r="C6184" s="38" t="s">
        <v>4301</v>
      </c>
      <c r="D6184" s="18">
        <v>2022</v>
      </c>
      <c r="E6184" s="18" t="s">
        <v>0</v>
      </c>
      <c r="F6184" s="4">
        <v>1</v>
      </c>
      <c r="G6184" s="41">
        <v>10</v>
      </c>
      <c r="H6184" s="41">
        <v>23.33</v>
      </c>
      <c r="I6184" s="221"/>
      <c r="J6184" s="221"/>
    </row>
    <row r="6185" spans="1:10" s="15" customFormat="1" ht="16.5" hidden="1" customHeight="1" outlineLevel="1" x14ac:dyDescent="0.25">
      <c r="A6185" s="18">
        <v>4896</v>
      </c>
      <c r="B6185" s="4" t="s">
        <v>43</v>
      </c>
      <c r="C6185" s="38" t="s">
        <v>4302</v>
      </c>
      <c r="D6185" s="18">
        <v>2022</v>
      </c>
      <c r="E6185" s="18" t="s">
        <v>0</v>
      </c>
      <c r="F6185" s="4">
        <v>1</v>
      </c>
      <c r="G6185" s="41">
        <v>15</v>
      </c>
      <c r="H6185" s="41">
        <v>18.100000000000001</v>
      </c>
      <c r="I6185" s="221"/>
      <c r="J6185" s="221"/>
    </row>
    <row r="6186" spans="1:10" s="15" customFormat="1" ht="16.5" hidden="1" customHeight="1" outlineLevel="1" x14ac:dyDescent="0.25">
      <c r="A6186" s="18">
        <v>4670</v>
      </c>
      <c r="B6186" s="4" t="s">
        <v>43</v>
      </c>
      <c r="C6186" s="38" t="s">
        <v>4303</v>
      </c>
      <c r="D6186" s="18">
        <v>2022</v>
      </c>
      <c r="E6186" s="18" t="s">
        <v>0</v>
      </c>
      <c r="F6186" s="4">
        <v>1</v>
      </c>
      <c r="G6186" s="41">
        <v>1</v>
      </c>
      <c r="H6186" s="41">
        <v>21</v>
      </c>
      <c r="I6186" s="221"/>
      <c r="J6186" s="221"/>
    </row>
    <row r="6187" spans="1:10" s="15" customFormat="1" ht="16.5" hidden="1" customHeight="1" outlineLevel="1" x14ac:dyDescent="0.25">
      <c r="A6187" s="18">
        <v>4825</v>
      </c>
      <c r="B6187" s="4" t="s">
        <v>43</v>
      </c>
      <c r="C6187" s="38" t="s">
        <v>4304</v>
      </c>
      <c r="D6187" s="18">
        <v>2022</v>
      </c>
      <c r="E6187" s="18" t="s">
        <v>0</v>
      </c>
      <c r="F6187" s="4">
        <v>1</v>
      </c>
      <c r="G6187" s="41">
        <v>10</v>
      </c>
      <c r="H6187" s="41">
        <v>18.28</v>
      </c>
      <c r="I6187" s="221"/>
      <c r="J6187" s="221"/>
    </row>
    <row r="6188" spans="1:10" s="15" customFormat="1" ht="16.5" hidden="1" customHeight="1" outlineLevel="1" x14ac:dyDescent="0.25">
      <c r="A6188" s="18">
        <v>4892</v>
      </c>
      <c r="B6188" s="4" t="s">
        <v>43</v>
      </c>
      <c r="C6188" s="38" t="s">
        <v>4305</v>
      </c>
      <c r="D6188" s="18">
        <v>2022</v>
      </c>
      <c r="E6188" s="18" t="s">
        <v>0</v>
      </c>
      <c r="F6188" s="4">
        <v>1</v>
      </c>
      <c r="G6188" s="41">
        <v>5</v>
      </c>
      <c r="H6188" s="41">
        <v>18.5</v>
      </c>
      <c r="I6188" s="221"/>
      <c r="J6188" s="221"/>
    </row>
    <row r="6189" spans="1:10" s="15" customFormat="1" ht="16.5" hidden="1" customHeight="1" outlineLevel="1" x14ac:dyDescent="0.25">
      <c r="A6189" s="18">
        <v>4595</v>
      </c>
      <c r="B6189" s="4" t="s">
        <v>43</v>
      </c>
      <c r="C6189" s="38" t="s">
        <v>4306</v>
      </c>
      <c r="D6189" s="18">
        <v>2022</v>
      </c>
      <c r="E6189" s="18" t="s">
        <v>0</v>
      </c>
      <c r="F6189" s="4">
        <v>1</v>
      </c>
      <c r="G6189" s="41">
        <v>5.5</v>
      </c>
      <c r="H6189" s="41">
        <v>15.43</v>
      </c>
      <c r="I6189" s="221"/>
      <c r="J6189" s="221"/>
    </row>
    <row r="6190" spans="1:10" s="15" customFormat="1" ht="16.5" hidden="1" customHeight="1" outlineLevel="1" x14ac:dyDescent="0.25">
      <c r="A6190" s="18">
        <v>4660</v>
      </c>
      <c r="B6190" s="4" t="s">
        <v>43</v>
      </c>
      <c r="C6190" s="38" t="s">
        <v>4307</v>
      </c>
      <c r="D6190" s="18">
        <v>2022</v>
      </c>
      <c r="E6190" s="18" t="s">
        <v>0</v>
      </c>
      <c r="F6190" s="4">
        <v>1</v>
      </c>
      <c r="G6190" s="41">
        <v>3</v>
      </c>
      <c r="H6190" s="41">
        <v>20.100000000000001</v>
      </c>
      <c r="I6190" s="221"/>
      <c r="J6190" s="221"/>
    </row>
    <row r="6191" spans="1:10" s="15" customFormat="1" ht="16.5" hidden="1" customHeight="1" outlineLevel="1" x14ac:dyDescent="0.25">
      <c r="A6191" s="18">
        <v>4845</v>
      </c>
      <c r="B6191" s="4" t="s">
        <v>43</v>
      </c>
      <c r="C6191" s="38" t="s">
        <v>4308</v>
      </c>
      <c r="D6191" s="18">
        <v>2022</v>
      </c>
      <c r="E6191" s="18" t="s">
        <v>0</v>
      </c>
      <c r="F6191" s="4">
        <v>1</v>
      </c>
      <c r="G6191" s="41">
        <v>5.5</v>
      </c>
      <c r="H6191" s="41">
        <v>17.061</v>
      </c>
      <c r="I6191" s="221"/>
      <c r="J6191" s="221"/>
    </row>
    <row r="6192" spans="1:10" s="15" customFormat="1" ht="16.5" hidden="1" customHeight="1" outlineLevel="1" x14ac:dyDescent="0.25">
      <c r="A6192" s="18">
        <v>4846</v>
      </c>
      <c r="B6192" s="4" t="s">
        <v>43</v>
      </c>
      <c r="C6192" s="38" t="s">
        <v>4309</v>
      </c>
      <c r="D6192" s="18">
        <v>2022</v>
      </c>
      <c r="E6192" s="18" t="s">
        <v>0</v>
      </c>
      <c r="F6192" s="4">
        <v>1</v>
      </c>
      <c r="G6192" s="41">
        <v>5</v>
      </c>
      <c r="H6192" s="41">
        <v>16.566000000000003</v>
      </c>
      <c r="I6192" s="221"/>
      <c r="J6192" s="221"/>
    </row>
    <row r="6193" spans="1:10" s="15" customFormat="1" ht="16.5" hidden="1" customHeight="1" outlineLevel="1" x14ac:dyDescent="0.25">
      <c r="A6193" s="18">
        <v>4908</v>
      </c>
      <c r="B6193" s="4" t="s">
        <v>43</v>
      </c>
      <c r="C6193" s="38" t="s">
        <v>4310</v>
      </c>
      <c r="D6193" s="18">
        <v>2022</v>
      </c>
      <c r="E6193" s="18" t="s">
        <v>0</v>
      </c>
      <c r="F6193" s="4">
        <v>1</v>
      </c>
      <c r="G6193" s="41">
        <v>5.5</v>
      </c>
      <c r="H6193" s="41">
        <v>11.24</v>
      </c>
      <c r="I6193" s="221"/>
      <c r="J6193" s="221"/>
    </row>
    <row r="6194" spans="1:10" s="15" customFormat="1" ht="16.5" hidden="1" customHeight="1" outlineLevel="1" x14ac:dyDescent="0.25">
      <c r="A6194" s="18">
        <v>4911</v>
      </c>
      <c r="B6194" s="4" t="s">
        <v>43</v>
      </c>
      <c r="C6194" s="38" t="s">
        <v>4311</v>
      </c>
      <c r="D6194" s="18">
        <v>2022</v>
      </c>
      <c r="E6194" s="18" t="s">
        <v>0</v>
      </c>
      <c r="F6194" s="4">
        <v>1</v>
      </c>
      <c r="G6194" s="41">
        <v>5</v>
      </c>
      <c r="H6194" s="41">
        <v>9.8381000000000007</v>
      </c>
      <c r="I6194" s="221"/>
      <c r="J6194" s="221"/>
    </row>
    <row r="6195" spans="1:10" s="15" customFormat="1" ht="16.5" hidden="1" customHeight="1" outlineLevel="1" x14ac:dyDescent="0.25">
      <c r="A6195" s="18">
        <v>4639</v>
      </c>
      <c r="B6195" s="4" t="s">
        <v>43</v>
      </c>
      <c r="C6195" s="38" t="s">
        <v>4312</v>
      </c>
      <c r="D6195" s="18">
        <v>2022</v>
      </c>
      <c r="E6195" s="18" t="s">
        <v>0</v>
      </c>
      <c r="F6195" s="4">
        <v>1</v>
      </c>
      <c r="G6195" s="41">
        <v>5</v>
      </c>
      <c r="H6195" s="41">
        <v>23.61</v>
      </c>
      <c r="I6195" s="221"/>
      <c r="J6195" s="221"/>
    </row>
    <row r="6196" spans="1:10" s="15" customFormat="1" ht="16.5" hidden="1" customHeight="1" outlineLevel="1" x14ac:dyDescent="0.25">
      <c r="A6196" s="18">
        <v>4767</v>
      </c>
      <c r="B6196" s="4" t="s">
        <v>43</v>
      </c>
      <c r="C6196" s="38" t="s">
        <v>4313</v>
      </c>
      <c r="D6196" s="18">
        <v>2022</v>
      </c>
      <c r="E6196" s="18" t="s">
        <v>0</v>
      </c>
      <c r="F6196" s="4">
        <v>1</v>
      </c>
      <c r="G6196" s="41">
        <v>1</v>
      </c>
      <c r="H6196" s="41">
        <v>17.975999999999999</v>
      </c>
      <c r="I6196" s="221"/>
      <c r="J6196" s="221"/>
    </row>
    <row r="6197" spans="1:10" s="15" customFormat="1" ht="16.5" hidden="1" customHeight="1" outlineLevel="1" x14ac:dyDescent="0.25">
      <c r="A6197" s="18">
        <v>4770</v>
      </c>
      <c r="B6197" s="4" t="s">
        <v>43</v>
      </c>
      <c r="C6197" s="38" t="s">
        <v>4314</v>
      </c>
      <c r="D6197" s="18">
        <v>2022</v>
      </c>
      <c r="E6197" s="18" t="s">
        <v>0</v>
      </c>
      <c r="F6197" s="4">
        <v>1</v>
      </c>
      <c r="G6197" s="41">
        <v>5</v>
      </c>
      <c r="H6197" s="41">
        <v>18.471999999999998</v>
      </c>
      <c r="I6197" s="221"/>
      <c r="J6197" s="221"/>
    </row>
    <row r="6198" spans="1:10" s="15" customFormat="1" ht="16.5" hidden="1" customHeight="1" outlineLevel="1" x14ac:dyDescent="0.25">
      <c r="A6198" s="18">
        <v>4775</v>
      </c>
      <c r="B6198" s="4" t="s">
        <v>43</v>
      </c>
      <c r="C6198" s="38" t="s">
        <v>4315</v>
      </c>
      <c r="D6198" s="18">
        <v>2022</v>
      </c>
      <c r="E6198" s="18" t="s">
        <v>0</v>
      </c>
      <c r="F6198" s="4">
        <v>1</v>
      </c>
      <c r="G6198" s="41">
        <v>5</v>
      </c>
      <c r="H6198" s="41">
        <v>18.939</v>
      </c>
      <c r="I6198" s="221"/>
      <c r="J6198" s="221"/>
    </row>
    <row r="6199" spans="1:10" s="15" customFormat="1" ht="16.5" hidden="1" customHeight="1" outlineLevel="1" x14ac:dyDescent="0.25">
      <c r="A6199" s="18">
        <v>4813</v>
      </c>
      <c r="B6199" s="4" t="s">
        <v>43</v>
      </c>
      <c r="C6199" s="38" t="s">
        <v>4316</v>
      </c>
      <c r="D6199" s="18">
        <v>2022</v>
      </c>
      <c r="E6199" s="18" t="s">
        <v>0</v>
      </c>
      <c r="F6199" s="4">
        <v>1</v>
      </c>
      <c r="G6199" s="41">
        <v>5</v>
      </c>
      <c r="H6199" s="41">
        <v>16.153000000000002</v>
      </c>
      <c r="I6199" s="221"/>
      <c r="J6199" s="221"/>
    </row>
    <row r="6200" spans="1:10" s="15" customFormat="1" ht="16.5" hidden="1" customHeight="1" outlineLevel="1" x14ac:dyDescent="0.25">
      <c r="A6200" s="18">
        <v>4586</v>
      </c>
      <c r="B6200" s="4" t="s">
        <v>43</v>
      </c>
      <c r="C6200" s="38" t="s">
        <v>4317</v>
      </c>
      <c r="D6200" s="18">
        <v>2022</v>
      </c>
      <c r="E6200" s="18" t="s">
        <v>0</v>
      </c>
      <c r="F6200" s="4">
        <v>1</v>
      </c>
      <c r="G6200" s="41">
        <v>5</v>
      </c>
      <c r="H6200" s="41">
        <v>20.181000000000001</v>
      </c>
      <c r="I6200" s="221"/>
      <c r="J6200" s="221"/>
    </row>
    <row r="6201" spans="1:10" s="15" customFormat="1" ht="16.5" hidden="1" customHeight="1" outlineLevel="1" x14ac:dyDescent="0.25">
      <c r="A6201" s="18">
        <v>4714</v>
      </c>
      <c r="B6201" s="4" t="s">
        <v>43</v>
      </c>
      <c r="C6201" s="38" t="s">
        <v>4318</v>
      </c>
      <c r="D6201" s="18">
        <v>2022</v>
      </c>
      <c r="E6201" s="18" t="s">
        <v>0</v>
      </c>
      <c r="F6201" s="4">
        <v>1</v>
      </c>
      <c r="G6201" s="41">
        <v>5</v>
      </c>
      <c r="H6201" s="41">
        <v>23.07</v>
      </c>
      <c r="I6201" s="221"/>
      <c r="J6201" s="221"/>
    </row>
    <row r="6202" spans="1:10" s="15" customFormat="1" ht="16.5" hidden="1" customHeight="1" outlineLevel="1" x14ac:dyDescent="0.25">
      <c r="A6202" s="18">
        <v>4717</v>
      </c>
      <c r="B6202" s="4" t="s">
        <v>43</v>
      </c>
      <c r="C6202" s="38" t="s">
        <v>4319</v>
      </c>
      <c r="D6202" s="18">
        <v>2022</v>
      </c>
      <c r="E6202" s="18" t="s">
        <v>0</v>
      </c>
      <c r="F6202" s="4">
        <v>1</v>
      </c>
      <c r="G6202" s="41">
        <v>8</v>
      </c>
      <c r="H6202" s="41">
        <v>19.189999999999998</v>
      </c>
      <c r="I6202" s="221"/>
      <c r="J6202" s="221"/>
    </row>
    <row r="6203" spans="1:10" s="15" customFormat="1" ht="16.5" hidden="1" customHeight="1" outlineLevel="1" x14ac:dyDescent="0.25">
      <c r="A6203" s="18">
        <v>4855</v>
      </c>
      <c r="B6203" s="4" t="s">
        <v>43</v>
      </c>
      <c r="C6203" s="38" t="s">
        <v>2966</v>
      </c>
      <c r="D6203" s="18">
        <v>2022</v>
      </c>
      <c r="E6203" s="18" t="s">
        <v>0</v>
      </c>
      <c r="F6203" s="4">
        <v>1</v>
      </c>
      <c r="G6203" s="41">
        <v>5</v>
      </c>
      <c r="H6203" s="41">
        <v>56.5</v>
      </c>
      <c r="I6203" s="221"/>
      <c r="J6203" s="221"/>
    </row>
    <row r="6204" spans="1:10" s="15" customFormat="1" ht="16.5" hidden="1" customHeight="1" outlineLevel="1" x14ac:dyDescent="0.25">
      <c r="A6204" s="18">
        <v>4882</v>
      </c>
      <c r="B6204" s="4" t="s">
        <v>43</v>
      </c>
      <c r="C6204" s="38" t="s">
        <v>4320</v>
      </c>
      <c r="D6204" s="18">
        <v>2022</v>
      </c>
      <c r="E6204" s="18" t="s">
        <v>0</v>
      </c>
      <c r="F6204" s="4">
        <v>1</v>
      </c>
      <c r="G6204" s="41">
        <v>5</v>
      </c>
      <c r="H6204" s="41">
        <v>19.647000000000002</v>
      </c>
      <c r="I6204" s="221"/>
      <c r="J6204" s="221"/>
    </row>
    <row r="6205" spans="1:10" s="15" customFormat="1" ht="16.5" hidden="1" customHeight="1" outlineLevel="1" x14ac:dyDescent="0.25">
      <c r="A6205" s="18">
        <v>4625</v>
      </c>
      <c r="B6205" s="4" t="s">
        <v>43</v>
      </c>
      <c r="C6205" s="38" t="s">
        <v>4321</v>
      </c>
      <c r="D6205" s="18">
        <v>2022</v>
      </c>
      <c r="E6205" s="18" t="s">
        <v>0</v>
      </c>
      <c r="F6205" s="4">
        <v>1</v>
      </c>
      <c r="G6205" s="41">
        <v>5</v>
      </c>
      <c r="H6205" s="41">
        <v>19.39</v>
      </c>
      <c r="I6205" s="221"/>
      <c r="J6205" s="221"/>
    </row>
    <row r="6206" spans="1:10" s="15" customFormat="1" ht="16.5" hidden="1" customHeight="1" outlineLevel="1" x14ac:dyDescent="0.25">
      <c r="A6206" s="18">
        <v>4634</v>
      </c>
      <c r="B6206" s="4" t="s">
        <v>43</v>
      </c>
      <c r="C6206" s="38" t="s">
        <v>4322</v>
      </c>
      <c r="D6206" s="18">
        <v>2022</v>
      </c>
      <c r="E6206" s="18" t="s">
        <v>0</v>
      </c>
      <c r="F6206" s="4">
        <v>1</v>
      </c>
      <c r="G6206" s="41">
        <v>5</v>
      </c>
      <c r="H6206" s="41">
        <v>21.26</v>
      </c>
      <c r="I6206" s="221"/>
      <c r="J6206" s="221"/>
    </row>
    <row r="6207" spans="1:10" s="15" customFormat="1" ht="16.5" hidden="1" customHeight="1" outlineLevel="1" x14ac:dyDescent="0.25">
      <c r="A6207" s="18">
        <v>4654</v>
      </c>
      <c r="B6207" s="4" t="s">
        <v>43</v>
      </c>
      <c r="C6207" s="38" t="s">
        <v>4323</v>
      </c>
      <c r="D6207" s="18">
        <v>2022</v>
      </c>
      <c r="E6207" s="18" t="s">
        <v>0</v>
      </c>
      <c r="F6207" s="4">
        <v>1</v>
      </c>
      <c r="G6207" s="41">
        <v>5</v>
      </c>
      <c r="H6207" s="41">
        <v>18.899999999999999</v>
      </c>
      <c r="I6207" s="221"/>
      <c r="J6207" s="221"/>
    </row>
    <row r="6208" spans="1:10" s="15" customFormat="1" ht="16.5" hidden="1" customHeight="1" outlineLevel="1" x14ac:dyDescent="0.25">
      <c r="A6208" s="18">
        <v>4703</v>
      </c>
      <c r="B6208" s="4" t="s">
        <v>43</v>
      </c>
      <c r="C6208" s="38" t="s">
        <v>4324</v>
      </c>
      <c r="D6208" s="18">
        <v>2022</v>
      </c>
      <c r="E6208" s="18" t="s">
        <v>0</v>
      </c>
      <c r="F6208" s="4">
        <v>1</v>
      </c>
      <c r="G6208" s="41">
        <v>5</v>
      </c>
      <c r="H6208" s="41">
        <v>18.555</v>
      </c>
      <c r="I6208" s="221"/>
      <c r="J6208" s="221"/>
    </row>
    <row r="6209" spans="1:10" s="15" customFormat="1" ht="16.5" hidden="1" customHeight="1" outlineLevel="1" x14ac:dyDescent="0.25">
      <c r="A6209" s="18">
        <v>4785</v>
      </c>
      <c r="B6209" s="4" t="s">
        <v>43</v>
      </c>
      <c r="C6209" s="38" t="s">
        <v>4325</v>
      </c>
      <c r="D6209" s="18">
        <v>2022</v>
      </c>
      <c r="E6209" s="18" t="s">
        <v>0</v>
      </c>
      <c r="F6209" s="4">
        <v>1</v>
      </c>
      <c r="G6209" s="41">
        <v>5</v>
      </c>
      <c r="H6209" s="41">
        <v>18.75</v>
      </c>
      <c r="I6209" s="221"/>
      <c r="J6209" s="221"/>
    </row>
    <row r="6210" spans="1:10" s="15" customFormat="1" ht="16.5" hidden="1" customHeight="1" outlineLevel="1" x14ac:dyDescent="0.25">
      <c r="A6210" s="18">
        <v>4874</v>
      </c>
      <c r="B6210" s="4" t="s">
        <v>43</v>
      </c>
      <c r="C6210" s="38" t="s">
        <v>4326</v>
      </c>
      <c r="D6210" s="18">
        <v>2022</v>
      </c>
      <c r="E6210" s="18" t="s">
        <v>0</v>
      </c>
      <c r="F6210" s="4">
        <v>1</v>
      </c>
      <c r="G6210" s="41">
        <v>5</v>
      </c>
      <c r="H6210" s="41">
        <v>19.329999999999998</v>
      </c>
      <c r="I6210" s="221"/>
      <c r="J6210" s="221"/>
    </row>
    <row r="6211" spans="1:10" s="15" customFormat="1" ht="16.5" hidden="1" customHeight="1" outlineLevel="1" x14ac:dyDescent="0.25">
      <c r="A6211" s="18">
        <v>4761</v>
      </c>
      <c r="B6211" s="4" t="s">
        <v>43</v>
      </c>
      <c r="C6211" s="38" t="s">
        <v>2974</v>
      </c>
      <c r="D6211" s="18">
        <v>2022</v>
      </c>
      <c r="E6211" s="18" t="s">
        <v>0</v>
      </c>
      <c r="F6211" s="4">
        <v>1</v>
      </c>
      <c r="G6211" s="41">
        <v>5</v>
      </c>
      <c r="H6211" s="41">
        <v>49.09</v>
      </c>
      <c r="I6211" s="221"/>
      <c r="J6211" s="221"/>
    </row>
    <row r="6212" spans="1:10" s="15" customFormat="1" ht="16.5" hidden="1" customHeight="1" outlineLevel="1" x14ac:dyDescent="0.25">
      <c r="A6212" s="18">
        <v>4924</v>
      </c>
      <c r="B6212" s="4" t="s">
        <v>43</v>
      </c>
      <c r="C6212" s="38" t="s">
        <v>4327</v>
      </c>
      <c r="D6212" s="18">
        <v>2022</v>
      </c>
      <c r="E6212" s="18" t="s">
        <v>0</v>
      </c>
      <c r="F6212" s="4">
        <v>1</v>
      </c>
      <c r="G6212" s="41">
        <v>1</v>
      </c>
      <c r="H6212" s="41">
        <v>10.7</v>
      </c>
      <c r="I6212" s="221"/>
      <c r="J6212" s="221"/>
    </row>
    <row r="6213" spans="1:10" s="15" customFormat="1" ht="16.5" hidden="1" customHeight="1" outlineLevel="1" x14ac:dyDescent="0.25">
      <c r="A6213" s="18">
        <v>4925</v>
      </c>
      <c r="B6213" s="4" t="s">
        <v>43</v>
      </c>
      <c r="C6213" s="38" t="s">
        <v>4328</v>
      </c>
      <c r="D6213" s="18">
        <v>2022</v>
      </c>
      <c r="E6213" s="18" t="s">
        <v>0</v>
      </c>
      <c r="F6213" s="4">
        <v>1</v>
      </c>
      <c r="G6213" s="41">
        <v>5</v>
      </c>
      <c r="H6213" s="41">
        <v>10.703000000000001</v>
      </c>
      <c r="I6213" s="221"/>
      <c r="J6213" s="221"/>
    </row>
    <row r="6214" spans="1:10" s="15" customFormat="1" ht="16.5" hidden="1" customHeight="1" outlineLevel="1" x14ac:dyDescent="0.25">
      <c r="A6214" s="18">
        <v>4620</v>
      </c>
      <c r="B6214" s="4" t="s">
        <v>43</v>
      </c>
      <c r="C6214" s="38" t="s">
        <v>4329</v>
      </c>
      <c r="D6214" s="18">
        <v>2022</v>
      </c>
      <c r="E6214" s="18" t="s">
        <v>0</v>
      </c>
      <c r="F6214" s="4">
        <v>1</v>
      </c>
      <c r="G6214" s="41">
        <v>5</v>
      </c>
      <c r="H6214" s="41">
        <v>19.376999999999999</v>
      </c>
      <c r="I6214" s="221"/>
      <c r="J6214" s="221"/>
    </row>
    <row r="6215" spans="1:10" s="15" customFormat="1" ht="16.5" hidden="1" customHeight="1" outlineLevel="1" x14ac:dyDescent="0.25">
      <c r="A6215" s="18">
        <v>4757</v>
      </c>
      <c r="B6215" s="4" t="s">
        <v>43</v>
      </c>
      <c r="C6215" s="38" t="s">
        <v>4330</v>
      </c>
      <c r="D6215" s="18">
        <v>2022</v>
      </c>
      <c r="E6215" s="18" t="s">
        <v>0</v>
      </c>
      <c r="F6215" s="4">
        <v>1</v>
      </c>
      <c r="G6215" s="41">
        <v>5</v>
      </c>
      <c r="H6215" s="41">
        <v>19.55</v>
      </c>
      <c r="I6215" s="221"/>
      <c r="J6215" s="221"/>
    </row>
    <row r="6216" spans="1:10" s="15" customFormat="1" ht="16.5" hidden="1" customHeight="1" outlineLevel="1" x14ac:dyDescent="0.25">
      <c r="A6216" s="18">
        <v>4890</v>
      </c>
      <c r="B6216" s="4" t="s">
        <v>43</v>
      </c>
      <c r="C6216" s="38" t="s">
        <v>4331</v>
      </c>
      <c r="D6216" s="18">
        <v>2022</v>
      </c>
      <c r="E6216" s="18" t="s">
        <v>0</v>
      </c>
      <c r="F6216" s="4">
        <v>1</v>
      </c>
      <c r="G6216" s="41">
        <v>5</v>
      </c>
      <c r="H6216" s="41">
        <v>19.040000000000003</v>
      </c>
      <c r="I6216" s="221"/>
      <c r="J6216" s="221"/>
    </row>
    <row r="6217" spans="1:10" s="15" customFormat="1" ht="16.5" hidden="1" customHeight="1" outlineLevel="1" x14ac:dyDescent="0.25">
      <c r="A6217" s="18">
        <v>4673</v>
      </c>
      <c r="B6217" s="4" t="s">
        <v>43</v>
      </c>
      <c r="C6217" s="38" t="s">
        <v>4332</v>
      </c>
      <c r="D6217" s="18">
        <v>2022</v>
      </c>
      <c r="E6217" s="18" t="s">
        <v>0</v>
      </c>
      <c r="F6217" s="4">
        <v>2</v>
      </c>
      <c r="G6217" s="41">
        <v>6</v>
      </c>
      <c r="H6217" s="41">
        <v>51.673999999999999</v>
      </c>
      <c r="I6217" s="221"/>
      <c r="J6217" s="221"/>
    </row>
    <row r="6218" spans="1:10" s="15" customFormat="1" ht="16.5" hidden="1" customHeight="1" outlineLevel="1" x14ac:dyDescent="0.25">
      <c r="A6218" s="18">
        <v>4790</v>
      </c>
      <c r="B6218" s="4" t="s">
        <v>43</v>
      </c>
      <c r="C6218" s="38" t="s">
        <v>4333</v>
      </c>
      <c r="D6218" s="18">
        <v>2022</v>
      </c>
      <c r="E6218" s="18" t="s">
        <v>0</v>
      </c>
      <c r="F6218" s="4">
        <v>1</v>
      </c>
      <c r="G6218" s="41">
        <v>3</v>
      </c>
      <c r="H6218" s="41">
        <v>25.023</v>
      </c>
      <c r="I6218" s="221"/>
      <c r="J6218" s="221"/>
    </row>
    <row r="6219" spans="1:10" s="15" customFormat="1" ht="16.5" hidden="1" customHeight="1" outlineLevel="1" x14ac:dyDescent="0.25">
      <c r="A6219" s="18">
        <v>4560</v>
      </c>
      <c r="B6219" s="4" t="s">
        <v>43</v>
      </c>
      <c r="C6219" s="38" t="s">
        <v>4334</v>
      </c>
      <c r="D6219" s="18">
        <v>2022</v>
      </c>
      <c r="E6219" s="18" t="s">
        <v>0</v>
      </c>
      <c r="F6219" s="4">
        <v>1</v>
      </c>
      <c r="G6219" s="41">
        <v>5</v>
      </c>
      <c r="H6219" s="41">
        <v>36</v>
      </c>
      <c r="I6219" s="221"/>
      <c r="J6219" s="221"/>
    </row>
    <row r="6220" spans="1:10" s="15" customFormat="1" ht="16.5" hidden="1" customHeight="1" outlineLevel="1" x14ac:dyDescent="0.25">
      <c r="A6220" s="18">
        <v>4935</v>
      </c>
      <c r="B6220" s="4" t="s">
        <v>43</v>
      </c>
      <c r="C6220" s="38" t="s">
        <v>4335</v>
      </c>
      <c r="D6220" s="18">
        <v>2022</v>
      </c>
      <c r="E6220" s="18" t="s">
        <v>0</v>
      </c>
      <c r="F6220" s="4">
        <v>1</v>
      </c>
      <c r="G6220" s="41">
        <v>15</v>
      </c>
      <c r="H6220" s="41">
        <v>13</v>
      </c>
      <c r="I6220" s="221"/>
      <c r="J6220" s="221"/>
    </row>
    <row r="6221" spans="1:10" s="15" customFormat="1" ht="16.5" hidden="1" customHeight="1" outlineLevel="1" x14ac:dyDescent="0.25">
      <c r="A6221" s="18">
        <v>4936</v>
      </c>
      <c r="B6221" s="4" t="s">
        <v>43</v>
      </c>
      <c r="C6221" s="38" t="s">
        <v>4336</v>
      </c>
      <c r="D6221" s="18">
        <v>2022</v>
      </c>
      <c r="E6221" s="18" t="s">
        <v>0</v>
      </c>
      <c r="F6221" s="4">
        <v>1</v>
      </c>
      <c r="G6221" s="41">
        <v>5</v>
      </c>
      <c r="H6221" s="41">
        <v>14</v>
      </c>
      <c r="I6221" s="221"/>
      <c r="J6221" s="221"/>
    </row>
    <row r="6222" spans="1:10" s="15" customFormat="1" ht="16.5" hidden="1" customHeight="1" outlineLevel="1" x14ac:dyDescent="0.25">
      <c r="A6222" s="18">
        <v>4934</v>
      </c>
      <c r="B6222" s="4" t="s">
        <v>43</v>
      </c>
      <c r="C6222" s="38" t="s">
        <v>4337</v>
      </c>
      <c r="D6222" s="18">
        <v>2022</v>
      </c>
      <c r="E6222" s="18" t="s">
        <v>0</v>
      </c>
      <c r="F6222" s="4">
        <v>1</v>
      </c>
      <c r="G6222" s="41">
        <v>5.5</v>
      </c>
      <c r="H6222" s="41">
        <v>12.504</v>
      </c>
      <c r="I6222" s="221"/>
      <c r="J6222" s="221"/>
    </row>
    <row r="6223" spans="1:10" s="15" customFormat="1" ht="16.5" hidden="1" customHeight="1" outlineLevel="1" x14ac:dyDescent="0.25">
      <c r="A6223" s="18">
        <v>4986</v>
      </c>
      <c r="B6223" s="4" t="s">
        <v>43</v>
      </c>
      <c r="C6223" s="38" t="s">
        <v>4338</v>
      </c>
      <c r="D6223" s="18">
        <v>2022</v>
      </c>
      <c r="E6223" s="18" t="s">
        <v>0</v>
      </c>
      <c r="F6223" s="4">
        <v>1</v>
      </c>
      <c r="G6223" s="41">
        <v>5</v>
      </c>
      <c r="H6223" s="41">
        <v>11.29</v>
      </c>
      <c r="I6223" s="221"/>
      <c r="J6223" s="221"/>
    </row>
    <row r="6224" spans="1:10" s="15" customFormat="1" ht="16.5" hidden="1" customHeight="1" outlineLevel="1" x14ac:dyDescent="0.25">
      <c r="A6224" s="18">
        <v>4873</v>
      </c>
      <c r="B6224" s="4" t="s">
        <v>43</v>
      </c>
      <c r="C6224" s="38" t="s">
        <v>4339</v>
      </c>
      <c r="D6224" s="18">
        <v>2022</v>
      </c>
      <c r="E6224" s="18" t="s">
        <v>0</v>
      </c>
      <c r="F6224" s="4">
        <v>1</v>
      </c>
      <c r="G6224" s="41">
        <v>5</v>
      </c>
      <c r="H6224" s="41">
        <v>21.122</v>
      </c>
      <c r="I6224" s="221"/>
      <c r="J6224" s="221"/>
    </row>
    <row r="6225" spans="1:10" s="15" customFormat="1" ht="16.5" hidden="1" customHeight="1" outlineLevel="1" x14ac:dyDescent="0.25">
      <c r="A6225" s="18">
        <v>4894</v>
      </c>
      <c r="B6225" s="4" t="s">
        <v>43</v>
      </c>
      <c r="C6225" s="38" t="s">
        <v>4340</v>
      </c>
      <c r="D6225" s="18">
        <v>2022</v>
      </c>
      <c r="E6225" s="18" t="s">
        <v>0</v>
      </c>
      <c r="F6225" s="4">
        <v>1</v>
      </c>
      <c r="G6225" s="41">
        <v>5</v>
      </c>
      <c r="H6225" s="41">
        <v>21.337</v>
      </c>
      <c r="I6225" s="221"/>
      <c r="J6225" s="221"/>
    </row>
    <row r="6226" spans="1:10" s="15" customFormat="1" ht="16.5" hidden="1" customHeight="1" outlineLevel="1" x14ac:dyDescent="0.25">
      <c r="A6226" s="18">
        <v>5015</v>
      </c>
      <c r="B6226" s="4" t="s">
        <v>43</v>
      </c>
      <c r="C6226" s="38" t="s">
        <v>4341</v>
      </c>
      <c r="D6226" s="18">
        <v>2022</v>
      </c>
      <c r="E6226" s="18" t="s">
        <v>0</v>
      </c>
      <c r="F6226" s="4">
        <v>2</v>
      </c>
      <c r="G6226" s="41">
        <v>8</v>
      </c>
      <c r="H6226" s="41">
        <v>22.096</v>
      </c>
      <c r="I6226" s="221"/>
      <c r="J6226" s="221"/>
    </row>
    <row r="6227" spans="1:10" s="15" customFormat="1" ht="16.5" hidden="1" customHeight="1" outlineLevel="1" x14ac:dyDescent="0.25">
      <c r="A6227" s="18">
        <v>4949</v>
      </c>
      <c r="B6227" s="4" t="s">
        <v>43</v>
      </c>
      <c r="C6227" s="38" t="s">
        <v>4342</v>
      </c>
      <c r="D6227" s="18">
        <v>2022</v>
      </c>
      <c r="E6227" s="18" t="s">
        <v>0</v>
      </c>
      <c r="F6227" s="4">
        <v>2</v>
      </c>
      <c r="G6227" s="41">
        <v>2</v>
      </c>
      <c r="H6227" s="41">
        <v>25.378999999999998</v>
      </c>
      <c r="I6227" s="221"/>
      <c r="J6227" s="221"/>
    </row>
    <row r="6228" spans="1:10" s="15" customFormat="1" ht="16.5" hidden="1" customHeight="1" outlineLevel="1" x14ac:dyDescent="0.25">
      <c r="A6228" s="18">
        <v>5017</v>
      </c>
      <c r="B6228" s="4" t="s">
        <v>43</v>
      </c>
      <c r="C6228" s="38" t="s">
        <v>4343</v>
      </c>
      <c r="D6228" s="18">
        <v>2022</v>
      </c>
      <c r="E6228" s="18" t="s">
        <v>0</v>
      </c>
      <c r="F6228" s="4">
        <v>1</v>
      </c>
      <c r="G6228" s="41">
        <v>2.5</v>
      </c>
      <c r="H6228" s="41">
        <v>13.615</v>
      </c>
      <c r="I6228" s="221"/>
      <c r="J6228" s="221"/>
    </row>
    <row r="6229" spans="1:10" s="15" customFormat="1" ht="16.5" hidden="1" customHeight="1" outlineLevel="1" x14ac:dyDescent="0.25">
      <c r="A6229" s="18">
        <v>4956</v>
      </c>
      <c r="B6229" s="4" t="s">
        <v>43</v>
      </c>
      <c r="C6229" s="38" t="s">
        <v>4344</v>
      </c>
      <c r="D6229" s="18">
        <v>2022</v>
      </c>
      <c r="E6229" s="18" t="s">
        <v>0</v>
      </c>
      <c r="F6229" s="4">
        <v>1</v>
      </c>
      <c r="G6229" s="41">
        <v>2.5</v>
      </c>
      <c r="H6229" s="41">
        <v>15.015000000000001</v>
      </c>
      <c r="I6229" s="221"/>
      <c r="J6229" s="221"/>
    </row>
    <row r="6230" spans="1:10" s="15" customFormat="1" ht="16.5" hidden="1" customHeight="1" outlineLevel="1" x14ac:dyDescent="0.25">
      <c r="A6230" s="18">
        <v>4950</v>
      </c>
      <c r="B6230" s="4" t="s">
        <v>43</v>
      </c>
      <c r="C6230" s="38" t="s">
        <v>4345</v>
      </c>
      <c r="D6230" s="18">
        <v>2022</v>
      </c>
      <c r="E6230" s="18" t="s">
        <v>0</v>
      </c>
      <c r="F6230" s="4">
        <v>1</v>
      </c>
      <c r="G6230" s="41">
        <v>5</v>
      </c>
      <c r="H6230" s="41">
        <v>9.9359999999999999</v>
      </c>
      <c r="I6230" s="221"/>
      <c r="J6230" s="221"/>
    </row>
    <row r="6231" spans="1:10" s="15" customFormat="1" ht="16.5" hidden="1" customHeight="1" outlineLevel="1" x14ac:dyDescent="0.25">
      <c r="A6231" s="18">
        <v>4951</v>
      </c>
      <c r="B6231" s="4" t="s">
        <v>43</v>
      </c>
      <c r="C6231" s="38" t="s">
        <v>4346</v>
      </c>
      <c r="D6231" s="18">
        <v>2022</v>
      </c>
      <c r="E6231" s="18" t="s">
        <v>0</v>
      </c>
      <c r="F6231" s="4">
        <v>1</v>
      </c>
      <c r="G6231" s="41">
        <v>5</v>
      </c>
      <c r="H6231" s="41">
        <v>10.397</v>
      </c>
      <c r="I6231" s="221"/>
      <c r="J6231" s="221"/>
    </row>
    <row r="6232" spans="1:10" s="15" customFormat="1" ht="16.5" hidden="1" customHeight="1" outlineLevel="1" x14ac:dyDescent="0.25">
      <c r="A6232" s="18">
        <v>4953</v>
      </c>
      <c r="B6232" s="4" t="s">
        <v>43</v>
      </c>
      <c r="C6232" s="38" t="s">
        <v>4347</v>
      </c>
      <c r="D6232" s="18">
        <v>2022</v>
      </c>
      <c r="E6232" s="18" t="s">
        <v>0</v>
      </c>
      <c r="F6232" s="4">
        <v>1</v>
      </c>
      <c r="G6232" s="41">
        <v>5</v>
      </c>
      <c r="H6232" s="41">
        <v>9.2639999999999993</v>
      </c>
      <c r="I6232" s="221"/>
      <c r="J6232" s="221"/>
    </row>
    <row r="6233" spans="1:10" s="15" customFormat="1" ht="16.5" hidden="1" customHeight="1" outlineLevel="1" x14ac:dyDescent="0.25">
      <c r="A6233" s="18">
        <v>4954</v>
      </c>
      <c r="B6233" s="4" t="s">
        <v>43</v>
      </c>
      <c r="C6233" s="38" t="s">
        <v>4348</v>
      </c>
      <c r="D6233" s="18">
        <v>2022</v>
      </c>
      <c r="E6233" s="18" t="s">
        <v>0</v>
      </c>
      <c r="F6233" s="4">
        <v>1</v>
      </c>
      <c r="G6233" s="41">
        <v>5</v>
      </c>
      <c r="H6233" s="41">
        <v>9.8875999999999991</v>
      </c>
      <c r="I6233" s="221"/>
      <c r="J6233" s="221"/>
    </row>
    <row r="6234" spans="1:10" s="15" customFormat="1" ht="16.5" hidden="1" customHeight="1" outlineLevel="1" x14ac:dyDescent="0.25">
      <c r="A6234" s="18">
        <v>4955</v>
      </c>
      <c r="B6234" s="4" t="s">
        <v>43</v>
      </c>
      <c r="C6234" s="38" t="s">
        <v>4349</v>
      </c>
      <c r="D6234" s="18">
        <v>2022</v>
      </c>
      <c r="E6234" s="18" t="s">
        <v>0</v>
      </c>
      <c r="F6234" s="4">
        <v>1</v>
      </c>
      <c r="G6234" s="41">
        <v>5</v>
      </c>
      <c r="H6234" s="41">
        <v>10.229800000000001</v>
      </c>
      <c r="I6234" s="221"/>
      <c r="J6234" s="221"/>
    </row>
    <row r="6235" spans="1:10" s="15" customFormat="1" ht="16.5" hidden="1" customHeight="1" outlineLevel="1" x14ac:dyDescent="0.25">
      <c r="A6235" s="18">
        <v>4957</v>
      </c>
      <c r="B6235" s="4" t="s">
        <v>43</v>
      </c>
      <c r="C6235" s="38" t="s">
        <v>4350</v>
      </c>
      <c r="D6235" s="18">
        <v>2022</v>
      </c>
      <c r="E6235" s="18" t="s">
        <v>0</v>
      </c>
      <c r="F6235" s="4">
        <v>1</v>
      </c>
      <c r="G6235" s="41">
        <v>5</v>
      </c>
      <c r="H6235" s="41">
        <v>11.445</v>
      </c>
      <c r="I6235" s="221"/>
      <c r="J6235" s="221"/>
    </row>
    <row r="6236" spans="1:10" s="15" customFormat="1" ht="16.5" hidden="1" customHeight="1" outlineLevel="1" x14ac:dyDescent="0.25">
      <c r="A6236" s="18">
        <v>4958</v>
      </c>
      <c r="B6236" s="4" t="s">
        <v>43</v>
      </c>
      <c r="C6236" s="38" t="s">
        <v>4351</v>
      </c>
      <c r="D6236" s="18">
        <v>2022</v>
      </c>
      <c r="E6236" s="18" t="s">
        <v>0</v>
      </c>
      <c r="F6236" s="4">
        <v>1</v>
      </c>
      <c r="G6236" s="41">
        <v>5</v>
      </c>
      <c r="H6236" s="41">
        <v>10.263500000000001</v>
      </c>
      <c r="I6236" s="221"/>
      <c r="J6236" s="221"/>
    </row>
    <row r="6237" spans="1:10" s="15" customFormat="1" ht="16.5" hidden="1" customHeight="1" outlineLevel="1" x14ac:dyDescent="0.25">
      <c r="A6237" s="18">
        <v>4959</v>
      </c>
      <c r="B6237" s="4" t="s">
        <v>43</v>
      </c>
      <c r="C6237" s="38" t="s">
        <v>4352</v>
      </c>
      <c r="D6237" s="18">
        <v>2022</v>
      </c>
      <c r="E6237" s="18" t="s">
        <v>0</v>
      </c>
      <c r="F6237" s="4">
        <v>1</v>
      </c>
      <c r="G6237" s="41">
        <v>5</v>
      </c>
      <c r="H6237" s="41">
        <v>9.2643299999999993</v>
      </c>
      <c r="I6237" s="221"/>
      <c r="J6237" s="221"/>
    </row>
    <row r="6238" spans="1:10" s="15" customFormat="1" ht="16.5" hidden="1" customHeight="1" outlineLevel="1" x14ac:dyDescent="0.25">
      <c r="A6238" s="18">
        <v>4960</v>
      </c>
      <c r="B6238" s="4" t="s">
        <v>43</v>
      </c>
      <c r="C6238" s="38" t="s">
        <v>4353</v>
      </c>
      <c r="D6238" s="18">
        <v>2022</v>
      </c>
      <c r="E6238" s="18" t="s">
        <v>0</v>
      </c>
      <c r="F6238" s="4">
        <v>1</v>
      </c>
      <c r="G6238" s="41">
        <v>5</v>
      </c>
      <c r="H6238" s="41">
        <v>9.6407000000000007</v>
      </c>
      <c r="I6238" s="221"/>
      <c r="J6238" s="221"/>
    </row>
    <row r="6239" spans="1:10" s="15" customFormat="1" ht="16.5" hidden="1" customHeight="1" outlineLevel="1" x14ac:dyDescent="0.25">
      <c r="A6239" s="18">
        <v>4961</v>
      </c>
      <c r="B6239" s="4" t="s">
        <v>43</v>
      </c>
      <c r="C6239" s="38" t="s">
        <v>4354</v>
      </c>
      <c r="D6239" s="18">
        <v>2022</v>
      </c>
      <c r="E6239" s="18" t="s">
        <v>0</v>
      </c>
      <c r="F6239" s="4">
        <v>1</v>
      </c>
      <c r="G6239" s="41">
        <v>5</v>
      </c>
      <c r="H6239" s="41">
        <v>9.2644000000000002</v>
      </c>
      <c r="I6239" s="221"/>
      <c r="J6239" s="221"/>
    </row>
    <row r="6240" spans="1:10" s="15" customFormat="1" ht="16.5" hidden="1" customHeight="1" outlineLevel="1" x14ac:dyDescent="0.25">
      <c r="A6240" s="18">
        <v>4962</v>
      </c>
      <c r="B6240" s="4" t="s">
        <v>43</v>
      </c>
      <c r="C6240" s="38" t="s">
        <v>4355</v>
      </c>
      <c r="D6240" s="18">
        <v>2022</v>
      </c>
      <c r="E6240" s="18" t="s">
        <v>0</v>
      </c>
      <c r="F6240" s="4">
        <v>1</v>
      </c>
      <c r="G6240" s="41">
        <v>5</v>
      </c>
      <c r="H6240" s="41">
        <v>9.2644000000000002</v>
      </c>
      <c r="I6240" s="221"/>
      <c r="J6240" s="221"/>
    </row>
    <row r="6241" spans="1:10" s="15" customFormat="1" ht="16.5" hidden="1" customHeight="1" outlineLevel="1" x14ac:dyDescent="0.25">
      <c r="A6241" s="18">
        <v>4963</v>
      </c>
      <c r="B6241" s="4" t="s">
        <v>43</v>
      </c>
      <c r="C6241" s="38" t="s">
        <v>4356</v>
      </c>
      <c r="D6241" s="18">
        <v>2022</v>
      </c>
      <c r="E6241" s="18" t="s">
        <v>0</v>
      </c>
      <c r="F6241" s="4">
        <v>1</v>
      </c>
      <c r="G6241" s="41">
        <v>5</v>
      </c>
      <c r="H6241" s="41">
        <v>9.2644000000000002</v>
      </c>
      <c r="I6241" s="221"/>
      <c r="J6241" s="221"/>
    </row>
    <row r="6242" spans="1:10" s="15" customFormat="1" ht="16.5" hidden="1" customHeight="1" outlineLevel="1" x14ac:dyDescent="0.25">
      <c r="A6242" s="18">
        <v>4992</v>
      </c>
      <c r="B6242" s="4" t="s">
        <v>43</v>
      </c>
      <c r="C6242" s="38" t="s">
        <v>4357</v>
      </c>
      <c r="D6242" s="18">
        <v>2022</v>
      </c>
      <c r="E6242" s="18" t="s">
        <v>0</v>
      </c>
      <c r="F6242" s="4">
        <v>1</v>
      </c>
      <c r="G6242" s="41">
        <v>5</v>
      </c>
      <c r="H6242" s="41">
        <v>9.8530999999999995</v>
      </c>
      <c r="I6242" s="221"/>
      <c r="J6242" s="221"/>
    </row>
    <row r="6243" spans="1:10" s="15" customFormat="1" ht="16.5" hidden="1" customHeight="1" outlineLevel="1" x14ac:dyDescent="0.25">
      <c r="A6243" s="18">
        <v>4854</v>
      </c>
      <c r="B6243" s="4" t="s">
        <v>43</v>
      </c>
      <c r="C6243" s="38" t="s">
        <v>3007</v>
      </c>
      <c r="D6243" s="18">
        <v>2022</v>
      </c>
      <c r="E6243" s="18" t="s">
        <v>0</v>
      </c>
      <c r="F6243" s="4">
        <v>1</v>
      </c>
      <c r="G6243" s="41">
        <v>5</v>
      </c>
      <c r="H6243" s="41">
        <v>48.686999999999998</v>
      </c>
      <c r="I6243" s="221"/>
      <c r="J6243" s="221"/>
    </row>
    <row r="6244" spans="1:10" s="15" customFormat="1" ht="16.5" hidden="1" customHeight="1" outlineLevel="1" x14ac:dyDescent="0.25">
      <c r="A6244" s="18">
        <v>5033</v>
      </c>
      <c r="B6244" s="4" t="s">
        <v>43</v>
      </c>
      <c r="C6244" s="38" t="s">
        <v>4358</v>
      </c>
      <c r="D6244" s="18">
        <v>2022</v>
      </c>
      <c r="E6244" s="18" t="s">
        <v>0</v>
      </c>
      <c r="F6244" s="4">
        <v>1</v>
      </c>
      <c r="G6244" s="41">
        <v>5</v>
      </c>
      <c r="H6244" s="41">
        <v>10.056000000000001</v>
      </c>
      <c r="I6244" s="221"/>
      <c r="J6244" s="221"/>
    </row>
    <row r="6245" spans="1:10" s="15" customFormat="1" ht="16.5" hidden="1" customHeight="1" outlineLevel="1" x14ac:dyDescent="0.25">
      <c r="A6245" s="18">
        <v>5034</v>
      </c>
      <c r="B6245" s="4" t="s">
        <v>43</v>
      </c>
      <c r="C6245" s="38" t="s">
        <v>4359</v>
      </c>
      <c r="D6245" s="18">
        <v>2022</v>
      </c>
      <c r="E6245" s="18" t="s">
        <v>0</v>
      </c>
      <c r="F6245" s="4">
        <v>1</v>
      </c>
      <c r="G6245" s="41">
        <v>6</v>
      </c>
      <c r="H6245" s="41">
        <v>10.0555</v>
      </c>
      <c r="I6245" s="221"/>
      <c r="J6245" s="221"/>
    </row>
    <row r="6246" spans="1:10" s="15" customFormat="1" ht="16.5" hidden="1" customHeight="1" outlineLevel="1" x14ac:dyDescent="0.25">
      <c r="A6246" s="18">
        <v>1855</v>
      </c>
      <c r="B6246" s="4" t="s">
        <v>43</v>
      </c>
      <c r="C6246" s="38" t="s">
        <v>4360</v>
      </c>
      <c r="D6246" s="18">
        <v>2022</v>
      </c>
      <c r="E6246" s="18" t="s">
        <v>0</v>
      </c>
      <c r="F6246" s="4">
        <v>3</v>
      </c>
      <c r="G6246" s="41">
        <v>30</v>
      </c>
      <c r="H6246" s="41">
        <v>101.38200000000001</v>
      </c>
      <c r="I6246" s="221"/>
      <c r="J6246" s="221"/>
    </row>
    <row r="6247" spans="1:10" s="15" customFormat="1" ht="16.5" hidden="1" customHeight="1" outlineLevel="1" x14ac:dyDescent="0.25">
      <c r="A6247" s="18">
        <v>2151</v>
      </c>
      <c r="B6247" s="4" t="s">
        <v>43</v>
      </c>
      <c r="C6247" s="38" t="s">
        <v>4361</v>
      </c>
      <c r="D6247" s="18">
        <v>2022</v>
      </c>
      <c r="E6247" s="18" t="s">
        <v>0</v>
      </c>
      <c r="F6247" s="4">
        <v>1</v>
      </c>
      <c r="G6247" s="41">
        <v>5</v>
      </c>
      <c r="H6247" s="41">
        <v>30.457000000000001</v>
      </c>
      <c r="I6247" s="221"/>
      <c r="J6247" s="221"/>
    </row>
    <row r="6248" spans="1:10" s="15" customFormat="1" ht="16.5" hidden="1" customHeight="1" outlineLevel="1" x14ac:dyDescent="0.25">
      <c r="A6248" s="18">
        <v>2153</v>
      </c>
      <c r="B6248" s="4" t="s">
        <v>43</v>
      </c>
      <c r="C6248" s="38" t="s">
        <v>4362</v>
      </c>
      <c r="D6248" s="18">
        <v>2022</v>
      </c>
      <c r="E6248" s="18" t="s">
        <v>0</v>
      </c>
      <c r="F6248" s="4">
        <v>1</v>
      </c>
      <c r="G6248" s="41">
        <v>6</v>
      </c>
      <c r="H6248" s="41">
        <v>31.670999999999999</v>
      </c>
      <c r="I6248" s="221"/>
      <c r="J6248" s="221"/>
    </row>
    <row r="6249" spans="1:10" s="15" customFormat="1" ht="16.5" hidden="1" customHeight="1" outlineLevel="1" x14ac:dyDescent="0.25">
      <c r="A6249" s="18">
        <v>2157</v>
      </c>
      <c r="B6249" s="4" t="s">
        <v>43</v>
      </c>
      <c r="C6249" s="38" t="s">
        <v>4363</v>
      </c>
      <c r="D6249" s="18">
        <v>2022</v>
      </c>
      <c r="E6249" s="18" t="s">
        <v>0</v>
      </c>
      <c r="F6249" s="4">
        <v>1</v>
      </c>
      <c r="G6249" s="41">
        <v>3</v>
      </c>
      <c r="H6249" s="41">
        <v>31.754999999999999</v>
      </c>
      <c r="I6249" s="221"/>
      <c r="J6249" s="221"/>
    </row>
    <row r="6250" spans="1:10" s="15" customFormat="1" ht="16.5" hidden="1" customHeight="1" outlineLevel="1" x14ac:dyDescent="0.25">
      <c r="A6250" s="18">
        <v>2158</v>
      </c>
      <c r="B6250" s="4" t="s">
        <v>43</v>
      </c>
      <c r="C6250" s="38" t="s">
        <v>4364</v>
      </c>
      <c r="D6250" s="18">
        <v>2022</v>
      </c>
      <c r="E6250" s="18" t="s">
        <v>0</v>
      </c>
      <c r="F6250" s="4">
        <v>1</v>
      </c>
      <c r="G6250" s="41">
        <v>3</v>
      </c>
      <c r="H6250" s="41">
        <v>29.908000000000001</v>
      </c>
      <c r="I6250" s="221"/>
      <c r="J6250" s="221"/>
    </row>
    <row r="6251" spans="1:10" s="15" customFormat="1" ht="16.5" hidden="1" customHeight="1" outlineLevel="1" x14ac:dyDescent="0.25">
      <c r="A6251" s="18">
        <v>2160</v>
      </c>
      <c r="B6251" s="4" t="s">
        <v>43</v>
      </c>
      <c r="C6251" s="38" t="s">
        <v>4365</v>
      </c>
      <c r="D6251" s="18">
        <v>2022</v>
      </c>
      <c r="E6251" s="18" t="s">
        <v>0</v>
      </c>
      <c r="F6251" s="4">
        <v>1</v>
      </c>
      <c r="G6251" s="41">
        <v>5</v>
      </c>
      <c r="H6251" s="41">
        <v>22.146999999999998</v>
      </c>
      <c r="I6251" s="221"/>
      <c r="J6251" s="221"/>
    </row>
    <row r="6252" spans="1:10" s="15" customFormat="1" ht="16.5" hidden="1" customHeight="1" outlineLevel="1" x14ac:dyDescent="0.25">
      <c r="A6252" s="18">
        <v>2162</v>
      </c>
      <c r="B6252" s="4" t="s">
        <v>43</v>
      </c>
      <c r="C6252" s="38" t="s">
        <v>4366</v>
      </c>
      <c r="D6252" s="18">
        <v>2022</v>
      </c>
      <c r="E6252" s="18" t="s">
        <v>0</v>
      </c>
      <c r="F6252" s="4">
        <v>1</v>
      </c>
      <c r="G6252" s="41">
        <v>5</v>
      </c>
      <c r="H6252" s="41">
        <v>24.629000000000001</v>
      </c>
      <c r="I6252" s="221"/>
      <c r="J6252" s="221"/>
    </row>
    <row r="6253" spans="1:10" s="15" customFormat="1" ht="16.5" hidden="1" customHeight="1" outlineLevel="1" x14ac:dyDescent="0.25">
      <c r="A6253" s="18">
        <v>2235</v>
      </c>
      <c r="B6253" s="4" t="s">
        <v>43</v>
      </c>
      <c r="C6253" s="38" t="s">
        <v>4367</v>
      </c>
      <c r="D6253" s="18">
        <v>2022</v>
      </c>
      <c r="E6253" s="18" t="s">
        <v>0</v>
      </c>
      <c r="F6253" s="4">
        <v>1</v>
      </c>
      <c r="G6253" s="41">
        <v>35</v>
      </c>
      <c r="H6253" s="41">
        <v>34.947000000000003</v>
      </c>
      <c r="I6253" s="221"/>
      <c r="J6253" s="221"/>
    </row>
    <row r="6254" spans="1:10" s="15" customFormat="1" ht="16.5" hidden="1" customHeight="1" outlineLevel="1" x14ac:dyDescent="0.25">
      <c r="A6254" s="18">
        <v>1843</v>
      </c>
      <c r="B6254" s="4" t="s">
        <v>43</v>
      </c>
      <c r="C6254" s="38" t="s">
        <v>4368</v>
      </c>
      <c r="D6254" s="18">
        <v>2022</v>
      </c>
      <c r="E6254" s="18" t="s">
        <v>0</v>
      </c>
      <c r="F6254" s="4">
        <v>1</v>
      </c>
      <c r="G6254" s="41">
        <v>12</v>
      </c>
      <c r="H6254" s="41">
        <v>24.823</v>
      </c>
      <c r="I6254" s="221"/>
      <c r="J6254" s="221"/>
    </row>
    <row r="6255" spans="1:10" s="15" customFormat="1" ht="16.5" hidden="1" customHeight="1" outlineLevel="1" x14ac:dyDescent="0.25">
      <c r="A6255" s="18">
        <v>1878</v>
      </c>
      <c r="B6255" s="4" t="s">
        <v>43</v>
      </c>
      <c r="C6255" s="38" t="s">
        <v>4369</v>
      </c>
      <c r="D6255" s="18">
        <v>2022</v>
      </c>
      <c r="E6255" s="18" t="s">
        <v>0</v>
      </c>
      <c r="F6255" s="4">
        <v>1</v>
      </c>
      <c r="G6255" s="41">
        <v>54</v>
      </c>
      <c r="H6255" s="41">
        <v>34.223999999999997</v>
      </c>
      <c r="I6255" s="221"/>
      <c r="J6255" s="221"/>
    </row>
    <row r="6256" spans="1:10" s="15" customFormat="1" ht="16.5" hidden="1" customHeight="1" outlineLevel="1" x14ac:dyDescent="0.25">
      <c r="A6256" s="18">
        <v>1889</v>
      </c>
      <c r="B6256" s="4" t="s">
        <v>43</v>
      </c>
      <c r="C6256" s="38" t="s">
        <v>4370</v>
      </c>
      <c r="D6256" s="18">
        <v>2022</v>
      </c>
      <c r="E6256" s="18" t="s">
        <v>0</v>
      </c>
      <c r="F6256" s="4">
        <v>1</v>
      </c>
      <c r="G6256" s="41">
        <v>7.5</v>
      </c>
      <c r="H6256" s="41">
        <v>19</v>
      </c>
      <c r="I6256" s="221"/>
      <c r="J6256" s="221"/>
    </row>
    <row r="6257" spans="1:10" s="15" customFormat="1" ht="16.5" hidden="1" customHeight="1" outlineLevel="1" x14ac:dyDescent="0.25">
      <c r="A6257" s="18">
        <v>1895</v>
      </c>
      <c r="B6257" s="4" t="s">
        <v>43</v>
      </c>
      <c r="C6257" s="38" t="s">
        <v>4371</v>
      </c>
      <c r="D6257" s="18">
        <v>2022</v>
      </c>
      <c r="E6257" s="18" t="s">
        <v>0</v>
      </c>
      <c r="F6257" s="4">
        <v>2</v>
      </c>
      <c r="G6257" s="41">
        <v>52</v>
      </c>
      <c r="H6257" s="41">
        <v>62.03</v>
      </c>
      <c r="I6257" s="221"/>
      <c r="J6257" s="221"/>
    </row>
    <row r="6258" spans="1:10" s="15" customFormat="1" ht="16.5" hidden="1" customHeight="1" outlineLevel="1" x14ac:dyDescent="0.25">
      <c r="A6258" s="18">
        <v>1924</v>
      </c>
      <c r="B6258" s="4" t="s">
        <v>43</v>
      </c>
      <c r="C6258" s="38" t="s">
        <v>4372</v>
      </c>
      <c r="D6258" s="18">
        <v>2022</v>
      </c>
      <c r="E6258" s="18" t="s">
        <v>0</v>
      </c>
      <c r="F6258" s="4">
        <v>1</v>
      </c>
      <c r="G6258" s="41">
        <v>10</v>
      </c>
      <c r="H6258" s="41">
        <v>23.9</v>
      </c>
      <c r="I6258" s="221"/>
      <c r="J6258" s="221"/>
    </row>
    <row r="6259" spans="1:10" s="15" customFormat="1" ht="16.5" hidden="1" customHeight="1" outlineLevel="1" x14ac:dyDescent="0.25">
      <c r="A6259" s="18">
        <v>1936</v>
      </c>
      <c r="B6259" s="4" t="s">
        <v>43</v>
      </c>
      <c r="C6259" s="38" t="s">
        <v>4373</v>
      </c>
      <c r="D6259" s="18">
        <v>2022</v>
      </c>
      <c r="E6259" s="18" t="s">
        <v>0</v>
      </c>
      <c r="F6259" s="4">
        <v>1</v>
      </c>
      <c r="G6259" s="41">
        <v>15</v>
      </c>
      <c r="H6259" s="41">
        <v>33.697000000000003</v>
      </c>
      <c r="I6259" s="221"/>
      <c r="J6259" s="221"/>
    </row>
    <row r="6260" spans="1:10" s="15" customFormat="1" ht="16.5" hidden="1" customHeight="1" outlineLevel="1" x14ac:dyDescent="0.25">
      <c r="A6260" s="18">
        <v>1975</v>
      </c>
      <c r="B6260" s="4" t="s">
        <v>43</v>
      </c>
      <c r="C6260" s="38" t="s">
        <v>4374</v>
      </c>
      <c r="D6260" s="18">
        <v>2022</v>
      </c>
      <c r="E6260" s="18" t="s">
        <v>0</v>
      </c>
      <c r="F6260" s="4">
        <v>1</v>
      </c>
      <c r="G6260" s="41">
        <v>10</v>
      </c>
      <c r="H6260" s="41">
        <v>20.85</v>
      </c>
      <c r="I6260" s="221"/>
      <c r="J6260" s="221"/>
    </row>
    <row r="6261" spans="1:10" s="15" customFormat="1" ht="16.5" hidden="1" customHeight="1" outlineLevel="1" x14ac:dyDescent="0.25">
      <c r="A6261" s="18">
        <v>1982</v>
      </c>
      <c r="B6261" s="4" t="s">
        <v>43</v>
      </c>
      <c r="C6261" s="38" t="s">
        <v>4375</v>
      </c>
      <c r="D6261" s="18">
        <v>2022</v>
      </c>
      <c r="E6261" s="18" t="s">
        <v>0</v>
      </c>
      <c r="F6261" s="4">
        <v>1</v>
      </c>
      <c r="G6261" s="41">
        <v>10</v>
      </c>
      <c r="H6261" s="41">
        <v>24.454999999999998</v>
      </c>
      <c r="I6261" s="221"/>
      <c r="J6261" s="221"/>
    </row>
    <row r="6262" spans="1:10" s="15" customFormat="1" ht="16.5" hidden="1" customHeight="1" outlineLevel="1" x14ac:dyDescent="0.25">
      <c r="A6262" s="18">
        <v>1983</v>
      </c>
      <c r="B6262" s="4" t="s">
        <v>43</v>
      </c>
      <c r="C6262" s="38" t="s">
        <v>4376</v>
      </c>
      <c r="D6262" s="18">
        <v>2022</v>
      </c>
      <c r="E6262" s="18" t="s">
        <v>0</v>
      </c>
      <c r="F6262" s="4">
        <v>1</v>
      </c>
      <c r="G6262" s="41">
        <v>10</v>
      </c>
      <c r="H6262" s="41">
        <v>24.478999999999999</v>
      </c>
      <c r="I6262" s="221"/>
      <c r="J6262" s="221"/>
    </row>
    <row r="6263" spans="1:10" s="15" customFormat="1" ht="16.5" hidden="1" customHeight="1" outlineLevel="1" x14ac:dyDescent="0.25">
      <c r="A6263" s="18">
        <v>1986</v>
      </c>
      <c r="B6263" s="4" t="s">
        <v>43</v>
      </c>
      <c r="C6263" s="38" t="s">
        <v>4377</v>
      </c>
      <c r="D6263" s="18">
        <v>2022</v>
      </c>
      <c r="E6263" s="18" t="s">
        <v>0</v>
      </c>
      <c r="F6263" s="4">
        <v>1</v>
      </c>
      <c r="G6263" s="41">
        <v>10</v>
      </c>
      <c r="H6263" s="41">
        <v>30.672999999999998</v>
      </c>
      <c r="I6263" s="221"/>
      <c r="J6263" s="221"/>
    </row>
    <row r="6264" spans="1:10" s="15" customFormat="1" ht="16.5" hidden="1" customHeight="1" outlineLevel="1" x14ac:dyDescent="0.25">
      <c r="A6264" s="18">
        <v>2017</v>
      </c>
      <c r="B6264" s="4" t="s">
        <v>43</v>
      </c>
      <c r="C6264" s="38" t="s">
        <v>4378</v>
      </c>
      <c r="D6264" s="18">
        <v>2022</v>
      </c>
      <c r="E6264" s="18" t="s">
        <v>0</v>
      </c>
      <c r="F6264" s="4">
        <v>1</v>
      </c>
      <c r="G6264" s="41">
        <v>6</v>
      </c>
      <c r="H6264" s="41">
        <v>24.41</v>
      </c>
      <c r="I6264" s="221"/>
      <c r="J6264" s="221"/>
    </row>
    <row r="6265" spans="1:10" s="15" customFormat="1" ht="16.5" hidden="1" customHeight="1" outlineLevel="1" x14ac:dyDescent="0.25">
      <c r="A6265" s="18">
        <v>2027</v>
      </c>
      <c r="B6265" s="4" t="s">
        <v>43</v>
      </c>
      <c r="C6265" s="38" t="s">
        <v>4379</v>
      </c>
      <c r="D6265" s="18">
        <v>2022</v>
      </c>
      <c r="E6265" s="18" t="s">
        <v>0</v>
      </c>
      <c r="F6265" s="4">
        <v>1</v>
      </c>
      <c r="G6265" s="41">
        <v>10</v>
      </c>
      <c r="H6265" s="41">
        <v>25.126999999999999</v>
      </c>
      <c r="I6265" s="221"/>
      <c r="J6265" s="221"/>
    </row>
    <row r="6266" spans="1:10" s="15" customFormat="1" ht="16.5" hidden="1" customHeight="1" outlineLevel="1" x14ac:dyDescent="0.25">
      <c r="A6266" s="18">
        <v>2029</v>
      </c>
      <c r="B6266" s="4" t="s">
        <v>43</v>
      </c>
      <c r="C6266" s="38" t="s">
        <v>4380</v>
      </c>
      <c r="D6266" s="18">
        <v>2022</v>
      </c>
      <c r="E6266" s="18" t="s">
        <v>0</v>
      </c>
      <c r="F6266" s="4">
        <v>1</v>
      </c>
      <c r="G6266" s="41">
        <v>10</v>
      </c>
      <c r="H6266" s="41">
        <v>36.164999999999999</v>
      </c>
      <c r="I6266" s="221"/>
      <c r="J6266" s="221"/>
    </row>
    <row r="6267" spans="1:10" s="15" customFormat="1" ht="16.5" hidden="1" customHeight="1" outlineLevel="1" x14ac:dyDescent="0.25">
      <c r="A6267" s="18">
        <v>2040</v>
      </c>
      <c r="B6267" s="4" t="s">
        <v>43</v>
      </c>
      <c r="C6267" s="38" t="s">
        <v>4381</v>
      </c>
      <c r="D6267" s="18">
        <v>2022</v>
      </c>
      <c r="E6267" s="18" t="s">
        <v>0</v>
      </c>
      <c r="F6267" s="4">
        <v>1</v>
      </c>
      <c r="G6267" s="41">
        <v>10</v>
      </c>
      <c r="H6267" s="41">
        <v>28.594000000000001</v>
      </c>
      <c r="I6267" s="221"/>
      <c r="J6267" s="221"/>
    </row>
    <row r="6268" spans="1:10" s="15" customFormat="1" ht="16.5" hidden="1" customHeight="1" outlineLevel="1" x14ac:dyDescent="0.25">
      <c r="A6268" s="18">
        <v>2043</v>
      </c>
      <c r="B6268" s="4" t="s">
        <v>43</v>
      </c>
      <c r="C6268" s="38" t="s">
        <v>4382</v>
      </c>
      <c r="D6268" s="18">
        <v>2022</v>
      </c>
      <c r="E6268" s="18" t="s">
        <v>0</v>
      </c>
      <c r="F6268" s="4">
        <v>1</v>
      </c>
      <c r="G6268" s="41">
        <v>10</v>
      </c>
      <c r="H6268" s="41">
        <v>32.759</v>
      </c>
      <c r="I6268" s="221"/>
      <c r="J6268" s="221"/>
    </row>
    <row r="6269" spans="1:10" s="15" customFormat="1" ht="16.5" hidden="1" customHeight="1" outlineLevel="1" x14ac:dyDescent="0.25">
      <c r="A6269" s="18">
        <v>2044</v>
      </c>
      <c r="B6269" s="4" t="s">
        <v>43</v>
      </c>
      <c r="C6269" s="38" t="s">
        <v>4383</v>
      </c>
      <c r="D6269" s="18">
        <v>2022</v>
      </c>
      <c r="E6269" s="18" t="s">
        <v>0</v>
      </c>
      <c r="F6269" s="4">
        <v>1</v>
      </c>
      <c r="G6269" s="41">
        <v>10</v>
      </c>
      <c r="H6269" s="41">
        <v>33.506999999999998</v>
      </c>
      <c r="I6269" s="221"/>
      <c r="J6269" s="221"/>
    </row>
    <row r="6270" spans="1:10" s="15" customFormat="1" ht="16.5" hidden="1" customHeight="1" outlineLevel="1" x14ac:dyDescent="0.25">
      <c r="A6270" s="18">
        <v>2047</v>
      </c>
      <c r="B6270" s="4" t="s">
        <v>43</v>
      </c>
      <c r="C6270" s="38" t="s">
        <v>4384</v>
      </c>
      <c r="D6270" s="18">
        <v>2022</v>
      </c>
      <c r="E6270" s="18" t="s">
        <v>0</v>
      </c>
      <c r="F6270" s="4">
        <v>1</v>
      </c>
      <c r="G6270" s="41">
        <v>12</v>
      </c>
      <c r="H6270" s="41">
        <v>31.565000000000001</v>
      </c>
      <c r="I6270" s="221"/>
      <c r="J6270" s="221"/>
    </row>
    <row r="6271" spans="1:10" s="15" customFormat="1" ht="16.5" hidden="1" customHeight="1" outlineLevel="1" x14ac:dyDescent="0.25">
      <c r="A6271" s="18">
        <v>2053</v>
      </c>
      <c r="B6271" s="4" t="s">
        <v>43</v>
      </c>
      <c r="C6271" s="38" t="s">
        <v>4385</v>
      </c>
      <c r="D6271" s="18">
        <v>2022</v>
      </c>
      <c r="E6271" s="18" t="s">
        <v>0</v>
      </c>
      <c r="F6271" s="4">
        <v>1</v>
      </c>
      <c r="G6271" s="41">
        <v>15</v>
      </c>
      <c r="H6271" s="41">
        <v>36.634999999999998</v>
      </c>
      <c r="I6271" s="221"/>
      <c r="J6271" s="221"/>
    </row>
    <row r="6272" spans="1:10" s="15" customFormat="1" ht="16.5" hidden="1" customHeight="1" outlineLevel="1" x14ac:dyDescent="0.25">
      <c r="A6272" s="18">
        <v>2081</v>
      </c>
      <c r="B6272" s="4" t="s">
        <v>43</v>
      </c>
      <c r="C6272" s="38" t="s">
        <v>4386</v>
      </c>
      <c r="D6272" s="18">
        <v>2022</v>
      </c>
      <c r="E6272" s="18" t="s">
        <v>0</v>
      </c>
      <c r="F6272" s="4">
        <v>1</v>
      </c>
      <c r="G6272" s="41">
        <v>11</v>
      </c>
      <c r="H6272" s="41">
        <v>23.378</v>
      </c>
      <c r="I6272" s="221"/>
      <c r="J6272" s="221"/>
    </row>
    <row r="6273" spans="1:10" s="15" customFormat="1" ht="16.5" hidden="1" customHeight="1" outlineLevel="1" x14ac:dyDescent="0.25">
      <c r="A6273" s="18">
        <v>2085</v>
      </c>
      <c r="B6273" s="4" t="s">
        <v>43</v>
      </c>
      <c r="C6273" s="38" t="s">
        <v>4387</v>
      </c>
      <c r="D6273" s="18">
        <v>2022</v>
      </c>
      <c r="E6273" s="18" t="s">
        <v>0</v>
      </c>
      <c r="F6273" s="4">
        <v>1</v>
      </c>
      <c r="G6273" s="41">
        <v>5</v>
      </c>
      <c r="H6273" s="41">
        <v>33.826000000000001</v>
      </c>
      <c r="I6273" s="221"/>
      <c r="J6273" s="221"/>
    </row>
    <row r="6274" spans="1:10" s="15" customFormat="1" ht="16.5" hidden="1" customHeight="1" outlineLevel="1" x14ac:dyDescent="0.25">
      <c r="A6274" s="18">
        <v>2088</v>
      </c>
      <c r="B6274" s="4" t="s">
        <v>43</v>
      </c>
      <c r="C6274" s="38" t="s">
        <v>4388</v>
      </c>
      <c r="D6274" s="18">
        <v>2022</v>
      </c>
      <c r="E6274" s="18" t="s">
        <v>0</v>
      </c>
      <c r="F6274" s="4">
        <v>1</v>
      </c>
      <c r="G6274" s="41">
        <v>12</v>
      </c>
      <c r="H6274" s="41">
        <v>26.018999999999998</v>
      </c>
      <c r="I6274" s="221"/>
      <c r="J6274" s="221"/>
    </row>
    <row r="6275" spans="1:10" s="15" customFormat="1" ht="16.5" hidden="1" customHeight="1" outlineLevel="1" x14ac:dyDescent="0.25">
      <c r="A6275" s="18">
        <v>2124</v>
      </c>
      <c r="B6275" s="4" t="s">
        <v>43</v>
      </c>
      <c r="C6275" s="38" t="s">
        <v>4389</v>
      </c>
      <c r="D6275" s="18">
        <v>2022</v>
      </c>
      <c r="E6275" s="18" t="s">
        <v>0</v>
      </c>
      <c r="F6275" s="4">
        <v>1</v>
      </c>
      <c r="G6275" s="41">
        <v>10</v>
      </c>
      <c r="H6275" s="41">
        <v>35.564999999999998</v>
      </c>
      <c r="I6275" s="221"/>
      <c r="J6275" s="221"/>
    </row>
    <row r="6276" spans="1:10" s="15" customFormat="1" ht="16.5" hidden="1" customHeight="1" outlineLevel="1" x14ac:dyDescent="0.25">
      <c r="A6276" s="18">
        <v>2131</v>
      </c>
      <c r="B6276" s="4" t="s">
        <v>43</v>
      </c>
      <c r="C6276" s="38" t="s">
        <v>4390</v>
      </c>
      <c r="D6276" s="18">
        <v>2022</v>
      </c>
      <c r="E6276" s="18" t="s">
        <v>0</v>
      </c>
      <c r="F6276" s="4">
        <v>1</v>
      </c>
      <c r="G6276" s="41">
        <v>10</v>
      </c>
      <c r="H6276" s="41">
        <v>32.954000000000001</v>
      </c>
      <c r="I6276" s="221"/>
      <c r="J6276" s="221"/>
    </row>
    <row r="6277" spans="1:10" s="15" customFormat="1" ht="16.5" hidden="1" customHeight="1" outlineLevel="1" x14ac:dyDescent="0.25">
      <c r="A6277" s="18">
        <v>2135</v>
      </c>
      <c r="B6277" s="4" t="s">
        <v>43</v>
      </c>
      <c r="C6277" s="38" t="s">
        <v>4391</v>
      </c>
      <c r="D6277" s="18">
        <v>2022</v>
      </c>
      <c r="E6277" s="18" t="s">
        <v>0</v>
      </c>
      <c r="F6277" s="4">
        <v>1</v>
      </c>
      <c r="G6277" s="41">
        <v>10</v>
      </c>
      <c r="H6277" s="41">
        <v>23.032</v>
      </c>
      <c r="I6277" s="221"/>
      <c r="J6277" s="221"/>
    </row>
    <row r="6278" spans="1:10" s="15" customFormat="1" ht="16.5" hidden="1" customHeight="1" outlineLevel="1" x14ac:dyDescent="0.25">
      <c r="A6278" s="18">
        <v>2139</v>
      </c>
      <c r="B6278" s="4" t="s">
        <v>43</v>
      </c>
      <c r="C6278" s="38" t="s">
        <v>4392</v>
      </c>
      <c r="D6278" s="18">
        <v>2022</v>
      </c>
      <c r="E6278" s="18" t="s">
        <v>0</v>
      </c>
      <c r="F6278" s="4">
        <v>1</v>
      </c>
      <c r="G6278" s="41">
        <v>6</v>
      </c>
      <c r="H6278" s="41">
        <v>34.229999999999997</v>
      </c>
      <c r="I6278" s="221"/>
      <c r="J6278" s="221"/>
    </row>
    <row r="6279" spans="1:10" s="15" customFormat="1" ht="16.5" hidden="1" customHeight="1" outlineLevel="1" x14ac:dyDescent="0.25">
      <c r="A6279" s="18">
        <v>2142</v>
      </c>
      <c r="B6279" s="4" t="s">
        <v>43</v>
      </c>
      <c r="C6279" s="38" t="s">
        <v>4393</v>
      </c>
      <c r="D6279" s="18">
        <v>2022</v>
      </c>
      <c r="E6279" s="18" t="s">
        <v>0</v>
      </c>
      <c r="F6279" s="4">
        <v>1</v>
      </c>
      <c r="G6279" s="41">
        <v>10</v>
      </c>
      <c r="H6279" s="41">
        <v>28.541</v>
      </c>
      <c r="I6279" s="221"/>
      <c r="J6279" s="221"/>
    </row>
    <row r="6280" spans="1:10" s="15" customFormat="1" ht="16.5" hidden="1" customHeight="1" outlineLevel="1" x14ac:dyDescent="0.25">
      <c r="A6280" s="18">
        <v>2144</v>
      </c>
      <c r="B6280" s="4" t="s">
        <v>43</v>
      </c>
      <c r="C6280" s="38" t="s">
        <v>4394</v>
      </c>
      <c r="D6280" s="18">
        <v>2022</v>
      </c>
      <c r="E6280" s="18" t="s">
        <v>0</v>
      </c>
      <c r="F6280" s="4">
        <v>1</v>
      </c>
      <c r="G6280" s="41">
        <v>10</v>
      </c>
      <c r="H6280" s="41">
        <v>29.837</v>
      </c>
      <c r="I6280" s="221"/>
      <c r="J6280" s="221"/>
    </row>
    <row r="6281" spans="1:10" s="15" customFormat="1" ht="16.5" hidden="1" customHeight="1" outlineLevel="1" x14ac:dyDescent="0.25">
      <c r="A6281" s="18">
        <v>2146</v>
      </c>
      <c r="B6281" s="4" t="s">
        <v>43</v>
      </c>
      <c r="C6281" s="38" t="s">
        <v>4395</v>
      </c>
      <c r="D6281" s="18">
        <v>2022</v>
      </c>
      <c r="E6281" s="18" t="s">
        <v>0</v>
      </c>
      <c r="F6281" s="4">
        <v>1</v>
      </c>
      <c r="G6281" s="41">
        <v>10</v>
      </c>
      <c r="H6281" s="41">
        <v>27.041</v>
      </c>
      <c r="I6281" s="221"/>
      <c r="J6281" s="221"/>
    </row>
    <row r="6282" spans="1:10" s="15" customFormat="1" ht="16.5" hidden="1" customHeight="1" outlineLevel="1" x14ac:dyDescent="0.25">
      <c r="A6282" s="18">
        <v>2168</v>
      </c>
      <c r="B6282" s="4" t="s">
        <v>43</v>
      </c>
      <c r="C6282" s="38" t="s">
        <v>4396</v>
      </c>
      <c r="D6282" s="18">
        <v>2022</v>
      </c>
      <c r="E6282" s="18" t="s">
        <v>0</v>
      </c>
      <c r="F6282" s="4">
        <v>1</v>
      </c>
      <c r="G6282" s="41">
        <v>15</v>
      </c>
      <c r="H6282" s="41">
        <v>89.277000000000001</v>
      </c>
      <c r="I6282" s="221"/>
      <c r="J6282" s="221"/>
    </row>
    <row r="6283" spans="1:10" s="15" customFormat="1" ht="16.5" hidden="1" customHeight="1" outlineLevel="1" x14ac:dyDescent="0.25">
      <c r="A6283" s="18">
        <v>2227</v>
      </c>
      <c r="B6283" s="4" t="s">
        <v>43</v>
      </c>
      <c r="C6283" s="38" t="s">
        <v>4397</v>
      </c>
      <c r="D6283" s="18">
        <v>2022</v>
      </c>
      <c r="E6283" s="18" t="s">
        <v>0</v>
      </c>
      <c r="F6283" s="4">
        <v>1</v>
      </c>
      <c r="G6283" s="41">
        <v>10</v>
      </c>
      <c r="H6283" s="41">
        <v>24.815000000000001</v>
      </c>
      <c r="I6283" s="221"/>
      <c r="J6283" s="221"/>
    </row>
    <row r="6284" spans="1:10" s="15" customFormat="1" ht="16.5" hidden="1" customHeight="1" outlineLevel="1" x14ac:dyDescent="0.25">
      <c r="A6284" s="18">
        <v>2228</v>
      </c>
      <c r="B6284" s="4" t="s">
        <v>43</v>
      </c>
      <c r="C6284" s="38" t="s">
        <v>4398</v>
      </c>
      <c r="D6284" s="18">
        <v>2022</v>
      </c>
      <c r="E6284" s="18" t="s">
        <v>0</v>
      </c>
      <c r="F6284" s="4">
        <v>1</v>
      </c>
      <c r="G6284" s="41">
        <v>5</v>
      </c>
      <c r="H6284" s="41">
        <v>21.209</v>
      </c>
      <c r="I6284" s="221"/>
      <c r="J6284" s="221"/>
    </row>
    <row r="6285" spans="1:10" s="15" customFormat="1" ht="16.5" hidden="1" customHeight="1" outlineLevel="1" x14ac:dyDescent="0.25">
      <c r="A6285" s="18">
        <v>2229</v>
      </c>
      <c r="B6285" s="4" t="s">
        <v>43</v>
      </c>
      <c r="C6285" s="38" t="s">
        <v>4399</v>
      </c>
      <c r="D6285" s="18">
        <v>2022</v>
      </c>
      <c r="E6285" s="18" t="s">
        <v>0</v>
      </c>
      <c r="F6285" s="4">
        <v>1</v>
      </c>
      <c r="G6285" s="41">
        <v>5</v>
      </c>
      <c r="H6285" s="41">
        <v>28.491</v>
      </c>
      <c r="I6285" s="221"/>
      <c r="J6285" s="221"/>
    </row>
    <row r="6286" spans="1:10" s="15" customFormat="1" ht="16.5" hidden="1" customHeight="1" outlineLevel="1" x14ac:dyDescent="0.25">
      <c r="A6286" s="18">
        <v>2230</v>
      </c>
      <c r="B6286" s="4" t="s">
        <v>43</v>
      </c>
      <c r="C6286" s="38" t="s">
        <v>4400</v>
      </c>
      <c r="D6286" s="18">
        <v>2022</v>
      </c>
      <c r="E6286" s="18" t="s">
        <v>0</v>
      </c>
      <c r="F6286" s="4">
        <v>1</v>
      </c>
      <c r="G6286" s="41">
        <v>10</v>
      </c>
      <c r="H6286" s="41">
        <v>27.21</v>
      </c>
      <c r="I6286" s="221"/>
      <c r="J6286" s="221"/>
    </row>
    <row r="6287" spans="1:10" s="15" customFormat="1" ht="16.5" hidden="1" customHeight="1" outlineLevel="1" x14ac:dyDescent="0.25">
      <c r="A6287" s="18">
        <v>2234</v>
      </c>
      <c r="B6287" s="4" t="s">
        <v>43</v>
      </c>
      <c r="C6287" s="38" t="s">
        <v>4401</v>
      </c>
      <c r="D6287" s="18">
        <v>2022</v>
      </c>
      <c r="E6287" s="18" t="s">
        <v>0</v>
      </c>
      <c r="F6287" s="4">
        <v>1</v>
      </c>
      <c r="G6287" s="41">
        <v>5</v>
      </c>
      <c r="H6287" s="41">
        <v>24.173999999999999</v>
      </c>
      <c r="I6287" s="221"/>
      <c r="J6287" s="221"/>
    </row>
    <row r="6288" spans="1:10" s="15" customFormat="1" ht="16.5" hidden="1" customHeight="1" outlineLevel="1" x14ac:dyDescent="0.25">
      <c r="A6288" s="18">
        <v>2237</v>
      </c>
      <c r="B6288" s="4" t="s">
        <v>43</v>
      </c>
      <c r="C6288" s="38" t="s">
        <v>4402</v>
      </c>
      <c r="D6288" s="18">
        <v>2022</v>
      </c>
      <c r="E6288" s="18" t="s">
        <v>0</v>
      </c>
      <c r="F6288" s="4">
        <v>1</v>
      </c>
      <c r="G6288" s="41">
        <v>5</v>
      </c>
      <c r="H6288" s="41">
        <v>23.445</v>
      </c>
      <c r="I6288" s="221"/>
      <c r="J6288" s="221"/>
    </row>
    <row r="6289" spans="1:10" s="15" customFormat="1" ht="16.5" hidden="1" customHeight="1" outlineLevel="1" x14ac:dyDescent="0.25">
      <c r="A6289" s="18">
        <v>2238</v>
      </c>
      <c r="B6289" s="4" t="s">
        <v>43</v>
      </c>
      <c r="C6289" s="38" t="s">
        <v>4403</v>
      </c>
      <c r="D6289" s="18">
        <v>2022</v>
      </c>
      <c r="E6289" s="18" t="s">
        <v>0</v>
      </c>
      <c r="F6289" s="4">
        <v>1</v>
      </c>
      <c r="G6289" s="41">
        <v>5</v>
      </c>
      <c r="H6289" s="41">
        <v>28.234000000000002</v>
      </c>
      <c r="I6289" s="221"/>
      <c r="J6289" s="221"/>
    </row>
    <row r="6290" spans="1:10" s="15" customFormat="1" ht="16.5" hidden="1" customHeight="1" outlineLevel="1" x14ac:dyDescent="0.25">
      <c r="A6290" s="18">
        <v>1918</v>
      </c>
      <c r="B6290" s="4" t="s">
        <v>43</v>
      </c>
      <c r="C6290" s="38" t="s">
        <v>4404</v>
      </c>
      <c r="D6290" s="18">
        <v>2022</v>
      </c>
      <c r="E6290" s="18" t="s">
        <v>0</v>
      </c>
      <c r="F6290" s="4">
        <v>1</v>
      </c>
      <c r="G6290" s="41">
        <v>9</v>
      </c>
      <c r="H6290" s="41">
        <v>23.701000000000001</v>
      </c>
      <c r="I6290" s="221"/>
      <c r="J6290" s="221"/>
    </row>
    <row r="6291" spans="1:10" s="15" customFormat="1" ht="16.5" hidden="1" customHeight="1" outlineLevel="1" x14ac:dyDescent="0.25">
      <c r="A6291" s="18">
        <v>1926</v>
      </c>
      <c r="B6291" s="4" t="s">
        <v>43</v>
      </c>
      <c r="C6291" s="38" t="s">
        <v>4405</v>
      </c>
      <c r="D6291" s="18">
        <v>2022</v>
      </c>
      <c r="E6291" s="18" t="s">
        <v>0</v>
      </c>
      <c r="F6291" s="4">
        <v>1</v>
      </c>
      <c r="G6291" s="41">
        <v>10</v>
      </c>
      <c r="H6291" s="41">
        <v>27.122</v>
      </c>
      <c r="I6291" s="221"/>
      <c r="J6291" s="221"/>
    </row>
    <row r="6292" spans="1:10" s="15" customFormat="1" ht="16.5" hidden="1" customHeight="1" outlineLevel="1" x14ac:dyDescent="0.25">
      <c r="A6292" s="18">
        <v>1959</v>
      </c>
      <c r="B6292" s="4" t="s">
        <v>43</v>
      </c>
      <c r="C6292" s="38" t="s">
        <v>4406</v>
      </c>
      <c r="D6292" s="18">
        <v>2022</v>
      </c>
      <c r="E6292" s="18" t="s">
        <v>0</v>
      </c>
      <c r="F6292" s="4">
        <v>1</v>
      </c>
      <c r="G6292" s="41">
        <v>10</v>
      </c>
      <c r="H6292" s="41">
        <v>30.64</v>
      </c>
      <c r="I6292" s="221"/>
      <c r="J6292" s="221"/>
    </row>
    <row r="6293" spans="1:10" s="15" customFormat="1" ht="16.5" hidden="1" customHeight="1" outlineLevel="1" x14ac:dyDescent="0.25">
      <c r="A6293" s="18">
        <v>1978</v>
      </c>
      <c r="B6293" s="4" t="s">
        <v>43</v>
      </c>
      <c r="C6293" s="38" t="s">
        <v>4407</v>
      </c>
      <c r="D6293" s="18">
        <v>2022</v>
      </c>
      <c r="E6293" s="18" t="s">
        <v>0</v>
      </c>
      <c r="F6293" s="4">
        <v>1</v>
      </c>
      <c r="G6293" s="41">
        <v>10</v>
      </c>
      <c r="H6293" s="41">
        <v>33.776000000000003</v>
      </c>
      <c r="I6293" s="221"/>
      <c r="J6293" s="221"/>
    </row>
    <row r="6294" spans="1:10" s="15" customFormat="1" ht="16.5" hidden="1" customHeight="1" outlineLevel="1" x14ac:dyDescent="0.25">
      <c r="A6294" s="18">
        <v>1989</v>
      </c>
      <c r="B6294" s="4" t="s">
        <v>43</v>
      </c>
      <c r="C6294" s="38" t="s">
        <v>4408</v>
      </c>
      <c r="D6294" s="18">
        <v>2022</v>
      </c>
      <c r="E6294" s="18" t="s">
        <v>0</v>
      </c>
      <c r="F6294" s="4">
        <v>1</v>
      </c>
      <c r="G6294" s="41">
        <v>10</v>
      </c>
      <c r="H6294" s="41">
        <v>21.297000000000001</v>
      </c>
      <c r="I6294" s="221"/>
      <c r="J6294" s="221"/>
    </row>
    <row r="6295" spans="1:10" s="15" customFormat="1" ht="16.5" hidden="1" customHeight="1" outlineLevel="1" x14ac:dyDescent="0.25">
      <c r="A6295" s="18">
        <v>2001</v>
      </c>
      <c r="B6295" s="4" t="s">
        <v>43</v>
      </c>
      <c r="C6295" s="38" t="s">
        <v>4409</v>
      </c>
      <c r="D6295" s="18">
        <v>2022</v>
      </c>
      <c r="E6295" s="18" t="s">
        <v>0</v>
      </c>
      <c r="F6295" s="4">
        <v>1</v>
      </c>
      <c r="G6295" s="41">
        <v>12</v>
      </c>
      <c r="H6295" s="41">
        <v>29.111999999999998</v>
      </c>
      <c r="I6295" s="221"/>
      <c r="J6295" s="221"/>
    </row>
    <row r="6296" spans="1:10" s="15" customFormat="1" ht="16.5" hidden="1" customHeight="1" outlineLevel="1" x14ac:dyDescent="0.25">
      <c r="A6296" s="18">
        <v>2103</v>
      </c>
      <c r="B6296" s="4" t="s">
        <v>43</v>
      </c>
      <c r="C6296" s="38" t="s">
        <v>4410</v>
      </c>
      <c r="D6296" s="18">
        <v>2022</v>
      </c>
      <c r="E6296" s="18" t="s">
        <v>0</v>
      </c>
      <c r="F6296" s="4">
        <v>1</v>
      </c>
      <c r="G6296" s="41">
        <v>3</v>
      </c>
      <c r="H6296" s="41">
        <v>30.72</v>
      </c>
      <c r="I6296" s="221"/>
      <c r="J6296" s="221"/>
    </row>
    <row r="6297" spans="1:10" s="15" customFormat="1" ht="16.5" hidden="1" customHeight="1" outlineLevel="1" x14ac:dyDescent="0.25">
      <c r="A6297" s="18">
        <v>2110</v>
      </c>
      <c r="B6297" s="4" t="s">
        <v>43</v>
      </c>
      <c r="C6297" s="38" t="s">
        <v>4411</v>
      </c>
      <c r="D6297" s="18">
        <v>2022</v>
      </c>
      <c r="E6297" s="18" t="s">
        <v>0</v>
      </c>
      <c r="F6297" s="4">
        <v>1</v>
      </c>
      <c r="G6297" s="41">
        <v>15</v>
      </c>
      <c r="H6297" s="41">
        <v>29.771000000000001</v>
      </c>
      <c r="I6297" s="221"/>
      <c r="J6297" s="221"/>
    </row>
    <row r="6298" spans="1:10" s="15" customFormat="1" ht="16.5" hidden="1" customHeight="1" outlineLevel="1" x14ac:dyDescent="0.25">
      <c r="A6298" s="18">
        <v>2117</v>
      </c>
      <c r="B6298" s="4" t="s">
        <v>43</v>
      </c>
      <c r="C6298" s="38" t="s">
        <v>4412</v>
      </c>
      <c r="D6298" s="18">
        <v>2022</v>
      </c>
      <c r="E6298" s="18" t="s">
        <v>0</v>
      </c>
      <c r="F6298" s="4">
        <v>1</v>
      </c>
      <c r="G6298" s="41">
        <v>10</v>
      </c>
      <c r="H6298" s="41">
        <v>30.693999999999999</v>
      </c>
      <c r="I6298" s="221"/>
      <c r="J6298" s="221"/>
    </row>
    <row r="6299" spans="1:10" s="15" customFormat="1" ht="16.5" hidden="1" customHeight="1" outlineLevel="1" x14ac:dyDescent="0.25">
      <c r="A6299" s="18">
        <v>2118</v>
      </c>
      <c r="B6299" s="4" t="s">
        <v>43</v>
      </c>
      <c r="C6299" s="38" t="s">
        <v>4413</v>
      </c>
      <c r="D6299" s="18">
        <v>2022</v>
      </c>
      <c r="E6299" s="18" t="s">
        <v>0</v>
      </c>
      <c r="F6299" s="4">
        <v>1</v>
      </c>
      <c r="G6299" s="41">
        <v>10</v>
      </c>
      <c r="H6299" s="41">
        <v>30.238</v>
      </c>
      <c r="I6299" s="221"/>
      <c r="J6299" s="221"/>
    </row>
    <row r="6300" spans="1:10" s="15" customFormat="1" ht="16.5" hidden="1" customHeight="1" outlineLevel="1" x14ac:dyDescent="0.25">
      <c r="A6300" s="18">
        <v>2173</v>
      </c>
      <c r="B6300" s="4" t="s">
        <v>43</v>
      </c>
      <c r="C6300" s="38" t="s">
        <v>4414</v>
      </c>
      <c r="D6300" s="18">
        <v>2022</v>
      </c>
      <c r="E6300" s="18" t="s">
        <v>0</v>
      </c>
      <c r="F6300" s="4">
        <v>1</v>
      </c>
      <c r="G6300" s="41">
        <v>8</v>
      </c>
      <c r="H6300" s="41">
        <v>22.859000000000002</v>
      </c>
      <c r="I6300" s="221"/>
      <c r="J6300" s="221"/>
    </row>
    <row r="6301" spans="1:10" s="15" customFormat="1" ht="16.5" hidden="1" customHeight="1" outlineLevel="1" x14ac:dyDescent="0.25">
      <c r="A6301" s="18">
        <v>2174</v>
      </c>
      <c r="B6301" s="4" t="s">
        <v>43</v>
      </c>
      <c r="C6301" s="38" t="s">
        <v>4415</v>
      </c>
      <c r="D6301" s="18">
        <v>2022</v>
      </c>
      <c r="E6301" s="18" t="s">
        <v>0</v>
      </c>
      <c r="F6301" s="4">
        <v>1</v>
      </c>
      <c r="G6301" s="41">
        <v>10</v>
      </c>
      <c r="H6301" s="41">
        <v>21.690999999999999</v>
      </c>
      <c r="I6301" s="221"/>
      <c r="J6301" s="221"/>
    </row>
    <row r="6302" spans="1:10" s="15" customFormat="1" ht="16.5" hidden="1" customHeight="1" outlineLevel="1" x14ac:dyDescent="0.25">
      <c r="A6302" s="18">
        <v>2220</v>
      </c>
      <c r="B6302" s="4" t="s">
        <v>43</v>
      </c>
      <c r="C6302" s="38" t="s">
        <v>4416</v>
      </c>
      <c r="D6302" s="18">
        <v>2022</v>
      </c>
      <c r="E6302" s="18" t="s">
        <v>0</v>
      </c>
      <c r="F6302" s="4">
        <v>1</v>
      </c>
      <c r="G6302" s="41">
        <v>14</v>
      </c>
      <c r="H6302" s="41">
        <v>22.605</v>
      </c>
      <c r="I6302" s="221"/>
      <c r="J6302" s="221"/>
    </row>
    <row r="6303" spans="1:10" s="15" customFormat="1" ht="16.5" hidden="1" customHeight="1" outlineLevel="1" x14ac:dyDescent="0.25">
      <c r="A6303" s="18">
        <v>2247</v>
      </c>
      <c r="B6303" s="4" t="s">
        <v>43</v>
      </c>
      <c r="C6303" s="38" t="s">
        <v>4417</v>
      </c>
      <c r="D6303" s="18">
        <v>2022</v>
      </c>
      <c r="E6303" s="18" t="s">
        <v>0</v>
      </c>
      <c r="F6303" s="4">
        <v>1</v>
      </c>
      <c r="G6303" s="41">
        <v>10</v>
      </c>
      <c r="H6303" s="41">
        <v>145.446</v>
      </c>
      <c r="I6303" s="221"/>
      <c r="J6303" s="221"/>
    </row>
    <row r="6304" spans="1:10" s="15" customFormat="1" ht="16.5" hidden="1" customHeight="1" outlineLevel="1" x14ac:dyDescent="0.25">
      <c r="A6304" s="18">
        <v>2219</v>
      </c>
      <c r="B6304" s="4" t="s">
        <v>43</v>
      </c>
      <c r="C6304" s="38" t="s">
        <v>4418</v>
      </c>
      <c r="D6304" s="18">
        <v>2022</v>
      </c>
      <c r="E6304" s="18" t="s">
        <v>0</v>
      </c>
      <c r="F6304" s="4">
        <v>1</v>
      </c>
      <c r="G6304" s="41">
        <v>7</v>
      </c>
      <c r="H6304" s="41">
        <v>30.631</v>
      </c>
      <c r="I6304" s="221"/>
      <c r="J6304" s="221"/>
    </row>
    <row r="6305" spans="1:10" s="15" customFormat="1" ht="16.5" hidden="1" customHeight="1" outlineLevel="1" x14ac:dyDescent="0.25">
      <c r="A6305" s="18">
        <v>2350</v>
      </c>
      <c r="B6305" s="4" t="s">
        <v>43</v>
      </c>
      <c r="C6305" s="38" t="s">
        <v>4419</v>
      </c>
      <c r="D6305" s="18">
        <v>2022</v>
      </c>
      <c r="E6305" s="18" t="s">
        <v>0</v>
      </c>
      <c r="F6305" s="4">
        <v>1</v>
      </c>
      <c r="G6305" s="41">
        <v>15</v>
      </c>
      <c r="H6305" s="41">
        <v>26.317</v>
      </c>
      <c r="I6305" s="221"/>
      <c r="J6305" s="221"/>
    </row>
    <row r="6306" spans="1:10" s="15" customFormat="1" ht="16.5" hidden="1" customHeight="1" outlineLevel="1" x14ac:dyDescent="0.25">
      <c r="A6306" s="18">
        <v>1900</v>
      </c>
      <c r="B6306" s="4" t="s">
        <v>43</v>
      </c>
      <c r="C6306" s="38" t="s">
        <v>4420</v>
      </c>
      <c r="D6306" s="18">
        <v>2022</v>
      </c>
      <c r="E6306" s="18" t="s">
        <v>0</v>
      </c>
      <c r="F6306" s="4">
        <v>1</v>
      </c>
      <c r="G6306" s="41">
        <v>10</v>
      </c>
      <c r="H6306" s="41">
        <v>24.808</v>
      </c>
      <c r="I6306" s="221"/>
      <c r="J6306" s="221"/>
    </row>
    <row r="6307" spans="1:10" s="15" customFormat="1" ht="16.5" hidden="1" customHeight="1" outlineLevel="1" x14ac:dyDescent="0.25">
      <c r="A6307" s="18">
        <v>1925</v>
      </c>
      <c r="B6307" s="4" t="s">
        <v>43</v>
      </c>
      <c r="C6307" s="38" t="s">
        <v>4421</v>
      </c>
      <c r="D6307" s="18">
        <v>2022</v>
      </c>
      <c r="E6307" s="18" t="s">
        <v>0</v>
      </c>
      <c r="F6307" s="4">
        <v>1</v>
      </c>
      <c r="G6307" s="41">
        <v>8</v>
      </c>
      <c r="H6307" s="41">
        <v>29.231000000000002</v>
      </c>
      <c r="I6307" s="221"/>
      <c r="J6307" s="221"/>
    </row>
    <row r="6308" spans="1:10" s="15" customFormat="1" ht="16.5" hidden="1" customHeight="1" outlineLevel="1" x14ac:dyDescent="0.25">
      <c r="A6308" s="18">
        <v>1948</v>
      </c>
      <c r="B6308" s="4" t="s">
        <v>43</v>
      </c>
      <c r="C6308" s="38" t="s">
        <v>4422</v>
      </c>
      <c r="D6308" s="18">
        <v>2022</v>
      </c>
      <c r="E6308" s="18" t="s">
        <v>0</v>
      </c>
      <c r="F6308" s="4">
        <v>3</v>
      </c>
      <c r="G6308" s="41">
        <v>40</v>
      </c>
      <c r="H6308" s="41">
        <v>101.179</v>
      </c>
      <c r="I6308" s="221"/>
      <c r="J6308" s="221"/>
    </row>
    <row r="6309" spans="1:10" s="15" customFormat="1" ht="16.5" hidden="1" customHeight="1" outlineLevel="1" x14ac:dyDescent="0.25">
      <c r="A6309" s="18">
        <v>1954</v>
      </c>
      <c r="B6309" s="4" t="s">
        <v>43</v>
      </c>
      <c r="C6309" s="38" t="s">
        <v>4423</v>
      </c>
      <c r="D6309" s="18">
        <v>2022</v>
      </c>
      <c r="E6309" s="18" t="s">
        <v>0</v>
      </c>
      <c r="F6309" s="4">
        <v>1</v>
      </c>
      <c r="G6309" s="41">
        <v>15</v>
      </c>
      <c r="H6309" s="41">
        <v>25.376000000000001</v>
      </c>
      <c r="I6309" s="221"/>
      <c r="J6309" s="221"/>
    </row>
    <row r="6310" spans="1:10" s="15" customFormat="1" ht="16.5" hidden="1" customHeight="1" outlineLevel="1" x14ac:dyDescent="0.25">
      <c r="A6310" s="18">
        <v>1966</v>
      </c>
      <c r="B6310" s="4" t="s">
        <v>43</v>
      </c>
      <c r="C6310" s="38" t="s">
        <v>4424</v>
      </c>
      <c r="D6310" s="18">
        <v>2022</v>
      </c>
      <c r="E6310" s="18" t="s">
        <v>0</v>
      </c>
      <c r="F6310" s="4">
        <v>1</v>
      </c>
      <c r="G6310" s="41">
        <v>2</v>
      </c>
      <c r="H6310" s="41">
        <v>31.016999999999999</v>
      </c>
      <c r="I6310" s="221"/>
      <c r="J6310" s="221"/>
    </row>
    <row r="6311" spans="1:10" s="15" customFormat="1" ht="16.5" hidden="1" customHeight="1" outlineLevel="1" x14ac:dyDescent="0.25">
      <c r="A6311" s="18">
        <v>1968</v>
      </c>
      <c r="B6311" s="4" t="s">
        <v>43</v>
      </c>
      <c r="C6311" s="38" t="s">
        <v>4425</v>
      </c>
      <c r="D6311" s="18">
        <v>2022</v>
      </c>
      <c r="E6311" s="18" t="s">
        <v>0</v>
      </c>
      <c r="F6311" s="4">
        <v>1</v>
      </c>
      <c r="G6311" s="41">
        <v>15</v>
      </c>
      <c r="H6311" s="41">
        <v>24.184000000000001</v>
      </c>
      <c r="I6311" s="221"/>
      <c r="J6311" s="221"/>
    </row>
    <row r="6312" spans="1:10" s="15" customFormat="1" ht="16.5" hidden="1" customHeight="1" outlineLevel="1" x14ac:dyDescent="0.25">
      <c r="A6312" s="18">
        <v>1973</v>
      </c>
      <c r="B6312" s="4" t="s">
        <v>43</v>
      </c>
      <c r="C6312" s="38" t="s">
        <v>4426</v>
      </c>
      <c r="D6312" s="18">
        <v>2022</v>
      </c>
      <c r="E6312" s="18" t="s">
        <v>0</v>
      </c>
      <c r="F6312" s="4">
        <v>1</v>
      </c>
      <c r="G6312" s="41">
        <v>15</v>
      </c>
      <c r="H6312" s="41">
        <v>29.593</v>
      </c>
      <c r="I6312" s="221"/>
      <c r="J6312" s="221"/>
    </row>
    <row r="6313" spans="1:10" s="15" customFormat="1" ht="16.5" hidden="1" customHeight="1" outlineLevel="1" x14ac:dyDescent="0.25">
      <c r="A6313" s="18">
        <v>1990</v>
      </c>
      <c r="B6313" s="4" t="s">
        <v>43</v>
      </c>
      <c r="C6313" s="38" t="s">
        <v>4427</v>
      </c>
      <c r="D6313" s="18">
        <v>2022</v>
      </c>
      <c r="E6313" s="18" t="s">
        <v>0</v>
      </c>
      <c r="F6313" s="4">
        <v>1</v>
      </c>
      <c r="G6313" s="41">
        <v>6</v>
      </c>
      <c r="H6313" s="41">
        <v>23.814</v>
      </c>
      <c r="I6313" s="221"/>
      <c r="J6313" s="221"/>
    </row>
    <row r="6314" spans="1:10" s="15" customFormat="1" ht="16.5" hidden="1" customHeight="1" outlineLevel="1" x14ac:dyDescent="0.25">
      <c r="A6314" s="18">
        <v>2060</v>
      </c>
      <c r="B6314" s="4" t="s">
        <v>43</v>
      </c>
      <c r="C6314" s="38" t="s">
        <v>4428</v>
      </c>
      <c r="D6314" s="18">
        <v>2022</v>
      </c>
      <c r="E6314" s="18" t="s">
        <v>0</v>
      </c>
      <c r="F6314" s="4">
        <v>1</v>
      </c>
      <c r="G6314" s="41">
        <v>10</v>
      </c>
      <c r="H6314" s="41">
        <v>18.728999999999999</v>
      </c>
      <c r="I6314" s="221"/>
      <c r="J6314" s="221"/>
    </row>
    <row r="6315" spans="1:10" s="15" customFormat="1" ht="16.5" hidden="1" customHeight="1" outlineLevel="1" x14ac:dyDescent="0.25">
      <c r="A6315" s="18">
        <v>2325</v>
      </c>
      <c r="B6315" s="4" t="s">
        <v>43</v>
      </c>
      <c r="C6315" s="38" t="s">
        <v>4429</v>
      </c>
      <c r="D6315" s="18">
        <v>2022</v>
      </c>
      <c r="E6315" s="18" t="s">
        <v>0</v>
      </c>
      <c r="F6315" s="4">
        <v>1</v>
      </c>
      <c r="G6315" s="41">
        <v>8</v>
      </c>
      <c r="H6315" s="41">
        <v>20.140999999999998</v>
      </c>
      <c r="I6315" s="221"/>
      <c r="J6315" s="221"/>
    </row>
    <row r="6316" spans="1:10" s="15" customFormat="1" ht="16.5" hidden="1" customHeight="1" outlineLevel="1" x14ac:dyDescent="0.25">
      <c r="A6316" s="18">
        <v>2403</v>
      </c>
      <c r="B6316" s="4" t="s">
        <v>43</v>
      </c>
      <c r="C6316" s="38" t="s">
        <v>4430</v>
      </c>
      <c r="D6316" s="18">
        <v>2022</v>
      </c>
      <c r="E6316" s="18" t="s">
        <v>0</v>
      </c>
      <c r="F6316" s="4">
        <v>1</v>
      </c>
      <c r="G6316" s="41">
        <v>4</v>
      </c>
      <c r="H6316" s="41">
        <v>22.509</v>
      </c>
      <c r="I6316" s="221"/>
      <c r="J6316" s="221"/>
    </row>
    <row r="6317" spans="1:10" s="15" customFormat="1" ht="16.5" hidden="1" customHeight="1" outlineLevel="1" x14ac:dyDescent="0.25">
      <c r="A6317" s="18">
        <v>1907</v>
      </c>
      <c r="B6317" s="4" t="s">
        <v>43</v>
      </c>
      <c r="C6317" s="38" t="s">
        <v>4431</v>
      </c>
      <c r="D6317" s="18">
        <v>2022</v>
      </c>
      <c r="E6317" s="18" t="s">
        <v>0</v>
      </c>
      <c r="F6317" s="4">
        <v>2</v>
      </c>
      <c r="G6317" s="41">
        <v>22</v>
      </c>
      <c r="H6317" s="41">
        <v>51.567</v>
      </c>
      <c r="I6317" s="221"/>
      <c r="J6317" s="221"/>
    </row>
    <row r="6318" spans="1:10" s="15" customFormat="1" ht="16.5" hidden="1" customHeight="1" outlineLevel="1" x14ac:dyDescent="0.25">
      <c r="A6318" s="18">
        <v>1940</v>
      </c>
      <c r="B6318" s="4" t="s">
        <v>43</v>
      </c>
      <c r="C6318" s="38" t="s">
        <v>3087</v>
      </c>
      <c r="D6318" s="18">
        <v>2022</v>
      </c>
      <c r="E6318" s="18" t="s">
        <v>0</v>
      </c>
      <c r="F6318" s="4">
        <v>1</v>
      </c>
      <c r="G6318" s="41">
        <v>10</v>
      </c>
      <c r="H6318" s="41">
        <v>31.672000000000001</v>
      </c>
      <c r="I6318" s="221"/>
      <c r="J6318" s="221"/>
    </row>
    <row r="6319" spans="1:10" s="15" customFormat="1" ht="16.5" hidden="1" customHeight="1" outlineLevel="1" x14ac:dyDescent="0.25">
      <c r="A6319" s="18">
        <v>1957</v>
      </c>
      <c r="B6319" s="4" t="s">
        <v>43</v>
      </c>
      <c r="C6319" s="38" t="s">
        <v>4432</v>
      </c>
      <c r="D6319" s="18">
        <v>2022</v>
      </c>
      <c r="E6319" s="18" t="s">
        <v>0</v>
      </c>
      <c r="F6319" s="4">
        <v>1</v>
      </c>
      <c r="G6319" s="41">
        <v>10</v>
      </c>
      <c r="H6319" s="41">
        <v>21.888000000000002</v>
      </c>
      <c r="I6319" s="221"/>
      <c r="J6319" s="221"/>
    </row>
    <row r="6320" spans="1:10" s="15" customFormat="1" ht="16.5" hidden="1" customHeight="1" outlineLevel="1" x14ac:dyDescent="0.25">
      <c r="A6320" s="18">
        <v>1994</v>
      </c>
      <c r="B6320" s="4" t="s">
        <v>43</v>
      </c>
      <c r="C6320" s="38" t="s">
        <v>4433</v>
      </c>
      <c r="D6320" s="18">
        <v>2022</v>
      </c>
      <c r="E6320" s="18" t="s">
        <v>0</v>
      </c>
      <c r="F6320" s="4">
        <v>1</v>
      </c>
      <c r="G6320" s="41">
        <v>10</v>
      </c>
      <c r="H6320" s="41">
        <v>17.306999999999999</v>
      </c>
      <c r="I6320" s="221"/>
      <c r="J6320" s="221"/>
    </row>
    <row r="6321" spans="1:10" s="15" customFormat="1" ht="16.5" hidden="1" customHeight="1" outlineLevel="1" x14ac:dyDescent="0.25">
      <c r="A6321" s="18">
        <v>2037</v>
      </c>
      <c r="B6321" s="4" t="s">
        <v>43</v>
      </c>
      <c r="C6321" s="38" t="s">
        <v>4434</v>
      </c>
      <c r="D6321" s="18">
        <v>2022</v>
      </c>
      <c r="E6321" s="18" t="s">
        <v>0</v>
      </c>
      <c r="F6321" s="4">
        <v>1</v>
      </c>
      <c r="G6321" s="41">
        <v>10</v>
      </c>
      <c r="H6321" s="41">
        <v>21.841000000000001</v>
      </c>
      <c r="I6321" s="221"/>
      <c r="J6321" s="221"/>
    </row>
    <row r="6322" spans="1:10" s="15" customFormat="1" ht="16.5" hidden="1" customHeight="1" outlineLevel="1" x14ac:dyDescent="0.25">
      <c r="A6322" s="18">
        <v>2058</v>
      </c>
      <c r="B6322" s="4" t="s">
        <v>43</v>
      </c>
      <c r="C6322" s="38" t="s">
        <v>4435</v>
      </c>
      <c r="D6322" s="18">
        <v>2022</v>
      </c>
      <c r="E6322" s="18" t="s">
        <v>0</v>
      </c>
      <c r="F6322" s="4">
        <v>1</v>
      </c>
      <c r="G6322" s="41">
        <v>10</v>
      </c>
      <c r="H6322" s="41">
        <v>29.998999999999999</v>
      </c>
      <c r="I6322" s="221"/>
      <c r="J6322" s="221"/>
    </row>
    <row r="6323" spans="1:10" s="15" customFormat="1" ht="16.5" hidden="1" customHeight="1" outlineLevel="1" x14ac:dyDescent="0.25">
      <c r="A6323" s="18">
        <v>2059</v>
      </c>
      <c r="B6323" s="4" t="s">
        <v>43</v>
      </c>
      <c r="C6323" s="38" t="s">
        <v>4436</v>
      </c>
      <c r="D6323" s="18">
        <v>2022</v>
      </c>
      <c r="E6323" s="18" t="s">
        <v>0</v>
      </c>
      <c r="F6323" s="4">
        <v>1</v>
      </c>
      <c r="G6323" s="41">
        <v>10</v>
      </c>
      <c r="H6323" s="41">
        <v>17.158000000000001</v>
      </c>
      <c r="I6323" s="221"/>
      <c r="J6323" s="221"/>
    </row>
    <row r="6324" spans="1:10" s="15" customFormat="1" ht="16.5" hidden="1" customHeight="1" outlineLevel="1" x14ac:dyDescent="0.25">
      <c r="A6324" s="18">
        <v>2071</v>
      </c>
      <c r="B6324" s="4" t="s">
        <v>43</v>
      </c>
      <c r="C6324" s="38" t="s">
        <v>4437</v>
      </c>
      <c r="D6324" s="18">
        <v>2022</v>
      </c>
      <c r="E6324" s="18" t="s">
        <v>0</v>
      </c>
      <c r="F6324" s="4">
        <v>1</v>
      </c>
      <c r="G6324" s="41">
        <v>15</v>
      </c>
      <c r="H6324" s="41">
        <v>41.183</v>
      </c>
      <c r="I6324" s="221"/>
      <c r="J6324" s="221"/>
    </row>
    <row r="6325" spans="1:10" s="15" customFormat="1" ht="16.5" hidden="1" customHeight="1" outlineLevel="1" x14ac:dyDescent="0.25">
      <c r="A6325" s="18">
        <v>2083</v>
      </c>
      <c r="B6325" s="4" t="s">
        <v>43</v>
      </c>
      <c r="C6325" s="38" t="s">
        <v>4438</v>
      </c>
      <c r="D6325" s="18">
        <v>2022</v>
      </c>
      <c r="E6325" s="18" t="s">
        <v>0</v>
      </c>
      <c r="F6325" s="4">
        <v>1</v>
      </c>
      <c r="G6325" s="41">
        <v>10</v>
      </c>
      <c r="H6325" s="41">
        <v>22.093</v>
      </c>
      <c r="I6325" s="221"/>
      <c r="J6325" s="221"/>
    </row>
    <row r="6326" spans="1:10" s="15" customFormat="1" ht="16.5" hidden="1" customHeight="1" outlineLevel="1" x14ac:dyDescent="0.25">
      <c r="A6326" s="18">
        <v>2107</v>
      </c>
      <c r="B6326" s="4" t="s">
        <v>43</v>
      </c>
      <c r="C6326" s="38" t="s">
        <v>4439</v>
      </c>
      <c r="D6326" s="18">
        <v>2022</v>
      </c>
      <c r="E6326" s="18" t="s">
        <v>0</v>
      </c>
      <c r="F6326" s="4">
        <v>1</v>
      </c>
      <c r="G6326" s="41">
        <v>10</v>
      </c>
      <c r="H6326" s="41">
        <v>30.376999999999999</v>
      </c>
      <c r="I6326" s="221"/>
      <c r="J6326" s="221"/>
    </row>
    <row r="6327" spans="1:10" s="15" customFormat="1" ht="16.5" hidden="1" customHeight="1" outlineLevel="1" x14ac:dyDescent="0.25">
      <c r="A6327" s="18">
        <v>2107</v>
      </c>
      <c r="B6327" s="4" t="s">
        <v>43</v>
      </c>
      <c r="C6327" s="38" t="s">
        <v>4439</v>
      </c>
      <c r="D6327" s="18">
        <v>2022</v>
      </c>
      <c r="E6327" s="18" t="s">
        <v>0</v>
      </c>
      <c r="F6327" s="4">
        <v>1</v>
      </c>
      <c r="G6327" s="41">
        <v>10</v>
      </c>
      <c r="H6327" s="41">
        <v>30.376999999999999</v>
      </c>
      <c r="I6327" s="221"/>
      <c r="J6327" s="221"/>
    </row>
    <row r="6328" spans="1:10" s="15" customFormat="1" ht="16.5" hidden="1" customHeight="1" outlineLevel="1" x14ac:dyDescent="0.25">
      <c r="A6328" s="18">
        <v>2121</v>
      </c>
      <c r="B6328" s="4" t="s">
        <v>43</v>
      </c>
      <c r="C6328" s="38" t="s">
        <v>4440</v>
      </c>
      <c r="D6328" s="18">
        <v>2022</v>
      </c>
      <c r="E6328" s="18" t="s">
        <v>0</v>
      </c>
      <c r="F6328" s="4">
        <v>1</v>
      </c>
      <c r="G6328" s="41">
        <v>7</v>
      </c>
      <c r="H6328" s="41">
        <v>22.594999999999999</v>
      </c>
      <c r="I6328" s="221"/>
      <c r="J6328" s="221"/>
    </row>
    <row r="6329" spans="1:10" s="15" customFormat="1" ht="16.5" hidden="1" customHeight="1" outlineLevel="1" x14ac:dyDescent="0.25">
      <c r="A6329" s="18">
        <v>2140</v>
      </c>
      <c r="B6329" s="4" t="s">
        <v>43</v>
      </c>
      <c r="C6329" s="38" t="s">
        <v>4441</v>
      </c>
      <c r="D6329" s="18">
        <v>2022</v>
      </c>
      <c r="E6329" s="18" t="s">
        <v>0</v>
      </c>
      <c r="F6329" s="4">
        <v>1</v>
      </c>
      <c r="G6329" s="41">
        <v>10</v>
      </c>
      <c r="H6329" s="41">
        <v>30.58</v>
      </c>
      <c r="I6329" s="221"/>
      <c r="J6329" s="221"/>
    </row>
    <row r="6330" spans="1:10" s="15" customFormat="1" ht="16.5" hidden="1" customHeight="1" outlineLevel="1" x14ac:dyDescent="0.25">
      <c r="A6330" s="18">
        <v>2145</v>
      </c>
      <c r="B6330" s="4" t="s">
        <v>43</v>
      </c>
      <c r="C6330" s="38" t="s">
        <v>4442</v>
      </c>
      <c r="D6330" s="18">
        <v>2022</v>
      </c>
      <c r="E6330" s="18" t="s">
        <v>0</v>
      </c>
      <c r="F6330" s="4">
        <v>1</v>
      </c>
      <c r="G6330" s="41">
        <v>15</v>
      </c>
      <c r="H6330" s="41">
        <v>22.675999999999998</v>
      </c>
      <c r="I6330" s="221"/>
      <c r="J6330" s="221"/>
    </row>
    <row r="6331" spans="1:10" s="15" customFormat="1" ht="16.5" hidden="1" customHeight="1" outlineLevel="1" x14ac:dyDescent="0.25">
      <c r="A6331" s="18">
        <v>1827</v>
      </c>
      <c r="B6331" s="4" t="s">
        <v>43</v>
      </c>
      <c r="C6331" s="38" t="s">
        <v>4443</v>
      </c>
      <c r="D6331" s="18">
        <v>2022</v>
      </c>
      <c r="E6331" s="18" t="s">
        <v>0</v>
      </c>
      <c r="F6331" s="4">
        <v>1</v>
      </c>
      <c r="G6331" s="41">
        <v>5</v>
      </c>
      <c r="H6331" s="41">
        <v>34.566100000000006</v>
      </c>
      <c r="I6331" s="221"/>
      <c r="J6331" s="221"/>
    </row>
    <row r="6332" spans="1:10" s="15" customFormat="1" ht="16.5" hidden="1" customHeight="1" outlineLevel="1" x14ac:dyDescent="0.25">
      <c r="A6332" s="18">
        <v>1851</v>
      </c>
      <c r="B6332" s="4" t="s">
        <v>43</v>
      </c>
      <c r="C6332" s="38" t="s">
        <v>4444</v>
      </c>
      <c r="D6332" s="18">
        <v>2022</v>
      </c>
      <c r="E6332" s="18" t="s">
        <v>0</v>
      </c>
      <c r="F6332" s="4">
        <v>3</v>
      </c>
      <c r="G6332" s="41">
        <v>40</v>
      </c>
      <c r="H6332" s="41">
        <v>77.457820000000012</v>
      </c>
      <c r="I6332" s="221"/>
      <c r="J6332" s="221"/>
    </row>
    <row r="6333" spans="1:10" s="15" customFormat="1" ht="16.5" hidden="1" customHeight="1" outlineLevel="1" x14ac:dyDescent="0.25">
      <c r="A6333" s="18">
        <v>1852</v>
      </c>
      <c r="B6333" s="4" t="s">
        <v>43</v>
      </c>
      <c r="C6333" s="38" t="s">
        <v>4445</v>
      </c>
      <c r="D6333" s="18">
        <v>2022</v>
      </c>
      <c r="E6333" s="18" t="s">
        <v>0</v>
      </c>
      <c r="F6333" s="4">
        <v>6</v>
      </c>
      <c r="G6333" s="41">
        <v>67.5</v>
      </c>
      <c r="H6333" s="41">
        <v>130.98456999999999</v>
      </c>
      <c r="I6333" s="221"/>
      <c r="J6333" s="221"/>
    </row>
    <row r="6334" spans="1:10" s="15" customFormat="1" ht="16.5" hidden="1" customHeight="1" outlineLevel="1" x14ac:dyDescent="0.25">
      <c r="A6334" s="18">
        <v>1859</v>
      </c>
      <c r="B6334" s="4" t="s">
        <v>43</v>
      </c>
      <c r="C6334" s="38" t="s">
        <v>4446</v>
      </c>
      <c r="D6334" s="18">
        <v>2022</v>
      </c>
      <c r="E6334" s="18" t="s">
        <v>0</v>
      </c>
      <c r="F6334" s="4">
        <v>8</v>
      </c>
      <c r="G6334" s="41">
        <v>102</v>
      </c>
      <c r="H6334" s="41">
        <v>235.32007999999999</v>
      </c>
      <c r="I6334" s="221"/>
      <c r="J6334" s="221"/>
    </row>
    <row r="6335" spans="1:10" s="15" customFormat="1" ht="16.5" hidden="1" customHeight="1" outlineLevel="1" x14ac:dyDescent="0.25">
      <c r="A6335" s="18">
        <v>1863</v>
      </c>
      <c r="B6335" s="4" t="s">
        <v>43</v>
      </c>
      <c r="C6335" s="38" t="s">
        <v>4447</v>
      </c>
      <c r="D6335" s="18">
        <v>2022</v>
      </c>
      <c r="E6335" s="18" t="s">
        <v>0</v>
      </c>
      <c r="F6335" s="4">
        <v>6</v>
      </c>
      <c r="G6335" s="41">
        <v>85</v>
      </c>
      <c r="H6335" s="41">
        <v>172.26665000000003</v>
      </c>
      <c r="I6335" s="221"/>
      <c r="J6335" s="221"/>
    </row>
    <row r="6336" spans="1:10" s="15" customFormat="1" ht="16.5" hidden="1" customHeight="1" outlineLevel="1" x14ac:dyDescent="0.25">
      <c r="A6336" s="18">
        <v>1901</v>
      </c>
      <c r="B6336" s="4" t="s">
        <v>43</v>
      </c>
      <c r="C6336" s="38" t="s">
        <v>4448</v>
      </c>
      <c r="D6336" s="18">
        <v>2022</v>
      </c>
      <c r="E6336" s="18" t="s">
        <v>0</v>
      </c>
      <c r="F6336" s="4">
        <v>2</v>
      </c>
      <c r="G6336" s="41">
        <v>20</v>
      </c>
      <c r="H6336" s="41">
        <v>58.054419999999986</v>
      </c>
      <c r="I6336" s="221"/>
      <c r="J6336" s="221"/>
    </row>
    <row r="6337" spans="1:10" s="15" customFormat="1" ht="16.5" hidden="1" customHeight="1" outlineLevel="1" x14ac:dyDescent="0.25">
      <c r="A6337" s="18">
        <v>1904</v>
      </c>
      <c r="B6337" s="4" t="s">
        <v>43</v>
      </c>
      <c r="C6337" s="38" t="s">
        <v>4449</v>
      </c>
      <c r="D6337" s="18">
        <v>2022</v>
      </c>
      <c r="E6337" s="18" t="s">
        <v>0</v>
      </c>
      <c r="F6337" s="4">
        <v>3</v>
      </c>
      <c r="G6337" s="41">
        <v>35</v>
      </c>
      <c r="H6337" s="41">
        <v>75.979409999999987</v>
      </c>
      <c r="I6337" s="221"/>
      <c r="J6337" s="221"/>
    </row>
    <row r="6338" spans="1:10" s="15" customFormat="1" ht="16.5" hidden="1" customHeight="1" outlineLevel="1" x14ac:dyDescent="0.25">
      <c r="A6338" s="18">
        <v>2244</v>
      </c>
      <c r="B6338" s="4" t="s">
        <v>43</v>
      </c>
      <c r="C6338" s="38" t="s">
        <v>3017</v>
      </c>
      <c r="D6338" s="18">
        <v>2022</v>
      </c>
      <c r="E6338" s="18" t="s">
        <v>0</v>
      </c>
      <c r="F6338" s="4">
        <v>1</v>
      </c>
      <c r="G6338" s="41">
        <v>15</v>
      </c>
      <c r="H6338" s="41">
        <v>40.64676</v>
      </c>
      <c r="I6338" s="221"/>
      <c r="J6338" s="221"/>
    </row>
    <row r="6339" spans="1:10" s="15" customFormat="1" ht="16.5" hidden="1" customHeight="1" outlineLevel="1" x14ac:dyDescent="0.25">
      <c r="A6339" s="18">
        <v>2245</v>
      </c>
      <c r="B6339" s="4" t="s">
        <v>43</v>
      </c>
      <c r="C6339" s="38" t="s">
        <v>3018</v>
      </c>
      <c r="D6339" s="18">
        <v>2022</v>
      </c>
      <c r="E6339" s="18" t="s">
        <v>0</v>
      </c>
      <c r="F6339" s="4">
        <v>1</v>
      </c>
      <c r="G6339" s="41">
        <v>10</v>
      </c>
      <c r="H6339" s="41">
        <v>32.999069999999996</v>
      </c>
      <c r="I6339" s="221"/>
      <c r="J6339" s="221"/>
    </row>
    <row r="6340" spans="1:10" s="15" customFormat="1" ht="16.5" hidden="1" customHeight="1" outlineLevel="1" x14ac:dyDescent="0.25">
      <c r="A6340" s="18">
        <v>2300</v>
      </c>
      <c r="B6340" s="4" t="s">
        <v>43</v>
      </c>
      <c r="C6340" s="38" t="s">
        <v>4450</v>
      </c>
      <c r="D6340" s="18">
        <v>2022</v>
      </c>
      <c r="E6340" s="18" t="s">
        <v>0</v>
      </c>
      <c r="F6340" s="4">
        <v>1</v>
      </c>
      <c r="G6340" s="41">
        <v>5</v>
      </c>
      <c r="H6340" s="41">
        <v>23.992249999999999</v>
      </c>
      <c r="I6340" s="221"/>
      <c r="J6340" s="221"/>
    </row>
    <row r="6341" spans="1:10" s="15" customFormat="1" ht="16.5" hidden="1" customHeight="1" outlineLevel="1" x14ac:dyDescent="0.25">
      <c r="A6341" s="18">
        <v>2301</v>
      </c>
      <c r="B6341" s="4" t="s">
        <v>43</v>
      </c>
      <c r="C6341" s="38" t="s">
        <v>4451</v>
      </c>
      <c r="D6341" s="18">
        <v>2022</v>
      </c>
      <c r="E6341" s="18" t="s">
        <v>0</v>
      </c>
      <c r="F6341" s="4">
        <v>1</v>
      </c>
      <c r="G6341" s="41">
        <v>10</v>
      </c>
      <c r="H6341" s="41">
        <v>30.608720000000002</v>
      </c>
      <c r="I6341" s="221"/>
      <c r="J6341" s="221"/>
    </row>
    <row r="6342" spans="1:10" s="15" customFormat="1" ht="16.5" hidden="1" customHeight="1" outlineLevel="1" x14ac:dyDescent="0.25">
      <c r="A6342" s="18">
        <v>2302</v>
      </c>
      <c r="B6342" s="4" t="s">
        <v>43</v>
      </c>
      <c r="C6342" s="38" t="s">
        <v>4452</v>
      </c>
      <c r="D6342" s="18">
        <v>2022</v>
      </c>
      <c r="E6342" s="18" t="s">
        <v>0</v>
      </c>
      <c r="F6342" s="4">
        <v>1</v>
      </c>
      <c r="G6342" s="41">
        <v>5</v>
      </c>
      <c r="H6342" s="41">
        <v>25.087910000000001</v>
      </c>
      <c r="I6342" s="221"/>
      <c r="J6342" s="221"/>
    </row>
    <row r="6343" spans="1:10" s="15" customFormat="1" ht="16.5" hidden="1" customHeight="1" outlineLevel="1" x14ac:dyDescent="0.25">
      <c r="A6343" s="18">
        <v>2303</v>
      </c>
      <c r="B6343" s="4" t="s">
        <v>43</v>
      </c>
      <c r="C6343" s="38" t="s">
        <v>4453</v>
      </c>
      <c r="D6343" s="18">
        <v>2022</v>
      </c>
      <c r="E6343" s="18" t="s">
        <v>0</v>
      </c>
      <c r="F6343" s="4">
        <v>1</v>
      </c>
      <c r="G6343" s="41">
        <v>5</v>
      </c>
      <c r="H6343" s="41">
        <v>35.117590000000007</v>
      </c>
      <c r="I6343" s="221"/>
      <c r="J6343" s="221"/>
    </row>
    <row r="6344" spans="1:10" s="15" customFormat="1" ht="16.5" hidden="1" customHeight="1" outlineLevel="1" x14ac:dyDescent="0.25">
      <c r="A6344" s="18">
        <v>2305</v>
      </c>
      <c r="B6344" s="4" t="s">
        <v>43</v>
      </c>
      <c r="C6344" s="38" t="s">
        <v>4454</v>
      </c>
      <c r="D6344" s="18">
        <v>2022</v>
      </c>
      <c r="E6344" s="18" t="s">
        <v>0</v>
      </c>
      <c r="F6344" s="4">
        <v>1</v>
      </c>
      <c r="G6344" s="41">
        <v>10</v>
      </c>
      <c r="H6344" s="41">
        <v>36.692259999999997</v>
      </c>
      <c r="I6344" s="221"/>
      <c r="J6344" s="221"/>
    </row>
    <row r="6345" spans="1:10" s="15" customFormat="1" ht="16.5" hidden="1" customHeight="1" outlineLevel="1" x14ac:dyDescent="0.25">
      <c r="A6345" s="18">
        <v>2306</v>
      </c>
      <c r="B6345" s="4" t="s">
        <v>43</v>
      </c>
      <c r="C6345" s="38" t="s">
        <v>4455</v>
      </c>
      <c r="D6345" s="18">
        <v>2022</v>
      </c>
      <c r="E6345" s="18" t="s">
        <v>0</v>
      </c>
      <c r="F6345" s="4">
        <v>1</v>
      </c>
      <c r="G6345" s="41">
        <v>3</v>
      </c>
      <c r="H6345" s="41">
        <v>18.117760000000004</v>
      </c>
      <c r="I6345" s="221"/>
      <c r="J6345" s="221"/>
    </row>
    <row r="6346" spans="1:10" s="15" customFormat="1" ht="16.5" hidden="1" customHeight="1" outlineLevel="1" x14ac:dyDescent="0.25">
      <c r="A6346" s="18">
        <v>2307</v>
      </c>
      <c r="B6346" s="4" t="s">
        <v>43</v>
      </c>
      <c r="C6346" s="38" t="s">
        <v>4456</v>
      </c>
      <c r="D6346" s="18">
        <v>2022</v>
      </c>
      <c r="E6346" s="18" t="s">
        <v>0</v>
      </c>
      <c r="F6346" s="4">
        <v>1</v>
      </c>
      <c r="G6346" s="41">
        <v>15</v>
      </c>
      <c r="H6346" s="41">
        <v>35.982549999999996</v>
      </c>
      <c r="I6346" s="221"/>
      <c r="J6346" s="221"/>
    </row>
    <row r="6347" spans="1:10" s="15" customFormat="1" ht="16.5" hidden="1" customHeight="1" outlineLevel="1" x14ac:dyDescent="0.25">
      <c r="A6347" s="18">
        <v>2310</v>
      </c>
      <c r="B6347" s="4" t="s">
        <v>43</v>
      </c>
      <c r="C6347" s="38" t="s">
        <v>4457</v>
      </c>
      <c r="D6347" s="18">
        <v>2022</v>
      </c>
      <c r="E6347" s="18" t="s">
        <v>0</v>
      </c>
      <c r="F6347" s="4">
        <v>1</v>
      </c>
      <c r="G6347" s="41">
        <v>5</v>
      </c>
      <c r="H6347" s="41">
        <v>31.939169999999997</v>
      </c>
      <c r="I6347" s="221"/>
      <c r="J6347" s="221"/>
    </row>
    <row r="6348" spans="1:10" s="15" customFormat="1" ht="16.5" hidden="1" customHeight="1" outlineLevel="1" x14ac:dyDescent="0.25">
      <c r="A6348" s="18">
        <v>2311</v>
      </c>
      <c r="B6348" s="4" t="s">
        <v>43</v>
      </c>
      <c r="C6348" s="38" t="s">
        <v>4458</v>
      </c>
      <c r="D6348" s="18">
        <v>2022</v>
      </c>
      <c r="E6348" s="18" t="s">
        <v>0</v>
      </c>
      <c r="F6348" s="4">
        <v>1</v>
      </c>
      <c r="G6348" s="41">
        <v>15</v>
      </c>
      <c r="H6348" s="41">
        <v>34.609090000000002</v>
      </c>
      <c r="I6348" s="221"/>
      <c r="J6348" s="221"/>
    </row>
    <row r="6349" spans="1:10" s="15" customFormat="1" ht="16.5" hidden="1" customHeight="1" outlineLevel="1" x14ac:dyDescent="0.25">
      <c r="A6349" s="18">
        <v>2312</v>
      </c>
      <c r="B6349" s="4" t="s">
        <v>43</v>
      </c>
      <c r="C6349" s="38" t="s">
        <v>4459</v>
      </c>
      <c r="D6349" s="18">
        <v>2022</v>
      </c>
      <c r="E6349" s="18" t="s">
        <v>0</v>
      </c>
      <c r="F6349" s="4">
        <v>1</v>
      </c>
      <c r="G6349" s="41">
        <v>5</v>
      </c>
      <c r="H6349" s="41">
        <v>25.525409999999994</v>
      </c>
      <c r="I6349" s="221"/>
      <c r="J6349" s="221"/>
    </row>
    <row r="6350" spans="1:10" s="15" customFormat="1" ht="16.5" hidden="1" customHeight="1" outlineLevel="1" x14ac:dyDescent="0.25">
      <c r="A6350" s="18">
        <v>2316</v>
      </c>
      <c r="B6350" s="4" t="s">
        <v>43</v>
      </c>
      <c r="C6350" s="38" t="s">
        <v>3019</v>
      </c>
      <c r="D6350" s="18">
        <v>2022</v>
      </c>
      <c r="E6350" s="18" t="s">
        <v>0</v>
      </c>
      <c r="F6350" s="4">
        <v>1</v>
      </c>
      <c r="G6350" s="41">
        <v>12</v>
      </c>
      <c r="H6350" s="41">
        <v>18.842790000000001</v>
      </c>
      <c r="I6350" s="221"/>
      <c r="J6350" s="221"/>
    </row>
    <row r="6351" spans="1:10" s="15" customFormat="1" ht="16.5" hidden="1" customHeight="1" outlineLevel="1" x14ac:dyDescent="0.25">
      <c r="A6351" s="18">
        <v>2318</v>
      </c>
      <c r="B6351" s="4" t="s">
        <v>43</v>
      </c>
      <c r="C6351" s="38" t="s">
        <v>3020</v>
      </c>
      <c r="D6351" s="18">
        <v>2022</v>
      </c>
      <c r="E6351" s="18" t="s">
        <v>0</v>
      </c>
      <c r="F6351" s="4">
        <v>1</v>
      </c>
      <c r="G6351" s="41">
        <v>15</v>
      </c>
      <c r="H6351" s="41">
        <v>16.94023</v>
      </c>
      <c r="I6351" s="221"/>
      <c r="J6351" s="221"/>
    </row>
    <row r="6352" spans="1:10" s="15" customFormat="1" ht="16.5" hidden="1" customHeight="1" outlineLevel="1" x14ac:dyDescent="0.25">
      <c r="A6352" s="18">
        <v>2319</v>
      </c>
      <c r="B6352" s="4" t="s">
        <v>43</v>
      </c>
      <c r="C6352" s="38" t="s">
        <v>3021</v>
      </c>
      <c r="D6352" s="18">
        <v>2022</v>
      </c>
      <c r="E6352" s="18" t="s">
        <v>0</v>
      </c>
      <c r="F6352" s="4">
        <v>1</v>
      </c>
      <c r="G6352" s="41">
        <v>15</v>
      </c>
      <c r="H6352" s="41">
        <v>15.697679999999998</v>
      </c>
      <c r="I6352" s="221"/>
      <c r="J6352" s="221"/>
    </row>
    <row r="6353" spans="1:10" s="15" customFormat="1" ht="16.5" hidden="1" customHeight="1" outlineLevel="1" x14ac:dyDescent="0.25">
      <c r="A6353" s="18">
        <v>2377</v>
      </c>
      <c r="B6353" s="4" t="s">
        <v>43</v>
      </c>
      <c r="C6353" s="38" t="s">
        <v>3026</v>
      </c>
      <c r="D6353" s="18">
        <v>2022</v>
      </c>
      <c r="E6353" s="18" t="s">
        <v>0</v>
      </c>
      <c r="F6353" s="4">
        <v>1</v>
      </c>
      <c r="G6353" s="41">
        <v>3</v>
      </c>
      <c r="H6353" s="41">
        <v>22.353499999999997</v>
      </c>
      <c r="I6353" s="221"/>
      <c r="J6353" s="221"/>
    </row>
    <row r="6354" spans="1:10" s="15" customFormat="1" ht="16.5" hidden="1" customHeight="1" outlineLevel="1" x14ac:dyDescent="0.25">
      <c r="A6354" s="18">
        <v>1854</v>
      </c>
      <c r="B6354" s="4" t="s">
        <v>43</v>
      </c>
      <c r="C6354" s="38" t="s">
        <v>4460</v>
      </c>
      <c r="D6354" s="18">
        <v>2022</v>
      </c>
      <c r="E6354" s="18" t="s">
        <v>0</v>
      </c>
      <c r="F6354" s="4">
        <v>7</v>
      </c>
      <c r="G6354" s="41">
        <v>90</v>
      </c>
      <c r="H6354" s="41">
        <v>206.29198999999997</v>
      </c>
      <c r="I6354" s="221"/>
      <c r="J6354" s="221"/>
    </row>
    <row r="6355" spans="1:10" s="15" customFormat="1" ht="16.5" hidden="1" customHeight="1" outlineLevel="1" x14ac:dyDescent="0.25">
      <c r="A6355" s="18">
        <v>1861</v>
      </c>
      <c r="B6355" s="4" t="s">
        <v>43</v>
      </c>
      <c r="C6355" s="38" t="s">
        <v>4461</v>
      </c>
      <c r="D6355" s="18">
        <v>2022</v>
      </c>
      <c r="E6355" s="18" t="s">
        <v>0</v>
      </c>
      <c r="F6355" s="4">
        <v>8</v>
      </c>
      <c r="G6355" s="41">
        <v>106</v>
      </c>
      <c r="H6355" s="41">
        <v>271.76511999999997</v>
      </c>
      <c r="I6355" s="221"/>
      <c r="J6355" s="221"/>
    </row>
    <row r="6356" spans="1:10" s="15" customFormat="1" ht="16.5" hidden="1" customHeight="1" outlineLevel="1" x14ac:dyDescent="0.25">
      <c r="A6356" s="18">
        <v>1862</v>
      </c>
      <c r="B6356" s="4" t="s">
        <v>43</v>
      </c>
      <c r="C6356" s="38" t="s">
        <v>4462</v>
      </c>
      <c r="D6356" s="18">
        <v>2022</v>
      </c>
      <c r="E6356" s="18" t="s">
        <v>0</v>
      </c>
      <c r="F6356" s="4">
        <v>10</v>
      </c>
      <c r="G6356" s="41">
        <v>117</v>
      </c>
      <c r="H6356" s="41">
        <v>351.48039000000006</v>
      </c>
      <c r="I6356" s="221"/>
      <c r="J6356" s="221"/>
    </row>
    <row r="6357" spans="1:10" s="15" customFormat="1" ht="16.5" hidden="1" customHeight="1" outlineLevel="1" x14ac:dyDescent="0.25">
      <c r="A6357" s="18">
        <v>1874</v>
      </c>
      <c r="B6357" s="4" t="s">
        <v>43</v>
      </c>
      <c r="C6357" s="38" t="s">
        <v>4463</v>
      </c>
      <c r="D6357" s="18">
        <v>2022</v>
      </c>
      <c r="E6357" s="18" t="s">
        <v>0</v>
      </c>
      <c r="F6357" s="4">
        <v>7</v>
      </c>
      <c r="G6357" s="41">
        <v>70</v>
      </c>
      <c r="H6357" s="41">
        <v>251.8228</v>
      </c>
      <c r="I6357" s="221"/>
      <c r="J6357" s="221"/>
    </row>
    <row r="6358" spans="1:10" s="15" customFormat="1" ht="16.5" hidden="1" customHeight="1" outlineLevel="1" x14ac:dyDescent="0.25">
      <c r="A6358" s="18">
        <v>1876</v>
      </c>
      <c r="B6358" s="4" t="s">
        <v>43</v>
      </c>
      <c r="C6358" s="38" t="s">
        <v>4464</v>
      </c>
      <c r="D6358" s="18">
        <v>2022</v>
      </c>
      <c r="E6358" s="18" t="s">
        <v>0</v>
      </c>
      <c r="F6358" s="4">
        <v>10</v>
      </c>
      <c r="G6358" s="41">
        <v>135</v>
      </c>
      <c r="H6358" s="41">
        <v>349.16197999999997</v>
      </c>
      <c r="I6358" s="221"/>
      <c r="J6358" s="221"/>
    </row>
    <row r="6359" spans="1:10" s="15" customFormat="1" ht="16.5" hidden="1" customHeight="1" outlineLevel="1" x14ac:dyDescent="0.25">
      <c r="A6359" s="18">
        <v>1877</v>
      </c>
      <c r="B6359" s="4" t="s">
        <v>43</v>
      </c>
      <c r="C6359" s="38" t="s">
        <v>4465</v>
      </c>
      <c r="D6359" s="18">
        <v>2022</v>
      </c>
      <c r="E6359" s="18" t="s">
        <v>0</v>
      </c>
      <c r="F6359" s="4">
        <v>11</v>
      </c>
      <c r="G6359" s="41">
        <v>143</v>
      </c>
      <c r="H6359" s="41">
        <v>366.39568000000003</v>
      </c>
      <c r="I6359" s="221"/>
      <c r="J6359" s="221"/>
    </row>
    <row r="6360" spans="1:10" s="15" customFormat="1" ht="16.5" hidden="1" customHeight="1" outlineLevel="1" x14ac:dyDescent="0.25">
      <c r="A6360" s="18">
        <v>1879</v>
      </c>
      <c r="B6360" s="4" t="s">
        <v>43</v>
      </c>
      <c r="C6360" s="38" t="s">
        <v>4466</v>
      </c>
      <c r="D6360" s="18">
        <v>2022</v>
      </c>
      <c r="E6360" s="18" t="s">
        <v>0</v>
      </c>
      <c r="F6360" s="4">
        <v>6</v>
      </c>
      <c r="G6360" s="41">
        <v>90</v>
      </c>
      <c r="H6360" s="41">
        <v>175.89523000000003</v>
      </c>
      <c r="I6360" s="221"/>
      <c r="J6360" s="221"/>
    </row>
    <row r="6361" spans="1:10" s="15" customFormat="1" ht="16.5" hidden="1" customHeight="1" outlineLevel="1" x14ac:dyDescent="0.25">
      <c r="A6361" s="18">
        <v>1880</v>
      </c>
      <c r="B6361" s="4" t="s">
        <v>43</v>
      </c>
      <c r="C6361" s="38" t="s">
        <v>4467</v>
      </c>
      <c r="D6361" s="18">
        <v>2022</v>
      </c>
      <c r="E6361" s="18" t="s">
        <v>0</v>
      </c>
      <c r="F6361" s="4">
        <v>11</v>
      </c>
      <c r="G6361" s="41">
        <v>153</v>
      </c>
      <c r="H6361" s="41">
        <v>377.37721999999997</v>
      </c>
      <c r="I6361" s="221"/>
      <c r="J6361" s="221"/>
    </row>
    <row r="6362" spans="1:10" s="15" customFormat="1" ht="16.5" hidden="1" customHeight="1" outlineLevel="1" x14ac:dyDescent="0.25">
      <c r="A6362" s="18">
        <v>1881</v>
      </c>
      <c r="B6362" s="4" t="s">
        <v>43</v>
      </c>
      <c r="C6362" s="38" t="s">
        <v>4468</v>
      </c>
      <c r="D6362" s="18">
        <v>2022</v>
      </c>
      <c r="E6362" s="18" t="s">
        <v>0</v>
      </c>
      <c r="F6362" s="4">
        <v>4</v>
      </c>
      <c r="G6362" s="41">
        <v>46</v>
      </c>
      <c r="H6362" s="41">
        <v>125.82455</v>
      </c>
      <c r="I6362" s="221"/>
      <c r="J6362" s="221"/>
    </row>
    <row r="6363" spans="1:10" s="15" customFormat="1" ht="16.5" hidden="1" customHeight="1" outlineLevel="1" x14ac:dyDescent="0.25">
      <c r="A6363" s="18">
        <v>1908</v>
      </c>
      <c r="B6363" s="4" t="s">
        <v>43</v>
      </c>
      <c r="C6363" s="38" t="s">
        <v>4469</v>
      </c>
      <c r="D6363" s="18">
        <v>2022</v>
      </c>
      <c r="E6363" s="18" t="s">
        <v>0</v>
      </c>
      <c r="F6363" s="4">
        <v>3</v>
      </c>
      <c r="G6363" s="41">
        <v>35</v>
      </c>
      <c r="H6363" s="41">
        <v>86.888509999999982</v>
      </c>
      <c r="I6363" s="221"/>
      <c r="J6363" s="221"/>
    </row>
    <row r="6364" spans="1:10" s="15" customFormat="1" ht="16.5" hidden="1" customHeight="1" outlineLevel="1" x14ac:dyDescent="0.25">
      <c r="A6364" s="18">
        <v>1909</v>
      </c>
      <c r="B6364" s="4" t="s">
        <v>43</v>
      </c>
      <c r="C6364" s="38" t="s">
        <v>4470</v>
      </c>
      <c r="D6364" s="18">
        <v>2022</v>
      </c>
      <c r="E6364" s="18" t="s">
        <v>0</v>
      </c>
      <c r="F6364" s="4">
        <v>2</v>
      </c>
      <c r="G6364" s="41">
        <v>20</v>
      </c>
      <c r="H6364" s="41">
        <v>68.449339999999992</v>
      </c>
      <c r="I6364" s="221"/>
      <c r="J6364" s="221"/>
    </row>
    <row r="6365" spans="1:10" s="15" customFormat="1" ht="16.5" hidden="1" customHeight="1" outlineLevel="1" x14ac:dyDescent="0.25">
      <c r="A6365" s="18">
        <v>1946</v>
      </c>
      <c r="B6365" s="4" t="s">
        <v>43</v>
      </c>
      <c r="C6365" s="38" t="s">
        <v>4471</v>
      </c>
      <c r="D6365" s="18">
        <v>2022</v>
      </c>
      <c r="E6365" s="18" t="s">
        <v>0</v>
      </c>
      <c r="F6365" s="4">
        <v>3</v>
      </c>
      <c r="G6365" s="41">
        <v>20</v>
      </c>
      <c r="H6365" s="41">
        <v>81.305480000000003</v>
      </c>
      <c r="I6365" s="221"/>
      <c r="J6365" s="221"/>
    </row>
    <row r="6366" spans="1:10" s="15" customFormat="1" ht="16.5" hidden="1" customHeight="1" outlineLevel="1" x14ac:dyDescent="0.25">
      <c r="A6366" s="18">
        <v>2408</v>
      </c>
      <c r="B6366" s="4" t="s">
        <v>43</v>
      </c>
      <c r="C6366" s="38" t="s">
        <v>3030</v>
      </c>
      <c r="D6366" s="18">
        <v>2022</v>
      </c>
      <c r="E6366" s="18" t="s">
        <v>0</v>
      </c>
      <c r="F6366" s="4">
        <v>1</v>
      </c>
      <c r="G6366" s="41">
        <v>5</v>
      </c>
      <c r="H6366" s="41">
        <v>16.918420000000001</v>
      </c>
      <c r="I6366" s="221"/>
      <c r="J6366" s="221"/>
    </row>
    <row r="6367" spans="1:10" s="15" customFormat="1" ht="16.5" hidden="1" customHeight="1" outlineLevel="1" x14ac:dyDescent="0.25">
      <c r="A6367" s="18">
        <v>2420</v>
      </c>
      <c r="B6367" s="4" t="s">
        <v>43</v>
      </c>
      <c r="C6367" s="38" t="s">
        <v>4472</v>
      </c>
      <c r="D6367" s="18">
        <v>2022</v>
      </c>
      <c r="E6367" s="18" t="s">
        <v>0</v>
      </c>
      <c r="F6367" s="4">
        <v>1</v>
      </c>
      <c r="G6367" s="41">
        <v>5</v>
      </c>
      <c r="H6367" s="41">
        <v>13.99132</v>
      </c>
      <c r="I6367" s="221"/>
      <c r="J6367" s="221"/>
    </row>
    <row r="6368" spans="1:10" s="15" customFormat="1" ht="16.5" hidden="1" customHeight="1" outlineLevel="1" x14ac:dyDescent="0.25">
      <c r="A6368" s="18">
        <v>1844</v>
      </c>
      <c r="B6368" s="4" t="s">
        <v>43</v>
      </c>
      <c r="C6368" s="38" t="s">
        <v>4473</v>
      </c>
      <c r="D6368" s="18">
        <v>2022</v>
      </c>
      <c r="E6368" s="18" t="s">
        <v>0</v>
      </c>
      <c r="F6368" s="4">
        <v>8</v>
      </c>
      <c r="G6368" s="41">
        <v>105</v>
      </c>
      <c r="H6368" s="41">
        <v>197.27953000000002</v>
      </c>
      <c r="I6368" s="221"/>
      <c r="J6368" s="221"/>
    </row>
    <row r="6369" spans="1:10" s="15" customFormat="1" ht="16.5" hidden="1" customHeight="1" outlineLevel="1" x14ac:dyDescent="0.25">
      <c r="A6369" s="18">
        <v>1847</v>
      </c>
      <c r="B6369" s="4" t="s">
        <v>43</v>
      </c>
      <c r="C6369" s="38" t="s">
        <v>4474</v>
      </c>
      <c r="D6369" s="18">
        <v>2022</v>
      </c>
      <c r="E6369" s="18" t="s">
        <v>0</v>
      </c>
      <c r="F6369" s="4">
        <v>11</v>
      </c>
      <c r="G6369" s="41">
        <v>136</v>
      </c>
      <c r="H6369" s="41">
        <v>256.32846999999998</v>
      </c>
      <c r="I6369" s="221"/>
      <c r="J6369" s="221"/>
    </row>
    <row r="6370" spans="1:10" s="15" customFormat="1" ht="16.5" hidden="1" customHeight="1" outlineLevel="1" x14ac:dyDescent="0.25">
      <c r="A6370" s="18">
        <v>1849</v>
      </c>
      <c r="B6370" s="4" t="s">
        <v>43</v>
      </c>
      <c r="C6370" s="38" t="s">
        <v>4475</v>
      </c>
      <c r="D6370" s="18">
        <v>2022</v>
      </c>
      <c r="E6370" s="18" t="s">
        <v>0</v>
      </c>
      <c r="F6370" s="4">
        <v>11</v>
      </c>
      <c r="G6370" s="41">
        <v>130</v>
      </c>
      <c r="H6370" s="41">
        <v>242.77864999999997</v>
      </c>
      <c r="I6370" s="221"/>
      <c r="J6370" s="221"/>
    </row>
    <row r="6371" spans="1:10" s="15" customFormat="1" ht="16.5" hidden="1" customHeight="1" outlineLevel="1" x14ac:dyDescent="0.25">
      <c r="A6371" s="18">
        <v>1850</v>
      </c>
      <c r="B6371" s="4" t="s">
        <v>43</v>
      </c>
      <c r="C6371" s="38" t="s">
        <v>4476</v>
      </c>
      <c r="D6371" s="18">
        <v>2022</v>
      </c>
      <c r="E6371" s="18" t="s">
        <v>0</v>
      </c>
      <c r="F6371" s="4">
        <v>7</v>
      </c>
      <c r="G6371" s="41">
        <v>92</v>
      </c>
      <c r="H6371" s="41">
        <v>166.42607000000001</v>
      </c>
      <c r="I6371" s="221"/>
      <c r="J6371" s="221"/>
    </row>
    <row r="6372" spans="1:10" s="15" customFormat="1" ht="16.5" hidden="1" customHeight="1" outlineLevel="1" x14ac:dyDescent="0.25">
      <c r="A6372" s="18">
        <v>1857</v>
      </c>
      <c r="B6372" s="4" t="s">
        <v>43</v>
      </c>
      <c r="C6372" s="38" t="s">
        <v>4477</v>
      </c>
      <c r="D6372" s="18">
        <v>2022</v>
      </c>
      <c r="E6372" s="18" t="s">
        <v>0</v>
      </c>
      <c r="F6372" s="4">
        <v>19</v>
      </c>
      <c r="G6372" s="41">
        <v>210</v>
      </c>
      <c r="H6372" s="41">
        <v>509.72969000000001</v>
      </c>
      <c r="I6372" s="221"/>
      <c r="J6372" s="221"/>
    </row>
    <row r="6373" spans="1:10" s="15" customFormat="1" ht="16.5" hidden="1" customHeight="1" outlineLevel="1" x14ac:dyDescent="0.25">
      <c r="A6373" s="18">
        <v>1858</v>
      </c>
      <c r="B6373" s="4" t="s">
        <v>43</v>
      </c>
      <c r="C6373" s="38" t="s">
        <v>4478</v>
      </c>
      <c r="D6373" s="18">
        <v>2022</v>
      </c>
      <c r="E6373" s="18" t="s">
        <v>0</v>
      </c>
      <c r="F6373" s="4">
        <v>13</v>
      </c>
      <c r="G6373" s="41">
        <v>187</v>
      </c>
      <c r="H6373" s="41">
        <v>384.86144000000002</v>
      </c>
      <c r="I6373" s="221"/>
      <c r="J6373" s="221"/>
    </row>
    <row r="6374" spans="1:10" s="15" customFormat="1" ht="16.5" hidden="1" customHeight="1" outlineLevel="1" x14ac:dyDescent="0.25">
      <c r="A6374" s="18">
        <v>1860</v>
      </c>
      <c r="B6374" s="4" t="s">
        <v>43</v>
      </c>
      <c r="C6374" s="38" t="s">
        <v>4479</v>
      </c>
      <c r="D6374" s="18">
        <v>2022</v>
      </c>
      <c r="E6374" s="18" t="s">
        <v>0</v>
      </c>
      <c r="F6374" s="4">
        <v>4</v>
      </c>
      <c r="G6374" s="41">
        <v>60</v>
      </c>
      <c r="H6374" s="41">
        <v>142.93474000000001</v>
      </c>
      <c r="I6374" s="221"/>
      <c r="J6374" s="221"/>
    </row>
    <row r="6375" spans="1:10" s="15" customFormat="1" ht="16.5" hidden="1" customHeight="1" outlineLevel="1" x14ac:dyDescent="0.25">
      <c r="A6375" s="18">
        <v>1864</v>
      </c>
      <c r="B6375" s="4" t="s">
        <v>43</v>
      </c>
      <c r="C6375" s="38" t="s">
        <v>4480</v>
      </c>
      <c r="D6375" s="18">
        <v>2022</v>
      </c>
      <c r="E6375" s="18" t="s">
        <v>0</v>
      </c>
      <c r="F6375" s="4">
        <v>10</v>
      </c>
      <c r="G6375" s="41">
        <v>124</v>
      </c>
      <c r="H6375" s="41">
        <v>276.0453</v>
      </c>
      <c r="I6375" s="221"/>
      <c r="J6375" s="221"/>
    </row>
    <row r="6376" spans="1:10" s="15" customFormat="1" ht="16.5" hidden="1" customHeight="1" outlineLevel="1" x14ac:dyDescent="0.25">
      <c r="A6376" s="18">
        <v>1872</v>
      </c>
      <c r="B6376" s="4" t="s">
        <v>43</v>
      </c>
      <c r="C6376" s="38" t="s">
        <v>4481</v>
      </c>
      <c r="D6376" s="18">
        <v>2022</v>
      </c>
      <c r="E6376" s="18" t="s">
        <v>0</v>
      </c>
      <c r="F6376" s="4">
        <v>7</v>
      </c>
      <c r="G6376" s="41">
        <v>85</v>
      </c>
      <c r="H6376" s="41">
        <v>187.85446999999999</v>
      </c>
      <c r="I6376" s="221"/>
      <c r="J6376" s="221"/>
    </row>
    <row r="6377" spans="1:10" s="15" customFormat="1" ht="16.5" hidden="1" customHeight="1" outlineLevel="1" x14ac:dyDescent="0.25">
      <c r="A6377" s="18">
        <v>1873</v>
      </c>
      <c r="B6377" s="4" t="s">
        <v>43</v>
      </c>
      <c r="C6377" s="38" t="s">
        <v>4482</v>
      </c>
      <c r="D6377" s="18">
        <v>2022</v>
      </c>
      <c r="E6377" s="18" t="s">
        <v>0</v>
      </c>
      <c r="F6377" s="4">
        <v>6</v>
      </c>
      <c r="G6377" s="41">
        <v>66</v>
      </c>
      <c r="H6377" s="41">
        <v>159.69451999999998</v>
      </c>
      <c r="I6377" s="221"/>
      <c r="J6377" s="221"/>
    </row>
    <row r="6378" spans="1:10" s="15" customFormat="1" ht="16.5" hidden="1" customHeight="1" outlineLevel="1" x14ac:dyDescent="0.25">
      <c r="A6378" s="18">
        <v>1875</v>
      </c>
      <c r="B6378" s="4" t="s">
        <v>43</v>
      </c>
      <c r="C6378" s="38" t="s">
        <v>4483</v>
      </c>
      <c r="D6378" s="18">
        <v>2022</v>
      </c>
      <c r="E6378" s="18" t="s">
        <v>0</v>
      </c>
      <c r="F6378" s="4">
        <v>4</v>
      </c>
      <c r="G6378" s="41">
        <v>38</v>
      </c>
      <c r="H6378" s="41">
        <v>109.70343</v>
      </c>
      <c r="I6378" s="221"/>
      <c r="J6378" s="221"/>
    </row>
    <row r="6379" spans="1:10" s="15" customFormat="1" ht="16.5" hidden="1" customHeight="1" outlineLevel="1" x14ac:dyDescent="0.25">
      <c r="A6379" s="18">
        <v>1882</v>
      </c>
      <c r="B6379" s="4" t="s">
        <v>43</v>
      </c>
      <c r="C6379" s="38" t="s">
        <v>4484</v>
      </c>
      <c r="D6379" s="18">
        <v>2022</v>
      </c>
      <c r="E6379" s="18" t="s">
        <v>0</v>
      </c>
      <c r="F6379" s="4">
        <v>14</v>
      </c>
      <c r="G6379" s="41">
        <v>125</v>
      </c>
      <c r="H6379" s="41">
        <v>351.28414999999995</v>
      </c>
      <c r="I6379" s="221"/>
      <c r="J6379" s="221"/>
    </row>
    <row r="6380" spans="1:10" s="15" customFormat="1" ht="16.5" hidden="1" customHeight="1" outlineLevel="1" x14ac:dyDescent="0.25">
      <c r="A6380" s="18">
        <v>1894</v>
      </c>
      <c r="B6380" s="4" t="s">
        <v>43</v>
      </c>
      <c r="C6380" s="38" t="s">
        <v>4485</v>
      </c>
      <c r="D6380" s="18">
        <v>2022</v>
      </c>
      <c r="E6380" s="18" t="s">
        <v>0</v>
      </c>
      <c r="F6380" s="4">
        <v>13</v>
      </c>
      <c r="G6380" s="41">
        <v>181</v>
      </c>
      <c r="H6380" s="41">
        <v>407.22999999999996</v>
      </c>
      <c r="I6380" s="221"/>
      <c r="J6380" s="221"/>
    </row>
    <row r="6381" spans="1:10" s="15" customFormat="1" ht="16.5" hidden="1" customHeight="1" outlineLevel="1" x14ac:dyDescent="0.25">
      <c r="A6381" s="18">
        <v>1906</v>
      </c>
      <c r="B6381" s="4" t="s">
        <v>43</v>
      </c>
      <c r="C6381" s="38" t="s">
        <v>4486</v>
      </c>
      <c r="D6381" s="18">
        <v>2022</v>
      </c>
      <c r="E6381" s="18" t="s">
        <v>0</v>
      </c>
      <c r="F6381" s="4">
        <v>2</v>
      </c>
      <c r="G6381" s="41">
        <v>25</v>
      </c>
      <c r="H6381" s="41">
        <v>54.983929999999994</v>
      </c>
      <c r="I6381" s="221"/>
      <c r="J6381" s="221"/>
    </row>
    <row r="6382" spans="1:10" s="15" customFormat="1" ht="16.5" hidden="1" customHeight="1" outlineLevel="1" x14ac:dyDescent="0.25">
      <c r="A6382" s="18">
        <v>1921</v>
      </c>
      <c r="B6382" s="4" t="s">
        <v>43</v>
      </c>
      <c r="C6382" s="38" t="s">
        <v>4487</v>
      </c>
      <c r="D6382" s="18">
        <v>2022</v>
      </c>
      <c r="E6382" s="18" t="s">
        <v>0</v>
      </c>
      <c r="F6382" s="4">
        <v>1</v>
      </c>
      <c r="G6382" s="41">
        <v>10</v>
      </c>
      <c r="H6382" s="41">
        <v>23.166730000000001</v>
      </c>
      <c r="I6382" s="221"/>
      <c r="J6382" s="221"/>
    </row>
    <row r="6383" spans="1:10" s="15" customFormat="1" ht="16.5" hidden="1" customHeight="1" outlineLevel="1" x14ac:dyDescent="0.25">
      <c r="A6383" s="18">
        <v>1923</v>
      </c>
      <c r="B6383" s="4" t="s">
        <v>43</v>
      </c>
      <c r="C6383" s="38" t="s">
        <v>4488</v>
      </c>
      <c r="D6383" s="18">
        <v>2022</v>
      </c>
      <c r="E6383" s="18" t="s">
        <v>0</v>
      </c>
      <c r="F6383" s="4">
        <v>1</v>
      </c>
      <c r="G6383" s="41">
        <v>14</v>
      </c>
      <c r="H6383" s="41">
        <v>21.75141</v>
      </c>
      <c r="I6383" s="221"/>
      <c r="J6383" s="221"/>
    </row>
    <row r="6384" spans="1:10" s="15" customFormat="1" ht="16.5" hidden="1" customHeight="1" outlineLevel="1" x14ac:dyDescent="0.25">
      <c r="A6384" s="18">
        <v>1956</v>
      </c>
      <c r="B6384" s="4" t="s">
        <v>43</v>
      </c>
      <c r="C6384" s="38" t="s">
        <v>4489</v>
      </c>
      <c r="D6384" s="18">
        <v>2022</v>
      </c>
      <c r="E6384" s="18" t="s">
        <v>0</v>
      </c>
      <c r="F6384" s="4">
        <v>1</v>
      </c>
      <c r="G6384" s="41">
        <v>12</v>
      </c>
      <c r="H6384" s="41">
        <v>21.966099999999997</v>
      </c>
      <c r="I6384" s="221"/>
      <c r="J6384" s="221"/>
    </row>
    <row r="6385" spans="1:10" s="15" customFormat="1" ht="16.5" hidden="1" customHeight="1" outlineLevel="1" x14ac:dyDescent="0.25">
      <c r="A6385" s="18">
        <v>1988</v>
      </c>
      <c r="B6385" s="4" t="s">
        <v>43</v>
      </c>
      <c r="C6385" s="38" t="s">
        <v>4490</v>
      </c>
      <c r="D6385" s="18">
        <v>2022</v>
      </c>
      <c r="E6385" s="18" t="s">
        <v>0</v>
      </c>
      <c r="F6385" s="4">
        <v>1</v>
      </c>
      <c r="G6385" s="41">
        <v>15</v>
      </c>
      <c r="H6385" s="41">
        <v>21.514599999999998</v>
      </c>
      <c r="I6385" s="221"/>
      <c r="J6385" s="221"/>
    </row>
    <row r="6386" spans="1:10" s="15" customFormat="1" ht="16.5" hidden="1" customHeight="1" outlineLevel="1" x14ac:dyDescent="0.25">
      <c r="A6386" s="18">
        <v>2096</v>
      </c>
      <c r="B6386" s="4" t="s">
        <v>43</v>
      </c>
      <c r="C6386" s="38" t="s">
        <v>4491</v>
      </c>
      <c r="D6386" s="18">
        <v>2022</v>
      </c>
      <c r="E6386" s="18" t="s">
        <v>0</v>
      </c>
      <c r="F6386" s="4">
        <v>1</v>
      </c>
      <c r="G6386" s="41">
        <v>10</v>
      </c>
      <c r="H6386" s="41">
        <v>18.21236</v>
      </c>
      <c r="I6386" s="221"/>
      <c r="J6386" s="221"/>
    </row>
    <row r="6387" spans="1:10" s="15" customFormat="1" ht="16.5" hidden="1" customHeight="1" outlineLevel="1" x14ac:dyDescent="0.25">
      <c r="A6387" s="18">
        <v>2115</v>
      </c>
      <c r="B6387" s="4" t="s">
        <v>43</v>
      </c>
      <c r="C6387" s="38" t="s">
        <v>4492</v>
      </c>
      <c r="D6387" s="18">
        <v>2022</v>
      </c>
      <c r="E6387" s="18" t="s">
        <v>0</v>
      </c>
      <c r="F6387" s="4">
        <v>1</v>
      </c>
      <c r="G6387" s="41">
        <v>7</v>
      </c>
      <c r="H6387" s="41">
        <v>23.043900000000001</v>
      </c>
      <c r="I6387" s="221"/>
      <c r="J6387" s="221"/>
    </row>
    <row r="6388" spans="1:10" s="15" customFormat="1" ht="16.5" hidden="1" customHeight="1" outlineLevel="1" x14ac:dyDescent="0.25">
      <c r="A6388" s="18">
        <v>2119</v>
      </c>
      <c r="B6388" s="4" t="s">
        <v>43</v>
      </c>
      <c r="C6388" s="38" t="s">
        <v>4493</v>
      </c>
      <c r="D6388" s="18">
        <v>2022</v>
      </c>
      <c r="E6388" s="18" t="s">
        <v>0</v>
      </c>
      <c r="F6388" s="4">
        <v>1</v>
      </c>
      <c r="G6388" s="41">
        <v>7</v>
      </c>
      <c r="H6388" s="41">
        <v>27.032520000000002</v>
      </c>
      <c r="I6388" s="221"/>
      <c r="J6388" s="221"/>
    </row>
    <row r="6389" spans="1:10" s="15" customFormat="1" ht="16.5" hidden="1" customHeight="1" outlineLevel="1" x14ac:dyDescent="0.25">
      <c r="A6389" s="18">
        <v>2175</v>
      </c>
      <c r="B6389" s="4" t="s">
        <v>43</v>
      </c>
      <c r="C6389" s="38" t="s">
        <v>4494</v>
      </c>
      <c r="D6389" s="18">
        <v>2022</v>
      </c>
      <c r="E6389" s="18" t="s">
        <v>0</v>
      </c>
      <c r="F6389" s="4">
        <v>1</v>
      </c>
      <c r="G6389" s="41">
        <v>15</v>
      </c>
      <c r="H6389" s="41">
        <v>22.504970000000004</v>
      </c>
      <c r="I6389" s="221"/>
      <c r="J6389" s="221"/>
    </row>
    <row r="6390" spans="1:10" s="15" customFormat="1" ht="16.5" hidden="1" customHeight="1" outlineLevel="1" x14ac:dyDescent="0.25">
      <c r="A6390" s="18">
        <v>2183</v>
      </c>
      <c r="B6390" s="4" t="s">
        <v>43</v>
      </c>
      <c r="C6390" s="38" t="s">
        <v>4495</v>
      </c>
      <c r="D6390" s="18">
        <v>2022</v>
      </c>
      <c r="E6390" s="18" t="s">
        <v>0</v>
      </c>
      <c r="F6390" s="4">
        <v>1</v>
      </c>
      <c r="G6390" s="41">
        <v>10</v>
      </c>
      <c r="H6390" s="41">
        <v>21.91413</v>
      </c>
      <c r="I6390" s="221"/>
      <c r="J6390" s="221"/>
    </row>
    <row r="6391" spans="1:10" s="15" customFormat="1" ht="16.5" hidden="1" customHeight="1" outlineLevel="1" x14ac:dyDescent="0.25">
      <c r="A6391" s="18">
        <v>2186</v>
      </c>
      <c r="B6391" s="4" t="s">
        <v>43</v>
      </c>
      <c r="C6391" s="38" t="s">
        <v>4496</v>
      </c>
      <c r="D6391" s="18">
        <v>2022</v>
      </c>
      <c r="E6391" s="18" t="s">
        <v>0</v>
      </c>
      <c r="F6391" s="4">
        <v>1</v>
      </c>
      <c r="G6391" s="41">
        <v>7</v>
      </c>
      <c r="H6391" s="41">
        <v>21.470939999999999</v>
      </c>
      <c r="I6391" s="221"/>
      <c r="J6391" s="221"/>
    </row>
    <row r="6392" spans="1:10" s="15" customFormat="1" ht="16.5" hidden="1" customHeight="1" outlineLevel="1" x14ac:dyDescent="0.25">
      <c r="A6392" s="18">
        <v>2196</v>
      </c>
      <c r="B6392" s="4" t="s">
        <v>43</v>
      </c>
      <c r="C6392" s="38" t="s">
        <v>4497</v>
      </c>
      <c r="D6392" s="18">
        <v>2022</v>
      </c>
      <c r="E6392" s="18" t="s">
        <v>0</v>
      </c>
      <c r="F6392" s="4">
        <v>1</v>
      </c>
      <c r="G6392" s="41">
        <v>10</v>
      </c>
      <c r="H6392" s="41">
        <v>21.76632</v>
      </c>
      <c r="I6392" s="221"/>
      <c r="J6392" s="221"/>
    </row>
    <row r="6393" spans="1:10" s="15" customFormat="1" ht="16.5" hidden="1" customHeight="1" outlineLevel="1" x14ac:dyDescent="0.25">
      <c r="A6393" s="18">
        <v>2200</v>
      </c>
      <c r="B6393" s="4" t="s">
        <v>43</v>
      </c>
      <c r="C6393" s="38" t="s">
        <v>4498</v>
      </c>
      <c r="D6393" s="18">
        <v>2022</v>
      </c>
      <c r="E6393" s="18" t="s">
        <v>0</v>
      </c>
      <c r="F6393" s="4">
        <v>1</v>
      </c>
      <c r="G6393" s="41">
        <v>10</v>
      </c>
      <c r="H6393" s="41">
        <v>25.631720000000001</v>
      </c>
      <c r="I6393" s="221"/>
      <c r="J6393" s="221"/>
    </row>
    <row r="6394" spans="1:10" s="15" customFormat="1" ht="16.5" hidden="1" customHeight="1" outlineLevel="1" x14ac:dyDescent="0.25">
      <c r="A6394" s="18">
        <v>2201</v>
      </c>
      <c r="B6394" s="4" t="s">
        <v>43</v>
      </c>
      <c r="C6394" s="38" t="s">
        <v>4499</v>
      </c>
      <c r="D6394" s="18">
        <v>2022</v>
      </c>
      <c r="E6394" s="18" t="s">
        <v>0</v>
      </c>
      <c r="F6394" s="4">
        <v>1</v>
      </c>
      <c r="G6394" s="41">
        <v>15</v>
      </c>
      <c r="H6394" s="41">
        <v>21.76632</v>
      </c>
      <c r="I6394" s="221"/>
      <c r="J6394" s="221"/>
    </row>
    <row r="6395" spans="1:10" s="15" customFormat="1" ht="16.5" hidden="1" customHeight="1" outlineLevel="1" x14ac:dyDescent="0.25">
      <c r="A6395" s="18">
        <v>2207</v>
      </c>
      <c r="B6395" s="4" t="s">
        <v>43</v>
      </c>
      <c r="C6395" s="38" t="s">
        <v>4500</v>
      </c>
      <c r="D6395" s="18">
        <v>2022</v>
      </c>
      <c r="E6395" s="18" t="s">
        <v>0</v>
      </c>
      <c r="F6395" s="4">
        <v>1</v>
      </c>
      <c r="G6395" s="41">
        <v>10</v>
      </c>
      <c r="H6395" s="41">
        <v>24.745340000000002</v>
      </c>
      <c r="I6395" s="221"/>
      <c r="J6395" s="221"/>
    </row>
    <row r="6396" spans="1:10" s="15" customFormat="1" ht="16.5" hidden="1" customHeight="1" outlineLevel="1" x14ac:dyDescent="0.25">
      <c r="A6396" s="18">
        <v>2209</v>
      </c>
      <c r="B6396" s="4" t="s">
        <v>43</v>
      </c>
      <c r="C6396" s="38" t="s">
        <v>4501</v>
      </c>
      <c r="D6396" s="18">
        <v>2022</v>
      </c>
      <c r="E6396" s="18" t="s">
        <v>0</v>
      </c>
      <c r="F6396" s="4">
        <v>1</v>
      </c>
      <c r="G6396" s="41">
        <v>10</v>
      </c>
      <c r="H6396" s="41">
        <v>21.766310000000001</v>
      </c>
      <c r="I6396" s="221"/>
      <c r="J6396" s="221"/>
    </row>
    <row r="6397" spans="1:10" s="15" customFormat="1" ht="16.5" hidden="1" customHeight="1" outlineLevel="1" x14ac:dyDescent="0.25">
      <c r="A6397" s="18">
        <v>2217</v>
      </c>
      <c r="B6397" s="4" t="s">
        <v>43</v>
      </c>
      <c r="C6397" s="38" t="s">
        <v>4502</v>
      </c>
      <c r="D6397" s="18">
        <v>2022</v>
      </c>
      <c r="E6397" s="18" t="s">
        <v>0</v>
      </c>
      <c r="F6397" s="4">
        <v>1</v>
      </c>
      <c r="G6397" s="41">
        <v>12</v>
      </c>
      <c r="H6397" s="41">
        <v>22.50498</v>
      </c>
      <c r="I6397" s="221"/>
      <c r="J6397" s="221"/>
    </row>
    <row r="6398" spans="1:10" s="15" customFormat="1" ht="16.5" hidden="1" customHeight="1" outlineLevel="1" x14ac:dyDescent="0.25">
      <c r="A6398" s="18">
        <v>2222</v>
      </c>
      <c r="B6398" s="4" t="s">
        <v>43</v>
      </c>
      <c r="C6398" s="38" t="s">
        <v>4503</v>
      </c>
      <c r="D6398" s="18">
        <v>2022</v>
      </c>
      <c r="E6398" s="18" t="s">
        <v>0</v>
      </c>
      <c r="F6398" s="4">
        <v>1</v>
      </c>
      <c r="G6398" s="41">
        <v>6</v>
      </c>
      <c r="H6398" s="41">
        <v>22.874290000000002</v>
      </c>
      <c r="I6398" s="221"/>
      <c r="J6398" s="221"/>
    </row>
    <row r="6399" spans="1:10" s="15" customFormat="1" ht="16.5" hidden="1" customHeight="1" outlineLevel="1" x14ac:dyDescent="0.25">
      <c r="A6399" s="18">
        <v>2260</v>
      </c>
      <c r="B6399" s="4" t="s">
        <v>43</v>
      </c>
      <c r="C6399" s="38" t="s">
        <v>4504</v>
      </c>
      <c r="D6399" s="18">
        <v>2022</v>
      </c>
      <c r="E6399" s="18" t="s">
        <v>0</v>
      </c>
      <c r="F6399" s="4">
        <v>1</v>
      </c>
      <c r="G6399" s="41">
        <v>10</v>
      </c>
      <c r="H6399" s="41">
        <v>21.76632</v>
      </c>
      <c r="I6399" s="221"/>
      <c r="J6399" s="221"/>
    </row>
    <row r="6400" spans="1:10" s="15" customFormat="1" ht="16.5" hidden="1" customHeight="1" outlineLevel="1" x14ac:dyDescent="0.25">
      <c r="A6400" s="18">
        <v>2262</v>
      </c>
      <c r="B6400" s="4" t="s">
        <v>43</v>
      </c>
      <c r="C6400" s="38" t="s">
        <v>4505</v>
      </c>
      <c r="D6400" s="18">
        <v>2022</v>
      </c>
      <c r="E6400" s="18" t="s">
        <v>0</v>
      </c>
      <c r="F6400" s="4">
        <v>1</v>
      </c>
      <c r="G6400" s="41">
        <v>15</v>
      </c>
      <c r="H6400" s="41">
        <v>23.24363</v>
      </c>
      <c r="I6400" s="221"/>
      <c r="J6400" s="221"/>
    </row>
    <row r="6401" spans="1:10" s="15" customFormat="1" ht="16.5" hidden="1" customHeight="1" outlineLevel="1" x14ac:dyDescent="0.25">
      <c r="A6401" s="18">
        <v>2279</v>
      </c>
      <c r="B6401" s="4" t="s">
        <v>43</v>
      </c>
      <c r="C6401" s="38" t="s">
        <v>4506</v>
      </c>
      <c r="D6401" s="18">
        <v>2022</v>
      </c>
      <c r="E6401" s="18" t="s">
        <v>0</v>
      </c>
      <c r="F6401" s="4">
        <v>1</v>
      </c>
      <c r="G6401" s="41">
        <v>6</v>
      </c>
      <c r="H6401" s="41">
        <v>22.874310000000001</v>
      </c>
      <c r="I6401" s="221"/>
      <c r="J6401" s="221"/>
    </row>
    <row r="6402" spans="1:10" s="15" customFormat="1" ht="16.5" hidden="1" customHeight="1" outlineLevel="1" x14ac:dyDescent="0.25">
      <c r="A6402" s="18">
        <v>2281</v>
      </c>
      <c r="B6402" s="4" t="s">
        <v>43</v>
      </c>
      <c r="C6402" s="38" t="s">
        <v>4507</v>
      </c>
      <c r="D6402" s="18">
        <v>2022</v>
      </c>
      <c r="E6402" s="18" t="s">
        <v>0</v>
      </c>
      <c r="F6402" s="4">
        <v>1</v>
      </c>
      <c r="G6402" s="41">
        <v>6</v>
      </c>
      <c r="H6402" s="41">
        <v>21.80209</v>
      </c>
      <c r="I6402" s="221"/>
      <c r="J6402" s="221"/>
    </row>
    <row r="6403" spans="1:10" s="15" customFormat="1" ht="16.5" hidden="1" customHeight="1" outlineLevel="1" x14ac:dyDescent="0.25">
      <c r="A6403" s="18">
        <v>2282</v>
      </c>
      <c r="B6403" s="4" t="s">
        <v>43</v>
      </c>
      <c r="C6403" s="38" t="s">
        <v>4508</v>
      </c>
      <c r="D6403" s="18">
        <v>2022</v>
      </c>
      <c r="E6403" s="18" t="s">
        <v>0</v>
      </c>
      <c r="F6403" s="4">
        <v>1</v>
      </c>
      <c r="G6403" s="41">
        <v>10</v>
      </c>
      <c r="H6403" s="41">
        <v>26.96125</v>
      </c>
      <c r="I6403" s="221"/>
      <c r="J6403" s="221"/>
    </row>
    <row r="6404" spans="1:10" s="15" customFormat="1" ht="16.5" hidden="1" customHeight="1" outlineLevel="1" x14ac:dyDescent="0.25">
      <c r="A6404" s="18">
        <v>2291</v>
      </c>
      <c r="B6404" s="4" t="s">
        <v>43</v>
      </c>
      <c r="C6404" s="38" t="s">
        <v>4509</v>
      </c>
      <c r="D6404" s="18">
        <v>2022</v>
      </c>
      <c r="E6404" s="18" t="s">
        <v>0</v>
      </c>
      <c r="F6404" s="4">
        <v>1</v>
      </c>
      <c r="G6404" s="41">
        <v>10</v>
      </c>
      <c r="H6404" s="41">
        <v>21.86467</v>
      </c>
      <c r="I6404" s="221"/>
      <c r="J6404" s="221"/>
    </row>
    <row r="6405" spans="1:10" s="15" customFormat="1" ht="16.5" hidden="1" customHeight="1" outlineLevel="1" x14ac:dyDescent="0.25">
      <c r="A6405" s="18">
        <v>2308</v>
      </c>
      <c r="B6405" s="4" t="s">
        <v>43</v>
      </c>
      <c r="C6405" s="38" t="s">
        <v>4510</v>
      </c>
      <c r="D6405" s="18">
        <v>2022</v>
      </c>
      <c r="E6405" s="18" t="s">
        <v>0</v>
      </c>
      <c r="F6405" s="4">
        <v>1</v>
      </c>
      <c r="G6405" s="41">
        <v>5</v>
      </c>
      <c r="H6405" s="41">
        <v>26.166419999999999</v>
      </c>
      <c r="I6405" s="221"/>
      <c r="J6405" s="221"/>
    </row>
    <row r="6406" spans="1:10" s="15" customFormat="1" ht="16.5" hidden="1" customHeight="1" outlineLevel="1" x14ac:dyDescent="0.25">
      <c r="A6406" s="18">
        <v>2309</v>
      </c>
      <c r="B6406" s="4" t="s">
        <v>43</v>
      </c>
      <c r="C6406" s="38" t="s">
        <v>4511</v>
      </c>
      <c r="D6406" s="18">
        <v>2022</v>
      </c>
      <c r="E6406" s="18" t="s">
        <v>0</v>
      </c>
      <c r="F6406" s="4">
        <v>1</v>
      </c>
      <c r="G6406" s="41">
        <v>15</v>
      </c>
      <c r="H6406" s="41">
        <v>30.118690000000001</v>
      </c>
      <c r="I6406" s="221"/>
      <c r="J6406" s="221"/>
    </row>
    <row r="6407" spans="1:10" s="15" customFormat="1" ht="16.5" hidden="1" customHeight="1" outlineLevel="1" x14ac:dyDescent="0.25">
      <c r="A6407" s="18">
        <v>2332</v>
      </c>
      <c r="B6407" s="4" t="s">
        <v>43</v>
      </c>
      <c r="C6407" s="38" t="s">
        <v>4512</v>
      </c>
      <c r="D6407" s="18">
        <v>2022</v>
      </c>
      <c r="E6407" s="18" t="s">
        <v>0</v>
      </c>
      <c r="F6407" s="4">
        <v>1</v>
      </c>
      <c r="G6407" s="41">
        <v>15</v>
      </c>
      <c r="H6407" s="41">
        <v>23.826529999999998</v>
      </c>
      <c r="I6407" s="221"/>
      <c r="J6407" s="221"/>
    </row>
    <row r="6408" spans="1:10" s="15" customFormat="1" ht="16.5" hidden="1" customHeight="1" outlineLevel="1" x14ac:dyDescent="0.25">
      <c r="A6408" s="18">
        <v>2337</v>
      </c>
      <c r="B6408" s="4" t="s">
        <v>43</v>
      </c>
      <c r="C6408" s="38" t="s">
        <v>4513</v>
      </c>
      <c r="D6408" s="18">
        <v>2022</v>
      </c>
      <c r="E6408" s="18" t="s">
        <v>0</v>
      </c>
      <c r="F6408" s="4">
        <v>1</v>
      </c>
      <c r="G6408" s="41">
        <v>7</v>
      </c>
      <c r="H6408" s="41">
        <v>22.089559999999999</v>
      </c>
      <c r="I6408" s="221"/>
      <c r="J6408" s="221"/>
    </row>
    <row r="6409" spans="1:10" s="15" customFormat="1" ht="16.5" hidden="1" customHeight="1" outlineLevel="1" x14ac:dyDescent="0.25">
      <c r="A6409" s="18">
        <v>2343</v>
      </c>
      <c r="B6409" s="4" t="s">
        <v>43</v>
      </c>
      <c r="C6409" s="38" t="s">
        <v>4514</v>
      </c>
      <c r="D6409" s="18">
        <v>2022</v>
      </c>
      <c r="E6409" s="18" t="s">
        <v>0</v>
      </c>
      <c r="F6409" s="4">
        <v>1</v>
      </c>
      <c r="G6409" s="41">
        <v>15</v>
      </c>
      <c r="H6409" s="41">
        <v>26.805479999999999</v>
      </c>
      <c r="I6409" s="221"/>
      <c r="J6409" s="221"/>
    </row>
    <row r="6410" spans="1:10" s="15" customFormat="1" ht="16.5" hidden="1" customHeight="1" outlineLevel="1" x14ac:dyDescent="0.25">
      <c r="A6410" s="18">
        <v>2387</v>
      </c>
      <c r="B6410" s="4" t="s">
        <v>43</v>
      </c>
      <c r="C6410" s="38" t="s">
        <v>4515</v>
      </c>
      <c r="D6410" s="18">
        <v>2022</v>
      </c>
      <c r="E6410" s="18" t="s">
        <v>0</v>
      </c>
      <c r="F6410" s="4">
        <v>1</v>
      </c>
      <c r="G6410" s="41">
        <v>15</v>
      </c>
      <c r="H6410" s="41">
        <v>18.30199</v>
      </c>
      <c r="I6410" s="221"/>
      <c r="J6410" s="221"/>
    </row>
    <row r="6411" spans="1:10" s="15" customFormat="1" ht="16.5" hidden="1" customHeight="1" outlineLevel="1" x14ac:dyDescent="0.25">
      <c r="A6411" s="18">
        <v>2388</v>
      </c>
      <c r="B6411" s="4" t="s">
        <v>43</v>
      </c>
      <c r="C6411" s="38" t="s">
        <v>4516</v>
      </c>
      <c r="D6411" s="18">
        <v>2022</v>
      </c>
      <c r="E6411" s="18" t="s">
        <v>0</v>
      </c>
      <c r="F6411" s="4">
        <v>1</v>
      </c>
      <c r="G6411" s="41">
        <v>15</v>
      </c>
      <c r="H6411" s="41">
        <v>16.564970000000002</v>
      </c>
      <c r="I6411" s="221"/>
      <c r="J6411" s="221"/>
    </row>
    <row r="6412" spans="1:10" s="15" customFormat="1" ht="16.5" hidden="1" customHeight="1" outlineLevel="1" x14ac:dyDescent="0.25">
      <c r="A6412" s="18">
        <v>2389</v>
      </c>
      <c r="B6412" s="4" t="s">
        <v>43</v>
      </c>
      <c r="C6412" s="38" t="s">
        <v>4517</v>
      </c>
      <c r="D6412" s="18">
        <v>2022</v>
      </c>
      <c r="E6412" s="18" t="s">
        <v>0</v>
      </c>
      <c r="F6412" s="4">
        <v>1</v>
      </c>
      <c r="G6412" s="41">
        <v>5</v>
      </c>
      <c r="H6412" s="41">
        <v>21.729560000000003</v>
      </c>
      <c r="I6412" s="221"/>
      <c r="J6412" s="221"/>
    </row>
    <row r="6413" spans="1:10" s="15" customFormat="1" ht="16.5" hidden="1" customHeight="1" outlineLevel="1" x14ac:dyDescent="0.25">
      <c r="A6413" s="18">
        <v>2392</v>
      </c>
      <c r="B6413" s="4" t="s">
        <v>43</v>
      </c>
      <c r="C6413" s="38" t="s">
        <v>4518</v>
      </c>
      <c r="D6413" s="18">
        <v>2022</v>
      </c>
      <c r="E6413" s="18" t="s">
        <v>0</v>
      </c>
      <c r="F6413" s="4">
        <v>1</v>
      </c>
      <c r="G6413" s="41">
        <v>15</v>
      </c>
      <c r="H6413" s="41">
        <v>16.84864</v>
      </c>
      <c r="I6413" s="221"/>
      <c r="J6413" s="221"/>
    </row>
    <row r="6414" spans="1:10" s="15" customFormat="1" ht="16.5" hidden="1" customHeight="1" outlineLevel="1" x14ac:dyDescent="0.25">
      <c r="A6414" s="18">
        <v>2394</v>
      </c>
      <c r="B6414" s="4" t="s">
        <v>43</v>
      </c>
      <c r="C6414" s="38" t="s">
        <v>4519</v>
      </c>
      <c r="D6414" s="18">
        <v>2022</v>
      </c>
      <c r="E6414" s="18" t="s">
        <v>0</v>
      </c>
      <c r="F6414" s="4">
        <v>1</v>
      </c>
      <c r="G6414" s="41">
        <v>15</v>
      </c>
      <c r="H6414" s="41">
        <v>16.479729999999996</v>
      </c>
      <c r="I6414" s="221"/>
      <c r="J6414" s="221"/>
    </row>
    <row r="6415" spans="1:10" s="15" customFormat="1" ht="16.5" hidden="1" customHeight="1" outlineLevel="1" x14ac:dyDescent="0.25">
      <c r="A6415" s="18">
        <v>2396</v>
      </c>
      <c r="B6415" s="4" t="s">
        <v>43</v>
      </c>
      <c r="C6415" s="38" t="s">
        <v>4520</v>
      </c>
      <c r="D6415" s="18">
        <v>2022</v>
      </c>
      <c r="E6415" s="18" t="s">
        <v>0</v>
      </c>
      <c r="F6415" s="4">
        <v>1</v>
      </c>
      <c r="G6415" s="41">
        <v>15</v>
      </c>
      <c r="H6415" s="41">
        <v>22.613669999999999</v>
      </c>
      <c r="I6415" s="221"/>
      <c r="J6415" s="221"/>
    </row>
    <row r="6416" spans="1:10" s="15" customFormat="1" ht="16.5" hidden="1" customHeight="1" outlineLevel="1" x14ac:dyDescent="0.25">
      <c r="A6416" s="18">
        <v>2429</v>
      </c>
      <c r="B6416" s="4" t="s">
        <v>43</v>
      </c>
      <c r="C6416" s="38" t="s">
        <v>3120</v>
      </c>
      <c r="D6416" s="18">
        <v>2022</v>
      </c>
      <c r="E6416" s="18" t="s">
        <v>0</v>
      </c>
      <c r="F6416" s="4">
        <v>1</v>
      </c>
      <c r="G6416" s="41">
        <v>12</v>
      </c>
      <c r="H6416" s="41">
        <v>194.70007000000001</v>
      </c>
      <c r="I6416" s="221"/>
      <c r="J6416" s="221"/>
    </row>
    <row r="6417" spans="1:10" s="15" customFormat="1" ht="16.5" hidden="1" customHeight="1" outlineLevel="1" x14ac:dyDescent="0.25">
      <c r="A6417" s="18">
        <v>2432</v>
      </c>
      <c r="B6417" s="4" t="s">
        <v>43</v>
      </c>
      <c r="C6417" s="38" t="s">
        <v>4521</v>
      </c>
      <c r="D6417" s="18">
        <v>2022</v>
      </c>
      <c r="E6417" s="18" t="s">
        <v>0</v>
      </c>
      <c r="F6417" s="4">
        <v>1</v>
      </c>
      <c r="G6417" s="41">
        <v>10</v>
      </c>
      <c r="H6417" s="41">
        <v>10.68075</v>
      </c>
      <c r="I6417" s="221"/>
      <c r="J6417" s="221"/>
    </row>
    <row r="6418" spans="1:10" s="15" customFormat="1" ht="16.5" hidden="1" customHeight="1" outlineLevel="1" x14ac:dyDescent="0.25">
      <c r="A6418" s="18">
        <v>2433</v>
      </c>
      <c r="B6418" s="4" t="s">
        <v>43</v>
      </c>
      <c r="C6418" s="38" t="s">
        <v>4522</v>
      </c>
      <c r="D6418" s="18">
        <v>2022</v>
      </c>
      <c r="E6418" s="18" t="s">
        <v>0</v>
      </c>
      <c r="F6418" s="4">
        <v>1</v>
      </c>
      <c r="G6418" s="41">
        <v>3</v>
      </c>
      <c r="H6418" s="41">
        <v>10.68075</v>
      </c>
      <c r="I6418" s="221"/>
      <c r="J6418" s="221"/>
    </row>
    <row r="6419" spans="1:10" s="15" customFormat="1" ht="16.5" hidden="1" customHeight="1" outlineLevel="1" x14ac:dyDescent="0.25">
      <c r="A6419" s="18">
        <v>2434</v>
      </c>
      <c r="B6419" s="4" t="s">
        <v>43</v>
      </c>
      <c r="C6419" s="38" t="s">
        <v>4523</v>
      </c>
      <c r="D6419" s="18">
        <v>2022</v>
      </c>
      <c r="E6419" s="18" t="s">
        <v>0</v>
      </c>
      <c r="F6419" s="4">
        <v>1</v>
      </c>
      <c r="G6419" s="41">
        <v>15</v>
      </c>
      <c r="H6419" s="41">
        <v>10.576779999999999</v>
      </c>
      <c r="I6419" s="221"/>
      <c r="J6419" s="221"/>
    </row>
    <row r="6420" spans="1:10" s="15" customFormat="1" ht="16.5" hidden="1" customHeight="1" outlineLevel="1" x14ac:dyDescent="0.25">
      <c r="A6420" s="18">
        <v>2435</v>
      </c>
      <c r="B6420" s="4" t="s">
        <v>43</v>
      </c>
      <c r="C6420" s="38" t="s">
        <v>4524</v>
      </c>
      <c r="D6420" s="18">
        <v>2022</v>
      </c>
      <c r="E6420" s="18" t="s">
        <v>0</v>
      </c>
      <c r="F6420" s="4">
        <v>1</v>
      </c>
      <c r="G6420" s="41">
        <v>10</v>
      </c>
      <c r="H6420" s="41">
        <v>10.576770000000002</v>
      </c>
      <c r="I6420" s="221"/>
      <c r="J6420" s="221"/>
    </row>
    <row r="6421" spans="1:10" s="15" customFormat="1" ht="16.5" hidden="1" customHeight="1" outlineLevel="1" x14ac:dyDescent="0.25">
      <c r="A6421" s="18">
        <v>2436</v>
      </c>
      <c r="B6421" s="4" t="s">
        <v>43</v>
      </c>
      <c r="C6421" s="38" t="s">
        <v>4525</v>
      </c>
      <c r="D6421" s="18">
        <v>2022</v>
      </c>
      <c r="E6421" s="18" t="s">
        <v>0</v>
      </c>
      <c r="F6421" s="4">
        <v>1</v>
      </c>
      <c r="G6421" s="41">
        <v>10</v>
      </c>
      <c r="H6421" s="41">
        <v>10.68074</v>
      </c>
      <c r="I6421" s="221"/>
      <c r="J6421" s="221"/>
    </row>
    <row r="6422" spans="1:10" s="15" customFormat="1" ht="16.5" hidden="1" customHeight="1" outlineLevel="1" x14ac:dyDescent="0.25">
      <c r="A6422" s="18">
        <v>2437</v>
      </c>
      <c r="B6422" s="4" t="s">
        <v>43</v>
      </c>
      <c r="C6422" s="38" t="s">
        <v>4526</v>
      </c>
      <c r="D6422" s="18">
        <v>2022</v>
      </c>
      <c r="E6422" s="18" t="s">
        <v>0</v>
      </c>
      <c r="F6422" s="4">
        <v>1</v>
      </c>
      <c r="G6422" s="41">
        <v>10</v>
      </c>
      <c r="H6422" s="41">
        <v>10.74691</v>
      </c>
      <c r="I6422" s="221"/>
      <c r="J6422" s="221"/>
    </row>
    <row r="6423" spans="1:10" s="15" customFormat="1" ht="16.5" hidden="1" customHeight="1" outlineLevel="1" x14ac:dyDescent="0.25">
      <c r="A6423" s="18">
        <v>2438</v>
      </c>
      <c r="B6423" s="4" t="s">
        <v>43</v>
      </c>
      <c r="C6423" s="38" t="s">
        <v>4527</v>
      </c>
      <c r="D6423" s="18">
        <v>2022</v>
      </c>
      <c r="E6423" s="18" t="s">
        <v>0</v>
      </c>
      <c r="F6423" s="4">
        <v>1</v>
      </c>
      <c r="G6423" s="41">
        <v>10</v>
      </c>
      <c r="H6423" s="41">
        <v>10.812989999999999</v>
      </c>
      <c r="I6423" s="221"/>
      <c r="J6423" s="221"/>
    </row>
    <row r="6424" spans="1:10" s="15" customFormat="1" ht="16.5" hidden="1" customHeight="1" outlineLevel="1" x14ac:dyDescent="0.25">
      <c r="A6424" s="18">
        <v>2439</v>
      </c>
      <c r="B6424" s="4" t="s">
        <v>43</v>
      </c>
      <c r="C6424" s="38" t="s">
        <v>4528</v>
      </c>
      <c r="D6424" s="18">
        <v>2022</v>
      </c>
      <c r="E6424" s="18" t="s">
        <v>0</v>
      </c>
      <c r="F6424" s="4">
        <v>1</v>
      </c>
      <c r="G6424" s="41">
        <v>10</v>
      </c>
      <c r="H6424" s="41">
        <v>10.292969999999999</v>
      </c>
      <c r="I6424" s="221"/>
      <c r="J6424" s="221"/>
    </row>
    <row r="6425" spans="1:10" s="15" customFormat="1" ht="16.5" hidden="1" customHeight="1" outlineLevel="1" x14ac:dyDescent="0.25">
      <c r="A6425" s="18">
        <v>1826</v>
      </c>
      <c r="B6425" s="4" t="s">
        <v>43</v>
      </c>
      <c r="C6425" s="38" t="s">
        <v>4529</v>
      </c>
      <c r="D6425" s="18">
        <v>2022</v>
      </c>
      <c r="E6425" s="18" t="s">
        <v>0</v>
      </c>
      <c r="F6425" s="4">
        <v>1</v>
      </c>
      <c r="G6425" s="41">
        <v>10</v>
      </c>
      <c r="H6425" s="41">
        <v>32.597150000000006</v>
      </c>
      <c r="I6425" s="221"/>
      <c r="J6425" s="221"/>
    </row>
    <row r="6426" spans="1:10" s="15" customFormat="1" ht="16.5" hidden="1" customHeight="1" outlineLevel="1" x14ac:dyDescent="0.25">
      <c r="A6426" s="18">
        <v>1828</v>
      </c>
      <c r="B6426" s="4" t="s">
        <v>43</v>
      </c>
      <c r="C6426" s="38" t="s">
        <v>4530</v>
      </c>
      <c r="D6426" s="18">
        <v>2022</v>
      </c>
      <c r="E6426" s="18" t="s">
        <v>0</v>
      </c>
      <c r="F6426" s="4">
        <v>1</v>
      </c>
      <c r="G6426" s="41">
        <v>10</v>
      </c>
      <c r="H6426" s="41">
        <v>32.597149999999999</v>
      </c>
      <c r="I6426" s="221"/>
      <c r="J6426" s="221"/>
    </row>
    <row r="6427" spans="1:10" s="15" customFormat="1" ht="16.5" hidden="1" customHeight="1" outlineLevel="1" x14ac:dyDescent="0.25">
      <c r="A6427" s="18">
        <v>1829</v>
      </c>
      <c r="B6427" s="4" t="s">
        <v>43</v>
      </c>
      <c r="C6427" s="38" t="s">
        <v>4531</v>
      </c>
      <c r="D6427" s="18">
        <v>2022</v>
      </c>
      <c r="E6427" s="18" t="s">
        <v>0</v>
      </c>
      <c r="F6427" s="4">
        <v>1</v>
      </c>
      <c r="G6427" s="41">
        <v>10</v>
      </c>
      <c r="H6427" s="41">
        <v>37.521799999999999</v>
      </c>
      <c r="I6427" s="221"/>
      <c r="J6427" s="221"/>
    </row>
    <row r="6428" spans="1:10" s="15" customFormat="1" ht="16.5" hidden="1" customHeight="1" outlineLevel="1" x14ac:dyDescent="0.25">
      <c r="A6428" s="18">
        <v>1885</v>
      </c>
      <c r="B6428" s="4" t="s">
        <v>43</v>
      </c>
      <c r="C6428" s="38" t="s">
        <v>4532</v>
      </c>
      <c r="D6428" s="18">
        <v>2022</v>
      </c>
      <c r="E6428" s="18" t="s">
        <v>0</v>
      </c>
      <c r="F6428" s="4">
        <v>1</v>
      </c>
      <c r="G6428" s="41">
        <v>8</v>
      </c>
      <c r="H6428" s="41">
        <v>23.750259999999997</v>
      </c>
      <c r="I6428" s="221"/>
      <c r="J6428" s="221"/>
    </row>
    <row r="6429" spans="1:10" s="15" customFormat="1" ht="16.5" hidden="1" customHeight="1" outlineLevel="1" x14ac:dyDescent="0.25">
      <c r="A6429" s="18">
        <v>1890</v>
      </c>
      <c r="B6429" s="4" t="s">
        <v>43</v>
      </c>
      <c r="C6429" s="38" t="s">
        <v>3031</v>
      </c>
      <c r="D6429" s="18">
        <v>2022</v>
      </c>
      <c r="E6429" s="18" t="s">
        <v>0</v>
      </c>
      <c r="F6429" s="4">
        <v>1</v>
      </c>
      <c r="G6429" s="41">
        <v>10</v>
      </c>
      <c r="H6429" s="41">
        <v>16.113700000000001</v>
      </c>
      <c r="I6429" s="221"/>
      <c r="J6429" s="221"/>
    </row>
    <row r="6430" spans="1:10" s="15" customFormat="1" ht="16.5" hidden="1" customHeight="1" outlineLevel="1" x14ac:dyDescent="0.25">
      <c r="A6430" s="18">
        <v>1899</v>
      </c>
      <c r="B6430" s="4" t="s">
        <v>43</v>
      </c>
      <c r="C6430" s="38" t="s">
        <v>4533</v>
      </c>
      <c r="D6430" s="18">
        <v>2022</v>
      </c>
      <c r="E6430" s="18" t="s">
        <v>0</v>
      </c>
      <c r="F6430" s="4">
        <v>1</v>
      </c>
      <c r="G6430" s="41">
        <v>10</v>
      </c>
      <c r="H6430" s="41">
        <v>23.431139999999999</v>
      </c>
      <c r="I6430" s="221"/>
      <c r="J6430" s="221"/>
    </row>
    <row r="6431" spans="1:10" s="15" customFormat="1" ht="16.5" hidden="1" customHeight="1" outlineLevel="1" x14ac:dyDescent="0.25">
      <c r="A6431" s="18">
        <v>1914</v>
      </c>
      <c r="B6431" s="4" t="s">
        <v>43</v>
      </c>
      <c r="C6431" s="38" t="s">
        <v>4534</v>
      </c>
      <c r="D6431" s="18">
        <v>2022</v>
      </c>
      <c r="E6431" s="18" t="s">
        <v>0</v>
      </c>
      <c r="F6431" s="4">
        <v>1</v>
      </c>
      <c r="G6431" s="41">
        <v>5</v>
      </c>
      <c r="H6431" s="41">
        <v>24.119599999999998</v>
      </c>
      <c r="I6431" s="221"/>
      <c r="J6431" s="221"/>
    </row>
    <row r="6432" spans="1:10" s="15" customFormat="1" ht="16.5" hidden="1" customHeight="1" outlineLevel="1" x14ac:dyDescent="0.25">
      <c r="A6432" s="18">
        <v>1919</v>
      </c>
      <c r="B6432" s="4" t="s">
        <v>43</v>
      </c>
      <c r="C6432" s="38" t="s">
        <v>4535</v>
      </c>
      <c r="D6432" s="18">
        <v>2022</v>
      </c>
      <c r="E6432" s="18" t="s">
        <v>0</v>
      </c>
      <c r="F6432" s="4">
        <v>1</v>
      </c>
      <c r="G6432" s="41">
        <v>10</v>
      </c>
      <c r="H6432" s="41">
        <v>23.750240000000002</v>
      </c>
      <c r="I6432" s="221"/>
      <c r="J6432" s="221"/>
    </row>
    <row r="6433" spans="1:10" s="15" customFormat="1" ht="16.5" hidden="1" customHeight="1" outlineLevel="1" x14ac:dyDescent="0.25">
      <c r="A6433" s="18">
        <v>1930</v>
      </c>
      <c r="B6433" s="4" t="s">
        <v>43</v>
      </c>
      <c r="C6433" s="38" t="s">
        <v>4536</v>
      </c>
      <c r="D6433" s="18">
        <v>2022</v>
      </c>
      <c r="E6433" s="18" t="s">
        <v>0</v>
      </c>
      <c r="F6433" s="4">
        <v>1</v>
      </c>
      <c r="G6433" s="41">
        <v>15</v>
      </c>
      <c r="H6433" s="41">
        <v>23.750250000000001</v>
      </c>
      <c r="I6433" s="221"/>
      <c r="J6433" s="221"/>
    </row>
    <row r="6434" spans="1:10" s="15" customFormat="1" ht="16.5" hidden="1" customHeight="1" outlineLevel="1" x14ac:dyDescent="0.25">
      <c r="A6434" s="18">
        <v>1934</v>
      </c>
      <c r="B6434" s="4" t="s">
        <v>43</v>
      </c>
      <c r="C6434" s="38" t="s">
        <v>4537</v>
      </c>
      <c r="D6434" s="18">
        <v>2022</v>
      </c>
      <c r="E6434" s="18" t="s">
        <v>0</v>
      </c>
      <c r="F6434" s="4">
        <v>1</v>
      </c>
      <c r="G6434" s="41">
        <v>5</v>
      </c>
      <c r="H6434" s="41">
        <v>23.750270000000004</v>
      </c>
      <c r="I6434" s="221"/>
      <c r="J6434" s="221"/>
    </row>
    <row r="6435" spans="1:10" s="15" customFormat="1" ht="16.5" hidden="1" customHeight="1" outlineLevel="1" x14ac:dyDescent="0.25">
      <c r="A6435" s="18">
        <v>1958</v>
      </c>
      <c r="B6435" s="4" t="s">
        <v>43</v>
      </c>
      <c r="C6435" s="38" t="s">
        <v>4538</v>
      </c>
      <c r="D6435" s="18">
        <v>2022</v>
      </c>
      <c r="E6435" s="18" t="s">
        <v>0</v>
      </c>
      <c r="F6435" s="4">
        <v>1</v>
      </c>
      <c r="G6435" s="41">
        <v>10</v>
      </c>
      <c r="H6435" s="41">
        <v>23.858000000000004</v>
      </c>
      <c r="I6435" s="221"/>
      <c r="J6435" s="221"/>
    </row>
    <row r="6436" spans="1:10" s="15" customFormat="1" ht="16.5" hidden="1" customHeight="1" outlineLevel="1" x14ac:dyDescent="0.25">
      <c r="A6436" s="18">
        <v>1963</v>
      </c>
      <c r="B6436" s="4" t="s">
        <v>43</v>
      </c>
      <c r="C6436" s="38" t="s">
        <v>4539</v>
      </c>
      <c r="D6436" s="18">
        <v>2022</v>
      </c>
      <c r="E6436" s="18" t="s">
        <v>0</v>
      </c>
      <c r="F6436" s="4">
        <v>1</v>
      </c>
      <c r="G6436" s="41">
        <v>10</v>
      </c>
      <c r="H6436" s="41">
        <v>24.462060000000001</v>
      </c>
      <c r="I6436" s="221"/>
      <c r="J6436" s="221"/>
    </row>
    <row r="6437" spans="1:10" s="15" customFormat="1" ht="16.5" hidden="1" customHeight="1" outlineLevel="1" x14ac:dyDescent="0.25">
      <c r="A6437" s="18">
        <v>1964</v>
      </c>
      <c r="B6437" s="4" t="s">
        <v>43</v>
      </c>
      <c r="C6437" s="38" t="s">
        <v>4540</v>
      </c>
      <c r="D6437" s="18">
        <v>2022</v>
      </c>
      <c r="E6437" s="18" t="s">
        <v>0</v>
      </c>
      <c r="F6437" s="4">
        <v>1</v>
      </c>
      <c r="G6437" s="41">
        <v>10</v>
      </c>
      <c r="H6437" s="41">
        <v>24.462060000000001</v>
      </c>
      <c r="I6437" s="221"/>
      <c r="J6437" s="221"/>
    </row>
    <row r="6438" spans="1:10" s="15" customFormat="1" ht="16.5" hidden="1" customHeight="1" outlineLevel="1" x14ac:dyDescent="0.25">
      <c r="A6438" s="18">
        <v>1965</v>
      </c>
      <c r="B6438" s="4" t="s">
        <v>43</v>
      </c>
      <c r="C6438" s="38" t="s">
        <v>4541</v>
      </c>
      <c r="D6438" s="18">
        <v>2022</v>
      </c>
      <c r="E6438" s="18" t="s">
        <v>0</v>
      </c>
      <c r="F6438" s="4">
        <v>1</v>
      </c>
      <c r="G6438" s="41">
        <v>10</v>
      </c>
      <c r="H6438" s="41">
        <v>24.507110000000001</v>
      </c>
      <c r="I6438" s="221"/>
      <c r="J6438" s="221"/>
    </row>
    <row r="6439" spans="1:10" s="15" customFormat="1" ht="16.5" hidden="1" customHeight="1" outlineLevel="1" x14ac:dyDescent="0.25">
      <c r="A6439" s="18">
        <v>1985</v>
      </c>
      <c r="B6439" s="4" t="s">
        <v>43</v>
      </c>
      <c r="C6439" s="38" t="s">
        <v>4542</v>
      </c>
      <c r="D6439" s="18">
        <v>2022</v>
      </c>
      <c r="E6439" s="18" t="s">
        <v>0</v>
      </c>
      <c r="F6439" s="4">
        <v>1</v>
      </c>
      <c r="G6439" s="41">
        <v>10</v>
      </c>
      <c r="H6439" s="41">
        <v>23.846320000000002</v>
      </c>
      <c r="I6439" s="221"/>
      <c r="J6439" s="221"/>
    </row>
    <row r="6440" spans="1:10" s="15" customFormat="1" ht="16.5" hidden="1" customHeight="1" outlineLevel="1" x14ac:dyDescent="0.25">
      <c r="A6440" s="18">
        <v>1987</v>
      </c>
      <c r="B6440" s="4" t="s">
        <v>43</v>
      </c>
      <c r="C6440" s="38" t="s">
        <v>4543</v>
      </c>
      <c r="D6440" s="18">
        <v>2022</v>
      </c>
      <c r="E6440" s="18" t="s">
        <v>0</v>
      </c>
      <c r="F6440" s="4">
        <v>1</v>
      </c>
      <c r="G6440" s="41">
        <v>10</v>
      </c>
      <c r="H6440" s="41">
        <v>23.846440000000001</v>
      </c>
      <c r="I6440" s="221"/>
      <c r="J6440" s="221"/>
    </row>
    <row r="6441" spans="1:10" s="15" customFormat="1" ht="16.5" hidden="1" customHeight="1" outlineLevel="1" x14ac:dyDescent="0.25">
      <c r="A6441" s="18">
        <v>2016</v>
      </c>
      <c r="B6441" s="4" t="s">
        <v>43</v>
      </c>
      <c r="C6441" s="38" t="s">
        <v>4544</v>
      </c>
      <c r="D6441" s="18">
        <v>2022</v>
      </c>
      <c r="E6441" s="18" t="s">
        <v>0</v>
      </c>
      <c r="F6441" s="4">
        <v>1</v>
      </c>
      <c r="G6441" s="41">
        <v>12</v>
      </c>
      <c r="H6441" s="41">
        <v>24.462060000000001</v>
      </c>
      <c r="I6441" s="221"/>
      <c r="J6441" s="221"/>
    </row>
    <row r="6442" spans="1:10" s="15" customFormat="1" ht="16.5" hidden="1" customHeight="1" outlineLevel="1" x14ac:dyDescent="0.25">
      <c r="A6442" s="18">
        <v>2050</v>
      </c>
      <c r="B6442" s="4" t="s">
        <v>43</v>
      </c>
      <c r="C6442" s="38" t="s">
        <v>4545</v>
      </c>
      <c r="D6442" s="18">
        <v>2022</v>
      </c>
      <c r="E6442" s="18" t="s">
        <v>0</v>
      </c>
      <c r="F6442" s="4">
        <v>1</v>
      </c>
      <c r="G6442" s="41">
        <v>16</v>
      </c>
      <c r="H6442" s="41">
        <v>49.497550000000004</v>
      </c>
      <c r="I6442" s="221"/>
      <c r="J6442" s="221"/>
    </row>
    <row r="6443" spans="1:10" s="15" customFormat="1" ht="16.5" hidden="1" customHeight="1" outlineLevel="1" x14ac:dyDescent="0.25">
      <c r="A6443" s="18">
        <v>2051</v>
      </c>
      <c r="B6443" s="4" t="s">
        <v>43</v>
      </c>
      <c r="C6443" s="38" t="s">
        <v>4546</v>
      </c>
      <c r="D6443" s="18">
        <v>2022</v>
      </c>
      <c r="E6443" s="18" t="s">
        <v>0</v>
      </c>
      <c r="F6443" s="4">
        <v>1</v>
      </c>
      <c r="G6443" s="41">
        <v>12</v>
      </c>
      <c r="H6443" s="41">
        <v>23.891490000000001</v>
      </c>
      <c r="I6443" s="221"/>
      <c r="J6443" s="221"/>
    </row>
    <row r="6444" spans="1:10" s="15" customFormat="1" ht="16.5" hidden="1" customHeight="1" outlineLevel="1" x14ac:dyDescent="0.25">
      <c r="A6444" s="18">
        <v>2055</v>
      </c>
      <c r="B6444" s="4" t="s">
        <v>43</v>
      </c>
      <c r="C6444" s="38" t="s">
        <v>4547</v>
      </c>
      <c r="D6444" s="18">
        <v>2022</v>
      </c>
      <c r="E6444" s="18" t="s">
        <v>0</v>
      </c>
      <c r="F6444" s="4">
        <v>1</v>
      </c>
      <c r="G6444" s="41">
        <v>15</v>
      </c>
      <c r="H6444" s="41">
        <v>30.002269999999999</v>
      </c>
      <c r="I6444" s="221"/>
      <c r="J6444" s="221"/>
    </row>
    <row r="6445" spans="1:10" s="15" customFormat="1" ht="16.5" hidden="1" customHeight="1" outlineLevel="1" x14ac:dyDescent="0.25">
      <c r="A6445" s="18">
        <v>2061</v>
      </c>
      <c r="B6445" s="4" t="s">
        <v>43</v>
      </c>
      <c r="C6445" s="38" t="s">
        <v>3033</v>
      </c>
      <c r="D6445" s="18">
        <v>2022</v>
      </c>
      <c r="E6445" s="18" t="s">
        <v>0</v>
      </c>
      <c r="F6445" s="4">
        <v>1</v>
      </c>
      <c r="G6445" s="41">
        <v>10</v>
      </c>
      <c r="H6445" s="41">
        <v>26.020000000000003</v>
      </c>
      <c r="I6445" s="221"/>
      <c r="J6445" s="221"/>
    </row>
    <row r="6446" spans="1:10" s="15" customFormat="1" ht="16.5" hidden="1" customHeight="1" outlineLevel="1" x14ac:dyDescent="0.25">
      <c r="A6446" s="18">
        <v>2101</v>
      </c>
      <c r="B6446" s="4" t="s">
        <v>43</v>
      </c>
      <c r="C6446" s="38" t="s">
        <v>4548</v>
      </c>
      <c r="D6446" s="18">
        <v>2022</v>
      </c>
      <c r="E6446" s="18" t="s">
        <v>0</v>
      </c>
      <c r="F6446" s="4">
        <v>1</v>
      </c>
      <c r="G6446" s="41">
        <v>3</v>
      </c>
      <c r="H6446" s="41">
        <v>24.536040000000003</v>
      </c>
      <c r="I6446" s="221"/>
      <c r="J6446" s="221"/>
    </row>
    <row r="6447" spans="1:10" s="15" customFormat="1" ht="16.5" hidden="1" customHeight="1" outlineLevel="1" x14ac:dyDescent="0.25">
      <c r="A6447" s="18">
        <v>2102</v>
      </c>
      <c r="B6447" s="4" t="s">
        <v>43</v>
      </c>
      <c r="C6447" s="38" t="s">
        <v>4549</v>
      </c>
      <c r="D6447" s="18">
        <v>2022</v>
      </c>
      <c r="E6447" s="18" t="s">
        <v>0</v>
      </c>
      <c r="F6447" s="4">
        <v>1</v>
      </c>
      <c r="G6447" s="41">
        <v>10</v>
      </c>
      <c r="H6447" s="41">
        <v>24.536020000000001</v>
      </c>
      <c r="I6447" s="221"/>
      <c r="J6447" s="221"/>
    </row>
    <row r="6448" spans="1:10" s="15" customFormat="1" ht="16.5" hidden="1" customHeight="1" outlineLevel="1" x14ac:dyDescent="0.25">
      <c r="A6448" s="18">
        <v>2147</v>
      </c>
      <c r="B6448" s="4" t="s">
        <v>43</v>
      </c>
      <c r="C6448" s="38" t="s">
        <v>4550</v>
      </c>
      <c r="D6448" s="18">
        <v>2022</v>
      </c>
      <c r="E6448" s="18" t="s">
        <v>0</v>
      </c>
      <c r="F6448" s="4">
        <v>1</v>
      </c>
      <c r="G6448" s="41">
        <v>12</v>
      </c>
      <c r="H6448" s="41">
        <v>23.324300000000001</v>
      </c>
      <c r="I6448" s="221"/>
      <c r="J6448" s="221"/>
    </row>
    <row r="6449" spans="1:10" s="15" customFormat="1" ht="16.5" hidden="1" customHeight="1" outlineLevel="1" x14ac:dyDescent="0.25">
      <c r="A6449" s="18">
        <v>2254</v>
      </c>
      <c r="B6449" s="4" t="s">
        <v>43</v>
      </c>
      <c r="C6449" s="38" t="s">
        <v>3037</v>
      </c>
      <c r="D6449" s="18">
        <v>2022</v>
      </c>
      <c r="E6449" s="18" t="s">
        <v>0</v>
      </c>
      <c r="F6449" s="4">
        <v>1</v>
      </c>
      <c r="G6449" s="41">
        <v>15</v>
      </c>
      <c r="H6449" s="41">
        <v>20.892330000000001</v>
      </c>
      <c r="I6449" s="221"/>
      <c r="J6449" s="221"/>
    </row>
    <row r="6450" spans="1:10" s="15" customFormat="1" ht="16.5" hidden="1" customHeight="1" outlineLevel="1" x14ac:dyDescent="0.25">
      <c r="A6450" s="18">
        <v>2330</v>
      </c>
      <c r="B6450" s="4" t="s">
        <v>43</v>
      </c>
      <c r="C6450" s="38" t="s">
        <v>4551</v>
      </c>
      <c r="D6450" s="18">
        <v>2022</v>
      </c>
      <c r="E6450" s="18" t="s">
        <v>0</v>
      </c>
      <c r="F6450" s="4">
        <v>1</v>
      </c>
      <c r="G6450" s="41">
        <v>15</v>
      </c>
      <c r="H6450" s="41">
        <v>27.68281</v>
      </c>
      <c r="I6450" s="221"/>
      <c r="J6450" s="221"/>
    </row>
    <row r="6451" spans="1:10" s="15" customFormat="1" ht="16.5" hidden="1" customHeight="1" outlineLevel="1" x14ac:dyDescent="0.25">
      <c r="A6451" s="18">
        <v>2358</v>
      </c>
      <c r="B6451" s="4" t="s">
        <v>43</v>
      </c>
      <c r="C6451" s="38" t="s">
        <v>4552</v>
      </c>
      <c r="D6451" s="18">
        <v>2022</v>
      </c>
      <c r="E6451" s="18" t="s">
        <v>0</v>
      </c>
      <c r="F6451" s="4">
        <v>1</v>
      </c>
      <c r="G6451" s="41">
        <v>5</v>
      </c>
      <c r="H6451" s="41">
        <v>25.959220000000002</v>
      </c>
      <c r="I6451" s="221"/>
      <c r="J6451" s="221"/>
    </row>
    <row r="6452" spans="1:10" s="15" customFormat="1" ht="16.5" hidden="1" customHeight="1" outlineLevel="1" x14ac:dyDescent="0.25">
      <c r="A6452" s="18">
        <v>2359</v>
      </c>
      <c r="B6452" s="4" t="s">
        <v>43</v>
      </c>
      <c r="C6452" s="38" t="s">
        <v>4553</v>
      </c>
      <c r="D6452" s="18">
        <v>2022</v>
      </c>
      <c r="E6452" s="18" t="s">
        <v>0</v>
      </c>
      <c r="F6452" s="4">
        <v>1</v>
      </c>
      <c r="G6452" s="41">
        <v>3</v>
      </c>
      <c r="H6452" s="41">
        <v>28.085570000000001</v>
      </c>
      <c r="I6452" s="221"/>
      <c r="J6452" s="221"/>
    </row>
    <row r="6453" spans="1:10" s="15" customFormat="1" ht="16.5" hidden="1" customHeight="1" outlineLevel="1" x14ac:dyDescent="0.25">
      <c r="A6453" s="18">
        <v>2402</v>
      </c>
      <c r="B6453" s="4" t="s">
        <v>43</v>
      </c>
      <c r="C6453" s="38" t="s">
        <v>4554</v>
      </c>
      <c r="D6453" s="18">
        <v>2022</v>
      </c>
      <c r="E6453" s="18" t="s">
        <v>0</v>
      </c>
      <c r="F6453" s="4">
        <v>1</v>
      </c>
      <c r="G6453" s="41">
        <v>10</v>
      </c>
      <c r="H6453" s="41">
        <v>19.49532</v>
      </c>
      <c r="I6453" s="221"/>
      <c r="J6453" s="221"/>
    </row>
    <row r="6454" spans="1:10" s="15" customFormat="1" ht="16.5" hidden="1" customHeight="1" outlineLevel="1" x14ac:dyDescent="0.25">
      <c r="A6454" s="18">
        <v>2480</v>
      </c>
      <c r="B6454" s="4" t="s">
        <v>43</v>
      </c>
      <c r="C6454" s="38" t="s">
        <v>4555</v>
      </c>
      <c r="D6454" s="18">
        <v>2022</v>
      </c>
      <c r="E6454" s="18" t="s">
        <v>0</v>
      </c>
      <c r="F6454" s="4">
        <v>1</v>
      </c>
      <c r="G6454" s="41">
        <v>3</v>
      </c>
      <c r="H6454" s="41">
        <v>11.504390000000001</v>
      </c>
      <c r="I6454" s="221"/>
      <c r="J6454" s="221"/>
    </row>
    <row r="6455" spans="1:10" s="15" customFormat="1" ht="16.5" hidden="1" customHeight="1" outlineLevel="1" x14ac:dyDescent="0.25">
      <c r="A6455" s="18">
        <v>2481</v>
      </c>
      <c r="B6455" s="4" t="s">
        <v>43</v>
      </c>
      <c r="C6455" s="38" t="s">
        <v>4556</v>
      </c>
      <c r="D6455" s="18">
        <v>2022</v>
      </c>
      <c r="E6455" s="18" t="s">
        <v>0</v>
      </c>
      <c r="F6455" s="4">
        <v>1</v>
      </c>
      <c r="G6455" s="41">
        <v>10</v>
      </c>
      <c r="H6455" s="41">
        <v>11.916329999999999</v>
      </c>
      <c r="I6455" s="221"/>
      <c r="J6455" s="221"/>
    </row>
    <row r="6456" spans="1:10" s="15" customFormat="1" ht="16.5" hidden="1" customHeight="1" outlineLevel="1" x14ac:dyDescent="0.25">
      <c r="A6456" s="18">
        <v>2482</v>
      </c>
      <c r="B6456" s="4" t="s">
        <v>43</v>
      </c>
      <c r="C6456" s="38" t="s">
        <v>4557</v>
      </c>
      <c r="D6456" s="18">
        <v>2022</v>
      </c>
      <c r="E6456" s="18" t="s">
        <v>0</v>
      </c>
      <c r="F6456" s="4">
        <v>1</v>
      </c>
      <c r="G6456" s="41">
        <v>7</v>
      </c>
      <c r="H6456" s="41">
        <v>12.197229999999999</v>
      </c>
      <c r="I6456" s="221"/>
      <c r="J6456" s="221"/>
    </row>
    <row r="6457" spans="1:10" s="15" customFormat="1" ht="16.5" hidden="1" customHeight="1" outlineLevel="1" x14ac:dyDescent="0.25">
      <c r="A6457" s="18">
        <v>2483</v>
      </c>
      <c r="B6457" s="4" t="s">
        <v>43</v>
      </c>
      <c r="C6457" s="38" t="s">
        <v>4558</v>
      </c>
      <c r="D6457" s="18">
        <v>2022</v>
      </c>
      <c r="E6457" s="18" t="s">
        <v>0</v>
      </c>
      <c r="F6457" s="4">
        <v>1</v>
      </c>
      <c r="G6457" s="41">
        <v>7</v>
      </c>
      <c r="H6457" s="41">
        <v>12.197229999999999</v>
      </c>
      <c r="I6457" s="221"/>
      <c r="J6457" s="221"/>
    </row>
    <row r="6458" spans="1:10" s="15" customFormat="1" ht="16.5" hidden="1" customHeight="1" outlineLevel="1" x14ac:dyDescent="0.25">
      <c r="A6458" s="18">
        <v>2484</v>
      </c>
      <c r="B6458" s="4" t="s">
        <v>43</v>
      </c>
      <c r="C6458" s="38" t="s">
        <v>4559</v>
      </c>
      <c r="D6458" s="18">
        <v>2022</v>
      </c>
      <c r="E6458" s="18" t="s">
        <v>0</v>
      </c>
      <c r="F6458" s="4">
        <v>1</v>
      </c>
      <c r="G6458" s="41">
        <v>10</v>
      </c>
      <c r="H6458" s="41">
        <v>11.63552</v>
      </c>
      <c r="I6458" s="221"/>
      <c r="J6458" s="221"/>
    </row>
    <row r="6459" spans="1:10" s="15" customFormat="1" ht="16.5" hidden="1" customHeight="1" outlineLevel="1" x14ac:dyDescent="0.25">
      <c r="A6459" s="18">
        <v>2486</v>
      </c>
      <c r="B6459" s="4" t="s">
        <v>43</v>
      </c>
      <c r="C6459" s="38" t="s">
        <v>4560</v>
      </c>
      <c r="D6459" s="18">
        <v>2022</v>
      </c>
      <c r="E6459" s="18" t="s">
        <v>0</v>
      </c>
      <c r="F6459" s="4">
        <v>1</v>
      </c>
      <c r="G6459" s="41">
        <v>10</v>
      </c>
      <c r="H6459" s="41">
        <v>11.916319999999999</v>
      </c>
      <c r="I6459" s="221"/>
      <c r="J6459" s="221"/>
    </row>
    <row r="6460" spans="1:10" s="15" customFormat="1" ht="16.5" hidden="1" customHeight="1" outlineLevel="1" x14ac:dyDescent="0.25">
      <c r="A6460" s="18">
        <v>2488</v>
      </c>
      <c r="B6460" s="4" t="s">
        <v>43</v>
      </c>
      <c r="C6460" s="38" t="s">
        <v>4561</v>
      </c>
      <c r="D6460" s="18">
        <v>2022</v>
      </c>
      <c r="E6460" s="18" t="s">
        <v>0</v>
      </c>
      <c r="F6460" s="4">
        <v>1</v>
      </c>
      <c r="G6460" s="41">
        <v>15</v>
      </c>
      <c r="H6460" s="41">
        <v>11.916329999999999</v>
      </c>
      <c r="I6460" s="221"/>
      <c r="J6460" s="221"/>
    </row>
    <row r="6461" spans="1:10" s="15" customFormat="1" ht="16.5" hidden="1" customHeight="1" outlineLevel="1" x14ac:dyDescent="0.25">
      <c r="A6461" s="18">
        <v>2489</v>
      </c>
      <c r="B6461" s="4" t="s">
        <v>43</v>
      </c>
      <c r="C6461" s="38" t="s">
        <v>4562</v>
      </c>
      <c r="D6461" s="18">
        <v>2022</v>
      </c>
      <c r="E6461" s="18" t="s">
        <v>0</v>
      </c>
      <c r="F6461" s="4">
        <v>1</v>
      </c>
      <c r="G6461" s="41">
        <v>10</v>
      </c>
      <c r="H6461" s="41">
        <v>11.86748</v>
      </c>
      <c r="I6461" s="221"/>
      <c r="J6461" s="221"/>
    </row>
    <row r="6462" spans="1:10" s="15" customFormat="1" ht="16.5" hidden="1" customHeight="1" outlineLevel="1" x14ac:dyDescent="0.25">
      <c r="A6462" s="18">
        <v>2490</v>
      </c>
      <c r="B6462" s="4" t="s">
        <v>43</v>
      </c>
      <c r="C6462" s="38" t="s">
        <v>4563</v>
      </c>
      <c r="D6462" s="18">
        <v>2022</v>
      </c>
      <c r="E6462" s="18" t="s">
        <v>0</v>
      </c>
      <c r="F6462" s="4">
        <v>1</v>
      </c>
      <c r="G6462" s="41">
        <v>15</v>
      </c>
      <c r="H6462" s="41">
        <v>11.916319999999999</v>
      </c>
      <c r="I6462" s="221"/>
      <c r="J6462" s="221"/>
    </row>
    <row r="6463" spans="1:10" s="15" customFormat="1" ht="16.5" hidden="1" customHeight="1" outlineLevel="1" x14ac:dyDescent="0.25">
      <c r="A6463" s="18">
        <v>2491</v>
      </c>
      <c r="B6463" s="4" t="s">
        <v>43</v>
      </c>
      <c r="C6463" s="38" t="s">
        <v>4564</v>
      </c>
      <c r="D6463" s="18">
        <v>2022</v>
      </c>
      <c r="E6463" s="18" t="s">
        <v>0</v>
      </c>
      <c r="F6463" s="4">
        <v>1</v>
      </c>
      <c r="G6463" s="41">
        <v>0.5</v>
      </c>
      <c r="H6463" s="41">
        <v>11.70593</v>
      </c>
      <c r="I6463" s="221"/>
      <c r="J6463" s="221"/>
    </row>
    <row r="6464" spans="1:10" s="15" customFormat="1" ht="16.5" hidden="1" customHeight="1" outlineLevel="1" x14ac:dyDescent="0.25">
      <c r="A6464" s="18">
        <v>2494</v>
      </c>
      <c r="B6464" s="4" t="s">
        <v>43</v>
      </c>
      <c r="C6464" s="38" t="s">
        <v>4565</v>
      </c>
      <c r="D6464" s="18">
        <v>2022</v>
      </c>
      <c r="E6464" s="18" t="s">
        <v>0</v>
      </c>
      <c r="F6464" s="4">
        <v>1</v>
      </c>
      <c r="G6464" s="41">
        <v>10</v>
      </c>
      <c r="H6464" s="41">
        <v>16.550750000000001</v>
      </c>
      <c r="I6464" s="221"/>
      <c r="J6464" s="221"/>
    </row>
    <row r="6465" spans="1:10" s="15" customFormat="1" ht="16.5" hidden="1" customHeight="1" outlineLevel="1" x14ac:dyDescent="0.25">
      <c r="A6465" s="18">
        <v>2495</v>
      </c>
      <c r="B6465" s="4" t="s">
        <v>43</v>
      </c>
      <c r="C6465" s="38" t="s">
        <v>4566</v>
      </c>
      <c r="D6465" s="18">
        <v>2022</v>
      </c>
      <c r="E6465" s="18" t="s">
        <v>0</v>
      </c>
      <c r="F6465" s="4">
        <v>1</v>
      </c>
      <c r="G6465" s="41">
        <v>10</v>
      </c>
      <c r="H6465" s="41">
        <v>11.354620000000001</v>
      </c>
      <c r="I6465" s="221"/>
      <c r="J6465" s="221"/>
    </row>
    <row r="6466" spans="1:10" s="15" customFormat="1" ht="16.5" hidden="1" customHeight="1" outlineLevel="1" x14ac:dyDescent="0.25">
      <c r="A6466" s="18">
        <v>2498</v>
      </c>
      <c r="B6466" s="4" t="s">
        <v>43</v>
      </c>
      <c r="C6466" s="38" t="s">
        <v>4567</v>
      </c>
      <c r="D6466" s="18">
        <v>2022</v>
      </c>
      <c r="E6466" s="18" t="s">
        <v>0</v>
      </c>
      <c r="F6466" s="4">
        <v>1</v>
      </c>
      <c r="G6466" s="41">
        <v>10</v>
      </c>
      <c r="H6466" s="41">
        <v>13.742059999999999</v>
      </c>
      <c r="I6466" s="221"/>
      <c r="J6466" s="221"/>
    </row>
    <row r="6467" spans="1:10" s="15" customFormat="1" ht="16.5" hidden="1" customHeight="1" outlineLevel="1" x14ac:dyDescent="0.25">
      <c r="A6467" s="18">
        <v>2192</v>
      </c>
      <c r="B6467" s="4" t="s">
        <v>43</v>
      </c>
      <c r="C6467" s="38" t="s">
        <v>4568</v>
      </c>
      <c r="D6467" s="18">
        <v>2022</v>
      </c>
      <c r="E6467" s="18" t="s">
        <v>0</v>
      </c>
      <c r="F6467" s="4">
        <v>1</v>
      </c>
      <c r="G6467" s="41">
        <v>5</v>
      </c>
      <c r="H6467" s="41">
        <v>24.738499999999998</v>
      </c>
      <c r="I6467" s="221"/>
      <c r="J6467" s="221"/>
    </row>
    <row r="6468" spans="1:10" s="15" customFormat="1" ht="16.5" hidden="1" customHeight="1" outlineLevel="1" x14ac:dyDescent="0.25">
      <c r="A6468" s="18">
        <v>2197</v>
      </c>
      <c r="B6468" s="4" t="s">
        <v>43</v>
      </c>
      <c r="C6468" s="38" t="s">
        <v>4569</v>
      </c>
      <c r="D6468" s="18">
        <v>2022</v>
      </c>
      <c r="E6468" s="18" t="s">
        <v>0</v>
      </c>
      <c r="F6468" s="4">
        <v>1</v>
      </c>
      <c r="G6468" s="41">
        <v>10</v>
      </c>
      <c r="H6468" s="41">
        <v>16.402259999999998</v>
      </c>
      <c r="I6468" s="221"/>
      <c r="J6468" s="221"/>
    </row>
    <row r="6469" spans="1:10" s="15" customFormat="1" ht="16.5" hidden="1" customHeight="1" outlineLevel="1" x14ac:dyDescent="0.25">
      <c r="A6469" s="18">
        <v>2210</v>
      </c>
      <c r="B6469" s="4" t="s">
        <v>43</v>
      </c>
      <c r="C6469" s="38" t="s">
        <v>4570</v>
      </c>
      <c r="D6469" s="18">
        <v>2022</v>
      </c>
      <c r="E6469" s="18" t="s">
        <v>0</v>
      </c>
      <c r="F6469" s="4">
        <v>1</v>
      </c>
      <c r="G6469" s="41">
        <v>15</v>
      </c>
      <c r="H6469" s="41">
        <v>24.738479999999999</v>
      </c>
      <c r="I6469" s="221"/>
      <c r="J6469" s="221"/>
    </row>
    <row r="6470" spans="1:10" s="15" customFormat="1" ht="16.5" hidden="1" customHeight="1" outlineLevel="1" x14ac:dyDescent="0.25">
      <c r="A6470" s="18">
        <v>2211</v>
      </c>
      <c r="B6470" s="4" t="s">
        <v>43</v>
      </c>
      <c r="C6470" s="38" t="s">
        <v>4571</v>
      </c>
      <c r="D6470" s="18">
        <v>2022</v>
      </c>
      <c r="E6470" s="18" t="s">
        <v>0</v>
      </c>
      <c r="F6470" s="4">
        <v>1</v>
      </c>
      <c r="G6470" s="41">
        <v>5</v>
      </c>
      <c r="H6470" s="41">
        <v>24.738480000000003</v>
      </c>
      <c r="I6470" s="221"/>
      <c r="J6470" s="221"/>
    </row>
    <row r="6471" spans="1:10" s="15" customFormat="1" ht="16.5" hidden="1" customHeight="1" outlineLevel="1" x14ac:dyDescent="0.25">
      <c r="A6471" s="18">
        <v>2215</v>
      </c>
      <c r="B6471" s="4" t="s">
        <v>43</v>
      </c>
      <c r="C6471" s="38" t="s">
        <v>4572</v>
      </c>
      <c r="D6471" s="18">
        <v>2022</v>
      </c>
      <c r="E6471" s="18" t="s">
        <v>0</v>
      </c>
      <c r="F6471" s="4">
        <v>1</v>
      </c>
      <c r="G6471" s="41">
        <v>10</v>
      </c>
      <c r="H6471" s="41">
        <v>26.478580000000001</v>
      </c>
      <c r="I6471" s="221"/>
      <c r="J6471" s="221"/>
    </row>
    <row r="6472" spans="1:10" s="15" customFormat="1" ht="16.5" hidden="1" customHeight="1" outlineLevel="1" x14ac:dyDescent="0.25">
      <c r="A6472" s="18">
        <v>2250</v>
      </c>
      <c r="B6472" s="4" t="s">
        <v>43</v>
      </c>
      <c r="C6472" s="38" t="s">
        <v>3046</v>
      </c>
      <c r="D6472" s="18">
        <v>2022</v>
      </c>
      <c r="E6472" s="18" t="s">
        <v>0</v>
      </c>
      <c r="F6472" s="4">
        <v>1</v>
      </c>
      <c r="G6472" s="41">
        <v>10</v>
      </c>
      <c r="H6472" s="41">
        <v>20.187360000000002</v>
      </c>
      <c r="I6472" s="221"/>
      <c r="J6472" s="221"/>
    </row>
    <row r="6473" spans="1:10" s="15" customFormat="1" ht="16.5" hidden="1" customHeight="1" outlineLevel="1" x14ac:dyDescent="0.25">
      <c r="A6473" s="18">
        <v>2253</v>
      </c>
      <c r="B6473" s="4" t="s">
        <v>43</v>
      </c>
      <c r="C6473" s="38" t="s">
        <v>3047</v>
      </c>
      <c r="D6473" s="18">
        <v>2022</v>
      </c>
      <c r="E6473" s="18" t="s">
        <v>0</v>
      </c>
      <c r="F6473" s="4">
        <v>1</v>
      </c>
      <c r="G6473" s="41">
        <v>14</v>
      </c>
      <c r="H6473" s="41">
        <v>23.437920000000002</v>
      </c>
      <c r="I6473" s="221"/>
      <c r="J6473" s="221"/>
    </row>
    <row r="6474" spans="1:10" s="15" customFormat="1" ht="16.5" hidden="1" customHeight="1" outlineLevel="1" x14ac:dyDescent="0.25">
      <c r="A6474" s="18">
        <v>2258</v>
      </c>
      <c r="B6474" s="4" t="s">
        <v>43</v>
      </c>
      <c r="C6474" s="38" t="s">
        <v>4573</v>
      </c>
      <c r="D6474" s="18">
        <v>2022</v>
      </c>
      <c r="E6474" s="18" t="s">
        <v>0</v>
      </c>
      <c r="F6474" s="4">
        <v>1</v>
      </c>
      <c r="G6474" s="41">
        <v>10</v>
      </c>
      <c r="H6474" s="41">
        <v>25.76172</v>
      </c>
      <c r="I6474" s="221"/>
      <c r="J6474" s="221"/>
    </row>
    <row r="6475" spans="1:10" s="15" customFormat="1" ht="16.5" hidden="1" customHeight="1" outlineLevel="1" x14ac:dyDescent="0.25">
      <c r="A6475" s="18">
        <v>2264</v>
      </c>
      <c r="B6475" s="4" t="s">
        <v>43</v>
      </c>
      <c r="C6475" s="38" t="s">
        <v>4574</v>
      </c>
      <c r="D6475" s="18">
        <v>2022</v>
      </c>
      <c r="E6475" s="18" t="s">
        <v>0</v>
      </c>
      <c r="F6475" s="4">
        <v>1</v>
      </c>
      <c r="G6475" s="41">
        <v>5</v>
      </c>
      <c r="H6475" s="41">
        <v>24.738499999999998</v>
      </c>
      <c r="I6475" s="221"/>
      <c r="J6475" s="221"/>
    </row>
    <row r="6476" spans="1:10" s="15" customFormat="1" ht="16.5" hidden="1" customHeight="1" outlineLevel="1" x14ac:dyDescent="0.25">
      <c r="A6476" s="18">
        <v>2269</v>
      </c>
      <c r="B6476" s="4" t="s">
        <v>43</v>
      </c>
      <c r="C6476" s="38" t="s">
        <v>4575</v>
      </c>
      <c r="D6476" s="18">
        <v>2022</v>
      </c>
      <c r="E6476" s="18" t="s">
        <v>0</v>
      </c>
      <c r="F6476" s="4">
        <v>1</v>
      </c>
      <c r="G6476" s="41">
        <v>10</v>
      </c>
      <c r="H6476" s="41">
        <v>24.738450000000004</v>
      </c>
      <c r="I6476" s="221"/>
      <c r="J6476" s="221"/>
    </row>
    <row r="6477" spans="1:10" s="15" customFormat="1" ht="16.5" hidden="1" customHeight="1" outlineLevel="1" x14ac:dyDescent="0.25">
      <c r="A6477" s="18">
        <v>2270</v>
      </c>
      <c r="B6477" s="4" t="s">
        <v>43</v>
      </c>
      <c r="C6477" s="38" t="s">
        <v>4576</v>
      </c>
      <c r="D6477" s="18">
        <v>2022</v>
      </c>
      <c r="E6477" s="18" t="s">
        <v>0</v>
      </c>
      <c r="F6477" s="4">
        <v>1</v>
      </c>
      <c r="G6477" s="41">
        <v>10</v>
      </c>
      <c r="H6477" s="41">
        <v>24.738470000000003</v>
      </c>
      <c r="I6477" s="221"/>
      <c r="J6477" s="221"/>
    </row>
    <row r="6478" spans="1:10" s="15" customFormat="1" ht="16.5" hidden="1" customHeight="1" outlineLevel="1" x14ac:dyDescent="0.25">
      <c r="A6478" s="18">
        <v>2288</v>
      </c>
      <c r="B6478" s="4" t="s">
        <v>43</v>
      </c>
      <c r="C6478" s="38" t="s">
        <v>4577</v>
      </c>
      <c r="D6478" s="18">
        <v>2022</v>
      </c>
      <c r="E6478" s="18" t="s">
        <v>0</v>
      </c>
      <c r="F6478" s="4">
        <v>1</v>
      </c>
      <c r="G6478" s="41">
        <v>10</v>
      </c>
      <c r="H6478" s="41">
        <v>24.738499999999998</v>
      </c>
      <c r="I6478" s="221"/>
      <c r="J6478" s="221"/>
    </row>
    <row r="6479" spans="1:10" s="15" customFormat="1" ht="16.5" hidden="1" customHeight="1" outlineLevel="1" x14ac:dyDescent="0.25">
      <c r="A6479" s="18">
        <v>2295</v>
      </c>
      <c r="B6479" s="4" t="s">
        <v>43</v>
      </c>
      <c r="C6479" s="38" t="s">
        <v>4578</v>
      </c>
      <c r="D6479" s="18">
        <v>2022</v>
      </c>
      <c r="E6479" s="18" t="s">
        <v>0</v>
      </c>
      <c r="F6479" s="4">
        <v>1</v>
      </c>
      <c r="G6479" s="41">
        <v>15</v>
      </c>
      <c r="H6479" s="41">
        <v>24.738120000000002</v>
      </c>
      <c r="I6479" s="221"/>
      <c r="J6479" s="221"/>
    </row>
    <row r="6480" spans="1:10" s="15" customFormat="1" ht="16.5" hidden="1" customHeight="1" outlineLevel="1" x14ac:dyDescent="0.25">
      <c r="A6480" s="18">
        <v>2328</v>
      </c>
      <c r="B6480" s="4" t="s">
        <v>43</v>
      </c>
      <c r="C6480" s="38" t="s">
        <v>4579</v>
      </c>
      <c r="D6480" s="18">
        <v>2022</v>
      </c>
      <c r="E6480" s="18" t="s">
        <v>0</v>
      </c>
      <c r="F6480" s="4">
        <v>1</v>
      </c>
      <c r="G6480" s="41">
        <v>1.5</v>
      </c>
      <c r="H6480" s="41">
        <v>16.402179999999998</v>
      </c>
      <c r="I6480" s="221"/>
      <c r="J6480" s="221"/>
    </row>
    <row r="6481" spans="1:10" s="15" customFormat="1" ht="16.5" hidden="1" customHeight="1" outlineLevel="1" x14ac:dyDescent="0.25">
      <c r="A6481" s="18">
        <v>2333</v>
      </c>
      <c r="B6481" s="4" t="s">
        <v>43</v>
      </c>
      <c r="C6481" s="38" t="s">
        <v>4580</v>
      </c>
      <c r="D6481" s="18">
        <v>2022</v>
      </c>
      <c r="E6481" s="18" t="s">
        <v>0</v>
      </c>
      <c r="F6481" s="4">
        <v>1</v>
      </c>
      <c r="G6481" s="41">
        <v>8</v>
      </c>
      <c r="H6481" s="41">
        <v>25.086510000000001</v>
      </c>
      <c r="I6481" s="221"/>
      <c r="J6481" s="221"/>
    </row>
    <row r="6482" spans="1:10" s="15" customFormat="1" ht="16.5" hidden="1" customHeight="1" outlineLevel="1" x14ac:dyDescent="0.25">
      <c r="A6482" s="18">
        <v>2341</v>
      </c>
      <c r="B6482" s="4" t="s">
        <v>43</v>
      </c>
      <c r="C6482" s="38" t="s">
        <v>4581</v>
      </c>
      <c r="D6482" s="18">
        <v>2022</v>
      </c>
      <c r="E6482" s="18" t="s">
        <v>0</v>
      </c>
      <c r="F6482" s="4">
        <v>1</v>
      </c>
      <c r="G6482" s="41">
        <v>14</v>
      </c>
      <c r="H6482" s="41">
        <v>24.738479999999999</v>
      </c>
      <c r="I6482" s="221"/>
      <c r="J6482" s="221"/>
    </row>
    <row r="6483" spans="1:10" s="15" customFormat="1" ht="16.5" hidden="1" customHeight="1" outlineLevel="1" x14ac:dyDescent="0.25">
      <c r="A6483" s="18">
        <v>2379</v>
      </c>
      <c r="B6483" s="4" t="s">
        <v>43</v>
      </c>
      <c r="C6483" s="38" t="s">
        <v>4582</v>
      </c>
      <c r="D6483" s="18">
        <v>2022</v>
      </c>
      <c r="E6483" s="18" t="s">
        <v>0</v>
      </c>
      <c r="F6483" s="4">
        <v>1</v>
      </c>
      <c r="G6483" s="41">
        <v>15</v>
      </c>
      <c r="H6483" s="41">
        <v>26.217400000000001</v>
      </c>
      <c r="I6483" s="221"/>
      <c r="J6483" s="221"/>
    </row>
    <row r="6484" spans="1:10" s="15" customFormat="1" ht="16.5" hidden="1" customHeight="1" outlineLevel="1" x14ac:dyDescent="0.25">
      <c r="A6484" s="18">
        <v>2380</v>
      </c>
      <c r="B6484" s="4" t="s">
        <v>43</v>
      </c>
      <c r="C6484" s="38" t="s">
        <v>4583</v>
      </c>
      <c r="D6484" s="18">
        <v>2022</v>
      </c>
      <c r="E6484" s="18" t="s">
        <v>0</v>
      </c>
      <c r="F6484" s="4">
        <v>1</v>
      </c>
      <c r="G6484" s="41">
        <v>12</v>
      </c>
      <c r="H6484" s="41">
        <v>18.229200000000002</v>
      </c>
      <c r="I6484" s="221"/>
      <c r="J6484" s="221"/>
    </row>
    <row r="6485" spans="1:10" s="15" customFormat="1" ht="16.5" hidden="1" customHeight="1" outlineLevel="1" x14ac:dyDescent="0.25">
      <c r="A6485" s="18">
        <v>2383</v>
      </c>
      <c r="B6485" s="4" t="s">
        <v>43</v>
      </c>
      <c r="C6485" s="38" t="s">
        <v>4584</v>
      </c>
      <c r="D6485" s="18">
        <v>2022</v>
      </c>
      <c r="E6485" s="18" t="s">
        <v>0</v>
      </c>
      <c r="F6485" s="4">
        <v>1</v>
      </c>
      <c r="G6485" s="41">
        <v>15</v>
      </c>
      <c r="H6485" s="41">
        <v>24.825369999999999</v>
      </c>
      <c r="I6485" s="221"/>
      <c r="J6485" s="221"/>
    </row>
    <row r="6486" spans="1:10" s="15" customFormat="1" ht="16.5" hidden="1" customHeight="1" outlineLevel="1" x14ac:dyDescent="0.25">
      <c r="A6486" s="18">
        <v>2385</v>
      </c>
      <c r="B6486" s="4" t="s">
        <v>43</v>
      </c>
      <c r="C6486" s="38" t="s">
        <v>4585</v>
      </c>
      <c r="D6486" s="18">
        <v>2022</v>
      </c>
      <c r="E6486" s="18" t="s">
        <v>0</v>
      </c>
      <c r="F6486" s="4">
        <v>1</v>
      </c>
      <c r="G6486" s="41">
        <v>10</v>
      </c>
      <c r="H6486" s="41">
        <v>24.82536</v>
      </c>
      <c r="I6486" s="221"/>
      <c r="J6486" s="221"/>
    </row>
    <row r="6487" spans="1:10" s="15" customFormat="1" ht="16.5" hidden="1" customHeight="1" outlineLevel="1" x14ac:dyDescent="0.25">
      <c r="A6487" s="18">
        <v>2390</v>
      </c>
      <c r="B6487" s="4" t="s">
        <v>43</v>
      </c>
      <c r="C6487" s="38" t="s">
        <v>4586</v>
      </c>
      <c r="D6487" s="18">
        <v>2022</v>
      </c>
      <c r="E6487" s="18" t="s">
        <v>0</v>
      </c>
      <c r="F6487" s="4">
        <v>1</v>
      </c>
      <c r="G6487" s="41">
        <v>7</v>
      </c>
      <c r="H6487" s="41">
        <v>24.825279999999999</v>
      </c>
      <c r="I6487" s="221"/>
      <c r="J6487" s="221"/>
    </row>
    <row r="6488" spans="1:10" s="15" customFormat="1" ht="16.5" hidden="1" customHeight="1" outlineLevel="1" x14ac:dyDescent="0.25">
      <c r="A6488" s="18">
        <v>2393</v>
      </c>
      <c r="B6488" s="4" t="s">
        <v>43</v>
      </c>
      <c r="C6488" s="38" t="s">
        <v>4587</v>
      </c>
      <c r="D6488" s="18">
        <v>2022</v>
      </c>
      <c r="E6488" s="18" t="s">
        <v>0</v>
      </c>
      <c r="F6488" s="4">
        <v>1</v>
      </c>
      <c r="G6488" s="41">
        <v>10</v>
      </c>
      <c r="H6488" s="41">
        <v>26.565479999999997</v>
      </c>
      <c r="I6488" s="221"/>
      <c r="J6488" s="221"/>
    </row>
    <row r="6489" spans="1:10" s="15" customFormat="1" ht="16.5" hidden="1" customHeight="1" outlineLevel="1" x14ac:dyDescent="0.25">
      <c r="A6489" s="18">
        <v>2397</v>
      </c>
      <c r="B6489" s="4" t="s">
        <v>43</v>
      </c>
      <c r="C6489" s="38" t="s">
        <v>4588</v>
      </c>
      <c r="D6489" s="18">
        <v>2022</v>
      </c>
      <c r="E6489" s="18" t="s">
        <v>0</v>
      </c>
      <c r="F6489" s="4">
        <v>1</v>
      </c>
      <c r="G6489" s="41">
        <v>8</v>
      </c>
      <c r="H6489" s="41">
        <v>25.6951</v>
      </c>
      <c r="I6489" s="221"/>
      <c r="J6489" s="221"/>
    </row>
    <row r="6490" spans="1:10" s="15" customFormat="1" ht="16.5" hidden="1" customHeight="1" outlineLevel="1" x14ac:dyDescent="0.25">
      <c r="A6490" s="18">
        <v>2399</v>
      </c>
      <c r="B6490" s="4" t="s">
        <v>43</v>
      </c>
      <c r="C6490" s="38" t="s">
        <v>4589</v>
      </c>
      <c r="D6490" s="18">
        <v>2022</v>
      </c>
      <c r="E6490" s="18" t="s">
        <v>0</v>
      </c>
      <c r="F6490" s="4">
        <v>1</v>
      </c>
      <c r="G6490" s="41">
        <v>15</v>
      </c>
      <c r="H6490" s="41">
        <v>18.293569999999999</v>
      </c>
      <c r="I6490" s="221"/>
      <c r="J6490" s="221"/>
    </row>
    <row r="6491" spans="1:10" s="15" customFormat="1" ht="16.5" hidden="1" customHeight="1" outlineLevel="1" x14ac:dyDescent="0.25">
      <c r="A6491" s="18">
        <v>2400</v>
      </c>
      <c r="B6491" s="4" t="s">
        <v>43</v>
      </c>
      <c r="C6491" s="38" t="s">
        <v>4590</v>
      </c>
      <c r="D6491" s="18">
        <v>2022</v>
      </c>
      <c r="E6491" s="18" t="s">
        <v>0</v>
      </c>
      <c r="F6491" s="4">
        <v>1</v>
      </c>
      <c r="G6491" s="41">
        <v>5</v>
      </c>
      <c r="H6491" s="41">
        <v>20.748060000000002</v>
      </c>
      <c r="I6491" s="221"/>
      <c r="J6491" s="221"/>
    </row>
    <row r="6492" spans="1:10" s="15" customFormat="1" ht="16.5" hidden="1" customHeight="1" outlineLevel="1" x14ac:dyDescent="0.25">
      <c r="A6492" s="18">
        <v>2514</v>
      </c>
      <c r="B6492" s="4" t="s">
        <v>43</v>
      </c>
      <c r="C6492" s="38" t="s">
        <v>4591</v>
      </c>
      <c r="D6492" s="18">
        <v>2022</v>
      </c>
      <c r="E6492" s="18" t="s">
        <v>0</v>
      </c>
      <c r="F6492" s="4">
        <v>1</v>
      </c>
      <c r="G6492" s="41">
        <v>5</v>
      </c>
      <c r="H6492" s="41">
        <v>12.247999999999999</v>
      </c>
      <c r="I6492" s="221"/>
      <c r="J6492" s="221"/>
    </row>
    <row r="6493" spans="1:10" s="15" customFormat="1" ht="16.5" hidden="1" customHeight="1" outlineLevel="1" x14ac:dyDescent="0.25">
      <c r="A6493" s="18">
        <v>2515</v>
      </c>
      <c r="B6493" s="4" t="s">
        <v>43</v>
      </c>
      <c r="C6493" s="38" t="s">
        <v>4592</v>
      </c>
      <c r="D6493" s="18">
        <v>2022</v>
      </c>
      <c r="E6493" s="18" t="s">
        <v>0</v>
      </c>
      <c r="F6493" s="4">
        <v>1</v>
      </c>
      <c r="G6493" s="41">
        <v>3</v>
      </c>
      <c r="H6493" s="41">
        <v>11.57034</v>
      </c>
      <c r="I6493" s="221"/>
      <c r="J6493" s="221"/>
    </row>
    <row r="6494" spans="1:10" s="15" customFormat="1" ht="16.5" hidden="1" customHeight="1" outlineLevel="1" x14ac:dyDescent="0.25">
      <c r="A6494" s="18">
        <v>2516</v>
      </c>
      <c r="B6494" s="4" t="s">
        <v>43</v>
      </c>
      <c r="C6494" s="38" t="s">
        <v>4593</v>
      </c>
      <c r="D6494" s="18">
        <v>2022</v>
      </c>
      <c r="E6494" s="18" t="s">
        <v>0</v>
      </c>
      <c r="F6494" s="4">
        <v>1</v>
      </c>
      <c r="G6494" s="41">
        <v>6</v>
      </c>
      <c r="H6494" s="41">
        <v>11.901349999999999</v>
      </c>
      <c r="I6494" s="221"/>
      <c r="J6494" s="221"/>
    </row>
    <row r="6495" spans="1:10" s="15" customFormat="1" ht="16.5" hidden="1" customHeight="1" outlineLevel="1" x14ac:dyDescent="0.25">
      <c r="A6495" s="18">
        <v>2517</v>
      </c>
      <c r="B6495" s="4" t="s">
        <v>43</v>
      </c>
      <c r="C6495" s="38" t="s">
        <v>4594</v>
      </c>
      <c r="D6495" s="18">
        <v>2022</v>
      </c>
      <c r="E6495" s="18" t="s">
        <v>0</v>
      </c>
      <c r="F6495" s="4">
        <v>1</v>
      </c>
      <c r="G6495" s="41">
        <v>5</v>
      </c>
      <c r="H6495" s="41">
        <v>12.275399999999999</v>
      </c>
      <c r="I6495" s="221"/>
      <c r="J6495" s="221"/>
    </row>
    <row r="6496" spans="1:10" s="15" customFormat="1" ht="16.5" hidden="1" customHeight="1" outlineLevel="1" x14ac:dyDescent="0.25">
      <c r="A6496" s="18">
        <v>2518</v>
      </c>
      <c r="B6496" s="4" t="s">
        <v>43</v>
      </c>
      <c r="C6496" s="38" t="s">
        <v>4595</v>
      </c>
      <c r="D6496" s="18">
        <v>2022</v>
      </c>
      <c r="E6496" s="18" t="s">
        <v>0</v>
      </c>
      <c r="F6496" s="4">
        <v>1</v>
      </c>
      <c r="G6496" s="41">
        <v>5</v>
      </c>
      <c r="H6496" s="41">
        <v>11.90136</v>
      </c>
      <c r="I6496" s="221"/>
      <c r="J6496" s="221"/>
    </row>
    <row r="6497" spans="1:10" s="15" customFormat="1" ht="16.5" hidden="1" customHeight="1" outlineLevel="1" x14ac:dyDescent="0.25">
      <c r="A6497" s="18">
        <v>2519</v>
      </c>
      <c r="B6497" s="4" t="s">
        <v>43</v>
      </c>
      <c r="C6497" s="38" t="s">
        <v>4596</v>
      </c>
      <c r="D6497" s="18">
        <v>2022</v>
      </c>
      <c r="E6497" s="18" t="s">
        <v>0</v>
      </c>
      <c r="F6497" s="4">
        <v>1</v>
      </c>
      <c r="G6497" s="41">
        <v>3</v>
      </c>
      <c r="H6497" s="41">
        <v>11.411860000000001</v>
      </c>
      <c r="I6497" s="221"/>
      <c r="J6497" s="221"/>
    </row>
    <row r="6498" spans="1:10" s="15" customFormat="1" ht="16.5" hidden="1" customHeight="1" outlineLevel="1" x14ac:dyDescent="0.25">
      <c r="A6498" s="18">
        <v>2520</v>
      </c>
      <c r="B6498" s="4" t="s">
        <v>43</v>
      </c>
      <c r="C6498" s="38" t="s">
        <v>4597</v>
      </c>
      <c r="D6498" s="18">
        <v>2022</v>
      </c>
      <c r="E6498" s="18" t="s">
        <v>0</v>
      </c>
      <c r="F6498" s="4">
        <v>1</v>
      </c>
      <c r="G6498" s="41">
        <v>6</v>
      </c>
      <c r="H6498" s="41">
        <v>12.247999999999999</v>
      </c>
      <c r="I6498" s="221"/>
      <c r="J6498" s="221"/>
    </row>
    <row r="6499" spans="1:10" s="15" customFormat="1" ht="16.5" hidden="1" customHeight="1" outlineLevel="1" x14ac:dyDescent="0.25">
      <c r="A6499" s="18">
        <v>2521</v>
      </c>
      <c r="B6499" s="4" t="s">
        <v>43</v>
      </c>
      <c r="C6499" s="38" t="s">
        <v>4598</v>
      </c>
      <c r="D6499" s="18">
        <v>2022</v>
      </c>
      <c r="E6499" s="18" t="s">
        <v>0</v>
      </c>
      <c r="F6499" s="4">
        <v>1</v>
      </c>
      <c r="G6499" s="41">
        <v>5</v>
      </c>
      <c r="H6499" s="41">
        <v>12.24799</v>
      </c>
      <c r="I6499" s="221"/>
      <c r="J6499" s="221"/>
    </row>
    <row r="6500" spans="1:10" s="15" customFormat="1" ht="16.5" hidden="1" customHeight="1" outlineLevel="1" x14ac:dyDescent="0.25">
      <c r="A6500" s="18">
        <v>2522</v>
      </c>
      <c r="B6500" s="4" t="s">
        <v>43</v>
      </c>
      <c r="C6500" s="38" t="s">
        <v>4599</v>
      </c>
      <c r="D6500" s="18">
        <v>2022</v>
      </c>
      <c r="E6500" s="18" t="s">
        <v>0</v>
      </c>
      <c r="F6500" s="4">
        <v>1</v>
      </c>
      <c r="G6500" s="41">
        <v>5</v>
      </c>
      <c r="H6500" s="41">
        <v>12.13139</v>
      </c>
      <c r="I6500" s="221"/>
      <c r="J6500" s="221"/>
    </row>
    <row r="6501" spans="1:10" s="15" customFormat="1" ht="16.5" hidden="1" customHeight="1" outlineLevel="1" x14ac:dyDescent="0.25">
      <c r="A6501" s="18">
        <v>2370</v>
      </c>
      <c r="B6501" s="4" t="s">
        <v>43</v>
      </c>
      <c r="C6501" s="38" t="s">
        <v>3064</v>
      </c>
      <c r="D6501" s="18">
        <v>2022</v>
      </c>
      <c r="E6501" s="18" t="s">
        <v>0</v>
      </c>
      <c r="F6501" s="4">
        <v>1</v>
      </c>
      <c r="G6501" s="41">
        <v>10</v>
      </c>
      <c r="H6501" s="41">
        <v>20.14</v>
      </c>
      <c r="I6501" s="221"/>
      <c r="J6501" s="221"/>
    </row>
    <row r="6502" spans="1:10" s="15" customFormat="1" ht="16.5" hidden="1" customHeight="1" outlineLevel="1" x14ac:dyDescent="0.25">
      <c r="A6502" s="18">
        <v>2564</v>
      </c>
      <c r="B6502" s="4" t="s">
        <v>43</v>
      </c>
      <c r="C6502" s="38" t="s">
        <v>4600</v>
      </c>
      <c r="D6502" s="18">
        <v>2022</v>
      </c>
      <c r="E6502" s="18" t="s">
        <v>0</v>
      </c>
      <c r="F6502" s="4">
        <v>1</v>
      </c>
      <c r="G6502" s="41">
        <v>5</v>
      </c>
      <c r="H6502" s="41">
        <v>11.996279999999999</v>
      </c>
      <c r="I6502" s="221"/>
      <c r="J6502" s="221"/>
    </row>
    <row r="6503" spans="1:10" s="15" customFormat="1" ht="16.5" hidden="1" customHeight="1" outlineLevel="1" x14ac:dyDescent="0.25">
      <c r="A6503" s="18">
        <v>2569</v>
      </c>
      <c r="B6503" s="4" t="s">
        <v>43</v>
      </c>
      <c r="C6503" s="38" t="s">
        <v>4601</v>
      </c>
      <c r="D6503" s="18">
        <v>2022</v>
      </c>
      <c r="E6503" s="18" t="s">
        <v>0</v>
      </c>
      <c r="F6503" s="4">
        <v>1</v>
      </c>
      <c r="G6503" s="41">
        <v>0.06</v>
      </c>
      <c r="H6503" s="41">
        <v>10.932790000000001</v>
      </c>
      <c r="I6503" s="221"/>
      <c r="J6503" s="221"/>
    </row>
    <row r="6504" spans="1:10" s="15" customFormat="1" ht="16.5" hidden="1" customHeight="1" outlineLevel="1" x14ac:dyDescent="0.25">
      <c r="A6504" s="18">
        <v>2570</v>
      </c>
      <c r="B6504" s="4" t="s">
        <v>43</v>
      </c>
      <c r="C6504" s="38" t="s">
        <v>4602</v>
      </c>
      <c r="D6504" s="18">
        <v>2022</v>
      </c>
      <c r="E6504" s="18" t="s">
        <v>0</v>
      </c>
      <c r="F6504" s="4">
        <v>1</v>
      </c>
      <c r="G6504" s="41">
        <v>10</v>
      </c>
      <c r="H6504" s="41">
        <v>32.52205</v>
      </c>
      <c r="I6504" s="221"/>
      <c r="J6504" s="221"/>
    </row>
    <row r="6505" spans="1:10" s="15" customFormat="1" ht="16.5" hidden="1" customHeight="1" outlineLevel="1" x14ac:dyDescent="0.25">
      <c r="A6505" s="18">
        <v>2571</v>
      </c>
      <c r="B6505" s="4" t="s">
        <v>43</v>
      </c>
      <c r="C6505" s="38" t="s">
        <v>4603</v>
      </c>
      <c r="D6505" s="18">
        <v>2022</v>
      </c>
      <c r="E6505" s="18" t="s">
        <v>0</v>
      </c>
      <c r="F6505" s="4">
        <v>1</v>
      </c>
      <c r="G6505" s="41">
        <v>5</v>
      </c>
      <c r="H6505" s="41">
        <v>13.841040000000001</v>
      </c>
      <c r="I6505" s="221"/>
      <c r="J6505" s="221"/>
    </row>
    <row r="6506" spans="1:10" s="15" customFormat="1" ht="16.5" hidden="1" customHeight="1" outlineLevel="1" x14ac:dyDescent="0.25">
      <c r="A6506" s="18">
        <v>2572</v>
      </c>
      <c r="B6506" s="4" t="s">
        <v>43</v>
      </c>
      <c r="C6506" s="38" t="s">
        <v>4604</v>
      </c>
      <c r="D6506" s="18">
        <v>2022</v>
      </c>
      <c r="E6506" s="18" t="s">
        <v>0</v>
      </c>
      <c r="F6506" s="4">
        <v>1</v>
      </c>
      <c r="G6506" s="41">
        <v>15</v>
      </c>
      <c r="H6506" s="41">
        <v>17.547029999999999</v>
      </c>
      <c r="I6506" s="221"/>
      <c r="J6506" s="221"/>
    </row>
    <row r="6507" spans="1:10" s="15" customFormat="1" ht="16.5" hidden="1" customHeight="1" outlineLevel="1" x14ac:dyDescent="0.25">
      <c r="A6507" s="18">
        <v>2573</v>
      </c>
      <c r="B6507" s="4" t="s">
        <v>43</v>
      </c>
      <c r="C6507" s="38" t="s">
        <v>4605</v>
      </c>
      <c r="D6507" s="18">
        <v>2022</v>
      </c>
      <c r="E6507" s="18" t="s">
        <v>0</v>
      </c>
      <c r="F6507" s="4">
        <v>1</v>
      </c>
      <c r="G6507" s="41">
        <v>5</v>
      </c>
      <c r="H6507" s="41">
        <v>12.32653</v>
      </c>
      <c r="I6507" s="221"/>
      <c r="J6507" s="221"/>
    </row>
    <row r="6508" spans="1:10" s="15" customFormat="1" ht="16.5" hidden="1" customHeight="1" outlineLevel="1" x14ac:dyDescent="0.25">
      <c r="A6508" s="18">
        <v>2574</v>
      </c>
      <c r="B6508" s="4" t="s">
        <v>43</v>
      </c>
      <c r="C6508" s="38" t="s">
        <v>4606</v>
      </c>
      <c r="D6508" s="18">
        <v>2022</v>
      </c>
      <c r="E6508" s="18" t="s">
        <v>0</v>
      </c>
      <c r="F6508" s="4">
        <v>1</v>
      </c>
      <c r="G6508" s="41">
        <v>15</v>
      </c>
      <c r="H6508" s="41">
        <v>12.32653</v>
      </c>
      <c r="I6508" s="221"/>
      <c r="J6508" s="221"/>
    </row>
    <row r="6509" spans="1:10" s="15" customFormat="1" ht="16.5" hidden="1" customHeight="1" outlineLevel="1" x14ac:dyDescent="0.25">
      <c r="A6509" s="18">
        <v>2575</v>
      </c>
      <c r="B6509" s="4" t="s">
        <v>43</v>
      </c>
      <c r="C6509" s="38" t="s">
        <v>4607</v>
      </c>
      <c r="D6509" s="18">
        <v>2022</v>
      </c>
      <c r="E6509" s="18" t="s">
        <v>0</v>
      </c>
      <c r="F6509" s="4">
        <v>1</v>
      </c>
      <c r="G6509" s="41">
        <v>10</v>
      </c>
      <c r="H6509" s="41">
        <v>16.50705</v>
      </c>
      <c r="I6509" s="221"/>
      <c r="J6509" s="221"/>
    </row>
    <row r="6510" spans="1:10" s="15" customFormat="1" ht="16.5" hidden="1" customHeight="1" outlineLevel="1" x14ac:dyDescent="0.25">
      <c r="A6510" s="18">
        <v>2576</v>
      </c>
      <c r="B6510" s="4" t="s">
        <v>43</v>
      </c>
      <c r="C6510" s="38" t="s">
        <v>4608</v>
      </c>
      <c r="D6510" s="18">
        <v>2022</v>
      </c>
      <c r="E6510" s="18" t="s">
        <v>0</v>
      </c>
      <c r="F6510" s="4">
        <v>1</v>
      </c>
      <c r="G6510" s="41">
        <v>10</v>
      </c>
      <c r="H6510" s="41">
        <v>12.32653</v>
      </c>
      <c r="I6510" s="221"/>
      <c r="J6510" s="221"/>
    </row>
    <row r="6511" spans="1:10" s="15" customFormat="1" ht="16.5" hidden="1" customHeight="1" outlineLevel="1" x14ac:dyDescent="0.25">
      <c r="A6511" s="18">
        <v>2577</v>
      </c>
      <c r="B6511" s="4" t="s">
        <v>43</v>
      </c>
      <c r="C6511" s="38" t="s">
        <v>4609</v>
      </c>
      <c r="D6511" s="18">
        <v>2022</v>
      </c>
      <c r="E6511" s="18" t="s">
        <v>0</v>
      </c>
      <c r="F6511" s="4">
        <v>1</v>
      </c>
      <c r="G6511" s="41">
        <v>15</v>
      </c>
      <c r="H6511" s="41">
        <v>12.32653</v>
      </c>
      <c r="I6511" s="221"/>
      <c r="J6511" s="221"/>
    </row>
    <row r="6512" spans="1:10" s="15" customFormat="1" ht="16.5" hidden="1" customHeight="1" outlineLevel="1" x14ac:dyDescent="0.25">
      <c r="A6512" s="18">
        <v>2578</v>
      </c>
      <c r="B6512" s="4" t="s">
        <v>43</v>
      </c>
      <c r="C6512" s="38" t="s">
        <v>4610</v>
      </c>
      <c r="D6512" s="18">
        <v>2022</v>
      </c>
      <c r="E6512" s="18" t="s">
        <v>0</v>
      </c>
      <c r="F6512" s="4">
        <v>1</v>
      </c>
      <c r="G6512" s="41">
        <v>10</v>
      </c>
      <c r="H6512" s="41">
        <v>10.932789999999999</v>
      </c>
      <c r="I6512" s="221"/>
      <c r="J6512" s="221"/>
    </row>
    <row r="6513" spans="1:10" s="15" customFormat="1" ht="16.5" hidden="1" customHeight="1" outlineLevel="1" x14ac:dyDescent="0.25">
      <c r="A6513" s="18">
        <v>2579</v>
      </c>
      <c r="B6513" s="4" t="s">
        <v>43</v>
      </c>
      <c r="C6513" s="38" t="s">
        <v>4611</v>
      </c>
      <c r="D6513" s="18">
        <v>2022</v>
      </c>
      <c r="E6513" s="18" t="s">
        <v>0</v>
      </c>
      <c r="F6513" s="4">
        <v>1</v>
      </c>
      <c r="G6513" s="41">
        <v>5.5</v>
      </c>
      <c r="H6513" s="41">
        <v>13.841040000000001</v>
      </c>
      <c r="I6513" s="221"/>
      <c r="J6513" s="221"/>
    </row>
    <row r="6514" spans="1:10" s="15" customFormat="1" ht="16.5" hidden="1" customHeight="1" outlineLevel="1" x14ac:dyDescent="0.25">
      <c r="A6514" s="18">
        <v>2580</v>
      </c>
      <c r="B6514" s="4" t="s">
        <v>43</v>
      </c>
      <c r="C6514" s="38" t="s">
        <v>4612</v>
      </c>
      <c r="D6514" s="18">
        <v>2022</v>
      </c>
      <c r="E6514" s="18" t="s">
        <v>0</v>
      </c>
      <c r="F6514" s="4">
        <v>1</v>
      </c>
      <c r="G6514" s="41">
        <v>15</v>
      </c>
      <c r="H6514" s="41">
        <v>12.326450000000001</v>
      </c>
      <c r="I6514" s="221"/>
      <c r="J6514" s="221"/>
    </row>
    <row r="6515" spans="1:10" s="15" customFormat="1" ht="16.5" hidden="1" customHeight="1" outlineLevel="1" x14ac:dyDescent="0.25">
      <c r="A6515" s="18">
        <v>2581</v>
      </c>
      <c r="B6515" s="4" t="s">
        <v>43</v>
      </c>
      <c r="C6515" s="38" t="s">
        <v>4613</v>
      </c>
      <c r="D6515" s="18">
        <v>2022</v>
      </c>
      <c r="E6515" s="18" t="s">
        <v>0</v>
      </c>
      <c r="F6515" s="4">
        <v>1</v>
      </c>
      <c r="G6515" s="41">
        <v>10</v>
      </c>
      <c r="H6515" s="41">
        <v>13.720040000000001</v>
      </c>
      <c r="I6515" s="221"/>
      <c r="J6515" s="221"/>
    </row>
    <row r="6516" spans="1:10" s="15" customFormat="1" ht="16.5" hidden="1" customHeight="1" outlineLevel="1" x14ac:dyDescent="0.25">
      <c r="A6516" s="18">
        <v>2582</v>
      </c>
      <c r="B6516" s="4" t="s">
        <v>43</v>
      </c>
      <c r="C6516" s="38" t="s">
        <v>4614</v>
      </c>
      <c r="D6516" s="18">
        <v>2022</v>
      </c>
      <c r="E6516" s="18" t="s">
        <v>0</v>
      </c>
      <c r="F6516" s="4">
        <v>1</v>
      </c>
      <c r="G6516" s="41">
        <v>10</v>
      </c>
      <c r="H6516" s="41">
        <v>25.554569999999998</v>
      </c>
      <c r="I6516" s="221"/>
      <c r="J6516" s="221"/>
    </row>
    <row r="6517" spans="1:10" s="15" customFormat="1" ht="16.5" hidden="1" customHeight="1" outlineLevel="1" x14ac:dyDescent="0.25">
      <c r="A6517" s="18">
        <v>2583</v>
      </c>
      <c r="B6517" s="4" t="s">
        <v>43</v>
      </c>
      <c r="C6517" s="38" t="s">
        <v>4615</v>
      </c>
      <c r="D6517" s="18">
        <v>2022</v>
      </c>
      <c r="E6517" s="18" t="s">
        <v>0</v>
      </c>
      <c r="F6517" s="4">
        <v>1</v>
      </c>
      <c r="G6517" s="41">
        <v>1</v>
      </c>
      <c r="H6517" s="41">
        <v>10.93305</v>
      </c>
      <c r="I6517" s="221"/>
      <c r="J6517" s="221"/>
    </row>
    <row r="6518" spans="1:10" s="15" customFormat="1" ht="16.5" hidden="1" customHeight="1" outlineLevel="1" x14ac:dyDescent="0.25">
      <c r="A6518" s="18">
        <v>2584</v>
      </c>
      <c r="B6518" s="4" t="s">
        <v>43</v>
      </c>
      <c r="C6518" s="38" t="s">
        <v>4616</v>
      </c>
      <c r="D6518" s="18">
        <v>2022</v>
      </c>
      <c r="E6518" s="18" t="s">
        <v>0</v>
      </c>
      <c r="F6518" s="4">
        <v>1</v>
      </c>
      <c r="G6518" s="41">
        <v>3</v>
      </c>
      <c r="H6518" s="41">
        <v>13.7196</v>
      </c>
      <c r="I6518" s="221"/>
      <c r="J6518" s="221"/>
    </row>
    <row r="6519" spans="1:10" s="15" customFormat="1" ht="16.5" hidden="1" customHeight="1" outlineLevel="1" x14ac:dyDescent="0.25">
      <c r="A6519" s="18">
        <v>2585</v>
      </c>
      <c r="B6519" s="4" t="s">
        <v>43</v>
      </c>
      <c r="C6519" s="38" t="s">
        <v>4617</v>
      </c>
      <c r="D6519" s="18">
        <v>2022</v>
      </c>
      <c r="E6519" s="18" t="s">
        <v>0</v>
      </c>
      <c r="F6519" s="4">
        <v>1</v>
      </c>
      <c r="G6519" s="41">
        <v>7</v>
      </c>
      <c r="H6519" s="41">
        <v>17.546980000000001</v>
      </c>
      <c r="I6519" s="221"/>
      <c r="J6519" s="221"/>
    </row>
    <row r="6520" spans="1:10" s="15" customFormat="1" ht="16.5" hidden="1" customHeight="1" outlineLevel="1" x14ac:dyDescent="0.25">
      <c r="A6520" s="18">
        <v>2586</v>
      </c>
      <c r="B6520" s="4" t="s">
        <v>43</v>
      </c>
      <c r="C6520" s="38" t="s">
        <v>4618</v>
      </c>
      <c r="D6520" s="18">
        <v>2022</v>
      </c>
      <c r="E6520" s="18" t="s">
        <v>0</v>
      </c>
      <c r="F6520" s="4">
        <v>1</v>
      </c>
      <c r="G6520" s="41">
        <v>15</v>
      </c>
      <c r="H6520" s="41">
        <v>12.326479999999998</v>
      </c>
      <c r="I6520" s="221"/>
      <c r="J6520" s="221"/>
    </row>
    <row r="6521" spans="1:10" s="15" customFormat="1" ht="16.5" hidden="1" customHeight="1" outlineLevel="1" x14ac:dyDescent="0.25">
      <c r="A6521" s="18">
        <v>2587</v>
      </c>
      <c r="B6521" s="4" t="s">
        <v>43</v>
      </c>
      <c r="C6521" s="38" t="s">
        <v>4619</v>
      </c>
      <c r="D6521" s="18">
        <v>2022</v>
      </c>
      <c r="E6521" s="18" t="s">
        <v>0</v>
      </c>
      <c r="F6521" s="4">
        <v>1</v>
      </c>
      <c r="G6521" s="41">
        <v>10</v>
      </c>
      <c r="H6521" s="41">
        <v>13.543239999999999</v>
      </c>
      <c r="I6521" s="221"/>
      <c r="J6521" s="221"/>
    </row>
    <row r="6522" spans="1:10" s="15" customFormat="1" ht="16.5" hidden="1" customHeight="1" outlineLevel="1" x14ac:dyDescent="0.25">
      <c r="A6522" s="18">
        <v>2588</v>
      </c>
      <c r="B6522" s="4" t="s">
        <v>43</v>
      </c>
      <c r="C6522" s="38" t="s">
        <v>4620</v>
      </c>
      <c r="D6522" s="18">
        <v>2022</v>
      </c>
      <c r="E6522" s="18" t="s">
        <v>0</v>
      </c>
      <c r="F6522" s="4">
        <v>1</v>
      </c>
      <c r="G6522" s="41">
        <v>10</v>
      </c>
      <c r="H6522" s="41">
        <v>12.326479999999998</v>
      </c>
      <c r="I6522" s="221"/>
      <c r="J6522" s="221"/>
    </row>
    <row r="6523" spans="1:10" s="15" customFormat="1" ht="16.5" hidden="1" customHeight="1" outlineLevel="1" x14ac:dyDescent="0.25">
      <c r="A6523" s="18">
        <v>2589</v>
      </c>
      <c r="B6523" s="4" t="s">
        <v>43</v>
      </c>
      <c r="C6523" s="38" t="s">
        <v>4621</v>
      </c>
      <c r="D6523" s="18">
        <v>2022</v>
      </c>
      <c r="E6523" s="18" t="s">
        <v>0</v>
      </c>
      <c r="F6523" s="4">
        <v>1</v>
      </c>
      <c r="G6523" s="41">
        <v>10</v>
      </c>
      <c r="H6523" s="41">
        <v>15.113480000000003</v>
      </c>
      <c r="I6523" s="221"/>
      <c r="J6523" s="221"/>
    </row>
    <row r="6524" spans="1:10" s="15" customFormat="1" ht="16.5" hidden="1" customHeight="1" outlineLevel="1" x14ac:dyDescent="0.25">
      <c r="A6524" s="18">
        <v>2590</v>
      </c>
      <c r="B6524" s="4" t="s">
        <v>43</v>
      </c>
      <c r="C6524" s="38" t="s">
        <v>4622</v>
      </c>
      <c r="D6524" s="18">
        <v>2022</v>
      </c>
      <c r="E6524" s="18" t="s">
        <v>0</v>
      </c>
      <c r="F6524" s="4">
        <v>1</v>
      </c>
      <c r="G6524" s="41">
        <v>5</v>
      </c>
      <c r="H6524" s="41">
        <v>10.933</v>
      </c>
      <c r="I6524" s="221"/>
      <c r="J6524" s="221"/>
    </row>
    <row r="6525" spans="1:10" s="15" customFormat="1" ht="16.5" hidden="1" customHeight="1" outlineLevel="1" x14ac:dyDescent="0.25">
      <c r="A6525" s="18">
        <v>2591</v>
      </c>
      <c r="B6525" s="4" t="s">
        <v>43</v>
      </c>
      <c r="C6525" s="38" t="s">
        <v>4623</v>
      </c>
      <c r="D6525" s="18">
        <v>2022</v>
      </c>
      <c r="E6525" s="18" t="s">
        <v>0</v>
      </c>
      <c r="F6525" s="4">
        <v>1</v>
      </c>
      <c r="G6525" s="41">
        <v>10</v>
      </c>
      <c r="H6525" s="41">
        <v>10.096920000000001</v>
      </c>
      <c r="I6525" s="221"/>
      <c r="J6525" s="221"/>
    </row>
    <row r="6526" spans="1:10" s="15" customFormat="1" ht="16.5" hidden="1" customHeight="1" outlineLevel="1" x14ac:dyDescent="0.25">
      <c r="A6526" s="18">
        <v>2592</v>
      </c>
      <c r="B6526" s="4" t="s">
        <v>43</v>
      </c>
      <c r="C6526" s="38" t="s">
        <v>4624</v>
      </c>
      <c r="D6526" s="18">
        <v>2022</v>
      </c>
      <c r="E6526" s="18" t="s">
        <v>0</v>
      </c>
      <c r="F6526" s="4">
        <v>1</v>
      </c>
      <c r="G6526" s="41">
        <v>5</v>
      </c>
      <c r="H6526" s="41">
        <v>17.900470000000002</v>
      </c>
      <c r="I6526" s="221"/>
      <c r="J6526" s="221"/>
    </row>
    <row r="6527" spans="1:10" s="15" customFormat="1" ht="16.5" hidden="1" customHeight="1" outlineLevel="1" x14ac:dyDescent="0.25">
      <c r="A6527" s="18">
        <v>2593</v>
      </c>
      <c r="B6527" s="4" t="s">
        <v>43</v>
      </c>
      <c r="C6527" s="38" t="s">
        <v>4625</v>
      </c>
      <c r="D6527" s="18">
        <v>2022</v>
      </c>
      <c r="E6527" s="18" t="s">
        <v>0</v>
      </c>
      <c r="F6527" s="4">
        <v>1</v>
      </c>
      <c r="G6527" s="41">
        <v>15</v>
      </c>
      <c r="H6527" s="41">
        <v>12.326479999999998</v>
      </c>
      <c r="I6527" s="221"/>
      <c r="J6527" s="221"/>
    </row>
    <row r="6528" spans="1:10" s="15" customFormat="1" ht="16.5" hidden="1" customHeight="1" outlineLevel="1" x14ac:dyDescent="0.25">
      <c r="A6528" s="18">
        <v>2594</v>
      </c>
      <c r="B6528" s="4" t="s">
        <v>43</v>
      </c>
      <c r="C6528" s="38" t="s">
        <v>4626</v>
      </c>
      <c r="D6528" s="18">
        <v>2022</v>
      </c>
      <c r="E6528" s="18" t="s">
        <v>0</v>
      </c>
      <c r="F6528" s="4">
        <v>1</v>
      </c>
      <c r="G6528" s="41">
        <v>10</v>
      </c>
      <c r="H6528" s="41">
        <v>15.113480000000001</v>
      </c>
      <c r="I6528" s="221"/>
      <c r="J6528" s="221"/>
    </row>
    <row r="6529" spans="1:10" s="15" customFormat="1" ht="16.5" hidden="1" customHeight="1" outlineLevel="1" x14ac:dyDescent="0.25">
      <c r="A6529" s="18">
        <v>2595</v>
      </c>
      <c r="B6529" s="4" t="s">
        <v>43</v>
      </c>
      <c r="C6529" s="38" t="s">
        <v>4627</v>
      </c>
      <c r="D6529" s="18">
        <v>2022</v>
      </c>
      <c r="E6529" s="18" t="s">
        <v>0</v>
      </c>
      <c r="F6529" s="4">
        <v>1</v>
      </c>
      <c r="G6529" s="41">
        <v>15</v>
      </c>
      <c r="H6529" s="41">
        <v>10.933</v>
      </c>
      <c r="I6529" s="221"/>
      <c r="J6529" s="221"/>
    </row>
    <row r="6530" spans="1:10" s="15" customFormat="1" ht="16.5" hidden="1" customHeight="1" outlineLevel="1" x14ac:dyDescent="0.25">
      <c r="A6530" s="18">
        <v>2596</v>
      </c>
      <c r="B6530" s="4" t="s">
        <v>43</v>
      </c>
      <c r="C6530" s="38" t="s">
        <v>4628</v>
      </c>
      <c r="D6530" s="18">
        <v>2022</v>
      </c>
      <c r="E6530" s="18" t="s">
        <v>0</v>
      </c>
      <c r="F6530" s="4">
        <v>1</v>
      </c>
      <c r="G6530" s="41">
        <v>10</v>
      </c>
      <c r="H6530" s="41">
        <v>12.326419999999999</v>
      </c>
      <c r="I6530" s="221"/>
      <c r="J6530" s="221"/>
    </row>
    <row r="6531" spans="1:10" s="15" customFormat="1" ht="16.5" hidden="1" customHeight="1" outlineLevel="1" x14ac:dyDescent="0.25">
      <c r="A6531" s="18">
        <v>2597</v>
      </c>
      <c r="B6531" s="4" t="s">
        <v>43</v>
      </c>
      <c r="C6531" s="38" t="s">
        <v>4629</v>
      </c>
      <c r="D6531" s="18">
        <v>2022</v>
      </c>
      <c r="E6531" s="18" t="s">
        <v>0</v>
      </c>
      <c r="F6531" s="4">
        <v>1</v>
      </c>
      <c r="G6531" s="41">
        <v>10</v>
      </c>
      <c r="H6531" s="41">
        <v>13.71993</v>
      </c>
      <c r="I6531" s="221"/>
      <c r="J6531" s="221"/>
    </row>
    <row r="6532" spans="1:10" s="15" customFormat="1" ht="16.5" hidden="1" customHeight="1" outlineLevel="1" x14ac:dyDescent="0.25">
      <c r="A6532" s="18">
        <v>2598</v>
      </c>
      <c r="B6532" s="4" t="s">
        <v>43</v>
      </c>
      <c r="C6532" s="38" t="s">
        <v>4630</v>
      </c>
      <c r="D6532" s="18">
        <v>2022</v>
      </c>
      <c r="E6532" s="18" t="s">
        <v>0</v>
      </c>
      <c r="F6532" s="4">
        <v>1</v>
      </c>
      <c r="G6532" s="41">
        <v>4</v>
      </c>
      <c r="H6532" s="41">
        <v>13.543239999999999</v>
      </c>
      <c r="I6532" s="221"/>
      <c r="J6532" s="221"/>
    </row>
    <row r="6533" spans="1:10" s="15" customFormat="1" ht="16.5" hidden="1" customHeight="1" outlineLevel="1" x14ac:dyDescent="0.25">
      <c r="A6533" s="18">
        <v>2599</v>
      </c>
      <c r="B6533" s="4" t="s">
        <v>43</v>
      </c>
      <c r="C6533" s="38" t="s">
        <v>4631</v>
      </c>
      <c r="D6533" s="18">
        <v>2022</v>
      </c>
      <c r="E6533" s="18" t="s">
        <v>0</v>
      </c>
      <c r="F6533" s="4">
        <v>1</v>
      </c>
      <c r="G6533" s="41">
        <v>4</v>
      </c>
      <c r="H6533" s="41">
        <v>25.55433</v>
      </c>
      <c r="I6533" s="221"/>
      <c r="J6533" s="221"/>
    </row>
    <row r="6534" spans="1:10" s="15" customFormat="1" ht="16.5" hidden="1" customHeight="1" outlineLevel="1" x14ac:dyDescent="0.25">
      <c r="A6534" s="18">
        <v>2600</v>
      </c>
      <c r="B6534" s="4" t="s">
        <v>43</v>
      </c>
      <c r="C6534" s="38" t="s">
        <v>4632</v>
      </c>
      <c r="D6534" s="18">
        <v>2022</v>
      </c>
      <c r="E6534" s="18" t="s">
        <v>0</v>
      </c>
      <c r="F6534" s="4">
        <v>1</v>
      </c>
      <c r="G6534" s="41">
        <v>13</v>
      </c>
      <c r="H6534" s="41">
        <v>12.326479999999998</v>
      </c>
      <c r="I6534" s="221"/>
      <c r="J6534" s="221"/>
    </row>
    <row r="6535" spans="1:10" s="15" customFormat="1" ht="16.5" hidden="1" customHeight="1" outlineLevel="1" x14ac:dyDescent="0.25">
      <c r="A6535" s="18">
        <v>2601</v>
      </c>
      <c r="B6535" s="4" t="s">
        <v>43</v>
      </c>
      <c r="C6535" s="38" t="s">
        <v>4633</v>
      </c>
      <c r="D6535" s="18">
        <v>2022</v>
      </c>
      <c r="E6535" s="18" t="s">
        <v>0</v>
      </c>
      <c r="F6535" s="4">
        <v>1</v>
      </c>
      <c r="G6535" s="41">
        <v>10</v>
      </c>
      <c r="H6535" s="41">
        <v>25.554510000000001</v>
      </c>
      <c r="I6535" s="221"/>
      <c r="J6535" s="221"/>
    </row>
    <row r="6536" spans="1:10" s="15" customFormat="1" ht="16.5" hidden="1" customHeight="1" outlineLevel="1" x14ac:dyDescent="0.25">
      <c r="A6536" s="18">
        <v>2602</v>
      </c>
      <c r="B6536" s="4" t="s">
        <v>43</v>
      </c>
      <c r="C6536" s="38" t="s">
        <v>4634</v>
      </c>
      <c r="D6536" s="18">
        <v>2022</v>
      </c>
      <c r="E6536" s="18" t="s">
        <v>0</v>
      </c>
      <c r="F6536" s="4">
        <v>1</v>
      </c>
      <c r="G6536" s="41">
        <v>15</v>
      </c>
      <c r="H6536" s="41">
        <v>13.719989999999999</v>
      </c>
      <c r="I6536" s="221"/>
      <c r="J6536" s="221"/>
    </row>
    <row r="6537" spans="1:10" s="15" customFormat="1" ht="16.5" hidden="1" customHeight="1" outlineLevel="1" x14ac:dyDescent="0.25">
      <c r="A6537" s="18">
        <v>2603</v>
      </c>
      <c r="B6537" s="4" t="s">
        <v>43</v>
      </c>
      <c r="C6537" s="38" t="s">
        <v>4635</v>
      </c>
      <c r="D6537" s="18">
        <v>2022</v>
      </c>
      <c r="E6537" s="18" t="s">
        <v>0</v>
      </c>
      <c r="F6537" s="4">
        <v>1</v>
      </c>
      <c r="G6537" s="41">
        <v>10</v>
      </c>
      <c r="H6537" s="41">
        <v>12.326474000000001</v>
      </c>
      <c r="I6537" s="221"/>
      <c r="J6537" s="221"/>
    </row>
    <row r="6538" spans="1:10" s="15" customFormat="1" ht="16.5" hidden="1" customHeight="1" outlineLevel="1" x14ac:dyDescent="0.25">
      <c r="A6538" s="18">
        <v>2604</v>
      </c>
      <c r="B6538" s="4" t="s">
        <v>43</v>
      </c>
      <c r="C6538" s="38" t="s">
        <v>4636</v>
      </c>
      <c r="D6538" s="18">
        <v>2022</v>
      </c>
      <c r="E6538" s="18" t="s">
        <v>0</v>
      </c>
      <c r="F6538" s="4">
        <v>1</v>
      </c>
      <c r="G6538" s="41">
        <v>10</v>
      </c>
      <c r="H6538" s="41">
        <v>25.55452</v>
      </c>
      <c r="I6538" s="221"/>
      <c r="J6538" s="221"/>
    </row>
    <row r="6539" spans="1:10" s="15" customFormat="1" ht="16.5" hidden="1" customHeight="1" outlineLevel="1" x14ac:dyDescent="0.25">
      <c r="A6539" s="18">
        <v>2605</v>
      </c>
      <c r="B6539" s="4" t="s">
        <v>43</v>
      </c>
      <c r="C6539" s="38" t="s">
        <v>4637</v>
      </c>
      <c r="D6539" s="18">
        <v>2022</v>
      </c>
      <c r="E6539" s="18" t="s">
        <v>0</v>
      </c>
      <c r="F6539" s="4">
        <v>1</v>
      </c>
      <c r="G6539" s="41">
        <v>10</v>
      </c>
      <c r="H6539" s="41">
        <v>13.49424</v>
      </c>
      <c r="I6539" s="221"/>
      <c r="J6539" s="221"/>
    </row>
    <row r="6540" spans="1:10" s="15" customFormat="1" ht="16.5" hidden="1" customHeight="1" outlineLevel="1" x14ac:dyDescent="0.25">
      <c r="A6540" s="18">
        <v>2606</v>
      </c>
      <c r="B6540" s="4" t="s">
        <v>43</v>
      </c>
      <c r="C6540" s="38" t="s">
        <v>4638</v>
      </c>
      <c r="D6540" s="18">
        <v>2022</v>
      </c>
      <c r="E6540" s="18" t="s">
        <v>0</v>
      </c>
      <c r="F6540" s="4">
        <v>1</v>
      </c>
      <c r="G6540" s="41">
        <v>10</v>
      </c>
      <c r="H6540" s="41">
        <v>12.326479999999998</v>
      </c>
      <c r="I6540" s="221"/>
      <c r="J6540" s="221"/>
    </row>
    <row r="6541" spans="1:10" s="15" customFormat="1" ht="16.5" hidden="1" customHeight="1" outlineLevel="1" x14ac:dyDescent="0.25">
      <c r="A6541" s="18">
        <v>2607</v>
      </c>
      <c r="B6541" s="4" t="s">
        <v>43</v>
      </c>
      <c r="C6541" s="38" t="s">
        <v>4639</v>
      </c>
      <c r="D6541" s="18">
        <v>2022</v>
      </c>
      <c r="E6541" s="18" t="s">
        <v>0</v>
      </c>
      <c r="F6541" s="4">
        <v>1</v>
      </c>
      <c r="G6541" s="41">
        <v>10</v>
      </c>
      <c r="H6541" s="41">
        <v>15.11347</v>
      </c>
      <c r="I6541" s="221"/>
      <c r="J6541" s="221"/>
    </row>
    <row r="6542" spans="1:10" s="15" customFormat="1" ht="16.5" hidden="1" customHeight="1" outlineLevel="1" x14ac:dyDescent="0.25">
      <c r="A6542" s="18">
        <v>2608</v>
      </c>
      <c r="B6542" s="4" t="s">
        <v>43</v>
      </c>
      <c r="C6542" s="38" t="s">
        <v>4640</v>
      </c>
      <c r="D6542" s="18">
        <v>2022</v>
      </c>
      <c r="E6542" s="18" t="s">
        <v>0</v>
      </c>
      <c r="F6542" s="4">
        <v>1</v>
      </c>
      <c r="G6542" s="41">
        <v>5</v>
      </c>
      <c r="H6542" s="41">
        <v>13.54318</v>
      </c>
      <c r="I6542" s="221"/>
      <c r="J6542" s="221"/>
    </row>
    <row r="6543" spans="1:10" s="15" customFormat="1" ht="16.5" hidden="1" customHeight="1" outlineLevel="1" x14ac:dyDescent="0.25">
      <c r="A6543" s="18">
        <v>2609</v>
      </c>
      <c r="B6543" s="4" t="s">
        <v>43</v>
      </c>
      <c r="C6543" s="38" t="s">
        <v>4641</v>
      </c>
      <c r="D6543" s="18">
        <v>2022</v>
      </c>
      <c r="E6543" s="18" t="s">
        <v>0</v>
      </c>
      <c r="F6543" s="4">
        <v>1</v>
      </c>
      <c r="G6543" s="41">
        <v>15</v>
      </c>
      <c r="H6543" s="41">
        <v>13.71998</v>
      </c>
      <c r="I6543" s="221"/>
      <c r="J6543" s="221"/>
    </row>
    <row r="6544" spans="1:10" s="15" customFormat="1" ht="16.5" hidden="1" customHeight="1" outlineLevel="1" x14ac:dyDescent="0.25">
      <c r="A6544" s="18">
        <v>2610</v>
      </c>
      <c r="B6544" s="4" t="s">
        <v>43</v>
      </c>
      <c r="C6544" s="38" t="s">
        <v>4642</v>
      </c>
      <c r="D6544" s="18">
        <v>2022</v>
      </c>
      <c r="E6544" s="18" t="s">
        <v>0</v>
      </c>
      <c r="F6544" s="4">
        <v>1</v>
      </c>
      <c r="G6544" s="41">
        <v>8</v>
      </c>
      <c r="H6544" s="41">
        <v>25.55452</v>
      </c>
      <c r="I6544" s="221"/>
      <c r="J6544" s="221"/>
    </row>
    <row r="6545" spans="1:10" s="15" customFormat="1" ht="16.5" hidden="1" customHeight="1" outlineLevel="1" x14ac:dyDescent="0.25">
      <c r="A6545" s="18">
        <v>2611</v>
      </c>
      <c r="B6545" s="4" t="s">
        <v>43</v>
      </c>
      <c r="C6545" s="38" t="s">
        <v>4643</v>
      </c>
      <c r="D6545" s="18">
        <v>2022</v>
      </c>
      <c r="E6545" s="18" t="s">
        <v>0</v>
      </c>
      <c r="F6545" s="4">
        <v>1</v>
      </c>
      <c r="G6545" s="41">
        <v>10</v>
      </c>
      <c r="H6545" s="41">
        <v>12.326409999999999</v>
      </c>
      <c r="I6545" s="221"/>
      <c r="J6545" s="221"/>
    </row>
    <row r="6546" spans="1:10" s="15" customFormat="1" ht="16.5" hidden="1" customHeight="1" outlineLevel="1" x14ac:dyDescent="0.25">
      <c r="A6546" s="18">
        <v>2612</v>
      </c>
      <c r="B6546" s="4" t="s">
        <v>43</v>
      </c>
      <c r="C6546" s="38" t="s">
        <v>4644</v>
      </c>
      <c r="D6546" s="18">
        <v>2022</v>
      </c>
      <c r="E6546" s="18" t="s">
        <v>0</v>
      </c>
      <c r="F6546" s="4">
        <v>1</v>
      </c>
      <c r="G6546" s="41">
        <v>3</v>
      </c>
      <c r="H6546" s="41">
        <v>13.543239999999999</v>
      </c>
      <c r="I6546" s="221"/>
      <c r="J6546" s="221"/>
    </row>
    <row r="6547" spans="1:10" s="15" customFormat="1" ht="16.5" hidden="1" customHeight="1" outlineLevel="1" x14ac:dyDescent="0.25">
      <c r="A6547" s="18">
        <v>2699</v>
      </c>
      <c r="B6547" s="4" t="s">
        <v>43</v>
      </c>
      <c r="C6547" s="38" t="s">
        <v>4645</v>
      </c>
      <c r="D6547" s="18">
        <v>2022</v>
      </c>
      <c r="E6547" s="18" t="s">
        <v>0</v>
      </c>
      <c r="F6547" s="4">
        <v>1</v>
      </c>
      <c r="G6547" s="41">
        <v>10</v>
      </c>
      <c r="H6547" s="41">
        <v>11.91268</v>
      </c>
      <c r="I6547" s="221"/>
      <c r="J6547" s="221"/>
    </row>
    <row r="6548" spans="1:10" s="15" customFormat="1" ht="16.5" hidden="1" customHeight="1" outlineLevel="1" x14ac:dyDescent="0.25">
      <c r="A6548" s="18">
        <v>2700</v>
      </c>
      <c r="B6548" s="4" t="s">
        <v>43</v>
      </c>
      <c r="C6548" s="38" t="s">
        <v>4646</v>
      </c>
      <c r="D6548" s="18">
        <v>2022</v>
      </c>
      <c r="E6548" s="18" t="s">
        <v>0</v>
      </c>
      <c r="F6548" s="4">
        <v>1</v>
      </c>
      <c r="G6548" s="41">
        <v>10</v>
      </c>
      <c r="H6548" s="41">
        <v>9.9988399999999995</v>
      </c>
      <c r="I6548" s="221"/>
      <c r="J6548" s="221"/>
    </row>
    <row r="6549" spans="1:10" s="15" customFormat="1" ht="16.5" hidden="1" customHeight="1" outlineLevel="1" x14ac:dyDescent="0.25">
      <c r="A6549" s="18">
        <v>2701</v>
      </c>
      <c r="B6549" s="4" t="s">
        <v>43</v>
      </c>
      <c r="C6549" s="38" t="s">
        <v>4647</v>
      </c>
      <c r="D6549" s="18">
        <v>2022</v>
      </c>
      <c r="E6549" s="18" t="s">
        <v>0</v>
      </c>
      <c r="F6549" s="4">
        <v>1</v>
      </c>
      <c r="G6549" s="41">
        <v>6</v>
      </c>
      <c r="H6549" s="41">
        <v>14.480799999999999</v>
      </c>
      <c r="I6549" s="221"/>
      <c r="J6549" s="221"/>
    </row>
    <row r="6550" spans="1:10" s="15" customFormat="1" ht="16.5" hidden="1" customHeight="1" outlineLevel="1" x14ac:dyDescent="0.25">
      <c r="A6550" s="18">
        <v>2702</v>
      </c>
      <c r="B6550" s="4" t="s">
        <v>43</v>
      </c>
      <c r="C6550" s="38" t="s">
        <v>4648</v>
      </c>
      <c r="D6550" s="18">
        <v>2022</v>
      </c>
      <c r="E6550" s="18" t="s">
        <v>0</v>
      </c>
      <c r="F6550" s="4">
        <v>1</v>
      </c>
      <c r="G6550" s="41">
        <v>1</v>
      </c>
      <c r="H6550" s="41">
        <v>14.44201</v>
      </c>
      <c r="I6550" s="221"/>
      <c r="J6550" s="221"/>
    </row>
    <row r="6551" spans="1:10" s="15" customFormat="1" ht="16.5" hidden="1" customHeight="1" outlineLevel="1" x14ac:dyDescent="0.25">
      <c r="A6551" s="18">
        <v>2703</v>
      </c>
      <c r="B6551" s="4" t="s">
        <v>43</v>
      </c>
      <c r="C6551" s="38" t="s">
        <v>4649</v>
      </c>
      <c r="D6551" s="18">
        <v>2022</v>
      </c>
      <c r="E6551" s="18" t="s">
        <v>0</v>
      </c>
      <c r="F6551" s="4">
        <v>1</v>
      </c>
      <c r="G6551" s="41">
        <v>5</v>
      </c>
      <c r="H6551" s="41">
        <v>11.22864</v>
      </c>
      <c r="I6551" s="221"/>
      <c r="J6551" s="221"/>
    </row>
    <row r="6552" spans="1:10" s="15" customFormat="1" ht="16.5" hidden="1" customHeight="1" outlineLevel="1" x14ac:dyDescent="0.25">
      <c r="A6552" s="18">
        <v>2704</v>
      </c>
      <c r="B6552" s="4" t="s">
        <v>43</v>
      </c>
      <c r="C6552" s="38" t="s">
        <v>4650</v>
      </c>
      <c r="D6552" s="18">
        <v>2022</v>
      </c>
      <c r="E6552" s="18" t="s">
        <v>0</v>
      </c>
      <c r="F6552" s="4">
        <v>1</v>
      </c>
      <c r="G6552" s="41">
        <v>14</v>
      </c>
      <c r="H6552" s="41">
        <v>11.22864</v>
      </c>
      <c r="I6552" s="221"/>
      <c r="J6552" s="221"/>
    </row>
    <row r="6553" spans="1:10" s="15" customFormat="1" ht="16.5" hidden="1" customHeight="1" outlineLevel="1" x14ac:dyDescent="0.25">
      <c r="A6553" s="18">
        <v>2705</v>
      </c>
      <c r="B6553" s="4" t="s">
        <v>43</v>
      </c>
      <c r="C6553" s="38" t="s">
        <v>4651</v>
      </c>
      <c r="D6553" s="18">
        <v>2022</v>
      </c>
      <c r="E6553" s="18" t="s">
        <v>0</v>
      </c>
      <c r="F6553" s="4">
        <v>1</v>
      </c>
      <c r="G6553" s="41">
        <v>15</v>
      </c>
      <c r="H6553" s="41">
        <v>16.517310000000002</v>
      </c>
      <c r="I6553" s="221"/>
      <c r="J6553" s="221"/>
    </row>
    <row r="6554" spans="1:10" s="15" customFormat="1" ht="16.5" hidden="1" customHeight="1" outlineLevel="1" x14ac:dyDescent="0.25">
      <c r="A6554" s="18">
        <v>2706</v>
      </c>
      <c r="B6554" s="4" t="s">
        <v>43</v>
      </c>
      <c r="C6554" s="38" t="s">
        <v>4652</v>
      </c>
      <c r="D6554" s="18">
        <v>2022</v>
      </c>
      <c r="E6554" s="18" t="s">
        <v>0</v>
      </c>
      <c r="F6554" s="4">
        <v>1</v>
      </c>
      <c r="G6554" s="41">
        <v>5</v>
      </c>
      <c r="H6554" s="41">
        <v>12.53665</v>
      </c>
      <c r="I6554" s="221"/>
      <c r="J6554" s="221"/>
    </row>
    <row r="6555" spans="1:10" s="15" customFormat="1" ht="16.5" hidden="1" customHeight="1" outlineLevel="1" x14ac:dyDescent="0.25">
      <c r="A6555" s="18">
        <v>2707</v>
      </c>
      <c r="B6555" s="4" t="s">
        <v>43</v>
      </c>
      <c r="C6555" s="38" t="s">
        <v>4653</v>
      </c>
      <c r="D6555" s="18">
        <v>2022</v>
      </c>
      <c r="E6555" s="18" t="s">
        <v>0</v>
      </c>
      <c r="F6555" s="4">
        <v>1</v>
      </c>
      <c r="G6555" s="41">
        <v>5</v>
      </c>
      <c r="H6555" s="41">
        <v>12.56401</v>
      </c>
      <c r="I6555" s="221"/>
      <c r="J6555" s="221"/>
    </row>
    <row r="6556" spans="1:10" s="15" customFormat="1" ht="16.5" hidden="1" customHeight="1" outlineLevel="1" x14ac:dyDescent="0.25">
      <c r="A6556" s="18">
        <v>2708</v>
      </c>
      <c r="B6556" s="4" t="s">
        <v>43</v>
      </c>
      <c r="C6556" s="38" t="s">
        <v>4654</v>
      </c>
      <c r="D6556" s="18">
        <v>2022</v>
      </c>
      <c r="E6556" s="18" t="s">
        <v>0</v>
      </c>
      <c r="F6556" s="4">
        <v>1</v>
      </c>
      <c r="G6556" s="41">
        <v>15</v>
      </c>
      <c r="H6556" s="41">
        <v>16.45064</v>
      </c>
      <c r="I6556" s="221"/>
      <c r="J6556" s="221"/>
    </row>
    <row r="6557" spans="1:10" s="15" customFormat="1" ht="16.5" hidden="1" customHeight="1" outlineLevel="1" x14ac:dyDescent="0.25">
      <c r="A6557" s="18">
        <v>2709</v>
      </c>
      <c r="B6557" s="4" t="s">
        <v>43</v>
      </c>
      <c r="C6557" s="38" t="s">
        <v>4655</v>
      </c>
      <c r="D6557" s="18">
        <v>2022</v>
      </c>
      <c r="E6557" s="18" t="s">
        <v>0</v>
      </c>
      <c r="F6557" s="4">
        <v>1</v>
      </c>
      <c r="G6557" s="41">
        <v>5</v>
      </c>
      <c r="H6557" s="41">
        <v>14.480780000000001</v>
      </c>
      <c r="I6557" s="221"/>
      <c r="J6557" s="221"/>
    </row>
    <row r="6558" spans="1:10" s="15" customFormat="1" ht="16.5" hidden="1" customHeight="1" outlineLevel="1" x14ac:dyDescent="0.25">
      <c r="A6558" s="18">
        <v>5548</v>
      </c>
      <c r="B6558" s="4" t="s">
        <v>43</v>
      </c>
      <c r="C6558" s="38" t="s">
        <v>2496</v>
      </c>
      <c r="D6558" s="18">
        <v>2022</v>
      </c>
      <c r="E6558" s="18" t="s">
        <v>0</v>
      </c>
      <c r="F6558" s="4">
        <v>1</v>
      </c>
      <c r="G6558" s="41">
        <v>1</v>
      </c>
      <c r="H6558" s="41">
        <v>39.890999999999998</v>
      </c>
      <c r="I6558" s="221"/>
      <c r="J6558" s="221"/>
    </row>
    <row r="6559" spans="1:10" s="15" customFormat="1" ht="16.5" hidden="1" customHeight="1" outlineLevel="1" x14ac:dyDescent="0.25">
      <c r="A6559" s="18">
        <v>5503</v>
      </c>
      <c r="B6559" s="4" t="s">
        <v>43</v>
      </c>
      <c r="C6559" s="38" t="s">
        <v>4656</v>
      </c>
      <c r="D6559" s="18">
        <v>2022</v>
      </c>
      <c r="E6559" s="18" t="s">
        <v>0</v>
      </c>
      <c r="F6559" s="4">
        <v>1</v>
      </c>
      <c r="G6559" s="41">
        <v>10</v>
      </c>
      <c r="H6559" s="41">
        <v>34.978000000000002</v>
      </c>
      <c r="I6559" s="221"/>
      <c r="J6559" s="221"/>
    </row>
    <row r="6560" spans="1:10" s="15" customFormat="1" ht="16.5" hidden="1" customHeight="1" outlineLevel="1" x14ac:dyDescent="0.25">
      <c r="A6560" s="18">
        <v>5899</v>
      </c>
      <c r="B6560" s="4" t="s">
        <v>43</v>
      </c>
      <c r="C6560" s="38" t="s">
        <v>4657</v>
      </c>
      <c r="D6560" s="18">
        <v>2022</v>
      </c>
      <c r="E6560" s="18" t="s">
        <v>0</v>
      </c>
      <c r="F6560" s="4">
        <v>1</v>
      </c>
      <c r="G6560" s="41">
        <v>10</v>
      </c>
      <c r="H6560" s="41">
        <v>70.724999999999994</v>
      </c>
      <c r="I6560" s="221"/>
      <c r="J6560" s="221"/>
    </row>
    <row r="6561" spans="1:10" s="15" customFormat="1" ht="16.5" hidden="1" customHeight="1" outlineLevel="1" x14ac:dyDescent="0.25">
      <c r="A6561" s="18">
        <v>5517</v>
      </c>
      <c r="B6561" s="4" t="s">
        <v>43</v>
      </c>
      <c r="C6561" s="38" t="s">
        <v>4658</v>
      </c>
      <c r="D6561" s="18">
        <v>2022</v>
      </c>
      <c r="E6561" s="18" t="s">
        <v>0</v>
      </c>
      <c r="F6561" s="4">
        <v>1</v>
      </c>
      <c r="G6561" s="41">
        <v>10</v>
      </c>
      <c r="H6561" s="41">
        <v>68.971999999999994</v>
      </c>
      <c r="I6561" s="221"/>
      <c r="J6561" s="221"/>
    </row>
    <row r="6562" spans="1:10" s="15" customFormat="1" ht="16.5" hidden="1" customHeight="1" outlineLevel="1" x14ac:dyDescent="0.25">
      <c r="A6562" s="18">
        <v>5451</v>
      </c>
      <c r="B6562" s="4" t="s">
        <v>43</v>
      </c>
      <c r="C6562" s="38" t="s">
        <v>4659</v>
      </c>
      <c r="D6562" s="18">
        <v>2022</v>
      </c>
      <c r="E6562" s="18" t="s">
        <v>0</v>
      </c>
      <c r="F6562" s="4">
        <v>1</v>
      </c>
      <c r="G6562" s="41">
        <v>15</v>
      </c>
      <c r="H6562" s="41">
        <v>70.832999999999998</v>
      </c>
      <c r="I6562" s="221"/>
      <c r="J6562" s="221"/>
    </row>
    <row r="6563" spans="1:10" s="15" customFormat="1" ht="16.5" hidden="1" customHeight="1" outlineLevel="1" x14ac:dyDescent="0.25">
      <c r="A6563" s="18">
        <v>5540</v>
      </c>
      <c r="B6563" s="4" t="s">
        <v>43</v>
      </c>
      <c r="C6563" s="38" t="s">
        <v>4660</v>
      </c>
      <c r="D6563" s="18">
        <v>2022</v>
      </c>
      <c r="E6563" s="18" t="s">
        <v>0</v>
      </c>
      <c r="F6563" s="4">
        <v>1</v>
      </c>
      <c r="G6563" s="41">
        <v>1.5</v>
      </c>
      <c r="H6563" s="41">
        <v>74.278999999999996</v>
      </c>
      <c r="I6563" s="221"/>
      <c r="J6563" s="221"/>
    </row>
    <row r="6564" spans="1:10" s="15" customFormat="1" ht="16.5" hidden="1" customHeight="1" outlineLevel="1" x14ac:dyDescent="0.25">
      <c r="A6564" s="18">
        <v>5433</v>
      </c>
      <c r="B6564" s="4" t="s">
        <v>43</v>
      </c>
      <c r="C6564" s="38" t="s">
        <v>4661</v>
      </c>
      <c r="D6564" s="18">
        <v>2022</v>
      </c>
      <c r="E6564" s="18" t="s">
        <v>0</v>
      </c>
      <c r="F6564" s="4">
        <v>1</v>
      </c>
      <c r="G6564" s="41">
        <v>3</v>
      </c>
      <c r="H6564" s="41">
        <v>68.128</v>
      </c>
      <c r="I6564" s="221"/>
      <c r="J6564" s="221"/>
    </row>
    <row r="6565" spans="1:10" s="15" customFormat="1" ht="16.5" hidden="1" customHeight="1" outlineLevel="1" x14ac:dyDescent="0.25">
      <c r="A6565" s="18">
        <v>5568</v>
      </c>
      <c r="B6565" s="4" t="s">
        <v>43</v>
      </c>
      <c r="C6565" s="38" t="s">
        <v>4662</v>
      </c>
      <c r="D6565" s="18">
        <v>2022</v>
      </c>
      <c r="E6565" s="18" t="s">
        <v>0</v>
      </c>
      <c r="F6565" s="4">
        <v>1</v>
      </c>
      <c r="G6565" s="41">
        <v>10</v>
      </c>
      <c r="H6565" s="41">
        <v>77.570999999999998</v>
      </c>
      <c r="I6565" s="221"/>
      <c r="J6565" s="221"/>
    </row>
    <row r="6566" spans="1:10" s="15" customFormat="1" ht="16.5" hidden="1" customHeight="1" outlineLevel="1" x14ac:dyDescent="0.25">
      <c r="A6566" s="18">
        <v>5454</v>
      </c>
      <c r="B6566" s="4" t="s">
        <v>43</v>
      </c>
      <c r="C6566" s="38" t="s">
        <v>4663</v>
      </c>
      <c r="D6566" s="18">
        <v>2022</v>
      </c>
      <c r="E6566" s="18" t="s">
        <v>0</v>
      </c>
      <c r="F6566" s="4">
        <v>1</v>
      </c>
      <c r="G6566" s="41">
        <v>15</v>
      </c>
      <c r="H6566" s="41">
        <v>85.945999999999998</v>
      </c>
      <c r="I6566" s="221"/>
      <c r="J6566" s="221"/>
    </row>
    <row r="6567" spans="1:10" s="15" customFormat="1" ht="16.5" hidden="1" customHeight="1" outlineLevel="1" x14ac:dyDescent="0.25">
      <c r="A6567" s="18">
        <v>5452</v>
      </c>
      <c r="B6567" s="4" t="s">
        <v>43</v>
      </c>
      <c r="C6567" s="38" t="s">
        <v>4664</v>
      </c>
      <c r="D6567" s="18">
        <v>2022</v>
      </c>
      <c r="E6567" s="18" t="s">
        <v>0</v>
      </c>
      <c r="F6567" s="4">
        <v>1</v>
      </c>
      <c r="G6567" s="41">
        <v>15</v>
      </c>
      <c r="H6567" s="41">
        <v>76.765000000000001</v>
      </c>
      <c r="I6567" s="221"/>
      <c r="J6567" s="221"/>
    </row>
    <row r="6568" spans="1:10" s="15" customFormat="1" ht="16.5" hidden="1" customHeight="1" outlineLevel="1" x14ac:dyDescent="0.25">
      <c r="A6568" s="18">
        <v>5545</v>
      </c>
      <c r="B6568" s="4" t="s">
        <v>43</v>
      </c>
      <c r="C6568" s="38" t="s">
        <v>4665</v>
      </c>
      <c r="D6568" s="18">
        <v>2022</v>
      </c>
      <c r="E6568" s="18" t="s">
        <v>0</v>
      </c>
      <c r="F6568" s="4">
        <v>1</v>
      </c>
      <c r="G6568" s="41">
        <v>15</v>
      </c>
      <c r="H6568" s="41">
        <v>76.138999999999996</v>
      </c>
      <c r="I6568" s="221"/>
      <c r="J6568" s="221"/>
    </row>
    <row r="6569" spans="1:10" s="15" customFormat="1" ht="16.5" hidden="1" customHeight="1" outlineLevel="1" x14ac:dyDescent="0.25">
      <c r="A6569" s="18">
        <v>5636</v>
      </c>
      <c r="B6569" s="4" t="s">
        <v>43</v>
      </c>
      <c r="C6569" s="38" t="s">
        <v>4666</v>
      </c>
      <c r="D6569" s="18">
        <v>2022</v>
      </c>
      <c r="E6569" s="18" t="s">
        <v>0</v>
      </c>
      <c r="F6569" s="4">
        <v>1</v>
      </c>
      <c r="G6569" s="41">
        <v>10</v>
      </c>
      <c r="H6569" s="41">
        <v>77.161000000000001</v>
      </c>
      <c r="I6569" s="221"/>
      <c r="J6569" s="221"/>
    </row>
    <row r="6570" spans="1:10" s="15" customFormat="1" ht="16.5" hidden="1" customHeight="1" outlineLevel="1" x14ac:dyDescent="0.25">
      <c r="A6570" s="18">
        <v>5511</v>
      </c>
      <c r="B6570" s="4" t="s">
        <v>43</v>
      </c>
      <c r="C6570" s="38" t="s">
        <v>4667</v>
      </c>
      <c r="D6570" s="18">
        <v>2022</v>
      </c>
      <c r="E6570" s="18" t="s">
        <v>0</v>
      </c>
      <c r="F6570" s="4">
        <v>1</v>
      </c>
      <c r="G6570" s="41">
        <v>10</v>
      </c>
      <c r="H6570" s="41">
        <v>84.156999999999996</v>
      </c>
      <c r="I6570" s="221"/>
      <c r="J6570" s="221"/>
    </row>
    <row r="6571" spans="1:10" s="15" customFormat="1" ht="16.5" hidden="1" customHeight="1" outlineLevel="1" x14ac:dyDescent="0.25">
      <c r="A6571" s="18">
        <v>5691</v>
      </c>
      <c r="B6571" s="4" t="s">
        <v>43</v>
      </c>
      <c r="C6571" s="38" t="s">
        <v>2506</v>
      </c>
      <c r="D6571" s="18">
        <v>2022</v>
      </c>
      <c r="E6571" s="18" t="s">
        <v>0</v>
      </c>
      <c r="F6571" s="4">
        <v>1</v>
      </c>
      <c r="G6571" s="41">
        <v>15</v>
      </c>
      <c r="H6571" s="41">
        <v>55.384999999999998</v>
      </c>
      <c r="I6571" s="221"/>
      <c r="J6571" s="221"/>
    </row>
    <row r="6572" spans="1:10" s="15" customFormat="1" ht="16.5" hidden="1" customHeight="1" outlineLevel="1" x14ac:dyDescent="0.25">
      <c r="A6572" s="18">
        <v>5608</v>
      </c>
      <c r="B6572" s="4" t="s">
        <v>43</v>
      </c>
      <c r="C6572" s="38" t="s">
        <v>4668</v>
      </c>
      <c r="D6572" s="18">
        <v>2022</v>
      </c>
      <c r="E6572" s="18" t="s">
        <v>0</v>
      </c>
      <c r="F6572" s="4">
        <v>1</v>
      </c>
      <c r="G6572" s="41">
        <v>15</v>
      </c>
      <c r="H6572" s="41">
        <v>64.015000000000001</v>
      </c>
      <c r="I6572" s="221"/>
      <c r="J6572" s="221"/>
    </row>
    <row r="6573" spans="1:10" s="15" customFormat="1" ht="16.5" hidden="1" customHeight="1" outlineLevel="1" x14ac:dyDescent="0.25">
      <c r="A6573" s="18">
        <v>5633</v>
      </c>
      <c r="B6573" s="4" t="s">
        <v>43</v>
      </c>
      <c r="C6573" s="38" t="s">
        <v>4669</v>
      </c>
      <c r="D6573" s="18">
        <v>2022</v>
      </c>
      <c r="E6573" s="18" t="s">
        <v>0</v>
      </c>
      <c r="F6573" s="4">
        <v>1</v>
      </c>
      <c r="G6573" s="41">
        <v>0.05</v>
      </c>
      <c r="H6573" s="41">
        <v>67.262</v>
      </c>
      <c r="I6573" s="221"/>
      <c r="J6573" s="221"/>
    </row>
    <row r="6574" spans="1:10" s="15" customFormat="1" ht="16.5" hidden="1" customHeight="1" outlineLevel="1" x14ac:dyDescent="0.25">
      <c r="A6574" s="18">
        <v>5640</v>
      </c>
      <c r="B6574" s="4" t="s">
        <v>43</v>
      </c>
      <c r="C6574" s="38" t="s">
        <v>4670</v>
      </c>
      <c r="D6574" s="18">
        <v>2022</v>
      </c>
      <c r="E6574" s="18" t="s">
        <v>0</v>
      </c>
      <c r="F6574" s="4">
        <v>1</v>
      </c>
      <c r="G6574" s="41">
        <v>0.05</v>
      </c>
      <c r="H6574" s="41">
        <v>69.73</v>
      </c>
      <c r="I6574" s="221"/>
      <c r="J6574" s="221"/>
    </row>
    <row r="6575" spans="1:10" s="15" customFormat="1" ht="16.5" hidden="1" customHeight="1" outlineLevel="1" x14ac:dyDescent="0.25">
      <c r="A6575" s="18">
        <v>5634</v>
      </c>
      <c r="B6575" s="4" t="s">
        <v>43</v>
      </c>
      <c r="C6575" s="38" t="s">
        <v>4671</v>
      </c>
      <c r="D6575" s="18">
        <v>2022</v>
      </c>
      <c r="E6575" s="18" t="s">
        <v>0</v>
      </c>
      <c r="F6575" s="4">
        <v>1</v>
      </c>
      <c r="G6575" s="41">
        <v>0.05</v>
      </c>
      <c r="H6575" s="41">
        <v>62.765999999999998</v>
      </c>
      <c r="I6575" s="221"/>
      <c r="J6575" s="221"/>
    </row>
    <row r="6576" spans="1:10" s="15" customFormat="1" ht="16.5" hidden="1" customHeight="1" outlineLevel="1" x14ac:dyDescent="0.25">
      <c r="A6576" s="18">
        <v>5635</v>
      </c>
      <c r="B6576" s="4" t="s">
        <v>43</v>
      </c>
      <c r="C6576" s="38" t="s">
        <v>4672</v>
      </c>
      <c r="D6576" s="18">
        <v>2022</v>
      </c>
      <c r="E6576" s="18" t="s">
        <v>0</v>
      </c>
      <c r="F6576" s="4">
        <v>1</v>
      </c>
      <c r="G6576" s="41">
        <v>0.05</v>
      </c>
      <c r="H6576" s="41">
        <v>62.765999999999998</v>
      </c>
      <c r="I6576" s="221"/>
      <c r="J6576" s="221"/>
    </row>
    <row r="6577" spans="1:10" s="15" customFormat="1" ht="16.5" hidden="1" customHeight="1" outlineLevel="1" x14ac:dyDescent="0.25">
      <c r="A6577" s="18">
        <v>5637</v>
      </c>
      <c r="B6577" s="4" t="s">
        <v>43</v>
      </c>
      <c r="C6577" s="38" t="s">
        <v>4673</v>
      </c>
      <c r="D6577" s="18">
        <v>2022</v>
      </c>
      <c r="E6577" s="18" t="s">
        <v>0</v>
      </c>
      <c r="F6577" s="4">
        <v>1</v>
      </c>
      <c r="G6577" s="41">
        <v>5</v>
      </c>
      <c r="H6577" s="41">
        <v>60.548999999999999</v>
      </c>
      <c r="I6577" s="221"/>
      <c r="J6577" s="221"/>
    </row>
    <row r="6578" spans="1:10" s="15" customFormat="1" ht="16.5" hidden="1" customHeight="1" outlineLevel="1" x14ac:dyDescent="0.25">
      <c r="A6578" s="18">
        <v>5663</v>
      </c>
      <c r="B6578" s="4" t="s">
        <v>43</v>
      </c>
      <c r="C6578" s="38" t="s">
        <v>4674</v>
      </c>
      <c r="D6578" s="18">
        <v>2022</v>
      </c>
      <c r="E6578" s="18" t="s">
        <v>0</v>
      </c>
      <c r="F6578" s="4">
        <v>1</v>
      </c>
      <c r="G6578" s="41">
        <v>6</v>
      </c>
      <c r="H6578" s="41">
        <v>61.540999999999997</v>
      </c>
      <c r="I6578" s="221"/>
      <c r="J6578" s="221"/>
    </row>
    <row r="6579" spans="1:10" s="15" customFormat="1" ht="16.5" hidden="1" customHeight="1" outlineLevel="1" x14ac:dyDescent="0.25">
      <c r="A6579" s="18">
        <v>5625</v>
      </c>
      <c r="B6579" s="4" t="s">
        <v>43</v>
      </c>
      <c r="C6579" s="38" t="s">
        <v>4675</v>
      </c>
      <c r="D6579" s="18">
        <v>2022</v>
      </c>
      <c r="E6579" s="18" t="s">
        <v>0</v>
      </c>
      <c r="F6579" s="4">
        <v>1</v>
      </c>
      <c r="G6579" s="41">
        <v>5</v>
      </c>
      <c r="H6579" s="41">
        <v>60.548999999999999</v>
      </c>
      <c r="I6579" s="221"/>
      <c r="J6579" s="221"/>
    </row>
    <row r="6580" spans="1:10" s="15" customFormat="1" ht="16.5" hidden="1" customHeight="1" outlineLevel="1" x14ac:dyDescent="0.25">
      <c r="A6580" s="18">
        <v>5641</v>
      </c>
      <c r="B6580" s="4" t="s">
        <v>43</v>
      </c>
      <c r="C6580" s="38" t="s">
        <v>4676</v>
      </c>
      <c r="D6580" s="18">
        <v>2022</v>
      </c>
      <c r="E6580" s="18" t="s">
        <v>0</v>
      </c>
      <c r="F6580" s="4">
        <v>1</v>
      </c>
      <c r="G6580" s="41">
        <v>6</v>
      </c>
      <c r="H6580" s="41">
        <v>63.067999999999998</v>
      </c>
      <c r="I6580" s="221"/>
      <c r="J6580" s="221"/>
    </row>
    <row r="6581" spans="1:10" s="15" customFormat="1" ht="16.5" hidden="1" customHeight="1" outlineLevel="1" x14ac:dyDescent="0.25">
      <c r="A6581" s="18">
        <v>5673</v>
      </c>
      <c r="B6581" s="4" t="s">
        <v>43</v>
      </c>
      <c r="C6581" s="38" t="s">
        <v>4677</v>
      </c>
      <c r="D6581" s="18">
        <v>2022</v>
      </c>
      <c r="E6581" s="18" t="s">
        <v>0</v>
      </c>
      <c r="F6581" s="4">
        <v>1</v>
      </c>
      <c r="G6581" s="41">
        <v>7</v>
      </c>
      <c r="H6581" s="41">
        <v>59.357999999999997</v>
      </c>
      <c r="I6581" s="221"/>
      <c r="J6581" s="221"/>
    </row>
    <row r="6582" spans="1:10" s="15" customFormat="1" ht="16.5" hidden="1" customHeight="1" outlineLevel="1" x14ac:dyDescent="0.25">
      <c r="A6582" s="18">
        <v>5428</v>
      </c>
      <c r="B6582" s="4" t="s">
        <v>43</v>
      </c>
      <c r="C6582" s="38" t="s">
        <v>4678</v>
      </c>
      <c r="D6582" s="18">
        <v>2022</v>
      </c>
      <c r="E6582" s="18" t="s">
        <v>0</v>
      </c>
      <c r="F6582" s="4">
        <v>1</v>
      </c>
      <c r="G6582" s="41">
        <v>10</v>
      </c>
      <c r="H6582" s="41">
        <v>68.679000000000002</v>
      </c>
      <c r="I6582" s="221"/>
      <c r="J6582" s="221"/>
    </row>
    <row r="6583" spans="1:10" s="15" customFormat="1" ht="16.5" hidden="1" customHeight="1" outlineLevel="1" x14ac:dyDescent="0.25">
      <c r="A6583" s="18">
        <v>5715</v>
      </c>
      <c r="B6583" s="4" t="s">
        <v>43</v>
      </c>
      <c r="C6583" s="38" t="s">
        <v>4679</v>
      </c>
      <c r="D6583" s="18">
        <v>2022</v>
      </c>
      <c r="E6583" s="18" t="s">
        <v>0</v>
      </c>
      <c r="F6583" s="4">
        <v>1</v>
      </c>
      <c r="G6583" s="41">
        <v>7</v>
      </c>
      <c r="H6583" s="41">
        <v>63.098999999999997</v>
      </c>
      <c r="I6583" s="221"/>
      <c r="J6583" s="221"/>
    </row>
    <row r="6584" spans="1:10" s="15" customFormat="1" ht="16.5" hidden="1" customHeight="1" outlineLevel="1" x14ac:dyDescent="0.25">
      <c r="A6584" s="18">
        <v>5690</v>
      </c>
      <c r="B6584" s="4" t="s">
        <v>43</v>
      </c>
      <c r="C6584" s="38" t="s">
        <v>2508</v>
      </c>
      <c r="D6584" s="18">
        <v>2022</v>
      </c>
      <c r="E6584" s="18" t="s">
        <v>0</v>
      </c>
      <c r="F6584" s="4">
        <v>1</v>
      </c>
      <c r="G6584" s="41">
        <v>10</v>
      </c>
      <c r="H6584" s="41">
        <v>48.317999999999998</v>
      </c>
      <c r="I6584" s="221"/>
      <c r="J6584" s="221"/>
    </row>
    <row r="6585" spans="1:10" s="15" customFormat="1" ht="16.5" hidden="1" customHeight="1" outlineLevel="1" x14ac:dyDescent="0.25">
      <c r="A6585" s="18">
        <v>5574</v>
      </c>
      <c r="B6585" s="4" t="s">
        <v>43</v>
      </c>
      <c r="C6585" s="38" t="s">
        <v>4680</v>
      </c>
      <c r="D6585" s="18">
        <v>2022</v>
      </c>
      <c r="E6585" s="18" t="s">
        <v>0</v>
      </c>
      <c r="F6585" s="4">
        <v>1</v>
      </c>
      <c r="G6585" s="41">
        <v>10</v>
      </c>
      <c r="H6585" s="41">
        <v>20.812999999999999</v>
      </c>
      <c r="I6585" s="221"/>
      <c r="J6585" s="221"/>
    </row>
    <row r="6586" spans="1:10" s="15" customFormat="1" ht="16.5" hidden="1" customHeight="1" outlineLevel="1" x14ac:dyDescent="0.25">
      <c r="A6586" s="18">
        <v>5575</v>
      </c>
      <c r="B6586" s="4" t="s">
        <v>43</v>
      </c>
      <c r="C6586" s="38" t="s">
        <v>4681</v>
      </c>
      <c r="D6586" s="18">
        <v>2022</v>
      </c>
      <c r="E6586" s="18" t="s">
        <v>0</v>
      </c>
      <c r="F6586" s="4">
        <v>1</v>
      </c>
      <c r="G6586" s="41">
        <v>10</v>
      </c>
      <c r="H6586" s="41">
        <v>20.812999999999999</v>
      </c>
      <c r="I6586" s="221"/>
      <c r="J6586" s="221"/>
    </row>
    <row r="6587" spans="1:10" s="15" customFormat="1" ht="16.5" hidden="1" customHeight="1" outlineLevel="1" x14ac:dyDescent="0.25">
      <c r="A6587" s="18">
        <v>5471</v>
      </c>
      <c r="B6587" s="4" t="s">
        <v>43</v>
      </c>
      <c r="C6587" s="38" t="s">
        <v>4682</v>
      </c>
      <c r="D6587" s="18">
        <v>2022</v>
      </c>
      <c r="E6587" s="18" t="s">
        <v>0</v>
      </c>
      <c r="F6587" s="4">
        <v>1</v>
      </c>
      <c r="G6587" s="41">
        <v>10</v>
      </c>
      <c r="H6587" s="41">
        <v>18.850000000000001</v>
      </c>
      <c r="I6587" s="221"/>
      <c r="J6587" s="221"/>
    </row>
    <row r="6588" spans="1:10" s="15" customFormat="1" ht="16.5" hidden="1" customHeight="1" outlineLevel="1" x14ac:dyDescent="0.25">
      <c r="A6588" s="18">
        <v>5559</v>
      </c>
      <c r="B6588" s="4" t="s">
        <v>43</v>
      </c>
      <c r="C6588" s="38" t="s">
        <v>4683</v>
      </c>
      <c r="D6588" s="18">
        <v>2022</v>
      </c>
      <c r="E6588" s="18" t="s">
        <v>0</v>
      </c>
      <c r="F6588" s="4">
        <v>1</v>
      </c>
      <c r="G6588" s="41">
        <v>15</v>
      </c>
      <c r="H6588" s="41">
        <v>22.457000000000001</v>
      </c>
      <c r="I6588" s="221"/>
      <c r="J6588" s="221"/>
    </row>
    <row r="6589" spans="1:10" s="15" customFormat="1" ht="16.5" hidden="1" customHeight="1" outlineLevel="1" x14ac:dyDescent="0.25">
      <c r="A6589" s="18">
        <v>5712</v>
      </c>
      <c r="B6589" s="4" t="s">
        <v>43</v>
      </c>
      <c r="C6589" s="38" t="s">
        <v>4684</v>
      </c>
      <c r="D6589" s="18">
        <v>2022</v>
      </c>
      <c r="E6589" s="18" t="s">
        <v>0</v>
      </c>
      <c r="F6589" s="4">
        <v>1</v>
      </c>
      <c r="G6589" s="41">
        <v>7</v>
      </c>
      <c r="H6589" s="41">
        <v>12.122</v>
      </c>
      <c r="I6589" s="221"/>
      <c r="J6589" s="221"/>
    </row>
    <row r="6590" spans="1:10" s="15" customFormat="1" ht="16.5" hidden="1" customHeight="1" outlineLevel="1" x14ac:dyDescent="0.25">
      <c r="A6590" s="18">
        <v>5432</v>
      </c>
      <c r="B6590" s="4" t="s">
        <v>43</v>
      </c>
      <c r="C6590" s="38" t="s">
        <v>4685</v>
      </c>
      <c r="D6590" s="18">
        <v>2022</v>
      </c>
      <c r="E6590" s="18" t="s">
        <v>0</v>
      </c>
      <c r="F6590" s="4">
        <v>1</v>
      </c>
      <c r="G6590" s="41">
        <v>5</v>
      </c>
      <c r="H6590" s="41">
        <v>18.222000000000001</v>
      </c>
      <c r="I6590" s="221"/>
      <c r="J6590" s="221"/>
    </row>
    <row r="6591" spans="1:10" s="15" customFormat="1" ht="16.5" hidden="1" customHeight="1" outlineLevel="1" x14ac:dyDescent="0.25">
      <c r="A6591" s="18">
        <v>5438</v>
      </c>
      <c r="B6591" s="4" t="s">
        <v>43</v>
      </c>
      <c r="C6591" s="38" t="s">
        <v>4686</v>
      </c>
      <c r="D6591" s="18">
        <v>2022</v>
      </c>
      <c r="E6591" s="18" t="s">
        <v>0</v>
      </c>
      <c r="F6591" s="4">
        <v>1</v>
      </c>
      <c r="G6591" s="41">
        <v>15</v>
      </c>
      <c r="H6591" s="41">
        <v>25.358000000000001</v>
      </c>
      <c r="I6591" s="221"/>
      <c r="J6591" s="221"/>
    </row>
    <row r="6592" spans="1:10" s="15" customFormat="1" ht="16.5" hidden="1" customHeight="1" outlineLevel="1" x14ac:dyDescent="0.25">
      <c r="A6592" s="18">
        <v>5444</v>
      </c>
      <c r="B6592" s="4" t="s">
        <v>43</v>
      </c>
      <c r="C6592" s="38" t="s">
        <v>4687</v>
      </c>
      <c r="D6592" s="18">
        <v>2022</v>
      </c>
      <c r="E6592" s="18" t="s">
        <v>0</v>
      </c>
      <c r="F6592" s="4">
        <v>1</v>
      </c>
      <c r="G6592" s="41">
        <v>15</v>
      </c>
      <c r="H6592" s="41">
        <v>28.556000000000001</v>
      </c>
      <c r="I6592" s="221"/>
      <c r="J6592" s="221"/>
    </row>
    <row r="6593" spans="1:10" s="15" customFormat="1" ht="16.5" hidden="1" customHeight="1" outlineLevel="1" x14ac:dyDescent="0.25">
      <c r="A6593" s="18">
        <v>5458</v>
      </c>
      <c r="B6593" s="4" t="s">
        <v>43</v>
      </c>
      <c r="C6593" s="38" t="s">
        <v>4688</v>
      </c>
      <c r="D6593" s="18">
        <v>2022</v>
      </c>
      <c r="E6593" s="18" t="s">
        <v>0</v>
      </c>
      <c r="F6593" s="4">
        <v>1</v>
      </c>
      <c r="G6593" s="41">
        <v>15</v>
      </c>
      <c r="H6593" s="41">
        <v>26.22</v>
      </c>
      <c r="I6593" s="221"/>
      <c r="J6593" s="221"/>
    </row>
    <row r="6594" spans="1:10" s="15" customFormat="1" ht="16.5" hidden="1" customHeight="1" outlineLevel="1" x14ac:dyDescent="0.25">
      <c r="A6594" s="18">
        <v>5459</v>
      </c>
      <c r="B6594" s="4" t="s">
        <v>43</v>
      </c>
      <c r="C6594" s="38" t="s">
        <v>4689</v>
      </c>
      <c r="D6594" s="18">
        <v>2022</v>
      </c>
      <c r="E6594" s="18" t="s">
        <v>0</v>
      </c>
      <c r="F6594" s="4">
        <v>1</v>
      </c>
      <c r="G6594" s="41">
        <v>15</v>
      </c>
      <c r="H6594" s="41">
        <v>23.843</v>
      </c>
      <c r="I6594" s="221"/>
      <c r="J6594" s="221"/>
    </row>
    <row r="6595" spans="1:10" s="15" customFormat="1" ht="16.5" hidden="1" customHeight="1" outlineLevel="1" x14ac:dyDescent="0.25">
      <c r="A6595" s="18">
        <v>5493</v>
      </c>
      <c r="B6595" s="4" t="s">
        <v>43</v>
      </c>
      <c r="C6595" s="38" t="s">
        <v>4690</v>
      </c>
      <c r="D6595" s="18">
        <v>2022</v>
      </c>
      <c r="E6595" s="18" t="s">
        <v>0</v>
      </c>
      <c r="F6595" s="4">
        <v>1</v>
      </c>
      <c r="G6595" s="41">
        <v>10</v>
      </c>
      <c r="H6595" s="41">
        <v>23.867000000000001</v>
      </c>
      <c r="I6595" s="221"/>
      <c r="J6595" s="221"/>
    </row>
    <row r="6596" spans="1:10" s="15" customFormat="1" ht="16.5" hidden="1" customHeight="1" outlineLevel="1" x14ac:dyDescent="0.25">
      <c r="A6596" s="18">
        <v>5561</v>
      </c>
      <c r="B6596" s="4" t="s">
        <v>43</v>
      </c>
      <c r="C6596" s="38" t="s">
        <v>4691</v>
      </c>
      <c r="D6596" s="18">
        <v>2022</v>
      </c>
      <c r="E6596" s="18" t="s">
        <v>0</v>
      </c>
      <c r="F6596" s="4">
        <v>1</v>
      </c>
      <c r="G6596" s="41">
        <v>1.5</v>
      </c>
      <c r="H6596" s="41">
        <v>20.390999999999998</v>
      </c>
      <c r="I6596" s="221"/>
      <c r="J6596" s="221"/>
    </row>
    <row r="6597" spans="1:10" s="15" customFormat="1" ht="16.5" hidden="1" customHeight="1" outlineLevel="1" x14ac:dyDescent="0.25">
      <c r="A6597" s="18">
        <v>5704</v>
      </c>
      <c r="B6597" s="4" t="s">
        <v>43</v>
      </c>
      <c r="C6597" s="38" t="s">
        <v>4692</v>
      </c>
      <c r="D6597" s="18">
        <v>2022</v>
      </c>
      <c r="E6597" s="18" t="s">
        <v>0</v>
      </c>
      <c r="F6597" s="4">
        <v>1</v>
      </c>
      <c r="G6597" s="41">
        <v>15</v>
      </c>
      <c r="H6597" s="41">
        <v>22.256</v>
      </c>
      <c r="I6597" s="221"/>
      <c r="J6597" s="221"/>
    </row>
    <row r="6598" spans="1:10" s="15" customFormat="1" ht="16.5" hidden="1" customHeight="1" outlineLevel="1" x14ac:dyDescent="0.25">
      <c r="A6598" s="18">
        <v>5706</v>
      </c>
      <c r="B6598" s="4" t="s">
        <v>43</v>
      </c>
      <c r="C6598" s="38" t="s">
        <v>4693</v>
      </c>
      <c r="D6598" s="18">
        <v>2022</v>
      </c>
      <c r="E6598" s="18" t="s">
        <v>0</v>
      </c>
      <c r="F6598" s="4">
        <v>1</v>
      </c>
      <c r="G6598" s="41">
        <v>10</v>
      </c>
      <c r="H6598" s="41">
        <v>28.731000000000002</v>
      </c>
      <c r="I6598" s="221"/>
      <c r="J6598" s="221"/>
    </row>
    <row r="6599" spans="1:10" s="15" customFormat="1" ht="16.5" hidden="1" customHeight="1" outlineLevel="1" x14ac:dyDescent="0.25">
      <c r="A6599" s="18">
        <v>5717</v>
      </c>
      <c r="B6599" s="4" t="s">
        <v>43</v>
      </c>
      <c r="C6599" s="38" t="s">
        <v>4694</v>
      </c>
      <c r="D6599" s="18">
        <v>2022</v>
      </c>
      <c r="E6599" s="18" t="s">
        <v>0</v>
      </c>
      <c r="F6599" s="4">
        <v>1</v>
      </c>
      <c r="G6599" s="41">
        <v>10</v>
      </c>
      <c r="H6599" s="41">
        <v>14.722</v>
      </c>
      <c r="I6599" s="221"/>
      <c r="J6599" s="221"/>
    </row>
    <row r="6600" spans="1:10" s="15" customFormat="1" ht="16.5" hidden="1" customHeight="1" outlineLevel="1" x14ac:dyDescent="0.25">
      <c r="A6600" s="18">
        <v>5718</v>
      </c>
      <c r="B6600" s="4" t="s">
        <v>43</v>
      </c>
      <c r="C6600" s="38" t="s">
        <v>4695</v>
      </c>
      <c r="D6600" s="18">
        <v>2022</v>
      </c>
      <c r="E6600" s="18" t="s">
        <v>0</v>
      </c>
      <c r="F6600" s="4">
        <v>1</v>
      </c>
      <c r="G6600" s="41">
        <v>15</v>
      </c>
      <c r="H6600" s="41">
        <v>13.387</v>
      </c>
      <c r="I6600" s="221"/>
      <c r="J6600" s="221"/>
    </row>
    <row r="6601" spans="1:10" s="15" customFormat="1" ht="16.5" hidden="1" customHeight="1" outlineLevel="1" x14ac:dyDescent="0.25">
      <c r="A6601" s="18">
        <v>5726</v>
      </c>
      <c r="B6601" s="4" t="s">
        <v>43</v>
      </c>
      <c r="C6601" s="38" t="s">
        <v>4696</v>
      </c>
      <c r="D6601" s="18">
        <v>2022</v>
      </c>
      <c r="E6601" s="18" t="s">
        <v>0</v>
      </c>
      <c r="F6601" s="4">
        <v>1</v>
      </c>
      <c r="G6601" s="41">
        <v>15</v>
      </c>
      <c r="H6601" s="41">
        <v>12.595000000000001</v>
      </c>
      <c r="I6601" s="221"/>
      <c r="J6601" s="221"/>
    </row>
    <row r="6602" spans="1:10" s="15" customFormat="1" ht="16.5" hidden="1" customHeight="1" outlineLevel="1" x14ac:dyDescent="0.25">
      <c r="A6602" s="18">
        <v>5734</v>
      </c>
      <c r="B6602" s="4" t="s">
        <v>43</v>
      </c>
      <c r="C6602" s="38" t="s">
        <v>4697</v>
      </c>
      <c r="D6602" s="18">
        <v>2022</v>
      </c>
      <c r="E6602" s="18" t="s">
        <v>0</v>
      </c>
      <c r="F6602" s="4">
        <v>1</v>
      </c>
      <c r="G6602" s="41">
        <v>15</v>
      </c>
      <c r="H6602" s="41">
        <v>12.596</v>
      </c>
      <c r="I6602" s="221"/>
      <c r="J6602" s="221"/>
    </row>
    <row r="6603" spans="1:10" s="15" customFormat="1" ht="16.5" hidden="1" customHeight="1" outlineLevel="1" x14ac:dyDescent="0.25">
      <c r="A6603" s="18">
        <v>5737</v>
      </c>
      <c r="B6603" s="4" t="s">
        <v>43</v>
      </c>
      <c r="C6603" s="38" t="s">
        <v>4698</v>
      </c>
      <c r="D6603" s="18">
        <v>2022</v>
      </c>
      <c r="E6603" s="18" t="s">
        <v>0</v>
      </c>
      <c r="F6603" s="4">
        <v>1</v>
      </c>
      <c r="G6603" s="41">
        <v>7</v>
      </c>
      <c r="H6603" s="41">
        <v>10.603</v>
      </c>
      <c r="I6603" s="221"/>
      <c r="J6603" s="221"/>
    </row>
    <row r="6604" spans="1:10" s="15" customFormat="1" ht="16.5" hidden="1" customHeight="1" outlineLevel="1" x14ac:dyDescent="0.25">
      <c r="A6604" s="18">
        <v>5739</v>
      </c>
      <c r="B6604" s="4" t="s">
        <v>43</v>
      </c>
      <c r="C6604" s="38" t="s">
        <v>4699</v>
      </c>
      <c r="D6604" s="18">
        <v>2022</v>
      </c>
      <c r="E6604" s="18" t="s">
        <v>0</v>
      </c>
      <c r="F6604" s="4">
        <v>1</v>
      </c>
      <c r="G6604" s="41">
        <v>5</v>
      </c>
      <c r="H6604" s="41">
        <v>21.82</v>
      </c>
      <c r="I6604" s="221"/>
      <c r="J6604" s="221"/>
    </row>
    <row r="6605" spans="1:10" s="15" customFormat="1" ht="16.5" hidden="1" customHeight="1" outlineLevel="1" x14ac:dyDescent="0.25">
      <c r="A6605" s="18">
        <v>5743</v>
      </c>
      <c r="B6605" s="4" t="s">
        <v>43</v>
      </c>
      <c r="C6605" s="38" t="s">
        <v>4700</v>
      </c>
      <c r="D6605" s="18">
        <v>2022</v>
      </c>
      <c r="E6605" s="18" t="s">
        <v>0</v>
      </c>
      <c r="F6605" s="4">
        <v>1</v>
      </c>
      <c r="G6605" s="41">
        <v>0.2</v>
      </c>
      <c r="H6605" s="41">
        <v>21.768999999999998</v>
      </c>
      <c r="I6605" s="221"/>
      <c r="J6605" s="221"/>
    </row>
    <row r="6606" spans="1:10" s="15" customFormat="1" ht="16.5" hidden="1" customHeight="1" outlineLevel="1" x14ac:dyDescent="0.25">
      <c r="A6606" s="18">
        <v>5760</v>
      </c>
      <c r="B6606" s="4" t="s">
        <v>43</v>
      </c>
      <c r="C6606" s="38" t="s">
        <v>4701</v>
      </c>
      <c r="D6606" s="18">
        <v>2022</v>
      </c>
      <c r="E6606" s="18" t="s">
        <v>0</v>
      </c>
      <c r="F6606" s="4">
        <v>1</v>
      </c>
      <c r="G6606" s="41">
        <v>10</v>
      </c>
      <c r="H6606" s="41">
        <v>13.157</v>
      </c>
      <c r="I6606" s="221"/>
      <c r="J6606" s="221"/>
    </row>
    <row r="6607" spans="1:10" s="15" customFormat="1" ht="16.5" hidden="1" customHeight="1" outlineLevel="1" x14ac:dyDescent="0.25">
      <c r="A6607" s="18">
        <v>5771</v>
      </c>
      <c r="B6607" s="4" t="s">
        <v>43</v>
      </c>
      <c r="C6607" s="38" t="s">
        <v>4702</v>
      </c>
      <c r="D6607" s="18">
        <v>2022</v>
      </c>
      <c r="E6607" s="18" t="s">
        <v>0</v>
      </c>
      <c r="F6607" s="4">
        <v>1</v>
      </c>
      <c r="G6607" s="41">
        <v>15</v>
      </c>
      <c r="H6607" s="41">
        <v>13.464</v>
      </c>
      <c r="I6607" s="221"/>
      <c r="J6607" s="221"/>
    </row>
    <row r="6608" spans="1:10" s="15" customFormat="1" ht="16.5" hidden="1" customHeight="1" outlineLevel="1" x14ac:dyDescent="0.25">
      <c r="A6608" s="18">
        <v>5775</v>
      </c>
      <c r="B6608" s="4" t="s">
        <v>43</v>
      </c>
      <c r="C6608" s="38" t="s">
        <v>4703</v>
      </c>
      <c r="D6608" s="18">
        <v>2022</v>
      </c>
      <c r="E6608" s="18" t="s">
        <v>0</v>
      </c>
      <c r="F6608" s="4">
        <v>1</v>
      </c>
      <c r="G6608" s="41">
        <v>5</v>
      </c>
      <c r="H6608" s="41">
        <v>10.603</v>
      </c>
      <c r="I6608" s="221"/>
      <c r="J6608" s="221"/>
    </row>
    <row r="6609" spans="1:10" s="15" customFormat="1" ht="16.5" hidden="1" customHeight="1" outlineLevel="1" x14ac:dyDescent="0.25">
      <c r="A6609" s="18">
        <v>5784</v>
      </c>
      <c r="B6609" s="4" t="s">
        <v>43</v>
      </c>
      <c r="C6609" s="38" t="s">
        <v>4704</v>
      </c>
      <c r="D6609" s="18">
        <v>2022</v>
      </c>
      <c r="E6609" s="18" t="s">
        <v>0</v>
      </c>
      <c r="F6609" s="4">
        <v>1</v>
      </c>
      <c r="G6609" s="41">
        <v>5</v>
      </c>
      <c r="H6609" s="41">
        <v>10.369</v>
      </c>
      <c r="I6609" s="221"/>
      <c r="J6609" s="221"/>
    </row>
    <row r="6610" spans="1:10" s="15" customFormat="1" ht="16.5" hidden="1" customHeight="1" outlineLevel="1" x14ac:dyDescent="0.25">
      <c r="A6610" s="18">
        <v>5794</v>
      </c>
      <c r="B6610" s="4" t="s">
        <v>43</v>
      </c>
      <c r="C6610" s="38" t="s">
        <v>4705</v>
      </c>
      <c r="D6610" s="18">
        <v>2022</v>
      </c>
      <c r="E6610" s="18" t="s">
        <v>0</v>
      </c>
      <c r="F6610" s="4">
        <v>1</v>
      </c>
      <c r="G6610" s="41">
        <v>5</v>
      </c>
      <c r="H6610" s="41">
        <v>10.603</v>
      </c>
      <c r="I6610" s="221"/>
      <c r="J6610" s="221"/>
    </row>
    <row r="6611" spans="1:10" s="15" customFormat="1" ht="16.5" hidden="1" customHeight="1" outlineLevel="1" x14ac:dyDescent="0.25">
      <c r="A6611" s="18">
        <v>5805</v>
      </c>
      <c r="B6611" s="4" t="s">
        <v>43</v>
      </c>
      <c r="C6611" s="38" t="s">
        <v>4706</v>
      </c>
      <c r="D6611" s="18">
        <v>2022</v>
      </c>
      <c r="E6611" s="18" t="s">
        <v>0</v>
      </c>
      <c r="F6611" s="4">
        <v>1</v>
      </c>
      <c r="G6611" s="41">
        <v>10</v>
      </c>
      <c r="H6611" s="41">
        <v>16.547000000000001</v>
      </c>
      <c r="I6611" s="221"/>
      <c r="J6611" s="221"/>
    </row>
    <row r="6612" spans="1:10" s="15" customFormat="1" ht="16.5" hidden="1" customHeight="1" outlineLevel="1" x14ac:dyDescent="0.25">
      <c r="A6612" s="18">
        <v>5811</v>
      </c>
      <c r="B6612" s="4" t="s">
        <v>43</v>
      </c>
      <c r="C6612" s="38" t="s">
        <v>4707</v>
      </c>
      <c r="D6612" s="18">
        <v>2022</v>
      </c>
      <c r="E6612" s="18" t="s">
        <v>0</v>
      </c>
      <c r="F6612" s="4">
        <v>1</v>
      </c>
      <c r="G6612" s="41">
        <v>5</v>
      </c>
      <c r="H6612" s="41">
        <v>10.097</v>
      </c>
      <c r="I6612" s="221"/>
      <c r="J6612" s="221"/>
    </row>
    <row r="6613" spans="1:10" s="15" customFormat="1" ht="16.5" hidden="1" customHeight="1" outlineLevel="1" x14ac:dyDescent="0.25">
      <c r="A6613" s="18">
        <v>5819</v>
      </c>
      <c r="B6613" s="4" t="s">
        <v>43</v>
      </c>
      <c r="C6613" s="38" t="s">
        <v>4708</v>
      </c>
      <c r="D6613" s="18">
        <v>2022</v>
      </c>
      <c r="E6613" s="18" t="s">
        <v>0</v>
      </c>
      <c r="F6613" s="4">
        <v>1</v>
      </c>
      <c r="G6613" s="41">
        <v>3</v>
      </c>
      <c r="H6613" s="41">
        <v>11.553000000000001</v>
      </c>
      <c r="I6613" s="221"/>
      <c r="J6613" s="221"/>
    </row>
    <row r="6614" spans="1:10" s="15" customFormat="1" ht="16.5" hidden="1" customHeight="1" outlineLevel="1" x14ac:dyDescent="0.25">
      <c r="A6614" s="18">
        <v>5820</v>
      </c>
      <c r="B6614" s="4" t="s">
        <v>43</v>
      </c>
      <c r="C6614" s="38" t="s">
        <v>4709</v>
      </c>
      <c r="D6614" s="18">
        <v>2022</v>
      </c>
      <c r="E6614" s="18" t="s">
        <v>0</v>
      </c>
      <c r="F6614" s="4">
        <v>1</v>
      </c>
      <c r="G6614" s="41">
        <v>5</v>
      </c>
      <c r="H6614" s="41">
        <v>11.292999999999999</v>
      </c>
      <c r="I6614" s="221"/>
      <c r="J6614" s="221"/>
    </row>
    <row r="6615" spans="1:10" s="15" customFormat="1" ht="16.5" hidden="1" customHeight="1" outlineLevel="1" x14ac:dyDescent="0.25">
      <c r="A6615" s="18">
        <v>5821</v>
      </c>
      <c r="B6615" s="4" t="s">
        <v>43</v>
      </c>
      <c r="C6615" s="38" t="s">
        <v>4710</v>
      </c>
      <c r="D6615" s="18">
        <v>2022</v>
      </c>
      <c r="E6615" s="18" t="s">
        <v>0</v>
      </c>
      <c r="F6615" s="4">
        <v>1</v>
      </c>
      <c r="G6615" s="41">
        <v>5</v>
      </c>
      <c r="H6615" s="41">
        <v>11.554</v>
      </c>
      <c r="I6615" s="221"/>
      <c r="J6615" s="221"/>
    </row>
    <row r="6616" spans="1:10" s="15" customFormat="1" ht="16.5" hidden="1" customHeight="1" outlineLevel="1" x14ac:dyDescent="0.25">
      <c r="A6616" s="18">
        <v>5823</v>
      </c>
      <c r="B6616" s="4" t="s">
        <v>43</v>
      </c>
      <c r="C6616" s="38" t="s">
        <v>4711</v>
      </c>
      <c r="D6616" s="18">
        <v>2022</v>
      </c>
      <c r="E6616" s="18" t="s">
        <v>0</v>
      </c>
      <c r="F6616" s="4">
        <v>1</v>
      </c>
      <c r="G6616" s="41">
        <v>5</v>
      </c>
      <c r="H6616" s="41">
        <v>10.097</v>
      </c>
      <c r="I6616" s="221"/>
      <c r="J6616" s="221"/>
    </row>
    <row r="6617" spans="1:10" s="15" customFormat="1" ht="16.5" hidden="1" customHeight="1" outlineLevel="1" x14ac:dyDescent="0.25">
      <c r="A6617" s="18">
        <v>5831</v>
      </c>
      <c r="B6617" s="4" t="s">
        <v>43</v>
      </c>
      <c r="C6617" s="38" t="s">
        <v>4712</v>
      </c>
      <c r="D6617" s="18">
        <v>2022</v>
      </c>
      <c r="E6617" s="18" t="s">
        <v>0</v>
      </c>
      <c r="F6617" s="4">
        <v>1</v>
      </c>
      <c r="G6617" s="41">
        <v>15</v>
      </c>
      <c r="H6617" s="41">
        <v>12.582000000000001</v>
      </c>
      <c r="I6617" s="221"/>
      <c r="J6617" s="221"/>
    </row>
    <row r="6618" spans="1:10" s="15" customFormat="1" ht="16.5" hidden="1" customHeight="1" outlineLevel="1" x14ac:dyDescent="0.25">
      <c r="A6618" s="18">
        <v>5900</v>
      </c>
      <c r="B6618" s="4" t="s">
        <v>43</v>
      </c>
      <c r="C6618" s="38" t="s">
        <v>4713</v>
      </c>
      <c r="D6618" s="18">
        <v>2022</v>
      </c>
      <c r="E6618" s="18" t="s">
        <v>0</v>
      </c>
      <c r="F6618" s="4">
        <v>1</v>
      </c>
      <c r="G6618" s="41">
        <v>5</v>
      </c>
      <c r="H6618" s="41">
        <v>15.282</v>
      </c>
      <c r="I6618" s="221"/>
      <c r="J6618" s="221"/>
    </row>
    <row r="6619" spans="1:10" s="15" customFormat="1" ht="16.5" hidden="1" customHeight="1" outlineLevel="1" x14ac:dyDescent="0.25">
      <c r="A6619" s="18">
        <v>5453</v>
      </c>
      <c r="B6619" s="4" t="s">
        <v>43</v>
      </c>
      <c r="C6619" s="38" t="s">
        <v>4714</v>
      </c>
      <c r="D6619" s="18">
        <v>2022</v>
      </c>
      <c r="E6619" s="18" t="s">
        <v>0</v>
      </c>
      <c r="F6619" s="4">
        <v>1</v>
      </c>
      <c r="G6619" s="41">
        <v>15</v>
      </c>
      <c r="H6619" s="41">
        <v>26.497</v>
      </c>
      <c r="I6619" s="221"/>
      <c r="J6619" s="221"/>
    </row>
    <row r="6620" spans="1:10" s="15" customFormat="1" ht="16.5" hidden="1" customHeight="1" outlineLevel="1" x14ac:dyDescent="0.25">
      <c r="A6620" s="18">
        <v>5484</v>
      </c>
      <c r="B6620" s="4" t="s">
        <v>43</v>
      </c>
      <c r="C6620" s="38" t="s">
        <v>4715</v>
      </c>
      <c r="D6620" s="18">
        <v>2022</v>
      </c>
      <c r="E6620" s="18" t="s">
        <v>0</v>
      </c>
      <c r="F6620" s="4">
        <v>1</v>
      </c>
      <c r="G6620" s="41">
        <v>6.3</v>
      </c>
      <c r="H6620" s="41">
        <v>21.654</v>
      </c>
      <c r="I6620" s="221"/>
      <c r="J6620" s="221"/>
    </row>
    <row r="6621" spans="1:10" s="15" customFormat="1" ht="16.5" hidden="1" customHeight="1" outlineLevel="1" x14ac:dyDescent="0.25">
      <c r="A6621" s="18">
        <v>5565</v>
      </c>
      <c r="B6621" s="4" t="s">
        <v>43</v>
      </c>
      <c r="C6621" s="38" t="s">
        <v>4716</v>
      </c>
      <c r="D6621" s="18">
        <v>2022</v>
      </c>
      <c r="E6621" s="18" t="s">
        <v>0</v>
      </c>
      <c r="F6621" s="4">
        <v>1</v>
      </c>
      <c r="G6621" s="41">
        <v>15</v>
      </c>
      <c r="H6621" s="41">
        <v>21.602</v>
      </c>
      <c r="I6621" s="221"/>
      <c r="J6621" s="221"/>
    </row>
    <row r="6622" spans="1:10" s="15" customFormat="1" ht="16.5" hidden="1" customHeight="1" outlineLevel="1" x14ac:dyDescent="0.25">
      <c r="A6622" s="18">
        <v>5670</v>
      </c>
      <c r="B6622" s="4" t="s">
        <v>43</v>
      </c>
      <c r="C6622" s="38" t="s">
        <v>4717</v>
      </c>
      <c r="D6622" s="18">
        <v>2022</v>
      </c>
      <c r="E6622" s="18" t="s">
        <v>0</v>
      </c>
      <c r="F6622" s="4">
        <v>1</v>
      </c>
      <c r="G6622" s="41">
        <v>10</v>
      </c>
      <c r="H6622" s="41">
        <v>29.896999999999998</v>
      </c>
      <c r="I6622" s="221"/>
      <c r="J6622" s="221"/>
    </row>
    <row r="6623" spans="1:10" s="15" customFormat="1" ht="16.5" hidden="1" customHeight="1" outlineLevel="1" x14ac:dyDescent="0.25">
      <c r="A6623" s="18">
        <v>5683</v>
      </c>
      <c r="B6623" s="4" t="s">
        <v>43</v>
      </c>
      <c r="C6623" s="38" t="s">
        <v>4718</v>
      </c>
      <c r="D6623" s="18">
        <v>2022</v>
      </c>
      <c r="E6623" s="18" t="s">
        <v>0</v>
      </c>
      <c r="F6623" s="4">
        <v>1</v>
      </c>
      <c r="G6623" s="41">
        <v>10</v>
      </c>
      <c r="H6623" s="41">
        <v>22.603000000000002</v>
      </c>
      <c r="I6623" s="221"/>
      <c r="J6623" s="221"/>
    </row>
    <row r="6624" spans="1:10" s="15" customFormat="1" ht="16.5" hidden="1" customHeight="1" outlineLevel="1" x14ac:dyDescent="0.25">
      <c r="A6624" s="18">
        <v>5721</v>
      </c>
      <c r="B6624" s="4" t="s">
        <v>43</v>
      </c>
      <c r="C6624" s="38" t="s">
        <v>4719</v>
      </c>
      <c r="D6624" s="18">
        <v>2022</v>
      </c>
      <c r="E6624" s="18" t="s">
        <v>0</v>
      </c>
      <c r="F6624" s="4">
        <v>1</v>
      </c>
      <c r="G6624" s="41">
        <v>10</v>
      </c>
      <c r="H6624" s="41">
        <v>13.686</v>
      </c>
      <c r="I6624" s="221"/>
      <c r="J6624" s="221"/>
    </row>
    <row r="6625" spans="1:10" s="15" customFormat="1" ht="16.5" hidden="1" customHeight="1" outlineLevel="1" x14ac:dyDescent="0.25">
      <c r="A6625" s="18">
        <v>5733</v>
      </c>
      <c r="B6625" s="4" t="s">
        <v>43</v>
      </c>
      <c r="C6625" s="38" t="s">
        <v>4720</v>
      </c>
      <c r="D6625" s="18">
        <v>2022</v>
      </c>
      <c r="E6625" s="18" t="s">
        <v>0</v>
      </c>
      <c r="F6625" s="4">
        <v>1</v>
      </c>
      <c r="G6625" s="41">
        <v>7</v>
      </c>
      <c r="H6625" s="41">
        <v>13.522</v>
      </c>
      <c r="I6625" s="221"/>
      <c r="J6625" s="221"/>
    </row>
    <row r="6626" spans="1:10" s="15" customFormat="1" ht="16.5" hidden="1" customHeight="1" outlineLevel="1" x14ac:dyDescent="0.25">
      <c r="A6626" s="18">
        <v>5796</v>
      </c>
      <c r="B6626" s="4" t="s">
        <v>43</v>
      </c>
      <c r="C6626" s="38" t="s">
        <v>4721</v>
      </c>
      <c r="D6626" s="18">
        <v>2022</v>
      </c>
      <c r="E6626" s="18" t="s">
        <v>0</v>
      </c>
      <c r="F6626" s="4">
        <v>1</v>
      </c>
      <c r="G6626" s="41">
        <v>10</v>
      </c>
      <c r="H6626" s="41">
        <v>15.308</v>
      </c>
      <c r="I6626" s="221"/>
      <c r="J6626" s="221"/>
    </row>
    <row r="6627" spans="1:10" s="15" customFormat="1" ht="16.5" hidden="1" customHeight="1" outlineLevel="1" x14ac:dyDescent="0.25">
      <c r="A6627" s="18">
        <v>5799</v>
      </c>
      <c r="B6627" s="4" t="s">
        <v>43</v>
      </c>
      <c r="C6627" s="38" t="s">
        <v>4722</v>
      </c>
      <c r="D6627" s="18">
        <v>2022</v>
      </c>
      <c r="E6627" s="18" t="s">
        <v>0</v>
      </c>
      <c r="F6627" s="4">
        <v>1</v>
      </c>
      <c r="G6627" s="41">
        <v>5</v>
      </c>
      <c r="H6627" s="41">
        <v>10.856</v>
      </c>
      <c r="I6627" s="221"/>
      <c r="J6627" s="221"/>
    </row>
    <row r="6628" spans="1:10" s="15" customFormat="1" ht="16.5" hidden="1" customHeight="1" outlineLevel="1" x14ac:dyDescent="0.25">
      <c r="A6628" s="18">
        <v>5803</v>
      </c>
      <c r="B6628" s="4" t="s">
        <v>43</v>
      </c>
      <c r="C6628" s="38" t="s">
        <v>4723</v>
      </c>
      <c r="D6628" s="18">
        <v>2022</v>
      </c>
      <c r="E6628" s="18" t="s">
        <v>0</v>
      </c>
      <c r="F6628" s="4">
        <v>1</v>
      </c>
      <c r="G6628" s="41">
        <v>5</v>
      </c>
      <c r="H6628" s="41">
        <v>10.856</v>
      </c>
      <c r="I6628" s="221"/>
      <c r="J6628" s="221"/>
    </row>
    <row r="6629" spans="1:10" s="15" customFormat="1" ht="16.5" hidden="1" customHeight="1" outlineLevel="1" x14ac:dyDescent="0.25">
      <c r="A6629" s="18">
        <v>5814</v>
      </c>
      <c r="B6629" s="4" t="s">
        <v>43</v>
      </c>
      <c r="C6629" s="38" t="s">
        <v>4724</v>
      </c>
      <c r="D6629" s="18">
        <v>2022</v>
      </c>
      <c r="E6629" s="18" t="s">
        <v>0</v>
      </c>
      <c r="F6629" s="4">
        <v>1</v>
      </c>
      <c r="G6629" s="41">
        <v>10</v>
      </c>
      <c r="H6629" s="41">
        <v>15.769</v>
      </c>
      <c r="I6629" s="221"/>
      <c r="J6629" s="221"/>
    </row>
    <row r="6630" spans="1:10" s="15" customFormat="1" ht="16.5" hidden="1" customHeight="1" outlineLevel="1" x14ac:dyDescent="0.25">
      <c r="A6630" s="18">
        <v>5832</v>
      </c>
      <c r="B6630" s="4" t="s">
        <v>43</v>
      </c>
      <c r="C6630" s="38" t="s">
        <v>4725</v>
      </c>
      <c r="D6630" s="18">
        <v>2022</v>
      </c>
      <c r="E6630" s="18" t="s">
        <v>0</v>
      </c>
      <c r="F6630" s="4">
        <v>1</v>
      </c>
      <c r="G6630" s="41">
        <v>7</v>
      </c>
      <c r="H6630" s="41">
        <v>10.856</v>
      </c>
      <c r="I6630" s="221"/>
      <c r="J6630" s="221"/>
    </row>
    <row r="6631" spans="1:10" s="15" customFormat="1" ht="16.5" hidden="1" customHeight="1" outlineLevel="1" x14ac:dyDescent="0.25">
      <c r="A6631" s="18">
        <v>5441</v>
      </c>
      <c r="B6631" s="4" t="s">
        <v>43</v>
      </c>
      <c r="C6631" s="38" t="s">
        <v>4726</v>
      </c>
      <c r="D6631" s="18">
        <v>2022</v>
      </c>
      <c r="E6631" s="18" t="s">
        <v>0</v>
      </c>
      <c r="F6631" s="4">
        <v>1</v>
      </c>
      <c r="G6631" s="41">
        <v>15</v>
      </c>
      <c r="H6631" s="41">
        <v>27.181000000000001</v>
      </c>
      <c r="I6631" s="221"/>
      <c r="J6631" s="221"/>
    </row>
    <row r="6632" spans="1:10" s="15" customFormat="1" ht="16.5" hidden="1" customHeight="1" outlineLevel="1" x14ac:dyDescent="0.25">
      <c r="A6632" s="18">
        <v>5452</v>
      </c>
      <c r="B6632" s="4" t="s">
        <v>43</v>
      </c>
      <c r="C6632" s="38" t="s">
        <v>4727</v>
      </c>
      <c r="D6632" s="18">
        <v>2022</v>
      </c>
      <c r="E6632" s="18" t="s">
        <v>0</v>
      </c>
      <c r="F6632" s="4">
        <v>1</v>
      </c>
      <c r="G6632" s="41">
        <v>15</v>
      </c>
      <c r="H6632" s="41">
        <v>25.472999999999999</v>
      </c>
      <c r="I6632" s="221"/>
      <c r="J6632" s="221"/>
    </row>
    <row r="6633" spans="1:10" s="15" customFormat="1" ht="16.5" hidden="1" customHeight="1" outlineLevel="1" x14ac:dyDescent="0.25">
      <c r="A6633" s="18">
        <v>5465</v>
      </c>
      <c r="B6633" s="4" t="s">
        <v>43</v>
      </c>
      <c r="C6633" s="38" t="s">
        <v>4728</v>
      </c>
      <c r="D6633" s="18">
        <v>2022</v>
      </c>
      <c r="E6633" s="18" t="s">
        <v>0</v>
      </c>
      <c r="F6633" s="4">
        <v>1</v>
      </c>
      <c r="G6633" s="41">
        <v>10</v>
      </c>
      <c r="H6633" s="41">
        <v>17.271999999999998</v>
      </c>
      <c r="I6633" s="221"/>
      <c r="J6633" s="221"/>
    </row>
    <row r="6634" spans="1:10" s="15" customFormat="1" ht="16.5" hidden="1" customHeight="1" outlineLevel="1" x14ac:dyDescent="0.25">
      <c r="A6634" s="18">
        <v>5497</v>
      </c>
      <c r="B6634" s="4" t="s">
        <v>43</v>
      </c>
      <c r="C6634" s="38" t="s">
        <v>4729</v>
      </c>
      <c r="D6634" s="18">
        <v>2022</v>
      </c>
      <c r="E6634" s="18" t="s">
        <v>0</v>
      </c>
      <c r="F6634" s="4">
        <v>1</v>
      </c>
      <c r="G6634" s="41">
        <v>15</v>
      </c>
      <c r="H6634" s="41">
        <v>14.347</v>
      </c>
      <c r="I6634" s="221"/>
      <c r="J6634" s="221"/>
    </row>
    <row r="6635" spans="1:10" s="15" customFormat="1" ht="16.5" hidden="1" customHeight="1" outlineLevel="1" x14ac:dyDescent="0.25">
      <c r="A6635" s="18">
        <v>5564</v>
      </c>
      <c r="B6635" s="4" t="s">
        <v>43</v>
      </c>
      <c r="C6635" s="38" t="s">
        <v>4730</v>
      </c>
      <c r="D6635" s="18">
        <v>2022</v>
      </c>
      <c r="E6635" s="18" t="s">
        <v>0</v>
      </c>
      <c r="F6635" s="4">
        <v>1</v>
      </c>
      <c r="G6635" s="41">
        <v>15</v>
      </c>
      <c r="H6635" s="41">
        <v>20.044</v>
      </c>
      <c r="I6635" s="221"/>
      <c r="J6635" s="221"/>
    </row>
    <row r="6636" spans="1:10" s="15" customFormat="1" ht="16.5" hidden="1" customHeight="1" outlineLevel="1" x14ac:dyDescent="0.25">
      <c r="A6636" s="18">
        <v>5609</v>
      </c>
      <c r="B6636" s="4" t="s">
        <v>43</v>
      </c>
      <c r="C6636" s="38" t="s">
        <v>4731</v>
      </c>
      <c r="D6636" s="18">
        <v>2022</v>
      </c>
      <c r="E6636" s="18" t="s">
        <v>0</v>
      </c>
      <c r="F6636" s="4">
        <v>1</v>
      </c>
      <c r="G6636" s="41">
        <v>15</v>
      </c>
      <c r="H6636" s="41">
        <v>20.523</v>
      </c>
      <c r="I6636" s="221"/>
      <c r="J6636" s="221"/>
    </row>
    <row r="6637" spans="1:10" s="15" customFormat="1" ht="16.5" hidden="1" customHeight="1" outlineLevel="1" x14ac:dyDescent="0.25">
      <c r="A6637" s="18">
        <v>5845</v>
      </c>
      <c r="B6637" s="4" t="s">
        <v>43</v>
      </c>
      <c r="C6637" s="38" t="s">
        <v>4732</v>
      </c>
      <c r="D6637" s="18">
        <v>2022</v>
      </c>
      <c r="E6637" s="18" t="s">
        <v>0</v>
      </c>
      <c r="F6637" s="4">
        <v>1</v>
      </c>
      <c r="G6637" s="41">
        <v>5</v>
      </c>
      <c r="H6637" s="41">
        <v>13.259</v>
      </c>
      <c r="I6637" s="221"/>
      <c r="J6637" s="221"/>
    </row>
    <row r="6638" spans="1:10" s="15" customFormat="1" ht="16.5" hidden="1" customHeight="1" outlineLevel="1" x14ac:dyDescent="0.25">
      <c r="A6638" s="18">
        <v>5846</v>
      </c>
      <c r="B6638" s="4" t="s">
        <v>43</v>
      </c>
      <c r="C6638" s="38" t="s">
        <v>4733</v>
      </c>
      <c r="D6638" s="18">
        <v>2022</v>
      </c>
      <c r="E6638" s="18" t="s">
        <v>0</v>
      </c>
      <c r="F6638" s="4">
        <v>1</v>
      </c>
      <c r="G6638" s="41">
        <v>5</v>
      </c>
      <c r="H6638" s="41">
        <v>13.295999999999999</v>
      </c>
      <c r="I6638" s="221"/>
      <c r="J6638" s="221"/>
    </row>
    <row r="6639" spans="1:10" s="15" customFormat="1" ht="16.5" hidden="1" customHeight="1" outlineLevel="1" x14ac:dyDescent="0.25">
      <c r="A6639" s="18">
        <v>5847</v>
      </c>
      <c r="B6639" s="4" t="s">
        <v>43</v>
      </c>
      <c r="C6639" s="38" t="s">
        <v>4734</v>
      </c>
      <c r="D6639" s="18">
        <v>2022</v>
      </c>
      <c r="E6639" s="18" t="s">
        <v>0</v>
      </c>
      <c r="F6639" s="4">
        <v>1</v>
      </c>
      <c r="G6639" s="41">
        <v>5</v>
      </c>
      <c r="H6639" s="41">
        <v>13.288</v>
      </c>
      <c r="I6639" s="221"/>
      <c r="J6639" s="221"/>
    </row>
    <row r="6640" spans="1:10" s="15" customFormat="1" ht="16.5" hidden="1" customHeight="1" outlineLevel="1" x14ac:dyDescent="0.25">
      <c r="A6640" s="18">
        <v>5859</v>
      </c>
      <c r="B6640" s="4" t="s">
        <v>43</v>
      </c>
      <c r="C6640" s="38" t="s">
        <v>4735</v>
      </c>
      <c r="D6640" s="18">
        <v>2022</v>
      </c>
      <c r="E6640" s="18" t="s">
        <v>0</v>
      </c>
      <c r="F6640" s="4">
        <v>1</v>
      </c>
      <c r="G6640" s="41">
        <v>2.2000000000000002</v>
      </c>
      <c r="H6640" s="41">
        <v>10.39</v>
      </c>
      <c r="I6640" s="221"/>
      <c r="J6640" s="221"/>
    </row>
    <row r="6641" spans="1:10" s="15" customFormat="1" ht="16.5" hidden="1" customHeight="1" outlineLevel="1" x14ac:dyDescent="0.25">
      <c r="A6641" s="18">
        <v>5865</v>
      </c>
      <c r="B6641" s="4" t="s">
        <v>43</v>
      </c>
      <c r="C6641" s="38" t="s">
        <v>4736</v>
      </c>
      <c r="D6641" s="18">
        <v>2022</v>
      </c>
      <c r="E6641" s="18" t="s">
        <v>0</v>
      </c>
      <c r="F6641" s="4">
        <v>1</v>
      </c>
      <c r="G6641" s="41">
        <v>7</v>
      </c>
      <c r="H6641" s="41">
        <v>10.932</v>
      </c>
      <c r="I6641" s="221"/>
      <c r="J6641" s="221"/>
    </row>
    <row r="6642" spans="1:10" s="15" customFormat="1" ht="16.5" hidden="1" customHeight="1" outlineLevel="1" x14ac:dyDescent="0.25">
      <c r="A6642" s="18">
        <v>5490</v>
      </c>
      <c r="B6642" s="4" t="s">
        <v>43</v>
      </c>
      <c r="C6642" s="38" t="s">
        <v>4737</v>
      </c>
      <c r="D6642" s="18">
        <v>2022</v>
      </c>
      <c r="E6642" s="18" t="s">
        <v>0</v>
      </c>
      <c r="F6642" s="4">
        <v>1</v>
      </c>
      <c r="G6642" s="41">
        <v>5</v>
      </c>
      <c r="H6642" s="41">
        <v>16.638999999999999</v>
      </c>
      <c r="I6642" s="221"/>
      <c r="J6642" s="221"/>
    </row>
    <row r="6643" spans="1:10" s="15" customFormat="1" ht="16.5" hidden="1" customHeight="1" outlineLevel="1" x14ac:dyDescent="0.25">
      <c r="A6643" s="18">
        <v>5539</v>
      </c>
      <c r="B6643" s="4" t="s">
        <v>43</v>
      </c>
      <c r="C6643" s="38" t="s">
        <v>4738</v>
      </c>
      <c r="D6643" s="18">
        <v>2022</v>
      </c>
      <c r="E6643" s="18" t="s">
        <v>0</v>
      </c>
      <c r="F6643" s="4" t="s">
        <v>1109</v>
      </c>
      <c r="G6643" s="41">
        <v>0.44</v>
      </c>
      <c r="H6643" s="41">
        <v>18.989000000000001</v>
      </c>
      <c r="I6643" s="221"/>
      <c r="J6643" s="221"/>
    </row>
    <row r="6644" spans="1:10" s="15" customFormat="1" ht="16.5" hidden="1" customHeight="1" outlineLevel="1" x14ac:dyDescent="0.25">
      <c r="A6644" s="18">
        <v>115</v>
      </c>
      <c r="B6644" s="4" t="s">
        <v>43</v>
      </c>
      <c r="C6644" s="38" t="s">
        <v>2573</v>
      </c>
      <c r="D6644" s="18">
        <v>2022</v>
      </c>
      <c r="E6644" s="18" t="s">
        <v>0</v>
      </c>
      <c r="F6644" s="4">
        <v>1</v>
      </c>
      <c r="G6644" s="41">
        <v>5</v>
      </c>
      <c r="H6644" s="41">
        <v>24</v>
      </c>
      <c r="I6644" s="221"/>
      <c r="J6644" s="221"/>
    </row>
    <row r="6645" spans="1:10" s="15" customFormat="1" ht="16.5" hidden="1" customHeight="1" outlineLevel="1" x14ac:dyDescent="0.25">
      <c r="A6645" s="18">
        <v>204</v>
      </c>
      <c r="B6645" s="4" t="s">
        <v>43</v>
      </c>
      <c r="C6645" s="38" t="s">
        <v>2592</v>
      </c>
      <c r="D6645" s="18">
        <v>2022</v>
      </c>
      <c r="E6645" s="18" t="s">
        <v>0</v>
      </c>
      <c r="F6645" s="4">
        <v>1</v>
      </c>
      <c r="G6645" s="41">
        <v>5</v>
      </c>
      <c r="H6645" s="41">
        <v>35</v>
      </c>
      <c r="I6645" s="221"/>
      <c r="J6645" s="221"/>
    </row>
    <row r="6646" spans="1:10" s="15" customFormat="1" ht="16.5" hidden="1" customHeight="1" outlineLevel="1" x14ac:dyDescent="0.25">
      <c r="A6646" s="18">
        <v>146</v>
      </c>
      <c r="B6646" s="4" t="s">
        <v>43</v>
      </c>
      <c r="C6646" s="38" t="s">
        <v>2601</v>
      </c>
      <c r="D6646" s="18">
        <v>2022</v>
      </c>
      <c r="E6646" s="18" t="s">
        <v>0</v>
      </c>
      <c r="F6646" s="4">
        <v>1</v>
      </c>
      <c r="G6646" s="41">
        <v>10</v>
      </c>
      <c r="H6646" s="41">
        <v>29</v>
      </c>
      <c r="I6646" s="221"/>
      <c r="J6646" s="221"/>
    </row>
    <row r="6647" spans="1:10" s="15" customFormat="1" ht="16.5" hidden="1" customHeight="1" outlineLevel="1" x14ac:dyDescent="0.25">
      <c r="A6647" s="18">
        <v>40</v>
      </c>
      <c r="B6647" s="4" t="s">
        <v>43</v>
      </c>
      <c r="C6647" s="38" t="s">
        <v>2631</v>
      </c>
      <c r="D6647" s="18">
        <v>2022</v>
      </c>
      <c r="E6647" s="18" t="s">
        <v>0</v>
      </c>
      <c r="F6647" s="4">
        <v>3</v>
      </c>
      <c r="G6647" s="41">
        <v>15</v>
      </c>
      <c r="H6647" s="41">
        <v>42</v>
      </c>
      <c r="I6647" s="221"/>
      <c r="J6647" s="221"/>
    </row>
    <row r="6648" spans="1:10" s="15" customFormat="1" ht="16.5" hidden="1" customHeight="1" outlineLevel="1" x14ac:dyDescent="0.25">
      <c r="A6648" s="18">
        <v>28</v>
      </c>
      <c r="B6648" s="4" t="s">
        <v>43</v>
      </c>
      <c r="C6648" s="38" t="s">
        <v>2643</v>
      </c>
      <c r="D6648" s="18">
        <v>2022</v>
      </c>
      <c r="E6648" s="18" t="s">
        <v>0</v>
      </c>
      <c r="F6648" s="4">
        <v>1</v>
      </c>
      <c r="G6648" s="41">
        <v>5</v>
      </c>
      <c r="H6648" s="41">
        <v>16</v>
      </c>
      <c r="I6648" s="221"/>
      <c r="J6648" s="221"/>
    </row>
    <row r="6649" spans="1:10" s="15" customFormat="1" ht="16.5" hidden="1" customHeight="1" outlineLevel="1" x14ac:dyDescent="0.25">
      <c r="A6649" s="18">
        <v>24</v>
      </c>
      <c r="B6649" s="4" t="s">
        <v>43</v>
      </c>
      <c r="C6649" s="38" t="s">
        <v>2645</v>
      </c>
      <c r="D6649" s="18">
        <v>2022</v>
      </c>
      <c r="E6649" s="18" t="s">
        <v>0</v>
      </c>
      <c r="F6649" s="4">
        <v>1</v>
      </c>
      <c r="G6649" s="41">
        <v>3</v>
      </c>
      <c r="H6649" s="41">
        <v>17</v>
      </c>
      <c r="I6649" s="221"/>
      <c r="J6649" s="221"/>
    </row>
    <row r="6650" spans="1:10" s="15" customFormat="1" ht="16.5" hidden="1" customHeight="1" outlineLevel="1" x14ac:dyDescent="0.25">
      <c r="A6650" s="18">
        <v>91</v>
      </c>
      <c r="B6650" s="4" t="s">
        <v>43</v>
      </c>
      <c r="C6650" s="38" t="s">
        <v>2649</v>
      </c>
      <c r="D6650" s="18">
        <v>2022</v>
      </c>
      <c r="E6650" s="18" t="s">
        <v>0</v>
      </c>
      <c r="F6650" s="4">
        <v>1</v>
      </c>
      <c r="G6650" s="41">
        <v>5</v>
      </c>
      <c r="H6650" s="41">
        <v>17</v>
      </c>
      <c r="I6650" s="221"/>
      <c r="J6650" s="221"/>
    </row>
    <row r="6651" spans="1:10" s="15" customFormat="1" ht="16.5" hidden="1" customHeight="1" outlineLevel="1" x14ac:dyDescent="0.25">
      <c r="A6651" s="18">
        <v>46</v>
      </c>
      <c r="B6651" s="4" t="s">
        <v>43</v>
      </c>
      <c r="C6651" s="38" t="s">
        <v>2650</v>
      </c>
      <c r="D6651" s="18">
        <v>2022</v>
      </c>
      <c r="E6651" s="18" t="s">
        <v>0</v>
      </c>
      <c r="F6651" s="4">
        <v>1</v>
      </c>
      <c r="G6651" s="41">
        <v>50</v>
      </c>
      <c r="H6651" s="41">
        <v>38</v>
      </c>
      <c r="I6651" s="221"/>
      <c r="J6651" s="221"/>
    </row>
    <row r="6652" spans="1:10" s="15" customFormat="1" ht="16.5" hidden="1" customHeight="1" outlineLevel="1" x14ac:dyDescent="0.25">
      <c r="A6652" s="18">
        <v>92</v>
      </c>
      <c r="B6652" s="4" t="s">
        <v>43</v>
      </c>
      <c r="C6652" s="38" t="s">
        <v>2652</v>
      </c>
      <c r="D6652" s="18">
        <v>2022</v>
      </c>
      <c r="E6652" s="18" t="s">
        <v>0</v>
      </c>
      <c r="F6652" s="4">
        <v>1</v>
      </c>
      <c r="G6652" s="41">
        <v>6</v>
      </c>
      <c r="H6652" s="41">
        <v>17</v>
      </c>
      <c r="I6652" s="221"/>
      <c r="J6652" s="221"/>
    </row>
    <row r="6653" spans="1:10" s="15" customFormat="1" ht="16.5" hidden="1" customHeight="1" outlineLevel="1" x14ac:dyDescent="0.25">
      <c r="A6653" s="18">
        <v>176</v>
      </c>
      <c r="B6653" s="4" t="s">
        <v>43</v>
      </c>
      <c r="C6653" s="38" t="s">
        <v>4739</v>
      </c>
      <c r="D6653" s="18">
        <v>2022</v>
      </c>
      <c r="E6653" s="18" t="s">
        <v>0</v>
      </c>
      <c r="F6653" s="4">
        <v>24</v>
      </c>
      <c r="G6653" s="41">
        <v>159</v>
      </c>
      <c r="H6653" s="41">
        <v>281</v>
      </c>
      <c r="I6653" s="221"/>
      <c r="J6653" s="221"/>
    </row>
    <row r="6654" spans="1:10" s="15" customFormat="1" ht="16.5" hidden="1" customHeight="1" outlineLevel="1" x14ac:dyDescent="0.25">
      <c r="A6654" s="18">
        <v>162</v>
      </c>
      <c r="B6654" s="4" t="s">
        <v>43</v>
      </c>
      <c r="C6654" s="38" t="s">
        <v>4740</v>
      </c>
      <c r="D6654" s="18">
        <v>2022</v>
      </c>
      <c r="E6654" s="18" t="s">
        <v>0</v>
      </c>
      <c r="F6654" s="4">
        <v>2</v>
      </c>
      <c r="G6654" s="41">
        <v>10</v>
      </c>
      <c r="H6654" s="41">
        <v>25</v>
      </c>
      <c r="I6654" s="221"/>
      <c r="J6654" s="221"/>
    </row>
    <row r="6655" spans="1:10" s="15" customFormat="1" ht="16.5" hidden="1" customHeight="1" outlineLevel="1" x14ac:dyDescent="0.25">
      <c r="A6655" s="18">
        <v>160</v>
      </c>
      <c r="B6655" s="4" t="s">
        <v>43</v>
      </c>
      <c r="C6655" s="38" t="s">
        <v>4741</v>
      </c>
      <c r="D6655" s="18">
        <v>2022</v>
      </c>
      <c r="E6655" s="18" t="s">
        <v>0</v>
      </c>
      <c r="F6655" s="4">
        <v>1</v>
      </c>
      <c r="G6655" s="41">
        <v>5</v>
      </c>
      <c r="H6655" s="41">
        <v>12</v>
      </c>
      <c r="I6655" s="221"/>
      <c r="J6655" s="221"/>
    </row>
    <row r="6656" spans="1:10" s="15" customFormat="1" ht="16.5" hidden="1" customHeight="1" outlineLevel="1" x14ac:dyDescent="0.25">
      <c r="A6656" s="18">
        <v>167</v>
      </c>
      <c r="B6656" s="4" t="s">
        <v>43</v>
      </c>
      <c r="C6656" s="38" t="s">
        <v>4742</v>
      </c>
      <c r="D6656" s="18">
        <v>2022</v>
      </c>
      <c r="E6656" s="18" t="s">
        <v>0</v>
      </c>
      <c r="F6656" s="4">
        <v>2</v>
      </c>
      <c r="G6656" s="41">
        <v>10</v>
      </c>
      <c r="H6656" s="41">
        <v>24</v>
      </c>
      <c r="I6656" s="221"/>
      <c r="J6656" s="221"/>
    </row>
    <row r="6657" spans="1:10" s="15" customFormat="1" ht="16.5" hidden="1" customHeight="1" outlineLevel="1" x14ac:dyDescent="0.25">
      <c r="A6657" s="18">
        <v>168</v>
      </c>
      <c r="B6657" s="4" t="s">
        <v>43</v>
      </c>
      <c r="C6657" s="38" t="s">
        <v>4743</v>
      </c>
      <c r="D6657" s="18">
        <v>2022</v>
      </c>
      <c r="E6657" s="18" t="s">
        <v>0</v>
      </c>
      <c r="F6657" s="4">
        <v>1</v>
      </c>
      <c r="G6657" s="41">
        <v>5</v>
      </c>
      <c r="H6657" s="41">
        <v>12</v>
      </c>
      <c r="I6657" s="221"/>
      <c r="J6657" s="221"/>
    </row>
    <row r="6658" spans="1:10" s="15" customFormat="1" ht="16.5" hidden="1" customHeight="1" outlineLevel="1" x14ac:dyDescent="0.25">
      <c r="A6658" s="18">
        <v>198</v>
      </c>
      <c r="B6658" s="4" t="s">
        <v>43</v>
      </c>
      <c r="C6658" s="38" t="s">
        <v>4744</v>
      </c>
      <c r="D6658" s="18">
        <v>2022</v>
      </c>
      <c r="E6658" s="18" t="s">
        <v>0</v>
      </c>
      <c r="F6658" s="4">
        <v>1</v>
      </c>
      <c r="G6658" s="41">
        <v>15</v>
      </c>
      <c r="H6658" s="41">
        <v>11</v>
      </c>
      <c r="I6658" s="221"/>
      <c r="J6658" s="221"/>
    </row>
    <row r="6659" spans="1:10" s="15" customFormat="1" ht="16.5" hidden="1" customHeight="1" outlineLevel="1" x14ac:dyDescent="0.25">
      <c r="A6659" s="18">
        <v>226</v>
      </c>
      <c r="B6659" s="4" t="s">
        <v>43</v>
      </c>
      <c r="C6659" s="38" t="s">
        <v>4745</v>
      </c>
      <c r="D6659" s="18">
        <v>2022</v>
      </c>
      <c r="E6659" s="18" t="s">
        <v>0</v>
      </c>
      <c r="F6659" s="4">
        <v>1</v>
      </c>
      <c r="G6659" s="41">
        <v>5</v>
      </c>
      <c r="H6659" s="41">
        <v>10</v>
      </c>
      <c r="I6659" s="221"/>
      <c r="J6659" s="221"/>
    </row>
    <row r="6660" spans="1:10" s="15" customFormat="1" ht="16.5" hidden="1" customHeight="1" outlineLevel="1" x14ac:dyDescent="0.25">
      <c r="A6660" s="18">
        <v>49</v>
      </c>
      <c r="B6660" s="4" t="s">
        <v>43</v>
      </c>
      <c r="C6660" s="38" t="s">
        <v>4746</v>
      </c>
      <c r="D6660" s="18">
        <v>2022</v>
      </c>
      <c r="E6660" s="18" t="s">
        <v>0</v>
      </c>
      <c r="F6660" s="4">
        <v>1</v>
      </c>
      <c r="G6660" s="41">
        <v>5</v>
      </c>
      <c r="H6660" s="41">
        <v>13</v>
      </c>
      <c r="I6660" s="221"/>
      <c r="J6660" s="221"/>
    </row>
    <row r="6661" spans="1:10" s="15" customFormat="1" ht="16.5" hidden="1" customHeight="1" outlineLevel="1" x14ac:dyDescent="0.25">
      <c r="A6661" s="18">
        <v>53</v>
      </c>
      <c r="B6661" s="4" t="s">
        <v>43</v>
      </c>
      <c r="C6661" s="38" t="s">
        <v>4747</v>
      </c>
      <c r="D6661" s="18">
        <v>2022</v>
      </c>
      <c r="E6661" s="18" t="s">
        <v>0</v>
      </c>
      <c r="F6661" s="4">
        <v>1</v>
      </c>
      <c r="G6661" s="41">
        <v>3</v>
      </c>
      <c r="H6661" s="41">
        <v>13</v>
      </c>
      <c r="I6661" s="221"/>
      <c r="J6661" s="221"/>
    </row>
    <row r="6662" spans="1:10" s="15" customFormat="1" ht="16.5" hidden="1" customHeight="1" outlineLevel="1" x14ac:dyDescent="0.25">
      <c r="A6662" s="18">
        <v>58</v>
      </c>
      <c r="B6662" s="4" t="s">
        <v>43</v>
      </c>
      <c r="C6662" s="38" t="s">
        <v>4748</v>
      </c>
      <c r="D6662" s="18">
        <v>2022</v>
      </c>
      <c r="E6662" s="18" t="s">
        <v>0</v>
      </c>
      <c r="F6662" s="4">
        <v>1</v>
      </c>
      <c r="G6662" s="41">
        <v>5</v>
      </c>
      <c r="H6662" s="41">
        <v>13</v>
      </c>
      <c r="I6662" s="221"/>
      <c r="J6662" s="221"/>
    </row>
    <row r="6663" spans="1:10" s="15" customFormat="1" ht="16.5" hidden="1" customHeight="1" outlineLevel="1" x14ac:dyDescent="0.25">
      <c r="A6663" s="18">
        <v>52</v>
      </c>
      <c r="B6663" s="4" t="s">
        <v>43</v>
      </c>
      <c r="C6663" s="38" t="s">
        <v>4749</v>
      </c>
      <c r="D6663" s="18">
        <v>2022</v>
      </c>
      <c r="E6663" s="18" t="s">
        <v>0</v>
      </c>
      <c r="F6663" s="4">
        <v>1</v>
      </c>
      <c r="G6663" s="41">
        <v>5</v>
      </c>
      <c r="H6663" s="41">
        <v>13</v>
      </c>
      <c r="I6663" s="221"/>
      <c r="J6663" s="221"/>
    </row>
    <row r="6664" spans="1:10" s="15" customFormat="1" ht="16.5" hidden="1" customHeight="1" outlineLevel="1" x14ac:dyDescent="0.25">
      <c r="A6664" s="18">
        <v>54</v>
      </c>
      <c r="B6664" s="4" t="s">
        <v>43</v>
      </c>
      <c r="C6664" s="38" t="s">
        <v>4750</v>
      </c>
      <c r="D6664" s="18">
        <v>2022</v>
      </c>
      <c r="E6664" s="18" t="s">
        <v>0</v>
      </c>
      <c r="F6664" s="4">
        <v>1</v>
      </c>
      <c r="G6664" s="41">
        <v>5</v>
      </c>
      <c r="H6664" s="41">
        <v>13</v>
      </c>
      <c r="I6664" s="221"/>
      <c r="J6664" s="221"/>
    </row>
    <row r="6665" spans="1:10" s="15" customFormat="1" ht="16.5" hidden="1" customHeight="1" outlineLevel="1" x14ac:dyDescent="0.25">
      <c r="A6665" s="18">
        <v>123</v>
      </c>
      <c r="B6665" s="4" t="s">
        <v>43</v>
      </c>
      <c r="C6665" s="38" t="s">
        <v>4751</v>
      </c>
      <c r="D6665" s="18">
        <v>2022</v>
      </c>
      <c r="E6665" s="18" t="s">
        <v>0</v>
      </c>
      <c r="F6665" s="4">
        <v>1</v>
      </c>
      <c r="G6665" s="41">
        <v>7</v>
      </c>
      <c r="H6665" s="41">
        <v>13</v>
      </c>
      <c r="I6665" s="221"/>
      <c r="J6665" s="221"/>
    </row>
    <row r="6666" spans="1:10" s="15" customFormat="1" ht="16.5" hidden="1" customHeight="1" outlineLevel="1" x14ac:dyDescent="0.25">
      <c r="A6666" s="18">
        <v>72</v>
      </c>
      <c r="B6666" s="4" t="s">
        <v>43</v>
      </c>
      <c r="C6666" s="38" t="s">
        <v>4752</v>
      </c>
      <c r="D6666" s="18">
        <v>2022</v>
      </c>
      <c r="E6666" s="18" t="s">
        <v>0</v>
      </c>
      <c r="F6666" s="4">
        <v>8</v>
      </c>
      <c r="G6666" s="41">
        <v>35</v>
      </c>
      <c r="H6666" s="41">
        <v>104</v>
      </c>
      <c r="I6666" s="221"/>
      <c r="J6666" s="221"/>
    </row>
    <row r="6667" spans="1:10" s="15" customFormat="1" ht="16.5" hidden="1" customHeight="1" outlineLevel="1" x14ac:dyDescent="0.25">
      <c r="A6667" s="18">
        <v>98</v>
      </c>
      <c r="B6667" s="4" t="s">
        <v>43</v>
      </c>
      <c r="C6667" s="38" t="s">
        <v>4753</v>
      </c>
      <c r="D6667" s="18">
        <v>2022</v>
      </c>
      <c r="E6667" s="18" t="s">
        <v>0</v>
      </c>
      <c r="F6667" s="4">
        <v>217</v>
      </c>
      <c r="G6667" s="41">
        <v>1469.04</v>
      </c>
      <c r="H6667" s="41">
        <v>2999</v>
      </c>
      <c r="I6667" s="221"/>
      <c r="J6667" s="221"/>
    </row>
    <row r="6668" spans="1:10" s="15" customFormat="1" ht="16.5" hidden="1" customHeight="1" outlineLevel="1" x14ac:dyDescent="0.25">
      <c r="A6668" s="18">
        <v>67</v>
      </c>
      <c r="B6668" s="4" t="s">
        <v>43</v>
      </c>
      <c r="C6668" s="38" t="s">
        <v>4754</v>
      </c>
      <c r="D6668" s="18">
        <v>2022</v>
      </c>
      <c r="E6668" s="18" t="s">
        <v>0</v>
      </c>
      <c r="F6668" s="4">
        <v>1</v>
      </c>
      <c r="G6668" s="41">
        <v>5</v>
      </c>
      <c r="H6668" s="41">
        <v>14</v>
      </c>
      <c r="I6668" s="221"/>
      <c r="J6668" s="221"/>
    </row>
    <row r="6669" spans="1:10" s="15" customFormat="1" ht="16.5" hidden="1" customHeight="1" outlineLevel="1" x14ac:dyDescent="0.25">
      <c r="A6669" s="18">
        <v>63</v>
      </c>
      <c r="B6669" s="4" t="s">
        <v>43</v>
      </c>
      <c r="C6669" s="38" t="s">
        <v>4755</v>
      </c>
      <c r="D6669" s="18">
        <v>2022</v>
      </c>
      <c r="E6669" s="18" t="s">
        <v>0</v>
      </c>
      <c r="F6669" s="4">
        <v>1</v>
      </c>
      <c r="G6669" s="41">
        <v>5</v>
      </c>
      <c r="H6669" s="41">
        <v>14</v>
      </c>
      <c r="I6669" s="221"/>
      <c r="J6669" s="221"/>
    </row>
    <row r="6670" spans="1:10" s="15" customFormat="1" ht="16.5" hidden="1" customHeight="1" outlineLevel="1" x14ac:dyDescent="0.25">
      <c r="A6670" s="18">
        <v>65</v>
      </c>
      <c r="B6670" s="4" t="s">
        <v>43</v>
      </c>
      <c r="C6670" s="38" t="s">
        <v>4756</v>
      </c>
      <c r="D6670" s="18">
        <v>2022</v>
      </c>
      <c r="E6670" s="18" t="s">
        <v>0</v>
      </c>
      <c r="F6670" s="4">
        <v>1</v>
      </c>
      <c r="G6670" s="41">
        <v>5</v>
      </c>
      <c r="H6670" s="41">
        <v>14</v>
      </c>
      <c r="I6670" s="221"/>
      <c r="J6670" s="221"/>
    </row>
    <row r="6671" spans="1:10" s="15" customFormat="1" ht="16.5" hidden="1" customHeight="1" outlineLevel="1" x14ac:dyDescent="0.25">
      <c r="A6671" s="18">
        <v>59</v>
      </c>
      <c r="B6671" s="4" t="s">
        <v>43</v>
      </c>
      <c r="C6671" s="38" t="s">
        <v>4757</v>
      </c>
      <c r="D6671" s="18">
        <v>2022</v>
      </c>
      <c r="E6671" s="18" t="s">
        <v>0</v>
      </c>
      <c r="F6671" s="4">
        <v>1</v>
      </c>
      <c r="G6671" s="41">
        <v>5</v>
      </c>
      <c r="H6671" s="41">
        <v>14</v>
      </c>
      <c r="I6671" s="221"/>
      <c r="J6671" s="221"/>
    </row>
    <row r="6672" spans="1:10" s="15" customFormat="1" ht="16.5" hidden="1" customHeight="1" outlineLevel="1" x14ac:dyDescent="0.25">
      <c r="A6672" s="18">
        <v>75</v>
      </c>
      <c r="B6672" s="4" t="s">
        <v>43</v>
      </c>
      <c r="C6672" s="38" t="s">
        <v>4758</v>
      </c>
      <c r="D6672" s="18">
        <v>2022</v>
      </c>
      <c r="E6672" s="18" t="s">
        <v>0</v>
      </c>
      <c r="F6672" s="4">
        <v>1</v>
      </c>
      <c r="G6672" s="41">
        <v>3</v>
      </c>
      <c r="H6672" s="41">
        <v>14</v>
      </c>
      <c r="I6672" s="221"/>
      <c r="J6672" s="221"/>
    </row>
    <row r="6673" spans="1:10" s="15" customFormat="1" ht="16.5" hidden="1" customHeight="1" outlineLevel="1" x14ac:dyDescent="0.25">
      <c r="A6673" s="18">
        <v>282</v>
      </c>
      <c r="B6673" s="4" t="s">
        <v>43</v>
      </c>
      <c r="C6673" s="38" t="s">
        <v>2863</v>
      </c>
      <c r="D6673" s="18">
        <v>2022</v>
      </c>
      <c r="E6673" s="18" t="s">
        <v>0</v>
      </c>
      <c r="F6673" s="4">
        <v>22</v>
      </c>
      <c r="G6673" s="41">
        <v>160</v>
      </c>
      <c r="H6673" s="41">
        <v>515</v>
      </c>
      <c r="I6673" s="221"/>
      <c r="J6673" s="221"/>
    </row>
    <row r="6674" spans="1:10" s="15" customFormat="1" ht="16.5" hidden="1" customHeight="1" outlineLevel="1" x14ac:dyDescent="0.25">
      <c r="A6674" s="18">
        <v>221</v>
      </c>
      <c r="B6674" s="4" t="s">
        <v>43</v>
      </c>
      <c r="C6674" s="38" t="s">
        <v>2664</v>
      </c>
      <c r="D6674" s="18">
        <v>2022</v>
      </c>
      <c r="E6674" s="18" t="s">
        <v>0</v>
      </c>
      <c r="F6674" s="4">
        <v>1</v>
      </c>
      <c r="G6674" s="41">
        <v>6</v>
      </c>
      <c r="H6674" s="41">
        <v>26</v>
      </c>
      <c r="I6674" s="221"/>
      <c r="J6674" s="221"/>
    </row>
    <row r="6675" spans="1:10" s="15" customFormat="1" ht="16.5" hidden="1" customHeight="1" outlineLevel="1" x14ac:dyDescent="0.25">
      <c r="A6675" s="18">
        <v>271</v>
      </c>
      <c r="B6675" s="4" t="s">
        <v>43</v>
      </c>
      <c r="C6675" s="38" t="s">
        <v>4759</v>
      </c>
      <c r="D6675" s="18">
        <v>2022</v>
      </c>
      <c r="E6675" s="18" t="s">
        <v>0</v>
      </c>
      <c r="F6675" s="4">
        <v>2</v>
      </c>
      <c r="G6675" s="41">
        <v>10</v>
      </c>
      <c r="H6675" s="41">
        <v>16</v>
      </c>
      <c r="I6675" s="221"/>
      <c r="J6675" s="221"/>
    </row>
    <row r="6676" spans="1:10" s="15" customFormat="1" ht="16.5" hidden="1" customHeight="1" outlineLevel="1" x14ac:dyDescent="0.25">
      <c r="A6676" s="18">
        <v>263</v>
      </c>
      <c r="B6676" s="4" t="s">
        <v>43</v>
      </c>
      <c r="C6676" s="38" t="s">
        <v>4760</v>
      </c>
      <c r="D6676" s="18">
        <v>2022</v>
      </c>
      <c r="E6676" s="18" t="s">
        <v>0</v>
      </c>
      <c r="F6676" s="4">
        <v>2</v>
      </c>
      <c r="G6676" s="41">
        <v>30</v>
      </c>
      <c r="H6676" s="41">
        <v>17</v>
      </c>
      <c r="I6676" s="221"/>
      <c r="J6676" s="221"/>
    </row>
    <row r="6677" spans="1:10" s="15" customFormat="1" ht="16.5" hidden="1" customHeight="1" outlineLevel="1" x14ac:dyDescent="0.25">
      <c r="A6677" s="18">
        <v>210</v>
      </c>
      <c r="B6677" s="4" t="s">
        <v>43</v>
      </c>
      <c r="C6677" s="38" t="s">
        <v>2692</v>
      </c>
      <c r="D6677" s="18">
        <v>2022</v>
      </c>
      <c r="E6677" s="18" t="s">
        <v>0</v>
      </c>
      <c r="F6677" s="4">
        <v>1</v>
      </c>
      <c r="G6677" s="41">
        <v>10</v>
      </c>
      <c r="H6677" s="41">
        <v>16</v>
      </c>
      <c r="I6677" s="221"/>
      <c r="J6677" s="221"/>
    </row>
    <row r="6678" spans="1:10" s="15" customFormat="1" ht="16.5" hidden="1" customHeight="1" outlineLevel="1" x14ac:dyDescent="0.25">
      <c r="A6678" s="18">
        <v>255</v>
      </c>
      <c r="B6678" s="4" t="s">
        <v>43</v>
      </c>
      <c r="C6678" s="38" t="s">
        <v>2695</v>
      </c>
      <c r="D6678" s="18">
        <v>2022</v>
      </c>
      <c r="E6678" s="18" t="s">
        <v>0</v>
      </c>
      <c r="F6678" s="4">
        <v>1</v>
      </c>
      <c r="G6678" s="41">
        <v>6</v>
      </c>
      <c r="H6678" s="41">
        <v>16</v>
      </c>
      <c r="I6678" s="221"/>
      <c r="J6678" s="221"/>
    </row>
    <row r="6679" spans="1:10" s="15" customFormat="1" ht="16.5" hidden="1" customHeight="1" outlineLevel="1" x14ac:dyDescent="0.25">
      <c r="A6679" s="18">
        <v>278</v>
      </c>
      <c r="B6679" s="4" t="s">
        <v>43</v>
      </c>
      <c r="C6679" s="38" t="s">
        <v>2701</v>
      </c>
      <c r="D6679" s="18">
        <v>2022</v>
      </c>
      <c r="E6679" s="18" t="s">
        <v>0</v>
      </c>
      <c r="F6679" s="4">
        <v>1</v>
      </c>
      <c r="G6679" s="41">
        <v>15</v>
      </c>
      <c r="H6679" s="41">
        <v>21</v>
      </c>
      <c r="I6679" s="221"/>
      <c r="J6679" s="221"/>
    </row>
    <row r="6680" spans="1:10" s="15" customFormat="1" ht="16.5" hidden="1" customHeight="1" outlineLevel="1" x14ac:dyDescent="0.25">
      <c r="A6680" s="18">
        <v>312</v>
      </c>
      <c r="B6680" s="4" t="s">
        <v>43</v>
      </c>
      <c r="C6680" s="38" t="s">
        <v>4761</v>
      </c>
      <c r="D6680" s="18">
        <v>2022</v>
      </c>
      <c r="E6680" s="18" t="s">
        <v>0</v>
      </c>
      <c r="F6680" s="4">
        <v>2</v>
      </c>
      <c r="G6680" s="41">
        <v>10</v>
      </c>
      <c r="H6680" s="41">
        <v>21</v>
      </c>
      <c r="I6680" s="221"/>
      <c r="J6680" s="221"/>
    </row>
    <row r="6681" spans="1:10" s="15" customFormat="1" ht="16.5" hidden="1" customHeight="1" outlineLevel="1" x14ac:dyDescent="0.25">
      <c r="A6681" s="18">
        <v>358</v>
      </c>
      <c r="B6681" s="4" t="s">
        <v>43</v>
      </c>
      <c r="C6681" s="38" t="s">
        <v>2867</v>
      </c>
      <c r="D6681" s="18">
        <v>2022</v>
      </c>
      <c r="E6681" s="18" t="s">
        <v>0</v>
      </c>
      <c r="F6681" s="4">
        <v>1</v>
      </c>
      <c r="G6681" s="41">
        <v>30</v>
      </c>
      <c r="H6681" s="41">
        <v>32</v>
      </c>
      <c r="I6681" s="221"/>
      <c r="J6681" s="221"/>
    </row>
    <row r="6682" spans="1:10" s="15" customFormat="1" ht="16.5" hidden="1" customHeight="1" outlineLevel="1" x14ac:dyDescent="0.25">
      <c r="A6682" s="18">
        <v>277</v>
      </c>
      <c r="B6682" s="4" t="s">
        <v>43</v>
      </c>
      <c r="C6682" s="38" t="s">
        <v>4762</v>
      </c>
      <c r="D6682" s="18">
        <v>2022</v>
      </c>
      <c r="E6682" s="18" t="s">
        <v>0</v>
      </c>
      <c r="F6682" s="4">
        <v>21</v>
      </c>
      <c r="G6682" s="41">
        <v>148</v>
      </c>
      <c r="H6682" s="41">
        <v>217</v>
      </c>
      <c r="I6682" s="221"/>
      <c r="J6682" s="221"/>
    </row>
    <row r="6683" spans="1:10" s="15" customFormat="1" ht="16.5" hidden="1" customHeight="1" outlineLevel="1" x14ac:dyDescent="0.25">
      <c r="A6683" s="18">
        <v>334</v>
      </c>
      <c r="B6683" s="4" t="s">
        <v>43</v>
      </c>
      <c r="C6683" s="38" t="s">
        <v>4763</v>
      </c>
      <c r="D6683" s="18">
        <v>2022</v>
      </c>
      <c r="E6683" s="18" t="s">
        <v>0</v>
      </c>
      <c r="F6683" s="4">
        <v>1</v>
      </c>
      <c r="G6683" s="41">
        <v>4</v>
      </c>
      <c r="H6683" s="41">
        <v>9</v>
      </c>
      <c r="I6683" s="221"/>
      <c r="J6683" s="221"/>
    </row>
    <row r="6684" spans="1:10" s="15" customFormat="1" ht="16.5" hidden="1" customHeight="1" outlineLevel="1" x14ac:dyDescent="0.25">
      <c r="A6684" s="18">
        <v>225</v>
      </c>
      <c r="B6684" s="4" t="s">
        <v>43</v>
      </c>
      <c r="C6684" s="38" t="s">
        <v>4764</v>
      </c>
      <c r="D6684" s="18">
        <v>2022</v>
      </c>
      <c r="E6684" s="18" t="s">
        <v>0</v>
      </c>
      <c r="F6684" s="4">
        <v>1</v>
      </c>
      <c r="G6684" s="41">
        <v>8</v>
      </c>
      <c r="H6684" s="41">
        <v>10</v>
      </c>
      <c r="I6684" s="221"/>
      <c r="J6684" s="221"/>
    </row>
    <row r="6685" spans="1:10" s="15" customFormat="1" ht="16.5" hidden="1" customHeight="1" outlineLevel="1" x14ac:dyDescent="0.25">
      <c r="A6685" s="18">
        <v>345</v>
      </c>
      <c r="B6685" s="4" t="s">
        <v>43</v>
      </c>
      <c r="C6685" s="38" t="s">
        <v>4765</v>
      </c>
      <c r="D6685" s="18">
        <v>2022</v>
      </c>
      <c r="E6685" s="18" t="s">
        <v>0</v>
      </c>
      <c r="F6685" s="4">
        <v>6</v>
      </c>
      <c r="G6685" s="41">
        <v>34</v>
      </c>
      <c r="H6685" s="41">
        <v>48</v>
      </c>
      <c r="I6685" s="221"/>
      <c r="J6685" s="221"/>
    </row>
    <row r="6686" spans="1:10" s="15" customFormat="1" ht="16.5" hidden="1" customHeight="1" outlineLevel="1" x14ac:dyDescent="0.25">
      <c r="A6686" s="18">
        <v>347</v>
      </c>
      <c r="B6686" s="4" t="s">
        <v>43</v>
      </c>
      <c r="C6686" s="38" t="s">
        <v>4766</v>
      </c>
      <c r="D6686" s="18">
        <v>2022</v>
      </c>
      <c r="E6686" s="18" t="s">
        <v>0</v>
      </c>
      <c r="F6686" s="4">
        <v>5</v>
      </c>
      <c r="G6686" s="41">
        <v>35</v>
      </c>
      <c r="H6686" s="41">
        <v>48</v>
      </c>
      <c r="I6686" s="221"/>
      <c r="J6686" s="221"/>
    </row>
    <row r="6687" spans="1:10" s="15" customFormat="1" ht="16.5" hidden="1" customHeight="1" outlineLevel="1" x14ac:dyDescent="0.25">
      <c r="A6687" s="18">
        <v>366</v>
      </c>
      <c r="B6687" s="4" t="s">
        <v>43</v>
      </c>
      <c r="C6687" s="38" t="s">
        <v>2734</v>
      </c>
      <c r="D6687" s="18">
        <v>2022</v>
      </c>
      <c r="E6687" s="18" t="s">
        <v>0</v>
      </c>
      <c r="F6687" s="4">
        <v>1</v>
      </c>
      <c r="G6687" s="41">
        <v>6</v>
      </c>
      <c r="H6687" s="41">
        <v>15</v>
      </c>
      <c r="I6687" s="221"/>
      <c r="J6687" s="221"/>
    </row>
    <row r="6688" spans="1:10" s="15" customFormat="1" ht="16.5" hidden="1" customHeight="1" outlineLevel="1" x14ac:dyDescent="0.25">
      <c r="A6688" s="18">
        <v>214</v>
      </c>
      <c r="B6688" s="4" t="s">
        <v>43</v>
      </c>
      <c r="C6688" s="38" t="s">
        <v>2738</v>
      </c>
      <c r="D6688" s="18">
        <v>2022</v>
      </c>
      <c r="E6688" s="18" t="s">
        <v>0</v>
      </c>
      <c r="F6688" s="4">
        <v>1</v>
      </c>
      <c r="G6688" s="41">
        <v>15</v>
      </c>
      <c r="H6688" s="41">
        <v>25</v>
      </c>
      <c r="I6688" s="221"/>
      <c r="J6688" s="221"/>
    </row>
    <row r="6689" spans="1:10" s="15" customFormat="1" ht="16.5" hidden="1" customHeight="1" outlineLevel="1" x14ac:dyDescent="0.25">
      <c r="A6689" s="18">
        <v>343</v>
      </c>
      <c r="B6689" s="4" t="s">
        <v>43</v>
      </c>
      <c r="C6689" s="38" t="s">
        <v>4767</v>
      </c>
      <c r="D6689" s="18">
        <v>2022</v>
      </c>
      <c r="E6689" s="18" t="s">
        <v>0</v>
      </c>
      <c r="F6689" s="4">
        <v>4</v>
      </c>
      <c r="G6689" s="41">
        <v>35</v>
      </c>
      <c r="H6689" s="41">
        <v>40</v>
      </c>
      <c r="I6689" s="221"/>
      <c r="J6689" s="221"/>
    </row>
    <row r="6690" spans="1:10" s="15" customFormat="1" ht="16.5" hidden="1" customHeight="1" outlineLevel="1" x14ac:dyDescent="0.25">
      <c r="A6690" s="18">
        <v>384</v>
      </c>
      <c r="B6690" s="4" t="s">
        <v>43</v>
      </c>
      <c r="C6690" s="38" t="s">
        <v>4768</v>
      </c>
      <c r="D6690" s="18">
        <v>2022</v>
      </c>
      <c r="E6690" s="18" t="s">
        <v>0</v>
      </c>
      <c r="F6690" s="4">
        <v>3</v>
      </c>
      <c r="G6690" s="41">
        <v>12</v>
      </c>
      <c r="H6690" s="41">
        <v>24</v>
      </c>
      <c r="I6690" s="221"/>
      <c r="J6690" s="221"/>
    </row>
    <row r="6691" spans="1:10" s="15" customFormat="1" ht="16.5" hidden="1" customHeight="1" outlineLevel="1" x14ac:dyDescent="0.25">
      <c r="A6691" s="18">
        <v>419</v>
      </c>
      <c r="B6691" s="4" t="s">
        <v>43</v>
      </c>
      <c r="C6691" s="38" t="s">
        <v>4769</v>
      </c>
      <c r="D6691" s="18">
        <v>2022</v>
      </c>
      <c r="E6691" s="18" t="s">
        <v>0</v>
      </c>
      <c r="F6691" s="4">
        <v>2</v>
      </c>
      <c r="G6691" s="41">
        <v>20</v>
      </c>
      <c r="H6691" s="41">
        <v>19</v>
      </c>
      <c r="I6691" s="221"/>
      <c r="J6691" s="221"/>
    </row>
    <row r="6692" spans="1:10" s="15" customFormat="1" ht="16.5" hidden="1" customHeight="1" outlineLevel="1" x14ac:dyDescent="0.25">
      <c r="A6692" s="18">
        <v>390</v>
      </c>
      <c r="B6692" s="4" t="s">
        <v>43</v>
      </c>
      <c r="C6692" s="38" t="s">
        <v>4770</v>
      </c>
      <c r="D6692" s="18">
        <v>2022</v>
      </c>
      <c r="E6692" s="18" t="s">
        <v>0</v>
      </c>
      <c r="F6692" s="4">
        <v>1</v>
      </c>
      <c r="G6692" s="41">
        <v>5</v>
      </c>
      <c r="H6692" s="41">
        <v>8</v>
      </c>
      <c r="I6692" s="221"/>
      <c r="J6692" s="221"/>
    </row>
    <row r="6693" spans="1:10" s="15" customFormat="1" ht="16.5" hidden="1" customHeight="1" outlineLevel="1" x14ac:dyDescent="0.25">
      <c r="A6693" s="18">
        <v>420</v>
      </c>
      <c r="B6693" s="4" t="s">
        <v>43</v>
      </c>
      <c r="C6693" s="38" t="s">
        <v>4771</v>
      </c>
      <c r="D6693" s="18">
        <v>2022</v>
      </c>
      <c r="E6693" s="18" t="s">
        <v>0</v>
      </c>
      <c r="F6693" s="4">
        <v>6</v>
      </c>
      <c r="G6693" s="41">
        <v>42</v>
      </c>
      <c r="H6693" s="41">
        <v>60</v>
      </c>
      <c r="I6693" s="221"/>
      <c r="J6693" s="221"/>
    </row>
    <row r="6694" spans="1:10" s="15" customFormat="1" ht="16.5" hidden="1" customHeight="1" outlineLevel="1" x14ac:dyDescent="0.25">
      <c r="A6694" s="18">
        <v>292</v>
      </c>
      <c r="B6694" s="4" t="s">
        <v>43</v>
      </c>
      <c r="C6694" s="38" t="s">
        <v>2743</v>
      </c>
      <c r="D6694" s="18">
        <v>2022</v>
      </c>
      <c r="E6694" s="18" t="s">
        <v>0</v>
      </c>
      <c r="F6694" s="4">
        <v>1</v>
      </c>
      <c r="G6694" s="41">
        <v>7.0000000000000007E-2</v>
      </c>
      <c r="H6694" s="41">
        <v>17</v>
      </c>
      <c r="I6694" s="221"/>
      <c r="J6694" s="221"/>
    </row>
    <row r="6695" spans="1:10" s="15" customFormat="1" ht="16.5" hidden="1" customHeight="1" outlineLevel="1" x14ac:dyDescent="0.25">
      <c r="A6695" s="18">
        <v>298</v>
      </c>
      <c r="B6695" s="4" t="s">
        <v>43</v>
      </c>
      <c r="C6695" s="38" t="s">
        <v>2746</v>
      </c>
      <c r="D6695" s="18">
        <v>2022</v>
      </c>
      <c r="E6695" s="18" t="s">
        <v>0</v>
      </c>
      <c r="F6695" s="4">
        <v>1</v>
      </c>
      <c r="G6695" s="41">
        <v>5</v>
      </c>
      <c r="H6695" s="41">
        <v>14</v>
      </c>
      <c r="I6695" s="221"/>
      <c r="J6695" s="221"/>
    </row>
    <row r="6696" spans="1:10" s="15" customFormat="1" ht="16.5" hidden="1" customHeight="1" outlineLevel="1" x14ac:dyDescent="0.25">
      <c r="A6696" s="18">
        <v>381</v>
      </c>
      <c r="B6696" s="4" t="s">
        <v>43</v>
      </c>
      <c r="C6696" s="38" t="s">
        <v>2748</v>
      </c>
      <c r="D6696" s="18">
        <v>2022</v>
      </c>
      <c r="E6696" s="18" t="s">
        <v>0</v>
      </c>
      <c r="F6696" s="4">
        <v>1</v>
      </c>
      <c r="G6696" s="41">
        <v>15</v>
      </c>
      <c r="H6696" s="41">
        <v>14</v>
      </c>
      <c r="I6696" s="221"/>
      <c r="J6696" s="221"/>
    </row>
    <row r="6697" spans="1:10" s="15" customFormat="1" ht="16.5" hidden="1" customHeight="1" outlineLevel="1" x14ac:dyDescent="0.25">
      <c r="A6697" s="18">
        <v>412</v>
      </c>
      <c r="B6697" s="4" t="s">
        <v>43</v>
      </c>
      <c r="C6697" s="38" t="s">
        <v>4772</v>
      </c>
      <c r="D6697" s="18">
        <v>2022</v>
      </c>
      <c r="E6697" s="18" t="s">
        <v>0</v>
      </c>
      <c r="F6697" s="4">
        <v>1</v>
      </c>
      <c r="G6697" s="41">
        <v>5</v>
      </c>
      <c r="H6697" s="41">
        <v>9</v>
      </c>
      <c r="I6697" s="221"/>
      <c r="J6697" s="221"/>
    </row>
    <row r="6698" spans="1:10" s="15" customFormat="1" ht="16.5" hidden="1" customHeight="1" outlineLevel="1" x14ac:dyDescent="0.25">
      <c r="A6698" s="18">
        <v>440</v>
      </c>
      <c r="B6698" s="4" t="s">
        <v>43</v>
      </c>
      <c r="C6698" s="38" t="s">
        <v>4773</v>
      </c>
      <c r="D6698" s="18">
        <v>2022</v>
      </c>
      <c r="E6698" s="18" t="s">
        <v>0</v>
      </c>
      <c r="F6698" s="4">
        <v>8</v>
      </c>
      <c r="G6698" s="41">
        <v>55</v>
      </c>
      <c r="H6698" s="41">
        <v>68</v>
      </c>
      <c r="I6698" s="221"/>
      <c r="J6698" s="221"/>
    </row>
    <row r="6699" spans="1:10" s="15" customFormat="1" ht="16.5" hidden="1" customHeight="1" outlineLevel="1" x14ac:dyDescent="0.25">
      <c r="A6699" s="18">
        <v>411</v>
      </c>
      <c r="B6699" s="4" t="s">
        <v>43</v>
      </c>
      <c r="C6699" s="38" t="s">
        <v>4774</v>
      </c>
      <c r="D6699" s="18">
        <v>2022</v>
      </c>
      <c r="E6699" s="18" t="s">
        <v>0</v>
      </c>
      <c r="F6699" s="4">
        <v>12</v>
      </c>
      <c r="G6699" s="41">
        <v>63</v>
      </c>
      <c r="H6699" s="41">
        <v>117</v>
      </c>
      <c r="I6699" s="221"/>
      <c r="J6699" s="221"/>
    </row>
    <row r="6700" spans="1:10" s="15" customFormat="1" ht="16.5" hidden="1" customHeight="1" outlineLevel="1" x14ac:dyDescent="0.25">
      <c r="A6700" s="18">
        <v>418</v>
      </c>
      <c r="B6700" s="4" t="s">
        <v>43</v>
      </c>
      <c r="C6700" s="38" t="s">
        <v>4775</v>
      </c>
      <c r="D6700" s="18">
        <v>2022</v>
      </c>
      <c r="E6700" s="18" t="s">
        <v>0</v>
      </c>
      <c r="F6700" s="4">
        <v>2</v>
      </c>
      <c r="G6700" s="41">
        <v>30</v>
      </c>
      <c r="H6700" s="41">
        <v>20</v>
      </c>
      <c r="I6700" s="221"/>
      <c r="J6700" s="221"/>
    </row>
    <row r="6701" spans="1:10" s="15" customFormat="1" ht="16.5" hidden="1" customHeight="1" outlineLevel="1" x14ac:dyDescent="0.25">
      <c r="A6701" s="18">
        <v>439</v>
      </c>
      <c r="B6701" s="4" t="s">
        <v>43</v>
      </c>
      <c r="C6701" s="38" t="s">
        <v>4776</v>
      </c>
      <c r="D6701" s="18">
        <v>2022</v>
      </c>
      <c r="E6701" s="18" t="s">
        <v>0</v>
      </c>
      <c r="F6701" s="4">
        <v>3</v>
      </c>
      <c r="G6701" s="41">
        <v>21</v>
      </c>
      <c r="H6701" s="41">
        <v>25</v>
      </c>
      <c r="I6701" s="221"/>
      <c r="J6701" s="221"/>
    </row>
    <row r="6702" spans="1:10" s="15" customFormat="1" ht="16.5" hidden="1" customHeight="1" outlineLevel="1" x14ac:dyDescent="0.25">
      <c r="A6702" s="18">
        <v>438</v>
      </c>
      <c r="B6702" s="4" t="s">
        <v>43</v>
      </c>
      <c r="C6702" s="38" t="s">
        <v>4777</v>
      </c>
      <c r="D6702" s="18">
        <v>2022</v>
      </c>
      <c r="E6702" s="18" t="s">
        <v>0</v>
      </c>
      <c r="F6702" s="4">
        <v>3</v>
      </c>
      <c r="G6702" s="41">
        <v>8</v>
      </c>
      <c r="H6702" s="41">
        <v>24</v>
      </c>
      <c r="I6702" s="221"/>
      <c r="J6702" s="221"/>
    </row>
    <row r="6703" spans="1:10" s="15" customFormat="1" ht="16.5" hidden="1" customHeight="1" outlineLevel="1" x14ac:dyDescent="0.25">
      <c r="A6703" s="18">
        <v>414</v>
      </c>
      <c r="B6703" s="4" t="s">
        <v>43</v>
      </c>
      <c r="C6703" s="38" t="s">
        <v>4778</v>
      </c>
      <c r="D6703" s="18">
        <v>2022</v>
      </c>
      <c r="E6703" s="18" t="s">
        <v>0</v>
      </c>
      <c r="F6703" s="4">
        <v>1</v>
      </c>
      <c r="G6703" s="41">
        <v>5</v>
      </c>
      <c r="H6703" s="41">
        <v>9</v>
      </c>
      <c r="I6703" s="221"/>
      <c r="J6703" s="221"/>
    </row>
    <row r="6704" spans="1:10" s="15" customFormat="1" ht="16.5" hidden="1" customHeight="1" outlineLevel="1" x14ac:dyDescent="0.25">
      <c r="A6704" s="18">
        <v>5231</v>
      </c>
      <c r="B6704" s="4" t="s">
        <v>43</v>
      </c>
      <c r="C6704" s="38" t="s">
        <v>4779</v>
      </c>
      <c r="D6704" s="18">
        <v>2022</v>
      </c>
      <c r="E6704" s="18" t="s">
        <v>0</v>
      </c>
      <c r="F6704" s="4">
        <v>1</v>
      </c>
      <c r="G6704" s="41">
        <v>7.5</v>
      </c>
      <c r="H6704" s="41">
        <v>29.321429999999999</v>
      </c>
      <c r="I6704" s="221"/>
      <c r="J6704" s="221"/>
    </row>
    <row r="6705" spans="1:10" s="15" customFormat="1" ht="16.5" hidden="1" customHeight="1" outlineLevel="1" x14ac:dyDescent="0.25">
      <c r="A6705" s="18">
        <v>5126</v>
      </c>
      <c r="B6705" s="4" t="s">
        <v>43</v>
      </c>
      <c r="C6705" s="38" t="s">
        <v>4780</v>
      </c>
      <c r="D6705" s="18">
        <v>2022</v>
      </c>
      <c r="E6705" s="18" t="s">
        <v>0</v>
      </c>
      <c r="F6705" s="4">
        <v>1</v>
      </c>
      <c r="G6705" s="41">
        <v>7</v>
      </c>
      <c r="H6705" s="41">
        <v>15.50534</v>
      </c>
      <c r="I6705" s="221"/>
      <c r="J6705" s="221"/>
    </row>
    <row r="6706" spans="1:10" s="15" customFormat="1" ht="16.5" hidden="1" customHeight="1" outlineLevel="1" x14ac:dyDescent="0.25">
      <c r="A6706" s="18">
        <v>5125</v>
      </c>
      <c r="B6706" s="4" t="s">
        <v>43</v>
      </c>
      <c r="C6706" s="38" t="s">
        <v>4781</v>
      </c>
      <c r="D6706" s="18">
        <v>2022</v>
      </c>
      <c r="E6706" s="18" t="s">
        <v>0</v>
      </c>
      <c r="F6706" s="4">
        <v>1</v>
      </c>
      <c r="G6706" s="41">
        <v>7</v>
      </c>
      <c r="H6706" s="41">
        <v>10.249459999999999</v>
      </c>
      <c r="I6706" s="221"/>
      <c r="J6706" s="221"/>
    </row>
    <row r="6707" spans="1:10" s="15" customFormat="1" ht="16.5" hidden="1" customHeight="1" outlineLevel="1" x14ac:dyDescent="0.25">
      <c r="A6707" s="18">
        <v>5128</v>
      </c>
      <c r="B6707" s="4" t="s">
        <v>43</v>
      </c>
      <c r="C6707" s="38" t="s">
        <v>4782</v>
      </c>
      <c r="D6707" s="18">
        <v>2022</v>
      </c>
      <c r="E6707" s="18" t="s">
        <v>0</v>
      </c>
      <c r="F6707" s="4">
        <v>1</v>
      </c>
      <c r="G6707" s="41">
        <v>5</v>
      </c>
      <c r="H6707" s="41">
        <v>9.1832799999999999</v>
      </c>
      <c r="I6707" s="221"/>
      <c r="J6707" s="221"/>
    </row>
    <row r="6708" spans="1:10" s="15" customFormat="1" ht="16.5" hidden="1" customHeight="1" outlineLevel="1" x14ac:dyDescent="0.25">
      <c r="A6708" s="18">
        <v>5124</v>
      </c>
      <c r="B6708" s="4" t="s">
        <v>43</v>
      </c>
      <c r="C6708" s="38" t="s">
        <v>4783</v>
      </c>
      <c r="D6708" s="18">
        <v>2022</v>
      </c>
      <c r="E6708" s="18" t="s">
        <v>0</v>
      </c>
      <c r="F6708" s="4">
        <v>1</v>
      </c>
      <c r="G6708" s="41">
        <v>7</v>
      </c>
      <c r="H6708" s="41">
        <v>10.249459999999999</v>
      </c>
      <c r="I6708" s="221"/>
      <c r="J6708" s="221"/>
    </row>
    <row r="6709" spans="1:10" s="15" customFormat="1" ht="16.5" hidden="1" customHeight="1" outlineLevel="1" x14ac:dyDescent="0.25">
      <c r="A6709" s="18">
        <v>5123</v>
      </c>
      <c r="B6709" s="4" t="s">
        <v>43</v>
      </c>
      <c r="C6709" s="38" t="s">
        <v>4784</v>
      </c>
      <c r="D6709" s="18">
        <v>2022</v>
      </c>
      <c r="E6709" s="18" t="s">
        <v>0</v>
      </c>
      <c r="F6709" s="4">
        <v>1</v>
      </c>
      <c r="G6709" s="41">
        <v>6</v>
      </c>
      <c r="H6709" s="41">
        <v>10.24944</v>
      </c>
      <c r="I6709" s="221"/>
      <c r="J6709" s="221"/>
    </row>
    <row r="6710" spans="1:10" s="15" customFormat="1" ht="16.5" hidden="1" customHeight="1" outlineLevel="1" x14ac:dyDescent="0.25">
      <c r="A6710" s="18">
        <v>5122</v>
      </c>
      <c r="B6710" s="4" t="s">
        <v>43</v>
      </c>
      <c r="C6710" s="38" t="s">
        <v>4785</v>
      </c>
      <c r="D6710" s="18">
        <v>2022</v>
      </c>
      <c r="E6710" s="18" t="s">
        <v>0</v>
      </c>
      <c r="F6710" s="4">
        <v>1</v>
      </c>
      <c r="G6710" s="41">
        <v>5</v>
      </c>
      <c r="H6710" s="41">
        <v>10.249420000000001</v>
      </c>
      <c r="I6710" s="221"/>
      <c r="J6710" s="221"/>
    </row>
    <row r="6711" spans="1:10" s="15" customFormat="1" ht="16.5" hidden="1" customHeight="1" outlineLevel="1" x14ac:dyDescent="0.25">
      <c r="A6711" s="18">
        <v>5121</v>
      </c>
      <c r="B6711" s="4" t="s">
        <v>43</v>
      </c>
      <c r="C6711" s="38" t="s">
        <v>4786</v>
      </c>
      <c r="D6711" s="18">
        <v>2022</v>
      </c>
      <c r="E6711" s="18" t="s">
        <v>0</v>
      </c>
      <c r="F6711" s="4">
        <v>1</v>
      </c>
      <c r="G6711" s="41">
        <v>7</v>
      </c>
      <c r="H6711" s="41">
        <v>10.209059999999999</v>
      </c>
      <c r="I6711" s="221"/>
      <c r="J6711" s="221"/>
    </row>
    <row r="6712" spans="1:10" s="15" customFormat="1" ht="16.5" hidden="1" customHeight="1" outlineLevel="1" x14ac:dyDescent="0.25">
      <c r="A6712" s="18">
        <v>5120</v>
      </c>
      <c r="B6712" s="4" t="s">
        <v>43</v>
      </c>
      <c r="C6712" s="38" t="s">
        <v>4787</v>
      </c>
      <c r="D6712" s="18">
        <v>2022</v>
      </c>
      <c r="E6712" s="18" t="s">
        <v>0</v>
      </c>
      <c r="F6712" s="4">
        <v>1</v>
      </c>
      <c r="G6712" s="41">
        <v>1.5</v>
      </c>
      <c r="H6712" s="41">
        <v>10.209059999999999</v>
      </c>
      <c r="I6712" s="221"/>
      <c r="J6712" s="221"/>
    </row>
    <row r="6713" spans="1:10" s="15" customFormat="1" ht="16.5" hidden="1" customHeight="1" outlineLevel="1" x14ac:dyDescent="0.25">
      <c r="A6713" s="18">
        <v>5111</v>
      </c>
      <c r="B6713" s="4" t="s">
        <v>43</v>
      </c>
      <c r="C6713" s="38" t="s">
        <v>4788</v>
      </c>
      <c r="D6713" s="18">
        <v>2022</v>
      </c>
      <c r="E6713" s="18" t="s">
        <v>0</v>
      </c>
      <c r="F6713" s="4">
        <v>1</v>
      </c>
      <c r="G6713" s="41">
        <v>5</v>
      </c>
      <c r="H6713" s="41">
        <v>13.76728</v>
      </c>
      <c r="I6713" s="221"/>
      <c r="J6713" s="221"/>
    </row>
    <row r="6714" spans="1:10" s="15" customFormat="1" ht="16.5" hidden="1" customHeight="1" outlineLevel="1" x14ac:dyDescent="0.25">
      <c r="A6714" s="18">
        <v>5108</v>
      </c>
      <c r="B6714" s="4" t="s">
        <v>43</v>
      </c>
      <c r="C6714" s="38" t="s">
        <v>4789</v>
      </c>
      <c r="D6714" s="18">
        <v>2022</v>
      </c>
      <c r="E6714" s="18" t="s">
        <v>0</v>
      </c>
      <c r="F6714" s="4">
        <v>1</v>
      </c>
      <c r="G6714" s="41">
        <v>4.5</v>
      </c>
      <c r="H6714" s="41">
        <v>12.21833</v>
      </c>
      <c r="I6714" s="221"/>
      <c r="J6714" s="221"/>
    </row>
    <row r="6715" spans="1:10" s="15" customFormat="1" ht="16.5" hidden="1" customHeight="1" outlineLevel="1" x14ac:dyDescent="0.25">
      <c r="A6715" s="18">
        <v>5107</v>
      </c>
      <c r="B6715" s="4" t="s">
        <v>43</v>
      </c>
      <c r="C6715" s="38" t="s">
        <v>4790</v>
      </c>
      <c r="D6715" s="18">
        <v>2022</v>
      </c>
      <c r="E6715" s="18" t="s">
        <v>0</v>
      </c>
      <c r="F6715" s="4">
        <v>1</v>
      </c>
      <c r="G6715" s="41">
        <v>4.5</v>
      </c>
      <c r="H6715" s="41">
        <v>12.11458</v>
      </c>
      <c r="I6715" s="221"/>
      <c r="J6715" s="221"/>
    </row>
    <row r="6716" spans="1:10" s="15" customFormat="1" ht="16.5" hidden="1" customHeight="1" outlineLevel="1" x14ac:dyDescent="0.25">
      <c r="A6716" s="18">
        <v>5106</v>
      </c>
      <c r="B6716" s="4" t="s">
        <v>43</v>
      </c>
      <c r="C6716" s="38" t="s">
        <v>4791</v>
      </c>
      <c r="D6716" s="18">
        <v>2022</v>
      </c>
      <c r="E6716" s="18" t="s">
        <v>0</v>
      </c>
      <c r="F6716" s="4">
        <v>1</v>
      </c>
      <c r="G6716" s="41">
        <v>0.25</v>
      </c>
      <c r="H6716" s="41">
        <v>15.096220000000001</v>
      </c>
      <c r="I6716" s="221"/>
      <c r="J6716" s="221"/>
    </row>
    <row r="6717" spans="1:10" s="15" customFormat="1" ht="16.5" hidden="1" customHeight="1" outlineLevel="1" x14ac:dyDescent="0.25">
      <c r="A6717" s="18">
        <v>5105</v>
      </c>
      <c r="B6717" s="4" t="s">
        <v>43</v>
      </c>
      <c r="C6717" s="38" t="s">
        <v>4792</v>
      </c>
      <c r="D6717" s="18">
        <v>2022</v>
      </c>
      <c r="E6717" s="18" t="s">
        <v>0</v>
      </c>
      <c r="F6717" s="4">
        <v>1</v>
      </c>
      <c r="G6717" s="41">
        <v>4.9400000000000004</v>
      </c>
      <c r="H6717" s="41">
        <v>15.096209999999999</v>
      </c>
      <c r="I6717" s="221"/>
      <c r="J6717" s="221"/>
    </row>
    <row r="6718" spans="1:10" s="15" customFormat="1" ht="16.5" hidden="1" customHeight="1" outlineLevel="1" x14ac:dyDescent="0.25">
      <c r="A6718" s="18">
        <v>5284</v>
      </c>
      <c r="B6718" s="4" t="s">
        <v>43</v>
      </c>
      <c r="C6718" s="38" t="s">
        <v>4793</v>
      </c>
      <c r="D6718" s="18">
        <v>2022</v>
      </c>
      <c r="E6718" s="18" t="s">
        <v>0</v>
      </c>
      <c r="F6718" s="4">
        <v>1</v>
      </c>
      <c r="G6718" s="41">
        <v>6.5</v>
      </c>
      <c r="H6718" s="41">
        <v>12.9552</v>
      </c>
      <c r="I6718" s="221"/>
      <c r="J6718" s="221"/>
    </row>
    <row r="6719" spans="1:10" s="15" customFormat="1" ht="16.5" hidden="1" customHeight="1" outlineLevel="1" x14ac:dyDescent="0.25">
      <c r="A6719" s="18">
        <v>5283</v>
      </c>
      <c r="B6719" s="4" t="s">
        <v>43</v>
      </c>
      <c r="C6719" s="38" t="s">
        <v>4794</v>
      </c>
      <c r="D6719" s="18">
        <v>2022</v>
      </c>
      <c r="E6719" s="18" t="s">
        <v>0</v>
      </c>
      <c r="F6719" s="4">
        <v>1</v>
      </c>
      <c r="G6719" s="41">
        <v>6</v>
      </c>
      <c r="H6719" s="41">
        <v>12.2669</v>
      </c>
      <c r="I6719" s="221"/>
      <c r="J6719" s="221"/>
    </row>
    <row r="6720" spans="1:10" s="15" customFormat="1" ht="16.5" hidden="1" customHeight="1" outlineLevel="1" x14ac:dyDescent="0.25">
      <c r="A6720" s="18">
        <v>5282</v>
      </c>
      <c r="B6720" s="4" t="s">
        <v>43</v>
      </c>
      <c r="C6720" s="38" t="s">
        <v>4795</v>
      </c>
      <c r="D6720" s="18">
        <v>2022</v>
      </c>
      <c r="E6720" s="18" t="s">
        <v>0</v>
      </c>
      <c r="F6720" s="4">
        <v>1</v>
      </c>
      <c r="G6720" s="41">
        <v>5</v>
      </c>
      <c r="H6720" s="41">
        <v>12.266870000000001</v>
      </c>
      <c r="I6720" s="221"/>
      <c r="J6720" s="221"/>
    </row>
    <row r="6721" spans="1:10" s="15" customFormat="1" ht="16.5" hidden="1" customHeight="1" outlineLevel="1" x14ac:dyDescent="0.25">
      <c r="A6721" s="18">
        <v>5278</v>
      </c>
      <c r="B6721" s="4" t="s">
        <v>43</v>
      </c>
      <c r="C6721" s="38" t="s">
        <v>4796</v>
      </c>
      <c r="D6721" s="18">
        <v>2022</v>
      </c>
      <c r="E6721" s="18" t="s">
        <v>0</v>
      </c>
      <c r="F6721" s="4">
        <v>1</v>
      </c>
      <c r="G6721" s="41">
        <v>7</v>
      </c>
      <c r="H6721" s="41">
        <v>11.587389999999999</v>
      </c>
      <c r="I6721" s="221"/>
      <c r="J6721" s="221"/>
    </row>
    <row r="6722" spans="1:10" s="15" customFormat="1" ht="16.5" hidden="1" customHeight="1" outlineLevel="1" x14ac:dyDescent="0.25">
      <c r="A6722" s="18">
        <v>5327</v>
      </c>
      <c r="B6722" s="4" t="s">
        <v>43</v>
      </c>
      <c r="C6722" s="38" t="s">
        <v>4797</v>
      </c>
      <c r="D6722" s="18">
        <v>2022</v>
      </c>
      <c r="E6722" s="18" t="s">
        <v>0</v>
      </c>
      <c r="F6722" s="4">
        <v>1</v>
      </c>
      <c r="G6722" s="41">
        <v>6</v>
      </c>
      <c r="H6722" s="41">
        <v>12.15283</v>
      </c>
      <c r="I6722" s="221"/>
      <c r="J6722" s="221"/>
    </row>
    <row r="6723" spans="1:10" s="15" customFormat="1" ht="16.5" hidden="1" customHeight="1" outlineLevel="1" x14ac:dyDescent="0.25">
      <c r="A6723" s="18">
        <v>5325</v>
      </c>
      <c r="B6723" s="4" t="s">
        <v>43</v>
      </c>
      <c r="C6723" s="38" t="s">
        <v>4798</v>
      </c>
      <c r="D6723" s="18">
        <v>2022</v>
      </c>
      <c r="E6723" s="18" t="s">
        <v>0</v>
      </c>
      <c r="F6723" s="4">
        <v>1</v>
      </c>
      <c r="G6723" s="41">
        <v>7</v>
      </c>
      <c r="H6723" s="41">
        <v>11.699619999999999</v>
      </c>
      <c r="I6723" s="221"/>
      <c r="J6723" s="221"/>
    </row>
    <row r="6724" spans="1:10" s="15" customFormat="1" ht="16.5" hidden="1" customHeight="1" outlineLevel="1" x14ac:dyDescent="0.25">
      <c r="A6724" s="18">
        <v>5324</v>
      </c>
      <c r="B6724" s="4" t="s">
        <v>43</v>
      </c>
      <c r="C6724" s="38" t="s">
        <v>4799</v>
      </c>
      <c r="D6724" s="18">
        <v>2022</v>
      </c>
      <c r="E6724" s="18" t="s">
        <v>0</v>
      </c>
      <c r="F6724" s="4">
        <v>1</v>
      </c>
      <c r="G6724" s="41">
        <v>5</v>
      </c>
      <c r="H6724" s="41">
        <v>10.067349999999999</v>
      </c>
      <c r="I6724" s="221"/>
      <c r="J6724" s="221"/>
    </row>
    <row r="6725" spans="1:10" s="15" customFormat="1" ht="16.5" hidden="1" customHeight="1" outlineLevel="1" x14ac:dyDescent="0.25">
      <c r="A6725" s="18">
        <v>5323</v>
      </c>
      <c r="B6725" s="4" t="s">
        <v>43</v>
      </c>
      <c r="C6725" s="38" t="s">
        <v>4800</v>
      </c>
      <c r="D6725" s="18">
        <v>2022</v>
      </c>
      <c r="E6725" s="18" t="s">
        <v>0</v>
      </c>
      <c r="F6725" s="4">
        <v>1</v>
      </c>
      <c r="G6725" s="41">
        <v>7</v>
      </c>
      <c r="H6725" s="41">
        <v>10.06748</v>
      </c>
      <c r="I6725" s="221"/>
      <c r="J6725" s="221"/>
    </row>
    <row r="6726" spans="1:10" s="15" customFormat="1" ht="16.5" hidden="1" customHeight="1" outlineLevel="1" x14ac:dyDescent="0.25">
      <c r="A6726" s="18">
        <v>5322</v>
      </c>
      <c r="B6726" s="4" t="s">
        <v>43</v>
      </c>
      <c r="C6726" s="38" t="s">
        <v>4801</v>
      </c>
      <c r="D6726" s="18">
        <v>2022</v>
      </c>
      <c r="E6726" s="18" t="s">
        <v>0</v>
      </c>
      <c r="F6726" s="4">
        <v>1</v>
      </c>
      <c r="G6726" s="41">
        <v>5</v>
      </c>
      <c r="H6726" s="41">
        <v>10.085520000000001</v>
      </c>
      <c r="I6726" s="221"/>
      <c r="J6726" s="221"/>
    </row>
    <row r="6727" spans="1:10" s="15" customFormat="1" ht="16.5" hidden="1" customHeight="1" outlineLevel="1" x14ac:dyDescent="0.25">
      <c r="A6727" s="18">
        <v>5321</v>
      </c>
      <c r="B6727" s="4" t="s">
        <v>43</v>
      </c>
      <c r="C6727" s="38" t="s">
        <v>4802</v>
      </c>
      <c r="D6727" s="18">
        <v>2022</v>
      </c>
      <c r="E6727" s="18" t="s">
        <v>0</v>
      </c>
      <c r="F6727" s="4">
        <v>1</v>
      </c>
      <c r="G6727" s="41">
        <v>5</v>
      </c>
      <c r="H6727" s="41">
        <v>10.067500000000001</v>
      </c>
      <c r="I6727" s="221"/>
      <c r="J6727" s="221"/>
    </row>
    <row r="6728" spans="1:10" s="15" customFormat="1" ht="16.5" hidden="1" customHeight="1" outlineLevel="1" x14ac:dyDescent="0.25">
      <c r="A6728" s="18">
        <v>5320</v>
      </c>
      <c r="B6728" s="4" t="s">
        <v>43</v>
      </c>
      <c r="C6728" s="38" t="s">
        <v>4803</v>
      </c>
      <c r="D6728" s="18">
        <v>2022</v>
      </c>
      <c r="E6728" s="18" t="s">
        <v>0</v>
      </c>
      <c r="F6728" s="4">
        <v>1</v>
      </c>
      <c r="G6728" s="41">
        <v>7</v>
      </c>
      <c r="H6728" s="41">
        <v>10.06748</v>
      </c>
      <c r="I6728" s="221"/>
      <c r="J6728" s="221"/>
    </row>
    <row r="6729" spans="1:10" s="15" customFormat="1" ht="16.5" hidden="1" customHeight="1" outlineLevel="1" x14ac:dyDescent="0.25">
      <c r="A6729" s="18">
        <v>5309</v>
      </c>
      <c r="B6729" s="4" t="s">
        <v>43</v>
      </c>
      <c r="C6729" s="38" t="s">
        <v>4804</v>
      </c>
      <c r="D6729" s="18">
        <v>2022</v>
      </c>
      <c r="E6729" s="18" t="s">
        <v>0</v>
      </c>
      <c r="F6729" s="4">
        <v>1</v>
      </c>
      <c r="G6729" s="41">
        <v>14</v>
      </c>
      <c r="H6729" s="41">
        <v>11.164020000000001</v>
      </c>
      <c r="I6729" s="221"/>
      <c r="J6729" s="221"/>
    </row>
    <row r="6730" spans="1:10" s="15" customFormat="1" ht="16.5" hidden="1" customHeight="1" outlineLevel="1" x14ac:dyDescent="0.25">
      <c r="A6730" s="18">
        <v>5308</v>
      </c>
      <c r="B6730" s="4" t="s">
        <v>43</v>
      </c>
      <c r="C6730" s="38" t="s">
        <v>4805</v>
      </c>
      <c r="D6730" s="18">
        <v>2022</v>
      </c>
      <c r="E6730" s="18" t="s">
        <v>0</v>
      </c>
      <c r="F6730" s="4">
        <v>1</v>
      </c>
      <c r="G6730" s="41">
        <v>10</v>
      </c>
      <c r="H6730" s="41">
        <v>11.34779</v>
      </c>
      <c r="I6730" s="221"/>
      <c r="J6730" s="221"/>
    </row>
    <row r="6731" spans="1:10" s="15" customFormat="1" ht="16.5" hidden="1" customHeight="1" outlineLevel="1" x14ac:dyDescent="0.25">
      <c r="A6731" s="18">
        <v>5306</v>
      </c>
      <c r="B6731" s="4" t="s">
        <v>43</v>
      </c>
      <c r="C6731" s="38" t="s">
        <v>4806</v>
      </c>
      <c r="D6731" s="18">
        <v>2022</v>
      </c>
      <c r="E6731" s="18" t="s">
        <v>0</v>
      </c>
      <c r="F6731" s="4">
        <v>1</v>
      </c>
      <c r="G6731" s="41">
        <v>7</v>
      </c>
      <c r="H6731" s="41">
        <v>10.06748</v>
      </c>
      <c r="I6731" s="221"/>
      <c r="J6731" s="221"/>
    </row>
    <row r="6732" spans="1:10" s="15" customFormat="1" ht="16.5" hidden="1" customHeight="1" outlineLevel="1" x14ac:dyDescent="0.25">
      <c r="A6732" s="18">
        <v>5305</v>
      </c>
      <c r="B6732" s="4" t="s">
        <v>43</v>
      </c>
      <c r="C6732" s="38" t="s">
        <v>4807</v>
      </c>
      <c r="D6732" s="18">
        <v>2022</v>
      </c>
      <c r="E6732" s="18" t="s">
        <v>0</v>
      </c>
      <c r="F6732" s="4">
        <v>1</v>
      </c>
      <c r="G6732" s="41">
        <v>5</v>
      </c>
      <c r="H6732" s="41">
        <v>10.06748</v>
      </c>
      <c r="I6732" s="221"/>
      <c r="J6732" s="221"/>
    </row>
    <row r="6733" spans="1:10" s="15" customFormat="1" ht="16.5" hidden="1" customHeight="1" outlineLevel="1" x14ac:dyDescent="0.25">
      <c r="A6733" s="18">
        <v>5073</v>
      </c>
      <c r="B6733" s="4" t="s">
        <v>43</v>
      </c>
      <c r="C6733" s="38" t="s">
        <v>4808</v>
      </c>
      <c r="D6733" s="18">
        <v>2022</v>
      </c>
      <c r="E6733" s="18" t="s">
        <v>0</v>
      </c>
      <c r="F6733" s="4">
        <v>1</v>
      </c>
      <c r="G6733" s="41">
        <v>20</v>
      </c>
      <c r="H6733" s="41">
        <v>28.303529999999999</v>
      </c>
      <c r="I6733" s="221"/>
      <c r="J6733" s="221"/>
    </row>
    <row r="6734" spans="1:10" s="15" customFormat="1" ht="16.5" hidden="1" customHeight="1" outlineLevel="1" x14ac:dyDescent="0.25">
      <c r="A6734" s="18">
        <v>5352</v>
      </c>
      <c r="B6734" s="4" t="s">
        <v>43</v>
      </c>
      <c r="C6734" s="38" t="s">
        <v>4809</v>
      </c>
      <c r="D6734" s="18">
        <v>2022</v>
      </c>
      <c r="E6734" s="18" t="s">
        <v>0</v>
      </c>
      <c r="F6734" s="4">
        <v>1</v>
      </c>
      <c r="G6734" s="41">
        <v>15</v>
      </c>
      <c r="H6734" s="41">
        <v>9.7935599999999994</v>
      </c>
      <c r="I6734" s="221"/>
      <c r="J6734" s="221"/>
    </row>
    <row r="6735" spans="1:10" s="15" customFormat="1" ht="16.5" hidden="1" customHeight="1" outlineLevel="1" x14ac:dyDescent="0.25">
      <c r="A6735" s="18">
        <v>5354</v>
      </c>
      <c r="B6735" s="4" t="s">
        <v>43</v>
      </c>
      <c r="C6735" s="38" t="s">
        <v>4810</v>
      </c>
      <c r="D6735" s="18">
        <v>2022</v>
      </c>
      <c r="E6735" s="18" t="s">
        <v>0</v>
      </c>
      <c r="F6735" s="4">
        <v>1</v>
      </c>
      <c r="G6735" s="41">
        <v>10</v>
      </c>
      <c r="H6735" s="41">
        <v>9.8389299999999995</v>
      </c>
      <c r="I6735" s="221"/>
      <c r="J6735" s="221"/>
    </row>
    <row r="6736" spans="1:10" s="15" customFormat="1" ht="16.5" hidden="1" customHeight="1" outlineLevel="1" x14ac:dyDescent="0.25">
      <c r="A6736" s="18">
        <v>5351</v>
      </c>
      <c r="B6736" s="4" t="s">
        <v>43</v>
      </c>
      <c r="C6736" s="38" t="s">
        <v>4811</v>
      </c>
      <c r="D6736" s="18">
        <v>2022</v>
      </c>
      <c r="E6736" s="18" t="s">
        <v>0</v>
      </c>
      <c r="F6736" s="4">
        <v>1</v>
      </c>
      <c r="G6736" s="41">
        <v>15</v>
      </c>
      <c r="H6736" s="41">
        <v>9.8469099999999994</v>
      </c>
      <c r="I6736" s="221"/>
      <c r="J6736" s="221"/>
    </row>
    <row r="6737" spans="1:10" s="15" customFormat="1" ht="16.5" hidden="1" customHeight="1" outlineLevel="1" x14ac:dyDescent="0.25">
      <c r="A6737" s="18">
        <v>5350</v>
      </c>
      <c r="B6737" s="4" t="s">
        <v>43</v>
      </c>
      <c r="C6737" s="38" t="s">
        <v>4812</v>
      </c>
      <c r="D6737" s="18">
        <v>2022</v>
      </c>
      <c r="E6737" s="18" t="s">
        <v>0</v>
      </c>
      <c r="F6737" s="4">
        <v>1</v>
      </c>
      <c r="G6737" s="41">
        <v>15</v>
      </c>
      <c r="H6737" s="41">
        <v>9.5934100000000004</v>
      </c>
      <c r="I6737" s="221"/>
      <c r="J6737" s="221"/>
    </row>
    <row r="6738" spans="1:10" s="15" customFormat="1" ht="16.5" hidden="1" customHeight="1" outlineLevel="1" x14ac:dyDescent="0.25">
      <c r="A6738" s="18">
        <v>5353</v>
      </c>
      <c r="B6738" s="4" t="s">
        <v>43</v>
      </c>
      <c r="C6738" s="38" t="s">
        <v>4813</v>
      </c>
      <c r="D6738" s="18">
        <v>2022</v>
      </c>
      <c r="E6738" s="18" t="s">
        <v>0</v>
      </c>
      <c r="F6738" s="4">
        <v>1</v>
      </c>
      <c r="G6738" s="41">
        <v>7</v>
      </c>
      <c r="H6738" s="41">
        <v>9.7935700000000008</v>
      </c>
      <c r="I6738" s="221"/>
      <c r="J6738" s="221"/>
    </row>
    <row r="6739" spans="1:10" s="15" customFormat="1" ht="16.5" hidden="1" customHeight="1" outlineLevel="1" x14ac:dyDescent="0.25">
      <c r="A6739" s="18">
        <v>5062</v>
      </c>
      <c r="B6739" s="4" t="s">
        <v>43</v>
      </c>
      <c r="C6739" s="38" t="s">
        <v>4814</v>
      </c>
      <c r="D6739" s="18">
        <v>2022</v>
      </c>
      <c r="E6739" s="18" t="s">
        <v>0</v>
      </c>
      <c r="F6739" s="4">
        <v>1</v>
      </c>
      <c r="G6739" s="41">
        <v>7</v>
      </c>
      <c r="H6739" s="41">
        <v>17.078499999999998</v>
      </c>
      <c r="I6739" s="221"/>
      <c r="J6739" s="221"/>
    </row>
    <row r="6740" spans="1:10" s="15" customFormat="1" ht="16.5" hidden="1" customHeight="1" outlineLevel="1" x14ac:dyDescent="0.25">
      <c r="A6740" s="18">
        <v>5069</v>
      </c>
      <c r="B6740" s="4" t="s">
        <v>43</v>
      </c>
      <c r="C6740" s="38" t="s">
        <v>4815</v>
      </c>
      <c r="D6740" s="18">
        <v>2022</v>
      </c>
      <c r="E6740" s="18" t="s">
        <v>0</v>
      </c>
      <c r="F6740" s="4">
        <v>1</v>
      </c>
      <c r="G6740" s="41">
        <v>10</v>
      </c>
      <c r="H6740" s="41">
        <v>18.858889999999999</v>
      </c>
      <c r="I6740" s="221"/>
      <c r="J6740" s="221"/>
    </row>
    <row r="6741" spans="1:10" s="15" customFormat="1" ht="16.5" hidden="1" customHeight="1" outlineLevel="1" x14ac:dyDescent="0.25">
      <c r="A6741" s="18">
        <v>5355</v>
      </c>
      <c r="B6741" s="4" t="s">
        <v>43</v>
      </c>
      <c r="C6741" s="38" t="s">
        <v>4816</v>
      </c>
      <c r="D6741" s="18">
        <v>2022</v>
      </c>
      <c r="E6741" s="18" t="s">
        <v>0</v>
      </c>
      <c r="F6741" s="4">
        <v>1</v>
      </c>
      <c r="G6741" s="41">
        <v>5</v>
      </c>
      <c r="H6741" s="41">
        <v>9.8456200000000003</v>
      </c>
      <c r="I6741" s="221"/>
      <c r="J6741" s="221"/>
    </row>
    <row r="6742" spans="1:10" s="15" customFormat="1" ht="16.5" hidden="1" customHeight="1" outlineLevel="1" x14ac:dyDescent="0.25">
      <c r="A6742" s="18">
        <v>5204</v>
      </c>
      <c r="B6742" s="4" t="s">
        <v>43</v>
      </c>
      <c r="C6742" s="38" t="s">
        <v>4817</v>
      </c>
      <c r="D6742" s="18">
        <v>2022</v>
      </c>
      <c r="E6742" s="18" t="s">
        <v>0</v>
      </c>
      <c r="F6742" s="4">
        <v>1</v>
      </c>
      <c r="G6742" s="41">
        <v>7</v>
      </c>
      <c r="H6742" s="41">
        <v>12.07874</v>
      </c>
      <c r="I6742" s="221"/>
      <c r="J6742" s="221"/>
    </row>
    <row r="6743" spans="1:10" s="15" customFormat="1" ht="16.5" hidden="1" customHeight="1" outlineLevel="1" x14ac:dyDescent="0.25">
      <c r="A6743" s="18">
        <v>5201</v>
      </c>
      <c r="B6743" s="4" t="s">
        <v>43</v>
      </c>
      <c r="C6743" s="38" t="s">
        <v>4818</v>
      </c>
      <c r="D6743" s="18">
        <v>2022</v>
      </c>
      <c r="E6743" s="18" t="s">
        <v>0</v>
      </c>
      <c r="F6743" s="4">
        <v>1</v>
      </c>
      <c r="G6743" s="41">
        <v>10</v>
      </c>
      <c r="H6743" s="41">
        <v>9.9039400000000004</v>
      </c>
      <c r="I6743" s="221"/>
      <c r="J6743" s="221"/>
    </row>
    <row r="6744" spans="1:10" s="15" customFormat="1" ht="16.5" hidden="1" customHeight="1" outlineLevel="1" x14ac:dyDescent="0.25">
      <c r="A6744" s="18">
        <v>5162</v>
      </c>
      <c r="B6744" s="4" t="s">
        <v>43</v>
      </c>
      <c r="C6744" s="38" t="s">
        <v>4819</v>
      </c>
      <c r="D6744" s="18">
        <v>2022</v>
      </c>
      <c r="E6744" s="18" t="s">
        <v>0</v>
      </c>
      <c r="F6744" s="4">
        <v>1</v>
      </c>
      <c r="G6744" s="41">
        <v>4.5</v>
      </c>
      <c r="H6744" s="41">
        <v>12.93398</v>
      </c>
      <c r="I6744" s="221"/>
      <c r="J6744" s="221"/>
    </row>
    <row r="6745" spans="1:10" s="15" customFormat="1" ht="16.5" hidden="1" customHeight="1" outlineLevel="1" x14ac:dyDescent="0.25">
      <c r="A6745" s="18">
        <v>5163</v>
      </c>
      <c r="B6745" s="4" t="s">
        <v>43</v>
      </c>
      <c r="C6745" s="38" t="s">
        <v>4820</v>
      </c>
      <c r="D6745" s="18">
        <v>2022</v>
      </c>
      <c r="E6745" s="18" t="s">
        <v>0</v>
      </c>
      <c r="F6745" s="4">
        <v>1</v>
      </c>
      <c r="G6745" s="41">
        <v>6</v>
      </c>
      <c r="H6745" s="41">
        <v>13.8771</v>
      </c>
      <c r="I6745" s="221"/>
      <c r="J6745" s="221"/>
    </row>
    <row r="6746" spans="1:10" s="15" customFormat="1" ht="16.5" hidden="1" customHeight="1" outlineLevel="1" x14ac:dyDescent="0.25">
      <c r="A6746" s="18">
        <v>5160</v>
      </c>
      <c r="B6746" s="4" t="s">
        <v>43</v>
      </c>
      <c r="C6746" s="38" t="s">
        <v>4821</v>
      </c>
      <c r="D6746" s="18">
        <v>2022</v>
      </c>
      <c r="E6746" s="18" t="s">
        <v>0</v>
      </c>
      <c r="F6746" s="4">
        <v>1</v>
      </c>
      <c r="G6746" s="41">
        <v>6</v>
      </c>
      <c r="H6746" s="41">
        <v>10.11003</v>
      </c>
      <c r="I6746" s="221"/>
      <c r="J6746" s="221"/>
    </row>
    <row r="6747" spans="1:10" s="15" customFormat="1" ht="16.5" hidden="1" customHeight="1" outlineLevel="1" x14ac:dyDescent="0.25">
      <c r="A6747" s="18">
        <v>5216</v>
      </c>
      <c r="B6747" s="4" t="s">
        <v>43</v>
      </c>
      <c r="C6747" s="38" t="s">
        <v>4822</v>
      </c>
      <c r="D6747" s="18">
        <v>2022</v>
      </c>
      <c r="E6747" s="18" t="s">
        <v>0</v>
      </c>
      <c r="F6747" s="4">
        <v>1</v>
      </c>
      <c r="G6747" s="41">
        <v>7</v>
      </c>
      <c r="H6747" s="41">
        <v>9.9791699999999999</v>
      </c>
      <c r="I6747" s="221"/>
      <c r="J6747" s="221"/>
    </row>
    <row r="6748" spans="1:10" s="15" customFormat="1" ht="16.5" hidden="1" customHeight="1" outlineLevel="1" x14ac:dyDescent="0.25">
      <c r="A6748" s="18">
        <v>5214</v>
      </c>
      <c r="B6748" s="4" t="s">
        <v>43</v>
      </c>
      <c r="C6748" s="38" t="s">
        <v>4823</v>
      </c>
      <c r="D6748" s="18">
        <v>2022</v>
      </c>
      <c r="E6748" s="18" t="s">
        <v>0</v>
      </c>
      <c r="F6748" s="4">
        <v>1</v>
      </c>
      <c r="G6748" s="41">
        <v>5</v>
      </c>
      <c r="H6748" s="41">
        <v>10.22566</v>
      </c>
      <c r="I6748" s="221"/>
      <c r="J6748" s="221"/>
    </row>
    <row r="6749" spans="1:10" s="15" customFormat="1" ht="16.5" hidden="1" customHeight="1" outlineLevel="1" x14ac:dyDescent="0.25">
      <c r="A6749" s="18">
        <v>5087</v>
      </c>
      <c r="B6749" s="4" t="s">
        <v>43</v>
      </c>
      <c r="C6749" s="38" t="s">
        <v>4824</v>
      </c>
      <c r="D6749" s="18">
        <v>2022</v>
      </c>
      <c r="E6749" s="18" t="s">
        <v>0</v>
      </c>
      <c r="F6749" s="4">
        <v>1</v>
      </c>
      <c r="G6749" s="41">
        <v>7</v>
      </c>
      <c r="H6749" s="41">
        <v>21.481780000000001</v>
      </c>
      <c r="I6749" s="221"/>
      <c r="J6749" s="221"/>
    </row>
    <row r="6750" spans="1:10" s="15" customFormat="1" ht="16.5" hidden="1" customHeight="1" outlineLevel="1" x14ac:dyDescent="0.25">
      <c r="A6750" s="18">
        <v>5083</v>
      </c>
      <c r="B6750" s="4" t="s">
        <v>43</v>
      </c>
      <c r="C6750" s="38" t="s">
        <v>4825</v>
      </c>
      <c r="D6750" s="18">
        <v>2022</v>
      </c>
      <c r="E6750" s="18" t="s">
        <v>0</v>
      </c>
      <c r="F6750" s="4">
        <v>1</v>
      </c>
      <c r="G6750" s="41">
        <v>5</v>
      </c>
      <c r="H6750" s="41">
        <v>20.137789999999999</v>
      </c>
      <c r="I6750" s="221"/>
      <c r="J6750" s="221"/>
    </row>
    <row r="6751" spans="1:10" s="15" customFormat="1" ht="16.5" hidden="1" customHeight="1" outlineLevel="1" x14ac:dyDescent="0.25">
      <c r="A6751" s="18">
        <v>5079</v>
      </c>
      <c r="B6751" s="4" t="s">
        <v>43</v>
      </c>
      <c r="C6751" s="38" t="s">
        <v>4826</v>
      </c>
      <c r="D6751" s="18">
        <v>2022</v>
      </c>
      <c r="E6751" s="18" t="s">
        <v>0</v>
      </c>
      <c r="F6751" s="4">
        <v>1</v>
      </c>
      <c r="G6751" s="41">
        <v>8</v>
      </c>
      <c r="H6751" s="41">
        <v>22.775729999999999</v>
      </c>
      <c r="I6751" s="221"/>
      <c r="J6751" s="221"/>
    </row>
    <row r="6752" spans="1:10" s="15" customFormat="1" ht="16.5" hidden="1" customHeight="1" outlineLevel="1" x14ac:dyDescent="0.25">
      <c r="A6752" s="18">
        <v>5078</v>
      </c>
      <c r="B6752" s="4" t="s">
        <v>43</v>
      </c>
      <c r="C6752" s="38" t="s">
        <v>4827</v>
      </c>
      <c r="D6752" s="18">
        <v>2022</v>
      </c>
      <c r="E6752" s="18" t="s">
        <v>0</v>
      </c>
      <c r="F6752" s="4">
        <v>1</v>
      </c>
      <c r="G6752" s="41">
        <v>5</v>
      </c>
      <c r="H6752" s="41">
        <v>20.12482</v>
      </c>
      <c r="I6752" s="221"/>
      <c r="J6752" s="221"/>
    </row>
    <row r="6753" spans="1:10" s="15" customFormat="1" ht="16.5" hidden="1" customHeight="1" outlineLevel="1" x14ac:dyDescent="0.25">
      <c r="A6753" s="18">
        <v>5363</v>
      </c>
      <c r="B6753" s="4" t="s">
        <v>43</v>
      </c>
      <c r="C6753" s="38" t="s">
        <v>4828</v>
      </c>
      <c r="D6753" s="18">
        <v>2022</v>
      </c>
      <c r="E6753" s="18" t="s">
        <v>0</v>
      </c>
      <c r="F6753" s="4">
        <v>1</v>
      </c>
      <c r="G6753" s="41">
        <v>7</v>
      </c>
      <c r="H6753" s="41">
        <v>43.062489999999997</v>
      </c>
      <c r="I6753" s="221"/>
      <c r="J6753" s="221"/>
    </row>
    <row r="6754" spans="1:10" s="15" customFormat="1" ht="16.5" hidden="1" customHeight="1" outlineLevel="1" x14ac:dyDescent="0.25">
      <c r="A6754" s="18">
        <v>5410</v>
      </c>
      <c r="B6754" s="4" t="s">
        <v>43</v>
      </c>
      <c r="C6754" s="38" t="s">
        <v>4829</v>
      </c>
      <c r="D6754" s="18">
        <v>2022</v>
      </c>
      <c r="E6754" s="18" t="s">
        <v>0</v>
      </c>
      <c r="F6754" s="4">
        <v>1</v>
      </c>
      <c r="G6754" s="41">
        <v>7</v>
      </c>
      <c r="H6754" s="41">
        <v>19.362660000000002</v>
      </c>
      <c r="I6754" s="221"/>
      <c r="J6754" s="221"/>
    </row>
    <row r="6755" spans="1:10" s="15" customFormat="1" ht="16.5" hidden="1" customHeight="1" outlineLevel="1" x14ac:dyDescent="0.25">
      <c r="A6755" s="18">
        <v>5404</v>
      </c>
      <c r="B6755" s="4" t="s">
        <v>43</v>
      </c>
      <c r="C6755" s="38" t="s">
        <v>4830</v>
      </c>
      <c r="D6755" s="18">
        <v>2022</v>
      </c>
      <c r="E6755" s="18" t="s">
        <v>0</v>
      </c>
      <c r="F6755" s="4">
        <v>1</v>
      </c>
      <c r="G6755" s="41">
        <v>7</v>
      </c>
      <c r="H6755" s="41">
        <v>24.57405</v>
      </c>
      <c r="I6755" s="221"/>
      <c r="J6755" s="221"/>
    </row>
    <row r="6756" spans="1:10" s="15" customFormat="1" ht="16.5" hidden="1" customHeight="1" outlineLevel="1" x14ac:dyDescent="0.25">
      <c r="A6756" s="18">
        <v>5375</v>
      </c>
      <c r="B6756" s="4" t="s">
        <v>43</v>
      </c>
      <c r="C6756" s="38" t="s">
        <v>4831</v>
      </c>
      <c r="D6756" s="18">
        <v>2022</v>
      </c>
      <c r="E6756" s="18" t="s">
        <v>0</v>
      </c>
      <c r="F6756" s="4">
        <v>1</v>
      </c>
      <c r="G6756" s="41">
        <v>7</v>
      </c>
      <c r="H6756" s="41">
        <v>19.734259999999999</v>
      </c>
      <c r="I6756" s="221"/>
      <c r="J6756" s="221"/>
    </row>
    <row r="6757" spans="1:10" s="15" customFormat="1" ht="16.5" hidden="1" customHeight="1" outlineLevel="1" x14ac:dyDescent="0.25">
      <c r="A6757" s="18">
        <v>5382</v>
      </c>
      <c r="B6757" s="4" t="s">
        <v>43</v>
      </c>
      <c r="C6757" s="38" t="s">
        <v>4832</v>
      </c>
      <c r="D6757" s="18">
        <v>2022</v>
      </c>
      <c r="E6757" s="18" t="s">
        <v>0</v>
      </c>
      <c r="F6757" s="4">
        <v>1</v>
      </c>
      <c r="G6757" s="41">
        <v>6</v>
      </c>
      <c r="H6757" s="41">
        <v>24.465789999999998</v>
      </c>
      <c r="I6757" s="221"/>
      <c r="J6757" s="221"/>
    </row>
    <row r="6758" spans="1:10" s="15" customFormat="1" ht="16.5" hidden="1" customHeight="1" outlineLevel="1" x14ac:dyDescent="0.25">
      <c r="A6758" s="18">
        <v>5387</v>
      </c>
      <c r="B6758" s="4" t="s">
        <v>43</v>
      </c>
      <c r="C6758" s="38" t="s">
        <v>4833</v>
      </c>
      <c r="D6758" s="18">
        <v>2022</v>
      </c>
      <c r="E6758" s="18" t="s">
        <v>0</v>
      </c>
      <c r="F6758" s="4">
        <v>1</v>
      </c>
      <c r="G6758" s="41">
        <v>6</v>
      </c>
      <c r="H6758" s="41">
        <v>21.07058</v>
      </c>
      <c r="I6758" s="221"/>
      <c r="J6758" s="221"/>
    </row>
    <row r="6759" spans="1:10" s="15" customFormat="1" ht="16.5" hidden="1" customHeight="1" outlineLevel="1" x14ac:dyDescent="0.25">
      <c r="A6759" s="18">
        <v>5388</v>
      </c>
      <c r="B6759" s="4" t="s">
        <v>43</v>
      </c>
      <c r="C6759" s="38" t="s">
        <v>4834</v>
      </c>
      <c r="D6759" s="18">
        <v>2022</v>
      </c>
      <c r="E6759" s="18" t="s">
        <v>0</v>
      </c>
      <c r="F6759" s="4">
        <v>1</v>
      </c>
      <c r="G6759" s="41">
        <v>6</v>
      </c>
      <c r="H6759" s="41">
        <v>22.090520000000001</v>
      </c>
      <c r="I6759" s="221"/>
      <c r="J6759" s="221"/>
    </row>
    <row r="6760" spans="1:10" s="15" customFormat="1" ht="16.5" hidden="1" customHeight="1" outlineLevel="1" x14ac:dyDescent="0.25">
      <c r="A6760" s="18">
        <v>5390</v>
      </c>
      <c r="B6760" s="4" t="s">
        <v>43</v>
      </c>
      <c r="C6760" s="38" t="s">
        <v>4835</v>
      </c>
      <c r="D6760" s="18">
        <v>2022</v>
      </c>
      <c r="E6760" s="18" t="s">
        <v>0</v>
      </c>
      <c r="F6760" s="4">
        <v>1</v>
      </c>
      <c r="G6760" s="41">
        <v>6</v>
      </c>
      <c r="H6760" s="41">
        <v>20.24391</v>
      </c>
      <c r="I6760" s="221"/>
      <c r="J6760" s="221"/>
    </row>
    <row r="6761" spans="1:10" s="15" customFormat="1" ht="16.5" hidden="1" customHeight="1" outlineLevel="1" x14ac:dyDescent="0.25">
      <c r="A6761" s="18">
        <v>5245</v>
      </c>
      <c r="B6761" s="4" t="s">
        <v>43</v>
      </c>
      <c r="C6761" s="38" t="s">
        <v>4796</v>
      </c>
      <c r="D6761" s="18">
        <v>2022</v>
      </c>
      <c r="E6761" s="18" t="s">
        <v>0</v>
      </c>
      <c r="F6761" s="4">
        <v>1</v>
      </c>
      <c r="G6761" s="41">
        <v>10</v>
      </c>
      <c r="H6761" s="41">
        <v>11.587389999999999</v>
      </c>
      <c r="I6761" s="221"/>
      <c r="J6761" s="221"/>
    </row>
    <row r="6762" spans="1:10" s="15" customFormat="1" ht="16.5" hidden="1" customHeight="1" outlineLevel="1" x14ac:dyDescent="0.25">
      <c r="A6762" s="18">
        <v>5239</v>
      </c>
      <c r="B6762" s="4" t="s">
        <v>43</v>
      </c>
      <c r="C6762" s="38" t="s">
        <v>4836</v>
      </c>
      <c r="D6762" s="18">
        <v>2022</v>
      </c>
      <c r="E6762" s="18" t="s">
        <v>0</v>
      </c>
      <c r="F6762" s="4">
        <v>1</v>
      </c>
      <c r="G6762" s="41">
        <v>1</v>
      </c>
      <c r="H6762" s="41">
        <v>19.814820000000001</v>
      </c>
      <c r="I6762" s="221"/>
      <c r="J6762" s="221"/>
    </row>
    <row r="6763" spans="1:10" s="15" customFormat="1" ht="16.5" hidden="1" customHeight="1" outlineLevel="1" x14ac:dyDescent="0.25">
      <c r="A6763" s="18">
        <v>5240</v>
      </c>
      <c r="B6763" s="4" t="s">
        <v>43</v>
      </c>
      <c r="C6763" s="38" t="s">
        <v>4837</v>
      </c>
      <c r="D6763" s="18">
        <v>2022</v>
      </c>
      <c r="E6763" s="18" t="s">
        <v>0</v>
      </c>
      <c r="F6763" s="4">
        <v>1</v>
      </c>
      <c r="G6763" s="41">
        <v>5</v>
      </c>
      <c r="H6763" s="41">
        <v>19.814789999999999</v>
      </c>
      <c r="I6763" s="221"/>
      <c r="J6763" s="221"/>
    </row>
    <row r="6764" spans="1:10" s="15" customFormat="1" ht="16.5" hidden="1" customHeight="1" outlineLevel="1" x14ac:dyDescent="0.25">
      <c r="A6764" s="18">
        <v>5241</v>
      </c>
      <c r="B6764" s="4" t="s">
        <v>43</v>
      </c>
      <c r="C6764" s="38" t="s">
        <v>4838</v>
      </c>
      <c r="D6764" s="18">
        <v>2022</v>
      </c>
      <c r="E6764" s="18" t="s">
        <v>0</v>
      </c>
      <c r="F6764" s="4">
        <v>1</v>
      </c>
      <c r="G6764" s="41">
        <v>7</v>
      </c>
      <c r="H6764" s="41">
        <v>19.814910000000001</v>
      </c>
      <c r="I6764" s="221"/>
      <c r="J6764" s="221"/>
    </row>
    <row r="6765" spans="1:10" s="15" customFormat="1" ht="16.5" hidden="1" customHeight="1" outlineLevel="1" x14ac:dyDescent="0.25">
      <c r="A6765" s="18">
        <v>5236</v>
      </c>
      <c r="B6765" s="4" t="s">
        <v>43</v>
      </c>
      <c r="C6765" s="38" t="s">
        <v>4839</v>
      </c>
      <c r="D6765" s="18">
        <v>2022</v>
      </c>
      <c r="E6765" s="18" t="s">
        <v>0</v>
      </c>
      <c r="F6765" s="4">
        <v>1</v>
      </c>
      <c r="G6765" s="41">
        <v>0.75</v>
      </c>
      <c r="H6765" s="41">
        <v>21.621279999999999</v>
      </c>
      <c r="I6765" s="221"/>
      <c r="J6765" s="221"/>
    </row>
    <row r="6766" spans="1:10" s="15" customFormat="1" ht="16.5" hidden="1" customHeight="1" outlineLevel="1" x14ac:dyDescent="0.25">
      <c r="A6766" s="18">
        <v>5235</v>
      </c>
      <c r="B6766" s="4" t="s">
        <v>43</v>
      </c>
      <c r="C6766" s="38" t="s">
        <v>4840</v>
      </c>
      <c r="D6766" s="18">
        <v>2022</v>
      </c>
      <c r="E6766" s="18" t="s">
        <v>0</v>
      </c>
      <c r="F6766" s="4">
        <v>1</v>
      </c>
      <c r="G6766" s="41">
        <v>0.75</v>
      </c>
      <c r="H6766" s="41">
        <v>20.77796</v>
      </c>
      <c r="I6766" s="221"/>
      <c r="J6766" s="221"/>
    </row>
    <row r="6767" spans="1:10" s="15" customFormat="1" ht="16.5" hidden="1" customHeight="1" outlineLevel="1" x14ac:dyDescent="0.25">
      <c r="A6767" s="18">
        <v>5213</v>
      </c>
      <c r="B6767" s="4" t="s">
        <v>43</v>
      </c>
      <c r="C6767" s="38" t="s">
        <v>4841</v>
      </c>
      <c r="D6767" s="18">
        <v>2022</v>
      </c>
      <c r="E6767" s="18" t="s">
        <v>0</v>
      </c>
      <c r="F6767" s="4">
        <v>1</v>
      </c>
      <c r="G6767" s="41">
        <v>0.75</v>
      </c>
      <c r="H6767" s="41">
        <v>29</v>
      </c>
      <c r="I6767" s="221"/>
      <c r="J6767" s="221"/>
    </row>
    <row r="6768" spans="1:10" s="15" customFormat="1" ht="16.5" hidden="1" customHeight="1" outlineLevel="1" x14ac:dyDescent="0.25">
      <c r="A6768" s="18">
        <v>5337</v>
      </c>
      <c r="B6768" s="4" t="s">
        <v>43</v>
      </c>
      <c r="C6768" s="38" t="s">
        <v>2793</v>
      </c>
      <c r="D6768" s="18">
        <v>2022</v>
      </c>
      <c r="E6768" s="18" t="s">
        <v>0</v>
      </c>
      <c r="F6768" s="4">
        <v>1</v>
      </c>
      <c r="G6768" s="41">
        <v>0.75</v>
      </c>
      <c r="H6768" s="41">
        <v>15</v>
      </c>
      <c r="I6768" s="221"/>
      <c r="J6768" s="221"/>
    </row>
    <row r="6769" spans="1:10" s="15" customFormat="1" ht="16.5" hidden="1" customHeight="1" outlineLevel="1" x14ac:dyDescent="0.25">
      <c r="A6769" s="18">
        <v>5335</v>
      </c>
      <c r="B6769" s="4" t="s">
        <v>43</v>
      </c>
      <c r="C6769" s="38" t="s">
        <v>4842</v>
      </c>
      <c r="D6769" s="18">
        <v>2022</v>
      </c>
      <c r="E6769" s="18" t="s">
        <v>0</v>
      </c>
      <c r="F6769" s="4">
        <v>1</v>
      </c>
      <c r="G6769" s="41">
        <v>15</v>
      </c>
      <c r="H6769" s="41">
        <v>24</v>
      </c>
      <c r="I6769" s="221"/>
      <c r="J6769" s="221"/>
    </row>
    <row r="6770" spans="1:10" s="15" customFormat="1" ht="18" hidden="1" customHeight="1" outlineLevel="1" x14ac:dyDescent="0.25">
      <c r="A6770" s="18">
        <v>3882</v>
      </c>
      <c r="B6770" s="4" t="s">
        <v>43</v>
      </c>
      <c r="C6770" s="38" t="s">
        <v>9374</v>
      </c>
      <c r="D6770" s="23">
        <v>2023</v>
      </c>
      <c r="E6770" s="18" t="s">
        <v>0</v>
      </c>
      <c r="F6770" s="6">
        <v>1</v>
      </c>
      <c r="G6770" s="40">
        <v>10</v>
      </c>
      <c r="H6770" s="40">
        <v>25.7348</v>
      </c>
      <c r="I6770" s="212"/>
      <c r="J6770" s="212"/>
    </row>
    <row r="6771" spans="1:10" s="15" customFormat="1" ht="18" hidden="1" customHeight="1" outlineLevel="1" x14ac:dyDescent="0.25">
      <c r="A6771" s="18">
        <v>3896</v>
      </c>
      <c r="B6771" s="4" t="s">
        <v>43</v>
      </c>
      <c r="C6771" s="38" t="s">
        <v>9375</v>
      </c>
      <c r="D6771" s="23">
        <v>2023</v>
      </c>
      <c r="E6771" s="18" t="s">
        <v>0</v>
      </c>
      <c r="F6771" s="6">
        <v>1</v>
      </c>
      <c r="G6771" s="40">
        <v>10</v>
      </c>
      <c r="H6771" s="40">
        <v>18.179120000000001</v>
      </c>
      <c r="I6771" s="212"/>
      <c r="J6771" s="212"/>
    </row>
    <row r="6772" spans="1:10" s="15" customFormat="1" ht="18" hidden="1" customHeight="1" outlineLevel="1" x14ac:dyDescent="0.25">
      <c r="A6772" s="18">
        <v>3894</v>
      </c>
      <c r="B6772" s="4" t="s">
        <v>43</v>
      </c>
      <c r="C6772" s="38" t="s">
        <v>9376</v>
      </c>
      <c r="D6772" s="23">
        <v>2023</v>
      </c>
      <c r="E6772" s="18" t="s">
        <v>0</v>
      </c>
      <c r="F6772" s="6">
        <v>1</v>
      </c>
      <c r="G6772" s="40">
        <v>15</v>
      </c>
      <c r="H6772" s="40">
        <v>25.734800000000003</v>
      </c>
      <c r="I6772" s="212"/>
      <c r="J6772" s="212"/>
    </row>
    <row r="6773" spans="1:10" s="15" customFormat="1" ht="18" hidden="1" customHeight="1" outlineLevel="1" x14ac:dyDescent="0.25">
      <c r="A6773" s="18">
        <v>3859</v>
      </c>
      <c r="B6773" s="4" t="s">
        <v>43</v>
      </c>
      <c r="C6773" s="38" t="s">
        <v>9377</v>
      </c>
      <c r="D6773" s="23">
        <v>2023</v>
      </c>
      <c r="E6773" s="18" t="s">
        <v>0</v>
      </c>
      <c r="F6773" s="6">
        <v>1</v>
      </c>
      <c r="G6773" s="40">
        <v>15</v>
      </c>
      <c r="H6773" s="40">
        <v>26.533240000000006</v>
      </c>
      <c r="I6773" s="212"/>
      <c r="J6773" s="212"/>
    </row>
    <row r="6774" spans="1:10" s="15" customFormat="1" ht="18" hidden="1" customHeight="1" outlineLevel="1" x14ac:dyDescent="0.25">
      <c r="A6774" s="18">
        <v>3805</v>
      </c>
      <c r="B6774" s="4" t="s">
        <v>43</v>
      </c>
      <c r="C6774" s="38" t="s">
        <v>9378</v>
      </c>
      <c r="D6774" s="23">
        <v>2023</v>
      </c>
      <c r="E6774" s="18" t="s">
        <v>0</v>
      </c>
      <c r="F6774" s="6">
        <v>1</v>
      </c>
      <c r="G6774" s="40">
        <v>15</v>
      </c>
      <c r="H6774" s="40">
        <v>17.151990000000001</v>
      </c>
      <c r="I6774" s="212"/>
      <c r="J6774" s="212"/>
    </row>
    <row r="6775" spans="1:10" s="15" customFormat="1" ht="18" hidden="1" customHeight="1" outlineLevel="1" x14ac:dyDescent="0.25">
      <c r="A6775" s="18">
        <v>3826</v>
      </c>
      <c r="B6775" s="4" t="s">
        <v>43</v>
      </c>
      <c r="C6775" s="38" t="s">
        <v>9379</v>
      </c>
      <c r="D6775" s="23">
        <v>2023</v>
      </c>
      <c r="E6775" s="18" t="s">
        <v>0</v>
      </c>
      <c r="F6775" s="6">
        <v>1</v>
      </c>
      <c r="G6775" s="40">
        <v>15</v>
      </c>
      <c r="H6775" s="40">
        <v>26.62369</v>
      </c>
      <c r="I6775" s="212"/>
      <c r="J6775" s="212"/>
    </row>
    <row r="6776" spans="1:10" s="15" customFormat="1" ht="18" hidden="1" customHeight="1" outlineLevel="1" x14ac:dyDescent="0.25">
      <c r="A6776" s="18">
        <v>3799</v>
      </c>
      <c r="B6776" s="4" t="s">
        <v>43</v>
      </c>
      <c r="C6776" s="38" t="s">
        <v>9380</v>
      </c>
      <c r="D6776" s="23">
        <v>2023</v>
      </c>
      <c r="E6776" s="18" t="s">
        <v>0</v>
      </c>
      <c r="F6776" s="6">
        <v>1</v>
      </c>
      <c r="G6776" s="40">
        <v>15</v>
      </c>
      <c r="H6776" s="40">
        <v>17.151980000000002</v>
      </c>
      <c r="I6776" s="212"/>
      <c r="J6776" s="212"/>
    </row>
    <row r="6777" spans="1:10" s="15" customFormat="1" ht="18" hidden="1" customHeight="1" outlineLevel="1" x14ac:dyDescent="0.25">
      <c r="A6777" s="18">
        <v>6200</v>
      </c>
      <c r="B6777" s="4" t="s">
        <v>43</v>
      </c>
      <c r="C6777" s="38" t="s">
        <v>9381</v>
      </c>
      <c r="D6777" s="23">
        <v>2023</v>
      </c>
      <c r="E6777" s="18" t="s">
        <v>0</v>
      </c>
      <c r="F6777" s="6">
        <v>1</v>
      </c>
      <c r="G6777" s="40">
        <v>10</v>
      </c>
      <c r="H6777" s="40">
        <v>21.902889999999999</v>
      </c>
      <c r="I6777" s="212"/>
      <c r="J6777" s="212"/>
    </row>
    <row r="6778" spans="1:10" s="15" customFormat="1" ht="18" hidden="1" customHeight="1" outlineLevel="1" x14ac:dyDescent="0.25">
      <c r="A6778" s="18">
        <v>3786</v>
      </c>
      <c r="B6778" s="4" t="s">
        <v>43</v>
      </c>
      <c r="C6778" s="38" t="s">
        <v>9382</v>
      </c>
      <c r="D6778" s="23">
        <v>2023</v>
      </c>
      <c r="E6778" s="18" t="s">
        <v>0</v>
      </c>
      <c r="F6778" s="6">
        <v>1</v>
      </c>
      <c r="G6778" s="40">
        <v>12</v>
      </c>
      <c r="H6778" s="40">
        <v>11.718280000000002</v>
      </c>
      <c r="I6778" s="212"/>
      <c r="J6778" s="212"/>
    </row>
    <row r="6779" spans="1:10" s="15" customFormat="1" ht="18" hidden="1" customHeight="1" outlineLevel="1" x14ac:dyDescent="0.25">
      <c r="A6779" s="18">
        <v>3764</v>
      </c>
      <c r="B6779" s="4" t="s">
        <v>43</v>
      </c>
      <c r="C6779" s="38" t="s">
        <v>9383</v>
      </c>
      <c r="D6779" s="23">
        <v>2023</v>
      </c>
      <c r="E6779" s="18" t="s">
        <v>0</v>
      </c>
      <c r="F6779" s="6">
        <v>1</v>
      </c>
      <c r="G6779" s="40">
        <v>10</v>
      </c>
      <c r="H6779" s="40">
        <v>11.718280000000002</v>
      </c>
      <c r="I6779" s="212"/>
      <c r="J6779" s="212"/>
    </row>
    <row r="6780" spans="1:10" s="15" customFormat="1" ht="18" hidden="1" customHeight="1" outlineLevel="1" x14ac:dyDescent="0.25">
      <c r="A6780" s="18">
        <v>3777</v>
      </c>
      <c r="B6780" s="4" t="s">
        <v>43</v>
      </c>
      <c r="C6780" s="38" t="s">
        <v>9384</v>
      </c>
      <c r="D6780" s="23">
        <v>2023</v>
      </c>
      <c r="E6780" s="18" t="s">
        <v>0</v>
      </c>
      <c r="F6780" s="6">
        <v>1</v>
      </c>
      <c r="G6780" s="40">
        <v>10</v>
      </c>
      <c r="H6780" s="40">
        <v>12.35708</v>
      </c>
      <c r="I6780" s="212"/>
      <c r="J6780" s="212"/>
    </row>
    <row r="6781" spans="1:10" s="15" customFormat="1" ht="18" hidden="1" customHeight="1" outlineLevel="1" x14ac:dyDescent="0.25">
      <c r="A6781" s="18">
        <v>3790</v>
      </c>
      <c r="B6781" s="4" t="s">
        <v>43</v>
      </c>
      <c r="C6781" s="38" t="s">
        <v>9385</v>
      </c>
      <c r="D6781" s="23">
        <v>2023</v>
      </c>
      <c r="E6781" s="18" t="s">
        <v>0</v>
      </c>
      <c r="F6781" s="6">
        <v>1</v>
      </c>
      <c r="G6781" s="40">
        <v>7.5</v>
      </c>
      <c r="H6781" s="40">
        <v>21.163829999999997</v>
      </c>
      <c r="I6781" s="212"/>
      <c r="J6781" s="212"/>
    </row>
    <row r="6782" spans="1:10" s="15" customFormat="1" ht="18" hidden="1" customHeight="1" outlineLevel="1" x14ac:dyDescent="0.25">
      <c r="A6782" s="18">
        <v>3736</v>
      </c>
      <c r="B6782" s="4" t="s">
        <v>43</v>
      </c>
      <c r="C6782" s="38" t="s">
        <v>9386</v>
      </c>
      <c r="D6782" s="23">
        <v>2023</v>
      </c>
      <c r="E6782" s="18" t="s">
        <v>0</v>
      </c>
      <c r="F6782" s="6">
        <v>1</v>
      </c>
      <c r="G6782" s="40">
        <v>10</v>
      </c>
      <c r="H6782" s="40">
        <v>20.365490000000001</v>
      </c>
      <c r="I6782" s="212"/>
      <c r="J6782" s="212"/>
    </row>
    <row r="6783" spans="1:10" s="15" customFormat="1" ht="18" hidden="1" customHeight="1" outlineLevel="1" x14ac:dyDescent="0.25">
      <c r="A6783" s="18">
        <v>3735</v>
      </c>
      <c r="B6783" s="4" t="s">
        <v>43</v>
      </c>
      <c r="C6783" s="38" t="s">
        <v>9387</v>
      </c>
      <c r="D6783" s="23">
        <v>2023</v>
      </c>
      <c r="E6783" s="18" t="s">
        <v>0</v>
      </c>
      <c r="F6783" s="6">
        <v>1</v>
      </c>
      <c r="G6783" s="40">
        <v>6</v>
      </c>
      <c r="H6783" s="40">
        <v>11.718280000000002</v>
      </c>
      <c r="I6783" s="212"/>
      <c r="J6783" s="212"/>
    </row>
    <row r="6784" spans="1:10" s="15" customFormat="1" ht="18" hidden="1" customHeight="1" outlineLevel="1" x14ac:dyDescent="0.25">
      <c r="A6784" s="18">
        <v>3734</v>
      </c>
      <c r="B6784" s="4" t="s">
        <v>43</v>
      </c>
      <c r="C6784" s="38" t="s">
        <v>9388</v>
      </c>
      <c r="D6784" s="23">
        <v>2023</v>
      </c>
      <c r="E6784" s="18" t="s">
        <v>0</v>
      </c>
      <c r="F6784" s="6">
        <v>1</v>
      </c>
      <c r="G6784" s="40">
        <v>15</v>
      </c>
      <c r="H6784" s="40">
        <v>19.873199999999997</v>
      </c>
      <c r="I6784" s="212"/>
      <c r="J6784" s="212"/>
    </row>
    <row r="6785" spans="1:10" s="15" customFormat="1" ht="18" hidden="1" customHeight="1" outlineLevel="1" x14ac:dyDescent="0.25">
      <c r="A6785" s="18">
        <v>3732</v>
      </c>
      <c r="B6785" s="4" t="s">
        <v>43</v>
      </c>
      <c r="C6785" s="38" t="s">
        <v>9389</v>
      </c>
      <c r="D6785" s="23">
        <v>2023</v>
      </c>
      <c r="E6785" s="18" t="s">
        <v>0</v>
      </c>
      <c r="F6785" s="6">
        <v>1</v>
      </c>
      <c r="G6785" s="40">
        <v>10</v>
      </c>
      <c r="H6785" s="40">
        <v>12.676429999999998</v>
      </c>
      <c r="I6785" s="212"/>
      <c r="J6785" s="212"/>
    </row>
    <row r="6786" spans="1:10" s="15" customFormat="1" ht="18" hidden="1" customHeight="1" outlineLevel="1" x14ac:dyDescent="0.25">
      <c r="A6786" s="18">
        <v>6202</v>
      </c>
      <c r="B6786" s="4" t="s">
        <v>43</v>
      </c>
      <c r="C6786" s="38" t="s">
        <v>9390</v>
      </c>
      <c r="D6786" s="23">
        <v>2023</v>
      </c>
      <c r="E6786" s="18" t="s">
        <v>0</v>
      </c>
      <c r="F6786" s="6">
        <v>1</v>
      </c>
      <c r="G6786" s="40">
        <v>1</v>
      </c>
      <c r="H6786" s="40">
        <v>12.995480000000001</v>
      </c>
      <c r="I6786" s="212"/>
      <c r="J6786" s="212"/>
    </row>
    <row r="6787" spans="1:10" s="15" customFormat="1" ht="18" hidden="1" customHeight="1" outlineLevel="1" x14ac:dyDescent="0.25">
      <c r="A6787" s="18">
        <v>3718</v>
      </c>
      <c r="B6787" s="4" t="s">
        <v>43</v>
      </c>
      <c r="C6787" s="38" t="s">
        <v>9391</v>
      </c>
      <c r="D6787" s="23">
        <v>2023</v>
      </c>
      <c r="E6787" s="18" t="s">
        <v>0</v>
      </c>
      <c r="F6787" s="6">
        <v>1</v>
      </c>
      <c r="G6787" s="40">
        <v>10</v>
      </c>
      <c r="H6787" s="40">
        <v>20.365490000000001</v>
      </c>
      <c r="I6787" s="212"/>
      <c r="J6787" s="212"/>
    </row>
    <row r="6788" spans="1:10" s="15" customFormat="1" ht="18" hidden="1" customHeight="1" outlineLevel="1" x14ac:dyDescent="0.25">
      <c r="A6788" s="18">
        <v>3719</v>
      </c>
      <c r="B6788" s="4" t="s">
        <v>43</v>
      </c>
      <c r="C6788" s="38" t="s">
        <v>9392</v>
      </c>
      <c r="D6788" s="23">
        <v>2023</v>
      </c>
      <c r="E6788" s="18" t="s">
        <v>0</v>
      </c>
      <c r="F6788" s="6">
        <v>1</v>
      </c>
      <c r="G6788" s="40">
        <v>15</v>
      </c>
      <c r="H6788" s="40">
        <v>12.995810000000002</v>
      </c>
      <c r="I6788" s="212"/>
      <c r="J6788" s="212"/>
    </row>
    <row r="6789" spans="1:10" s="15" customFormat="1" ht="18" hidden="1" customHeight="1" outlineLevel="1" x14ac:dyDescent="0.25">
      <c r="A6789" s="18">
        <v>3690</v>
      </c>
      <c r="B6789" s="4" t="s">
        <v>43</v>
      </c>
      <c r="C6789" s="38" t="s">
        <v>9393</v>
      </c>
      <c r="D6789" s="23">
        <v>2023</v>
      </c>
      <c r="E6789" s="18" t="s">
        <v>0</v>
      </c>
      <c r="F6789" s="6">
        <v>1</v>
      </c>
      <c r="G6789" s="40">
        <v>15</v>
      </c>
      <c r="H6789" s="40">
        <v>13.003850000000002</v>
      </c>
      <c r="I6789" s="212"/>
      <c r="J6789" s="212"/>
    </row>
    <row r="6790" spans="1:10" s="15" customFormat="1" ht="18" hidden="1" customHeight="1" outlineLevel="1" x14ac:dyDescent="0.25">
      <c r="A6790" s="18">
        <v>3686</v>
      </c>
      <c r="B6790" s="4" t="s">
        <v>43</v>
      </c>
      <c r="C6790" s="38" t="s">
        <v>9394</v>
      </c>
      <c r="D6790" s="23">
        <v>2023</v>
      </c>
      <c r="E6790" s="18" t="s">
        <v>0</v>
      </c>
      <c r="F6790" s="6">
        <v>1</v>
      </c>
      <c r="G6790" s="40">
        <v>15</v>
      </c>
      <c r="H6790" s="40">
        <v>20.365469999999998</v>
      </c>
      <c r="I6790" s="212"/>
      <c r="J6790" s="212"/>
    </row>
    <row r="6791" spans="1:10" s="15" customFormat="1" ht="18" hidden="1" customHeight="1" outlineLevel="1" x14ac:dyDescent="0.25">
      <c r="A6791" s="18">
        <v>3682</v>
      </c>
      <c r="B6791" s="4" t="s">
        <v>43</v>
      </c>
      <c r="C6791" s="38" t="s">
        <v>9395</v>
      </c>
      <c r="D6791" s="23">
        <v>2023</v>
      </c>
      <c r="E6791" s="18" t="s">
        <v>0</v>
      </c>
      <c r="F6791" s="6">
        <v>1</v>
      </c>
      <c r="G6791" s="40">
        <v>10</v>
      </c>
      <c r="H6791" s="40">
        <v>21.962430000000001</v>
      </c>
      <c r="I6791" s="212"/>
      <c r="J6791" s="212"/>
    </row>
    <row r="6792" spans="1:10" s="15" customFormat="1" ht="18" hidden="1" customHeight="1" outlineLevel="1" x14ac:dyDescent="0.25">
      <c r="A6792" s="18">
        <v>3672</v>
      </c>
      <c r="B6792" s="4" t="s">
        <v>43</v>
      </c>
      <c r="C6792" s="38" t="s">
        <v>9396</v>
      </c>
      <c r="D6792" s="23">
        <v>2023</v>
      </c>
      <c r="E6792" s="18" t="s">
        <v>0</v>
      </c>
      <c r="F6792" s="6">
        <v>1</v>
      </c>
      <c r="G6792" s="40">
        <v>10</v>
      </c>
      <c r="H6792" s="40">
        <v>20.365490000000001</v>
      </c>
      <c r="I6792" s="212"/>
      <c r="J6792" s="212"/>
    </row>
    <row r="6793" spans="1:10" s="15" customFormat="1" ht="18" hidden="1" customHeight="1" outlineLevel="1" x14ac:dyDescent="0.25">
      <c r="A6793" s="18">
        <v>3655</v>
      </c>
      <c r="B6793" s="4" t="s">
        <v>43</v>
      </c>
      <c r="C6793" s="38" t="s">
        <v>9397</v>
      </c>
      <c r="D6793" s="23">
        <v>2023</v>
      </c>
      <c r="E6793" s="18" t="s">
        <v>0</v>
      </c>
      <c r="F6793" s="6">
        <v>1</v>
      </c>
      <c r="G6793" s="40">
        <v>7</v>
      </c>
      <c r="H6793" s="40">
        <v>21.483350000000002</v>
      </c>
      <c r="I6793" s="212"/>
      <c r="J6793" s="212"/>
    </row>
    <row r="6794" spans="1:10" s="15" customFormat="1" ht="18" hidden="1" customHeight="1" outlineLevel="1" x14ac:dyDescent="0.25">
      <c r="A6794" s="18">
        <v>3627</v>
      </c>
      <c r="B6794" s="4" t="s">
        <v>43</v>
      </c>
      <c r="C6794" s="38" t="s">
        <v>9398</v>
      </c>
      <c r="D6794" s="23">
        <v>2023</v>
      </c>
      <c r="E6794" s="18" t="s">
        <v>0</v>
      </c>
      <c r="F6794" s="6">
        <v>1</v>
      </c>
      <c r="G6794" s="40">
        <v>10</v>
      </c>
      <c r="H6794" s="40">
        <v>12.205309999999999</v>
      </c>
      <c r="I6794" s="212"/>
      <c r="J6794" s="212"/>
    </row>
    <row r="6795" spans="1:10" s="15" customFormat="1" ht="18" hidden="1" customHeight="1" outlineLevel="1" x14ac:dyDescent="0.25">
      <c r="A6795" s="18">
        <v>3624</v>
      </c>
      <c r="B6795" s="4" t="s">
        <v>43</v>
      </c>
      <c r="C6795" s="38" t="s">
        <v>9399</v>
      </c>
      <c r="D6795" s="23">
        <v>2023</v>
      </c>
      <c r="E6795" s="18" t="s">
        <v>0</v>
      </c>
      <c r="F6795" s="6">
        <v>1</v>
      </c>
      <c r="G6795" s="40">
        <v>10</v>
      </c>
      <c r="H6795" s="40">
        <v>11.367099999999999</v>
      </c>
      <c r="I6795" s="212"/>
      <c r="J6795" s="212"/>
    </row>
    <row r="6796" spans="1:10" s="15" customFormat="1" ht="18" hidden="1" customHeight="1" outlineLevel="1" x14ac:dyDescent="0.25">
      <c r="A6796" s="18">
        <v>3635</v>
      </c>
      <c r="B6796" s="4" t="s">
        <v>43</v>
      </c>
      <c r="C6796" s="38" t="s">
        <v>9400</v>
      </c>
      <c r="D6796" s="23">
        <v>2023</v>
      </c>
      <c r="E6796" s="18" t="s">
        <v>0</v>
      </c>
      <c r="F6796" s="6">
        <v>1</v>
      </c>
      <c r="G6796" s="40">
        <v>15</v>
      </c>
      <c r="H6796" s="40">
        <v>22.529710000000001</v>
      </c>
      <c r="I6796" s="212"/>
      <c r="J6796" s="212"/>
    </row>
    <row r="6797" spans="1:10" s="15" customFormat="1" ht="18" hidden="1" customHeight="1" outlineLevel="1" x14ac:dyDescent="0.25">
      <c r="A6797" s="18">
        <v>3634</v>
      </c>
      <c r="B6797" s="4" t="s">
        <v>43</v>
      </c>
      <c r="C6797" s="38" t="s">
        <v>9401</v>
      </c>
      <c r="D6797" s="23">
        <v>2023</v>
      </c>
      <c r="E6797" s="18" t="s">
        <v>0</v>
      </c>
      <c r="F6797" s="6">
        <v>1</v>
      </c>
      <c r="G6797" s="40">
        <v>10</v>
      </c>
      <c r="H6797" s="40">
        <v>13.123099999999999</v>
      </c>
      <c r="I6797" s="212"/>
      <c r="J6797" s="212"/>
    </row>
    <row r="6798" spans="1:10" s="15" customFormat="1" ht="18" hidden="1" customHeight="1" outlineLevel="1" x14ac:dyDescent="0.25">
      <c r="A6798" s="18">
        <v>3476</v>
      </c>
      <c r="B6798" s="4" t="s">
        <v>43</v>
      </c>
      <c r="C6798" s="38" t="s">
        <v>9402</v>
      </c>
      <c r="D6798" s="23">
        <v>2023</v>
      </c>
      <c r="E6798" s="18" t="s">
        <v>0</v>
      </c>
      <c r="F6798" s="6">
        <v>1</v>
      </c>
      <c r="G6798" s="40">
        <v>15</v>
      </c>
      <c r="H6798" s="40">
        <v>28.171199999999999</v>
      </c>
      <c r="I6798" s="212"/>
      <c r="J6798" s="212"/>
    </row>
    <row r="6799" spans="1:10" s="15" customFormat="1" ht="18" hidden="1" customHeight="1" outlineLevel="1" x14ac:dyDescent="0.25">
      <c r="A6799" s="18">
        <v>3673</v>
      </c>
      <c r="B6799" s="4" t="s">
        <v>43</v>
      </c>
      <c r="C6799" s="38" t="s">
        <v>9403</v>
      </c>
      <c r="D6799" s="23">
        <v>2023</v>
      </c>
      <c r="E6799" s="18" t="s">
        <v>0</v>
      </c>
      <c r="F6799" s="6">
        <v>1</v>
      </c>
      <c r="G6799" s="40">
        <v>10</v>
      </c>
      <c r="H6799" s="40">
        <v>21.163829999999997</v>
      </c>
      <c r="I6799" s="212"/>
      <c r="J6799" s="212"/>
    </row>
    <row r="6800" spans="1:10" s="15" customFormat="1" ht="18" hidden="1" customHeight="1" outlineLevel="1" x14ac:dyDescent="0.25">
      <c r="A6800" s="18">
        <v>3674</v>
      </c>
      <c r="B6800" s="4" t="s">
        <v>43</v>
      </c>
      <c r="C6800" s="38" t="s">
        <v>9404</v>
      </c>
      <c r="D6800" s="23">
        <v>2023</v>
      </c>
      <c r="E6800" s="18" t="s">
        <v>0</v>
      </c>
      <c r="F6800" s="6">
        <v>1</v>
      </c>
      <c r="G6800" s="40">
        <v>10</v>
      </c>
      <c r="H6800" s="40">
        <v>20.365469999999998</v>
      </c>
      <c r="I6800" s="212"/>
      <c r="J6800" s="212"/>
    </row>
    <row r="6801" spans="1:10" s="15" customFormat="1" ht="18" hidden="1" customHeight="1" outlineLevel="1" x14ac:dyDescent="0.25">
      <c r="A6801" s="18">
        <v>3629</v>
      </c>
      <c r="B6801" s="4" t="s">
        <v>43</v>
      </c>
      <c r="C6801" s="38" t="s">
        <v>9405</v>
      </c>
      <c r="D6801" s="23">
        <v>2023</v>
      </c>
      <c r="E6801" s="18" t="s">
        <v>0</v>
      </c>
      <c r="F6801" s="6">
        <v>1</v>
      </c>
      <c r="G6801" s="40">
        <v>15</v>
      </c>
      <c r="H6801" s="40">
        <v>11.466450000000002</v>
      </c>
      <c r="I6801" s="212"/>
      <c r="J6801" s="212"/>
    </row>
    <row r="6802" spans="1:10" s="15" customFormat="1" ht="18" hidden="1" customHeight="1" outlineLevel="1" x14ac:dyDescent="0.25">
      <c r="A6802" s="18">
        <v>3636</v>
      </c>
      <c r="B6802" s="4" t="s">
        <v>43</v>
      </c>
      <c r="C6802" s="38" t="s">
        <v>9406</v>
      </c>
      <c r="D6802" s="23">
        <v>2023</v>
      </c>
      <c r="E6802" s="18" t="s">
        <v>0</v>
      </c>
      <c r="F6802" s="6">
        <v>1</v>
      </c>
      <c r="G6802" s="40">
        <v>10</v>
      </c>
      <c r="H6802" s="40">
        <v>20.844569999999997</v>
      </c>
      <c r="I6802" s="212"/>
      <c r="J6802" s="212"/>
    </row>
    <row r="6803" spans="1:10" s="15" customFormat="1" ht="18" hidden="1" customHeight="1" outlineLevel="1" x14ac:dyDescent="0.25">
      <c r="A6803" s="18">
        <v>6171</v>
      </c>
      <c r="B6803" s="4" t="s">
        <v>43</v>
      </c>
      <c r="C6803" s="38" t="s">
        <v>9407</v>
      </c>
      <c r="D6803" s="23">
        <v>2023</v>
      </c>
      <c r="E6803" s="18" t="s">
        <v>0</v>
      </c>
      <c r="F6803" s="6">
        <v>1</v>
      </c>
      <c r="G6803" s="40">
        <v>10</v>
      </c>
      <c r="H6803" s="40">
        <v>22.809000000000001</v>
      </c>
      <c r="I6803" s="212"/>
      <c r="J6803" s="212"/>
    </row>
    <row r="6804" spans="1:10" s="15" customFormat="1" ht="18" hidden="1" customHeight="1" outlineLevel="1" x14ac:dyDescent="0.25">
      <c r="A6804" s="18">
        <v>737</v>
      </c>
      <c r="B6804" s="4" t="s">
        <v>43</v>
      </c>
      <c r="C6804" s="38" t="s">
        <v>9408</v>
      </c>
      <c r="D6804" s="23">
        <v>2023</v>
      </c>
      <c r="E6804" s="18" t="s">
        <v>0</v>
      </c>
      <c r="F6804" s="6">
        <v>1</v>
      </c>
      <c r="G6804" s="40">
        <v>14</v>
      </c>
      <c r="H6804" s="40">
        <v>9.84849</v>
      </c>
      <c r="I6804" s="212"/>
      <c r="J6804" s="212"/>
    </row>
    <row r="6805" spans="1:10" s="15" customFormat="1" ht="18" hidden="1" customHeight="1" outlineLevel="1" x14ac:dyDescent="0.25">
      <c r="A6805" s="18">
        <v>3487</v>
      </c>
      <c r="B6805" s="4" t="s">
        <v>43</v>
      </c>
      <c r="C6805" s="38" t="s">
        <v>9409</v>
      </c>
      <c r="D6805" s="23">
        <v>2023</v>
      </c>
      <c r="E6805" s="18" t="s">
        <v>0</v>
      </c>
      <c r="F6805" s="6">
        <v>1</v>
      </c>
      <c r="G6805" s="40">
        <v>10</v>
      </c>
      <c r="H6805" s="40">
        <v>27.216270000000002</v>
      </c>
      <c r="I6805" s="212"/>
      <c r="J6805" s="212"/>
    </row>
    <row r="6806" spans="1:10" s="15" customFormat="1" ht="18" hidden="1" customHeight="1" outlineLevel="1" x14ac:dyDescent="0.25">
      <c r="A6806" s="18">
        <v>3486</v>
      </c>
      <c r="B6806" s="4" t="s">
        <v>43</v>
      </c>
      <c r="C6806" s="38" t="s">
        <v>9410</v>
      </c>
      <c r="D6806" s="23">
        <v>2023</v>
      </c>
      <c r="E6806" s="18" t="s">
        <v>0</v>
      </c>
      <c r="F6806" s="6">
        <v>1</v>
      </c>
      <c r="G6806" s="40">
        <v>13</v>
      </c>
      <c r="H6806" s="40">
        <v>11.906319999999997</v>
      </c>
      <c r="I6806" s="212"/>
      <c r="J6806" s="212"/>
    </row>
    <row r="6807" spans="1:10" s="15" customFormat="1" ht="18" hidden="1" customHeight="1" outlineLevel="1" x14ac:dyDescent="0.25">
      <c r="A6807" s="18">
        <v>3480</v>
      </c>
      <c r="B6807" s="4" t="s">
        <v>43</v>
      </c>
      <c r="C6807" s="38" t="s">
        <v>9411</v>
      </c>
      <c r="D6807" s="23">
        <v>2023</v>
      </c>
      <c r="E6807" s="18" t="s">
        <v>0</v>
      </c>
      <c r="F6807" s="6">
        <v>1</v>
      </c>
      <c r="G6807" s="40">
        <v>7</v>
      </c>
      <c r="H6807" s="40">
        <v>11.90631</v>
      </c>
      <c r="I6807" s="212"/>
      <c r="J6807" s="212"/>
    </row>
    <row r="6808" spans="1:10" s="15" customFormat="1" ht="18" hidden="1" customHeight="1" outlineLevel="1" x14ac:dyDescent="0.25">
      <c r="A6808" s="18">
        <v>3473</v>
      </c>
      <c r="B6808" s="4" t="s">
        <v>43</v>
      </c>
      <c r="C6808" s="38" t="s">
        <v>9412</v>
      </c>
      <c r="D6808" s="23">
        <v>2023</v>
      </c>
      <c r="E6808" s="18" t="s">
        <v>0</v>
      </c>
      <c r="F6808" s="6">
        <v>1</v>
      </c>
      <c r="G6808" s="40">
        <v>5</v>
      </c>
      <c r="H6808" s="40">
        <v>18.711220000000001</v>
      </c>
      <c r="I6808" s="212"/>
      <c r="J6808" s="212"/>
    </row>
    <row r="6809" spans="1:10" s="15" customFormat="1" ht="18" hidden="1" customHeight="1" outlineLevel="1" x14ac:dyDescent="0.25">
      <c r="A6809" s="18">
        <v>6207</v>
      </c>
      <c r="B6809" s="4" t="s">
        <v>43</v>
      </c>
      <c r="C6809" s="38" t="s">
        <v>9413</v>
      </c>
      <c r="D6809" s="23">
        <v>2023</v>
      </c>
      <c r="E6809" s="18" t="s">
        <v>0</v>
      </c>
      <c r="F6809" s="6">
        <v>1</v>
      </c>
      <c r="G6809" s="40">
        <v>5</v>
      </c>
      <c r="H6809" s="40">
        <v>10.763</v>
      </c>
      <c r="I6809" s="212"/>
      <c r="J6809" s="212"/>
    </row>
    <row r="6810" spans="1:10" s="15" customFormat="1" ht="18" hidden="1" customHeight="1" outlineLevel="1" x14ac:dyDescent="0.25">
      <c r="A6810" s="18">
        <v>3469</v>
      </c>
      <c r="B6810" s="4" t="s">
        <v>43</v>
      </c>
      <c r="C6810" s="38" t="s">
        <v>9414</v>
      </c>
      <c r="D6810" s="23">
        <v>2023</v>
      </c>
      <c r="E6810" s="18" t="s">
        <v>0</v>
      </c>
      <c r="F6810" s="6">
        <v>1</v>
      </c>
      <c r="G6810" s="40">
        <v>8</v>
      </c>
      <c r="H6810" s="40">
        <v>11.906189999999999</v>
      </c>
      <c r="I6810" s="212"/>
      <c r="J6810" s="212"/>
    </row>
    <row r="6811" spans="1:10" s="15" customFormat="1" ht="18" hidden="1" customHeight="1" outlineLevel="1" x14ac:dyDescent="0.25">
      <c r="A6811" s="18">
        <v>3513</v>
      </c>
      <c r="B6811" s="4" t="s">
        <v>43</v>
      </c>
      <c r="C6811" s="38" t="s">
        <v>9415</v>
      </c>
      <c r="D6811" s="23">
        <v>2023</v>
      </c>
      <c r="E6811" s="18" t="s">
        <v>0</v>
      </c>
      <c r="F6811" s="6">
        <v>1</v>
      </c>
      <c r="G6811" s="40">
        <v>15</v>
      </c>
      <c r="H6811" s="40">
        <v>11.906319999999997</v>
      </c>
      <c r="I6811" s="212"/>
      <c r="J6811" s="212"/>
    </row>
    <row r="6812" spans="1:10" s="15" customFormat="1" ht="18" hidden="1" customHeight="1" outlineLevel="1" x14ac:dyDescent="0.25">
      <c r="A6812" s="18">
        <v>3468</v>
      </c>
      <c r="B6812" s="4" t="s">
        <v>43</v>
      </c>
      <c r="C6812" s="38" t="s">
        <v>9416</v>
      </c>
      <c r="D6812" s="23">
        <v>2023</v>
      </c>
      <c r="E6812" s="18" t="s">
        <v>0</v>
      </c>
      <c r="F6812" s="6">
        <v>1</v>
      </c>
      <c r="G6812" s="40">
        <v>15</v>
      </c>
      <c r="H6812" s="40">
        <v>11.90631</v>
      </c>
      <c r="I6812" s="212"/>
      <c r="J6812" s="212"/>
    </row>
    <row r="6813" spans="1:10" s="15" customFormat="1" ht="18" hidden="1" customHeight="1" outlineLevel="1" x14ac:dyDescent="0.25">
      <c r="A6813" s="18">
        <v>6209</v>
      </c>
      <c r="B6813" s="4" t="s">
        <v>43</v>
      </c>
      <c r="C6813" s="38" t="s">
        <v>9417</v>
      </c>
      <c r="D6813" s="23">
        <v>2023</v>
      </c>
      <c r="E6813" s="18" t="s">
        <v>0</v>
      </c>
      <c r="F6813" s="6">
        <v>1</v>
      </c>
      <c r="G6813" s="40">
        <v>10</v>
      </c>
      <c r="H6813" s="40">
        <v>13.450049999999999</v>
      </c>
      <c r="I6813" s="212"/>
      <c r="J6813" s="212"/>
    </row>
    <row r="6814" spans="1:10" s="15" customFormat="1" ht="18" hidden="1" customHeight="1" outlineLevel="1" x14ac:dyDescent="0.25">
      <c r="A6814" s="18">
        <v>6216</v>
      </c>
      <c r="B6814" s="4" t="s">
        <v>43</v>
      </c>
      <c r="C6814" s="38" t="s">
        <v>9418</v>
      </c>
      <c r="D6814" s="23">
        <v>2023</v>
      </c>
      <c r="E6814" s="18" t="s">
        <v>0</v>
      </c>
      <c r="F6814" s="6">
        <v>1</v>
      </c>
      <c r="G6814" s="40">
        <v>10</v>
      </c>
      <c r="H6814" s="40">
        <v>13.274080000000001</v>
      </c>
      <c r="I6814" s="212"/>
      <c r="J6814" s="212"/>
    </row>
    <row r="6815" spans="1:10" s="15" customFormat="1" ht="18" hidden="1" customHeight="1" outlineLevel="1" x14ac:dyDescent="0.25">
      <c r="A6815" s="18">
        <v>3474</v>
      </c>
      <c r="B6815" s="4" t="s">
        <v>43</v>
      </c>
      <c r="C6815" s="38" t="s">
        <v>9419</v>
      </c>
      <c r="D6815" s="23">
        <v>2023</v>
      </c>
      <c r="E6815" s="18" t="s">
        <v>0</v>
      </c>
      <c r="F6815" s="6">
        <v>1</v>
      </c>
      <c r="G6815" s="40">
        <v>15</v>
      </c>
      <c r="H6815" s="40">
        <v>25.616620000000005</v>
      </c>
      <c r="I6815" s="212"/>
      <c r="J6815" s="212"/>
    </row>
    <row r="6816" spans="1:10" s="15" customFormat="1" ht="18" hidden="1" customHeight="1" outlineLevel="1" x14ac:dyDescent="0.25">
      <c r="A6816" s="18">
        <v>3484</v>
      </c>
      <c r="B6816" s="4" t="s">
        <v>43</v>
      </c>
      <c r="C6816" s="38" t="s">
        <v>9420</v>
      </c>
      <c r="D6816" s="23">
        <v>2023</v>
      </c>
      <c r="E6816" s="18" t="s">
        <v>0</v>
      </c>
      <c r="F6816" s="6">
        <v>1</v>
      </c>
      <c r="G6816" s="40">
        <v>10</v>
      </c>
      <c r="H6816" s="40">
        <v>10.76301</v>
      </c>
      <c r="I6816" s="212"/>
      <c r="J6816" s="212"/>
    </row>
    <row r="6817" spans="1:10" s="15" customFormat="1" ht="18" hidden="1" customHeight="1" outlineLevel="1" x14ac:dyDescent="0.25">
      <c r="A6817" s="18">
        <v>6217</v>
      </c>
      <c r="B6817" s="4" t="s">
        <v>43</v>
      </c>
      <c r="C6817" s="38" t="s">
        <v>9421</v>
      </c>
      <c r="D6817" s="23">
        <v>2023</v>
      </c>
      <c r="E6817" s="18" t="s">
        <v>0</v>
      </c>
      <c r="F6817" s="6">
        <v>1</v>
      </c>
      <c r="G6817" s="40">
        <v>5</v>
      </c>
      <c r="H6817" s="40">
        <v>15.56471</v>
      </c>
      <c r="I6817" s="212"/>
      <c r="J6817" s="212"/>
    </row>
    <row r="6818" spans="1:10" s="15" customFormat="1" ht="18" hidden="1" customHeight="1" outlineLevel="1" x14ac:dyDescent="0.25">
      <c r="A6818" s="18">
        <v>6218</v>
      </c>
      <c r="B6818" s="4" t="s">
        <v>43</v>
      </c>
      <c r="C6818" s="38" t="s">
        <v>9422</v>
      </c>
      <c r="D6818" s="23">
        <v>2023</v>
      </c>
      <c r="E6818" s="18" t="s">
        <v>0</v>
      </c>
      <c r="F6818" s="6">
        <v>1</v>
      </c>
      <c r="G6818" s="40">
        <v>15</v>
      </c>
      <c r="H6818" s="40">
        <v>11.906319999999997</v>
      </c>
      <c r="I6818" s="212"/>
      <c r="J6818" s="212"/>
    </row>
    <row r="6819" spans="1:10" s="15" customFormat="1" ht="18" hidden="1" customHeight="1" outlineLevel="1" x14ac:dyDescent="0.25">
      <c r="A6819" s="18">
        <v>6219</v>
      </c>
      <c r="B6819" s="4" t="s">
        <v>43</v>
      </c>
      <c r="C6819" s="38" t="s">
        <v>9423</v>
      </c>
      <c r="D6819" s="23">
        <v>2023</v>
      </c>
      <c r="E6819" s="18" t="s">
        <v>0</v>
      </c>
      <c r="F6819" s="6">
        <v>1</v>
      </c>
      <c r="G6819" s="40">
        <v>5</v>
      </c>
      <c r="H6819" s="40">
        <v>11.90631</v>
      </c>
      <c r="I6819" s="212"/>
      <c r="J6819" s="212"/>
    </row>
    <row r="6820" spans="1:10" s="15" customFormat="1" ht="18" hidden="1" customHeight="1" outlineLevel="1" x14ac:dyDescent="0.25">
      <c r="A6820" s="18">
        <v>6220</v>
      </c>
      <c r="B6820" s="4" t="s">
        <v>43</v>
      </c>
      <c r="C6820" s="38" t="s">
        <v>9424</v>
      </c>
      <c r="D6820" s="23">
        <v>2023</v>
      </c>
      <c r="E6820" s="18" t="s">
        <v>0</v>
      </c>
      <c r="F6820" s="6">
        <v>1</v>
      </c>
      <c r="G6820" s="40">
        <v>15</v>
      </c>
      <c r="H6820" s="40">
        <v>10.76301</v>
      </c>
      <c r="I6820" s="212"/>
      <c r="J6820" s="212"/>
    </row>
    <row r="6821" spans="1:10" s="15" customFormat="1" ht="18" hidden="1" customHeight="1" outlineLevel="1" x14ac:dyDescent="0.25">
      <c r="A6821" s="18">
        <v>6221</v>
      </c>
      <c r="B6821" s="4" t="s">
        <v>43</v>
      </c>
      <c r="C6821" s="38" t="s">
        <v>9425</v>
      </c>
      <c r="D6821" s="23">
        <v>2023</v>
      </c>
      <c r="E6821" s="18" t="s">
        <v>0</v>
      </c>
      <c r="F6821" s="6">
        <v>1</v>
      </c>
      <c r="G6821" s="40">
        <v>10</v>
      </c>
      <c r="H6821" s="40">
        <v>16.018529999999998</v>
      </c>
      <c r="I6821" s="212"/>
      <c r="J6821" s="212"/>
    </row>
    <row r="6822" spans="1:10" s="15" customFormat="1" ht="18" hidden="1" customHeight="1" outlineLevel="1" x14ac:dyDescent="0.25">
      <c r="A6822" s="18">
        <v>6222</v>
      </c>
      <c r="B6822" s="4" t="s">
        <v>43</v>
      </c>
      <c r="C6822" s="38" t="s">
        <v>9426</v>
      </c>
      <c r="D6822" s="23">
        <v>2023</v>
      </c>
      <c r="E6822" s="18" t="s">
        <v>0</v>
      </c>
      <c r="F6822" s="6">
        <v>1</v>
      </c>
      <c r="G6822" s="40">
        <v>10</v>
      </c>
      <c r="H6822" s="40">
        <v>11.906319999999997</v>
      </c>
      <c r="I6822" s="212"/>
      <c r="J6822" s="212"/>
    </row>
    <row r="6823" spans="1:10" s="15" customFormat="1" ht="18" hidden="1" customHeight="1" outlineLevel="1" x14ac:dyDescent="0.25">
      <c r="A6823" s="18">
        <v>6223</v>
      </c>
      <c r="B6823" s="4" t="s">
        <v>43</v>
      </c>
      <c r="C6823" s="38" t="s">
        <v>9427</v>
      </c>
      <c r="D6823" s="23">
        <v>2023</v>
      </c>
      <c r="E6823" s="18" t="s">
        <v>0</v>
      </c>
      <c r="F6823" s="6">
        <v>1</v>
      </c>
      <c r="G6823" s="40">
        <v>1</v>
      </c>
      <c r="H6823" s="40">
        <v>16.479169999999996</v>
      </c>
      <c r="I6823" s="212"/>
      <c r="J6823" s="212"/>
    </row>
    <row r="6824" spans="1:10" s="15" customFormat="1" ht="18" hidden="1" customHeight="1" outlineLevel="1" x14ac:dyDescent="0.25">
      <c r="A6824" s="18">
        <v>6224</v>
      </c>
      <c r="B6824" s="4" t="s">
        <v>43</v>
      </c>
      <c r="C6824" s="38" t="s">
        <v>9428</v>
      </c>
      <c r="D6824" s="23">
        <v>2023</v>
      </c>
      <c r="E6824" s="18" t="s">
        <v>0</v>
      </c>
      <c r="F6824" s="6">
        <v>1</v>
      </c>
      <c r="G6824" s="40">
        <v>7</v>
      </c>
      <c r="H6824" s="40">
        <v>14.192729999999999</v>
      </c>
      <c r="I6824" s="212"/>
      <c r="J6824" s="212"/>
    </row>
    <row r="6825" spans="1:10" s="15" customFormat="1" ht="18" hidden="1" customHeight="1" outlineLevel="1" x14ac:dyDescent="0.25">
      <c r="A6825" s="18">
        <v>6225</v>
      </c>
      <c r="B6825" s="4" t="s">
        <v>43</v>
      </c>
      <c r="C6825" s="38" t="s">
        <v>9429</v>
      </c>
      <c r="D6825" s="23">
        <v>2023</v>
      </c>
      <c r="E6825" s="18" t="s">
        <v>0</v>
      </c>
      <c r="F6825" s="6">
        <v>1</v>
      </c>
      <c r="G6825" s="40">
        <v>10</v>
      </c>
      <c r="H6825" s="40">
        <v>13.04954</v>
      </c>
      <c r="I6825" s="212"/>
      <c r="J6825" s="212"/>
    </row>
    <row r="6826" spans="1:10" s="15" customFormat="1" ht="18" hidden="1" customHeight="1" outlineLevel="1" x14ac:dyDescent="0.25">
      <c r="A6826" s="18">
        <v>6226</v>
      </c>
      <c r="B6826" s="4" t="s">
        <v>43</v>
      </c>
      <c r="C6826" s="38" t="s">
        <v>9430</v>
      </c>
      <c r="D6826" s="23">
        <v>2023</v>
      </c>
      <c r="E6826" s="18" t="s">
        <v>0</v>
      </c>
      <c r="F6826" s="6">
        <v>1</v>
      </c>
      <c r="G6826" s="40">
        <v>15</v>
      </c>
      <c r="H6826" s="40">
        <v>14.192740000000001</v>
      </c>
      <c r="I6826" s="212"/>
      <c r="J6826" s="212"/>
    </row>
    <row r="6827" spans="1:10" s="15" customFormat="1" ht="18" hidden="1" customHeight="1" outlineLevel="1" x14ac:dyDescent="0.25">
      <c r="A6827" s="18">
        <v>6227</v>
      </c>
      <c r="B6827" s="4" t="s">
        <v>43</v>
      </c>
      <c r="C6827" s="38" t="s">
        <v>9431</v>
      </c>
      <c r="D6827" s="23">
        <v>2023</v>
      </c>
      <c r="E6827" s="18" t="s">
        <v>0</v>
      </c>
      <c r="F6827" s="6">
        <v>1</v>
      </c>
      <c r="G6827" s="40">
        <v>10</v>
      </c>
      <c r="H6827" s="40">
        <v>16.479289999999999</v>
      </c>
      <c r="I6827" s="212"/>
      <c r="J6827" s="212"/>
    </row>
    <row r="6828" spans="1:10" s="15" customFormat="1" ht="18" hidden="1" customHeight="1" outlineLevel="1" x14ac:dyDescent="0.25">
      <c r="A6828" s="18">
        <v>6228</v>
      </c>
      <c r="B6828" s="4" t="s">
        <v>43</v>
      </c>
      <c r="C6828" s="38" t="s">
        <v>9432</v>
      </c>
      <c r="D6828" s="23">
        <v>2023</v>
      </c>
      <c r="E6828" s="18" t="s">
        <v>0</v>
      </c>
      <c r="F6828" s="6">
        <v>1</v>
      </c>
      <c r="G6828" s="40">
        <v>10</v>
      </c>
      <c r="H6828" s="40">
        <v>11.906249999999998</v>
      </c>
      <c r="I6828" s="212"/>
      <c r="J6828" s="212"/>
    </row>
    <row r="6829" spans="1:10" s="15" customFormat="1" ht="18" hidden="1" customHeight="1" outlineLevel="1" x14ac:dyDescent="0.25">
      <c r="A6829" s="18">
        <v>6229</v>
      </c>
      <c r="B6829" s="4" t="s">
        <v>43</v>
      </c>
      <c r="C6829" s="38" t="s">
        <v>9433</v>
      </c>
      <c r="D6829" s="23">
        <v>2023</v>
      </c>
      <c r="E6829" s="18" t="s">
        <v>0</v>
      </c>
      <c r="F6829" s="6">
        <v>1</v>
      </c>
      <c r="G6829" s="40">
        <v>10</v>
      </c>
      <c r="H6829" s="40">
        <v>16.479299999999999</v>
      </c>
      <c r="I6829" s="212"/>
      <c r="J6829" s="212"/>
    </row>
    <row r="6830" spans="1:10" s="15" customFormat="1" ht="18" hidden="1" customHeight="1" outlineLevel="1" x14ac:dyDescent="0.25">
      <c r="A6830" s="18">
        <v>6230</v>
      </c>
      <c r="B6830" s="4" t="s">
        <v>43</v>
      </c>
      <c r="C6830" s="38" t="s">
        <v>9434</v>
      </c>
      <c r="D6830" s="23">
        <v>2023</v>
      </c>
      <c r="E6830" s="18" t="s">
        <v>0</v>
      </c>
      <c r="F6830" s="6">
        <v>1</v>
      </c>
      <c r="G6830" s="40">
        <v>10</v>
      </c>
      <c r="H6830" s="40">
        <v>11.90631</v>
      </c>
      <c r="I6830" s="212"/>
      <c r="J6830" s="212"/>
    </row>
    <row r="6831" spans="1:10" s="15" customFormat="1" ht="18" hidden="1" customHeight="1" outlineLevel="1" x14ac:dyDescent="0.25">
      <c r="A6831" s="18">
        <v>6231</v>
      </c>
      <c r="B6831" s="4" t="s">
        <v>43</v>
      </c>
      <c r="C6831" s="38" t="s">
        <v>9435</v>
      </c>
      <c r="D6831" s="23">
        <v>2023</v>
      </c>
      <c r="E6831" s="18" t="s">
        <v>0</v>
      </c>
      <c r="F6831" s="6">
        <v>1</v>
      </c>
      <c r="G6831" s="40">
        <v>10</v>
      </c>
      <c r="H6831" s="40">
        <v>14.192789999999999</v>
      </c>
      <c r="I6831" s="212"/>
      <c r="J6831" s="212"/>
    </row>
    <row r="6832" spans="1:10" s="15" customFormat="1" ht="18" hidden="1" customHeight="1" outlineLevel="1" x14ac:dyDescent="0.25">
      <c r="A6832" s="18">
        <v>6232</v>
      </c>
      <c r="B6832" s="4" t="s">
        <v>43</v>
      </c>
      <c r="C6832" s="38" t="s">
        <v>9436</v>
      </c>
      <c r="D6832" s="23">
        <v>2023</v>
      </c>
      <c r="E6832" s="18" t="s">
        <v>0</v>
      </c>
      <c r="F6832" s="6">
        <v>1</v>
      </c>
      <c r="G6832" s="40">
        <v>10</v>
      </c>
      <c r="H6832" s="40">
        <v>13.04954</v>
      </c>
      <c r="I6832" s="212"/>
      <c r="J6832" s="212"/>
    </row>
    <row r="6833" spans="1:10" s="15" customFormat="1" ht="18" hidden="1" customHeight="1" outlineLevel="1" x14ac:dyDescent="0.25">
      <c r="A6833" s="18">
        <v>1528</v>
      </c>
      <c r="B6833" s="4" t="s">
        <v>43</v>
      </c>
      <c r="C6833" s="38" t="s">
        <v>9437</v>
      </c>
      <c r="D6833" s="23">
        <v>2023</v>
      </c>
      <c r="E6833" s="18" t="s">
        <v>0</v>
      </c>
      <c r="F6833" s="6">
        <v>1</v>
      </c>
      <c r="G6833" s="40">
        <v>5</v>
      </c>
      <c r="H6833" s="40">
        <v>13.27384</v>
      </c>
      <c r="I6833" s="212"/>
      <c r="J6833" s="212"/>
    </row>
    <row r="6834" spans="1:10" s="15" customFormat="1" ht="18" hidden="1" customHeight="1" outlineLevel="1" x14ac:dyDescent="0.25">
      <c r="A6834" s="18">
        <v>3637</v>
      </c>
      <c r="B6834" s="4" t="s">
        <v>43</v>
      </c>
      <c r="C6834" s="38" t="s">
        <v>9438</v>
      </c>
      <c r="D6834" s="23">
        <v>2023</v>
      </c>
      <c r="E6834" s="18" t="s">
        <v>0</v>
      </c>
      <c r="F6834" s="6">
        <v>1</v>
      </c>
      <c r="G6834" s="40">
        <v>10</v>
      </c>
      <c r="H6834" s="40">
        <v>14.19173</v>
      </c>
      <c r="I6834" s="212"/>
      <c r="J6834" s="212"/>
    </row>
    <row r="6835" spans="1:10" s="15" customFormat="1" ht="18" hidden="1" customHeight="1" outlineLevel="1" x14ac:dyDescent="0.25">
      <c r="A6835" s="18">
        <v>1713</v>
      </c>
      <c r="B6835" s="4" t="s">
        <v>43</v>
      </c>
      <c r="C6835" s="38" t="s">
        <v>9439</v>
      </c>
      <c r="D6835" s="23">
        <v>2023</v>
      </c>
      <c r="E6835" s="18" t="s">
        <v>0</v>
      </c>
      <c r="F6835" s="6">
        <v>1</v>
      </c>
      <c r="G6835" s="40">
        <v>5</v>
      </c>
      <c r="H6835" s="40">
        <v>12.853109999999999</v>
      </c>
      <c r="I6835" s="212"/>
      <c r="J6835" s="212"/>
    </row>
    <row r="6836" spans="1:10" s="15" customFormat="1" ht="18" hidden="1" customHeight="1" outlineLevel="1" x14ac:dyDescent="0.25">
      <c r="A6836" s="18">
        <v>6235</v>
      </c>
      <c r="B6836" s="4" t="s">
        <v>43</v>
      </c>
      <c r="C6836" s="38" t="s">
        <v>9440</v>
      </c>
      <c r="D6836" s="23">
        <v>2023</v>
      </c>
      <c r="E6836" s="18" t="s">
        <v>0</v>
      </c>
      <c r="F6836" s="6">
        <v>1</v>
      </c>
      <c r="G6836" s="40">
        <v>15</v>
      </c>
      <c r="H6836" s="40">
        <v>13.02683</v>
      </c>
      <c r="I6836" s="212"/>
      <c r="J6836" s="212"/>
    </row>
    <row r="6837" spans="1:10" s="15" customFormat="1" ht="18" hidden="1" customHeight="1" outlineLevel="1" x14ac:dyDescent="0.25">
      <c r="A6837" s="18">
        <v>6236</v>
      </c>
      <c r="B6837" s="4" t="s">
        <v>43</v>
      </c>
      <c r="C6837" s="38" t="s">
        <v>9441</v>
      </c>
      <c r="D6837" s="23">
        <v>2023</v>
      </c>
      <c r="E6837" s="18" t="s">
        <v>0</v>
      </c>
      <c r="F6837" s="6">
        <v>1</v>
      </c>
      <c r="G6837" s="40">
        <v>6</v>
      </c>
      <c r="H6837" s="40">
        <v>11.656329999999999</v>
      </c>
      <c r="I6837" s="212"/>
      <c r="J6837" s="212"/>
    </row>
    <row r="6838" spans="1:10" s="15" customFormat="1" ht="18" hidden="1" customHeight="1" outlineLevel="1" x14ac:dyDescent="0.25">
      <c r="A6838" s="18">
        <v>1742</v>
      </c>
      <c r="B6838" s="4" t="s">
        <v>43</v>
      </c>
      <c r="C6838" s="38" t="s">
        <v>9442</v>
      </c>
      <c r="D6838" s="23">
        <v>2023</v>
      </c>
      <c r="E6838" s="18" t="s">
        <v>0</v>
      </c>
      <c r="F6838" s="6">
        <v>1</v>
      </c>
      <c r="G6838" s="40">
        <v>2</v>
      </c>
      <c r="H6838" s="40">
        <v>13.721729999999999</v>
      </c>
      <c r="I6838" s="212"/>
      <c r="J6838" s="212"/>
    </row>
    <row r="6839" spans="1:10" s="15" customFormat="1" ht="18" hidden="1" customHeight="1" outlineLevel="1" x14ac:dyDescent="0.25">
      <c r="A6839" s="18">
        <v>1747</v>
      </c>
      <c r="B6839" s="4" t="s">
        <v>43</v>
      </c>
      <c r="C6839" s="38" t="s">
        <v>9443</v>
      </c>
      <c r="D6839" s="23">
        <v>2023</v>
      </c>
      <c r="E6839" s="18" t="s">
        <v>0</v>
      </c>
      <c r="F6839" s="6">
        <v>1</v>
      </c>
      <c r="G6839" s="40">
        <v>2</v>
      </c>
      <c r="H6839" s="40">
        <v>12.872490000000001</v>
      </c>
      <c r="I6839" s="212"/>
      <c r="J6839" s="212"/>
    </row>
    <row r="6840" spans="1:10" s="15" customFormat="1" ht="18" hidden="1" customHeight="1" outlineLevel="1" x14ac:dyDescent="0.25">
      <c r="A6840" s="18">
        <v>6240</v>
      </c>
      <c r="B6840" s="4" t="s">
        <v>43</v>
      </c>
      <c r="C6840" s="38" t="s">
        <v>9444</v>
      </c>
      <c r="D6840" s="23">
        <v>2023</v>
      </c>
      <c r="E6840" s="18" t="s">
        <v>0</v>
      </c>
      <c r="F6840" s="6">
        <v>1</v>
      </c>
      <c r="G6840" s="40">
        <v>10</v>
      </c>
      <c r="H6840" s="40">
        <v>13.394770000000001</v>
      </c>
      <c r="I6840" s="212"/>
      <c r="J6840" s="212"/>
    </row>
    <row r="6841" spans="1:10" s="15" customFormat="1" ht="18" hidden="1" customHeight="1" outlineLevel="1" x14ac:dyDescent="0.25">
      <c r="A6841" s="18">
        <v>6253</v>
      </c>
      <c r="B6841" s="4" t="s">
        <v>43</v>
      </c>
      <c r="C6841" s="38" t="s">
        <v>9445</v>
      </c>
      <c r="D6841" s="23">
        <v>2023</v>
      </c>
      <c r="E6841" s="18" t="s">
        <v>0</v>
      </c>
      <c r="F6841" s="6">
        <v>1</v>
      </c>
      <c r="G6841" s="40">
        <v>15</v>
      </c>
      <c r="H6841" s="40">
        <v>12.449920000000001</v>
      </c>
      <c r="I6841" s="212"/>
      <c r="J6841" s="212"/>
    </row>
    <row r="6842" spans="1:10" s="15" customFormat="1" ht="18" hidden="1" customHeight="1" outlineLevel="1" x14ac:dyDescent="0.25">
      <c r="A6842" s="18">
        <v>1612</v>
      </c>
      <c r="B6842" s="4" t="s">
        <v>43</v>
      </c>
      <c r="C6842" s="38" t="s">
        <v>9446</v>
      </c>
      <c r="D6842" s="23">
        <v>2023</v>
      </c>
      <c r="E6842" s="18" t="s">
        <v>0</v>
      </c>
      <c r="F6842" s="6">
        <v>1</v>
      </c>
      <c r="G6842" s="40">
        <v>1</v>
      </c>
      <c r="H6842" s="40">
        <v>12.102649999999999</v>
      </c>
      <c r="I6842" s="212"/>
      <c r="J6842" s="212"/>
    </row>
    <row r="6843" spans="1:10" s="15" customFormat="1" ht="18" hidden="1" customHeight="1" outlineLevel="1" x14ac:dyDescent="0.25">
      <c r="A6843" s="18">
        <v>6258</v>
      </c>
      <c r="B6843" s="4" t="s">
        <v>43</v>
      </c>
      <c r="C6843" s="38" t="s">
        <v>9447</v>
      </c>
      <c r="D6843" s="23">
        <v>2023</v>
      </c>
      <c r="E6843" s="18" t="s">
        <v>0</v>
      </c>
      <c r="F6843" s="6">
        <v>1</v>
      </c>
      <c r="G6843" s="40">
        <v>5</v>
      </c>
      <c r="H6843" s="40">
        <v>14.604150000000001</v>
      </c>
      <c r="I6843" s="212"/>
      <c r="J6843" s="212"/>
    </row>
    <row r="6844" spans="1:10" s="15" customFormat="1" ht="18" hidden="1" customHeight="1" outlineLevel="1" x14ac:dyDescent="0.25">
      <c r="A6844" s="18">
        <v>6298</v>
      </c>
      <c r="B6844" s="4" t="s">
        <v>43</v>
      </c>
      <c r="C6844" s="38" t="s">
        <v>9448</v>
      </c>
      <c r="D6844" s="23">
        <v>2023</v>
      </c>
      <c r="E6844" s="18" t="s">
        <v>0</v>
      </c>
      <c r="F6844" s="6">
        <v>1</v>
      </c>
      <c r="G6844" s="40">
        <v>10</v>
      </c>
      <c r="H6844" s="40">
        <v>11.589239999999998</v>
      </c>
      <c r="I6844" s="212"/>
      <c r="J6844" s="212"/>
    </row>
    <row r="6845" spans="1:10" s="15" customFormat="1" ht="18" hidden="1" customHeight="1" outlineLevel="1" x14ac:dyDescent="0.25">
      <c r="A6845" s="18">
        <v>1033</v>
      </c>
      <c r="B6845" s="4" t="s">
        <v>43</v>
      </c>
      <c r="C6845" s="38" t="s">
        <v>9449</v>
      </c>
      <c r="D6845" s="23">
        <v>2023</v>
      </c>
      <c r="E6845" s="18" t="s">
        <v>0</v>
      </c>
      <c r="F6845" s="6">
        <v>1</v>
      </c>
      <c r="G6845" s="40">
        <v>15</v>
      </c>
      <c r="H6845" s="40">
        <v>14.937149999999999</v>
      </c>
      <c r="I6845" s="212"/>
      <c r="J6845" s="212"/>
    </row>
    <row r="6846" spans="1:10" s="15" customFormat="1" ht="18" hidden="1" customHeight="1" outlineLevel="1" x14ac:dyDescent="0.25">
      <c r="A6846" s="18">
        <v>1151</v>
      </c>
      <c r="B6846" s="4" t="s">
        <v>43</v>
      </c>
      <c r="C6846" s="38" t="s">
        <v>9450</v>
      </c>
      <c r="D6846" s="23">
        <v>2023</v>
      </c>
      <c r="E6846" s="18" t="s">
        <v>0</v>
      </c>
      <c r="F6846" s="6">
        <v>1</v>
      </c>
      <c r="G6846" s="40">
        <v>15</v>
      </c>
      <c r="H6846" s="40">
        <v>14.937149999999999</v>
      </c>
      <c r="I6846" s="212"/>
      <c r="J6846" s="212"/>
    </row>
    <row r="6847" spans="1:10" s="15" customFormat="1" ht="18" hidden="1" customHeight="1" outlineLevel="1" x14ac:dyDescent="0.25">
      <c r="A6847" s="18">
        <v>1178</v>
      </c>
      <c r="B6847" s="4" t="s">
        <v>43</v>
      </c>
      <c r="C6847" s="38" t="s">
        <v>9451</v>
      </c>
      <c r="D6847" s="23">
        <v>2023</v>
      </c>
      <c r="E6847" s="18" t="s">
        <v>0</v>
      </c>
      <c r="F6847" s="6">
        <v>1</v>
      </c>
      <c r="G6847" s="40">
        <v>15</v>
      </c>
      <c r="H6847" s="40">
        <v>11.217219999999999</v>
      </c>
      <c r="I6847" s="212"/>
      <c r="J6847" s="212"/>
    </row>
    <row r="6848" spans="1:10" s="15" customFormat="1" ht="18" hidden="1" customHeight="1" outlineLevel="1" x14ac:dyDescent="0.25">
      <c r="A6848" s="18">
        <v>6299</v>
      </c>
      <c r="B6848" s="4" t="s">
        <v>43</v>
      </c>
      <c r="C6848" s="38" t="s">
        <v>9452</v>
      </c>
      <c r="D6848" s="23">
        <v>2023</v>
      </c>
      <c r="E6848" s="18" t="s">
        <v>0</v>
      </c>
      <c r="F6848" s="6">
        <v>1</v>
      </c>
      <c r="G6848" s="40">
        <v>15</v>
      </c>
      <c r="H6848" s="40">
        <v>10.287280000000001</v>
      </c>
      <c r="I6848" s="212"/>
      <c r="J6848" s="212"/>
    </row>
    <row r="6849" spans="1:10" s="15" customFormat="1" ht="18" hidden="1" customHeight="1" outlineLevel="1" x14ac:dyDescent="0.25">
      <c r="A6849" s="18">
        <v>6300</v>
      </c>
      <c r="B6849" s="4" t="s">
        <v>43</v>
      </c>
      <c r="C6849" s="38" t="s">
        <v>9453</v>
      </c>
      <c r="D6849" s="23">
        <v>2023</v>
      </c>
      <c r="E6849" s="18" t="s">
        <v>0</v>
      </c>
      <c r="F6849" s="6">
        <v>1</v>
      </c>
      <c r="G6849" s="40">
        <v>5</v>
      </c>
      <c r="H6849" s="40">
        <v>11.775260000000001</v>
      </c>
      <c r="I6849" s="212"/>
      <c r="J6849" s="212"/>
    </row>
    <row r="6850" spans="1:10" s="15" customFormat="1" ht="18" hidden="1" customHeight="1" outlineLevel="1" x14ac:dyDescent="0.25">
      <c r="A6850" s="18">
        <v>6301</v>
      </c>
      <c r="B6850" s="4" t="s">
        <v>43</v>
      </c>
      <c r="C6850" s="38" t="s">
        <v>9454</v>
      </c>
      <c r="D6850" s="23">
        <v>2023</v>
      </c>
      <c r="E6850" s="18" t="s">
        <v>0</v>
      </c>
      <c r="F6850" s="6">
        <v>1</v>
      </c>
      <c r="G6850" s="40">
        <v>5</v>
      </c>
      <c r="H6850" s="40">
        <v>14.00714</v>
      </c>
      <c r="I6850" s="212"/>
      <c r="J6850" s="212"/>
    </row>
    <row r="6851" spans="1:10" s="15" customFormat="1" ht="18" hidden="1" customHeight="1" outlineLevel="1" x14ac:dyDescent="0.25">
      <c r="A6851" s="18">
        <v>6302</v>
      </c>
      <c r="B6851" s="4" t="s">
        <v>43</v>
      </c>
      <c r="C6851" s="38" t="s">
        <v>9455</v>
      </c>
      <c r="D6851" s="23">
        <v>2023</v>
      </c>
      <c r="E6851" s="18" t="s">
        <v>0</v>
      </c>
      <c r="F6851" s="6">
        <v>1</v>
      </c>
      <c r="G6851" s="40">
        <v>10</v>
      </c>
      <c r="H6851" s="40">
        <v>13.077210000000001</v>
      </c>
      <c r="I6851" s="212"/>
      <c r="J6851" s="212"/>
    </row>
    <row r="6852" spans="1:10" s="15" customFormat="1" ht="18" hidden="1" customHeight="1" outlineLevel="1" x14ac:dyDescent="0.25">
      <c r="A6852" s="18">
        <v>6303</v>
      </c>
      <c r="B6852" s="4" t="s">
        <v>43</v>
      </c>
      <c r="C6852" s="38" t="s">
        <v>9456</v>
      </c>
      <c r="D6852" s="23">
        <v>2023</v>
      </c>
      <c r="E6852" s="18" t="s">
        <v>0</v>
      </c>
      <c r="F6852" s="6">
        <v>1</v>
      </c>
      <c r="G6852" s="40">
        <v>10</v>
      </c>
      <c r="H6852" s="40">
        <v>11.775260000000001</v>
      </c>
      <c r="I6852" s="212"/>
      <c r="J6852" s="212"/>
    </row>
    <row r="6853" spans="1:10" s="15" customFormat="1" ht="18" hidden="1" customHeight="1" outlineLevel="1" x14ac:dyDescent="0.25">
      <c r="A6853" s="18">
        <v>6304</v>
      </c>
      <c r="B6853" s="4" t="s">
        <v>43</v>
      </c>
      <c r="C6853" s="38" t="s">
        <v>9457</v>
      </c>
      <c r="D6853" s="23">
        <v>2023</v>
      </c>
      <c r="E6853" s="18" t="s">
        <v>0</v>
      </c>
      <c r="F6853" s="6">
        <v>1</v>
      </c>
      <c r="G6853" s="40">
        <v>10</v>
      </c>
      <c r="H6853" s="40">
        <v>10.287280000000001</v>
      </c>
      <c r="I6853" s="212"/>
      <c r="J6853" s="212"/>
    </row>
    <row r="6854" spans="1:10" s="15" customFormat="1" ht="18" hidden="1" customHeight="1" outlineLevel="1" x14ac:dyDescent="0.25">
      <c r="A6854" s="18">
        <v>6305</v>
      </c>
      <c r="B6854" s="4" t="s">
        <v>43</v>
      </c>
      <c r="C6854" s="38" t="s">
        <v>9458</v>
      </c>
      <c r="D6854" s="23">
        <v>2023</v>
      </c>
      <c r="E6854" s="18" t="s">
        <v>0</v>
      </c>
      <c r="F6854" s="6">
        <v>1</v>
      </c>
      <c r="G6854" s="40">
        <v>5</v>
      </c>
      <c r="H6854" s="40">
        <v>12.14724</v>
      </c>
      <c r="I6854" s="212"/>
      <c r="J6854" s="212"/>
    </row>
    <row r="6855" spans="1:10" s="15" customFormat="1" ht="18" hidden="1" customHeight="1" outlineLevel="1" x14ac:dyDescent="0.25">
      <c r="A6855" s="18">
        <v>6306</v>
      </c>
      <c r="B6855" s="4" t="s">
        <v>43</v>
      </c>
      <c r="C6855" s="38" t="s">
        <v>9459</v>
      </c>
      <c r="D6855" s="23">
        <v>2023</v>
      </c>
      <c r="E6855" s="18" t="s">
        <v>0</v>
      </c>
      <c r="F6855" s="6">
        <v>1</v>
      </c>
      <c r="G6855" s="40">
        <v>15</v>
      </c>
      <c r="H6855" s="40">
        <v>9.5433000000000003</v>
      </c>
      <c r="I6855" s="212"/>
      <c r="J6855" s="212"/>
    </row>
    <row r="6856" spans="1:10" s="15" customFormat="1" ht="18" hidden="1" customHeight="1" outlineLevel="1" x14ac:dyDescent="0.25">
      <c r="A6856" s="18">
        <v>6307</v>
      </c>
      <c r="B6856" s="4" t="s">
        <v>43</v>
      </c>
      <c r="C6856" s="38" t="s">
        <v>9460</v>
      </c>
      <c r="D6856" s="23">
        <v>2023</v>
      </c>
      <c r="E6856" s="18" t="s">
        <v>0</v>
      </c>
      <c r="F6856" s="6">
        <v>1</v>
      </c>
      <c r="G6856" s="40">
        <v>10</v>
      </c>
      <c r="H6856" s="40">
        <v>14.00714</v>
      </c>
      <c r="I6856" s="212"/>
      <c r="J6856" s="212"/>
    </row>
    <row r="6857" spans="1:10" s="15" customFormat="1" ht="18" hidden="1" customHeight="1" outlineLevel="1" x14ac:dyDescent="0.25">
      <c r="A6857" s="18">
        <v>6308</v>
      </c>
      <c r="B6857" s="4" t="s">
        <v>43</v>
      </c>
      <c r="C6857" s="38" t="s">
        <v>9461</v>
      </c>
      <c r="D6857" s="23">
        <v>2023</v>
      </c>
      <c r="E6857" s="18" t="s">
        <v>0</v>
      </c>
      <c r="F6857" s="6">
        <v>1</v>
      </c>
      <c r="G6857" s="40">
        <v>10</v>
      </c>
      <c r="H6857" s="40">
        <v>9.5433100000000017</v>
      </c>
      <c r="I6857" s="212"/>
      <c r="J6857" s="212"/>
    </row>
    <row r="6858" spans="1:10" s="15" customFormat="1" ht="18" hidden="1" customHeight="1" outlineLevel="1" x14ac:dyDescent="0.25">
      <c r="A6858" s="18">
        <v>6309</v>
      </c>
      <c r="B6858" s="4" t="s">
        <v>43</v>
      </c>
      <c r="C6858" s="38" t="s">
        <v>9462</v>
      </c>
      <c r="D6858" s="23">
        <v>2023</v>
      </c>
      <c r="E6858" s="18" t="s">
        <v>0</v>
      </c>
      <c r="F6858" s="6">
        <v>1</v>
      </c>
      <c r="G6858" s="40">
        <v>12</v>
      </c>
      <c r="H6858" s="40">
        <v>11.589559999999999</v>
      </c>
      <c r="I6858" s="212"/>
      <c r="J6858" s="212"/>
    </row>
    <row r="6859" spans="1:10" s="15" customFormat="1" ht="18" hidden="1" customHeight="1" outlineLevel="1" x14ac:dyDescent="0.25">
      <c r="A6859" s="18">
        <v>6310</v>
      </c>
      <c r="B6859" s="4" t="s">
        <v>43</v>
      </c>
      <c r="C6859" s="38" t="s">
        <v>9463</v>
      </c>
      <c r="D6859" s="23">
        <v>2023</v>
      </c>
      <c r="E6859" s="18" t="s">
        <v>0</v>
      </c>
      <c r="F6859" s="6">
        <v>1</v>
      </c>
      <c r="G6859" s="40">
        <v>15</v>
      </c>
      <c r="H6859" s="40">
        <v>14.007149999999999</v>
      </c>
      <c r="I6859" s="212"/>
      <c r="J6859" s="212"/>
    </row>
    <row r="6860" spans="1:10" s="15" customFormat="1" ht="18" hidden="1" customHeight="1" outlineLevel="1" x14ac:dyDescent="0.25">
      <c r="A6860" s="18">
        <v>6311</v>
      </c>
      <c r="B6860" s="4" t="s">
        <v>43</v>
      </c>
      <c r="C6860" s="38" t="s">
        <v>9464</v>
      </c>
      <c r="D6860" s="23">
        <v>2023</v>
      </c>
      <c r="E6860" s="18" t="s">
        <v>0</v>
      </c>
      <c r="F6860" s="6">
        <v>1</v>
      </c>
      <c r="G6860" s="40">
        <v>15</v>
      </c>
      <c r="H6860" s="40">
        <v>9.5433000000000003</v>
      </c>
      <c r="I6860" s="212"/>
      <c r="J6860" s="212"/>
    </row>
    <row r="6861" spans="1:10" s="15" customFormat="1" ht="18" hidden="1" customHeight="1" outlineLevel="1" x14ac:dyDescent="0.25">
      <c r="A6861" s="18">
        <v>6312</v>
      </c>
      <c r="B6861" s="4" t="s">
        <v>43</v>
      </c>
      <c r="C6861" s="38" t="s">
        <v>9465</v>
      </c>
      <c r="D6861" s="23">
        <v>2023</v>
      </c>
      <c r="E6861" s="18" t="s">
        <v>0</v>
      </c>
      <c r="F6861" s="6">
        <v>1</v>
      </c>
      <c r="G6861" s="40">
        <v>15</v>
      </c>
      <c r="H6861" s="40">
        <v>13.263200000000001</v>
      </c>
      <c r="I6861" s="212"/>
      <c r="J6861" s="212"/>
    </row>
    <row r="6862" spans="1:10" s="15" customFormat="1" ht="18" hidden="1" customHeight="1" outlineLevel="1" x14ac:dyDescent="0.25">
      <c r="A6862" s="18">
        <v>6313</v>
      </c>
      <c r="B6862" s="4" t="s">
        <v>43</v>
      </c>
      <c r="C6862" s="38" t="s">
        <v>9466</v>
      </c>
      <c r="D6862" s="23">
        <v>2023</v>
      </c>
      <c r="E6862" s="18" t="s">
        <v>0</v>
      </c>
      <c r="F6862" s="6">
        <v>1</v>
      </c>
      <c r="G6862" s="40">
        <v>10</v>
      </c>
      <c r="H6862" s="40">
        <v>13.170179999999998</v>
      </c>
      <c r="I6862" s="212"/>
      <c r="J6862" s="212"/>
    </row>
    <row r="6863" spans="1:10" s="15" customFormat="1" ht="18" hidden="1" customHeight="1" outlineLevel="1" x14ac:dyDescent="0.25">
      <c r="A6863" s="18">
        <v>1767</v>
      </c>
      <c r="B6863" s="4" t="s">
        <v>43</v>
      </c>
      <c r="C6863" s="38" t="s">
        <v>9467</v>
      </c>
      <c r="D6863" s="23">
        <v>2023</v>
      </c>
      <c r="E6863" s="18" t="s">
        <v>0</v>
      </c>
      <c r="F6863" s="6">
        <v>1</v>
      </c>
      <c r="G6863" s="40">
        <v>3</v>
      </c>
      <c r="H6863" s="40">
        <v>11.217230000000001</v>
      </c>
      <c r="I6863" s="212"/>
      <c r="J6863" s="212"/>
    </row>
    <row r="6864" spans="1:10" s="15" customFormat="1" ht="18" hidden="1" customHeight="1" outlineLevel="1" x14ac:dyDescent="0.25">
      <c r="A6864" s="18">
        <v>1357</v>
      </c>
      <c r="B6864" s="4" t="s">
        <v>43</v>
      </c>
      <c r="C6864" s="38" t="s">
        <v>9468</v>
      </c>
      <c r="D6864" s="23">
        <v>2023</v>
      </c>
      <c r="E6864" s="18" t="s">
        <v>0</v>
      </c>
      <c r="F6864" s="6">
        <v>1</v>
      </c>
      <c r="G6864" s="40">
        <v>5</v>
      </c>
      <c r="H6864" s="40">
        <v>13.077210000000001</v>
      </c>
      <c r="I6864" s="212"/>
      <c r="J6864" s="212"/>
    </row>
    <row r="6865" spans="1:10" s="15" customFormat="1" ht="18" hidden="1" customHeight="1" outlineLevel="1" x14ac:dyDescent="0.25">
      <c r="A6865" s="18">
        <v>6314</v>
      </c>
      <c r="B6865" s="4" t="s">
        <v>43</v>
      </c>
      <c r="C6865" s="38" t="s">
        <v>9469</v>
      </c>
      <c r="D6865" s="23">
        <v>2023</v>
      </c>
      <c r="E6865" s="18" t="s">
        <v>0</v>
      </c>
      <c r="F6865" s="6">
        <v>1</v>
      </c>
      <c r="G6865" s="40">
        <v>10</v>
      </c>
      <c r="H6865" s="40">
        <v>11.23624</v>
      </c>
      <c r="I6865" s="212"/>
      <c r="J6865" s="212"/>
    </row>
    <row r="6866" spans="1:10" s="15" customFormat="1" ht="18" hidden="1" customHeight="1" outlineLevel="1" x14ac:dyDescent="0.25">
      <c r="A6866" s="18">
        <v>6315</v>
      </c>
      <c r="B6866" s="4" t="s">
        <v>43</v>
      </c>
      <c r="C6866" s="38" t="s">
        <v>9470</v>
      </c>
      <c r="D6866" s="23">
        <v>2023</v>
      </c>
      <c r="E6866" s="18" t="s">
        <v>0</v>
      </c>
      <c r="F6866" s="6">
        <v>1</v>
      </c>
      <c r="G6866" s="40">
        <v>5</v>
      </c>
      <c r="H6866" s="40">
        <v>12.14724</v>
      </c>
      <c r="I6866" s="212"/>
      <c r="J6866" s="212"/>
    </row>
    <row r="6867" spans="1:10" s="15" customFormat="1" ht="18" hidden="1" customHeight="1" outlineLevel="1" x14ac:dyDescent="0.25">
      <c r="A6867" s="18">
        <v>6316</v>
      </c>
      <c r="B6867" s="4" t="s">
        <v>43</v>
      </c>
      <c r="C6867" s="38" t="s">
        <v>9471</v>
      </c>
      <c r="D6867" s="23">
        <v>2023</v>
      </c>
      <c r="E6867" s="18" t="s">
        <v>0</v>
      </c>
      <c r="F6867" s="6">
        <v>1</v>
      </c>
      <c r="G6867" s="40">
        <v>10</v>
      </c>
      <c r="H6867" s="40">
        <v>14.00714</v>
      </c>
      <c r="I6867" s="212"/>
      <c r="J6867" s="212"/>
    </row>
    <row r="6868" spans="1:10" s="15" customFormat="1" ht="18" hidden="1" customHeight="1" outlineLevel="1" x14ac:dyDescent="0.25">
      <c r="A6868" s="18">
        <v>6317</v>
      </c>
      <c r="B6868" s="4" t="s">
        <v>43</v>
      </c>
      <c r="C6868" s="38" t="s">
        <v>9472</v>
      </c>
      <c r="D6868" s="23">
        <v>2023</v>
      </c>
      <c r="E6868" s="18" t="s">
        <v>0</v>
      </c>
      <c r="F6868" s="6">
        <v>1</v>
      </c>
      <c r="G6868" s="40">
        <v>15</v>
      </c>
      <c r="H6868" s="40">
        <v>14.00714</v>
      </c>
      <c r="I6868" s="212"/>
      <c r="J6868" s="212"/>
    </row>
    <row r="6869" spans="1:10" s="15" customFormat="1" ht="18" hidden="1" customHeight="1" outlineLevel="1" x14ac:dyDescent="0.25">
      <c r="A6869" s="18">
        <v>6318</v>
      </c>
      <c r="B6869" s="4" t="s">
        <v>43</v>
      </c>
      <c r="C6869" s="38" t="s">
        <v>9473</v>
      </c>
      <c r="D6869" s="23">
        <v>2023</v>
      </c>
      <c r="E6869" s="18" t="s">
        <v>0</v>
      </c>
      <c r="F6869" s="6">
        <v>1</v>
      </c>
      <c r="G6869" s="40">
        <v>10</v>
      </c>
      <c r="H6869" s="40">
        <v>11.217209999999998</v>
      </c>
      <c r="I6869" s="212"/>
      <c r="J6869" s="212"/>
    </row>
    <row r="6870" spans="1:10" s="15" customFormat="1" ht="18" hidden="1" customHeight="1" outlineLevel="1" x14ac:dyDescent="0.25">
      <c r="A6870" s="18">
        <v>6319</v>
      </c>
      <c r="B6870" s="4" t="s">
        <v>43</v>
      </c>
      <c r="C6870" s="38" t="s">
        <v>9474</v>
      </c>
      <c r="D6870" s="23">
        <v>2023</v>
      </c>
      <c r="E6870" s="18" t="s">
        <v>0</v>
      </c>
      <c r="F6870" s="6">
        <v>1</v>
      </c>
      <c r="G6870" s="40">
        <v>10</v>
      </c>
      <c r="H6870" s="40">
        <v>14.00714</v>
      </c>
      <c r="I6870" s="212"/>
      <c r="J6870" s="212"/>
    </row>
    <row r="6871" spans="1:10" s="15" customFormat="1" ht="18" hidden="1" customHeight="1" outlineLevel="1" x14ac:dyDescent="0.25">
      <c r="A6871" s="18">
        <v>6320</v>
      </c>
      <c r="B6871" s="4" t="s">
        <v>43</v>
      </c>
      <c r="C6871" s="38" t="s">
        <v>9475</v>
      </c>
      <c r="D6871" s="23">
        <v>2023</v>
      </c>
      <c r="E6871" s="18" t="s">
        <v>0</v>
      </c>
      <c r="F6871" s="6">
        <v>1</v>
      </c>
      <c r="G6871" s="40">
        <v>7</v>
      </c>
      <c r="H6871" s="40">
        <v>11.40324</v>
      </c>
      <c r="I6871" s="212"/>
      <c r="J6871" s="212"/>
    </row>
    <row r="6872" spans="1:10" s="15" customFormat="1" ht="18" hidden="1" customHeight="1" outlineLevel="1" x14ac:dyDescent="0.25">
      <c r="A6872" s="18">
        <v>6321</v>
      </c>
      <c r="B6872" s="4" t="s">
        <v>43</v>
      </c>
      <c r="C6872" s="38" t="s">
        <v>9476</v>
      </c>
      <c r="D6872" s="23">
        <v>2023</v>
      </c>
      <c r="E6872" s="18" t="s">
        <v>0</v>
      </c>
      <c r="F6872" s="6">
        <v>1</v>
      </c>
      <c r="G6872" s="40">
        <v>7</v>
      </c>
      <c r="H6872" s="40">
        <v>9.5433000000000003</v>
      </c>
      <c r="I6872" s="212"/>
      <c r="J6872" s="212"/>
    </row>
    <row r="6873" spans="1:10" s="15" customFormat="1" ht="18" hidden="1" customHeight="1" outlineLevel="1" x14ac:dyDescent="0.25">
      <c r="A6873" s="18">
        <v>6322</v>
      </c>
      <c r="B6873" s="4" t="s">
        <v>43</v>
      </c>
      <c r="C6873" s="38" t="s">
        <v>9477</v>
      </c>
      <c r="D6873" s="23">
        <v>2023</v>
      </c>
      <c r="E6873" s="18" t="s">
        <v>0</v>
      </c>
      <c r="F6873" s="6">
        <v>1</v>
      </c>
      <c r="G6873" s="40">
        <v>10</v>
      </c>
      <c r="H6873" s="40">
        <v>14.00714</v>
      </c>
      <c r="I6873" s="212"/>
      <c r="J6873" s="212"/>
    </row>
    <row r="6874" spans="1:10" s="15" customFormat="1" ht="18" hidden="1" customHeight="1" outlineLevel="1" x14ac:dyDescent="0.25">
      <c r="A6874" s="18">
        <v>6323</v>
      </c>
      <c r="B6874" s="4" t="s">
        <v>43</v>
      </c>
      <c r="C6874" s="38" t="s">
        <v>9478</v>
      </c>
      <c r="D6874" s="23">
        <v>2023</v>
      </c>
      <c r="E6874" s="18" t="s">
        <v>0</v>
      </c>
      <c r="F6874" s="6">
        <v>1</v>
      </c>
      <c r="G6874" s="40">
        <v>14</v>
      </c>
      <c r="H6874" s="40">
        <v>13.263190000000002</v>
      </c>
      <c r="I6874" s="212"/>
      <c r="J6874" s="212"/>
    </row>
    <row r="6875" spans="1:10" s="15" customFormat="1" ht="18" hidden="1" customHeight="1" outlineLevel="1" x14ac:dyDescent="0.25">
      <c r="A6875" s="18">
        <v>6324</v>
      </c>
      <c r="B6875" s="4" t="s">
        <v>43</v>
      </c>
      <c r="C6875" s="38" t="s">
        <v>9479</v>
      </c>
      <c r="D6875" s="23">
        <v>2023</v>
      </c>
      <c r="E6875" s="18" t="s">
        <v>0</v>
      </c>
      <c r="F6875" s="6">
        <v>1</v>
      </c>
      <c r="G6875" s="40">
        <v>10</v>
      </c>
      <c r="H6875" s="40">
        <v>12.14724</v>
      </c>
      <c r="I6875" s="212"/>
      <c r="J6875" s="212"/>
    </row>
    <row r="6876" spans="1:10" s="15" customFormat="1" ht="18" hidden="1" customHeight="1" outlineLevel="1" x14ac:dyDescent="0.25">
      <c r="A6876" s="18">
        <v>1788</v>
      </c>
      <c r="B6876" s="4" t="s">
        <v>43</v>
      </c>
      <c r="C6876" s="38" t="s">
        <v>9480</v>
      </c>
      <c r="D6876" s="23">
        <v>2023</v>
      </c>
      <c r="E6876" s="18" t="s">
        <v>0</v>
      </c>
      <c r="F6876" s="6">
        <v>1</v>
      </c>
      <c r="G6876" s="40">
        <v>5</v>
      </c>
      <c r="H6876" s="40">
        <v>13.077210000000001</v>
      </c>
      <c r="I6876" s="212"/>
      <c r="J6876" s="212"/>
    </row>
    <row r="6877" spans="1:10" s="15" customFormat="1" ht="18" hidden="1" customHeight="1" outlineLevel="1" x14ac:dyDescent="0.25">
      <c r="A6877" s="18">
        <v>1828</v>
      </c>
      <c r="B6877" s="4" t="s">
        <v>43</v>
      </c>
      <c r="C6877" s="38" t="s">
        <v>9481</v>
      </c>
      <c r="D6877" s="23">
        <v>2023</v>
      </c>
      <c r="E6877" s="18" t="s">
        <v>0</v>
      </c>
      <c r="F6877" s="6">
        <v>1</v>
      </c>
      <c r="G6877" s="40">
        <v>4</v>
      </c>
      <c r="H6877" s="40">
        <v>11.217219999999999</v>
      </c>
      <c r="I6877" s="212"/>
      <c r="J6877" s="212"/>
    </row>
    <row r="6878" spans="1:10" s="15" customFormat="1" ht="18" hidden="1" customHeight="1" outlineLevel="1" x14ac:dyDescent="0.25">
      <c r="A6878" s="18">
        <v>6325</v>
      </c>
      <c r="B6878" s="4" t="s">
        <v>43</v>
      </c>
      <c r="C6878" s="38" t="s">
        <v>9482</v>
      </c>
      <c r="D6878" s="23">
        <v>2023</v>
      </c>
      <c r="E6878" s="18" t="s">
        <v>0</v>
      </c>
      <c r="F6878" s="6">
        <v>1</v>
      </c>
      <c r="G6878" s="40">
        <v>10</v>
      </c>
      <c r="H6878" s="40">
        <v>14.00714</v>
      </c>
      <c r="I6878" s="212"/>
      <c r="J6878" s="212"/>
    </row>
    <row r="6879" spans="1:10" s="15" customFormat="1" ht="18" hidden="1" customHeight="1" outlineLevel="1" x14ac:dyDescent="0.25">
      <c r="A6879" s="18">
        <v>6326</v>
      </c>
      <c r="B6879" s="4" t="s">
        <v>43</v>
      </c>
      <c r="C6879" s="38" t="s">
        <v>9483</v>
      </c>
      <c r="D6879" s="23">
        <v>2023</v>
      </c>
      <c r="E6879" s="18" t="s">
        <v>0</v>
      </c>
      <c r="F6879" s="6">
        <v>1</v>
      </c>
      <c r="G6879" s="40">
        <v>10</v>
      </c>
      <c r="H6879" s="40">
        <v>11.217219999999999</v>
      </c>
      <c r="I6879" s="212"/>
      <c r="J6879" s="212"/>
    </row>
    <row r="6880" spans="1:10" s="15" customFormat="1" ht="18" hidden="1" customHeight="1" outlineLevel="1" x14ac:dyDescent="0.25">
      <c r="A6880" s="18">
        <v>1943</v>
      </c>
      <c r="B6880" s="4" t="s">
        <v>43</v>
      </c>
      <c r="C6880" s="38" t="s">
        <v>9484</v>
      </c>
      <c r="D6880" s="23">
        <v>2023</v>
      </c>
      <c r="E6880" s="18" t="s">
        <v>0</v>
      </c>
      <c r="F6880" s="6">
        <v>1</v>
      </c>
      <c r="G6880" s="40">
        <v>15</v>
      </c>
      <c r="H6880" s="40">
        <v>14.937149999999999</v>
      </c>
      <c r="I6880" s="212"/>
      <c r="J6880" s="212"/>
    </row>
    <row r="6881" spans="1:10" s="15" customFormat="1" ht="18" hidden="1" customHeight="1" outlineLevel="1" x14ac:dyDescent="0.25">
      <c r="A6881" s="18">
        <v>1917</v>
      </c>
      <c r="B6881" s="4" t="s">
        <v>43</v>
      </c>
      <c r="C6881" s="38" t="s">
        <v>9485</v>
      </c>
      <c r="D6881" s="23">
        <v>2023</v>
      </c>
      <c r="E6881" s="18" t="s">
        <v>0</v>
      </c>
      <c r="F6881" s="6">
        <v>1</v>
      </c>
      <c r="G6881" s="40">
        <v>5</v>
      </c>
      <c r="H6881" s="40">
        <v>13.11323</v>
      </c>
      <c r="I6881" s="212"/>
      <c r="J6881" s="212"/>
    </row>
    <row r="6882" spans="1:10" s="15" customFormat="1" ht="18" hidden="1" customHeight="1" outlineLevel="1" x14ac:dyDescent="0.25">
      <c r="A6882" s="18">
        <v>6175</v>
      </c>
      <c r="B6882" s="4" t="s">
        <v>43</v>
      </c>
      <c r="C6882" s="38" t="s">
        <v>9486</v>
      </c>
      <c r="D6882" s="23">
        <v>2023</v>
      </c>
      <c r="E6882" s="18" t="s">
        <v>0</v>
      </c>
      <c r="F6882" s="6">
        <v>1</v>
      </c>
      <c r="G6882" s="40">
        <v>5</v>
      </c>
      <c r="H6882" s="40">
        <v>14.955959999999999</v>
      </c>
      <c r="I6882" s="212"/>
      <c r="J6882" s="212"/>
    </row>
    <row r="6883" spans="1:10" s="15" customFormat="1" ht="18" hidden="1" customHeight="1" outlineLevel="1" x14ac:dyDescent="0.25">
      <c r="A6883" s="18">
        <v>6188</v>
      </c>
      <c r="B6883" s="4" t="s">
        <v>43</v>
      </c>
      <c r="C6883" s="38" t="s">
        <v>9487</v>
      </c>
      <c r="D6883" s="23">
        <v>2023</v>
      </c>
      <c r="E6883" s="18" t="s">
        <v>0</v>
      </c>
      <c r="F6883" s="6">
        <v>1</v>
      </c>
      <c r="G6883" s="40">
        <v>5</v>
      </c>
      <c r="H6883" s="40">
        <v>15.041650000000001</v>
      </c>
      <c r="I6883" s="212"/>
      <c r="J6883" s="212"/>
    </row>
    <row r="6884" spans="1:10" s="15" customFormat="1" ht="18" hidden="1" customHeight="1" outlineLevel="1" x14ac:dyDescent="0.25">
      <c r="A6884" s="18">
        <v>6192</v>
      </c>
      <c r="B6884" s="4" t="s">
        <v>43</v>
      </c>
      <c r="C6884" s="38" t="s">
        <v>9488</v>
      </c>
      <c r="D6884" s="23">
        <v>2023</v>
      </c>
      <c r="E6884" s="18" t="s">
        <v>0</v>
      </c>
      <c r="F6884" s="6">
        <v>1</v>
      </c>
      <c r="G6884" s="40">
        <v>15</v>
      </c>
      <c r="H6884" s="40">
        <v>15.041650000000001</v>
      </c>
      <c r="I6884" s="212"/>
      <c r="J6884" s="212"/>
    </row>
    <row r="6885" spans="1:10" s="15" customFormat="1" ht="18" hidden="1" customHeight="1" outlineLevel="1" x14ac:dyDescent="0.25">
      <c r="A6885" s="18">
        <v>6234</v>
      </c>
      <c r="B6885" s="4" t="s">
        <v>43</v>
      </c>
      <c r="C6885" s="38" t="s">
        <v>9489</v>
      </c>
      <c r="D6885" s="23">
        <v>2023</v>
      </c>
      <c r="E6885" s="18" t="s">
        <v>0</v>
      </c>
      <c r="F6885" s="6">
        <v>1</v>
      </c>
      <c r="G6885" s="40">
        <v>12</v>
      </c>
      <c r="H6885" s="40">
        <v>11.83286</v>
      </c>
      <c r="I6885" s="212"/>
      <c r="J6885" s="212"/>
    </row>
    <row r="6886" spans="1:10" s="15" customFormat="1" ht="18" hidden="1" customHeight="1" outlineLevel="1" x14ac:dyDescent="0.25">
      <c r="A6886" s="18">
        <v>1666</v>
      </c>
      <c r="B6886" s="4" t="s">
        <v>43</v>
      </c>
      <c r="C6886" s="38" t="s">
        <v>9490</v>
      </c>
      <c r="D6886" s="23">
        <v>2023</v>
      </c>
      <c r="E6886" s="18" t="s">
        <v>0</v>
      </c>
      <c r="F6886" s="6">
        <v>1</v>
      </c>
      <c r="G6886" s="40">
        <v>3</v>
      </c>
      <c r="H6886" s="40">
        <v>10.601509999999999</v>
      </c>
      <c r="I6886" s="212"/>
      <c r="J6886" s="212"/>
    </row>
    <row r="6887" spans="1:10" s="15" customFormat="1" ht="18" hidden="1" customHeight="1" outlineLevel="1" x14ac:dyDescent="0.25">
      <c r="A6887" s="18">
        <v>6261</v>
      </c>
      <c r="B6887" s="4" t="s">
        <v>43</v>
      </c>
      <c r="C6887" s="38" t="s">
        <v>9491</v>
      </c>
      <c r="D6887" s="23">
        <v>2023</v>
      </c>
      <c r="E6887" s="18" t="s">
        <v>0</v>
      </c>
      <c r="F6887" s="6">
        <v>1</v>
      </c>
      <c r="G6887" s="40">
        <v>5</v>
      </c>
      <c r="H6887" s="40">
        <v>13.503869999999999</v>
      </c>
      <c r="I6887" s="212"/>
      <c r="J6887" s="212"/>
    </row>
    <row r="6888" spans="1:10" s="15" customFormat="1" ht="18" hidden="1" customHeight="1" outlineLevel="1" x14ac:dyDescent="0.25">
      <c r="A6888" s="18">
        <v>6262</v>
      </c>
      <c r="B6888" s="4" t="s">
        <v>43</v>
      </c>
      <c r="C6888" s="38" t="s">
        <v>9492</v>
      </c>
      <c r="D6888" s="23">
        <v>2023</v>
      </c>
      <c r="E6888" s="18" t="s">
        <v>0</v>
      </c>
      <c r="F6888" s="6">
        <v>1</v>
      </c>
      <c r="G6888" s="40">
        <v>5</v>
      </c>
      <c r="H6888" s="40">
        <v>13.48931</v>
      </c>
      <c r="I6888" s="212"/>
      <c r="J6888" s="212"/>
    </row>
    <row r="6889" spans="1:10" s="15" customFormat="1" ht="18" hidden="1" customHeight="1" outlineLevel="1" x14ac:dyDescent="0.25">
      <c r="A6889" s="18">
        <v>6327</v>
      </c>
      <c r="B6889" s="4" t="s">
        <v>43</v>
      </c>
      <c r="C6889" s="38" t="s">
        <v>9493</v>
      </c>
      <c r="D6889" s="23">
        <v>2023</v>
      </c>
      <c r="E6889" s="18" t="s">
        <v>0</v>
      </c>
      <c r="F6889" s="6">
        <v>1</v>
      </c>
      <c r="G6889" s="40">
        <v>10</v>
      </c>
      <c r="H6889" s="40">
        <v>14.041639999999999</v>
      </c>
      <c r="I6889" s="212"/>
      <c r="J6889" s="212"/>
    </row>
    <row r="6890" spans="1:10" s="15" customFormat="1" ht="18" hidden="1" customHeight="1" outlineLevel="1" x14ac:dyDescent="0.25">
      <c r="A6890" s="18">
        <v>6328</v>
      </c>
      <c r="B6890" s="4" t="s">
        <v>43</v>
      </c>
      <c r="C6890" s="38" t="s">
        <v>9494</v>
      </c>
      <c r="D6890" s="23">
        <v>2023</v>
      </c>
      <c r="E6890" s="18" t="s">
        <v>0</v>
      </c>
      <c r="F6890" s="6">
        <v>1</v>
      </c>
      <c r="G6890" s="40">
        <v>15</v>
      </c>
      <c r="H6890" s="40">
        <v>14.199450000000001</v>
      </c>
      <c r="I6890" s="212"/>
      <c r="J6890" s="212"/>
    </row>
    <row r="6891" spans="1:10" s="15" customFormat="1" ht="18" hidden="1" customHeight="1" outlineLevel="1" x14ac:dyDescent="0.25">
      <c r="A6891" s="18">
        <v>6329</v>
      </c>
      <c r="B6891" s="4" t="s">
        <v>43</v>
      </c>
      <c r="C6891" s="38" t="s">
        <v>9495</v>
      </c>
      <c r="D6891" s="23">
        <v>2023</v>
      </c>
      <c r="E6891" s="18" t="s">
        <v>0</v>
      </c>
      <c r="F6891" s="6">
        <v>1</v>
      </c>
      <c r="G6891" s="40">
        <v>10</v>
      </c>
      <c r="H6891" s="40">
        <v>14.041659999999998</v>
      </c>
      <c r="I6891" s="212"/>
      <c r="J6891" s="212"/>
    </row>
    <row r="6892" spans="1:10" s="15" customFormat="1" ht="18" hidden="1" customHeight="1" outlineLevel="1" x14ac:dyDescent="0.25">
      <c r="A6892" s="18">
        <v>1935</v>
      </c>
      <c r="B6892" s="4" t="s">
        <v>43</v>
      </c>
      <c r="C6892" s="38" t="s">
        <v>9496</v>
      </c>
      <c r="D6892" s="23">
        <v>2023</v>
      </c>
      <c r="E6892" s="18" t="s">
        <v>0</v>
      </c>
      <c r="F6892" s="6">
        <v>1</v>
      </c>
      <c r="G6892" s="40">
        <v>15</v>
      </c>
      <c r="H6892" s="40">
        <v>14.633799999999999</v>
      </c>
      <c r="I6892" s="212"/>
      <c r="J6892" s="212"/>
    </row>
    <row r="6893" spans="1:10" s="15" customFormat="1" ht="18" hidden="1" customHeight="1" outlineLevel="1" x14ac:dyDescent="0.25">
      <c r="A6893" s="18">
        <v>6330</v>
      </c>
      <c r="B6893" s="4" t="s">
        <v>43</v>
      </c>
      <c r="C6893" s="38" t="s">
        <v>9497</v>
      </c>
      <c r="D6893" s="23">
        <v>2023</v>
      </c>
      <c r="E6893" s="18" t="s">
        <v>0</v>
      </c>
      <c r="F6893" s="6">
        <v>1</v>
      </c>
      <c r="G6893" s="40">
        <v>15</v>
      </c>
      <c r="H6893" s="40">
        <v>12.520059999999999</v>
      </c>
      <c r="I6893" s="212"/>
      <c r="J6893" s="212"/>
    </row>
    <row r="6894" spans="1:10" s="15" customFormat="1" ht="18" hidden="1" customHeight="1" outlineLevel="1" x14ac:dyDescent="0.25">
      <c r="A6894" s="18">
        <v>6331</v>
      </c>
      <c r="B6894" s="4" t="s">
        <v>43</v>
      </c>
      <c r="C6894" s="38" t="s">
        <v>9498</v>
      </c>
      <c r="D6894" s="23">
        <v>2023</v>
      </c>
      <c r="E6894" s="18" t="s">
        <v>0</v>
      </c>
      <c r="F6894" s="6">
        <v>1</v>
      </c>
      <c r="G6894" s="40">
        <v>15</v>
      </c>
      <c r="H6894" s="40">
        <v>39.287669999999999</v>
      </c>
      <c r="I6894" s="212"/>
      <c r="J6894" s="212"/>
    </row>
    <row r="6895" spans="1:10" s="15" customFormat="1" ht="18" hidden="1" customHeight="1" outlineLevel="1" x14ac:dyDescent="0.25">
      <c r="A6895" s="18">
        <v>3760</v>
      </c>
      <c r="B6895" s="4" t="s">
        <v>43</v>
      </c>
      <c r="C6895" s="38" t="s">
        <v>9499</v>
      </c>
      <c r="D6895" s="23">
        <v>2023</v>
      </c>
      <c r="E6895" s="18" t="s">
        <v>0</v>
      </c>
      <c r="F6895" s="6">
        <v>1</v>
      </c>
      <c r="G6895" s="40">
        <v>15</v>
      </c>
      <c r="H6895" s="40">
        <v>15.969339999999999</v>
      </c>
      <c r="I6895" s="212"/>
      <c r="J6895" s="212"/>
    </row>
    <row r="6896" spans="1:10" s="15" customFormat="1" ht="18" hidden="1" customHeight="1" outlineLevel="1" x14ac:dyDescent="0.25">
      <c r="A6896" s="18">
        <v>3720</v>
      </c>
      <c r="B6896" s="4" t="s">
        <v>43</v>
      </c>
      <c r="C6896" s="38" t="s">
        <v>9500</v>
      </c>
      <c r="D6896" s="23">
        <v>2023</v>
      </c>
      <c r="E6896" s="18" t="s">
        <v>0</v>
      </c>
      <c r="F6896" s="6">
        <v>1</v>
      </c>
      <c r="G6896" s="40">
        <v>7</v>
      </c>
      <c r="H6896" s="40">
        <v>18.247789999999998</v>
      </c>
      <c r="I6896" s="212"/>
      <c r="J6896" s="212"/>
    </row>
    <row r="6897" spans="1:10" s="15" customFormat="1" ht="18" hidden="1" customHeight="1" outlineLevel="1" x14ac:dyDescent="0.25">
      <c r="A6897" s="18">
        <v>3707</v>
      </c>
      <c r="B6897" s="4" t="s">
        <v>43</v>
      </c>
      <c r="C6897" s="38" t="s">
        <v>9501</v>
      </c>
      <c r="D6897" s="23">
        <v>2023</v>
      </c>
      <c r="E6897" s="18" t="s">
        <v>0</v>
      </c>
      <c r="F6897" s="6">
        <v>1</v>
      </c>
      <c r="G6897" s="40">
        <v>10</v>
      </c>
      <c r="H6897" s="40">
        <v>9.8677200000000003</v>
      </c>
      <c r="I6897" s="212"/>
      <c r="J6897" s="212"/>
    </row>
    <row r="6898" spans="1:10" s="15" customFormat="1" ht="18" hidden="1" customHeight="1" outlineLevel="1" x14ac:dyDescent="0.25">
      <c r="A6898" s="18">
        <v>700</v>
      </c>
      <c r="B6898" s="4" t="s">
        <v>43</v>
      </c>
      <c r="C6898" s="38" t="s">
        <v>9502</v>
      </c>
      <c r="D6898" s="23">
        <v>2023</v>
      </c>
      <c r="E6898" s="18" t="s">
        <v>0</v>
      </c>
      <c r="F6898" s="6">
        <v>1</v>
      </c>
      <c r="G6898" s="40">
        <v>6</v>
      </c>
      <c r="H6898" s="40">
        <v>18.247789999999998</v>
      </c>
      <c r="I6898" s="212"/>
      <c r="J6898" s="212"/>
    </row>
    <row r="6899" spans="1:10" s="15" customFormat="1" ht="18" hidden="1" customHeight="1" outlineLevel="1" x14ac:dyDescent="0.25">
      <c r="A6899" s="18">
        <v>6346</v>
      </c>
      <c r="B6899" s="4" t="s">
        <v>43</v>
      </c>
      <c r="C6899" s="38" t="s">
        <v>9503</v>
      </c>
      <c r="D6899" s="23">
        <v>2023</v>
      </c>
      <c r="E6899" s="18" t="s">
        <v>0</v>
      </c>
      <c r="F6899" s="6">
        <v>1</v>
      </c>
      <c r="G6899" s="40">
        <v>10</v>
      </c>
      <c r="H6899" s="40">
        <v>9.8677200000000003</v>
      </c>
      <c r="I6899" s="212"/>
      <c r="J6899" s="212"/>
    </row>
    <row r="6900" spans="1:10" s="15" customFormat="1" ht="18" hidden="1" customHeight="1" outlineLevel="1" x14ac:dyDescent="0.25">
      <c r="A6900" s="18">
        <v>1266</v>
      </c>
      <c r="B6900" s="4" t="s">
        <v>43</v>
      </c>
      <c r="C6900" s="38" t="s">
        <v>9504</v>
      </c>
      <c r="D6900" s="23">
        <v>2023</v>
      </c>
      <c r="E6900" s="18" t="s">
        <v>0</v>
      </c>
      <c r="F6900" s="6">
        <v>1</v>
      </c>
      <c r="G6900" s="40">
        <v>1</v>
      </c>
      <c r="H6900" s="40">
        <v>13.690879999999998</v>
      </c>
      <c r="I6900" s="212"/>
      <c r="J6900" s="212"/>
    </row>
    <row r="6901" spans="1:10" s="15" customFormat="1" ht="18" hidden="1" customHeight="1" outlineLevel="1" x14ac:dyDescent="0.25">
      <c r="A6901" s="18">
        <v>1858</v>
      </c>
      <c r="B6901" s="4" t="s">
        <v>43</v>
      </c>
      <c r="C6901" s="38" t="s">
        <v>9505</v>
      </c>
      <c r="D6901" s="23">
        <v>2023</v>
      </c>
      <c r="E6901" s="18" t="s">
        <v>0</v>
      </c>
      <c r="F6901" s="6">
        <v>1</v>
      </c>
      <c r="G6901" s="40">
        <v>5</v>
      </c>
      <c r="H6901" s="40">
        <v>10.601509999999999</v>
      </c>
      <c r="I6901" s="212"/>
      <c r="J6901" s="212"/>
    </row>
    <row r="6902" spans="1:10" s="15" customFormat="1" ht="18" hidden="1" customHeight="1" outlineLevel="1" x14ac:dyDescent="0.25">
      <c r="A6902" s="18">
        <v>6347</v>
      </c>
      <c r="B6902" s="4" t="s">
        <v>43</v>
      </c>
      <c r="C6902" s="38" t="s">
        <v>9506</v>
      </c>
      <c r="D6902" s="23">
        <v>2023</v>
      </c>
      <c r="E6902" s="18" t="s">
        <v>0</v>
      </c>
      <c r="F6902" s="6">
        <v>1</v>
      </c>
      <c r="G6902" s="40">
        <v>10</v>
      </c>
      <c r="H6902" s="40">
        <v>10.601509999999999</v>
      </c>
      <c r="I6902" s="212"/>
      <c r="J6902" s="212"/>
    </row>
    <row r="6903" spans="1:10" s="15" customFormat="1" ht="18" hidden="1" customHeight="1" outlineLevel="1" x14ac:dyDescent="0.25">
      <c r="A6903" s="18">
        <v>6348</v>
      </c>
      <c r="B6903" s="4" t="s">
        <v>43</v>
      </c>
      <c r="C6903" s="38" t="s">
        <v>9507</v>
      </c>
      <c r="D6903" s="23">
        <v>2023</v>
      </c>
      <c r="E6903" s="18" t="s">
        <v>0</v>
      </c>
      <c r="F6903" s="6">
        <v>1</v>
      </c>
      <c r="G6903" s="40">
        <v>5</v>
      </c>
      <c r="H6903" s="40">
        <v>9.8677200000000003</v>
      </c>
      <c r="I6903" s="212"/>
      <c r="J6903" s="212"/>
    </row>
    <row r="6904" spans="1:10" s="15" customFormat="1" ht="18" hidden="1" customHeight="1" outlineLevel="1" x14ac:dyDescent="0.25">
      <c r="A6904" s="18">
        <v>6349</v>
      </c>
      <c r="B6904" s="4" t="s">
        <v>43</v>
      </c>
      <c r="C6904" s="38" t="s">
        <v>9508</v>
      </c>
      <c r="D6904" s="23">
        <v>2023</v>
      </c>
      <c r="E6904" s="18" t="s">
        <v>0</v>
      </c>
      <c r="F6904" s="6">
        <v>1</v>
      </c>
      <c r="G6904" s="40">
        <v>10</v>
      </c>
      <c r="H6904" s="40">
        <v>9.8677200000000003</v>
      </c>
      <c r="I6904" s="212"/>
      <c r="J6904" s="212"/>
    </row>
    <row r="6905" spans="1:10" s="15" customFormat="1" ht="18" hidden="1" customHeight="1" outlineLevel="1" x14ac:dyDescent="0.25">
      <c r="A6905" s="18">
        <v>1309</v>
      </c>
      <c r="B6905" s="4" t="s">
        <v>43</v>
      </c>
      <c r="C6905" s="38" t="s">
        <v>9509</v>
      </c>
      <c r="D6905" s="23">
        <v>2023</v>
      </c>
      <c r="E6905" s="18" t="s">
        <v>0</v>
      </c>
      <c r="F6905" s="6">
        <v>1</v>
      </c>
      <c r="G6905" s="40">
        <v>3</v>
      </c>
      <c r="H6905" s="40">
        <v>9.8677200000000003</v>
      </c>
      <c r="I6905" s="212"/>
      <c r="J6905" s="212"/>
    </row>
    <row r="6906" spans="1:10" s="15" customFormat="1" ht="18" hidden="1" customHeight="1" outlineLevel="1" x14ac:dyDescent="0.25">
      <c r="A6906" s="18">
        <v>6350</v>
      </c>
      <c r="B6906" s="4" t="s">
        <v>43</v>
      </c>
      <c r="C6906" s="38" t="s">
        <v>9510</v>
      </c>
      <c r="D6906" s="23">
        <v>2023</v>
      </c>
      <c r="E6906" s="18" t="s">
        <v>0</v>
      </c>
      <c r="F6906" s="6">
        <v>1</v>
      </c>
      <c r="G6906" s="40">
        <v>15</v>
      </c>
      <c r="H6906" s="40">
        <v>12.069089999999999</v>
      </c>
      <c r="I6906" s="212"/>
      <c r="J6906" s="212"/>
    </row>
    <row r="6907" spans="1:10" s="15" customFormat="1" ht="18" hidden="1" customHeight="1" outlineLevel="1" x14ac:dyDescent="0.25">
      <c r="A6907" s="18">
        <v>6351</v>
      </c>
      <c r="B6907" s="4" t="s">
        <v>43</v>
      </c>
      <c r="C6907" s="38" t="s">
        <v>9511</v>
      </c>
      <c r="D6907" s="23">
        <v>2023</v>
      </c>
      <c r="E6907" s="18" t="s">
        <v>0</v>
      </c>
      <c r="F6907" s="6">
        <v>1</v>
      </c>
      <c r="G6907" s="40">
        <v>10</v>
      </c>
      <c r="H6907" s="40">
        <v>9.8677200000000003</v>
      </c>
      <c r="I6907" s="212"/>
      <c r="J6907" s="212"/>
    </row>
    <row r="6908" spans="1:10" s="15" customFormat="1" ht="18" hidden="1" customHeight="1" outlineLevel="1" x14ac:dyDescent="0.25">
      <c r="A6908" s="18">
        <v>6352</v>
      </c>
      <c r="B6908" s="4" t="s">
        <v>43</v>
      </c>
      <c r="C6908" s="38" t="s">
        <v>9512</v>
      </c>
      <c r="D6908" s="23">
        <v>2023</v>
      </c>
      <c r="E6908" s="18" t="s">
        <v>0</v>
      </c>
      <c r="F6908" s="6">
        <v>1</v>
      </c>
      <c r="G6908" s="40">
        <v>10</v>
      </c>
      <c r="H6908" s="40">
        <v>9.8677200000000003</v>
      </c>
      <c r="I6908" s="212"/>
      <c r="J6908" s="212"/>
    </row>
    <row r="6909" spans="1:10" s="15" customFormat="1" ht="18" hidden="1" customHeight="1" outlineLevel="1" x14ac:dyDescent="0.25">
      <c r="A6909" s="18">
        <v>6353</v>
      </c>
      <c r="B6909" s="4" t="s">
        <v>43</v>
      </c>
      <c r="C6909" s="38" t="s">
        <v>9513</v>
      </c>
      <c r="D6909" s="23">
        <v>2023</v>
      </c>
      <c r="E6909" s="18" t="s">
        <v>0</v>
      </c>
      <c r="F6909" s="6">
        <v>1</v>
      </c>
      <c r="G6909" s="40">
        <v>10</v>
      </c>
      <c r="H6909" s="40">
        <v>9.8677200000000003</v>
      </c>
      <c r="I6909" s="212"/>
      <c r="J6909" s="212"/>
    </row>
    <row r="6910" spans="1:10" s="15" customFormat="1" ht="18" hidden="1" customHeight="1" outlineLevel="1" x14ac:dyDescent="0.25">
      <c r="A6910" s="18">
        <v>6354</v>
      </c>
      <c r="B6910" s="4" t="s">
        <v>43</v>
      </c>
      <c r="C6910" s="38" t="s">
        <v>9514</v>
      </c>
      <c r="D6910" s="23">
        <v>2023</v>
      </c>
      <c r="E6910" s="18" t="s">
        <v>0</v>
      </c>
      <c r="F6910" s="6">
        <v>1</v>
      </c>
      <c r="G6910" s="40">
        <v>10</v>
      </c>
      <c r="H6910" s="40">
        <v>9.8676500000000011</v>
      </c>
      <c r="I6910" s="212"/>
      <c r="J6910" s="212"/>
    </row>
    <row r="6911" spans="1:10" s="15" customFormat="1" ht="18" hidden="1" customHeight="1" outlineLevel="1" x14ac:dyDescent="0.25">
      <c r="A6911" s="18">
        <v>6355</v>
      </c>
      <c r="B6911" s="4" t="s">
        <v>43</v>
      </c>
      <c r="C6911" s="38" t="s">
        <v>9515</v>
      </c>
      <c r="D6911" s="23">
        <v>2023</v>
      </c>
      <c r="E6911" s="18" t="s">
        <v>0</v>
      </c>
      <c r="F6911" s="6">
        <v>1</v>
      </c>
      <c r="G6911" s="40">
        <v>10</v>
      </c>
      <c r="H6911" s="40">
        <v>13.690809999999999</v>
      </c>
      <c r="I6911" s="212"/>
      <c r="J6911" s="212"/>
    </row>
    <row r="6912" spans="1:10" s="15" customFormat="1" ht="18" hidden="1" customHeight="1" outlineLevel="1" x14ac:dyDescent="0.25">
      <c r="A6912" s="18">
        <v>6356</v>
      </c>
      <c r="B6912" s="4" t="s">
        <v>43</v>
      </c>
      <c r="C6912" s="38" t="s">
        <v>9516</v>
      </c>
      <c r="D6912" s="23">
        <v>2023</v>
      </c>
      <c r="E6912" s="18" t="s">
        <v>0</v>
      </c>
      <c r="F6912" s="6">
        <v>1</v>
      </c>
      <c r="G6912" s="40">
        <v>10</v>
      </c>
      <c r="H6912" s="40">
        <v>9.8677200000000003</v>
      </c>
      <c r="I6912" s="212"/>
      <c r="J6912" s="212"/>
    </row>
    <row r="6913" spans="1:10" s="15" customFormat="1" ht="18" hidden="1" customHeight="1" outlineLevel="1" x14ac:dyDescent="0.25">
      <c r="A6913" s="18">
        <v>6357</v>
      </c>
      <c r="B6913" s="4" t="s">
        <v>43</v>
      </c>
      <c r="C6913" s="38" t="s">
        <v>9517</v>
      </c>
      <c r="D6913" s="23">
        <v>2023</v>
      </c>
      <c r="E6913" s="18" t="s">
        <v>0</v>
      </c>
      <c r="F6913" s="6">
        <v>1</v>
      </c>
      <c r="G6913" s="40">
        <v>10</v>
      </c>
      <c r="H6913" s="40">
        <v>12.069089999999999</v>
      </c>
      <c r="I6913" s="212"/>
      <c r="J6913" s="212"/>
    </row>
    <row r="6914" spans="1:10" s="15" customFormat="1" ht="18" hidden="1" customHeight="1" outlineLevel="1" x14ac:dyDescent="0.25">
      <c r="A6914" s="18">
        <v>6358</v>
      </c>
      <c r="B6914" s="4" t="s">
        <v>43</v>
      </c>
      <c r="C6914" s="38" t="s">
        <v>9518</v>
      </c>
      <c r="D6914" s="23">
        <v>2023</v>
      </c>
      <c r="E6914" s="18" t="s">
        <v>0</v>
      </c>
      <c r="F6914" s="6">
        <v>1</v>
      </c>
      <c r="G6914" s="40">
        <v>10</v>
      </c>
      <c r="H6914" s="40">
        <v>13.5367</v>
      </c>
      <c r="I6914" s="212"/>
      <c r="J6914" s="212"/>
    </row>
    <row r="6915" spans="1:10" s="15" customFormat="1" ht="18" hidden="1" customHeight="1" outlineLevel="1" x14ac:dyDescent="0.25">
      <c r="A6915" s="18">
        <v>6359</v>
      </c>
      <c r="B6915" s="4" t="s">
        <v>43</v>
      </c>
      <c r="C6915" s="38" t="s">
        <v>9519</v>
      </c>
      <c r="D6915" s="23">
        <v>2023</v>
      </c>
      <c r="E6915" s="18" t="s">
        <v>0</v>
      </c>
      <c r="F6915" s="6">
        <v>1</v>
      </c>
      <c r="G6915" s="40">
        <v>4</v>
      </c>
      <c r="H6915" s="40">
        <v>9.8677200000000003</v>
      </c>
      <c r="I6915" s="212"/>
      <c r="J6915" s="212"/>
    </row>
    <row r="6916" spans="1:10" s="15" customFormat="1" ht="18" hidden="1" customHeight="1" outlineLevel="1" x14ac:dyDescent="0.25">
      <c r="A6916" s="18">
        <v>2395</v>
      </c>
      <c r="B6916" s="4" t="s">
        <v>43</v>
      </c>
      <c r="C6916" s="38" t="s">
        <v>9520</v>
      </c>
      <c r="D6916" s="23">
        <v>2023</v>
      </c>
      <c r="E6916" s="18" t="s">
        <v>0</v>
      </c>
      <c r="F6916" s="6">
        <v>1</v>
      </c>
      <c r="G6916" s="40">
        <v>3</v>
      </c>
      <c r="H6916" s="40">
        <v>9.8677200000000003</v>
      </c>
      <c r="I6916" s="212"/>
      <c r="J6916" s="212"/>
    </row>
    <row r="6917" spans="1:10" s="15" customFormat="1" ht="18" hidden="1" customHeight="1" outlineLevel="1" x14ac:dyDescent="0.25">
      <c r="A6917" s="18">
        <v>1362</v>
      </c>
      <c r="B6917" s="4" t="s">
        <v>43</v>
      </c>
      <c r="C6917" s="38" t="s">
        <v>9521</v>
      </c>
      <c r="D6917" s="23">
        <v>2023</v>
      </c>
      <c r="E6917" s="18" t="s">
        <v>0</v>
      </c>
      <c r="F6917" s="6">
        <v>1</v>
      </c>
      <c r="G6917" s="40">
        <v>4</v>
      </c>
      <c r="H6917" s="40">
        <v>9.4274100000000001</v>
      </c>
      <c r="I6917" s="212"/>
      <c r="J6917" s="212"/>
    </row>
    <row r="6918" spans="1:10" s="15" customFormat="1" ht="18" hidden="1" customHeight="1" outlineLevel="1" x14ac:dyDescent="0.25">
      <c r="A6918" s="18">
        <v>1426</v>
      </c>
      <c r="B6918" s="4" t="s">
        <v>43</v>
      </c>
      <c r="C6918" s="38" t="s">
        <v>9522</v>
      </c>
      <c r="D6918" s="23">
        <v>2023</v>
      </c>
      <c r="E6918" s="18" t="s">
        <v>0</v>
      </c>
      <c r="F6918" s="6">
        <v>1</v>
      </c>
      <c r="G6918" s="40">
        <v>5</v>
      </c>
      <c r="H6918" s="40">
        <v>12.069089999999999</v>
      </c>
      <c r="I6918" s="212"/>
      <c r="J6918" s="212"/>
    </row>
    <row r="6919" spans="1:10" s="15" customFormat="1" ht="18" hidden="1" customHeight="1" outlineLevel="1" x14ac:dyDescent="0.25">
      <c r="A6919" s="18">
        <v>6360</v>
      </c>
      <c r="B6919" s="4" t="s">
        <v>43</v>
      </c>
      <c r="C6919" s="38" t="s">
        <v>9523</v>
      </c>
      <c r="D6919" s="23">
        <v>2023</v>
      </c>
      <c r="E6919" s="18" t="s">
        <v>0</v>
      </c>
      <c r="F6919" s="6">
        <v>1</v>
      </c>
      <c r="G6919" s="40">
        <v>10</v>
      </c>
      <c r="H6919" s="40">
        <v>10.601509999999999</v>
      </c>
      <c r="I6919" s="212"/>
      <c r="J6919" s="212"/>
    </row>
    <row r="6920" spans="1:10" s="15" customFormat="1" ht="18" hidden="1" customHeight="1" outlineLevel="1" x14ac:dyDescent="0.25">
      <c r="A6920" s="18">
        <v>6361</v>
      </c>
      <c r="B6920" s="4" t="s">
        <v>43</v>
      </c>
      <c r="C6920" s="38" t="s">
        <v>9524</v>
      </c>
      <c r="D6920" s="23">
        <v>2023</v>
      </c>
      <c r="E6920" s="18" t="s">
        <v>0</v>
      </c>
      <c r="F6920" s="6">
        <v>1</v>
      </c>
      <c r="G6920" s="40">
        <v>15</v>
      </c>
      <c r="H6920" s="40">
        <v>12.069089999999999</v>
      </c>
      <c r="I6920" s="212"/>
      <c r="J6920" s="212"/>
    </row>
    <row r="6921" spans="1:10" s="15" customFormat="1" ht="18" hidden="1" customHeight="1" outlineLevel="1" x14ac:dyDescent="0.25">
      <c r="A6921" s="18">
        <v>2017</v>
      </c>
      <c r="B6921" s="4" t="s">
        <v>43</v>
      </c>
      <c r="C6921" s="38" t="s">
        <v>9525</v>
      </c>
      <c r="D6921" s="23">
        <v>2023</v>
      </c>
      <c r="E6921" s="18" t="s">
        <v>0</v>
      </c>
      <c r="F6921" s="6">
        <v>1</v>
      </c>
      <c r="G6921" s="40">
        <v>3</v>
      </c>
      <c r="H6921" s="40">
        <v>15.969339999999999</v>
      </c>
      <c r="I6921" s="212"/>
      <c r="J6921" s="212"/>
    </row>
    <row r="6922" spans="1:10" s="15" customFormat="1" ht="18" hidden="1" customHeight="1" outlineLevel="1" x14ac:dyDescent="0.25">
      <c r="A6922" s="18">
        <v>6362</v>
      </c>
      <c r="B6922" s="4" t="s">
        <v>43</v>
      </c>
      <c r="C6922" s="38" t="s">
        <v>9526</v>
      </c>
      <c r="D6922" s="23">
        <v>2023</v>
      </c>
      <c r="E6922" s="18" t="s">
        <v>0</v>
      </c>
      <c r="F6922" s="6">
        <v>1</v>
      </c>
      <c r="G6922" s="40">
        <v>10</v>
      </c>
      <c r="H6922" s="40">
        <v>10.601509999999999</v>
      </c>
      <c r="I6922" s="212"/>
      <c r="J6922" s="212"/>
    </row>
    <row r="6923" spans="1:10" s="15" customFormat="1" ht="18" hidden="1" customHeight="1" outlineLevel="1" x14ac:dyDescent="0.25">
      <c r="A6923" s="18">
        <v>1994</v>
      </c>
      <c r="B6923" s="4" t="s">
        <v>43</v>
      </c>
      <c r="C6923" s="38" t="s">
        <v>9527</v>
      </c>
      <c r="D6923" s="23">
        <v>2023</v>
      </c>
      <c r="E6923" s="18" t="s">
        <v>0</v>
      </c>
      <c r="F6923" s="6">
        <v>1</v>
      </c>
      <c r="G6923" s="40">
        <v>5</v>
      </c>
      <c r="H6923" s="40">
        <v>18.247789999999998</v>
      </c>
      <c r="I6923" s="212"/>
      <c r="J6923" s="212"/>
    </row>
    <row r="6924" spans="1:10" s="15" customFormat="1" ht="18" hidden="1" customHeight="1" outlineLevel="1" x14ac:dyDescent="0.25">
      <c r="A6924" s="18">
        <v>2016</v>
      </c>
      <c r="B6924" s="4" t="s">
        <v>43</v>
      </c>
      <c r="C6924" s="38" t="s">
        <v>9528</v>
      </c>
      <c r="D6924" s="23">
        <v>2023</v>
      </c>
      <c r="E6924" s="18" t="s">
        <v>0</v>
      </c>
      <c r="F6924" s="6">
        <v>1</v>
      </c>
      <c r="G6924" s="40">
        <v>5</v>
      </c>
      <c r="H6924" s="40">
        <v>10.601509999999999</v>
      </c>
      <c r="I6924" s="212"/>
      <c r="J6924" s="212"/>
    </row>
    <row r="6925" spans="1:10" s="15" customFormat="1" ht="18" hidden="1" customHeight="1" outlineLevel="1" x14ac:dyDescent="0.25">
      <c r="A6925" s="18">
        <v>6337</v>
      </c>
      <c r="B6925" s="4" t="s">
        <v>43</v>
      </c>
      <c r="C6925" s="38" t="s">
        <v>9529</v>
      </c>
      <c r="D6925" s="23">
        <v>2023</v>
      </c>
      <c r="E6925" s="18" t="s">
        <v>0</v>
      </c>
      <c r="F6925" s="6">
        <v>1</v>
      </c>
      <c r="G6925" s="40">
        <v>15</v>
      </c>
      <c r="H6925" s="40">
        <v>12.18019</v>
      </c>
      <c r="I6925" s="212"/>
      <c r="J6925" s="212"/>
    </row>
    <row r="6926" spans="1:10" s="15" customFormat="1" ht="18" hidden="1" customHeight="1" outlineLevel="1" x14ac:dyDescent="0.25">
      <c r="A6926" s="18">
        <v>6338</v>
      </c>
      <c r="B6926" s="4" t="s">
        <v>43</v>
      </c>
      <c r="C6926" s="38" t="s">
        <v>9530</v>
      </c>
      <c r="D6926" s="23">
        <v>2023</v>
      </c>
      <c r="E6926" s="18" t="s">
        <v>0</v>
      </c>
      <c r="F6926" s="6">
        <v>1</v>
      </c>
      <c r="G6926" s="40">
        <v>15</v>
      </c>
      <c r="H6926" s="40">
        <v>13.846779999999999</v>
      </c>
      <c r="I6926" s="212"/>
      <c r="J6926" s="212"/>
    </row>
    <row r="6927" spans="1:10" s="15" customFormat="1" ht="18" hidden="1" customHeight="1" outlineLevel="1" x14ac:dyDescent="0.25">
      <c r="A6927" s="18">
        <v>6339</v>
      </c>
      <c r="B6927" s="4" t="s">
        <v>43</v>
      </c>
      <c r="C6927" s="38" t="s">
        <v>9531</v>
      </c>
      <c r="D6927" s="23">
        <v>2023</v>
      </c>
      <c r="E6927" s="18" t="s">
        <v>0</v>
      </c>
      <c r="F6927" s="6">
        <v>1</v>
      </c>
      <c r="G6927" s="40">
        <v>10</v>
      </c>
      <c r="H6927" s="40">
        <v>12.21509</v>
      </c>
      <c r="I6927" s="212"/>
      <c r="J6927" s="212"/>
    </row>
    <row r="6928" spans="1:10" s="15" customFormat="1" ht="18" hidden="1" customHeight="1" outlineLevel="1" x14ac:dyDescent="0.25">
      <c r="A6928" s="18">
        <v>6340</v>
      </c>
      <c r="B6928" s="4" t="s">
        <v>43</v>
      </c>
      <c r="C6928" s="38" t="s">
        <v>9532</v>
      </c>
      <c r="D6928" s="23">
        <v>2023</v>
      </c>
      <c r="E6928" s="18" t="s">
        <v>0</v>
      </c>
      <c r="F6928" s="6">
        <v>1</v>
      </c>
      <c r="G6928" s="40">
        <v>15</v>
      </c>
      <c r="H6928" s="40">
        <v>12.183530000000001</v>
      </c>
      <c r="I6928" s="212"/>
      <c r="J6928" s="212"/>
    </row>
    <row r="6929" spans="1:10" s="15" customFormat="1" ht="18" hidden="1" customHeight="1" outlineLevel="1" x14ac:dyDescent="0.25">
      <c r="A6929" s="18">
        <v>6341</v>
      </c>
      <c r="B6929" s="4" t="s">
        <v>43</v>
      </c>
      <c r="C6929" s="38" t="s">
        <v>9533</v>
      </c>
      <c r="D6929" s="23">
        <v>2023</v>
      </c>
      <c r="E6929" s="18" t="s">
        <v>0</v>
      </c>
      <c r="F6929" s="6">
        <v>1</v>
      </c>
      <c r="G6929" s="40">
        <v>5</v>
      </c>
      <c r="H6929" s="40">
        <v>13.015179999999999</v>
      </c>
      <c r="I6929" s="212"/>
      <c r="J6929" s="212"/>
    </row>
    <row r="6930" spans="1:10" s="15" customFormat="1" ht="18" hidden="1" customHeight="1" outlineLevel="1" x14ac:dyDescent="0.25">
      <c r="A6930" s="18">
        <v>6342</v>
      </c>
      <c r="B6930" s="4" t="s">
        <v>43</v>
      </c>
      <c r="C6930" s="38" t="s">
        <v>9534</v>
      </c>
      <c r="D6930" s="23">
        <v>2023</v>
      </c>
      <c r="E6930" s="18" t="s">
        <v>0</v>
      </c>
      <c r="F6930" s="6">
        <v>1</v>
      </c>
      <c r="G6930" s="40">
        <v>15</v>
      </c>
      <c r="H6930" s="40">
        <v>13.56959</v>
      </c>
      <c r="I6930" s="212"/>
      <c r="J6930" s="212"/>
    </row>
    <row r="6931" spans="1:10" s="15" customFormat="1" ht="18" hidden="1" customHeight="1" outlineLevel="1" x14ac:dyDescent="0.25">
      <c r="A6931" s="18">
        <v>2141</v>
      </c>
      <c r="B6931" s="4" t="s">
        <v>43</v>
      </c>
      <c r="C6931" s="38" t="s">
        <v>9535</v>
      </c>
      <c r="D6931" s="23">
        <v>2023</v>
      </c>
      <c r="E6931" s="18" t="s">
        <v>0</v>
      </c>
      <c r="F6931" s="6">
        <v>1</v>
      </c>
      <c r="G6931" s="40">
        <v>5</v>
      </c>
      <c r="H6931" s="40">
        <v>12.044929999999999</v>
      </c>
      <c r="I6931" s="212"/>
      <c r="J6931" s="212"/>
    </row>
    <row r="6932" spans="1:10" s="15" customFormat="1" ht="18" hidden="1" customHeight="1" outlineLevel="1" x14ac:dyDescent="0.25">
      <c r="A6932" s="18">
        <v>858</v>
      </c>
      <c r="B6932" s="4" t="s">
        <v>43</v>
      </c>
      <c r="C6932" s="38" t="s">
        <v>9536</v>
      </c>
      <c r="D6932" s="23">
        <v>2023</v>
      </c>
      <c r="E6932" s="18" t="s">
        <v>0</v>
      </c>
      <c r="F6932" s="6">
        <v>1</v>
      </c>
      <c r="G6932" s="40">
        <v>10</v>
      </c>
      <c r="H6932" s="40">
        <v>10.430429999999999</v>
      </c>
      <c r="I6932" s="212"/>
      <c r="J6932" s="212"/>
    </row>
    <row r="6933" spans="1:10" s="15" customFormat="1" ht="18" hidden="1" customHeight="1" outlineLevel="1" x14ac:dyDescent="0.25">
      <c r="A6933" s="18">
        <v>940</v>
      </c>
      <c r="B6933" s="4" t="s">
        <v>43</v>
      </c>
      <c r="C6933" s="38" t="s">
        <v>9537</v>
      </c>
      <c r="D6933" s="23">
        <v>2023</v>
      </c>
      <c r="E6933" s="18" t="s">
        <v>0</v>
      </c>
      <c r="F6933" s="6">
        <v>1</v>
      </c>
      <c r="G6933" s="40">
        <v>10</v>
      </c>
      <c r="H6933" s="40">
        <v>10.458310000000001</v>
      </c>
      <c r="I6933" s="212"/>
      <c r="J6933" s="212"/>
    </row>
    <row r="6934" spans="1:10" s="15" customFormat="1" ht="18" hidden="1" customHeight="1" outlineLevel="1" x14ac:dyDescent="0.25">
      <c r="A6934" s="18">
        <v>6428</v>
      </c>
      <c r="B6934" s="4" t="s">
        <v>43</v>
      </c>
      <c r="C6934" s="38" t="s">
        <v>9538</v>
      </c>
      <c r="D6934" s="23">
        <v>2023</v>
      </c>
      <c r="E6934" s="18" t="s">
        <v>0</v>
      </c>
      <c r="F6934" s="6">
        <v>1</v>
      </c>
      <c r="G6934" s="40">
        <v>8</v>
      </c>
      <c r="H6934" s="40">
        <v>17.089230000000001</v>
      </c>
      <c r="I6934" s="212"/>
      <c r="J6934" s="212"/>
    </row>
    <row r="6935" spans="1:10" s="15" customFormat="1" ht="18" hidden="1" customHeight="1" outlineLevel="1" x14ac:dyDescent="0.25">
      <c r="A6935" s="18">
        <v>6429</v>
      </c>
      <c r="B6935" s="4" t="s">
        <v>43</v>
      </c>
      <c r="C6935" s="38" t="s">
        <v>9539</v>
      </c>
      <c r="D6935" s="23">
        <v>2023</v>
      </c>
      <c r="E6935" s="18" t="s">
        <v>0</v>
      </c>
      <c r="F6935" s="6">
        <v>1</v>
      </c>
      <c r="G6935" s="40">
        <v>12</v>
      </c>
      <c r="H6935" s="40">
        <v>9.1412800000000001</v>
      </c>
      <c r="I6935" s="212"/>
      <c r="J6935" s="212"/>
    </row>
    <row r="6936" spans="1:10" s="15" customFormat="1" ht="18" hidden="1" customHeight="1" outlineLevel="1" x14ac:dyDescent="0.25">
      <c r="A6936" s="18">
        <v>6430</v>
      </c>
      <c r="B6936" s="4" t="s">
        <v>43</v>
      </c>
      <c r="C6936" s="38" t="s">
        <v>9540</v>
      </c>
      <c r="D6936" s="23">
        <v>2023</v>
      </c>
      <c r="E6936" s="18" t="s">
        <v>0</v>
      </c>
      <c r="F6936" s="6">
        <v>1</v>
      </c>
      <c r="G6936" s="40">
        <v>10</v>
      </c>
      <c r="H6936" s="40">
        <v>9.1412800000000001</v>
      </c>
      <c r="I6936" s="212"/>
      <c r="J6936" s="212"/>
    </row>
    <row r="6937" spans="1:10" s="15" customFormat="1" ht="18" hidden="1" customHeight="1" outlineLevel="1" x14ac:dyDescent="0.25">
      <c r="A6937" s="18">
        <v>1447</v>
      </c>
      <c r="B6937" s="4" t="s">
        <v>43</v>
      </c>
      <c r="C6937" s="38" t="s">
        <v>9541</v>
      </c>
      <c r="D6937" s="23">
        <v>2023</v>
      </c>
      <c r="E6937" s="18" t="s">
        <v>0</v>
      </c>
      <c r="F6937" s="6">
        <v>1</v>
      </c>
      <c r="G6937" s="40">
        <v>3</v>
      </c>
      <c r="H6937" s="40">
        <v>12.06803</v>
      </c>
      <c r="I6937" s="212"/>
      <c r="J6937" s="212"/>
    </row>
    <row r="6938" spans="1:10" s="15" customFormat="1" ht="18" hidden="1" customHeight="1" outlineLevel="1" x14ac:dyDescent="0.25">
      <c r="A6938" s="18">
        <v>1456</v>
      </c>
      <c r="B6938" s="4" t="s">
        <v>43</v>
      </c>
      <c r="C6938" s="38" t="s">
        <v>9542</v>
      </c>
      <c r="D6938" s="23">
        <v>2023</v>
      </c>
      <c r="E6938" s="18" t="s">
        <v>0</v>
      </c>
      <c r="F6938" s="6">
        <v>1</v>
      </c>
      <c r="G6938" s="40">
        <v>5</v>
      </c>
      <c r="H6938" s="40">
        <v>10.165650000000001</v>
      </c>
      <c r="I6938" s="212"/>
      <c r="J6938" s="212"/>
    </row>
    <row r="6939" spans="1:10" s="15" customFormat="1" ht="18" hidden="1" customHeight="1" outlineLevel="1" x14ac:dyDescent="0.25">
      <c r="A6939" s="18">
        <v>1568</v>
      </c>
      <c r="B6939" s="4" t="s">
        <v>43</v>
      </c>
      <c r="C6939" s="38" t="s">
        <v>9543</v>
      </c>
      <c r="D6939" s="23">
        <v>2023</v>
      </c>
      <c r="E6939" s="18" t="s">
        <v>0</v>
      </c>
      <c r="F6939" s="6">
        <v>1</v>
      </c>
      <c r="G6939" s="40">
        <v>5</v>
      </c>
      <c r="H6939" s="40">
        <v>10.165650000000001</v>
      </c>
      <c r="I6939" s="212"/>
      <c r="J6939" s="212"/>
    </row>
    <row r="6940" spans="1:10" s="15" customFormat="1" ht="18" hidden="1" customHeight="1" outlineLevel="1" x14ac:dyDescent="0.25">
      <c r="A6940" s="18">
        <v>6431</v>
      </c>
      <c r="B6940" s="4" t="s">
        <v>43</v>
      </c>
      <c r="C6940" s="38" t="s">
        <v>9544</v>
      </c>
      <c r="D6940" s="23">
        <v>2023</v>
      </c>
      <c r="E6940" s="18" t="s">
        <v>0</v>
      </c>
      <c r="F6940" s="6">
        <v>1</v>
      </c>
      <c r="G6940" s="40">
        <v>10</v>
      </c>
      <c r="H6940" s="40">
        <v>10.458309999999999</v>
      </c>
      <c r="I6940" s="212"/>
      <c r="J6940" s="212"/>
    </row>
    <row r="6941" spans="1:10" s="15" customFormat="1" ht="18" hidden="1" customHeight="1" outlineLevel="1" x14ac:dyDescent="0.25">
      <c r="A6941" s="18">
        <v>6432</v>
      </c>
      <c r="B6941" s="4" t="s">
        <v>43</v>
      </c>
      <c r="C6941" s="38" t="s">
        <v>9545</v>
      </c>
      <c r="D6941" s="23">
        <v>2023</v>
      </c>
      <c r="E6941" s="18" t="s">
        <v>0</v>
      </c>
      <c r="F6941" s="6">
        <v>1</v>
      </c>
      <c r="G6941" s="40">
        <v>5</v>
      </c>
      <c r="H6941" s="40">
        <v>11.921709999999999</v>
      </c>
      <c r="I6941" s="212"/>
      <c r="J6941" s="212"/>
    </row>
    <row r="6942" spans="1:10" s="15" customFormat="1" ht="18" hidden="1" customHeight="1" outlineLevel="1" x14ac:dyDescent="0.25">
      <c r="A6942" s="18">
        <v>6433</v>
      </c>
      <c r="B6942" s="4" t="s">
        <v>43</v>
      </c>
      <c r="C6942" s="38" t="s">
        <v>9546</v>
      </c>
      <c r="D6942" s="23">
        <v>2023</v>
      </c>
      <c r="E6942" s="18" t="s">
        <v>0</v>
      </c>
      <c r="F6942" s="6">
        <v>1</v>
      </c>
      <c r="G6942" s="40">
        <v>5</v>
      </c>
      <c r="H6942" s="40">
        <v>11.921670000000001</v>
      </c>
      <c r="I6942" s="212"/>
      <c r="J6942" s="212"/>
    </row>
    <row r="6943" spans="1:10" s="15" customFormat="1" ht="18" hidden="1" customHeight="1" outlineLevel="1" x14ac:dyDescent="0.25">
      <c r="A6943" s="18">
        <v>6434</v>
      </c>
      <c r="B6943" s="4" t="s">
        <v>43</v>
      </c>
      <c r="C6943" s="38" t="s">
        <v>9547</v>
      </c>
      <c r="D6943" s="23">
        <v>2023</v>
      </c>
      <c r="E6943" s="18" t="s">
        <v>0</v>
      </c>
      <c r="F6943" s="6">
        <v>1</v>
      </c>
      <c r="G6943" s="40">
        <v>5</v>
      </c>
      <c r="H6943" s="40">
        <v>9.1414699999999982</v>
      </c>
      <c r="I6943" s="212"/>
      <c r="J6943" s="212"/>
    </row>
    <row r="6944" spans="1:10" s="15" customFormat="1" ht="18" hidden="1" customHeight="1" outlineLevel="1" x14ac:dyDescent="0.25">
      <c r="A6944" s="18">
        <v>6435</v>
      </c>
      <c r="B6944" s="4" t="s">
        <v>43</v>
      </c>
      <c r="C6944" s="38" t="s">
        <v>9548</v>
      </c>
      <c r="D6944" s="23">
        <v>2023</v>
      </c>
      <c r="E6944" s="18" t="s">
        <v>0</v>
      </c>
      <c r="F6944" s="6">
        <v>1</v>
      </c>
      <c r="G6944" s="40">
        <v>2</v>
      </c>
      <c r="H6944" s="40">
        <v>11.921670000000001</v>
      </c>
      <c r="I6944" s="212"/>
      <c r="J6944" s="212"/>
    </row>
    <row r="6945" spans="1:10" s="15" customFormat="1" ht="18" hidden="1" customHeight="1" outlineLevel="1" x14ac:dyDescent="0.25">
      <c r="A6945" s="18">
        <v>1861</v>
      </c>
      <c r="B6945" s="4" t="s">
        <v>43</v>
      </c>
      <c r="C6945" s="38" t="s">
        <v>9549</v>
      </c>
      <c r="D6945" s="23">
        <v>2023</v>
      </c>
      <c r="E6945" s="18" t="s">
        <v>0</v>
      </c>
      <c r="F6945" s="6">
        <v>1</v>
      </c>
      <c r="G6945" s="40">
        <v>5</v>
      </c>
      <c r="H6945" s="40">
        <v>10.458310000000001</v>
      </c>
      <c r="I6945" s="212"/>
      <c r="J6945" s="212"/>
    </row>
    <row r="6946" spans="1:10" s="15" customFormat="1" ht="18" hidden="1" customHeight="1" outlineLevel="1" x14ac:dyDescent="0.25">
      <c r="A6946" s="18">
        <v>6436</v>
      </c>
      <c r="B6946" s="4" t="s">
        <v>43</v>
      </c>
      <c r="C6946" s="38" t="s">
        <v>9550</v>
      </c>
      <c r="D6946" s="23">
        <v>2023</v>
      </c>
      <c r="E6946" s="18" t="s">
        <v>0</v>
      </c>
      <c r="F6946" s="6">
        <v>1</v>
      </c>
      <c r="G6946" s="40">
        <v>7</v>
      </c>
      <c r="H6946" s="40">
        <v>10.604660000000001</v>
      </c>
      <c r="I6946" s="212"/>
      <c r="J6946" s="212"/>
    </row>
    <row r="6947" spans="1:10" s="15" customFormat="1" ht="18" hidden="1" customHeight="1" outlineLevel="1" x14ac:dyDescent="0.25">
      <c r="A6947" s="18">
        <v>1949</v>
      </c>
      <c r="B6947" s="4" t="s">
        <v>43</v>
      </c>
      <c r="C6947" s="38" t="s">
        <v>9551</v>
      </c>
      <c r="D6947" s="23">
        <v>2023</v>
      </c>
      <c r="E6947" s="18" t="s">
        <v>0</v>
      </c>
      <c r="F6947" s="6">
        <v>1</v>
      </c>
      <c r="G6947" s="40">
        <v>5</v>
      </c>
      <c r="H6947" s="40">
        <v>10.458309999999999</v>
      </c>
      <c r="I6947" s="212"/>
      <c r="J6947" s="212"/>
    </row>
    <row r="6948" spans="1:10" s="15" customFormat="1" ht="18" hidden="1" customHeight="1" outlineLevel="1" x14ac:dyDescent="0.25">
      <c r="A6948" s="18">
        <v>1932</v>
      </c>
      <c r="B6948" s="4" t="s">
        <v>43</v>
      </c>
      <c r="C6948" s="38" t="s">
        <v>9552</v>
      </c>
      <c r="D6948" s="23">
        <v>2023</v>
      </c>
      <c r="E6948" s="18" t="s">
        <v>0</v>
      </c>
      <c r="F6948" s="6">
        <v>1</v>
      </c>
      <c r="G6948" s="40">
        <v>5</v>
      </c>
      <c r="H6948" s="40">
        <v>9.1412799999999983</v>
      </c>
      <c r="I6948" s="212"/>
      <c r="J6948" s="212"/>
    </row>
    <row r="6949" spans="1:10" s="15" customFormat="1" ht="18" hidden="1" customHeight="1" outlineLevel="1" x14ac:dyDescent="0.25">
      <c r="A6949" s="18">
        <v>1954</v>
      </c>
      <c r="B6949" s="4" t="s">
        <v>43</v>
      </c>
      <c r="C6949" s="38" t="s">
        <v>9553</v>
      </c>
      <c r="D6949" s="23">
        <v>2023</v>
      </c>
      <c r="E6949" s="18" t="s">
        <v>0</v>
      </c>
      <c r="F6949" s="6">
        <v>1</v>
      </c>
      <c r="G6949" s="40">
        <v>5</v>
      </c>
      <c r="H6949" s="40">
        <v>10.458499999999999</v>
      </c>
      <c r="I6949" s="212"/>
      <c r="J6949" s="212"/>
    </row>
    <row r="6950" spans="1:10" s="15" customFormat="1" ht="18" hidden="1" customHeight="1" outlineLevel="1" x14ac:dyDescent="0.25">
      <c r="A6950" s="18">
        <v>6437</v>
      </c>
      <c r="B6950" s="4" t="s">
        <v>43</v>
      </c>
      <c r="C6950" s="38" t="s">
        <v>9554</v>
      </c>
      <c r="D6950" s="23">
        <v>2023</v>
      </c>
      <c r="E6950" s="18" t="s">
        <v>0</v>
      </c>
      <c r="F6950" s="6">
        <v>1</v>
      </c>
      <c r="G6950" s="40">
        <v>7</v>
      </c>
      <c r="H6950" s="40">
        <v>10.458310000000001</v>
      </c>
      <c r="I6950" s="212"/>
      <c r="J6950" s="212"/>
    </row>
    <row r="6951" spans="1:10" s="15" customFormat="1" ht="18" hidden="1" customHeight="1" outlineLevel="1" x14ac:dyDescent="0.25">
      <c r="A6951" s="18">
        <v>6438</v>
      </c>
      <c r="B6951" s="4" t="s">
        <v>43</v>
      </c>
      <c r="C6951" s="38" t="s">
        <v>9555</v>
      </c>
      <c r="D6951" s="23">
        <v>2023</v>
      </c>
      <c r="E6951" s="18" t="s">
        <v>0</v>
      </c>
      <c r="F6951" s="6">
        <v>1</v>
      </c>
      <c r="G6951" s="40">
        <v>10</v>
      </c>
      <c r="H6951" s="40">
        <v>9.5802800000000001</v>
      </c>
      <c r="I6951" s="212"/>
      <c r="J6951" s="212"/>
    </row>
    <row r="6952" spans="1:10" s="15" customFormat="1" ht="18" hidden="1" customHeight="1" outlineLevel="1" x14ac:dyDescent="0.25">
      <c r="A6952" s="18">
        <v>2012</v>
      </c>
      <c r="B6952" s="4" t="s">
        <v>43</v>
      </c>
      <c r="C6952" s="38" t="s">
        <v>9556</v>
      </c>
      <c r="D6952" s="23">
        <v>2023</v>
      </c>
      <c r="E6952" s="18" t="s">
        <v>0</v>
      </c>
      <c r="F6952" s="6">
        <v>1</v>
      </c>
      <c r="G6952" s="40">
        <v>5</v>
      </c>
      <c r="H6952" s="40">
        <v>12.06803</v>
      </c>
      <c r="I6952" s="212"/>
      <c r="J6952" s="212"/>
    </row>
    <row r="6953" spans="1:10" s="15" customFormat="1" ht="18" hidden="1" customHeight="1" outlineLevel="1" x14ac:dyDescent="0.25">
      <c r="A6953" s="18">
        <v>6439</v>
      </c>
      <c r="B6953" s="4" t="s">
        <v>43</v>
      </c>
      <c r="C6953" s="38" t="s">
        <v>9557</v>
      </c>
      <c r="D6953" s="23">
        <v>2023</v>
      </c>
      <c r="E6953" s="18" t="s">
        <v>0</v>
      </c>
      <c r="F6953" s="6">
        <v>1</v>
      </c>
      <c r="G6953" s="40">
        <v>6</v>
      </c>
      <c r="H6953" s="40">
        <v>9.1412799999999983</v>
      </c>
      <c r="I6953" s="212"/>
      <c r="J6953" s="212"/>
    </row>
    <row r="6954" spans="1:10" s="15" customFormat="1" ht="18" hidden="1" customHeight="1" outlineLevel="1" x14ac:dyDescent="0.25">
      <c r="A6954" s="18">
        <v>6440</v>
      </c>
      <c r="B6954" s="4" t="s">
        <v>43</v>
      </c>
      <c r="C6954" s="38" t="s">
        <v>9558</v>
      </c>
      <c r="D6954" s="23">
        <v>2023</v>
      </c>
      <c r="E6954" s="18" t="s">
        <v>0</v>
      </c>
      <c r="F6954" s="6">
        <v>1</v>
      </c>
      <c r="G6954" s="40">
        <v>5</v>
      </c>
      <c r="H6954" s="40">
        <v>11.19003</v>
      </c>
      <c r="I6954" s="212"/>
      <c r="J6954" s="212"/>
    </row>
    <row r="6955" spans="1:10" s="15" customFormat="1" ht="18" hidden="1" customHeight="1" outlineLevel="1" x14ac:dyDescent="0.25">
      <c r="A6955" s="18">
        <v>2080</v>
      </c>
      <c r="B6955" s="4" t="s">
        <v>43</v>
      </c>
      <c r="C6955" s="38" t="s">
        <v>9559</v>
      </c>
      <c r="D6955" s="23">
        <v>2023</v>
      </c>
      <c r="E6955" s="18" t="s">
        <v>0</v>
      </c>
      <c r="F6955" s="6">
        <v>1</v>
      </c>
      <c r="G6955" s="40">
        <v>7</v>
      </c>
      <c r="H6955" s="40">
        <v>9.1412799999999983</v>
      </c>
      <c r="I6955" s="212"/>
      <c r="J6955" s="212"/>
    </row>
    <row r="6956" spans="1:10" s="15" customFormat="1" ht="18" hidden="1" customHeight="1" outlineLevel="1" x14ac:dyDescent="0.25">
      <c r="A6956" s="18">
        <v>2094</v>
      </c>
      <c r="B6956" s="4" t="s">
        <v>43</v>
      </c>
      <c r="C6956" s="38" t="s">
        <v>9560</v>
      </c>
      <c r="D6956" s="23">
        <v>2023</v>
      </c>
      <c r="E6956" s="18" t="s">
        <v>0</v>
      </c>
      <c r="F6956" s="6">
        <v>1</v>
      </c>
      <c r="G6956" s="40">
        <v>5</v>
      </c>
      <c r="H6956" s="40">
        <v>11.19003</v>
      </c>
      <c r="I6956" s="212"/>
      <c r="J6956" s="212"/>
    </row>
    <row r="6957" spans="1:10" s="15" customFormat="1" ht="18" hidden="1" customHeight="1" outlineLevel="1" x14ac:dyDescent="0.25">
      <c r="A6957" s="18">
        <v>6441</v>
      </c>
      <c r="B6957" s="4" t="s">
        <v>43</v>
      </c>
      <c r="C6957" s="38" t="s">
        <v>9561</v>
      </c>
      <c r="D6957" s="23">
        <v>2023</v>
      </c>
      <c r="E6957" s="18" t="s">
        <v>0</v>
      </c>
      <c r="F6957" s="6">
        <v>1</v>
      </c>
      <c r="G6957" s="40">
        <v>10</v>
      </c>
      <c r="H6957" s="40">
        <v>10.165650000000001</v>
      </c>
      <c r="I6957" s="212"/>
      <c r="J6957" s="212"/>
    </row>
    <row r="6958" spans="1:10" s="15" customFormat="1" ht="18" hidden="1" customHeight="1" outlineLevel="1" x14ac:dyDescent="0.25">
      <c r="A6958" s="18">
        <v>6442</v>
      </c>
      <c r="B6958" s="4" t="s">
        <v>43</v>
      </c>
      <c r="C6958" s="38" t="s">
        <v>9562</v>
      </c>
      <c r="D6958" s="23">
        <v>2023</v>
      </c>
      <c r="E6958" s="18" t="s">
        <v>0</v>
      </c>
      <c r="F6958" s="6">
        <v>1</v>
      </c>
      <c r="G6958" s="40">
        <v>8</v>
      </c>
      <c r="H6958" s="40">
        <v>11.190209999999999</v>
      </c>
      <c r="I6958" s="212"/>
      <c r="J6958" s="212"/>
    </row>
    <row r="6959" spans="1:10" s="15" customFormat="1" ht="18" hidden="1" customHeight="1" outlineLevel="1" x14ac:dyDescent="0.25">
      <c r="A6959" s="18">
        <v>6464</v>
      </c>
      <c r="B6959" s="4" t="s">
        <v>43</v>
      </c>
      <c r="C6959" s="38" t="s">
        <v>9563</v>
      </c>
      <c r="D6959" s="23">
        <v>2023</v>
      </c>
      <c r="E6959" s="18" t="s">
        <v>0</v>
      </c>
      <c r="F6959" s="6">
        <v>1</v>
      </c>
      <c r="G6959" s="40">
        <v>8</v>
      </c>
      <c r="H6959" s="40">
        <v>10.45829</v>
      </c>
      <c r="I6959" s="212"/>
      <c r="J6959" s="212"/>
    </row>
    <row r="6960" spans="1:10" s="15" customFormat="1" ht="18" hidden="1" customHeight="1" outlineLevel="1" x14ac:dyDescent="0.25">
      <c r="A6960" s="18">
        <v>6465</v>
      </c>
      <c r="B6960" s="4" t="s">
        <v>43</v>
      </c>
      <c r="C6960" s="38" t="s">
        <v>9564</v>
      </c>
      <c r="D6960" s="23">
        <v>2023</v>
      </c>
      <c r="E6960" s="18" t="s">
        <v>0</v>
      </c>
      <c r="F6960" s="6">
        <v>1</v>
      </c>
      <c r="G6960" s="40">
        <v>15</v>
      </c>
      <c r="H6960" s="40">
        <v>10.45837</v>
      </c>
      <c r="I6960" s="212"/>
      <c r="J6960" s="212"/>
    </row>
    <row r="6961" spans="1:10" s="15" customFormat="1" ht="18" hidden="1" customHeight="1" outlineLevel="1" x14ac:dyDescent="0.25">
      <c r="A6961" s="18">
        <v>2096</v>
      </c>
      <c r="B6961" s="4" t="s">
        <v>43</v>
      </c>
      <c r="C6961" s="38" t="s">
        <v>9565</v>
      </c>
      <c r="D6961" s="23">
        <v>2023</v>
      </c>
      <c r="E6961" s="18" t="s">
        <v>0</v>
      </c>
      <c r="F6961" s="6">
        <v>1</v>
      </c>
      <c r="G6961" s="40">
        <v>3</v>
      </c>
      <c r="H6961" s="40">
        <v>10.45837</v>
      </c>
      <c r="I6961" s="212"/>
      <c r="J6961" s="212"/>
    </row>
    <row r="6962" spans="1:10" s="15" customFormat="1" ht="18" hidden="1" customHeight="1" outlineLevel="1" x14ac:dyDescent="0.25">
      <c r="A6962" s="18">
        <v>6466</v>
      </c>
      <c r="B6962" s="4" t="s">
        <v>43</v>
      </c>
      <c r="C6962" s="38" t="s">
        <v>9566</v>
      </c>
      <c r="D6962" s="23">
        <v>2023</v>
      </c>
      <c r="E6962" s="18" t="s">
        <v>0</v>
      </c>
      <c r="F6962" s="6">
        <v>1</v>
      </c>
      <c r="G6962" s="40">
        <v>5</v>
      </c>
      <c r="H6962" s="40">
        <v>11.921709999999999</v>
      </c>
      <c r="I6962" s="212"/>
      <c r="J6962" s="212"/>
    </row>
    <row r="6963" spans="1:10" s="15" customFormat="1" ht="18" hidden="1" customHeight="1" outlineLevel="1" x14ac:dyDescent="0.25">
      <c r="A6963" s="18">
        <v>2106</v>
      </c>
      <c r="B6963" s="4" t="s">
        <v>43</v>
      </c>
      <c r="C6963" s="38" t="s">
        <v>9567</v>
      </c>
      <c r="D6963" s="23">
        <v>2023</v>
      </c>
      <c r="E6963" s="18" t="s">
        <v>0</v>
      </c>
      <c r="F6963" s="6">
        <v>1</v>
      </c>
      <c r="G6963" s="40">
        <v>4</v>
      </c>
      <c r="H6963" s="40">
        <v>11.92173</v>
      </c>
      <c r="I6963" s="212"/>
      <c r="J6963" s="212"/>
    </row>
    <row r="6964" spans="1:10" s="15" customFormat="1" ht="18" hidden="1" customHeight="1" outlineLevel="1" x14ac:dyDescent="0.25">
      <c r="A6964" s="18">
        <v>6467</v>
      </c>
      <c r="B6964" s="4" t="s">
        <v>43</v>
      </c>
      <c r="C6964" s="38" t="s">
        <v>9568</v>
      </c>
      <c r="D6964" s="23">
        <v>2023</v>
      </c>
      <c r="E6964" s="18" t="s">
        <v>0</v>
      </c>
      <c r="F6964" s="6">
        <v>1</v>
      </c>
      <c r="G6964" s="40">
        <v>10</v>
      </c>
      <c r="H6964" s="40">
        <v>10.45837</v>
      </c>
      <c r="I6964" s="212"/>
      <c r="J6964" s="212"/>
    </row>
    <row r="6965" spans="1:10" s="15" customFormat="1" ht="18" hidden="1" customHeight="1" outlineLevel="1" x14ac:dyDescent="0.25">
      <c r="A6965" s="18">
        <v>2047</v>
      </c>
      <c r="B6965" s="4" t="s">
        <v>43</v>
      </c>
      <c r="C6965" s="38" t="s">
        <v>9569</v>
      </c>
      <c r="D6965" s="23">
        <v>2023</v>
      </c>
      <c r="E6965" s="18" t="s">
        <v>0</v>
      </c>
      <c r="F6965" s="6">
        <v>1</v>
      </c>
      <c r="G6965" s="40">
        <v>5</v>
      </c>
      <c r="H6965" s="40">
        <v>10.458370000000002</v>
      </c>
      <c r="I6965" s="212"/>
      <c r="J6965" s="212"/>
    </row>
    <row r="6966" spans="1:10" s="15" customFormat="1" ht="18" hidden="1" customHeight="1" outlineLevel="1" x14ac:dyDescent="0.25">
      <c r="A6966" s="18">
        <v>2191</v>
      </c>
      <c r="B6966" s="4" t="s">
        <v>43</v>
      </c>
      <c r="C6966" s="38" t="s">
        <v>9570</v>
      </c>
      <c r="D6966" s="23">
        <v>2023</v>
      </c>
      <c r="E6966" s="18" t="s">
        <v>0</v>
      </c>
      <c r="F6966" s="6">
        <v>1</v>
      </c>
      <c r="G6966" s="40">
        <v>10</v>
      </c>
      <c r="H6966" s="40">
        <v>11.19008</v>
      </c>
      <c r="I6966" s="212"/>
      <c r="J6966" s="212"/>
    </row>
    <row r="6967" spans="1:10" s="15" customFormat="1" ht="18" hidden="1" customHeight="1" outlineLevel="1" x14ac:dyDescent="0.25">
      <c r="A6967" s="18">
        <v>2149</v>
      </c>
      <c r="B6967" s="4" t="s">
        <v>43</v>
      </c>
      <c r="C6967" s="38" t="s">
        <v>9571</v>
      </c>
      <c r="D6967" s="23">
        <v>2023</v>
      </c>
      <c r="E6967" s="18" t="s">
        <v>0</v>
      </c>
      <c r="F6967" s="6">
        <v>1</v>
      </c>
      <c r="G6967" s="40">
        <v>5</v>
      </c>
      <c r="H6967" s="40">
        <v>10.45837</v>
      </c>
      <c r="I6967" s="212"/>
      <c r="J6967" s="212"/>
    </row>
    <row r="6968" spans="1:10" s="15" customFormat="1" ht="18" hidden="1" customHeight="1" outlineLevel="1" x14ac:dyDescent="0.25">
      <c r="A6968" s="18">
        <v>2130</v>
      </c>
      <c r="B6968" s="4" t="s">
        <v>43</v>
      </c>
      <c r="C6968" s="38" t="s">
        <v>9572</v>
      </c>
      <c r="D6968" s="23">
        <v>2023</v>
      </c>
      <c r="E6968" s="18" t="s">
        <v>0</v>
      </c>
      <c r="F6968" s="6">
        <v>1</v>
      </c>
      <c r="G6968" s="40">
        <v>2</v>
      </c>
      <c r="H6968" s="40">
        <v>11.921729999999998</v>
      </c>
      <c r="I6968" s="212"/>
      <c r="J6968" s="212"/>
    </row>
    <row r="6969" spans="1:10" s="15" customFormat="1" ht="18" hidden="1" customHeight="1" outlineLevel="1" x14ac:dyDescent="0.25">
      <c r="A6969" s="18">
        <v>2152</v>
      </c>
      <c r="B6969" s="4" t="s">
        <v>43</v>
      </c>
      <c r="C6969" s="38" t="s">
        <v>9573</v>
      </c>
      <c r="D6969" s="23">
        <v>2023</v>
      </c>
      <c r="E6969" s="18" t="s">
        <v>0</v>
      </c>
      <c r="F6969" s="6">
        <v>1</v>
      </c>
      <c r="G6969" s="40">
        <v>3</v>
      </c>
      <c r="H6969" s="40">
        <v>10.458359999999999</v>
      </c>
      <c r="I6969" s="212"/>
      <c r="J6969" s="212"/>
    </row>
    <row r="6970" spans="1:10" s="15" customFormat="1" ht="18" hidden="1" customHeight="1" outlineLevel="1" x14ac:dyDescent="0.25">
      <c r="A6970" s="18">
        <v>2137</v>
      </c>
      <c r="B6970" s="4" t="s">
        <v>43</v>
      </c>
      <c r="C6970" s="38" t="s">
        <v>9574</v>
      </c>
      <c r="D6970" s="23">
        <v>2023</v>
      </c>
      <c r="E6970" s="18" t="s">
        <v>0</v>
      </c>
      <c r="F6970" s="6">
        <v>1</v>
      </c>
      <c r="G6970" s="40">
        <v>10</v>
      </c>
      <c r="H6970" s="40">
        <v>10.45814</v>
      </c>
      <c r="I6970" s="212"/>
      <c r="J6970" s="212"/>
    </row>
    <row r="6971" spans="1:10" s="15" customFormat="1" ht="18" hidden="1" customHeight="1" outlineLevel="1" x14ac:dyDescent="0.25">
      <c r="A6971" s="18">
        <v>6405</v>
      </c>
      <c r="B6971" s="4" t="s">
        <v>43</v>
      </c>
      <c r="C6971" s="38" t="s">
        <v>9575</v>
      </c>
      <c r="D6971" s="23">
        <v>2023</v>
      </c>
      <c r="E6971" s="18" t="s">
        <v>0</v>
      </c>
      <c r="F6971" s="6">
        <v>1</v>
      </c>
      <c r="G6971" s="40">
        <v>10</v>
      </c>
      <c r="H6971" s="40">
        <v>13.807259999999999</v>
      </c>
      <c r="I6971" s="212"/>
      <c r="J6971" s="212"/>
    </row>
    <row r="6972" spans="1:10" s="15" customFormat="1" ht="18" hidden="1" customHeight="1" outlineLevel="1" x14ac:dyDescent="0.25">
      <c r="A6972" s="18">
        <v>6406</v>
      </c>
      <c r="B6972" s="4" t="s">
        <v>43</v>
      </c>
      <c r="C6972" s="38" t="s">
        <v>9576</v>
      </c>
      <c r="D6972" s="23">
        <v>2023</v>
      </c>
      <c r="E6972" s="18" t="s">
        <v>0</v>
      </c>
      <c r="F6972" s="6">
        <v>1</v>
      </c>
      <c r="G6972" s="40">
        <v>15</v>
      </c>
      <c r="H6972" s="40">
        <v>13.810600000000001</v>
      </c>
      <c r="I6972" s="212"/>
      <c r="J6972" s="212"/>
    </row>
    <row r="6973" spans="1:10" s="15" customFormat="1" ht="18" hidden="1" customHeight="1" outlineLevel="1" x14ac:dyDescent="0.25">
      <c r="A6973" s="18">
        <v>2226</v>
      </c>
      <c r="B6973" s="4" t="s">
        <v>43</v>
      </c>
      <c r="C6973" s="38" t="s">
        <v>9577</v>
      </c>
      <c r="D6973" s="23">
        <v>2023</v>
      </c>
      <c r="E6973" s="18" t="s">
        <v>0</v>
      </c>
      <c r="F6973" s="6">
        <v>1</v>
      </c>
      <c r="G6973" s="40">
        <v>5</v>
      </c>
      <c r="H6973" s="40">
        <v>13.837819999999999</v>
      </c>
      <c r="I6973" s="212"/>
      <c r="J6973" s="212"/>
    </row>
    <row r="6974" spans="1:10" s="15" customFormat="1" ht="18" hidden="1" customHeight="1" outlineLevel="1" x14ac:dyDescent="0.25">
      <c r="A6974" s="18">
        <v>2268</v>
      </c>
      <c r="B6974" s="4" t="s">
        <v>43</v>
      </c>
      <c r="C6974" s="38" t="s">
        <v>9578</v>
      </c>
      <c r="D6974" s="23">
        <v>2023</v>
      </c>
      <c r="E6974" s="18" t="s">
        <v>0</v>
      </c>
      <c r="F6974" s="6">
        <v>1</v>
      </c>
      <c r="G6974" s="40">
        <v>5</v>
      </c>
      <c r="H6974" s="40">
        <v>15.967649999999999</v>
      </c>
      <c r="I6974" s="212"/>
      <c r="J6974" s="212"/>
    </row>
    <row r="6975" spans="1:10" s="15" customFormat="1" ht="18" hidden="1" customHeight="1" outlineLevel="1" x14ac:dyDescent="0.25">
      <c r="A6975" s="18">
        <v>6469</v>
      </c>
      <c r="B6975" s="4" t="s">
        <v>43</v>
      </c>
      <c r="C6975" s="38" t="s">
        <v>9579</v>
      </c>
      <c r="D6975" s="23">
        <v>2023</v>
      </c>
      <c r="E6975" s="18" t="s">
        <v>0</v>
      </c>
      <c r="F6975" s="6">
        <v>1</v>
      </c>
      <c r="G6975" s="40">
        <v>15</v>
      </c>
      <c r="H6975" s="40">
        <v>15.967649999999999</v>
      </c>
      <c r="I6975" s="212"/>
      <c r="J6975" s="212"/>
    </row>
    <row r="6976" spans="1:10" s="15" customFormat="1" ht="18" hidden="1" customHeight="1" outlineLevel="1" x14ac:dyDescent="0.25">
      <c r="A6976" s="18">
        <v>6470</v>
      </c>
      <c r="B6976" s="4" t="s">
        <v>43</v>
      </c>
      <c r="C6976" s="38" t="s">
        <v>9580</v>
      </c>
      <c r="D6976" s="23">
        <v>2023</v>
      </c>
      <c r="E6976" s="18" t="s">
        <v>0</v>
      </c>
      <c r="F6976" s="6">
        <v>1</v>
      </c>
      <c r="G6976" s="40">
        <v>5</v>
      </c>
      <c r="H6976" s="40">
        <v>15.967649999999999</v>
      </c>
      <c r="I6976" s="212"/>
      <c r="J6976" s="212"/>
    </row>
    <row r="6977" spans="1:10" s="15" customFormat="1" ht="18" hidden="1" customHeight="1" outlineLevel="1" x14ac:dyDescent="0.25">
      <c r="A6977" s="18">
        <v>6472</v>
      </c>
      <c r="B6977" s="4" t="s">
        <v>43</v>
      </c>
      <c r="C6977" s="38" t="s">
        <v>9581</v>
      </c>
      <c r="D6977" s="23">
        <v>2023</v>
      </c>
      <c r="E6977" s="18" t="s">
        <v>0</v>
      </c>
      <c r="F6977" s="6">
        <v>1</v>
      </c>
      <c r="G6977" s="40">
        <v>15</v>
      </c>
      <c r="H6977" s="40">
        <v>15.967649999999999</v>
      </c>
      <c r="I6977" s="212"/>
      <c r="J6977" s="212"/>
    </row>
    <row r="6978" spans="1:10" s="15" customFormat="1" ht="18" hidden="1" customHeight="1" outlineLevel="1" x14ac:dyDescent="0.25">
      <c r="A6978" s="18">
        <v>6473</v>
      </c>
      <c r="B6978" s="4" t="s">
        <v>43</v>
      </c>
      <c r="C6978" s="38" t="s">
        <v>9582</v>
      </c>
      <c r="D6978" s="23">
        <v>2023</v>
      </c>
      <c r="E6978" s="18" t="s">
        <v>0</v>
      </c>
      <c r="F6978" s="6">
        <v>1</v>
      </c>
      <c r="G6978" s="40">
        <v>14</v>
      </c>
      <c r="H6978" s="40">
        <v>15.967649999999999</v>
      </c>
      <c r="I6978" s="212"/>
      <c r="J6978" s="212"/>
    </row>
    <row r="6979" spans="1:10" s="15" customFormat="1" ht="18" hidden="1" customHeight="1" outlineLevel="1" x14ac:dyDescent="0.25">
      <c r="A6979" s="18">
        <v>2310</v>
      </c>
      <c r="B6979" s="4" t="s">
        <v>43</v>
      </c>
      <c r="C6979" s="38" t="s">
        <v>9583</v>
      </c>
      <c r="D6979" s="23">
        <v>2023</v>
      </c>
      <c r="E6979" s="18" t="s">
        <v>0</v>
      </c>
      <c r="F6979" s="6">
        <v>1</v>
      </c>
      <c r="G6979" s="40">
        <v>3</v>
      </c>
      <c r="H6979" s="40">
        <v>15.967649999999999</v>
      </c>
      <c r="I6979" s="212"/>
      <c r="J6979" s="212"/>
    </row>
    <row r="6980" spans="1:10" s="15" customFormat="1" ht="18" hidden="1" customHeight="1" outlineLevel="1" x14ac:dyDescent="0.25">
      <c r="A6980" s="18">
        <v>6474</v>
      </c>
      <c r="B6980" s="4" t="s">
        <v>43</v>
      </c>
      <c r="C6980" s="38" t="s">
        <v>9584</v>
      </c>
      <c r="D6980" s="23">
        <v>2023</v>
      </c>
      <c r="E6980" s="18" t="s">
        <v>0</v>
      </c>
      <c r="F6980" s="6">
        <v>1</v>
      </c>
      <c r="G6980" s="40">
        <v>7</v>
      </c>
      <c r="H6980" s="40">
        <v>15.967649999999999</v>
      </c>
      <c r="I6980" s="212"/>
      <c r="J6980" s="212"/>
    </row>
    <row r="6981" spans="1:10" s="15" customFormat="1" ht="18" hidden="1" customHeight="1" outlineLevel="1" x14ac:dyDescent="0.25">
      <c r="A6981" s="18">
        <v>6475</v>
      </c>
      <c r="B6981" s="4" t="s">
        <v>43</v>
      </c>
      <c r="C6981" s="38" t="s">
        <v>9585</v>
      </c>
      <c r="D6981" s="23">
        <v>2023</v>
      </c>
      <c r="E6981" s="18" t="s">
        <v>0</v>
      </c>
      <c r="F6981" s="6">
        <v>1</v>
      </c>
      <c r="G6981" s="40">
        <v>10</v>
      </c>
      <c r="H6981" s="40">
        <v>15.967649999999999</v>
      </c>
      <c r="I6981" s="212"/>
      <c r="J6981" s="212"/>
    </row>
    <row r="6982" spans="1:10" s="15" customFormat="1" ht="18" hidden="1" customHeight="1" outlineLevel="1" x14ac:dyDescent="0.25">
      <c r="A6982" s="18">
        <v>6476</v>
      </c>
      <c r="B6982" s="4" t="s">
        <v>43</v>
      </c>
      <c r="C6982" s="38" t="s">
        <v>9586</v>
      </c>
      <c r="D6982" s="23">
        <v>2023</v>
      </c>
      <c r="E6982" s="18" t="s">
        <v>0</v>
      </c>
      <c r="F6982" s="6">
        <v>1</v>
      </c>
      <c r="G6982" s="40">
        <v>14</v>
      </c>
      <c r="H6982" s="40">
        <v>15.967649999999999</v>
      </c>
      <c r="I6982" s="212"/>
      <c r="J6982" s="212"/>
    </row>
    <row r="6983" spans="1:10" s="15" customFormat="1" ht="18" hidden="1" customHeight="1" outlineLevel="1" x14ac:dyDescent="0.25">
      <c r="A6983" s="18">
        <v>6477</v>
      </c>
      <c r="B6983" s="4" t="s">
        <v>43</v>
      </c>
      <c r="C6983" s="38" t="s">
        <v>9587</v>
      </c>
      <c r="D6983" s="23">
        <v>2023</v>
      </c>
      <c r="E6983" s="18" t="s">
        <v>0</v>
      </c>
      <c r="F6983" s="6">
        <v>1</v>
      </c>
      <c r="G6983" s="40">
        <v>10</v>
      </c>
      <c r="H6983" s="40">
        <v>15.802279999999998</v>
      </c>
      <c r="I6983" s="212"/>
      <c r="J6983" s="212"/>
    </row>
    <row r="6984" spans="1:10" s="15" customFormat="1" ht="18" hidden="1" customHeight="1" outlineLevel="1" x14ac:dyDescent="0.25">
      <c r="A6984" s="18">
        <v>2211</v>
      </c>
      <c r="B6984" s="4" t="s">
        <v>43</v>
      </c>
      <c r="C6984" s="38" t="s">
        <v>9588</v>
      </c>
      <c r="D6984" s="23">
        <v>2023</v>
      </c>
      <c r="E6984" s="18" t="s">
        <v>0</v>
      </c>
      <c r="F6984" s="6">
        <v>1</v>
      </c>
      <c r="G6984" s="40">
        <v>15</v>
      </c>
      <c r="H6984" s="40">
        <v>15.802279999999998</v>
      </c>
      <c r="I6984" s="212"/>
      <c r="J6984" s="212"/>
    </row>
    <row r="6985" spans="1:10" s="15" customFormat="1" ht="18" hidden="1" customHeight="1" outlineLevel="1" x14ac:dyDescent="0.25">
      <c r="A6985" s="18">
        <v>6481</v>
      </c>
      <c r="B6985" s="4" t="s">
        <v>43</v>
      </c>
      <c r="C6985" s="38" t="s">
        <v>9589</v>
      </c>
      <c r="D6985" s="23">
        <v>2023</v>
      </c>
      <c r="E6985" s="18" t="s">
        <v>0</v>
      </c>
      <c r="F6985" s="6">
        <v>1</v>
      </c>
      <c r="G6985" s="40">
        <v>15</v>
      </c>
      <c r="H6985" s="40">
        <v>15.802279999999998</v>
      </c>
      <c r="I6985" s="212"/>
      <c r="J6985" s="212"/>
    </row>
    <row r="6986" spans="1:10" s="15" customFormat="1" ht="18" hidden="1" customHeight="1" outlineLevel="1" x14ac:dyDescent="0.25">
      <c r="A6986" s="18">
        <v>6482</v>
      </c>
      <c r="B6986" s="4" t="s">
        <v>43</v>
      </c>
      <c r="C6986" s="38" t="s">
        <v>9590</v>
      </c>
      <c r="D6986" s="23">
        <v>2023</v>
      </c>
      <c r="E6986" s="18" t="s">
        <v>0</v>
      </c>
      <c r="F6986" s="6">
        <v>1</v>
      </c>
      <c r="G6986" s="40">
        <v>10</v>
      </c>
      <c r="H6986" s="40">
        <v>15.802279999999998</v>
      </c>
      <c r="I6986" s="212"/>
      <c r="J6986" s="212"/>
    </row>
    <row r="6987" spans="1:10" s="15" customFormat="1" ht="18" hidden="1" customHeight="1" outlineLevel="1" x14ac:dyDescent="0.25">
      <c r="A6987" s="18">
        <v>6489</v>
      </c>
      <c r="B6987" s="4" t="s">
        <v>43</v>
      </c>
      <c r="C6987" s="38" t="s">
        <v>9591</v>
      </c>
      <c r="D6987" s="23">
        <v>2023</v>
      </c>
      <c r="E6987" s="18" t="s">
        <v>0</v>
      </c>
      <c r="F6987" s="6">
        <v>1</v>
      </c>
      <c r="G6987" s="40">
        <v>6</v>
      </c>
      <c r="H6987" s="40">
        <v>15.802279999999998</v>
      </c>
      <c r="I6987" s="212"/>
      <c r="J6987" s="212"/>
    </row>
    <row r="6988" spans="1:10" s="15" customFormat="1" ht="18" hidden="1" customHeight="1" outlineLevel="1" x14ac:dyDescent="0.25">
      <c r="A6988" s="18">
        <v>2392</v>
      </c>
      <c r="B6988" s="4" t="s">
        <v>43</v>
      </c>
      <c r="C6988" s="38" t="s">
        <v>9592</v>
      </c>
      <c r="D6988" s="23">
        <v>2023</v>
      </c>
      <c r="E6988" s="18" t="s">
        <v>0</v>
      </c>
      <c r="F6988" s="6">
        <v>1</v>
      </c>
      <c r="G6988" s="40">
        <v>5</v>
      </c>
      <c r="H6988" s="40">
        <v>16.17596</v>
      </c>
      <c r="I6988" s="212"/>
      <c r="J6988" s="212"/>
    </row>
    <row r="6989" spans="1:10" s="15" customFormat="1" ht="18" hidden="1" customHeight="1" outlineLevel="1" x14ac:dyDescent="0.25">
      <c r="A6989" s="18">
        <v>6491</v>
      </c>
      <c r="B6989" s="4" t="s">
        <v>43</v>
      </c>
      <c r="C6989" s="38" t="s">
        <v>9593</v>
      </c>
      <c r="D6989" s="23">
        <v>2023</v>
      </c>
      <c r="E6989" s="18" t="s">
        <v>0</v>
      </c>
      <c r="F6989" s="6">
        <v>1</v>
      </c>
      <c r="G6989" s="40">
        <v>5</v>
      </c>
      <c r="H6989" s="40">
        <v>16.17596</v>
      </c>
      <c r="I6989" s="212"/>
      <c r="J6989" s="212"/>
    </row>
    <row r="6990" spans="1:10" s="15" customFormat="1" ht="18" hidden="1" customHeight="1" outlineLevel="1" x14ac:dyDescent="0.25">
      <c r="A6990" s="18">
        <v>2365</v>
      </c>
      <c r="B6990" s="4" t="s">
        <v>43</v>
      </c>
      <c r="C6990" s="38" t="s">
        <v>9594</v>
      </c>
      <c r="D6990" s="23">
        <v>2023</v>
      </c>
      <c r="E6990" s="18" t="s">
        <v>0</v>
      </c>
      <c r="F6990" s="6">
        <v>1</v>
      </c>
      <c r="G6990" s="40">
        <v>14</v>
      </c>
      <c r="H6990" s="40">
        <v>16.17596</v>
      </c>
      <c r="I6990" s="212"/>
      <c r="J6990" s="212"/>
    </row>
    <row r="6991" spans="1:10" s="15" customFormat="1" ht="18" hidden="1" customHeight="1" outlineLevel="1" x14ac:dyDescent="0.25">
      <c r="A6991" s="18">
        <v>6493</v>
      </c>
      <c r="B6991" s="4" t="s">
        <v>43</v>
      </c>
      <c r="C6991" s="38" t="s">
        <v>9595</v>
      </c>
      <c r="D6991" s="23">
        <v>2023</v>
      </c>
      <c r="E6991" s="18" t="s">
        <v>0</v>
      </c>
      <c r="F6991" s="6">
        <v>1</v>
      </c>
      <c r="G6991" s="40">
        <v>10</v>
      </c>
      <c r="H6991" s="40">
        <v>16.17596</v>
      </c>
      <c r="I6991" s="212"/>
      <c r="J6991" s="212"/>
    </row>
    <row r="6992" spans="1:10" s="15" customFormat="1" ht="18" hidden="1" customHeight="1" outlineLevel="1" x14ac:dyDescent="0.25">
      <c r="A6992" s="18">
        <v>6496</v>
      </c>
      <c r="B6992" s="4" t="s">
        <v>43</v>
      </c>
      <c r="C6992" s="38" t="s">
        <v>9596</v>
      </c>
      <c r="D6992" s="23">
        <v>2023</v>
      </c>
      <c r="E6992" s="18" t="s">
        <v>0</v>
      </c>
      <c r="F6992" s="6">
        <v>1</v>
      </c>
      <c r="G6992" s="40">
        <v>6</v>
      </c>
      <c r="H6992" s="40">
        <v>16.009719999999998</v>
      </c>
      <c r="I6992" s="212"/>
      <c r="J6992" s="212"/>
    </row>
    <row r="6993" spans="1:10" s="15" customFormat="1" ht="18" hidden="1" customHeight="1" outlineLevel="1" x14ac:dyDescent="0.25">
      <c r="A6993" s="18">
        <v>6497</v>
      </c>
      <c r="B6993" s="4" t="s">
        <v>43</v>
      </c>
      <c r="C6993" s="38" t="s">
        <v>9597</v>
      </c>
      <c r="D6993" s="23">
        <v>2023</v>
      </c>
      <c r="E6993" s="18" t="s">
        <v>0</v>
      </c>
      <c r="F6993" s="6">
        <v>1</v>
      </c>
      <c r="G6993" s="40">
        <v>6</v>
      </c>
      <c r="H6993" s="40">
        <v>16.009719999999998</v>
      </c>
      <c r="I6993" s="212"/>
      <c r="J6993" s="212"/>
    </row>
    <row r="6994" spans="1:10" s="15" customFormat="1" ht="18" hidden="1" customHeight="1" outlineLevel="1" x14ac:dyDescent="0.25">
      <c r="A6994" s="18">
        <v>2382</v>
      </c>
      <c r="B6994" s="4" t="s">
        <v>43</v>
      </c>
      <c r="C6994" s="38" t="s">
        <v>9598</v>
      </c>
      <c r="D6994" s="23">
        <v>2023</v>
      </c>
      <c r="E6994" s="18" t="s">
        <v>0</v>
      </c>
      <c r="F6994" s="6">
        <v>1</v>
      </c>
      <c r="G6994" s="40">
        <v>5</v>
      </c>
      <c r="H6994" s="40">
        <v>16.009719999999998</v>
      </c>
      <c r="I6994" s="212"/>
      <c r="J6994" s="212"/>
    </row>
    <row r="6995" spans="1:10" s="15" customFormat="1" ht="18" hidden="1" customHeight="1" outlineLevel="1" x14ac:dyDescent="0.25">
      <c r="A6995" s="18">
        <v>6498</v>
      </c>
      <c r="B6995" s="4" t="s">
        <v>43</v>
      </c>
      <c r="C6995" s="38" t="s">
        <v>9599</v>
      </c>
      <c r="D6995" s="23">
        <v>2023</v>
      </c>
      <c r="E6995" s="18" t="s">
        <v>0</v>
      </c>
      <c r="F6995" s="6">
        <v>1</v>
      </c>
      <c r="G6995" s="40">
        <v>10</v>
      </c>
      <c r="H6995" s="40">
        <v>16.009719999999998</v>
      </c>
      <c r="I6995" s="212"/>
      <c r="J6995" s="212"/>
    </row>
    <row r="6996" spans="1:10" s="15" customFormat="1" ht="18" hidden="1" customHeight="1" outlineLevel="1" x14ac:dyDescent="0.25">
      <c r="A6996" s="18">
        <v>6500</v>
      </c>
      <c r="B6996" s="4" t="s">
        <v>43</v>
      </c>
      <c r="C6996" s="38" t="s">
        <v>9600</v>
      </c>
      <c r="D6996" s="23">
        <v>2023</v>
      </c>
      <c r="E6996" s="18" t="s">
        <v>0</v>
      </c>
      <c r="F6996" s="6">
        <v>1</v>
      </c>
      <c r="G6996" s="40">
        <v>10</v>
      </c>
      <c r="H6996" s="40">
        <v>16.009719999999998</v>
      </c>
      <c r="I6996" s="212"/>
      <c r="J6996" s="212"/>
    </row>
    <row r="6997" spans="1:10" s="15" customFormat="1" ht="18" hidden="1" customHeight="1" outlineLevel="1" x14ac:dyDescent="0.25">
      <c r="A6997" s="18">
        <v>2406</v>
      </c>
      <c r="B6997" s="4" t="s">
        <v>43</v>
      </c>
      <c r="C6997" s="38" t="s">
        <v>9601</v>
      </c>
      <c r="D6997" s="23">
        <v>2023</v>
      </c>
      <c r="E6997" s="18" t="s">
        <v>0</v>
      </c>
      <c r="F6997" s="6">
        <v>1</v>
      </c>
      <c r="G6997" s="40">
        <v>15</v>
      </c>
      <c r="H6997" s="40">
        <v>16.009719999999998</v>
      </c>
      <c r="I6997" s="212"/>
      <c r="J6997" s="212"/>
    </row>
    <row r="6998" spans="1:10" s="15" customFormat="1" ht="18" hidden="1" customHeight="1" outlineLevel="1" x14ac:dyDescent="0.25">
      <c r="A6998" s="18">
        <v>6504</v>
      </c>
      <c r="B6998" s="4" t="s">
        <v>43</v>
      </c>
      <c r="C6998" s="38" t="s">
        <v>9602</v>
      </c>
      <c r="D6998" s="23">
        <v>2023</v>
      </c>
      <c r="E6998" s="18" t="s">
        <v>0</v>
      </c>
      <c r="F6998" s="6">
        <v>1</v>
      </c>
      <c r="G6998" s="40">
        <v>6</v>
      </c>
      <c r="H6998" s="40">
        <v>16.009719999999998</v>
      </c>
      <c r="I6998" s="212"/>
      <c r="J6998" s="212"/>
    </row>
    <row r="6999" spans="1:10" s="15" customFormat="1" ht="18" hidden="1" customHeight="1" outlineLevel="1" x14ac:dyDescent="0.25">
      <c r="A6999" s="18">
        <v>2488</v>
      </c>
      <c r="B6999" s="4" t="s">
        <v>43</v>
      </c>
      <c r="C6999" s="38" t="s">
        <v>9603</v>
      </c>
      <c r="D6999" s="23">
        <v>2023</v>
      </c>
      <c r="E6999" s="18" t="s">
        <v>0</v>
      </c>
      <c r="F6999" s="6">
        <v>1</v>
      </c>
      <c r="G6999" s="40">
        <v>5</v>
      </c>
      <c r="H6999" s="40">
        <v>16.009719999999998</v>
      </c>
      <c r="I6999" s="212"/>
      <c r="J6999" s="212"/>
    </row>
    <row r="7000" spans="1:10" s="15" customFormat="1" ht="18" hidden="1" customHeight="1" outlineLevel="1" x14ac:dyDescent="0.25">
      <c r="A7000" s="18">
        <v>2494</v>
      </c>
      <c r="B7000" s="4" t="s">
        <v>43</v>
      </c>
      <c r="C7000" s="38" t="s">
        <v>9604</v>
      </c>
      <c r="D7000" s="23">
        <v>2023</v>
      </c>
      <c r="E7000" s="18" t="s">
        <v>0</v>
      </c>
      <c r="F7000" s="6">
        <v>1</v>
      </c>
      <c r="G7000" s="40">
        <v>5</v>
      </c>
      <c r="H7000" s="40">
        <v>16.009719999999998</v>
      </c>
      <c r="I7000" s="212"/>
      <c r="J7000" s="212"/>
    </row>
    <row r="7001" spans="1:10" s="15" customFormat="1" ht="18" hidden="1" customHeight="1" outlineLevel="1" x14ac:dyDescent="0.25">
      <c r="A7001" s="18">
        <v>6505</v>
      </c>
      <c r="B7001" s="4" t="s">
        <v>43</v>
      </c>
      <c r="C7001" s="38" t="s">
        <v>9605</v>
      </c>
      <c r="D7001" s="23">
        <v>2023</v>
      </c>
      <c r="E7001" s="18" t="s">
        <v>0</v>
      </c>
      <c r="F7001" s="6">
        <v>1</v>
      </c>
      <c r="G7001" s="40">
        <v>10</v>
      </c>
      <c r="H7001" s="40">
        <v>16.009719999999998</v>
      </c>
      <c r="I7001" s="212"/>
      <c r="J7001" s="212"/>
    </row>
    <row r="7002" spans="1:10" s="15" customFormat="1" ht="18" hidden="1" customHeight="1" outlineLevel="1" x14ac:dyDescent="0.25">
      <c r="A7002" s="18">
        <v>6506</v>
      </c>
      <c r="B7002" s="4" t="s">
        <v>43</v>
      </c>
      <c r="C7002" s="38" t="s">
        <v>9606</v>
      </c>
      <c r="D7002" s="23">
        <v>2023</v>
      </c>
      <c r="E7002" s="18" t="s">
        <v>0</v>
      </c>
      <c r="F7002" s="6">
        <v>1</v>
      </c>
      <c r="G7002" s="40">
        <v>15</v>
      </c>
      <c r="H7002" s="40">
        <v>16.009719999999998</v>
      </c>
      <c r="I7002" s="212"/>
      <c r="J7002" s="212"/>
    </row>
    <row r="7003" spans="1:10" s="15" customFormat="1" ht="18" hidden="1" customHeight="1" outlineLevel="1" x14ac:dyDescent="0.25">
      <c r="A7003" s="18">
        <v>2515</v>
      </c>
      <c r="B7003" s="4" t="s">
        <v>43</v>
      </c>
      <c r="C7003" s="38" t="s">
        <v>9607</v>
      </c>
      <c r="D7003" s="23">
        <v>2023</v>
      </c>
      <c r="E7003" s="18" t="s">
        <v>0</v>
      </c>
      <c r="F7003" s="6">
        <v>1</v>
      </c>
      <c r="G7003" s="40">
        <v>5</v>
      </c>
      <c r="H7003" s="40">
        <v>16.009719999999998</v>
      </c>
      <c r="I7003" s="212"/>
      <c r="J7003" s="212"/>
    </row>
    <row r="7004" spans="1:10" s="15" customFormat="1" ht="18" hidden="1" customHeight="1" outlineLevel="1" x14ac:dyDescent="0.25">
      <c r="A7004" s="18">
        <v>2516</v>
      </c>
      <c r="B7004" s="4" t="s">
        <v>43</v>
      </c>
      <c r="C7004" s="38" t="s">
        <v>9608</v>
      </c>
      <c r="D7004" s="23">
        <v>2023</v>
      </c>
      <c r="E7004" s="18" t="s">
        <v>0</v>
      </c>
      <c r="F7004" s="6">
        <v>1</v>
      </c>
      <c r="G7004" s="40">
        <v>15</v>
      </c>
      <c r="H7004" s="40">
        <v>16.009719999999998</v>
      </c>
      <c r="I7004" s="212"/>
      <c r="J7004" s="212"/>
    </row>
    <row r="7005" spans="1:10" s="15" customFormat="1" ht="18" hidden="1" customHeight="1" outlineLevel="1" x14ac:dyDescent="0.25">
      <c r="A7005" s="18">
        <v>6507</v>
      </c>
      <c r="B7005" s="4" t="s">
        <v>43</v>
      </c>
      <c r="C7005" s="38" t="s">
        <v>9609</v>
      </c>
      <c r="D7005" s="23">
        <v>2023</v>
      </c>
      <c r="E7005" s="18" t="s">
        <v>0</v>
      </c>
      <c r="F7005" s="6">
        <v>1</v>
      </c>
      <c r="G7005" s="40">
        <v>10</v>
      </c>
      <c r="H7005" s="40">
        <v>16.009719999999998</v>
      </c>
      <c r="I7005" s="212"/>
      <c r="J7005" s="212"/>
    </row>
    <row r="7006" spans="1:10" s="15" customFormat="1" ht="18" hidden="1" customHeight="1" outlineLevel="1" x14ac:dyDescent="0.25">
      <c r="A7006" s="18">
        <v>6510</v>
      </c>
      <c r="B7006" s="4" t="s">
        <v>43</v>
      </c>
      <c r="C7006" s="38" t="s">
        <v>9610</v>
      </c>
      <c r="D7006" s="23">
        <v>2023</v>
      </c>
      <c r="E7006" s="18" t="s">
        <v>0</v>
      </c>
      <c r="F7006" s="6">
        <v>1</v>
      </c>
      <c r="G7006" s="40">
        <v>7</v>
      </c>
      <c r="H7006" s="40">
        <v>16.009719999999998</v>
      </c>
      <c r="I7006" s="212"/>
      <c r="J7006" s="212"/>
    </row>
    <row r="7007" spans="1:10" s="15" customFormat="1" ht="18" hidden="1" customHeight="1" outlineLevel="1" x14ac:dyDescent="0.25">
      <c r="A7007" s="18">
        <v>6511</v>
      </c>
      <c r="B7007" s="4" t="s">
        <v>43</v>
      </c>
      <c r="C7007" s="38" t="s">
        <v>9611</v>
      </c>
      <c r="D7007" s="23">
        <v>2023</v>
      </c>
      <c r="E7007" s="18" t="s">
        <v>0</v>
      </c>
      <c r="F7007" s="6">
        <v>1</v>
      </c>
      <c r="G7007" s="40">
        <v>15</v>
      </c>
      <c r="H7007" s="40">
        <v>14.474059999999998</v>
      </c>
      <c r="I7007" s="212"/>
      <c r="J7007" s="212"/>
    </row>
    <row r="7008" spans="1:10" s="15" customFormat="1" ht="18" hidden="1" customHeight="1" outlineLevel="1" x14ac:dyDescent="0.25">
      <c r="A7008" s="18">
        <v>2381</v>
      </c>
      <c r="B7008" s="4" t="s">
        <v>43</v>
      </c>
      <c r="C7008" s="38" t="s">
        <v>9612</v>
      </c>
      <c r="D7008" s="23">
        <v>2023</v>
      </c>
      <c r="E7008" s="18" t="s">
        <v>0</v>
      </c>
      <c r="F7008" s="6">
        <v>1</v>
      </c>
      <c r="G7008" s="40">
        <v>10</v>
      </c>
      <c r="H7008" s="40">
        <v>13.924860000000001</v>
      </c>
      <c r="I7008" s="212"/>
      <c r="J7008" s="212"/>
    </row>
    <row r="7009" spans="1:10" s="15" customFormat="1" ht="18" hidden="1" customHeight="1" outlineLevel="1" x14ac:dyDescent="0.25">
      <c r="A7009" s="18">
        <v>2370</v>
      </c>
      <c r="B7009" s="4" t="s">
        <v>43</v>
      </c>
      <c r="C7009" s="38" t="s">
        <v>9613</v>
      </c>
      <c r="D7009" s="23">
        <v>2023</v>
      </c>
      <c r="E7009" s="18" t="s">
        <v>0</v>
      </c>
      <c r="F7009" s="6">
        <v>1</v>
      </c>
      <c r="G7009" s="40">
        <v>6</v>
      </c>
      <c r="H7009" s="40">
        <v>13.937250000000001</v>
      </c>
      <c r="I7009" s="212"/>
      <c r="J7009" s="212"/>
    </row>
    <row r="7010" spans="1:10" s="15" customFormat="1" ht="18" hidden="1" customHeight="1" outlineLevel="1" x14ac:dyDescent="0.25">
      <c r="A7010" s="18">
        <v>6512</v>
      </c>
      <c r="B7010" s="4" t="s">
        <v>43</v>
      </c>
      <c r="C7010" s="38" t="s">
        <v>9614</v>
      </c>
      <c r="D7010" s="23">
        <v>2023</v>
      </c>
      <c r="E7010" s="18" t="s">
        <v>0</v>
      </c>
      <c r="F7010" s="6">
        <v>1</v>
      </c>
      <c r="G7010" s="40">
        <v>15</v>
      </c>
      <c r="H7010" s="40">
        <v>12.1304</v>
      </c>
      <c r="I7010" s="212"/>
      <c r="J7010" s="212"/>
    </row>
    <row r="7011" spans="1:10" s="15" customFormat="1" ht="18" hidden="1" customHeight="1" outlineLevel="1" x14ac:dyDescent="0.25">
      <c r="A7011" s="18">
        <v>2324</v>
      </c>
      <c r="B7011" s="4" t="s">
        <v>43</v>
      </c>
      <c r="C7011" s="38" t="s">
        <v>9615</v>
      </c>
      <c r="D7011" s="23">
        <v>2023</v>
      </c>
      <c r="E7011" s="18" t="s">
        <v>0</v>
      </c>
      <c r="F7011" s="6">
        <v>1</v>
      </c>
      <c r="G7011" s="40">
        <v>5</v>
      </c>
      <c r="H7011" s="40">
        <v>13.95407</v>
      </c>
      <c r="I7011" s="212"/>
      <c r="J7011" s="212"/>
    </row>
    <row r="7012" spans="1:10" s="15" customFormat="1" ht="18" hidden="1" customHeight="1" outlineLevel="1" x14ac:dyDescent="0.25">
      <c r="A7012" s="18">
        <v>2445</v>
      </c>
      <c r="B7012" s="4" t="s">
        <v>43</v>
      </c>
      <c r="C7012" s="38" t="s">
        <v>9616</v>
      </c>
      <c r="D7012" s="23">
        <v>2023</v>
      </c>
      <c r="E7012" s="18" t="s">
        <v>0</v>
      </c>
      <c r="F7012" s="6">
        <v>1</v>
      </c>
      <c r="G7012" s="40">
        <v>5</v>
      </c>
      <c r="H7012" s="40">
        <v>13.14884</v>
      </c>
      <c r="I7012" s="212"/>
      <c r="J7012" s="212"/>
    </row>
    <row r="7013" spans="1:10" s="15" customFormat="1" ht="18" hidden="1" customHeight="1" outlineLevel="1" x14ac:dyDescent="0.25">
      <c r="A7013" s="18">
        <v>6513</v>
      </c>
      <c r="B7013" s="4" t="s">
        <v>43</v>
      </c>
      <c r="C7013" s="38" t="s">
        <v>9617</v>
      </c>
      <c r="D7013" s="23">
        <v>2023</v>
      </c>
      <c r="E7013" s="18" t="s">
        <v>0</v>
      </c>
      <c r="F7013" s="6">
        <v>1</v>
      </c>
      <c r="G7013" s="40">
        <v>15</v>
      </c>
      <c r="H7013" s="40">
        <v>14.2224</v>
      </c>
      <c r="I7013" s="212"/>
      <c r="J7013" s="212"/>
    </row>
    <row r="7014" spans="1:10" s="15" customFormat="1" ht="18" hidden="1" customHeight="1" outlineLevel="1" x14ac:dyDescent="0.25">
      <c r="A7014" s="18">
        <v>2379</v>
      </c>
      <c r="B7014" s="4" t="s">
        <v>43</v>
      </c>
      <c r="C7014" s="38" t="s">
        <v>9618</v>
      </c>
      <c r="D7014" s="23">
        <v>2023</v>
      </c>
      <c r="E7014" s="18" t="s">
        <v>0</v>
      </c>
      <c r="F7014" s="6">
        <v>1</v>
      </c>
      <c r="G7014" s="40">
        <v>10</v>
      </c>
      <c r="H7014" s="40">
        <v>13.95407</v>
      </c>
      <c r="I7014" s="212"/>
      <c r="J7014" s="212"/>
    </row>
    <row r="7015" spans="1:10" s="15" customFormat="1" ht="18" hidden="1" customHeight="1" outlineLevel="1" x14ac:dyDescent="0.25">
      <c r="A7015" s="18">
        <v>2412</v>
      </c>
      <c r="B7015" s="4" t="s">
        <v>43</v>
      </c>
      <c r="C7015" s="38" t="s">
        <v>9619</v>
      </c>
      <c r="D7015" s="23">
        <v>2023</v>
      </c>
      <c r="E7015" s="18" t="s">
        <v>0</v>
      </c>
      <c r="F7015" s="6">
        <v>1</v>
      </c>
      <c r="G7015" s="40">
        <v>5</v>
      </c>
      <c r="H7015" s="40">
        <v>13.954059999999998</v>
      </c>
      <c r="I7015" s="212"/>
      <c r="J7015" s="212"/>
    </row>
    <row r="7016" spans="1:10" s="15" customFormat="1" ht="18" hidden="1" customHeight="1" outlineLevel="1" x14ac:dyDescent="0.25">
      <c r="A7016" s="18">
        <v>6514</v>
      </c>
      <c r="B7016" s="4" t="s">
        <v>43</v>
      </c>
      <c r="C7016" s="38" t="s">
        <v>9620</v>
      </c>
      <c r="D7016" s="23">
        <v>2023</v>
      </c>
      <c r="E7016" s="18" t="s">
        <v>0</v>
      </c>
      <c r="F7016" s="6">
        <v>1</v>
      </c>
      <c r="G7016" s="40">
        <v>10</v>
      </c>
      <c r="H7016" s="40">
        <v>14.035580000000001</v>
      </c>
      <c r="I7016" s="212"/>
      <c r="J7016" s="212"/>
    </row>
    <row r="7017" spans="1:10" s="15" customFormat="1" ht="18" hidden="1" customHeight="1" outlineLevel="1" x14ac:dyDescent="0.25">
      <c r="A7017" s="18">
        <v>6543</v>
      </c>
      <c r="B7017" s="4" t="s">
        <v>43</v>
      </c>
      <c r="C7017" s="38" t="s">
        <v>9621</v>
      </c>
      <c r="D7017" s="23">
        <v>2023</v>
      </c>
      <c r="E7017" s="18" t="s">
        <v>0</v>
      </c>
      <c r="F7017" s="6">
        <v>1</v>
      </c>
      <c r="G7017" s="40">
        <v>15</v>
      </c>
      <c r="H7017" s="40">
        <v>11.913259999999999</v>
      </c>
      <c r="I7017" s="212"/>
      <c r="J7017" s="212"/>
    </row>
    <row r="7018" spans="1:10" s="15" customFormat="1" ht="18" hidden="1" customHeight="1" outlineLevel="1" x14ac:dyDescent="0.25">
      <c r="A7018" s="18">
        <v>1793</v>
      </c>
      <c r="B7018" s="4" t="s">
        <v>43</v>
      </c>
      <c r="C7018" s="38" t="s">
        <v>9622</v>
      </c>
      <c r="D7018" s="23">
        <v>2023</v>
      </c>
      <c r="E7018" s="18" t="s">
        <v>0</v>
      </c>
      <c r="F7018" s="6">
        <v>1</v>
      </c>
      <c r="G7018" s="40">
        <v>5</v>
      </c>
      <c r="H7018" s="40">
        <v>11.913360000000001</v>
      </c>
      <c r="I7018" s="212"/>
      <c r="J7018" s="212"/>
    </row>
    <row r="7019" spans="1:10" s="15" customFormat="1" ht="18" hidden="1" customHeight="1" outlineLevel="1" x14ac:dyDescent="0.25">
      <c r="A7019" s="18">
        <v>6544</v>
      </c>
      <c r="B7019" s="4" t="s">
        <v>43</v>
      </c>
      <c r="C7019" s="38" t="s">
        <v>9623</v>
      </c>
      <c r="D7019" s="23">
        <v>2023</v>
      </c>
      <c r="E7019" s="18" t="s">
        <v>0</v>
      </c>
      <c r="F7019" s="6">
        <v>1</v>
      </c>
      <c r="G7019" s="40">
        <v>15</v>
      </c>
      <c r="H7019" s="40">
        <v>11.913360000000001</v>
      </c>
      <c r="I7019" s="212"/>
      <c r="J7019" s="212"/>
    </row>
    <row r="7020" spans="1:10" s="15" customFormat="1" ht="18" hidden="1" customHeight="1" outlineLevel="1" x14ac:dyDescent="0.25">
      <c r="A7020" s="18">
        <v>6545</v>
      </c>
      <c r="B7020" s="4" t="s">
        <v>43</v>
      </c>
      <c r="C7020" s="38" t="s">
        <v>9624</v>
      </c>
      <c r="D7020" s="23">
        <v>2023</v>
      </c>
      <c r="E7020" s="18" t="s">
        <v>0</v>
      </c>
      <c r="F7020" s="6">
        <v>1</v>
      </c>
      <c r="G7020" s="40">
        <v>10</v>
      </c>
      <c r="H7020" s="40">
        <v>17.046020000000002</v>
      </c>
      <c r="I7020" s="212"/>
      <c r="J7020" s="212"/>
    </row>
    <row r="7021" spans="1:10" s="15" customFormat="1" ht="18" hidden="1" customHeight="1" outlineLevel="1" x14ac:dyDescent="0.25">
      <c r="A7021" s="18">
        <v>6547</v>
      </c>
      <c r="B7021" s="4" t="s">
        <v>43</v>
      </c>
      <c r="C7021" s="38" t="s">
        <v>9625</v>
      </c>
      <c r="D7021" s="23">
        <v>2023</v>
      </c>
      <c r="E7021" s="18" t="s">
        <v>0</v>
      </c>
      <c r="F7021" s="6">
        <v>1</v>
      </c>
      <c r="G7021" s="40">
        <v>5</v>
      </c>
      <c r="H7021" s="40">
        <v>13.966480000000001</v>
      </c>
      <c r="I7021" s="212"/>
      <c r="J7021" s="212"/>
    </row>
    <row r="7022" spans="1:10" s="15" customFormat="1" ht="18" hidden="1" customHeight="1" outlineLevel="1" x14ac:dyDescent="0.25">
      <c r="A7022" s="18">
        <v>2462</v>
      </c>
      <c r="B7022" s="4" t="s">
        <v>43</v>
      </c>
      <c r="C7022" s="38" t="s">
        <v>9626</v>
      </c>
      <c r="D7022" s="23">
        <v>2023</v>
      </c>
      <c r="E7022" s="18" t="s">
        <v>0</v>
      </c>
      <c r="F7022" s="6">
        <v>1</v>
      </c>
      <c r="G7022" s="40">
        <v>5</v>
      </c>
      <c r="H7022" s="40">
        <v>18.07254</v>
      </c>
      <c r="I7022" s="212"/>
      <c r="J7022" s="212"/>
    </row>
    <row r="7023" spans="1:10" s="15" customFormat="1" ht="18" hidden="1" customHeight="1" outlineLevel="1" x14ac:dyDescent="0.25">
      <c r="A7023" s="18">
        <v>6548</v>
      </c>
      <c r="B7023" s="4" t="s">
        <v>43</v>
      </c>
      <c r="C7023" s="38" t="s">
        <v>9627</v>
      </c>
      <c r="D7023" s="23">
        <v>2023</v>
      </c>
      <c r="E7023" s="18" t="s">
        <v>0</v>
      </c>
      <c r="F7023" s="6">
        <v>1</v>
      </c>
      <c r="G7023" s="40">
        <v>10</v>
      </c>
      <c r="H7023" s="40">
        <v>11.913360000000001</v>
      </c>
      <c r="I7023" s="212"/>
      <c r="J7023" s="212"/>
    </row>
    <row r="7024" spans="1:10" s="15" customFormat="1" ht="18" hidden="1" customHeight="1" outlineLevel="1" x14ac:dyDescent="0.25">
      <c r="A7024" s="18">
        <v>2490</v>
      </c>
      <c r="B7024" s="4" t="s">
        <v>43</v>
      </c>
      <c r="C7024" s="38" t="s">
        <v>9628</v>
      </c>
      <c r="D7024" s="23">
        <v>2023</v>
      </c>
      <c r="E7024" s="18" t="s">
        <v>0</v>
      </c>
      <c r="F7024" s="6">
        <v>1</v>
      </c>
      <c r="G7024" s="40">
        <v>5</v>
      </c>
      <c r="H7024" s="40">
        <v>11.586399999999999</v>
      </c>
      <c r="I7024" s="212"/>
      <c r="J7024" s="212"/>
    </row>
    <row r="7025" spans="1:10" s="15" customFormat="1" ht="18" hidden="1" customHeight="1" outlineLevel="1" x14ac:dyDescent="0.25">
      <c r="A7025" s="18">
        <v>6549</v>
      </c>
      <c r="B7025" s="4" t="s">
        <v>43</v>
      </c>
      <c r="C7025" s="38" t="s">
        <v>9629</v>
      </c>
      <c r="D7025" s="23">
        <v>2023</v>
      </c>
      <c r="E7025" s="18" t="s">
        <v>0</v>
      </c>
      <c r="F7025" s="6">
        <v>1</v>
      </c>
      <c r="G7025" s="40">
        <v>10</v>
      </c>
      <c r="H7025" s="40">
        <v>16.019139999999997</v>
      </c>
      <c r="I7025" s="212"/>
      <c r="J7025" s="212"/>
    </row>
    <row r="7026" spans="1:10" s="15" customFormat="1" ht="18" hidden="1" customHeight="1" outlineLevel="1" x14ac:dyDescent="0.25">
      <c r="A7026" s="18">
        <v>6550</v>
      </c>
      <c r="B7026" s="4" t="s">
        <v>43</v>
      </c>
      <c r="C7026" s="38" t="s">
        <v>9630</v>
      </c>
      <c r="D7026" s="23">
        <v>2023</v>
      </c>
      <c r="E7026" s="18" t="s">
        <v>0</v>
      </c>
      <c r="F7026" s="6">
        <v>1</v>
      </c>
      <c r="G7026" s="40">
        <v>7</v>
      </c>
      <c r="H7026" s="40">
        <v>16.019469999999998</v>
      </c>
      <c r="I7026" s="212"/>
      <c r="J7026" s="212"/>
    </row>
    <row r="7027" spans="1:10" s="15" customFormat="1" ht="18" hidden="1" customHeight="1" outlineLevel="1" x14ac:dyDescent="0.25">
      <c r="A7027" s="18">
        <v>6551</v>
      </c>
      <c r="B7027" s="4" t="s">
        <v>43</v>
      </c>
      <c r="C7027" s="38" t="s">
        <v>9631</v>
      </c>
      <c r="D7027" s="23">
        <v>2023</v>
      </c>
      <c r="E7027" s="18" t="s">
        <v>0</v>
      </c>
      <c r="F7027" s="6">
        <v>1</v>
      </c>
      <c r="G7027" s="40">
        <v>15</v>
      </c>
      <c r="H7027" s="40">
        <v>18.07254</v>
      </c>
      <c r="I7027" s="212"/>
      <c r="J7027" s="212"/>
    </row>
    <row r="7028" spans="1:10" s="15" customFormat="1" ht="18" hidden="1" customHeight="1" outlineLevel="1" x14ac:dyDescent="0.25">
      <c r="A7028" s="18">
        <v>6552</v>
      </c>
      <c r="B7028" s="4" t="s">
        <v>43</v>
      </c>
      <c r="C7028" s="38" t="s">
        <v>9632</v>
      </c>
      <c r="D7028" s="23">
        <v>2023</v>
      </c>
      <c r="E7028" s="18" t="s">
        <v>0</v>
      </c>
      <c r="F7028" s="6">
        <v>1</v>
      </c>
      <c r="G7028" s="40">
        <v>10</v>
      </c>
      <c r="H7028" s="40">
        <v>10.435649999999999</v>
      </c>
      <c r="I7028" s="212"/>
      <c r="J7028" s="212"/>
    </row>
    <row r="7029" spans="1:10" s="15" customFormat="1" ht="18" hidden="1" customHeight="1" outlineLevel="1" x14ac:dyDescent="0.25">
      <c r="A7029" s="18">
        <v>2074</v>
      </c>
      <c r="B7029" s="4" t="s">
        <v>43</v>
      </c>
      <c r="C7029" s="38" t="s">
        <v>9633</v>
      </c>
      <c r="D7029" s="23">
        <v>2023</v>
      </c>
      <c r="E7029" s="18" t="s">
        <v>0</v>
      </c>
      <c r="F7029" s="6">
        <v>1</v>
      </c>
      <c r="G7029" s="40">
        <v>3</v>
      </c>
      <c r="H7029" s="40">
        <v>11.58629</v>
      </c>
      <c r="I7029" s="212"/>
      <c r="J7029" s="212"/>
    </row>
    <row r="7030" spans="1:10" s="15" customFormat="1" ht="18" hidden="1" customHeight="1" outlineLevel="1" x14ac:dyDescent="0.25">
      <c r="A7030" s="18">
        <v>2073</v>
      </c>
      <c r="B7030" s="4" t="s">
        <v>43</v>
      </c>
      <c r="C7030" s="38" t="s">
        <v>9634</v>
      </c>
      <c r="D7030" s="23">
        <v>2023</v>
      </c>
      <c r="E7030" s="18" t="s">
        <v>0</v>
      </c>
      <c r="F7030" s="6">
        <v>1</v>
      </c>
      <c r="G7030" s="40">
        <v>5</v>
      </c>
      <c r="H7030" s="40">
        <v>11.586399999999999</v>
      </c>
      <c r="I7030" s="212"/>
      <c r="J7030" s="212"/>
    </row>
    <row r="7031" spans="1:10" s="15" customFormat="1" ht="18" hidden="1" customHeight="1" outlineLevel="1" x14ac:dyDescent="0.25">
      <c r="A7031" s="18">
        <v>2184</v>
      </c>
      <c r="B7031" s="4" t="s">
        <v>43</v>
      </c>
      <c r="C7031" s="38" t="s">
        <v>9635</v>
      </c>
      <c r="D7031" s="23">
        <v>2023</v>
      </c>
      <c r="E7031" s="18" t="s">
        <v>0</v>
      </c>
      <c r="F7031" s="6">
        <v>1</v>
      </c>
      <c r="G7031" s="40">
        <v>5</v>
      </c>
      <c r="H7031" s="40">
        <v>13.966469999999999</v>
      </c>
      <c r="I7031" s="212"/>
      <c r="J7031" s="212"/>
    </row>
    <row r="7032" spans="1:10" s="15" customFormat="1" ht="18" hidden="1" customHeight="1" outlineLevel="1" x14ac:dyDescent="0.25">
      <c r="A7032" s="18">
        <v>6553</v>
      </c>
      <c r="B7032" s="4" t="s">
        <v>43</v>
      </c>
      <c r="C7032" s="38" t="s">
        <v>9636</v>
      </c>
      <c r="D7032" s="23">
        <v>2023</v>
      </c>
      <c r="E7032" s="18" t="s">
        <v>0</v>
      </c>
      <c r="F7032" s="6">
        <v>1</v>
      </c>
      <c r="G7032" s="40">
        <v>10</v>
      </c>
      <c r="H7032" s="40">
        <v>13.96649</v>
      </c>
      <c r="I7032" s="212"/>
      <c r="J7032" s="212"/>
    </row>
    <row r="7033" spans="1:10" s="15" customFormat="1" ht="18" hidden="1" customHeight="1" outlineLevel="1" x14ac:dyDescent="0.25">
      <c r="A7033" s="18">
        <v>6554</v>
      </c>
      <c r="B7033" s="4" t="s">
        <v>43</v>
      </c>
      <c r="C7033" s="38" t="s">
        <v>9637</v>
      </c>
      <c r="D7033" s="23">
        <v>2023</v>
      </c>
      <c r="E7033" s="18" t="s">
        <v>0</v>
      </c>
      <c r="F7033" s="6">
        <v>1</v>
      </c>
      <c r="G7033" s="40">
        <v>8</v>
      </c>
      <c r="H7033" s="40">
        <v>16.019450000000003</v>
      </c>
      <c r="I7033" s="212"/>
      <c r="J7033" s="212"/>
    </row>
    <row r="7034" spans="1:10" s="15" customFormat="1" ht="18" hidden="1" customHeight="1" outlineLevel="1" x14ac:dyDescent="0.25">
      <c r="A7034" s="18">
        <v>6555</v>
      </c>
      <c r="B7034" s="4" t="s">
        <v>43</v>
      </c>
      <c r="C7034" s="38" t="s">
        <v>9638</v>
      </c>
      <c r="D7034" s="23">
        <v>2023</v>
      </c>
      <c r="E7034" s="18" t="s">
        <v>0</v>
      </c>
      <c r="F7034" s="6">
        <v>1</v>
      </c>
      <c r="G7034" s="40">
        <v>5</v>
      </c>
      <c r="H7034" s="40">
        <v>16.019470000000002</v>
      </c>
      <c r="I7034" s="212"/>
      <c r="J7034" s="212"/>
    </row>
    <row r="7035" spans="1:10" s="15" customFormat="1" ht="18" hidden="1" customHeight="1" outlineLevel="1" x14ac:dyDescent="0.25">
      <c r="A7035" s="18">
        <v>6556</v>
      </c>
      <c r="B7035" s="4" t="s">
        <v>43</v>
      </c>
      <c r="C7035" s="38" t="s">
        <v>9639</v>
      </c>
      <c r="D7035" s="23">
        <v>2023</v>
      </c>
      <c r="E7035" s="18" t="s">
        <v>0</v>
      </c>
      <c r="F7035" s="6">
        <v>1</v>
      </c>
      <c r="G7035" s="40">
        <v>10</v>
      </c>
      <c r="H7035" s="40">
        <v>11.011049999999999</v>
      </c>
      <c r="I7035" s="212"/>
      <c r="J7035" s="212"/>
    </row>
    <row r="7036" spans="1:10" s="15" customFormat="1" ht="18" hidden="1" customHeight="1" outlineLevel="1" x14ac:dyDescent="0.25">
      <c r="A7036" s="18">
        <v>2200</v>
      </c>
      <c r="B7036" s="4" t="s">
        <v>43</v>
      </c>
      <c r="C7036" s="38" t="s">
        <v>9640</v>
      </c>
      <c r="D7036" s="23">
        <v>2023</v>
      </c>
      <c r="E7036" s="18" t="s">
        <v>0</v>
      </c>
      <c r="F7036" s="6">
        <v>1</v>
      </c>
      <c r="G7036" s="40">
        <v>5</v>
      </c>
      <c r="H7036" s="40">
        <v>11.01107</v>
      </c>
      <c r="I7036" s="212"/>
      <c r="J7036" s="212"/>
    </row>
    <row r="7037" spans="1:10" s="15" customFormat="1" ht="18" hidden="1" customHeight="1" outlineLevel="1" x14ac:dyDescent="0.25">
      <c r="A7037" s="18">
        <v>6557</v>
      </c>
      <c r="B7037" s="4" t="s">
        <v>43</v>
      </c>
      <c r="C7037" s="38" t="s">
        <v>9641</v>
      </c>
      <c r="D7037" s="23">
        <v>2023</v>
      </c>
      <c r="E7037" s="18" t="s">
        <v>0</v>
      </c>
      <c r="F7037" s="6">
        <v>1</v>
      </c>
      <c r="G7037" s="40">
        <v>15</v>
      </c>
      <c r="H7037" s="40">
        <v>12.161709999999999</v>
      </c>
      <c r="I7037" s="212"/>
      <c r="J7037" s="212"/>
    </row>
    <row r="7038" spans="1:10" s="15" customFormat="1" ht="18" hidden="1" customHeight="1" outlineLevel="1" x14ac:dyDescent="0.25">
      <c r="A7038" s="18">
        <v>2316</v>
      </c>
      <c r="B7038" s="4" t="s">
        <v>43</v>
      </c>
      <c r="C7038" s="38" t="s">
        <v>9642</v>
      </c>
      <c r="D7038" s="23">
        <v>2023</v>
      </c>
      <c r="E7038" s="18" t="s">
        <v>0</v>
      </c>
      <c r="F7038" s="6">
        <v>1</v>
      </c>
      <c r="G7038" s="40">
        <v>5</v>
      </c>
      <c r="H7038" s="40">
        <v>16.019369999999999</v>
      </c>
      <c r="I7038" s="212"/>
      <c r="J7038" s="212"/>
    </row>
    <row r="7039" spans="1:10" s="15" customFormat="1" ht="18" hidden="1" customHeight="1" outlineLevel="1" x14ac:dyDescent="0.25">
      <c r="A7039" s="18">
        <v>2335</v>
      </c>
      <c r="B7039" s="4" t="s">
        <v>43</v>
      </c>
      <c r="C7039" s="38" t="s">
        <v>9643</v>
      </c>
      <c r="D7039" s="23">
        <v>2023</v>
      </c>
      <c r="E7039" s="18" t="s">
        <v>0</v>
      </c>
      <c r="F7039" s="6">
        <v>1</v>
      </c>
      <c r="G7039" s="40">
        <v>3</v>
      </c>
      <c r="H7039" s="40">
        <v>16.019450000000003</v>
      </c>
      <c r="I7039" s="212"/>
      <c r="J7039" s="212"/>
    </row>
    <row r="7040" spans="1:10" s="15" customFormat="1" ht="18" hidden="1" customHeight="1" outlineLevel="1" x14ac:dyDescent="0.25">
      <c r="A7040" s="18">
        <v>6558</v>
      </c>
      <c r="B7040" s="4" t="s">
        <v>43</v>
      </c>
      <c r="C7040" s="38" t="s">
        <v>9644</v>
      </c>
      <c r="D7040" s="23">
        <v>2023</v>
      </c>
      <c r="E7040" s="18" t="s">
        <v>0</v>
      </c>
      <c r="F7040" s="6">
        <v>1</v>
      </c>
      <c r="G7040" s="40">
        <v>15</v>
      </c>
      <c r="H7040" s="40">
        <v>13.31249</v>
      </c>
      <c r="I7040" s="212"/>
      <c r="J7040" s="212"/>
    </row>
    <row r="7041" spans="1:10" s="15" customFormat="1" ht="18" hidden="1" customHeight="1" outlineLevel="1" x14ac:dyDescent="0.25">
      <c r="A7041" s="18">
        <v>6582</v>
      </c>
      <c r="B7041" s="4" t="s">
        <v>43</v>
      </c>
      <c r="C7041" s="38" t="s">
        <v>9645</v>
      </c>
      <c r="D7041" s="23">
        <v>2023</v>
      </c>
      <c r="E7041" s="18" t="s">
        <v>0</v>
      </c>
      <c r="F7041" s="6">
        <v>1</v>
      </c>
      <c r="G7041" s="40">
        <v>14</v>
      </c>
      <c r="H7041" s="40">
        <v>11.687159999999999</v>
      </c>
      <c r="I7041" s="212"/>
      <c r="J7041" s="212"/>
    </row>
    <row r="7042" spans="1:10" s="15" customFormat="1" ht="18" hidden="1" customHeight="1" outlineLevel="1" x14ac:dyDescent="0.25">
      <c r="A7042" s="18">
        <v>6583</v>
      </c>
      <c r="B7042" s="4" t="s">
        <v>43</v>
      </c>
      <c r="C7042" s="38" t="s">
        <v>9646</v>
      </c>
      <c r="D7042" s="23">
        <v>2023</v>
      </c>
      <c r="E7042" s="18" t="s">
        <v>0</v>
      </c>
      <c r="F7042" s="6">
        <v>1</v>
      </c>
      <c r="G7042" s="40">
        <v>10</v>
      </c>
      <c r="H7042" s="40">
        <v>11.687150000000001</v>
      </c>
      <c r="I7042" s="212"/>
      <c r="J7042" s="212"/>
    </row>
    <row r="7043" spans="1:10" s="15" customFormat="1" ht="18" hidden="1" customHeight="1" outlineLevel="1" x14ac:dyDescent="0.25">
      <c r="A7043" s="18">
        <v>2576</v>
      </c>
      <c r="B7043" s="4" t="s">
        <v>43</v>
      </c>
      <c r="C7043" s="38" t="s">
        <v>9647</v>
      </c>
      <c r="D7043" s="23">
        <v>2023</v>
      </c>
      <c r="E7043" s="18" t="s">
        <v>0</v>
      </c>
      <c r="F7043" s="6">
        <v>1</v>
      </c>
      <c r="G7043" s="40">
        <v>5</v>
      </c>
      <c r="H7043" s="40">
        <v>12.453099999999997</v>
      </c>
      <c r="I7043" s="212"/>
      <c r="J7043" s="212"/>
    </row>
    <row r="7044" spans="1:10" s="15" customFormat="1" ht="18" hidden="1" customHeight="1" outlineLevel="1" x14ac:dyDescent="0.25">
      <c r="A7044" s="18">
        <v>2584</v>
      </c>
      <c r="B7044" s="4" t="s">
        <v>43</v>
      </c>
      <c r="C7044" s="38" t="s">
        <v>9648</v>
      </c>
      <c r="D7044" s="23">
        <v>2023</v>
      </c>
      <c r="E7044" s="18" t="s">
        <v>0</v>
      </c>
      <c r="F7044" s="6">
        <v>1</v>
      </c>
      <c r="G7044" s="40">
        <v>2</v>
      </c>
      <c r="H7044" s="40">
        <v>10.921240000000001</v>
      </c>
      <c r="I7044" s="212"/>
      <c r="J7044" s="212"/>
    </row>
    <row r="7045" spans="1:10" s="15" customFormat="1" ht="18" hidden="1" customHeight="1" outlineLevel="1" x14ac:dyDescent="0.25">
      <c r="A7045" s="18">
        <v>2582</v>
      </c>
      <c r="B7045" s="4" t="s">
        <v>43</v>
      </c>
      <c r="C7045" s="38" t="s">
        <v>9649</v>
      </c>
      <c r="D7045" s="23">
        <v>2023</v>
      </c>
      <c r="E7045" s="18" t="s">
        <v>0</v>
      </c>
      <c r="F7045" s="6">
        <v>1</v>
      </c>
      <c r="G7045" s="40">
        <v>10</v>
      </c>
      <c r="H7045" s="40">
        <v>12.453099999999999</v>
      </c>
      <c r="I7045" s="212"/>
      <c r="J7045" s="212"/>
    </row>
    <row r="7046" spans="1:10" s="15" customFormat="1" ht="18" hidden="1" customHeight="1" outlineLevel="1" x14ac:dyDescent="0.25">
      <c r="A7046" s="18">
        <v>6584</v>
      </c>
      <c r="B7046" s="4" t="s">
        <v>43</v>
      </c>
      <c r="C7046" s="38" t="s">
        <v>9650</v>
      </c>
      <c r="D7046" s="23">
        <v>2023</v>
      </c>
      <c r="E7046" s="18" t="s">
        <v>0</v>
      </c>
      <c r="F7046" s="6">
        <v>1</v>
      </c>
      <c r="G7046" s="40">
        <v>7.5</v>
      </c>
      <c r="H7046" s="40">
        <v>11.687150000000001</v>
      </c>
      <c r="I7046" s="212"/>
      <c r="J7046" s="212"/>
    </row>
    <row r="7047" spans="1:10" s="15" customFormat="1" ht="18" hidden="1" customHeight="1" outlineLevel="1" x14ac:dyDescent="0.25">
      <c r="A7047" s="18">
        <v>6585</v>
      </c>
      <c r="B7047" s="4" t="s">
        <v>43</v>
      </c>
      <c r="C7047" s="38" t="s">
        <v>9651</v>
      </c>
      <c r="D7047" s="23">
        <v>2023</v>
      </c>
      <c r="E7047" s="18" t="s">
        <v>0</v>
      </c>
      <c r="F7047" s="6">
        <v>1</v>
      </c>
      <c r="G7047" s="40">
        <v>6</v>
      </c>
      <c r="H7047" s="40">
        <v>20.87801</v>
      </c>
      <c r="I7047" s="212"/>
      <c r="J7047" s="212"/>
    </row>
    <row r="7048" spans="1:10" s="15" customFormat="1" ht="18" hidden="1" customHeight="1" outlineLevel="1" x14ac:dyDescent="0.25">
      <c r="A7048" s="18">
        <v>2614</v>
      </c>
      <c r="B7048" s="4" t="s">
        <v>43</v>
      </c>
      <c r="C7048" s="38" t="s">
        <v>9652</v>
      </c>
      <c r="D7048" s="23">
        <v>2023</v>
      </c>
      <c r="E7048" s="18" t="s">
        <v>0</v>
      </c>
      <c r="F7048" s="6">
        <v>1</v>
      </c>
      <c r="G7048" s="40">
        <v>15</v>
      </c>
      <c r="H7048" s="40">
        <v>38.999580000000002</v>
      </c>
      <c r="I7048" s="212"/>
      <c r="J7048" s="212"/>
    </row>
    <row r="7049" spans="1:10" s="15" customFormat="1" ht="18" hidden="1" customHeight="1" outlineLevel="1" x14ac:dyDescent="0.25">
      <c r="A7049" s="18">
        <v>2542</v>
      </c>
      <c r="B7049" s="4" t="s">
        <v>43</v>
      </c>
      <c r="C7049" s="38" t="s">
        <v>9653</v>
      </c>
      <c r="D7049" s="23">
        <v>2023</v>
      </c>
      <c r="E7049" s="18" t="s">
        <v>0</v>
      </c>
      <c r="F7049" s="6">
        <v>1</v>
      </c>
      <c r="G7049" s="40">
        <v>2</v>
      </c>
      <c r="H7049" s="40">
        <v>15.609069999999999</v>
      </c>
      <c r="I7049" s="212"/>
      <c r="J7049" s="212"/>
    </row>
    <row r="7050" spans="1:10" s="15" customFormat="1" ht="18" hidden="1" customHeight="1" outlineLevel="1" x14ac:dyDescent="0.25">
      <c r="A7050" s="18">
        <v>2568</v>
      </c>
      <c r="B7050" s="4" t="s">
        <v>43</v>
      </c>
      <c r="C7050" s="38" t="s">
        <v>9654</v>
      </c>
      <c r="D7050" s="23">
        <v>2023</v>
      </c>
      <c r="E7050" s="18" t="s">
        <v>0</v>
      </c>
      <c r="F7050" s="6">
        <v>1</v>
      </c>
      <c r="G7050" s="40">
        <v>5</v>
      </c>
      <c r="H7050" s="40">
        <v>15.609069999999999</v>
      </c>
      <c r="I7050" s="212"/>
      <c r="J7050" s="212"/>
    </row>
    <row r="7051" spans="1:10" s="15" customFormat="1" ht="18" hidden="1" customHeight="1" outlineLevel="1" x14ac:dyDescent="0.25">
      <c r="A7051" s="18">
        <v>6597</v>
      </c>
      <c r="B7051" s="4" t="s">
        <v>43</v>
      </c>
      <c r="C7051" s="38" t="s">
        <v>9655</v>
      </c>
      <c r="D7051" s="23">
        <v>2023</v>
      </c>
      <c r="E7051" s="18" t="s">
        <v>0</v>
      </c>
      <c r="F7051" s="6">
        <v>1</v>
      </c>
      <c r="G7051" s="40">
        <v>10</v>
      </c>
      <c r="H7051" s="40">
        <v>15.609069999999999</v>
      </c>
      <c r="I7051" s="212"/>
      <c r="J7051" s="212"/>
    </row>
    <row r="7052" spans="1:10" s="15" customFormat="1" ht="18" hidden="1" customHeight="1" outlineLevel="1" x14ac:dyDescent="0.25">
      <c r="A7052" s="18">
        <v>2574</v>
      </c>
      <c r="B7052" s="4" t="s">
        <v>43</v>
      </c>
      <c r="C7052" s="38" t="s">
        <v>9656</v>
      </c>
      <c r="D7052" s="23">
        <v>2023</v>
      </c>
      <c r="E7052" s="18" t="s">
        <v>0</v>
      </c>
      <c r="F7052" s="6">
        <v>1</v>
      </c>
      <c r="G7052" s="40">
        <v>5</v>
      </c>
      <c r="H7052" s="40">
        <v>15.609069999999999</v>
      </c>
      <c r="I7052" s="212"/>
      <c r="J7052" s="212"/>
    </row>
    <row r="7053" spans="1:10" s="15" customFormat="1" ht="18" hidden="1" customHeight="1" outlineLevel="1" x14ac:dyDescent="0.25">
      <c r="A7053" s="18">
        <v>2555</v>
      </c>
      <c r="B7053" s="4" t="s">
        <v>43</v>
      </c>
      <c r="C7053" s="38" t="s">
        <v>9657</v>
      </c>
      <c r="D7053" s="23">
        <v>2023</v>
      </c>
      <c r="E7053" s="18" t="s">
        <v>0</v>
      </c>
      <c r="F7053" s="6">
        <v>1</v>
      </c>
      <c r="G7053" s="40">
        <v>6</v>
      </c>
      <c r="H7053" s="40">
        <v>15.609069999999999</v>
      </c>
      <c r="I7053" s="212"/>
      <c r="J7053" s="212"/>
    </row>
    <row r="7054" spans="1:10" s="15" customFormat="1" ht="18" hidden="1" customHeight="1" outlineLevel="1" x14ac:dyDescent="0.25">
      <c r="A7054" s="18">
        <v>6601</v>
      </c>
      <c r="B7054" s="4" t="s">
        <v>43</v>
      </c>
      <c r="C7054" s="38" t="s">
        <v>9658</v>
      </c>
      <c r="D7054" s="23">
        <v>2023</v>
      </c>
      <c r="E7054" s="18" t="s">
        <v>0</v>
      </c>
      <c r="F7054" s="6">
        <v>1</v>
      </c>
      <c r="G7054" s="40">
        <v>6</v>
      </c>
      <c r="H7054" s="40">
        <v>15.609069999999999</v>
      </c>
      <c r="I7054" s="212"/>
      <c r="J7054" s="212"/>
    </row>
    <row r="7055" spans="1:10" s="15" customFormat="1" ht="18" hidden="1" customHeight="1" outlineLevel="1" x14ac:dyDescent="0.25">
      <c r="A7055" s="18">
        <v>6605</v>
      </c>
      <c r="B7055" s="4" t="s">
        <v>43</v>
      </c>
      <c r="C7055" s="38" t="s">
        <v>9659</v>
      </c>
      <c r="D7055" s="23">
        <v>2023</v>
      </c>
      <c r="E7055" s="18" t="s">
        <v>0</v>
      </c>
      <c r="F7055" s="6">
        <v>1</v>
      </c>
      <c r="G7055" s="40">
        <v>8</v>
      </c>
      <c r="H7055" s="40">
        <v>15.609069999999999</v>
      </c>
      <c r="I7055" s="212"/>
      <c r="J7055" s="212"/>
    </row>
    <row r="7056" spans="1:10" s="15" customFormat="1" ht="18" hidden="1" customHeight="1" outlineLevel="1" x14ac:dyDescent="0.25">
      <c r="A7056" s="18">
        <v>6606</v>
      </c>
      <c r="B7056" s="4" t="s">
        <v>43</v>
      </c>
      <c r="C7056" s="38" t="s">
        <v>9660</v>
      </c>
      <c r="D7056" s="23">
        <v>2023</v>
      </c>
      <c r="E7056" s="18" t="s">
        <v>0</v>
      </c>
      <c r="F7056" s="6">
        <v>1</v>
      </c>
      <c r="G7056" s="40">
        <v>5</v>
      </c>
      <c r="H7056" s="40">
        <v>15.609069999999999</v>
      </c>
      <c r="I7056" s="212"/>
      <c r="J7056" s="212"/>
    </row>
    <row r="7057" spans="1:10" s="15" customFormat="1" ht="18" hidden="1" customHeight="1" outlineLevel="1" x14ac:dyDescent="0.25">
      <c r="A7057" s="18">
        <v>6538</v>
      </c>
      <c r="B7057" s="4" t="s">
        <v>43</v>
      </c>
      <c r="C7057" s="38" t="s">
        <v>9661</v>
      </c>
      <c r="D7057" s="23">
        <v>2023</v>
      </c>
      <c r="E7057" s="18" t="s">
        <v>0</v>
      </c>
      <c r="F7057" s="6">
        <v>1</v>
      </c>
      <c r="G7057" s="40">
        <v>0.12</v>
      </c>
      <c r="H7057" s="40">
        <v>14.606</v>
      </c>
      <c r="I7057" s="212"/>
      <c r="J7057" s="212"/>
    </row>
    <row r="7058" spans="1:10" s="15" customFormat="1" ht="18" hidden="1" customHeight="1" outlineLevel="1" x14ac:dyDescent="0.25">
      <c r="A7058" s="18">
        <v>6539</v>
      </c>
      <c r="B7058" s="4" t="s">
        <v>43</v>
      </c>
      <c r="C7058" s="38" t="s">
        <v>9662</v>
      </c>
      <c r="D7058" s="23">
        <v>2023</v>
      </c>
      <c r="E7058" s="18" t="s">
        <v>0</v>
      </c>
      <c r="F7058" s="6">
        <v>1</v>
      </c>
      <c r="G7058" s="40">
        <v>15</v>
      </c>
      <c r="H7058" s="40">
        <v>14.606</v>
      </c>
      <c r="I7058" s="212"/>
      <c r="J7058" s="212"/>
    </row>
    <row r="7059" spans="1:10" s="15" customFormat="1" ht="18" hidden="1" customHeight="1" outlineLevel="1" x14ac:dyDescent="0.25">
      <c r="A7059" s="18">
        <v>6540</v>
      </c>
      <c r="B7059" s="4" t="s">
        <v>43</v>
      </c>
      <c r="C7059" s="38" t="s">
        <v>9663</v>
      </c>
      <c r="D7059" s="23">
        <v>2023</v>
      </c>
      <c r="E7059" s="18" t="s">
        <v>0</v>
      </c>
      <c r="F7059" s="6">
        <v>1</v>
      </c>
      <c r="G7059" s="40">
        <v>12</v>
      </c>
      <c r="H7059" s="40">
        <v>14.606</v>
      </c>
      <c r="I7059" s="212"/>
      <c r="J7059" s="212"/>
    </row>
    <row r="7060" spans="1:10" s="15" customFormat="1" ht="18" hidden="1" customHeight="1" outlineLevel="1" x14ac:dyDescent="0.25">
      <c r="A7060" s="18">
        <v>2615</v>
      </c>
      <c r="B7060" s="4" t="s">
        <v>43</v>
      </c>
      <c r="C7060" s="38" t="s">
        <v>9664</v>
      </c>
      <c r="D7060" s="23">
        <v>2023</v>
      </c>
      <c r="E7060" s="18" t="s">
        <v>0</v>
      </c>
      <c r="F7060" s="6">
        <v>1</v>
      </c>
      <c r="G7060" s="40">
        <v>5</v>
      </c>
      <c r="H7060" s="40">
        <v>14.60472</v>
      </c>
      <c r="I7060" s="212"/>
      <c r="J7060" s="212"/>
    </row>
    <row r="7061" spans="1:10" s="15" customFormat="1" ht="18" hidden="1" customHeight="1" outlineLevel="1" x14ac:dyDescent="0.25">
      <c r="A7061" s="18">
        <v>2496</v>
      </c>
      <c r="B7061" s="4" t="s">
        <v>43</v>
      </c>
      <c r="C7061" s="38" t="s">
        <v>9665</v>
      </c>
      <c r="D7061" s="23">
        <v>2023</v>
      </c>
      <c r="E7061" s="18" t="s">
        <v>0</v>
      </c>
      <c r="F7061" s="6">
        <v>1</v>
      </c>
      <c r="G7061" s="40">
        <v>15</v>
      </c>
      <c r="H7061" s="40">
        <v>13.50296</v>
      </c>
      <c r="I7061" s="212"/>
      <c r="J7061" s="212"/>
    </row>
    <row r="7062" spans="1:10" s="15" customFormat="1" ht="18" hidden="1" customHeight="1" outlineLevel="1" x14ac:dyDescent="0.25">
      <c r="A7062" s="18">
        <v>2612</v>
      </c>
      <c r="B7062" s="4" t="s">
        <v>43</v>
      </c>
      <c r="C7062" s="38" t="s">
        <v>9666</v>
      </c>
      <c r="D7062" s="23">
        <v>2023</v>
      </c>
      <c r="E7062" s="18" t="s">
        <v>0</v>
      </c>
      <c r="F7062" s="6">
        <v>1</v>
      </c>
      <c r="G7062" s="40">
        <v>15</v>
      </c>
      <c r="H7062" s="40">
        <v>14.86253</v>
      </c>
      <c r="I7062" s="212"/>
      <c r="J7062" s="212"/>
    </row>
    <row r="7063" spans="1:10" s="15" customFormat="1" ht="18" hidden="1" customHeight="1" outlineLevel="1" x14ac:dyDescent="0.25">
      <c r="A7063" s="18">
        <v>2518</v>
      </c>
      <c r="B7063" s="4" t="s">
        <v>43</v>
      </c>
      <c r="C7063" s="38" t="s">
        <v>9667</v>
      </c>
      <c r="D7063" s="23">
        <v>2023</v>
      </c>
      <c r="E7063" s="18" t="s">
        <v>0</v>
      </c>
      <c r="F7063" s="6">
        <v>1</v>
      </c>
      <c r="G7063" s="40">
        <v>5</v>
      </c>
      <c r="H7063" s="40">
        <v>14.60472</v>
      </c>
      <c r="I7063" s="212"/>
      <c r="J7063" s="212"/>
    </row>
    <row r="7064" spans="1:10" s="15" customFormat="1" ht="18" hidden="1" customHeight="1" outlineLevel="1" x14ac:dyDescent="0.25">
      <c r="A7064" s="18">
        <v>2541</v>
      </c>
      <c r="B7064" s="4" t="s">
        <v>43</v>
      </c>
      <c r="C7064" s="38" t="s">
        <v>9668</v>
      </c>
      <c r="D7064" s="23">
        <v>2023</v>
      </c>
      <c r="E7064" s="18" t="s">
        <v>0</v>
      </c>
      <c r="F7064" s="6">
        <v>1</v>
      </c>
      <c r="G7064" s="40">
        <v>2</v>
      </c>
      <c r="H7064" s="40">
        <v>13.365200000000002</v>
      </c>
      <c r="I7064" s="212"/>
      <c r="J7064" s="212"/>
    </row>
    <row r="7065" spans="1:10" s="15" customFormat="1" ht="18" hidden="1" customHeight="1" outlineLevel="1" x14ac:dyDescent="0.25">
      <c r="A7065" s="18">
        <v>2352</v>
      </c>
      <c r="B7065" s="4" t="s">
        <v>43</v>
      </c>
      <c r="C7065" s="38" t="s">
        <v>9669</v>
      </c>
      <c r="D7065" s="23">
        <v>2023</v>
      </c>
      <c r="E7065" s="18" t="s">
        <v>0</v>
      </c>
      <c r="F7065" s="6">
        <v>1</v>
      </c>
      <c r="G7065" s="40">
        <v>8</v>
      </c>
      <c r="H7065" s="40">
        <v>17.424889999999998</v>
      </c>
      <c r="I7065" s="212"/>
      <c r="J7065" s="212"/>
    </row>
    <row r="7066" spans="1:10" s="15" customFormat="1" ht="18" hidden="1" customHeight="1" outlineLevel="1" x14ac:dyDescent="0.25">
      <c r="A7066" s="18">
        <v>6546</v>
      </c>
      <c r="B7066" s="4" t="s">
        <v>43</v>
      </c>
      <c r="C7066" s="38" t="s">
        <v>9670</v>
      </c>
      <c r="D7066" s="23">
        <v>2023</v>
      </c>
      <c r="E7066" s="18" t="s">
        <v>0</v>
      </c>
      <c r="F7066" s="6">
        <v>1</v>
      </c>
      <c r="G7066" s="40">
        <v>5</v>
      </c>
      <c r="H7066" s="40">
        <v>17.424889999999998</v>
      </c>
      <c r="I7066" s="212"/>
      <c r="J7066" s="212"/>
    </row>
    <row r="7067" spans="1:10" s="15" customFormat="1" ht="18" hidden="1" customHeight="1" outlineLevel="1" x14ac:dyDescent="0.25">
      <c r="A7067" s="18">
        <v>2639</v>
      </c>
      <c r="B7067" s="4" t="s">
        <v>43</v>
      </c>
      <c r="C7067" s="38" t="s">
        <v>9671</v>
      </c>
      <c r="D7067" s="23">
        <v>2023</v>
      </c>
      <c r="E7067" s="18" t="s">
        <v>0</v>
      </c>
      <c r="F7067" s="6">
        <v>1</v>
      </c>
      <c r="G7067" s="40">
        <v>5</v>
      </c>
      <c r="H7067" s="40">
        <v>13.243119999999999</v>
      </c>
      <c r="I7067" s="212"/>
      <c r="J7067" s="212"/>
    </row>
    <row r="7068" spans="1:10" s="15" customFormat="1" ht="18" hidden="1" customHeight="1" outlineLevel="1" x14ac:dyDescent="0.25">
      <c r="A7068" s="18">
        <v>6579</v>
      </c>
      <c r="B7068" s="4" t="s">
        <v>43</v>
      </c>
      <c r="C7068" s="38" t="s">
        <v>9672</v>
      </c>
      <c r="D7068" s="23">
        <v>2023</v>
      </c>
      <c r="E7068" s="18" t="s">
        <v>0</v>
      </c>
      <c r="F7068" s="6">
        <v>1</v>
      </c>
      <c r="G7068" s="40">
        <v>15</v>
      </c>
      <c r="H7068" s="40">
        <v>13.40598</v>
      </c>
      <c r="I7068" s="212"/>
      <c r="J7068" s="212"/>
    </row>
    <row r="7069" spans="1:10" s="15" customFormat="1" ht="18" hidden="1" customHeight="1" outlineLevel="1" x14ac:dyDescent="0.25">
      <c r="A7069" s="18">
        <v>2649</v>
      </c>
      <c r="B7069" s="4" t="s">
        <v>43</v>
      </c>
      <c r="C7069" s="38" t="s">
        <v>9673</v>
      </c>
      <c r="D7069" s="23">
        <v>2023</v>
      </c>
      <c r="E7069" s="18" t="s">
        <v>0</v>
      </c>
      <c r="F7069" s="6">
        <v>1</v>
      </c>
      <c r="G7069" s="40">
        <v>5</v>
      </c>
      <c r="H7069" s="40">
        <v>12.591609999999999</v>
      </c>
      <c r="I7069" s="212"/>
      <c r="J7069" s="212"/>
    </row>
    <row r="7070" spans="1:10" s="15" customFormat="1" ht="18" hidden="1" customHeight="1" outlineLevel="1" x14ac:dyDescent="0.25">
      <c r="A7070" s="18">
        <v>2616</v>
      </c>
      <c r="B7070" s="4" t="s">
        <v>43</v>
      </c>
      <c r="C7070" s="38" t="s">
        <v>9674</v>
      </c>
      <c r="D7070" s="23">
        <v>2023</v>
      </c>
      <c r="E7070" s="18" t="s">
        <v>0</v>
      </c>
      <c r="F7070" s="6">
        <v>1</v>
      </c>
      <c r="G7070" s="40">
        <v>5</v>
      </c>
      <c r="H7070" s="40">
        <v>13.223129999999999</v>
      </c>
      <c r="I7070" s="212"/>
      <c r="J7070" s="212"/>
    </row>
    <row r="7071" spans="1:10" s="15" customFormat="1" ht="18" hidden="1" customHeight="1" outlineLevel="1" x14ac:dyDescent="0.25">
      <c r="A7071" s="18">
        <v>6580</v>
      </c>
      <c r="B7071" s="4" t="s">
        <v>43</v>
      </c>
      <c r="C7071" s="38" t="s">
        <v>9675</v>
      </c>
      <c r="D7071" s="23">
        <v>2023</v>
      </c>
      <c r="E7071" s="18" t="s">
        <v>0</v>
      </c>
      <c r="F7071" s="6">
        <v>1</v>
      </c>
      <c r="G7071" s="40">
        <v>10</v>
      </c>
      <c r="H7071" s="40">
        <v>13.384229999999999</v>
      </c>
      <c r="I7071" s="212"/>
      <c r="J7071" s="212"/>
    </row>
    <row r="7072" spans="1:10" s="15" customFormat="1" ht="18" hidden="1" customHeight="1" outlineLevel="1" x14ac:dyDescent="0.25">
      <c r="A7072" s="18">
        <v>2611</v>
      </c>
      <c r="B7072" s="4" t="s">
        <v>43</v>
      </c>
      <c r="C7072" s="38" t="s">
        <v>9676</v>
      </c>
      <c r="D7072" s="23">
        <v>2023</v>
      </c>
      <c r="E7072" s="18" t="s">
        <v>0</v>
      </c>
      <c r="F7072" s="6">
        <v>1</v>
      </c>
      <c r="G7072" s="40">
        <v>5</v>
      </c>
      <c r="H7072" s="40">
        <v>13.490380000000002</v>
      </c>
      <c r="I7072" s="212"/>
      <c r="J7072" s="212"/>
    </row>
    <row r="7073" spans="1:10" s="15" customFormat="1" ht="18" hidden="1" customHeight="1" outlineLevel="1" x14ac:dyDescent="0.25">
      <c r="A7073" s="18">
        <v>2580</v>
      </c>
      <c r="B7073" s="4" t="s">
        <v>43</v>
      </c>
      <c r="C7073" s="38" t="s">
        <v>9677</v>
      </c>
      <c r="D7073" s="23">
        <v>2023</v>
      </c>
      <c r="E7073" s="18" t="s">
        <v>0</v>
      </c>
      <c r="F7073" s="6">
        <v>1</v>
      </c>
      <c r="G7073" s="40">
        <v>4</v>
      </c>
      <c r="H7073" s="40">
        <v>40.666539999999998</v>
      </c>
      <c r="I7073" s="212"/>
      <c r="J7073" s="212"/>
    </row>
    <row r="7074" spans="1:10" s="15" customFormat="1" ht="18" hidden="1" customHeight="1" outlineLevel="1" x14ac:dyDescent="0.25">
      <c r="A7074" s="18">
        <v>6609</v>
      </c>
      <c r="B7074" s="4" t="s">
        <v>43</v>
      </c>
      <c r="C7074" s="38" t="s">
        <v>9678</v>
      </c>
      <c r="D7074" s="23">
        <v>2023</v>
      </c>
      <c r="E7074" s="18" t="s">
        <v>0</v>
      </c>
      <c r="F7074" s="6">
        <v>1</v>
      </c>
      <c r="G7074" s="40">
        <v>10</v>
      </c>
      <c r="H7074" s="40">
        <v>16.363520000000001</v>
      </c>
      <c r="I7074" s="212"/>
      <c r="J7074" s="212"/>
    </row>
    <row r="7075" spans="1:10" s="15" customFormat="1" ht="18" hidden="1" customHeight="1" outlineLevel="1" x14ac:dyDescent="0.25">
      <c r="A7075" s="18">
        <v>6612</v>
      </c>
      <c r="B7075" s="4" t="s">
        <v>43</v>
      </c>
      <c r="C7075" s="38" t="s">
        <v>9679</v>
      </c>
      <c r="D7075" s="23">
        <v>2023</v>
      </c>
      <c r="E7075" s="18" t="s">
        <v>0</v>
      </c>
      <c r="F7075" s="6">
        <v>1</v>
      </c>
      <c r="G7075" s="40">
        <v>10</v>
      </c>
      <c r="H7075" s="40">
        <v>16.363520000000001</v>
      </c>
      <c r="I7075" s="212"/>
      <c r="J7075" s="212"/>
    </row>
    <row r="7076" spans="1:10" s="15" customFormat="1" ht="18" hidden="1" customHeight="1" outlineLevel="1" x14ac:dyDescent="0.25">
      <c r="A7076" s="18">
        <v>6613</v>
      </c>
      <c r="B7076" s="4" t="s">
        <v>43</v>
      </c>
      <c r="C7076" s="38" t="s">
        <v>9680</v>
      </c>
      <c r="D7076" s="23">
        <v>2023</v>
      </c>
      <c r="E7076" s="18" t="s">
        <v>0</v>
      </c>
      <c r="F7076" s="6">
        <v>1</v>
      </c>
      <c r="G7076" s="40">
        <v>10</v>
      </c>
      <c r="H7076" s="40">
        <v>16.363520000000001</v>
      </c>
      <c r="I7076" s="212"/>
      <c r="J7076" s="212"/>
    </row>
    <row r="7077" spans="1:10" s="15" customFormat="1" ht="18" hidden="1" customHeight="1" outlineLevel="1" x14ac:dyDescent="0.25">
      <c r="A7077" s="18">
        <v>6614</v>
      </c>
      <c r="B7077" s="4" t="s">
        <v>43</v>
      </c>
      <c r="C7077" s="38" t="s">
        <v>9681</v>
      </c>
      <c r="D7077" s="23">
        <v>2023</v>
      </c>
      <c r="E7077" s="18" t="s">
        <v>0</v>
      </c>
      <c r="F7077" s="6">
        <v>1</v>
      </c>
      <c r="G7077" s="40">
        <v>10</v>
      </c>
      <c r="H7077" s="40">
        <v>16.363520000000001</v>
      </c>
      <c r="I7077" s="212"/>
      <c r="J7077" s="212"/>
    </row>
    <row r="7078" spans="1:10" s="15" customFormat="1" ht="18" hidden="1" customHeight="1" outlineLevel="1" x14ac:dyDescent="0.25">
      <c r="A7078" s="18">
        <v>2671</v>
      </c>
      <c r="B7078" s="4" t="s">
        <v>43</v>
      </c>
      <c r="C7078" s="38" t="s">
        <v>9682</v>
      </c>
      <c r="D7078" s="23">
        <v>2023</v>
      </c>
      <c r="E7078" s="18" t="s">
        <v>0</v>
      </c>
      <c r="F7078" s="6">
        <v>1</v>
      </c>
      <c r="G7078" s="40">
        <v>5</v>
      </c>
      <c r="H7078" s="40">
        <v>16.363520000000001</v>
      </c>
      <c r="I7078" s="212"/>
      <c r="J7078" s="212"/>
    </row>
    <row r="7079" spans="1:10" s="15" customFormat="1" ht="18" hidden="1" customHeight="1" outlineLevel="1" x14ac:dyDescent="0.25">
      <c r="A7079" s="18">
        <v>6615</v>
      </c>
      <c r="B7079" s="4" t="s">
        <v>43</v>
      </c>
      <c r="C7079" s="38" t="s">
        <v>9683</v>
      </c>
      <c r="D7079" s="23">
        <v>2023</v>
      </c>
      <c r="E7079" s="18" t="s">
        <v>0</v>
      </c>
      <c r="F7079" s="6">
        <v>1</v>
      </c>
      <c r="G7079" s="40">
        <v>10</v>
      </c>
      <c r="H7079" s="40">
        <v>16.363520000000001</v>
      </c>
      <c r="I7079" s="212"/>
      <c r="J7079" s="212"/>
    </row>
    <row r="7080" spans="1:10" s="15" customFormat="1" ht="18" hidden="1" customHeight="1" outlineLevel="1" x14ac:dyDescent="0.25">
      <c r="A7080" s="18">
        <v>2670</v>
      </c>
      <c r="B7080" s="4" t="s">
        <v>43</v>
      </c>
      <c r="C7080" s="38" t="s">
        <v>9684</v>
      </c>
      <c r="D7080" s="23">
        <v>2023</v>
      </c>
      <c r="E7080" s="18" t="s">
        <v>0</v>
      </c>
      <c r="F7080" s="6">
        <v>1</v>
      </c>
      <c r="G7080" s="40">
        <v>1</v>
      </c>
      <c r="H7080" s="40">
        <v>16.363520000000001</v>
      </c>
      <c r="I7080" s="212"/>
      <c r="J7080" s="212"/>
    </row>
    <row r="7081" spans="1:10" s="15" customFormat="1" ht="18" hidden="1" customHeight="1" outlineLevel="1" x14ac:dyDescent="0.25">
      <c r="A7081" s="18">
        <v>6618</v>
      </c>
      <c r="B7081" s="4" t="s">
        <v>43</v>
      </c>
      <c r="C7081" s="38" t="s">
        <v>9685</v>
      </c>
      <c r="D7081" s="23">
        <v>2023</v>
      </c>
      <c r="E7081" s="18" t="s">
        <v>0</v>
      </c>
      <c r="F7081" s="6">
        <v>1</v>
      </c>
      <c r="G7081" s="40">
        <v>7</v>
      </c>
      <c r="H7081" s="40">
        <v>16.363520000000001</v>
      </c>
      <c r="I7081" s="212"/>
      <c r="J7081" s="212"/>
    </row>
    <row r="7082" spans="1:10" s="15" customFormat="1" ht="18" hidden="1" customHeight="1" outlineLevel="1" x14ac:dyDescent="0.25">
      <c r="A7082" s="18">
        <v>6621</v>
      </c>
      <c r="B7082" s="4" t="s">
        <v>43</v>
      </c>
      <c r="C7082" s="38" t="s">
        <v>9686</v>
      </c>
      <c r="D7082" s="23">
        <v>2023</v>
      </c>
      <c r="E7082" s="18" t="s">
        <v>0</v>
      </c>
      <c r="F7082" s="6">
        <v>1</v>
      </c>
      <c r="G7082" s="40">
        <v>5</v>
      </c>
      <c r="H7082" s="40">
        <v>18.367619999999999</v>
      </c>
      <c r="I7082" s="212"/>
      <c r="J7082" s="212"/>
    </row>
    <row r="7083" spans="1:10" s="15" customFormat="1" ht="18" hidden="1" customHeight="1" outlineLevel="1" x14ac:dyDescent="0.25">
      <c r="A7083" s="18">
        <v>6622</v>
      </c>
      <c r="B7083" s="4" t="s">
        <v>43</v>
      </c>
      <c r="C7083" s="38" t="s">
        <v>9687</v>
      </c>
      <c r="D7083" s="23">
        <v>2023</v>
      </c>
      <c r="E7083" s="18" t="s">
        <v>0</v>
      </c>
      <c r="F7083" s="6">
        <v>1</v>
      </c>
      <c r="G7083" s="40">
        <v>5</v>
      </c>
      <c r="H7083" s="40">
        <v>18.367619999999999</v>
      </c>
      <c r="I7083" s="212"/>
      <c r="J7083" s="212"/>
    </row>
    <row r="7084" spans="1:10" s="15" customFormat="1" ht="18" hidden="1" customHeight="1" outlineLevel="1" x14ac:dyDescent="0.25">
      <c r="A7084" s="18">
        <v>6623</v>
      </c>
      <c r="B7084" s="4" t="s">
        <v>43</v>
      </c>
      <c r="C7084" s="38" t="s">
        <v>9688</v>
      </c>
      <c r="D7084" s="23">
        <v>2023</v>
      </c>
      <c r="E7084" s="18" t="s">
        <v>0</v>
      </c>
      <c r="F7084" s="6">
        <v>1</v>
      </c>
      <c r="G7084" s="40">
        <v>5</v>
      </c>
      <c r="H7084" s="40">
        <v>18.367619999999999</v>
      </c>
      <c r="I7084" s="212"/>
      <c r="J7084" s="212"/>
    </row>
    <row r="7085" spans="1:10" s="15" customFormat="1" ht="18" hidden="1" customHeight="1" outlineLevel="1" x14ac:dyDescent="0.25">
      <c r="A7085" s="18">
        <v>6624</v>
      </c>
      <c r="B7085" s="4" t="s">
        <v>43</v>
      </c>
      <c r="C7085" s="38" t="s">
        <v>9689</v>
      </c>
      <c r="D7085" s="23">
        <v>2023</v>
      </c>
      <c r="E7085" s="18" t="s">
        <v>0</v>
      </c>
      <c r="F7085" s="6">
        <v>1</v>
      </c>
      <c r="G7085" s="40">
        <v>5</v>
      </c>
      <c r="H7085" s="40">
        <v>18.367619999999999</v>
      </c>
      <c r="I7085" s="212"/>
      <c r="J7085" s="212"/>
    </row>
    <row r="7086" spans="1:10" s="15" customFormat="1" ht="18" hidden="1" customHeight="1" outlineLevel="1" x14ac:dyDescent="0.25">
      <c r="A7086" s="18">
        <v>6625</v>
      </c>
      <c r="B7086" s="4" t="s">
        <v>43</v>
      </c>
      <c r="C7086" s="38" t="s">
        <v>9690</v>
      </c>
      <c r="D7086" s="23">
        <v>2023</v>
      </c>
      <c r="E7086" s="18" t="s">
        <v>0</v>
      </c>
      <c r="F7086" s="6">
        <v>1</v>
      </c>
      <c r="G7086" s="40">
        <v>5</v>
      </c>
      <c r="H7086" s="40">
        <v>18.367619999999999</v>
      </c>
      <c r="I7086" s="212"/>
      <c r="J7086" s="212"/>
    </row>
    <row r="7087" spans="1:10" s="15" customFormat="1" ht="18" hidden="1" customHeight="1" outlineLevel="1" x14ac:dyDescent="0.25">
      <c r="A7087" s="18">
        <v>2663</v>
      </c>
      <c r="B7087" s="4" t="s">
        <v>43</v>
      </c>
      <c r="C7087" s="38" t="s">
        <v>9691</v>
      </c>
      <c r="D7087" s="23">
        <v>2023</v>
      </c>
      <c r="E7087" s="18" t="s">
        <v>0</v>
      </c>
      <c r="F7087" s="6">
        <v>1</v>
      </c>
      <c r="G7087" s="40">
        <v>5</v>
      </c>
      <c r="H7087" s="40">
        <v>18.367619999999999</v>
      </c>
      <c r="I7087" s="212"/>
      <c r="J7087" s="212"/>
    </row>
    <row r="7088" spans="1:10" s="15" customFormat="1" ht="18" hidden="1" customHeight="1" outlineLevel="1" x14ac:dyDescent="0.25">
      <c r="A7088" s="18">
        <v>6626</v>
      </c>
      <c r="B7088" s="4" t="s">
        <v>43</v>
      </c>
      <c r="C7088" s="38" t="s">
        <v>9692</v>
      </c>
      <c r="D7088" s="23">
        <v>2023</v>
      </c>
      <c r="E7088" s="18" t="s">
        <v>0</v>
      </c>
      <c r="F7088" s="6">
        <v>1</v>
      </c>
      <c r="G7088" s="40">
        <v>5</v>
      </c>
      <c r="H7088" s="40">
        <v>18.367619999999999</v>
      </c>
      <c r="I7088" s="212"/>
      <c r="J7088" s="212"/>
    </row>
    <row r="7089" spans="1:10" s="15" customFormat="1" ht="18" hidden="1" customHeight="1" outlineLevel="1" x14ac:dyDescent="0.25">
      <c r="A7089" s="18">
        <v>6627</v>
      </c>
      <c r="B7089" s="4" t="s">
        <v>43</v>
      </c>
      <c r="C7089" s="38" t="s">
        <v>9693</v>
      </c>
      <c r="D7089" s="23">
        <v>2023</v>
      </c>
      <c r="E7089" s="18" t="s">
        <v>0</v>
      </c>
      <c r="F7089" s="6">
        <v>1</v>
      </c>
      <c r="G7089" s="40">
        <v>5</v>
      </c>
      <c r="H7089" s="40">
        <v>18.367619999999999</v>
      </c>
      <c r="I7089" s="212"/>
      <c r="J7089" s="212"/>
    </row>
    <row r="7090" spans="1:10" s="15" customFormat="1" ht="18" hidden="1" customHeight="1" outlineLevel="1" x14ac:dyDescent="0.25">
      <c r="A7090" s="18">
        <v>6628</v>
      </c>
      <c r="B7090" s="4" t="s">
        <v>43</v>
      </c>
      <c r="C7090" s="38" t="s">
        <v>9694</v>
      </c>
      <c r="D7090" s="23">
        <v>2023</v>
      </c>
      <c r="E7090" s="18" t="s">
        <v>0</v>
      </c>
      <c r="F7090" s="6">
        <v>1</v>
      </c>
      <c r="G7090" s="40">
        <v>5</v>
      </c>
      <c r="H7090" s="40">
        <v>18.367619999999999</v>
      </c>
      <c r="I7090" s="212"/>
      <c r="J7090" s="212"/>
    </row>
    <row r="7091" spans="1:10" s="15" customFormat="1" ht="18" hidden="1" customHeight="1" outlineLevel="1" x14ac:dyDescent="0.25">
      <c r="A7091" s="18">
        <v>6629</v>
      </c>
      <c r="B7091" s="4" t="s">
        <v>43</v>
      </c>
      <c r="C7091" s="38" t="s">
        <v>9695</v>
      </c>
      <c r="D7091" s="23">
        <v>2023</v>
      </c>
      <c r="E7091" s="18" t="s">
        <v>0</v>
      </c>
      <c r="F7091" s="6">
        <v>1</v>
      </c>
      <c r="G7091" s="40">
        <v>5</v>
      </c>
      <c r="H7091" s="40">
        <v>18.367619999999999</v>
      </c>
      <c r="I7091" s="212"/>
      <c r="J7091" s="212"/>
    </row>
    <row r="7092" spans="1:10" s="15" customFormat="1" ht="18" hidden="1" customHeight="1" outlineLevel="1" x14ac:dyDescent="0.25">
      <c r="A7092" s="18">
        <v>6631</v>
      </c>
      <c r="B7092" s="4" t="s">
        <v>43</v>
      </c>
      <c r="C7092" s="38" t="s">
        <v>9696</v>
      </c>
      <c r="D7092" s="23">
        <v>2023</v>
      </c>
      <c r="E7092" s="18" t="s">
        <v>0</v>
      </c>
      <c r="F7092" s="6">
        <v>1</v>
      </c>
      <c r="G7092" s="40">
        <v>10</v>
      </c>
      <c r="H7092" s="40">
        <v>18.367619999999999</v>
      </c>
      <c r="I7092" s="212"/>
      <c r="J7092" s="212"/>
    </row>
    <row r="7093" spans="1:10" s="15" customFormat="1" ht="18" hidden="1" customHeight="1" outlineLevel="1" x14ac:dyDescent="0.25">
      <c r="A7093" s="18">
        <v>6632</v>
      </c>
      <c r="B7093" s="4" t="s">
        <v>43</v>
      </c>
      <c r="C7093" s="38" t="s">
        <v>9697</v>
      </c>
      <c r="D7093" s="23">
        <v>2023</v>
      </c>
      <c r="E7093" s="18" t="s">
        <v>0</v>
      </c>
      <c r="F7093" s="6">
        <v>1</v>
      </c>
      <c r="G7093" s="40">
        <v>10</v>
      </c>
      <c r="H7093" s="40">
        <v>18.367619999999999</v>
      </c>
      <c r="I7093" s="212"/>
      <c r="J7093" s="212"/>
    </row>
    <row r="7094" spans="1:10" s="15" customFormat="1" ht="18" hidden="1" customHeight="1" outlineLevel="1" x14ac:dyDescent="0.25">
      <c r="A7094" s="18">
        <v>6633</v>
      </c>
      <c r="B7094" s="4" t="s">
        <v>43</v>
      </c>
      <c r="C7094" s="38" t="s">
        <v>9698</v>
      </c>
      <c r="D7094" s="23">
        <v>2023</v>
      </c>
      <c r="E7094" s="18" t="s">
        <v>0</v>
      </c>
      <c r="F7094" s="6">
        <v>1</v>
      </c>
      <c r="G7094" s="40">
        <v>10</v>
      </c>
      <c r="H7094" s="40">
        <v>18.367619999999999</v>
      </c>
      <c r="I7094" s="212"/>
      <c r="J7094" s="212"/>
    </row>
    <row r="7095" spans="1:10" s="15" customFormat="1" ht="18" hidden="1" customHeight="1" outlineLevel="1" x14ac:dyDescent="0.25">
      <c r="A7095" s="18">
        <v>6634</v>
      </c>
      <c r="B7095" s="4" t="s">
        <v>43</v>
      </c>
      <c r="C7095" s="38" t="s">
        <v>9699</v>
      </c>
      <c r="D7095" s="23">
        <v>2023</v>
      </c>
      <c r="E7095" s="18" t="s">
        <v>0</v>
      </c>
      <c r="F7095" s="6">
        <v>1</v>
      </c>
      <c r="G7095" s="40">
        <v>14</v>
      </c>
      <c r="H7095" s="40">
        <v>18.367619999999999</v>
      </c>
      <c r="I7095" s="212"/>
      <c r="J7095" s="212"/>
    </row>
    <row r="7096" spans="1:10" s="15" customFormat="1" ht="18" hidden="1" customHeight="1" outlineLevel="1" x14ac:dyDescent="0.25">
      <c r="A7096" s="18">
        <v>6635</v>
      </c>
      <c r="B7096" s="4" t="s">
        <v>43</v>
      </c>
      <c r="C7096" s="38" t="s">
        <v>9700</v>
      </c>
      <c r="D7096" s="23">
        <v>2023</v>
      </c>
      <c r="E7096" s="18" t="s">
        <v>0</v>
      </c>
      <c r="F7096" s="6">
        <v>1</v>
      </c>
      <c r="G7096" s="40">
        <v>14</v>
      </c>
      <c r="H7096" s="40">
        <v>18.367619999999999</v>
      </c>
      <c r="I7096" s="212"/>
      <c r="J7096" s="212"/>
    </row>
    <row r="7097" spans="1:10" s="15" customFormat="1" ht="18" hidden="1" customHeight="1" outlineLevel="1" x14ac:dyDescent="0.25">
      <c r="A7097" s="18">
        <v>6663</v>
      </c>
      <c r="B7097" s="4" t="s">
        <v>43</v>
      </c>
      <c r="C7097" s="38" t="s">
        <v>9701</v>
      </c>
      <c r="D7097" s="23">
        <v>2023</v>
      </c>
      <c r="E7097" s="18" t="s">
        <v>0</v>
      </c>
      <c r="F7097" s="6">
        <v>1</v>
      </c>
      <c r="G7097" s="40">
        <v>10</v>
      </c>
      <c r="H7097" s="40">
        <v>11.714609999999999</v>
      </c>
      <c r="I7097" s="212"/>
      <c r="J7097" s="212"/>
    </row>
    <row r="7098" spans="1:10" s="15" customFormat="1" ht="18" hidden="1" customHeight="1" outlineLevel="1" x14ac:dyDescent="0.25">
      <c r="A7098" s="18">
        <v>2618</v>
      </c>
      <c r="B7098" s="4" t="s">
        <v>43</v>
      </c>
      <c r="C7098" s="38" t="s">
        <v>9702</v>
      </c>
      <c r="D7098" s="23">
        <v>2023</v>
      </c>
      <c r="E7098" s="18" t="s">
        <v>0</v>
      </c>
      <c r="F7098" s="6">
        <v>1</v>
      </c>
      <c r="G7098" s="40">
        <v>3</v>
      </c>
      <c r="H7098" s="40">
        <v>15.76131</v>
      </c>
      <c r="I7098" s="212"/>
      <c r="J7098" s="212"/>
    </row>
    <row r="7099" spans="1:10" s="15" customFormat="1" ht="18" hidden="1" customHeight="1" outlineLevel="1" x14ac:dyDescent="0.25">
      <c r="A7099" s="18">
        <v>2619</v>
      </c>
      <c r="B7099" s="4" t="s">
        <v>43</v>
      </c>
      <c r="C7099" s="38" t="s">
        <v>9703</v>
      </c>
      <c r="D7099" s="23">
        <v>2023</v>
      </c>
      <c r="E7099" s="18" t="s">
        <v>0</v>
      </c>
      <c r="F7099" s="6">
        <v>1</v>
      </c>
      <c r="G7099" s="40">
        <v>3</v>
      </c>
      <c r="H7099" s="40">
        <v>14.142630000000002</v>
      </c>
      <c r="I7099" s="212"/>
      <c r="J7099" s="212"/>
    </row>
    <row r="7100" spans="1:10" s="15" customFormat="1" ht="18" hidden="1" customHeight="1" outlineLevel="1" x14ac:dyDescent="0.25">
      <c r="A7100" s="18">
        <v>6664</v>
      </c>
      <c r="B7100" s="4" t="s">
        <v>43</v>
      </c>
      <c r="C7100" s="38" t="s">
        <v>9704</v>
      </c>
      <c r="D7100" s="23">
        <v>2023</v>
      </c>
      <c r="E7100" s="18" t="s">
        <v>0</v>
      </c>
      <c r="F7100" s="6">
        <v>1</v>
      </c>
      <c r="G7100" s="40">
        <v>15</v>
      </c>
      <c r="H7100" s="40">
        <v>13.063529999999998</v>
      </c>
      <c r="I7100" s="212"/>
      <c r="J7100" s="212"/>
    </row>
    <row r="7101" spans="1:10" s="15" customFormat="1" ht="18" hidden="1" customHeight="1" outlineLevel="1" x14ac:dyDescent="0.25">
      <c r="A7101" s="18">
        <v>6665</v>
      </c>
      <c r="B7101" s="4" t="s">
        <v>43</v>
      </c>
      <c r="C7101" s="38" t="s">
        <v>9705</v>
      </c>
      <c r="D7101" s="23">
        <v>2023</v>
      </c>
      <c r="E7101" s="18" t="s">
        <v>0</v>
      </c>
      <c r="F7101" s="6">
        <v>1</v>
      </c>
      <c r="G7101" s="40">
        <v>10</v>
      </c>
      <c r="H7101" s="40">
        <v>12.389049999999999</v>
      </c>
      <c r="I7101" s="212"/>
      <c r="J7101" s="212"/>
    </row>
    <row r="7102" spans="1:10" s="15" customFormat="1" ht="18" hidden="1" customHeight="1" outlineLevel="1" x14ac:dyDescent="0.25">
      <c r="A7102" s="18">
        <v>6666</v>
      </c>
      <c r="B7102" s="4" t="s">
        <v>43</v>
      </c>
      <c r="C7102" s="38" t="s">
        <v>9706</v>
      </c>
      <c r="D7102" s="23">
        <v>2023</v>
      </c>
      <c r="E7102" s="18" t="s">
        <v>0</v>
      </c>
      <c r="F7102" s="6">
        <v>1</v>
      </c>
      <c r="G7102" s="40">
        <v>12</v>
      </c>
      <c r="H7102" s="40">
        <v>13.738029999999998</v>
      </c>
      <c r="I7102" s="212"/>
      <c r="J7102" s="212"/>
    </row>
    <row r="7103" spans="1:10" s="15" customFormat="1" ht="18" hidden="1" customHeight="1" outlineLevel="1" x14ac:dyDescent="0.25">
      <c r="A7103" s="18">
        <v>6667</v>
      </c>
      <c r="B7103" s="4" t="s">
        <v>43</v>
      </c>
      <c r="C7103" s="38" t="s">
        <v>9707</v>
      </c>
      <c r="D7103" s="23">
        <v>2023</v>
      </c>
      <c r="E7103" s="18" t="s">
        <v>0</v>
      </c>
      <c r="F7103" s="6">
        <v>1</v>
      </c>
      <c r="G7103" s="40">
        <v>10</v>
      </c>
      <c r="H7103" s="40">
        <v>13.063529999999998</v>
      </c>
      <c r="I7103" s="212"/>
      <c r="J7103" s="212"/>
    </row>
    <row r="7104" spans="1:10" s="15" customFormat="1" ht="18" hidden="1" customHeight="1" outlineLevel="1" x14ac:dyDescent="0.25">
      <c r="A7104" s="18">
        <v>6668</v>
      </c>
      <c r="B7104" s="4" t="s">
        <v>43</v>
      </c>
      <c r="C7104" s="38" t="s">
        <v>9708</v>
      </c>
      <c r="D7104" s="23">
        <v>2023</v>
      </c>
      <c r="E7104" s="18" t="s">
        <v>0</v>
      </c>
      <c r="F7104" s="6">
        <v>1</v>
      </c>
      <c r="G7104" s="40">
        <v>15</v>
      </c>
      <c r="H7104" s="40">
        <v>15.055609999999998</v>
      </c>
      <c r="I7104" s="212"/>
      <c r="J7104" s="212"/>
    </row>
    <row r="7105" spans="1:10" s="15" customFormat="1" ht="18" hidden="1" customHeight="1" outlineLevel="1" x14ac:dyDescent="0.25">
      <c r="A7105" s="18">
        <v>2632</v>
      </c>
      <c r="B7105" s="4" t="s">
        <v>43</v>
      </c>
      <c r="C7105" s="38" t="s">
        <v>9709</v>
      </c>
      <c r="D7105" s="23">
        <v>2023</v>
      </c>
      <c r="E7105" s="18" t="s">
        <v>0</v>
      </c>
      <c r="F7105" s="6">
        <v>1</v>
      </c>
      <c r="G7105" s="40">
        <v>3</v>
      </c>
      <c r="H7105" s="40">
        <v>11.714609999999999</v>
      </c>
      <c r="I7105" s="212"/>
      <c r="J7105" s="212"/>
    </row>
    <row r="7106" spans="1:10" s="15" customFormat="1" ht="18" hidden="1" customHeight="1" outlineLevel="1" x14ac:dyDescent="0.25">
      <c r="A7106" s="18">
        <v>2665</v>
      </c>
      <c r="B7106" s="4" t="s">
        <v>43</v>
      </c>
      <c r="C7106" s="38" t="s">
        <v>9710</v>
      </c>
      <c r="D7106" s="23">
        <v>2023</v>
      </c>
      <c r="E7106" s="18" t="s">
        <v>0</v>
      </c>
      <c r="F7106" s="6">
        <v>1</v>
      </c>
      <c r="G7106" s="40">
        <v>5</v>
      </c>
      <c r="H7106" s="40">
        <v>12.389049999999999</v>
      </c>
      <c r="I7106" s="212"/>
      <c r="J7106" s="212"/>
    </row>
    <row r="7107" spans="1:10" s="15" customFormat="1" ht="18" hidden="1" customHeight="1" outlineLevel="1" x14ac:dyDescent="0.25">
      <c r="A7107" s="18">
        <v>6669</v>
      </c>
      <c r="B7107" s="4" t="s">
        <v>43</v>
      </c>
      <c r="C7107" s="38" t="s">
        <v>9711</v>
      </c>
      <c r="D7107" s="23">
        <v>2023</v>
      </c>
      <c r="E7107" s="18" t="s">
        <v>0</v>
      </c>
      <c r="F7107" s="6">
        <v>1</v>
      </c>
      <c r="G7107" s="40">
        <v>5</v>
      </c>
      <c r="H7107" s="40">
        <v>13.73795</v>
      </c>
      <c r="I7107" s="212"/>
      <c r="J7107" s="212"/>
    </row>
    <row r="7108" spans="1:10" s="15" customFormat="1" ht="18" hidden="1" customHeight="1" outlineLevel="1" x14ac:dyDescent="0.25">
      <c r="A7108" s="18">
        <v>6670</v>
      </c>
      <c r="B7108" s="4" t="s">
        <v>43</v>
      </c>
      <c r="C7108" s="38" t="s">
        <v>9712</v>
      </c>
      <c r="D7108" s="23">
        <v>2023</v>
      </c>
      <c r="E7108" s="18" t="s">
        <v>0</v>
      </c>
      <c r="F7108" s="6">
        <v>1</v>
      </c>
      <c r="G7108" s="40">
        <v>7</v>
      </c>
      <c r="H7108" s="40">
        <v>12.389049999999999</v>
      </c>
      <c r="I7108" s="212"/>
      <c r="J7108" s="212"/>
    </row>
    <row r="7109" spans="1:10" s="15" customFormat="1" ht="18" hidden="1" customHeight="1" outlineLevel="1" x14ac:dyDescent="0.25">
      <c r="A7109" s="18">
        <v>2667</v>
      </c>
      <c r="B7109" s="4" t="s">
        <v>43</v>
      </c>
      <c r="C7109" s="38" t="s">
        <v>9713</v>
      </c>
      <c r="D7109" s="23">
        <v>2023</v>
      </c>
      <c r="E7109" s="18" t="s">
        <v>0</v>
      </c>
      <c r="F7109" s="6">
        <v>1</v>
      </c>
      <c r="G7109" s="40">
        <v>4</v>
      </c>
      <c r="H7109" s="40">
        <v>13.063529999999998</v>
      </c>
      <c r="I7109" s="212"/>
      <c r="J7109" s="212"/>
    </row>
    <row r="7110" spans="1:10" s="15" customFormat="1" ht="18" hidden="1" customHeight="1" outlineLevel="1" x14ac:dyDescent="0.25">
      <c r="A7110" s="18">
        <v>6671</v>
      </c>
      <c r="B7110" s="4" t="s">
        <v>43</v>
      </c>
      <c r="C7110" s="38" t="s">
        <v>9714</v>
      </c>
      <c r="D7110" s="23">
        <v>2023</v>
      </c>
      <c r="E7110" s="18" t="s">
        <v>0</v>
      </c>
      <c r="F7110" s="6">
        <v>1</v>
      </c>
      <c r="G7110" s="40">
        <v>8</v>
      </c>
      <c r="H7110" s="40">
        <v>12.389049999999999</v>
      </c>
      <c r="I7110" s="212"/>
      <c r="J7110" s="212"/>
    </row>
    <row r="7111" spans="1:10" s="15" customFormat="1" ht="18" hidden="1" customHeight="1" outlineLevel="1" x14ac:dyDescent="0.25">
      <c r="A7111" s="18">
        <v>2679</v>
      </c>
      <c r="B7111" s="4" t="s">
        <v>43</v>
      </c>
      <c r="C7111" s="38" t="s">
        <v>9715</v>
      </c>
      <c r="D7111" s="23">
        <v>2023</v>
      </c>
      <c r="E7111" s="18" t="s">
        <v>0</v>
      </c>
      <c r="F7111" s="6">
        <v>1</v>
      </c>
      <c r="G7111" s="40">
        <v>5</v>
      </c>
      <c r="H7111" s="40">
        <v>13.738149999999999</v>
      </c>
      <c r="I7111" s="212"/>
      <c r="J7111" s="212"/>
    </row>
    <row r="7112" spans="1:10" s="15" customFormat="1" ht="18" hidden="1" customHeight="1" outlineLevel="1" x14ac:dyDescent="0.25">
      <c r="A7112" s="18">
        <v>6644</v>
      </c>
      <c r="B7112" s="4" t="s">
        <v>43</v>
      </c>
      <c r="C7112" s="38" t="s">
        <v>9716</v>
      </c>
      <c r="D7112" s="23">
        <v>2023</v>
      </c>
      <c r="E7112" s="18" t="s">
        <v>0</v>
      </c>
      <c r="F7112" s="6">
        <v>1</v>
      </c>
      <c r="G7112" s="40">
        <v>2</v>
      </c>
      <c r="H7112" s="40">
        <v>17.91</v>
      </c>
      <c r="I7112" s="212"/>
      <c r="J7112" s="212"/>
    </row>
    <row r="7113" spans="1:10" s="15" customFormat="1" ht="18" hidden="1" customHeight="1" outlineLevel="1" x14ac:dyDescent="0.25">
      <c r="A7113" s="18">
        <v>6645</v>
      </c>
      <c r="B7113" s="4" t="s">
        <v>43</v>
      </c>
      <c r="C7113" s="38" t="s">
        <v>9717</v>
      </c>
      <c r="D7113" s="23">
        <v>2023</v>
      </c>
      <c r="E7113" s="18" t="s">
        <v>0</v>
      </c>
      <c r="F7113" s="6">
        <v>1</v>
      </c>
      <c r="G7113" s="40">
        <v>3</v>
      </c>
      <c r="H7113" s="40">
        <v>16.543499999999998</v>
      </c>
      <c r="I7113" s="212"/>
      <c r="J7113" s="212"/>
    </row>
    <row r="7114" spans="1:10" s="15" customFormat="1" ht="18" hidden="1" customHeight="1" outlineLevel="1" x14ac:dyDescent="0.25">
      <c r="A7114" s="18">
        <v>2688</v>
      </c>
      <c r="B7114" s="4" t="s">
        <v>43</v>
      </c>
      <c r="C7114" s="38" t="s">
        <v>9718</v>
      </c>
      <c r="D7114" s="23">
        <v>2023</v>
      </c>
      <c r="E7114" s="18" t="s">
        <v>0</v>
      </c>
      <c r="F7114" s="6">
        <v>1</v>
      </c>
      <c r="G7114" s="40">
        <v>4</v>
      </c>
      <c r="H7114" s="40">
        <v>14.324999999999999</v>
      </c>
      <c r="I7114" s="212"/>
      <c r="J7114" s="212"/>
    </row>
    <row r="7115" spans="1:10" s="15" customFormat="1" ht="18" hidden="1" customHeight="1" outlineLevel="1" x14ac:dyDescent="0.25">
      <c r="A7115" s="18">
        <v>2629</v>
      </c>
      <c r="B7115" s="4" t="s">
        <v>43</v>
      </c>
      <c r="C7115" s="38" t="s">
        <v>9719</v>
      </c>
      <c r="D7115" s="23">
        <v>2023</v>
      </c>
      <c r="E7115" s="18" t="s">
        <v>0</v>
      </c>
      <c r="F7115" s="6">
        <v>1</v>
      </c>
      <c r="G7115" s="40">
        <v>5</v>
      </c>
      <c r="H7115" s="40">
        <v>14.123699999999999</v>
      </c>
      <c r="I7115" s="212"/>
      <c r="J7115" s="212"/>
    </row>
    <row r="7116" spans="1:10" s="15" customFormat="1" ht="18" hidden="1" customHeight="1" outlineLevel="1" x14ac:dyDescent="0.25">
      <c r="A7116" s="18">
        <v>6646</v>
      </c>
      <c r="B7116" s="4" t="s">
        <v>43</v>
      </c>
      <c r="C7116" s="38" t="s">
        <v>9720</v>
      </c>
      <c r="D7116" s="23">
        <v>2023</v>
      </c>
      <c r="E7116" s="18" t="s">
        <v>0</v>
      </c>
      <c r="F7116" s="6">
        <v>1</v>
      </c>
      <c r="G7116" s="40">
        <v>7</v>
      </c>
      <c r="H7116" s="40">
        <v>14.123699999999999</v>
      </c>
      <c r="I7116" s="212"/>
      <c r="J7116" s="212"/>
    </row>
    <row r="7117" spans="1:10" s="15" customFormat="1" ht="18" hidden="1" customHeight="1" outlineLevel="1" x14ac:dyDescent="0.25">
      <c r="A7117" s="18">
        <v>6672</v>
      </c>
      <c r="B7117" s="4" t="s">
        <v>43</v>
      </c>
      <c r="C7117" s="38" t="s">
        <v>9721</v>
      </c>
      <c r="D7117" s="23">
        <v>2023</v>
      </c>
      <c r="E7117" s="18" t="s">
        <v>0</v>
      </c>
      <c r="F7117" s="6">
        <v>1</v>
      </c>
      <c r="G7117" s="40">
        <v>15</v>
      </c>
      <c r="H7117" s="40">
        <v>19.349</v>
      </c>
      <c r="I7117" s="212"/>
      <c r="J7117" s="212"/>
    </row>
    <row r="7118" spans="1:10" s="15" customFormat="1" ht="18" hidden="1" customHeight="1" outlineLevel="1" x14ac:dyDescent="0.25">
      <c r="A7118" s="18">
        <v>6673</v>
      </c>
      <c r="B7118" s="4" t="s">
        <v>43</v>
      </c>
      <c r="C7118" s="38" t="s">
        <v>9722</v>
      </c>
      <c r="D7118" s="23">
        <v>2023</v>
      </c>
      <c r="E7118" s="18" t="s">
        <v>0</v>
      </c>
      <c r="F7118" s="6">
        <v>1</v>
      </c>
      <c r="G7118" s="40">
        <v>5</v>
      </c>
      <c r="H7118" s="40">
        <v>19.463999999999999</v>
      </c>
      <c r="I7118" s="212"/>
      <c r="J7118" s="212"/>
    </row>
    <row r="7119" spans="1:10" s="15" customFormat="1" ht="18" hidden="1" customHeight="1" outlineLevel="1" x14ac:dyDescent="0.25">
      <c r="A7119" s="18">
        <v>2698</v>
      </c>
      <c r="B7119" s="4" t="s">
        <v>43</v>
      </c>
      <c r="C7119" s="38" t="s">
        <v>9723</v>
      </c>
      <c r="D7119" s="23">
        <v>2023</v>
      </c>
      <c r="E7119" s="18" t="s">
        <v>0</v>
      </c>
      <c r="F7119" s="6">
        <v>1</v>
      </c>
      <c r="G7119" s="40">
        <v>5</v>
      </c>
      <c r="H7119" s="40">
        <v>19.349</v>
      </c>
      <c r="I7119" s="212"/>
      <c r="J7119" s="212"/>
    </row>
    <row r="7120" spans="1:10" s="15" customFormat="1" ht="18" hidden="1" customHeight="1" outlineLevel="1" x14ac:dyDescent="0.25">
      <c r="A7120" s="18">
        <v>6674</v>
      </c>
      <c r="B7120" s="4" t="s">
        <v>43</v>
      </c>
      <c r="C7120" s="38" t="s">
        <v>9724</v>
      </c>
      <c r="D7120" s="23">
        <v>2023</v>
      </c>
      <c r="E7120" s="18" t="s">
        <v>0</v>
      </c>
      <c r="F7120" s="6">
        <v>1</v>
      </c>
      <c r="G7120" s="40">
        <v>10</v>
      </c>
      <c r="H7120" s="40">
        <v>19.349</v>
      </c>
      <c r="I7120" s="212"/>
      <c r="J7120" s="212"/>
    </row>
    <row r="7121" spans="1:10" s="15" customFormat="1" ht="18" hidden="1" customHeight="1" outlineLevel="1" x14ac:dyDescent="0.25">
      <c r="A7121" s="18">
        <v>6675</v>
      </c>
      <c r="B7121" s="4" t="s">
        <v>43</v>
      </c>
      <c r="C7121" s="38" t="s">
        <v>9725</v>
      </c>
      <c r="D7121" s="23">
        <v>2023</v>
      </c>
      <c r="E7121" s="18" t="s">
        <v>0</v>
      </c>
      <c r="F7121" s="6">
        <v>1</v>
      </c>
      <c r="G7121" s="40">
        <v>10</v>
      </c>
      <c r="H7121" s="40">
        <v>19.349</v>
      </c>
      <c r="I7121" s="212"/>
      <c r="J7121" s="212"/>
    </row>
    <row r="7122" spans="1:10" s="15" customFormat="1" ht="18" hidden="1" customHeight="1" outlineLevel="1" x14ac:dyDescent="0.25">
      <c r="A7122" s="18">
        <v>6676</v>
      </c>
      <c r="B7122" s="4" t="s">
        <v>43</v>
      </c>
      <c r="C7122" s="38" t="s">
        <v>9726</v>
      </c>
      <c r="D7122" s="23">
        <v>2023</v>
      </c>
      <c r="E7122" s="18" t="s">
        <v>0</v>
      </c>
      <c r="F7122" s="6">
        <v>1</v>
      </c>
      <c r="G7122" s="40">
        <v>10</v>
      </c>
      <c r="H7122" s="40">
        <v>19.349</v>
      </c>
      <c r="I7122" s="212"/>
      <c r="J7122" s="212"/>
    </row>
    <row r="7123" spans="1:10" s="15" customFormat="1" ht="18" hidden="1" customHeight="1" outlineLevel="1" x14ac:dyDescent="0.25">
      <c r="A7123" s="18">
        <v>6678</v>
      </c>
      <c r="B7123" s="4" t="s">
        <v>43</v>
      </c>
      <c r="C7123" s="38" t="s">
        <v>9727</v>
      </c>
      <c r="D7123" s="23">
        <v>2023</v>
      </c>
      <c r="E7123" s="18" t="s">
        <v>0</v>
      </c>
      <c r="F7123" s="6">
        <v>1</v>
      </c>
      <c r="G7123" s="40">
        <v>10</v>
      </c>
      <c r="H7123" s="40">
        <v>19.349</v>
      </c>
      <c r="I7123" s="212"/>
      <c r="J7123" s="212"/>
    </row>
    <row r="7124" spans="1:10" s="15" customFormat="1" ht="18" hidden="1" customHeight="1" outlineLevel="1" x14ac:dyDescent="0.25">
      <c r="A7124" s="18">
        <v>6679</v>
      </c>
      <c r="B7124" s="4" t="s">
        <v>43</v>
      </c>
      <c r="C7124" s="38" t="s">
        <v>9728</v>
      </c>
      <c r="D7124" s="23">
        <v>2023</v>
      </c>
      <c r="E7124" s="18" t="s">
        <v>0</v>
      </c>
      <c r="F7124" s="6">
        <v>1</v>
      </c>
      <c r="G7124" s="40">
        <v>14</v>
      </c>
      <c r="H7124" s="40">
        <v>19.463000000000001</v>
      </c>
      <c r="I7124" s="212"/>
      <c r="J7124" s="212"/>
    </row>
    <row r="7125" spans="1:10" s="15" customFormat="1" ht="18" hidden="1" customHeight="1" outlineLevel="1" x14ac:dyDescent="0.25">
      <c r="A7125" s="18">
        <v>6682</v>
      </c>
      <c r="B7125" s="4" t="s">
        <v>43</v>
      </c>
      <c r="C7125" s="38" t="s">
        <v>9729</v>
      </c>
      <c r="D7125" s="23">
        <v>2023</v>
      </c>
      <c r="E7125" s="18" t="s">
        <v>0</v>
      </c>
      <c r="F7125" s="6">
        <v>1</v>
      </c>
      <c r="G7125" s="40">
        <v>10</v>
      </c>
      <c r="H7125" s="40">
        <v>19.349</v>
      </c>
      <c r="I7125" s="212"/>
      <c r="J7125" s="212"/>
    </row>
    <row r="7126" spans="1:10" s="15" customFormat="1" ht="18" hidden="1" customHeight="1" outlineLevel="1" x14ac:dyDescent="0.25">
      <c r="A7126" s="18">
        <v>2724</v>
      </c>
      <c r="B7126" s="4" t="s">
        <v>43</v>
      </c>
      <c r="C7126" s="38" t="s">
        <v>9730</v>
      </c>
      <c r="D7126" s="23">
        <v>2023</v>
      </c>
      <c r="E7126" s="18" t="s">
        <v>0</v>
      </c>
      <c r="F7126" s="6">
        <v>1</v>
      </c>
      <c r="G7126" s="40">
        <v>5</v>
      </c>
      <c r="H7126" s="40">
        <v>19.349</v>
      </c>
      <c r="I7126" s="212"/>
      <c r="J7126" s="212"/>
    </row>
    <row r="7127" spans="1:10" s="15" customFormat="1" ht="18" hidden="1" customHeight="1" outlineLevel="1" x14ac:dyDescent="0.25">
      <c r="A7127" s="18">
        <v>2728</v>
      </c>
      <c r="B7127" s="4" t="s">
        <v>43</v>
      </c>
      <c r="C7127" s="38" t="s">
        <v>9731</v>
      </c>
      <c r="D7127" s="23">
        <v>2023</v>
      </c>
      <c r="E7127" s="18" t="s">
        <v>0</v>
      </c>
      <c r="F7127" s="6">
        <v>1</v>
      </c>
      <c r="G7127" s="40">
        <v>1</v>
      </c>
      <c r="H7127" s="40">
        <v>19.349</v>
      </c>
      <c r="I7127" s="212"/>
      <c r="J7127" s="212"/>
    </row>
    <row r="7128" spans="1:10" s="15" customFormat="1" ht="18" hidden="1" customHeight="1" outlineLevel="1" x14ac:dyDescent="0.25">
      <c r="A7128" s="18">
        <v>6683</v>
      </c>
      <c r="B7128" s="4" t="s">
        <v>43</v>
      </c>
      <c r="C7128" s="38" t="s">
        <v>9732</v>
      </c>
      <c r="D7128" s="23">
        <v>2023</v>
      </c>
      <c r="E7128" s="18" t="s">
        <v>0</v>
      </c>
      <c r="F7128" s="6">
        <v>1</v>
      </c>
      <c r="G7128" s="40">
        <v>10</v>
      </c>
      <c r="H7128" s="40">
        <v>19.463699999999999</v>
      </c>
      <c r="I7128" s="212"/>
      <c r="J7128" s="212"/>
    </row>
    <row r="7129" spans="1:10" s="15" customFormat="1" ht="18" hidden="1" customHeight="1" outlineLevel="1" x14ac:dyDescent="0.25">
      <c r="A7129" s="18">
        <v>6686</v>
      </c>
      <c r="B7129" s="4" t="s">
        <v>43</v>
      </c>
      <c r="C7129" s="38" t="s">
        <v>9733</v>
      </c>
      <c r="D7129" s="23">
        <v>2023</v>
      </c>
      <c r="E7129" s="18" t="s">
        <v>0</v>
      </c>
      <c r="F7129" s="6">
        <v>1</v>
      </c>
      <c r="G7129" s="40">
        <v>10</v>
      </c>
      <c r="H7129" s="40">
        <v>18.45721</v>
      </c>
      <c r="I7129" s="212"/>
      <c r="J7129" s="212"/>
    </row>
    <row r="7130" spans="1:10" s="15" customFormat="1" ht="18" hidden="1" customHeight="1" outlineLevel="1" x14ac:dyDescent="0.25">
      <c r="A7130" s="18">
        <v>6687</v>
      </c>
      <c r="B7130" s="4" t="s">
        <v>43</v>
      </c>
      <c r="C7130" s="38" t="s">
        <v>9734</v>
      </c>
      <c r="D7130" s="23">
        <v>2023</v>
      </c>
      <c r="E7130" s="18" t="s">
        <v>0</v>
      </c>
      <c r="F7130" s="6">
        <v>1</v>
      </c>
      <c r="G7130" s="40">
        <v>10</v>
      </c>
      <c r="H7130" s="40">
        <v>18.45721</v>
      </c>
      <c r="I7130" s="212"/>
      <c r="J7130" s="212"/>
    </row>
    <row r="7131" spans="1:10" s="15" customFormat="1" ht="18" hidden="1" customHeight="1" outlineLevel="1" x14ac:dyDescent="0.25">
      <c r="A7131" s="18">
        <v>6688</v>
      </c>
      <c r="B7131" s="4" t="s">
        <v>43</v>
      </c>
      <c r="C7131" s="38" t="s">
        <v>9735</v>
      </c>
      <c r="D7131" s="23">
        <v>2023</v>
      </c>
      <c r="E7131" s="18" t="s">
        <v>0</v>
      </c>
      <c r="F7131" s="6">
        <v>1</v>
      </c>
      <c r="G7131" s="40">
        <v>10</v>
      </c>
      <c r="H7131" s="40">
        <v>18.45721</v>
      </c>
      <c r="I7131" s="212"/>
      <c r="J7131" s="212"/>
    </row>
    <row r="7132" spans="1:10" s="15" customFormat="1" ht="18" hidden="1" customHeight="1" outlineLevel="1" x14ac:dyDescent="0.25">
      <c r="A7132" s="18">
        <v>6689</v>
      </c>
      <c r="B7132" s="4" t="s">
        <v>43</v>
      </c>
      <c r="C7132" s="38" t="s">
        <v>9736</v>
      </c>
      <c r="D7132" s="23">
        <v>2023</v>
      </c>
      <c r="E7132" s="18" t="s">
        <v>0</v>
      </c>
      <c r="F7132" s="6">
        <v>1</v>
      </c>
      <c r="G7132" s="40">
        <v>10</v>
      </c>
      <c r="H7132" s="40">
        <v>18.45721</v>
      </c>
      <c r="I7132" s="212"/>
      <c r="J7132" s="212"/>
    </row>
    <row r="7133" spans="1:10" s="15" customFormat="1" ht="18" hidden="1" customHeight="1" outlineLevel="1" x14ac:dyDescent="0.25">
      <c r="A7133" s="18">
        <v>2749</v>
      </c>
      <c r="B7133" s="4" t="s">
        <v>43</v>
      </c>
      <c r="C7133" s="38" t="s">
        <v>9737</v>
      </c>
      <c r="D7133" s="23">
        <v>2023</v>
      </c>
      <c r="E7133" s="18" t="s">
        <v>0</v>
      </c>
      <c r="F7133" s="6">
        <v>1</v>
      </c>
      <c r="G7133" s="40">
        <v>10</v>
      </c>
      <c r="H7133" s="40">
        <v>18.45721</v>
      </c>
      <c r="I7133" s="212"/>
      <c r="J7133" s="212"/>
    </row>
    <row r="7134" spans="1:10" s="15" customFormat="1" ht="18" hidden="1" customHeight="1" outlineLevel="1" x14ac:dyDescent="0.25">
      <c r="A7134" s="18">
        <v>6691</v>
      </c>
      <c r="B7134" s="4" t="s">
        <v>43</v>
      </c>
      <c r="C7134" s="38" t="s">
        <v>9738</v>
      </c>
      <c r="D7134" s="23">
        <v>2023</v>
      </c>
      <c r="E7134" s="18" t="s">
        <v>0</v>
      </c>
      <c r="F7134" s="6">
        <v>1</v>
      </c>
      <c r="G7134" s="40">
        <v>10</v>
      </c>
      <c r="H7134" s="40">
        <v>18.45721</v>
      </c>
      <c r="I7134" s="212"/>
      <c r="J7134" s="212"/>
    </row>
    <row r="7135" spans="1:10" s="15" customFormat="1" ht="18" hidden="1" customHeight="1" outlineLevel="1" x14ac:dyDescent="0.25">
      <c r="A7135" s="18">
        <v>2680</v>
      </c>
      <c r="B7135" s="4" t="s">
        <v>43</v>
      </c>
      <c r="C7135" s="38" t="s">
        <v>9739</v>
      </c>
      <c r="D7135" s="23">
        <v>2023</v>
      </c>
      <c r="E7135" s="18" t="s">
        <v>0</v>
      </c>
      <c r="F7135" s="6">
        <v>1</v>
      </c>
      <c r="G7135" s="40">
        <v>5</v>
      </c>
      <c r="H7135" s="40">
        <v>15.24959</v>
      </c>
      <c r="I7135" s="212"/>
      <c r="J7135" s="212"/>
    </row>
    <row r="7136" spans="1:10" s="15" customFormat="1" ht="18" hidden="1" customHeight="1" outlineLevel="1" x14ac:dyDescent="0.25">
      <c r="A7136" s="18">
        <v>6705</v>
      </c>
      <c r="B7136" s="4" t="s">
        <v>43</v>
      </c>
      <c r="C7136" s="38" t="s">
        <v>9740</v>
      </c>
      <c r="D7136" s="23">
        <v>2023</v>
      </c>
      <c r="E7136" s="18" t="s">
        <v>0</v>
      </c>
      <c r="F7136" s="6">
        <v>1</v>
      </c>
      <c r="G7136" s="40">
        <v>10</v>
      </c>
      <c r="H7136" s="40">
        <v>13.03519</v>
      </c>
      <c r="I7136" s="212"/>
      <c r="J7136" s="212"/>
    </row>
    <row r="7137" spans="1:10" s="15" customFormat="1" ht="18" hidden="1" customHeight="1" outlineLevel="1" x14ac:dyDescent="0.25">
      <c r="A7137" s="18">
        <v>2737</v>
      </c>
      <c r="B7137" s="4" t="s">
        <v>43</v>
      </c>
      <c r="C7137" s="38" t="s">
        <v>9741</v>
      </c>
      <c r="D7137" s="23">
        <v>2023</v>
      </c>
      <c r="E7137" s="18" t="s">
        <v>0</v>
      </c>
      <c r="F7137" s="6">
        <v>1</v>
      </c>
      <c r="G7137" s="40">
        <v>5</v>
      </c>
      <c r="H7137" s="40">
        <v>15.987709999999998</v>
      </c>
      <c r="I7137" s="212"/>
      <c r="J7137" s="212"/>
    </row>
    <row r="7138" spans="1:10" s="15" customFormat="1" ht="18" hidden="1" customHeight="1" outlineLevel="1" x14ac:dyDescent="0.25">
      <c r="A7138" s="18">
        <v>2712</v>
      </c>
      <c r="B7138" s="4" t="s">
        <v>43</v>
      </c>
      <c r="C7138" s="38" t="s">
        <v>9742</v>
      </c>
      <c r="D7138" s="23">
        <v>2023</v>
      </c>
      <c r="E7138" s="18" t="s">
        <v>0</v>
      </c>
      <c r="F7138" s="6">
        <v>1</v>
      </c>
      <c r="G7138" s="40">
        <v>5</v>
      </c>
      <c r="H7138" s="40">
        <v>14.294729999999999</v>
      </c>
      <c r="I7138" s="212"/>
      <c r="J7138" s="212"/>
    </row>
    <row r="7139" spans="1:10" s="15" customFormat="1" ht="18" hidden="1" customHeight="1" outlineLevel="1" x14ac:dyDescent="0.25">
      <c r="A7139" s="18">
        <v>6695</v>
      </c>
      <c r="B7139" s="4" t="s">
        <v>43</v>
      </c>
      <c r="C7139" s="38" t="s">
        <v>9743</v>
      </c>
      <c r="D7139" s="23">
        <v>2023</v>
      </c>
      <c r="E7139" s="18" t="s">
        <v>0</v>
      </c>
      <c r="F7139" s="6">
        <v>1</v>
      </c>
      <c r="G7139" s="40">
        <v>15</v>
      </c>
      <c r="H7139" s="40">
        <v>17.323979999999999</v>
      </c>
      <c r="I7139" s="212"/>
      <c r="J7139" s="212"/>
    </row>
    <row r="7140" spans="1:10" s="15" customFormat="1" ht="18" hidden="1" customHeight="1" outlineLevel="1" x14ac:dyDescent="0.25">
      <c r="A7140" s="18">
        <v>6696</v>
      </c>
      <c r="B7140" s="4" t="s">
        <v>43</v>
      </c>
      <c r="C7140" s="38" t="s">
        <v>9744</v>
      </c>
      <c r="D7140" s="23">
        <v>2023</v>
      </c>
      <c r="E7140" s="18" t="s">
        <v>0</v>
      </c>
      <c r="F7140" s="6">
        <v>1</v>
      </c>
      <c r="G7140" s="40">
        <v>15</v>
      </c>
      <c r="H7140" s="40">
        <v>13.47362</v>
      </c>
      <c r="I7140" s="212"/>
      <c r="J7140" s="212"/>
    </row>
    <row r="7141" spans="1:10" s="15" customFormat="1" ht="18" hidden="1" customHeight="1" outlineLevel="1" x14ac:dyDescent="0.25">
      <c r="A7141" s="18">
        <v>2730</v>
      </c>
      <c r="B7141" s="4" t="s">
        <v>43</v>
      </c>
      <c r="C7141" s="38" t="s">
        <v>9745</v>
      </c>
      <c r="D7141" s="23">
        <v>2023</v>
      </c>
      <c r="E7141" s="18" t="s">
        <v>0</v>
      </c>
      <c r="F7141" s="6">
        <v>1</v>
      </c>
      <c r="G7141" s="40">
        <v>5</v>
      </c>
      <c r="H7141" s="40">
        <v>12.76243</v>
      </c>
      <c r="I7141" s="212"/>
      <c r="J7141" s="212"/>
    </row>
    <row r="7142" spans="1:10" s="15" customFormat="1" ht="18" hidden="1" customHeight="1" outlineLevel="1" x14ac:dyDescent="0.25">
      <c r="A7142" s="18">
        <v>6714</v>
      </c>
      <c r="B7142" s="4" t="s">
        <v>43</v>
      </c>
      <c r="C7142" s="38" t="s">
        <v>9746</v>
      </c>
      <c r="D7142" s="23">
        <v>2023</v>
      </c>
      <c r="E7142" s="18" t="s">
        <v>0</v>
      </c>
      <c r="F7142" s="6">
        <v>1</v>
      </c>
      <c r="G7142" s="40">
        <v>10</v>
      </c>
      <c r="H7142" s="40">
        <v>18.188040000000001</v>
      </c>
      <c r="I7142" s="212"/>
      <c r="J7142" s="212"/>
    </row>
    <row r="7143" spans="1:10" s="15" customFormat="1" ht="18" hidden="1" customHeight="1" outlineLevel="1" x14ac:dyDescent="0.25">
      <c r="A7143" s="18">
        <v>6715</v>
      </c>
      <c r="B7143" s="4" t="s">
        <v>43</v>
      </c>
      <c r="C7143" s="38" t="s">
        <v>9747</v>
      </c>
      <c r="D7143" s="23">
        <v>2023</v>
      </c>
      <c r="E7143" s="18" t="s">
        <v>0</v>
      </c>
      <c r="F7143" s="6">
        <v>1</v>
      </c>
      <c r="G7143" s="40">
        <v>10</v>
      </c>
      <c r="H7143" s="40">
        <v>18.188040000000001</v>
      </c>
      <c r="I7143" s="212"/>
      <c r="J7143" s="212"/>
    </row>
    <row r="7144" spans="1:10" s="15" customFormat="1" ht="18" hidden="1" customHeight="1" outlineLevel="1" x14ac:dyDescent="0.25">
      <c r="A7144" s="18">
        <v>2782</v>
      </c>
      <c r="B7144" s="4" t="s">
        <v>43</v>
      </c>
      <c r="C7144" s="38" t="s">
        <v>9748</v>
      </c>
      <c r="D7144" s="23">
        <v>2023</v>
      </c>
      <c r="E7144" s="18" t="s">
        <v>0</v>
      </c>
      <c r="F7144" s="6">
        <v>1</v>
      </c>
      <c r="G7144" s="40">
        <v>15</v>
      </c>
      <c r="H7144" s="40">
        <v>18.188040000000001</v>
      </c>
      <c r="I7144" s="212"/>
      <c r="J7144" s="212"/>
    </row>
    <row r="7145" spans="1:10" s="15" customFormat="1" ht="18" hidden="1" customHeight="1" outlineLevel="1" x14ac:dyDescent="0.25">
      <c r="A7145" s="18">
        <v>6716</v>
      </c>
      <c r="B7145" s="4" t="s">
        <v>43</v>
      </c>
      <c r="C7145" s="38" t="s">
        <v>9749</v>
      </c>
      <c r="D7145" s="23">
        <v>2023</v>
      </c>
      <c r="E7145" s="18" t="s">
        <v>0</v>
      </c>
      <c r="F7145" s="6">
        <v>1</v>
      </c>
      <c r="G7145" s="40">
        <v>10</v>
      </c>
      <c r="H7145" s="40">
        <v>18.188040000000001</v>
      </c>
      <c r="I7145" s="212"/>
      <c r="J7145" s="212"/>
    </row>
    <row r="7146" spans="1:10" s="15" customFormat="1" ht="18" hidden="1" customHeight="1" outlineLevel="1" x14ac:dyDescent="0.25">
      <c r="A7146" s="18">
        <v>6717</v>
      </c>
      <c r="B7146" s="4" t="s">
        <v>43</v>
      </c>
      <c r="C7146" s="38" t="s">
        <v>9750</v>
      </c>
      <c r="D7146" s="23">
        <v>2023</v>
      </c>
      <c r="E7146" s="18" t="s">
        <v>0</v>
      </c>
      <c r="F7146" s="6">
        <v>1</v>
      </c>
      <c r="G7146" s="40">
        <v>10</v>
      </c>
      <c r="H7146" s="40">
        <v>18.188040000000001</v>
      </c>
      <c r="I7146" s="212"/>
      <c r="J7146" s="212"/>
    </row>
    <row r="7147" spans="1:10" s="15" customFormat="1" ht="18" hidden="1" customHeight="1" outlineLevel="1" x14ac:dyDescent="0.25">
      <c r="A7147" s="18">
        <v>2772</v>
      </c>
      <c r="B7147" s="4" t="s">
        <v>43</v>
      </c>
      <c r="C7147" s="38" t="s">
        <v>9751</v>
      </c>
      <c r="D7147" s="23">
        <v>2023</v>
      </c>
      <c r="E7147" s="18" t="s">
        <v>0</v>
      </c>
      <c r="F7147" s="6">
        <v>1</v>
      </c>
      <c r="G7147" s="40">
        <v>1</v>
      </c>
      <c r="H7147" s="40">
        <v>18.188040000000001</v>
      </c>
      <c r="I7147" s="212"/>
      <c r="J7147" s="212"/>
    </row>
    <row r="7148" spans="1:10" s="15" customFormat="1" ht="18" hidden="1" customHeight="1" outlineLevel="1" x14ac:dyDescent="0.25">
      <c r="A7148" s="18">
        <v>6718</v>
      </c>
      <c r="B7148" s="4" t="s">
        <v>43</v>
      </c>
      <c r="C7148" s="38" t="s">
        <v>9752</v>
      </c>
      <c r="D7148" s="23">
        <v>2023</v>
      </c>
      <c r="E7148" s="18" t="s">
        <v>0</v>
      </c>
      <c r="F7148" s="6">
        <v>1</v>
      </c>
      <c r="G7148" s="40">
        <v>1</v>
      </c>
      <c r="H7148" s="40">
        <v>18.188040000000001</v>
      </c>
      <c r="I7148" s="212"/>
      <c r="J7148" s="212"/>
    </row>
    <row r="7149" spans="1:10" s="15" customFormat="1" ht="18" hidden="1" customHeight="1" outlineLevel="1" x14ac:dyDescent="0.25">
      <c r="A7149" s="18">
        <v>6719</v>
      </c>
      <c r="B7149" s="4" t="s">
        <v>43</v>
      </c>
      <c r="C7149" s="38" t="s">
        <v>9753</v>
      </c>
      <c r="D7149" s="23">
        <v>2023</v>
      </c>
      <c r="E7149" s="18" t="s">
        <v>0</v>
      </c>
      <c r="F7149" s="6">
        <v>1</v>
      </c>
      <c r="G7149" s="40">
        <v>10</v>
      </c>
      <c r="H7149" s="40">
        <v>18.188040000000001</v>
      </c>
      <c r="I7149" s="212"/>
      <c r="J7149" s="212"/>
    </row>
    <row r="7150" spans="1:10" s="15" customFormat="1" ht="18" hidden="1" customHeight="1" outlineLevel="1" x14ac:dyDescent="0.25">
      <c r="A7150" s="18">
        <v>6720</v>
      </c>
      <c r="B7150" s="4" t="s">
        <v>43</v>
      </c>
      <c r="C7150" s="38" t="s">
        <v>9754</v>
      </c>
      <c r="D7150" s="23">
        <v>2023</v>
      </c>
      <c r="E7150" s="18" t="s">
        <v>0</v>
      </c>
      <c r="F7150" s="6">
        <v>1</v>
      </c>
      <c r="G7150" s="40">
        <v>8</v>
      </c>
      <c r="H7150" s="40">
        <v>18.188040000000001</v>
      </c>
      <c r="I7150" s="212"/>
      <c r="J7150" s="212"/>
    </row>
    <row r="7151" spans="1:10" s="15" customFormat="1" ht="18" hidden="1" customHeight="1" outlineLevel="1" x14ac:dyDescent="0.25">
      <c r="A7151" s="18">
        <v>6722</v>
      </c>
      <c r="B7151" s="4" t="s">
        <v>43</v>
      </c>
      <c r="C7151" s="38" t="s">
        <v>9755</v>
      </c>
      <c r="D7151" s="23">
        <v>2023</v>
      </c>
      <c r="E7151" s="18" t="s">
        <v>0</v>
      </c>
      <c r="F7151" s="6">
        <v>1</v>
      </c>
      <c r="G7151" s="40">
        <v>5</v>
      </c>
      <c r="H7151" s="40">
        <v>18.188040000000001</v>
      </c>
      <c r="I7151" s="212"/>
      <c r="J7151" s="212"/>
    </row>
    <row r="7152" spans="1:10" s="15" customFormat="1" ht="18" hidden="1" customHeight="1" outlineLevel="1" x14ac:dyDescent="0.25">
      <c r="A7152" s="18">
        <v>6723</v>
      </c>
      <c r="B7152" s="4" t="s">
        <v>43</v>
      </c>
      <c r="C7152" s="38" t="s">
        <v>9756</v>
      </c>
      <c r="D7152" s="23">
        <v>2023</v>
      </c>
      <c r="E7152" s="18" t="s">
        <v>0</v>
      </c>
      <c r="F7152" s="6">
        <v>1</v>
      </c>
      <c r="G7152" s="40">
        <v>10</v>
      </c>
      <c r="H7152" s="40">
        <v>18.188040000000001</v>
      </c>
      <c r="I7152" s="212"/>
      <c r="J7152" s="212"/>
    </row>
    <row r="7153" spans="1:10" s="15" customFormat="1" ht="18" hidden="1" customHeight="1" outlineLevel="1" x14ac:dyDescent="0.25">
      <c r="A7153" s="18">
        <v>6724</v>
      </c>
      <c r="B7153" s="4" t="s">
        <v>43</v>
      </c>
      <c r="C7153" s="38" t="s">
        <v>9757</v>
      </c>
      <c r="D7153" s="23">
        <v>2023</v>
      </c>
      <c r="E7153" s="18" t="s">
        <v>0</v>
      </c>
      <c r="F7153" s="6">
        <v>1</v>
      </c>
      <c r="G7153" s="40">
        <v>5</v>
      </c>
      <c r="H7153" s="40">
        <v>18.188040000000001</v>
      </c>
      <c r="I7153" s="212"/>
      <c r="J7153" s="212"/>
    </row>
    <row r="7154" spans="1:10" s="15" customFormat="1" ht="18" hidden="1" customHeight="1" outlineLevel="1" x14ac:dyDescent="0.25">
      <c r="A7154" s="18">
        <v>6725</v>
      </c>
      <c r="B7154" s="4" t="s">
        <v>43</v>
      </c>
      <c r="C7154" s="38" t="s">
        <v>9758</v>
      </c>
      <c r="D7154" s="23">
        <v>2023</v>
      </c>
      <c r="E7154" s="18" t="s">
        <v>0</v>
      </c>
      <c r="F7154" s="6">
        <v>1</v>
      </c>
      <c r="G7154" s="40">
        <v>10</v>
      </c>
      <c r="H7154" s="40">
        <v>18.295550000000006</v>
      </c>
      <c r="I7154" s="212"/>
      <c r="J7154" s="212"/>
    </row>
    <row r="7155" spans="1:10" s="15" customFormat="1" ht="18" hidden="1" customHeight="1" outlineLevel="1" x14ac:dyDescent="0.25">
      <c r="A7155" s="18">
        <v>6726</v>
      </c>
      <c r="B7155" s="4" t="s">
        <v>43</v>
      </c>
      <c r="C7155" s="38" t="s">
        <v>9759</v>
      </c>
      <c r="D7155" s="23">
        <v>2023</v>
      </c>
      <c r="E7155" s="18" t="s">
        <v>0</v>
      </c>
      <c r="F7155" s="6">
        <v>1</v>
      </c>
      <c r="G7155" s="40">
        <v>10</v>
      </c>
      <c r="H7155" s="40">
        <v>18.295550000000006</v>
      </c>
      <c r="I7155" s="212"/>
      <c r="J7155" s="212"/>
    </row>
    <row r="7156" spans="1:10" s="15" customFormat="1" ht="18" hidden="1" customHeight="1" outlineLevel="1" x14ac:dyDescent="0.25">
      <c r="A7156" s="18">
        <v>6727</v>
      </c>
      <c r="B7156" s="4" t="s">
        <v>43</v>
      </c>
      <c r="C7156" s="38" t="s">
        <v>9760</v>
      </c>
      <c r="D7156" s="23">
        <v>2023</v>
      </c>
      <c r="E7156" s="18" t="s">
        <v>0</v>
      </c>
      <c r="F7156" s="6">
        <v>1</v>
      </c>
      <c r="G7156" s="40">
        <v>10</v>
      </c>
      <c r="H7156" s="40">
        <v>18.295550000000006</v>
      </c>
      <c r="I7156" s="212"/>
      <c r="J7156" s="212"/>
    </row>
    <row r="7157" spans="1:10" s="15" customFormat="1" ht="18" hidden="1" customHeight="1" outlineLevel="1" x14ac:dyDescent="0.25">
      <c r="A7157" s="18">
        <v>2767</v>
      </c>
      <c r="B7157" s="4" t="s">
        <v>43</v>
      </c>
      <c r="C7157" s="38" t="s">
        <v>9761</v>
      </c>
      <c r="D7157" s="23">
        <v>2023</v>
      </c>
      <c r="E7157" s="18" t="s">
        <v>0</v>
      </c>
      <c r="F7157" s="6">
        <v>1</v>
      </c>
      <c r="G7157" s="40">
        <v>1</v>
      </c>
      <c r="H7157" s="40">
        <v>18.295550000000006</v>
      </c>
      <c r="I7157" s="212"/>
      <c r="J7157" s="212"/>
    </row>
    <row r="7158" spans="1:10" s="15" customFormat="1" ht="18" hidden="1" customHeight="1" outlineLevel="1" x14ac:dyDescent="0.25">
      <c r="A7158" s="18">
        <v>6728</v>
      </c>
      <c r="B7158" s="4" t="s">
        <v>43</v>
      </c>
      <c r="C7158" s="38" t="s">
        <v>9762</v>
      </c>
      <c r="D7158" s="23">
        <v>2023</v>
      </c>
      <c r="E7158" s="18" t="s">
        <v>0</v>
      </c>
      <c r="F7158" s="6">
        <v>1</v>
      </c>
      <c r="G7158" s="40">
        <v>10</v>
      </c>
      <c r="H7158" s="40">
        <v>18.295550000000006</v>
      </c>
      <c r="I7158" s="212"/>
      <c r="J7158" s="212"/>
    </row>
    <row r="7159" spans="1:10" s="15" customFormat="1" ht="18" hidden="1" customHeight="1" outlineLevel="1" x14ac:dyDescent="0.25">
      <c r="A7159" s="18">
        <v>6729</v>
      </c>
      <c r="B7159" s="4" t="s">
        <v>43</v>
      </c>
      <c r="C7159" s="38" t="s">
        <v>9763</v>
      </c>
      <c r="D7159" s="23">
        <v>2023</v>
      </c>
      <c r="E7159" s="18" t="s">
        <v>0</v>
      </c>
      <c r="F7159" s="6">
        <v>1</v>
      </c>
      <c r="G7159" s="40">
        <v>5</v>
      </c>
      <c r="H7159" s="40">
        <v>18.295550000000006</v>
      </c>
      <c r="I7159" s="212"/>
      <c r="J7159" s="212"/>
    </row>
    <row r="7160" spans="1:10" s="15" customFormat="1" ht="18" hidden="1" customHeight="1" outlineLevel="1" x14ac:dyDescent="0.25">
      <c r="A7160" s="18">
        <v>6730</v>
      </c>
      <c r="B7160" s="4" t="s">
        <v>43</v>
      </c>
      <c r="C7160" s="38" t="s">
        <v>9764</v>
      </c>
      <c r="D7160" s="23">
        <v>2023</v>
      </c>
      <c r="E7160" s="18" t="s">
        <v>0</v>
      </c>
      <c r="F7160" s="6">
        <v>1</v>
      </c>
      <c r="G7160" s="40">
        <v>15</v>
      </c>
      <c r="H7160" s="40">
        <v>18.295550000000006</v>
      </c>
      <c r="I7160" s="212"/>
      <c r="J7160" s="212"/>
    </row>
    <row r="7161" spans="1:10" s="15" customFormat="1" ht="18" hidden="1" customHeight="1" outlineLevel="1" x14ac:dyDescent="0.25">
      <c r="A7161" s="18">
        <v>6731</v>
      </c>
      <c r="B7161" s="4" t="s">
        <v>43</v>
      </c>
      <c r="C7161" s="38" t="s">
        <v>9765</v>
      </c>
      <c r="D7161" s="23">
        <v>2023</v>
      </c>
      <c r="E7161" s="18" t="s">
        <v>0</v>
      </c>
      <c r="F7161" s="6">
        <v>1</v>
      </c>
      <c r="G7161" s="40">
        <v>10</v>
      </c>
      <c r="H7161" s="40">
        <v>18.295550000000006</v>
      </c>
      <c r="I7161" s="212"/>
      <c r="J7161" s="212"/>
    </row>
    <row r="7162" spans="1:10" s="15" customFormat="1" ht="18" hidden="1" customHeight="1" outlineLevel="1" x14ac:dyDescent="0.25">
      <c r="A7162" s="18">
        <v>6732</v>
      </c>
      <c r="B7162" s="4" t="s">
        <v>43</v>
      </c>
      <c r="C7162" s="38" t="s">
        <v>9766</v>
      </c>
      <c r="D7162" s="23">
        <v>2023</v>
      </c>
      <c r="E7162" s="18" t="s">
        <v>0</v>
      </c>
      <c r="F7162" s="6">
        <v>1</v>
      </c>
      <c r="G7162" s="40">
        <v>15</v>
      </c>
      <c r="H7162" s="40">
        <v>18.295550000000006</v>
      </c>
      <c r="I7162" s="212"/>
      <c r="J7162" s="212"/>
    </row>
    <row r="7163" spans="1:10" s="15" customFormat="1" ht="18" hidden="1" customHeight="1" outlineLevel="1" x14ac:dyDescent="0.25">
      <c r="A7163" s="18">
        <v>2791</v>
      </c>
      <c r="B7163" s="4" t="s">
        <v>43</v>
      </c>
      <c r="C7163" s="38" t="s">
        <v>9767</v>
      </c>
      <c r="D7163" s="23">
        <v>2023</v>
      </c>
      <c r="E7163" s="18" t="s">
        <v>0</v>
      </c>
      <c r="F7163" s="6">
        <v>1</v>
      </c>
      <c r="G7163" s="40">
        <v>15</v>
      </c>
      <c r="H7163" s="40">
        <v>14.648350000000001</v>
      </c>
      <c r="I7163" s="212"/>
      <c r="J7163" s="212"/>
    </row>
    <row r="7164" spans="1:10" s="15" customFormat="1" ht="18" hidden="1" customHeight="1" outlineLevel="1" x14ac:dyDescent="0.25">
      <c r="A7164" s="18">
        <v>2804</v>
      </c>
      <c r="B7164" s="4" t="s">
        <v>43</v>
      </c>
      <c r="C7164" s="38" t="s">
        <v>9768</v>
      </c>
      <c r="D7164" s="23">
        <v>2023</v>
      </c>
      <c r="E7164" s="18" t="s">
        <v>0</v>
      </c>
      <c r="F7164" s="6">
        <v>1</v>
      </c>
      <c r="G7164" s="40">
        <v>5</v>
      </c>
      <c r="H7164" s="40">
        <v>14.295070000000001</v>
      </c>
      <c r="I7164" s="212"/>
      <c r="J7164" s="212"/>
    </row>
    <row r="7165" spans="1:10" s="15" customFormat="1" ht="18" hidden="1" customHeight="1" outlineLevel="1" x14ac:dyDescent="0.25">
      <c r="A7165" s="18">
        <v>2758</v>
      </c>
      <c r="B7165" s="4" t="s">
        <v>43</v>
      </c>
      <c r="C7165" s="38" t="s">
        <v>9769</v>
      </c>
      <c r="D7165" s="23">
        <v>2023</v>
      </c>
      <c r="E7165" s="18" t="s">
        <v>0</v>
      </c>
      <c r="F7165" s="6">
        <v>1</v>
      </c>
      <c r="G7165" s="40">
        <v>10</v>
      </c>
      <c r="H7165" s="40">
        <v>13.394359999999999</v>
      </c>
      <c r="I7165" s="212"/>
      <c r="J7165" s="212"/>
    </row>
    <row r="7166" spans="1:10" s="15" customFormat="1" ht="18" hidden="1" customHeight="1" outlineLevel="1" x14ac:dyDescent="0.25">
      <c r="A7166" s="18">
        <v>6734</v>
      </c>
      <c r="B7166" s="4" t="s">
        <v>43</v>
      </c>
      <c r="C7166" s="38" t="s">
        <v>9770</v>
      </c>
      <c r="D7166" s="23">
        <v>2023</v>
      </c>
      <c r="E7166" s="18" t="s">
        <v>0</v>
      </c>
      <c r="F7166" s="6">
        <v>1</v>
      </c>
      <c r="G7166" s="40">
        <v>10</v>
      </c>
      <c r="H7166" s="40">
        <v>14.868989999999998</v>
      </c>
      <c r="I7166" s="212"/>
      <c r="J7166" s="212"/>
    </row>
    <row r="7167" spans="1:10" s="15" customFormat="1" ht="18" hidden="1" customHeight="1" outlineLevel="1" x14ac:dyDescent="0.25">
      <c r="A7167" s="18">
        <v>6735</v>
      </c>
      <c r="B7167" s="4" t="s">
        <v>43</v>
      </c>
      <c r="C7167" s="38" t="s">
        <v>9771</v>
      </c>
      <c r="D7167" s="23">
        <v>2023</v>
      </c>
      <c r="E7167" s="18" t="s">
        <v>0</v>
      </c>
      <c r="F7167" s="6">
        <v>1</v>
      </c>
      <c r="G7167" s="40">
        <v>15</v>
      </c>
      <c r="H7167" s="40">
        <v>15.512379999999999</v>
      </c>
      <c r="I7167" s="212"/>
      <c r="J7167" s="212"/>
    </row>
    <row r="7168" spans="1:10" s="15" customFormat="1" ht="18" hidden="1" customHeight="1" outlineLevel="1" x14ac:dyDescent="0.25">
      <c r="A7168" s="18">
        <v>2742</v>
      </c>
      <c r="B7168" s="4" t="s">
        <v>43</v>
      </c>
      <c r="C7168" s="38" t="s">
        <v>9772</v>
      </c>
      <c r="D7168" s="23">
        <v>2023</v>
      </c>
      <c r="E7168" s="18" t="s">
        <v>0</v>
      </c>
      <c r="F7168" s="6">
        <v>1</v>
      </c>
      <c r="G7168" s="40">
        <v>5</v>
      </c>
      <c r="H7168" s="40">
        <v>12.870600000000001</v>
      </c>
      <c r="I7168" s="212"/>
      <c r="J7168" s="212"/>
    </row>
    <row r="7169" spans="1:10" s="15" customFormat="1" ht="18" hidden="1" customHeight="1" outlineLevel="1" x14ac:dyDescent="0.25">
      <c r="A7169" s="18">
        <v>6739</v>
      </c>
      <c r="B7169" s="4" t="s">
        <v>43</v>
      </c>
      <c r="C7169" s="38" t="s">
        <v>9773</v>
      </c>
      <c r="D7169" s="23">
        <v>2023</v>
      </c>
      <c r="E7169" s="18" t="s">
        <v>0</v>
      </c>
      <c r="F7169" s="6">
        <v>1</v>
      </c>
      <c r="G7169" s="40">
        <v>10</v>
      </c>
      <c r="H7169" s="40">
        <v>12.870709</v>
      </c>
      <c r="I7169" s="212"/>
      <c r="J7169" s="212"/>
    </row>
    <row r="7170" spans="1:10" s="15" customFormat="1" ht="18" hidden="1" customHeight="1" outlineLevel="1" x14ac:dyDescent="0.25">
      <c r="A7170" s="18">
        <v>2769</v>
      </c>
      <c r="B7170" s="4" t="s">
        <v>43</v>
      </c>
      <c r="C7170" s="38" t="s">
        <v>9774</v>
      </c>
      <c r="D7170" s="23">
        <v>2023</v>
      </c>
      <c r="E7170" s="18" t="s">
        <v>0</v>
      </c>
      <c r="F7170" s="6">
        <v>1</v>
      </c>
      <c r="G7170" s="40">
        <v>3</v>
      </c>
      <c r="H7170" s="40">
        <v>12.870649999999999</v>
      </c>
      <c r="I7170" s="212"/>
      <c r="J7170" s="212"/>
    </row>
    <row r="7171" spans="1:10" s="15" customFormat="1" ht="18" hidden="1" customHeight="1" outlineLevel="1" x14ac:dyDescent="0.25">
      <c r="A7171" s="18">
        <v>2744</v>
      </c>
      <c r="B7171" s="4" t="s">
        <v>43</v>
      </c>
      <c r="C7171" s="38" t="s">
        <v>9775</v>
      </c>
      <c r="D7171" s="23">
        <v>2023</v>
      </c>
      <c r="E7171" s="18" t="s">
        <v>0</v>
      </c>
      <c r="F7171" s="6">
        <v>1</v>
      </c>
      <c r="G7171" s="40">
        <v>8</v>
      </c>
      <c r="H7171" s="40">
        <v>15.793959999999998</v>
      </c>
      <c r="I7171" s="212"/>
      <c r="J7171" s="212"/>
    </row>
    <row r="7172" spans="1:10" s="15" customFormat="1" ht="18" hidden="1" customHeight="1" outlineLevel="1" x14ac:dyDescent="0.25">
      <c r="A7172" s="18">
        <v>6740</v>
      </c>
      <c r="B7172" s="4" t="s">
        <v>43</v>
      </c>
      <c r="C7172" s="38" t="s">
        <v>9776</v>
      </c>
      <c r="D7172" s="23">
        <v>2023</v>
      </c>
      <c r="E7172" s="18" t="s">
        <v>0</v>
      </c>
      <c r="F7172" s="6">
        <v>1</v>
      </c>
      <c r="G7172" s="40">
        <v>12</v>
      </c>
      <c r="H7172" s="40">
        <v>12.870649999999999</v>
      </c>
      <c r="I7172" s="212"/>
      <c r="J7172" s="212"/>
    </row>
    <row r="7173" spans="1:10" s="15" customFormat="1" ht="18" hidden="1" customHeight="1" outlineLevel="1" x14ac:dyDescent="0.25">
      <c r="A7173" s="18">
        <v>2451</v>
      </c>
      <c r="B7173" s="4" t="s">
        <v>43</v>
      </c>
      <c r="C7173" s="38" t="s">
        <v>9777</v>
      </c>
      <c r="D7173" s="23">
        <v>2023</v>
      </c>
      <c r="E7173" s="18" t="s">
        <v>0</v>
      </c>
      <c r="F7173" s="6">
        <v>1</v>
      </c>
      <c r="G7173" s="40">
        <v>3</v>
      </c>
      <c r="H7173" s="40">
        <v>12.870649999999999</v>
      </c>
      <c r="I7173" s="212"/>
      <c r="J7173" s="212"/>
    </row>
    <row r="7174" spans="1:10" s="15" customFormat="1" ht="18" hidden="1" customHeight="1" outlineLevel="1" x14ac:dyDescent="0.25">
      <c r="A7174" s="18">
        <v>6741</v>
      </c>
      <c r="B7174" s="4" t="s">
        <v>43</v>
      </c>
      <c r="C7174" s="38" t="s">
        <v>9778</v>
      </c>
      <c r="D7174" s="23">
        <v>2023</v>
      </c>
      <c r="E7174" s="18" t="s">
        <v>0</v>
      </c>
      <c r="F7174" s="6">
        <v>1</v>
      </c>
      <c r="G7174" s="40">
        <v>8</v>
      </c>
      <c r="H7174" s="40">
        <v>15.793959999999998</v>
      </c>
      <c r="I7174" s="212"/>
      <c r="J7174" s="212"/>
    </row>
    <row r="7175" spans="1:10" s="15" customFormat="1" ht="18" hidden="1" customHeight="1" outlineLevel="1" x14ac:dyDescent="0.25">
      <c r="A7175" s="18">
        <v>2458</v>
      </c>
      <c r="B7175" s="4" t="s">
        <v>43</v>
      </c>
      <c r="C7175" s="38" t="s">
        <v>9779</v>
      </c>
      <c r="D7175" s="23">
        <v>2023</v>
      </c>
      <c r="E7175" s="18" t="s">
        <v>0</v>
      </c>
      <c r="F7175" s="6">
        <v>1</v>
      </c>
      <c r="G7175" s="40">
        <v>10</v>
      </c>
      <c r="H7175" s="40">
        <v>11.993039999999999</v>
      </c>
      <c r="I7175" s="212"/>
      <c r="J7175" s="212"/>
    </row>
    <row r="7176" spans="1:10" s="15" customFormat="1" ht="18" hidden="1" customHeight="1" outlineLevel="1" x14ac:dyDescent="0.25">
      <c r="A7176" s="18">
        <v>6742</v>
      </c>
      <c r="B7176" s="4" t="s">
        <v>43</v>
      </c>
      <c r="C7176" s="38" t="s">
        <v>9780</v>
      </c>
      <c r="D7176" s="23">
        <v>2023</v>
      </c>
      <c r="E7176" s="18" t="s">
        <v>0</v>
      </c>
      <c r="F7176" s="6">
        <v>1</v>
      </c>
      <c r="G7176" s="40">
        <v>13</v>
      </c>
      <c r="H7176" s="40">
        <v>11.993039999999999</v>
      </c>
      <c r="I7176" s="212"/>
      <c r="J7176" s="212"/>
    </row>
    <row r="7177" spans="1:10" s="15" customFormat="1" ht="18" hidden="1" customHeight="1" outlineLevel="1" x14ac:dyDescent="0.25">
      <c r="A7177" s="18">
        <v>6743</v>
      </c>
      <c r="B7177" s="4" t="s">
        <v>43</v>
      </c>
      <c r="C7177" s="38" t="s">
        <v>9781</v>
      </c>
      <c r="D7177" s="23">
        <v>2023</v>
      </c>
      <c r="E7177" s="18" t="s">
        <v>0</v>
      </c>
      <c r="F7177" s="6">
        <v>1</v>
      </c>
      <c r="G7177" s="40">
        <v>12</v>
      </c>
      <c r="H7177" s="40">
        <v>13.834330000000001</v>
      </c>
      <c r="I7177" s="212"/>
      <c r="J7177" s="212"/>
    </row>
    <row r="7178" spans="1:10" s="15" customFormat="1" ht="18" hidden="1" customHeight="1" outlineLevel="1" x14ac:dyDescent="0.25">
      <c r="A7178" s="18">
        <v>6744</v>
      </c>
      <c r="B7178" s="4" t="s">
        <v>43</v>
      </c>
      <c r="C7178" s="38" t="s">
        <v>9782</v>
      </c>
      <c r="D7178" s="23">
        <v>2023</v>
      </c>
      <c r="E7178" s="18" t="s">
        <v>0</v>
      </c>
      <c r="F7178" s="6">
        <v>1</v>
      </c>
      <c r="G7178" s="40">
        <v>15</v>
      </c>
      <c r="H7178" s="40">
        <v>12.870649999999999</v>
      </c>
      <c r="I7178" s="212"/>
      <c r="J7178" s="212"/>
    </row>
    <row r="7179" spans="1:10" s="15" customFormat="1" ht="18" hidden="1" customHeight="1" outlineLevel="1" x14ac:dyDescent="0.25">
      <c r="A7179" s="18">
        <v>6745</v>
      </c>
      <c r="B7179" s="4" t="s">
        <v>43</v>
      </c>
      <c r="C7179" s="38" t="s">
        <v>9783</v>
      </c>
      <c r="D7179" s="23">
        <v>2023</v>
      </c>
      <c r="E7179" s="18" t="s">
        <v>0</v>
      </c>
      <c r="F7179" s="6">
        <v>1</v>
      </c>
      <c r="G7179" s="40">
        <v>1</v>
      </c>
      <c r="H7179" s="40">
        <v>12.870649999999999</v>
      </c>
      <c r="I7179" s="212"/>
      <c r="J7179" s="212"/>
    </row>
    <row r="7180" spans="1:10" s="15" customFormat="1" ht="18" hidden="1" customHeight="1" outlineLevel="1" x14ac:dyDescent="0.25">
      <c r="A7180" s="18">
        <v>6746</v>
      </c>
      <c r="B7180" s="4" t="s">
        <v>43</v>
      </c>
      <c r="C7180" s="38" t="s">
        <v>9784</v>
      </c>
      <c r="D7180" s="23">
        <v>2023</v>
      </c>
      <c r="E7180" s="18" t="s">
        <v>0</v>
      </c>
      <c r="F7180" s="6">
        <v>1</v>
      </c>
      <c r="G7180" s="40">
        <v>10</v>
      </c>
      <c r="H7180" s="40">
        <v>12.870649999999999</v>
      </c>
      <c r="I7180" s="212"/>
      <c r="J7180" s="212"/>
    </row>
    <row r="7181" spans="1:10" s="15" customFormat="1" ht="18" hidden="1" customHeight="1" outlineLevel="1" x14ac:dyDescent="0.25">
      <c r="A7181" s="18">
        <v>2808</v>
      </c>
      <c r="B7181" s="4" t="s">
        <v>43</v>
      </c>
      <c r="C7181" s="38" t="s">
        <v>9785</v>
      </c>
      <c r="D7181" s="23">
        <v>2023</v>
      </c>
      <c r="E7181" s="18" t="s">
        <v>0</v>
      </c>
      <c r="F7181" s="6">
        <v>1</v>
      </c>
      <c r="G7181" s="40">
        <v>5</v>
      </c>
      <c r="H7181" s="40">
        <v>15.793959999999998</v>
      </c>
      <c r="I7181" s="212"/>
      <c r="J7181" s="212"/>
    </row>
    <row r="7182" spans="1:10" s="15" customFormat="1" ht="18" hidden="1" customHeight="1" outlineLevel="1" x14ac:dyDescent="0.25">
      <c r="A7182" s="18">
        <v>2814</v>
      </c>
      <c r="B7182" s="4" t="s">
        <v>43</v>
      </c>
      <c r="C7182" s="38" t="s">
        <v>9786</v>
      </c>
      <c r="D7182" s="23">
        <v>2023</v>
      </c>
      <c r="E7182" s="18" t="s">
        <v>0</v>
      </c>
      <c r="F7182" s="6">
        <v>1</v>
      </c>
      <c r="G7182" s="40">
        <v>5</v>
      </c>
      <c r="H7182" s="40">
        <v>18.717260000000003</v>
      </c>
      <c r="I7182" s="212"/>
      <c r="J7182" s="212"/>
    </row>
    <row r="7183" spans="1:10" s="15" customFormat="1" ht="18" hidden="1" customHeight="1" outlineLevel="1" x14ac:dyDescent="0.25">
      <c r="A7183" s="18">
        <v>6747</v>
      </c>
      <c r="B7183" s="4" t="s">
        <v>43</v>
      </c>
      <c r="C7183" s="38" t="s">
        <v>9787</v>
      </c>
      <c r="D7183" s="23">
        <v>2023</v>
      </c>
      <c r="E7183" s="18" t="s">
        <v>0</v>
      </c>
      <c r="F7183" s="6">
        <v>1</v>
      </c>
      <c r="G7183" s="40">
        <v>15</v>
      </c>
      <c r="H7183" s="40">
        <v>11.993039999999999</v>
      </c>
      <c r="I7183" s="212"/>
      <c r="J7183" s="212"/>
    </row>
    <row r="7184" spans="1:10" s="15" customFormat="1" ht="18" hidden="1" customHeight="1" outlineLevel="1" x14ac:dyDescent="0.25">
      <c r="A7184" s="18">
        <v>6748</v>
      </c>
      <c r="B7184" s="4" t="s">
        <v>43</v>
      </c>
      <c r="C7184" s="38" t="s">
        <v>9788</v>
      </c>
      <c r="D7184" s="23">
        <v>2023</v>
      </c>
      <c r="E7184" s="18" t="s">
        <v>0</v>
      </c>
      <c r="F7184" s="6">
        <v>1</v>
      </c>
      <c r="G7184" s="40">
        <v>12</v>
      </c>
      <c r="H7184" s="40">
        <v>12.870649999999999</v>
      </c>
      <c r="I7184" s="212"/>
      <c r="J7184" s="212"/>
    </row>
    <row r="7185" spans="1:10" s="15" customFormat="1" ht="18" hidden="1" customHeight="1" outlineLevel="1" x14ac:dyDescent="0.25">
      <c r="A7185" s="18">
        <v>6749</v>
      </c>
      <c r="B7185" s="4" t="s">
        <v>43</v>
      </c>
      <c r="C7185" s="38" t="s">
        <v>9789</v>
      </c>
      <c r="D7185" s="23">
        <v>2023</v>
      </c>
      <c r="E7185" s="18" t="s">
        <v>0</v>
      </c>
      <c r="F7185" s="6">
        <v>1</v>
      </c>
      <c r="G7185" s="40">
        <v>10</v>
      </c>
      <c r="H7185" s="40">
        <v>15.793959999999998</v>
      </c>
      <c r="I7185" s="212"/>
      <c r="J7185" s="212"/>
    </row>
    <row r="7186" spans="1:10" s="15" customFormat="1" ht="18" hidden="1" customHeight="1" outlineLevel="1" x14ac:dyDescent="0.25">
      <c r="A7186" s="18">
        <v>2745</v>
      </c>
      <c r="B7186" s="4" t="s">
        <v>43</v>
      </c>
      <c r="C7186" s="38" t="s">
        <v>9790</v>
      </c>
      <c r="D7186" s="23">
        <v>2023</v>
      </c>
      <c r="E7186" s="18" t="s">
        <v>0</v>
      </c>
      <c r="F7186" s="6">
        <v>1</v>
      </c>
      <c r="G7186" s="40">
        <v>4</v>
      </c>
      <c r="H7186" s="40">
        <v>12.870649999999999</v>
      </c>
      <c r="I7186" s="212"/>
      <c r="J7186" s="212"/>
    </row>
    <row r="7187" spans="1:10" s="15" customFormat="1" ht="18" hidden="1" customHeight="1" outlineLevel="1" x14ac:dyDescent="0.25">
      <c r="A7187" s="18">
        <v>6750</v>
      </c>
      <c r="B7187" s="4" t="s">
        <v>43</v>
      </c>
      <c r="C7187" s="38" t="s">
        <v>9791</v>
      </c>
      <c r="D7187" s="23">
        <v>2023</v>
      </c>
      <c r="E7187" s="18" t="s">
        <v>0</v>
      </c>
      <c r="F7187" s="6">
        <v>1</v>
      </c>
      <c r="G7187" s="40">
        <v>7</v>
      </c>
      <c r="H7187" s="40">
        <v>11.993039999999999</v>
      </c>
      <c r="I7187" s="212"/>
      <c r="J7187" s="212"/>
    </row>
    <row r="7188" spans="1:10" s="15" customFormat="1" ht="18" hidden="1" customHeight="1" outlineLevel="1" x14ac:dyDescent="0.25">
      <c r="A7188" s="18">
        <v>6751</v>
      </c>
      <c r="B7188" s="4" t="s">
        <v>43</v>
      </c>
      <c r="C7188" s="38" t="s">
        <v>9792</v>
      </c>
      <c r="D7188" s="23">
        <v>2023</v>
      </c>
      <c r="E7188" s="18" t="s">
        <v>0</v>
      </c>
      <c r="F7188" s="6">
        <v>1</v>
      </c>
      <c r="G7188" s="40">
        <v>5</v>
      </c>
      <c r="H7188" s="40">
        <v>12.870649999999999</v>
      </c>
      <c r="I7188" s="212"/>
      <c r="J7188" s="212"/>
    </row>
    <row r="7189" spans="1:10" s="15" customFormat="1" ht="18" hidden="1" customHeight="1" outlineLevel="1" x14ac:dyDescent="0.25">
      <c r="A7189" s="18">
        <v>6752</v>
      </c>
      <c r="B7189" s="4" t="s">
        <v>43</v>
      </c>
      <c r="C7189" s="38" t="s">
        <v>9793</v>
      </c>
      <c r="D7189" s="23">
        <v>2023</v>
      </c>
      <c r="E7189" s="18" t="s">
        <v>0</v>
      </c>
      <c r="F7189" s="6">
        <v>1</v>
      </c>
      <c r="G7189" s="40">
        <v>5</v>
      </c>
      <c r="H7189" s="40">
        <v>12.870649999999999</v>
      </c>
      <c r="I7189" s="212"/>
      <c r="J7189" s="212"/>
    </row>
    <row r="7190" spans="1:10" s="15" customFormat="1" ht="18" hidden="1" customHeight="1" outlineLevel="1" x14ac:dyDescent="0.25">
      <c r="A7190" s="18">
        <v>781</v>
      </c>
      <c r="B7190" s="4" t="s">
        <v>43</v>
      </c>
      <c r="C7190" s="38" t="s">
        <v>9794</v>
      </c>
      <c r="D7190" s="23">
        <v>2023</v>
      </c>
      <c r="E7190" s="18" t="s">
        <v>0</v>
      </c>
      <c r="F7190" s="6">
        <v>1</v>
      </c>
      <c r="G7190" s="40">
        <v>15</v>
      </c>
      <c r="H7190" s="40">
        <v>12.870649999999999</v>
      </c>
      <c r="I7190" s="212"/>
      <c r="J7190" s="212"/>
    </row>
    <row r="7191" spans="1:10" s="15" customFormat="1" ht="18" hidden="1" customHeight="1" outlineLevel="1" x14ac:dyDescent="0.25">
      <c r="A7191" s="18">
        <v>6753</v>
      </c>
      <c r="B7191" s="4" t="s">
        <v>43</v>
      </c>
      <c r="C7191" s="38" t="s">
        <v>9795</v>
      </c>
      <c r="D7191" s="23">
        <v>2023</v>
      </c>
      <c r="E7191" s="18" t="s">
        <v>0</v>
      </c>
      <c r="F7191" s="6">
        <v>1</v>
      </c>
      <c r="G7191" s="40">
        <v>10</v>
      </c>
      <c r="H7191" s="40">
        <v>14.038749999999997</v>
      </c>
      <c r="I7191" s="212"/>
      <c r="J7191" s="212"/>
    </row>
    <row r="7192" spans="1:10" s="15" customFormat="1" ht="18" hidden="1" customHeight="1" outlineLevel="1" x14ac:dyDescent="0.25">
      <c r="A7192" s="18">
        <v>3930</v>
      </c>
      <c r="B7192" s="4" t="s">
        <v>43</v>
      </c>
      <c r="C7192" s="38" t="s">
        <v>8038</v>
      </c>
      <c r="D7192" s="23">
        <v>2023</v>
      </c>
      <c r="E7192" s="18" t="s">
        <v>0</v>
      </c>
      <c r="F7192" s="6">
        <v>1</v>
      </c>
      <c r="G7192" s="40">
        <v>5</v>
      </c>
      <c r="H7192" s="40">
        <v>26.606999999999999</v>
      </c>
      <c r="I7192" s="212"/>
      <c r="J7192" s="212"/>
    </row>
    <row r="7193" spans="1:10" s="15" customFormat="1" ht="18" hidden="1" customHeight="1" outlineLevel="1" x14ac:dyDescent="0.25">
      <c r="A7193" s="18">
        <v>6168</v>
      </c>
      <c r="B7193" s="4" t="s">
        <v>43</v>
      </c>
      <c r="C7193" s="38" t="s">
        <v>8039</v>
      </c>
      <c r="D7193" s="23">
        <v>2023</v>
      </c>
      <c r="E7193" s="18" t="s">
        <v>0</v>
      </c>
      <c r="F7193" s="6">
        <v>1</v>
      </c>
      <c r="G7193" s="40">
        <v>6</v>
      </c>
      <c r="H7193" s="40">
        <v>44.470000000000006</v>
      </c>
      <c r="I7193" s="212"/>
      <c r="J7193" s="212"/>
    </row>
    <row r="7194" spans="1:10" s="15" customFormat="1" ht="18" hidden="1" customHeight="1" outlineLevel="1" x14ac:dyDescent="0.25">
      <c r="A7194" s="18">
        <v>6166</v>
      </c>
      <c r="B7194" s="4" t="s">
        <v>43</v>
      </c>
      <c r="C7194" s="38" t="s">
        <v>8044</v>
      </c>
      <c r="D7194" s="23">
        <v>2023</v>
      </c>
      <c r="E7194" s="18" t="s">
        <v>0</v>
      </c>
      <c r="F7194" s="6">
        <v>1</v>
      </c>
      <c r="G7194" s="40">
        <v>15</v>
      </c>
      <c r="H7194" s="40">
        <v>20.100000000000001</v>
      </c>
      <c r="I7194" s="212"/>
      <c r="J7194" s="212"/>
    </row>
    <row r="7195" spans="1:10" s="15" customFormat="1" ht="18" hidden="1" customHeight="1" outlineLevel="1" x14ac:dyDescent="0.25">
      <c r="A7195" s="18">
        <v>6167</v>
      </c>
      <c r="B7195" s="4" t="s">
        <v>43</v>
      </c>
      <c r="C7195" s="38" t="s">
        <v>8045</v>
      </c>
      <c r="D7195" s="23">
        <v>2023</v>
      </c>
      <c r="E7195" s="18" t="s">
        <v>0</v>
      </c>
      <c r="F7195" s="6">
        <v>1</v>
      </c>
      <c r="G7195" s="40">
        <v>14</v>
      </c>
      <c r="H7195" s="40">
        <v>16.933</v>
      </c>
      <c r="I7195" s="212"/>
      <c r="J7195" s="212"/>
    </row>
    <row r="7196" spans="1:10" s="15" customFormat="1" ht="18" hidden="1" customHeight="1" outlineLevel="1" x14ac:dyDescent="0.25">
      <c r="A7196" s="18">
        <v>1061</v>
      </c>
      <c r="B7196" s="4" t="s">
        <v>43</v>
      </c>
      <c r="C7196" s="38" t="s">
        <v>8070</v>
      </c>
      <c r="D7196" s="23">
        <v>2023</v>
      </c>
      <c r="E7196" s="18" t="s">
        <v>0</v>
      </c>
      <c r="F7196" s="6">
        <v>2</v>
      </c>
      <c r="G7196" s="40">
        <v>8</v>
      </c>
      <c r="H7196" s="40">
        <v>26.610000000000003</v>
      </c>
      <c r="I7196" s="212"/>
      <c r="J7196" s="212"/>
    </row>
    <row r="7197" spans="1:10" s="15" customFormat="1" ht="18" hidden="1" customHeight="1" outlineLevel="1" x14ac:dyDescent="0.25">
      <c r="A7197" s="18">
        <v>934</v>
      </c>
      <c r="B7197" s="4" t="s">
        <v>43</v>
      </c>
      <c r="C7197" s="38" t="s">
        <v>8072</v>
      </c>
      <c r="D7197" s="23">
        <v>2023</v>
      </c>
      <c r="E7197" s="18" t="s">
        <v>0</v>
      </c>
      <c r="F7197" s="6">
        <v>1</v>
      </c>
      <c r="G7197" s="40">
        <v>15</v>
      </c>
      <c r="H7197" s="40">
        <v>19.893000000000001</v>
      </c>
      <c r="I7197" s="212"/>
      <c r="J7197" s="212"/>
    </row>
    <row r="7198" spans="1:10" s="15" customFormat="1" ht="18" hidden="1" customHeight="1" outlineLevel="1" x14ac:dyDescent="0.25">
      <c r="A7198" s="18">
        <v>3296</v>
      </c>
      <c r="B7198" s="4" t="s">
        <v>43</v>
      </c>
      <c r="C7198" s="38" t="s">
        <v>8073</v>
      </c>
      <c r="D7198" s="23">
        <v>2023</v>
      </c>
      <c r="E7198" s="18" t="s">
        <v>0</v>
      </c>
      <c r="F7198" s="6">
        <v>1</v>
      </c>
      <c r="G7198" s="40">
        <v>15</v>
      </c>
      <c r="H7198" s="40">
        <v>19.21</v>
      </c>
      <c r="I7198" s="212"/>
      <c r="J7198" s="212"/>
    </row>
    <row r="7199" spans="1:10" s="15" customFormat="1" ht="18" hidden="1" customHeight="1" outlineLevel="1" x14ac:dyDescent="0.25">
      <c r="A7199" s="18">
        <v>1003</v>
      </c>
      <c r="B7199" s="4" t="s">
        <v>43</v>
      </c>
      <c r="C7199" s="38" t="s">
        <v>8084</v>
      </c>
      <c r="D7199" s="23">
        <v>2023</v>
      </c>
      <c r="E7199" s="18" t="s">
        <v>0</v>
      </c>
      <c r="F7199" s="6">
        <v>1</v>
      </c>
      <c r="G7199" s="40">
        <v>15</v>
      </c>
      <c r="H7199" s="40">
        <v>13.700000000000001</v>
      </c>
      <c r="I7199" s="212"/>
      <c r="J7199" s="212"/>
    </row>
    <row r="7200" spans="1:10" s="15" customFormat="1" ht="18" hidden="1" customHeight="1" outlineLevel="1" x14ac:dyDescent="0.25">
      <c r="A7200" s="18">
        <v>1291</v>
      </c>
      <c r="B7200" s="4" t="s">
        <v>43</v>
      </c>
      <c r="C7200" s="38" t="s">
        <v>8090</v>
      </c>
      <c r="D7200" s="23">
        <v>2023</v>
      </c>
      <c r="E7200" s="18" t="s">
        <v>0</v>
      </c>
      <c r="F7200" s="6">
        <v>1</v>
      </c>
      <c r="G7200" s="40">
        <v>4</v>
      </c>
      <c r="H7200" s="40">
        <v>30.158999999999999</v>
      </c>
      <c r="I7200" s="212"/>
      <c r="J7200" s="212"/>
    </row>
    <row r="7201" spans="1:10" s="15" customFormat="1" ht="18" hidden="1" customHeight="1" outlineLevel="1" x14ac:dyDescent="0.25">
      <c r="A7201" s="18">
        <v>1671</v>
      </c>
      <c r="B7201" s="4" t="s">
        <v>43</v>
      </c>
      <c r="C7201" s="38" t="s">
        <v>8091</v>
      </c>
      <c r="D7201" s="23">
        <v>2023</v>
      </c>
      <c r="E7201" s="18" t="s">
        <v>0</v>
      </c>
      <c r="F7201" s="6">
        <v>1</v>
      </c>
      <c r="G7201" s="40">
        <v>15</v>
      </c>
      <c r="H7201" s="40">
        <v>47.897000000000006</v>
      </c>
      <c r="I7201" s="212"/>
      <c r="J7201" s="212"/>
    </row>
    <row r="7202" spans="1:10" s="15" customFormat="1" ht="18" hidden="1" customHeight="1" outlineLevel="1" x14ac:dyDescent="0.25">
      <c r="A7202" s="18">
        <v>617</v>
      </c>
      <c r="B7202" s="4" t="s">
        <v>43</v>
      </c>
      <c r="C7202" s="38" t="s">
        <v>8110</v>
      </c>
      <c r="D7202" s="23">
        <v>2023</v>
      </c>
      <c r="E7202" s="18" t="s">
        <v>0</v>
      </c>
      <c r="F7202" s="6">
        <v>1</v>
      </c>
      <c r="G7202" s="40">
        <v>15</v>
      </c>
      <c r="H7202" s="40">
        <v>42.218520000000005</v>
      </c>
      <c r="I7202" s="212"/>
      <c r="J7202" s="212"/>
    </row>
    <row r="7203" spans="1:10" s="15" customFormat="1" ht="18" hidden="1" customHeight="1" outlineLevel="1" x14ac:dyDescent="0.25">
      <c r="A7203" s="18">
        <v>825</v>
      </c>
      <c r="B7203" s="4" t="s">
        <v>43</v>
      </c>
      <c r="C7203" s="38" t="s">
        <v>8111</v>
      </c>
      <c r="D7203" s="23">
        <v>2023</v>
      </c>
      <c r="E7203" s="18" t="s">
        <v>0</v>
      </c>
      <c r="F7203" s="6">
        <v>1</v>
      </c>
      <c r="G7203" s="40">
        <v>15</v>
      </c>
      <c r="H7203" s="40">
        <v>20.6294</v>
      </c>
      <c r="I7203" s="212"/>
      <c r="J7203" s="212"/>
    </row>
    <row r="7204" spans="1:10" s="15" customFormat="1" ht="18" hidden="1" customHeight="1" outlineLevel="1" x14ac:dyDescent="0.25">
      <c r="A7204" s="18">
        <v>1371</v>
      </c>
      <c r="B7204" s="4" t="s">
        <v>43</v>
      </c>
      <c r="C7204" s="38" t="s">
        <v>8130</v>
      </c>
      <c r="D7204" s="23">
        <v>2023</v>
      </c>
      <c r="E7204" s="18" t="s">
        <v>0</v>
      </c>
      <c r="F7204" s="6">
        <v>1</v>
      </c>
      <c r="G7204" s="40">
        <v>10</v>
      </c>
      <c r="H7204" s="40">
        <v>127.90136999999999</v>
      </c>
      <c r="I7204" s="212"/>
      <c r="J7204" s="212"/>
    </row>
    <row r="7205" spans="1:10" s="15" customFormat="1" ht="18" hidden="1" customHeight="1" outlineLevel="1" x14ac:dyDescent="0.25">
      <c r="A7205" s="18">
        <v>774</v>
      </c>
      <c r="B7205" s="4" t="s">
        <v>43</v>
      </c>
      <c r="C7205" s="38" t="s">
        <v>8131</v>
      </c>
      <c r="D7205" s="23">
        <v>2023</v>
      </c>
      <c r="E7205" s="18" t="s">
        <v>0</v>
      </c>
      <c r="F7205" s="6">
        <v>1</v>
      </c>
      <c r="G7205" s="40">
        <v>15</v>
      </c>
      <c r="H7205" s="40">
        <v>68.426329999999993</v>
      </c>
      <c r="I7205" s="212"/>
      <c r="J7205" s="212"/>
    </row>
    <row r="7206" spans="1:10" s="15" customFormat="1" ht="18" hidden="1" customHeight="1" outlineLevel="1" x14ac:dyDescent="0.25">
      <c r="A7206" s="18">
        <v>936</v>
      </c>
      <c r="B7206" s="4" t="s">
        <v>43</v>
      </c>
      <c r="C7206" s="38" t="s">
        <v>8132</v>
      </c>
      <c r="D7206" s="23">
        <v>2023</v>
      </c>
      <c r="E7206" s="18" t="s">
        <v>0</v>
      </c>
      <c r="F7206" s="6">
        <v>1</v>
      </c>
      <c r="G7206" s="40">
        <v>15</v>
      </c>
      <c r="H7206" s="40">
        <v>73.955999999999989</v>
      </c>
      <c r="I7206" s="212"/>
      <c r="J7206" s="212"/>
    </row>
    <row r="7207" spans="1:10" s="15" customFormat="1" ht="18" hidden="1" customHeight="1" outlineLevel="1" x14ac:dyDescent="0.25">
      <c r="A7207" s="18">
        <v>3261</v>
      </c>
      <c r="B7207" s="4" t="s">
        <v>43</v>
      </c>
      <c r="C7207" s="38" t="s">
        <v>8134</v>
      </c>
      <c r="D7207" s="23">
        <v>2023</v>
      </c>
      <c r="E7207" s="18" t="s">
        <v>0</v>
      </c>
      <c r="F7207" s="6">
        <v>1</v>
      </c>
      <c r="G7207" s="40">
        <v>7</v>
      </c>
      <c r="H7207" s="40">
        <v>110.67322</v>
      </c>
      <c r="I7207" s="212"/>
      <c r="J7207" s="212"/>
    </row>
    <row r="7208" spans="1:10" s="15" customFormat="1" ht="18" hidden="1" customHeight="1" outlineLevel="1" x14ac:dyDescent="0.25">
      <c r="A7208" s="18">
        <v>1768</v>
      </c>
      <c r="B7208" s="4" t="s">
        <v>43</v>
      </c>
      <c r="C7208" s="38" t="s">
        <v>8137</v>
      </c>
      <c r="D7208" s="23">
        <v>2023</v>
      </c>
      <c r="E7208" s="18" t="s">
        <v>0</v>
      </c>
      <c r="F7208" s="6">
        <v>1</v>
      </c>
      <c r="G7208" s="40">
        <v>8</v>
      </c>
      <c r="H7208" s="40">
        <v>67.905280000000005</v>
      </c>
      <c r="I7208" s="212"/>
      <c r="J7208" s="212"/>
    </row>
    <row r="7209" spans="1:10" s="15" customFormat="1" ht="18" hidden="1" customHeight="1" outlineLevel="1" x14ac:dyDescent="0.25">
      <c r="A7209" s="18">
        <v>1059</v>
      </c>
      <c r="B7209" s="4" t="s">
        <v>43</v>
      </c>
      <c r="C7209" s="38" t="s">
        <v>8141</v>
      </c>
      <c r="D7209" s="23">
        <v>2023</v>
      </c>
      <c r="E7209" s="18" t="s">
        <v>0</v>
      </c>
      <c r="F7209" s="6">
        <v>1</v>
      </c>
      <c r="G7209" s="40">
        <v>15</v>
      </c>
      <c r="H7209" s="40">
        <v>44.139320000000005</v>
      </c>
      <c r="I7209" s="212"/>
      <c r="J7209" s="212"/>
    </row>
    <row r="7210" spans="1:10" s="15" customFormat="1" ht="18" hidden="1" customHeight="1" outlineLevel="1" x14ac:dyDescent="0.25">
      <c r="A7210" s="18">
        <v>2021</v>
      </c>
      <c r="B7210" s="4" t="s">
        <v>43</v>
      </c>
      <c r="C7210" s="38" t="s">
        <v>8143</v>
      </c>
      <c r="D7210" s="23">
        <v>2023</v>
      </c>
      <c r="E7210" s="18" t="s">
        <v>0</v>
      </c>
      <c r="F7210" s="6">
        <v>1</v>
      </c>
      <c r="G7210" s="40">
        <v>5</v>
      </c>
      <c r="H7210" s="40">
        <v>49.697636000000003</v>
      </c>
      <c r="I7210" s="212"/>
      <c r="J7210" s="212"/>
    </row>
    <row r="7211" spans="1:10" s="15" customFormat="1" ht="18" hidden="1" customHeight="1" outlineLevel="1" x14ac:dyDescent="0.25">
      <c r="A7211" s="18">
        <v>1947</v>
      </c>
      <c r="B7211" s="4" t="s">
        <v>43</v>
      </c>
      <c r="C7211" s="38" t="s">
        <v>8144</v>
      </c>
      <c r="D7211" s="23">
        <v>2023</v>
      </c>
      <c r="E7211" s="18" t="s">
        <v>0</v>
      </c>
      <c r="F7211" s="6">
        <v>1</v>
      </c>
      <c r="G7211" s="40">
        <v>10</v>
      </c>
      <c r="H7211" s="40">
        <v>145.71988999999999</v>
      </c>
      <c r="I7211" s="212"/>
      <c r="J7211" s="212"/>
    </row>
    <row r="7212" spans="1:10" s="15" customFormat="1" ht="18" hidden="1" customHeight="1" outlineLevel="1" x14ac:dyDescent="0.25">
      <c r="A7212" s="18">
        <v>1227</v>
      </c>
      <c r="B7212" s="4" t="s">
        <v>43</v>
      </c>
      <c r="C7212" s="38" t="s">
        <v>8152</v>
      </c>
      <c r="D7212" s="23">
        <v>2023</v>
      </c>
      <c r="E7212" s="18" t="s">
        <v>0</v>
      </c>
      <c r="F7212" s="6">
        <v>1</v>
      </c>
      <c r="G7212" s="40">
        <v>7</v>
      </c>
      <c r="H7212" s="40">
        <v>18.319519999999997</v>
      </c>
      <c r="I7212" s="212"/>
      <c r="J7212" s="212"/>
    </row>
    <row r="7213" spans="1:10" s="15" customFormat="1" ht="18" hidden="1" customHeight="1" outlineLevel="1" x14ac:dyDescent="0.25">
      <c r="A7213" s="18">
        <v>1402</v>
      </c>
      <c r="B7213" s="4" t="s">
        <v>43</v>
      </c>
      <c r="C7213" s="38" t="s">
        <v>8157</v>
      </c>
      <c r="D7213" s="23">
        <v>2023</v>
      </c>
      <c r="E7213" s="18" t="s">
        <v>0</v>
      </c>
      <c r="F7213" s="6">
        <v>1</v>
      </c>
      <c r="G7213" s="40">
        <v>8</v>
      </c>
      <c r="H7213" s="40">
        <v>46.805800000000005</v>
      </c>
      <c r="I7213" s="212"/>
      <c r="J7213" s="212"/>
    </row>
    <row r="7214" spans="1:10" s="15" customFormat="1" ht="18" hidden="1" customHeight="1" outlineLevel="1" x14ac:dyDescent="0.25">
      <c r="A7214" s="18">
        <v>1067</v>
      </c>
      <c r="B7214" s="4" t="s">
        <v>43</v>
      </c>
      <c r="C7214" s="38" t="s">
        <v>8168</v>
      </c>
      <c r="D7214" s="23">
        <v>2023</v>
      </c>
      <c r="E7214" s="18" t="s">
        <v>0</v>
      </c>
      <c r="F7214" s="6">
        <v>1</v>
      </c>
      <c r="G7214" s="40">
        <v>10</v>
      </c>
      <c r="H7214" s="40">
        <v>46.825569999999999</v>
      </c>
      <c r="I7214" s="212"/>
      <c r="J7214" s="212"/>
    </row>
    <row r="7215" spans="1:10" s="15" customFormat="1" ht="18" hidden="1" customHeight="1" outlineLevel="1" x14ac:dyDescent="0.25">
      <c r="A7215" s="18">
        <v>2290</v>
      </c>
      <c r="B7215" s="4" t="s">
        <v>43</v>
      </c>
      <c r="C7215" s="38" t="s">
        <v>8171</v>
      </c>
      <c r="D7215" s="23">
        <v>2023</v>
      </c>
      <c r="E7215" s="18" t="s">
        <v>0</v>
      </c>
      <c r="F7215" s="6">
        <v>1</v>
      </c>
      <c r="G7215" s="40">
        <v>7</v>
      </c>
      <c r="H7215" s="40">
        <v>61.042399999999994</v>
      </c>
      <c r="I7215" s="212"/>
      <c r="J7215" s="212"/>
    </row>
    <row r="7216" spans="1:10" s="15" customFormat="1" ht="18" hidden="1" customHeight="1" outlineLevel="1" x14ac:dyDescent="0.25">
      <c r="A7216" s="18">
        <v>2061</v>
      </c>
      <c r="B7216" s="4" t="s">
        <v>43</v>
      </c>
      <c r="C7216" s="38" t="s">
        <v>8187</v>
      </c>
      <c r="D7216" s="23">
        <v>2023</v>
      </c>
      <c r="E7216" s="18" t="s">
        <v>0</v>
      </c>
      <c r="F7216" s="6">
        <v>1</v>
      </c>
      <c r="G7216" s="40">
        <v>7</v>
      </c>
      <c r="H7216" s="40">
        <v>29.453500000000002</v>
      </c>
      <c r="I7216" s="212"/>
      <c r="J7216" s="212"/>
    </row>
    <row r="7217" spans="1:10" s="15" customFormat="1" ht="18" hidden="1" customHeight="1" outlineLevel="1" x14ac:dyDescent="0.25">
      <c r="A7217" s="18">
        <v>2079</v>
      </c>
      <c r="B7217" s="4" t="s">
        <v>43</v>
      </c>
      <c r="C7217" s="38" t="s">
        <v>8188</v>
      </c>
      <c r="D7217" s="23">
        <v>2023</v>
      </c>
      <c r="E7217" s="18" t="s">
        <v>0</v>
      </c>
      <c r="F7217" s="6">
        <v>1</v>
      </c>
      <c r="G7217" s="40">
        <v>2</v>
      </c>
      <c r="H7217" s="40">
        <v>31.943999999999999</v>
      </c>
      <c r="I7217" s="212"/>
      <c r="J7217" s="212"/>
    </row>
    <row r="7218" spans="1:10" s="15" customFormat="1" ht="18" hidden="1" customHeight="1" outlineLevel="1" x14ac:dyDescent="0.25">
      <c r="A7218" s="18">
        <v>2243</v>
      </c>
      <c r="B7218" s="4" t="s">
        <v>43</v>
      </c>
      <c r="C7218" s="38" t="s">
        <v>8195</v>
      </c>
      <c r="D7218" s="23">
        <v>2023</v>
      </c>
      <c r="E7218" s="18" t="s">
        <v>0</v>
      </c>
      <c r="F7218" s="6">
        <v>1</v>
      </c>
      <c r="G7218" s="40">
        <v>15</v>
      </c>
      <c r="H7218" s="40">
        <v>66.349000000000004</v>
      </c>
      <c r="I7218" s="212"/>
      <c r="J7218" s="212"/>
    </row>
    <row r="7219" spans="1:10" s="15" customFormat="1" ht="18" hidden="1" customHeight="1" outlineLevel="1" x14ac:dyDescent="0.25">
      <c r="A7219" s="18">
        <v>805</v>
      </c>
      <c r="B7219" s="4" t="s">
        <v>43</v>
      </c>
      <c r="C7219" s="38" t="s">
        <v>8196</v>
      </c>
      <c r="D7219" s="23">
        <v>2023</v>
      </c>
      <c r="E7219" s="18" t="s">
        <v>0</v>
      </c>
      <c r="F7219" s="6">
        <v>1</v>
      </c>
      <c r="G7219" s="40">
        <v>15</v>
      </c>
      <c r="H7219" s="40">
        <v>46.552</v>
      </c>
      <c r="I7219" s="212"/>
      <c r="J7219" s="212"/>
    </row>
    <row r="7220" spans="1:10" s="15" customFormat="1" ht="18" hidden="1" customHeight="1" outlineLevel="1" x14ac:dyDescent="0.25">
      <c r="A7220" s="18">
        <v>2592</v>
      </c>
      <c r="B7220" s="4" t="s">
        <v>43</v>
      </c>
      <c r="C7220" s="38" t="s">
        <v>8198</v>
      </c>
      <c r="D7220" s="23">
        <v>2023</v>
      </c>
      <c r="E7220" s="18" t="s">
        <v>0</v>
      </c>
      <c r="F7220" s="6">
        <v>1</v>
      </c>
      <c r="G7220" s="40">
        <v>7.5</v>
      </c>
      <c r="H7220" s="40">
        <v>52.131</v>
      </c>
      <c r="I7220" s="212"/>
      <c r="J7220" s="212"/>
    </row>
    <row r="7221" spans="1:10" s="15" customFormat="1" ht="18" hidden="1" customHeight="1" outlineLevel="1" x14ac:dyDescent="0.25">
      <c r="A7221" s="18">
        <v>2409</v>
      </c>
      <c r="B7221" s="4" t="s">
        <v>43</v>
      </c>
      <c r="C7221" s="38" t="s">
        <v>8207</v>
      </c>
      <c r="D7221" s="23">
        <v>2023</v>
      </c>
      <c r="E7221" s="18" t="s">
        <v>0</v>
      </c>
      <c r="F7221" s="6">
        <v>1</v>
      </c>
      <c r="G7221" s="40">
        <v>5</v>
      </c>
      <c r="H7221" s="40">
        <v>29.45</v>
      </c>
      <c r="I7221" s="212"/>
      <c r="J7221" s="212"/>
    </row>
    <row r="7222" spans="1:10" s="15" customFormat="1" ht="18" hidden="1" customHeight="1" outlineLevel="1" x14ac:dyDescent="0.25">
      <c r="A7222" s="18">
        <v>2466</v>
      </c>
      <c r="B7222" s="4" t="s">
        <v>43</v>
      </c>
      <c r="C7222" s="38" t="s">
        <v>8208</v>
      </c>
      <c r="D7222" s="23">
        <v>2023</v>
      </c>
      <c r="E7222" s="18" t="s">
        <v>0</v>
      </c>
      <c r="F7222" s="6">
        <v>1</v>
      </c>
      <c r="G7222" s="40">
        <v>10</v>
      </c>
      <c r="H7222" s="40">
        <v>25.241</v>
      </c>
      <c r="I7222" s="212"/>
      <c r="J7222" s="212"/>
    </row>
    <row r="7223" spans="1:10" s="15" customFormat="1" ht="18" hidden="1" customHeight="1" outlineLevel="1" x14ac:dyDescent="0.25">
      <c r="A7223" s="18">
        <v>2497</v>
      </c>
      <c r="B7223" s="4" t="s">
        <v>43</v>
      </c>
      <c r="C7223" s="38" t="s">
        <v>8209</v>
      </c>
      <c r="D7223" s="23">
        <v>2023</v>
      </c>
      <c r="E7223" s="18" t="s">
        <v>0</v>
      </c>
      <c r="F7223" s="6">
        <v>1</v>
      </c>
      <c r="G7223" s="40">
        <v>5</v>
      </c>
      <c r="H7223" s="40">
        <v>38.6736</v>
      </c>
      <c r="I7223" s="212"/>
      <c r="J7223" s="212"/>
    </row>
    <row r="7224" spans="1:10" s="15" customFormat="1" ht="18" hidden="1" customHeight="1" outlineLevel="1" x14ac:dyDescent="0.25">
      <c r="A7224" s="18">
        <v>2889</v>
      </c>
      <c r="B7224" s="4" t="s">
        <v>43</v>
      </c>
      <c r="C7224" s="38" t="s">
        <v>8210</v>
      </c>
      <c r="D7224" s="23">
        <v>2023</v>
      </c>
      <c r="E7224" s="18" t="s">
        <v>0</v>
      </c>
      <c r="F7224" s="6">
        <v>1</v>
      </c>
      <c r="G7224" s="40">
        <v>15</v>
      </c>
      <c r="H7224" s="40">
        <v>26.722999999999999</v>
      </c>
      <c r="I7224" s="212"/>
      <c r="J7224" s="212"/>
    </row>
    <row r="7225" spans="1:10" s="15" customFormat="1" ht="18" hidden="1" customHeight="1" outlineLevel="1" x14ac:dyDescent="0.25">
      <c r="A7225" s="18">
        <v>2500</v>
      </c>
      <c r="B7225" s="4" t="s">
        <v>43</v>
      </c>
      <c r="C7225" s="38" t="s">
        <v>8211</v>
      </c>
      <c r="D7225" s="23">
        <v>2023</v>
      </c>
      <c r="E7225" s="18" t="s">
        <v>0</v>
      </c>
      <c r="F7225" s="6">
        <v>1</v>
      </c>
      <c r="G7225" s="40">
        <v>5</v>
      </c>
      <c r="H7225" s="40">
        <v>24.888000000000002</v>
      </c>
      <c r="I7225" s="212"/>
      <c r="J7225" s="212"/>
    </row>
    <row r="7226" spans="1:10" s="15" customFormat="1" ht="18" hidden="1" customHeight="1" outlineLevel="1" x14ac:dyDescent="0.25">
      <c r="A7226" s="18">
        <v>1680</v>
      </c>
      <c r="B7226" s="4" t="s">
        <v>43</v>
      </c>
      <c r="C7226" s="38" t="s">
        <v>8212</v>
      </c>
      <c r="D7226" s="23">
        <v>2023</v>
      </c>
      <c r="E7226" s="18" t="s">
        <v>0</v>
      </c>
      <c r="F7226" s="6">
        <v>3</v>
      </c>
      <c r="G7226" s="40">
        <v>3</v>
      </c>
      <c r="H7226" s="40">
        <v>126.297</v>
      </c>
      <c r="I7226" s="212"/>
      <c r="J7226" s="212"/>
    </row>
    <row r="7227" spans="1:10" s="15" customFormat="1" ht="18" hidden="1" customHeight="1" outlineLevel="1" x14ac:dyDescent="0.25">
      <c r="A7227" s="18">
        <v>1490</v>
      </c>
      <c r="B7227" s="4" t="s">
        <v>43</v>
      </c>
      <c r="C7227" s="38" t="s">
        <v>9796</v>
      </c>
      <c r="D7227" s="23">
        <v>2023</v>
      </c>
      <c r="E7227" s="18" t="s">
        <v>0</v>
      </c>
      <c r="F7227" s="6">
        <v>1</v>
      </c>
      <c r="G7227" s="40">
        <v>5</v>
      </c>
      <c r="H7227" s="40">
        <v>12.234299999999999</v>
      </c>
      <c r="I7227" s="212"/>
      <c r="J7227" s="212"/>
    </row>
    <row r="7228" spans="1:10" s="15" customFormat="1" ht="18" hidden="1" customHeight="1" outlineLevel="1" x14ac:dyDescent="0.25">
      <c r="A7228" s="18">
        <v>1433</v>
      </c>
      <c r="B7228" s="4" t="s">
        <v>43</v>
      </c>
      <c r="C7228" s="38" t="s">
        <v>9797</v>
      </c>
      <c r="D7228" s="23">
        <v>2023</v>
      </c>
      <c r="E7228" s="18" t="s">
        <v>0</v>
      </c>
      <c r="F7228" s="6">
        <v>1</v>
      </c>
      <c r="G7228" s="40">
        <v>3</v>
      </c>
      <c r="H7228" s="40">
        <v>10.92367</v>
      </c>
      <c r="I7228" s="212"/>
      <c r="J7228" s="212"/>
    </row>
    <row r="7229" spans="1:10" s="15" customFormat="1" ht="18" hidden="1" customHeight="1" outlineLevel="1" x14ac:dyDescent="0.25">
      <c r="A7229" s="18">
        <v>1450</v>
      </c>
      <c r="B7229" s="4" t="s">
        <v>43</v>
      </c>
      <c r="C7229" s="38" t="s">
        <v>9798</v>
      </c>
      <c r="D7229" s="23">
        <v>2023</v>
      </c>
      <c r="E7229" s="18" t="s">
        <v>0</v>
      </c>
      <c r="F7229" s="6">
        <v>1</v>
      </c>
      <c r="G7229" s="40">
        <v>7</v>
      </c>
      <c r="H7229" s="40">
        <v>13.717890000000001</v>
      </c>
      <c r="I7229" s="212"/>
      <c r="J7229" s="212"/>
    </row>
    <row r="7230" spans="1:10" s="15" customFormat="1" ht="18" hidden="1" customHeight="1" outlineLevel="1" x14ac:dyDescent="0.25">
      <c r="A7230" s="18">
        <v>4040</v>
      </c>
      <c r="B7230" s="4" t="s">
        <v>43</v>
      </c>
      <c r="C7230" s="38" t="s">
        <v>9799</v>
      </c>
      <c r="D7230" s="23">
        <v>2023</v>
      </c>
      <c r="E7230" s="18" t="s">
        <v>0</v>
      </c>
      <c r="F7230" s="6">
        <v>1</v>
      </c>
      <c r="G7230" s="40">
        <v>6</v>
      </c>
      <c r="H7230" s="40">
        <v>10.803780000000001</v>
      </c>
      <c r="I7230" s="212"/>
      <c r="J7230" s="212"/>
    </row>
    <row r="7231" spans="1:10" s="15" customFormat="1" ht="18" hidden="1" customHeight="1" outlineLevel="1" x14ac:dyDescent="0.25">
      <c r="A7231" s="18">
        <v>4042</v>
      </c>
      <c r="B7231" s="4" t="s">
        <v>43</v>
      </c>
      <c r="C7231" s="38" t="s">
        <v>9800</v>
      </c>
      <c r="D7231" s="23">
        <v>2023</v>
      </c>
      <c r="E7231" s="18" t="s">
        <v>0</v>
      </c>
      <c r="F7231" s="6">
        <v>1</v>
      </c>
      <c r="G7231" s="40">
        <v>7</v>
      </c>
      <c r="H7231" s="40">
        <v>11.108359999999999</v>
      </c>
      <c r="I7231" s="212"/>
      <c r="J7231" s="212"/>
    </row>
    <row r="7232" spans="1:10" s="15" customFormat="1" ht="18" hidden="1" customHeight="1" outlineLevel="1" x14ac:dyDescent="0.25">
      <c r="A7232" s="18">
        <v>4043</v>
      </c>
      <c r="B7232" s="4" t="s">
        <v>43</v>
      </c>
      <c r="C7232" s="38" t="s">
        <v>9801</v>
      </c>
      <c r="D7232" s="23">
        <v>2023</v>
      </c>
      <c r="E7232" s="18" t="s">
        <v>0</v>
      </c>
      <c r="F7232" s="6">
        <v>1</v>
      </c>
      <c r="G7232" s="40">
        <v>5</v>
      </c>
      <c r="H7232" s="40">
        <v>14.646710000000001</v>
      </c>
      <c r="I7232" s="212"/>
      <c r="J7232" s="212"/>
    </row>
    <row r="7233" spans="1:10" s="15" customFormat="1" ht="18" hidden="1" customHeight="1" outlineLevel="1" x14ac:dyDescent="0.25">
      <c r="A7233" s="18">
        <v>4044</v>
      </c>
      <c r="B7233" s="4" t="s">
        <v>43</v>
      </c>
      <c r="C7233" s="38" t="s">
        <v>9802</v>
      </c>
      <c r="D7233" s="23">
        <v>2023</v>
      </c>
      <c r="E7233" s="18" t="s">
        <v>0</v>
      </c>
      <c r="F7233" s="6">
        <v>1</v>
      </c>
      <c r="G7233" s="40">
        <v>15</v>
      </c>
      <c r="H7233" s="40">
        <v>38.783499999999997</v>
      </c>
      <c r="I7233" s="212"/>
      <c r="J7233" s="212"/>
    </row>
    <row r="7234" spans="1:10" s="15" customFormat="1" ht="18" hidden="1" customHeight="1" outlineLevel="1" x14ac:dyDescent="0.25">
      <c r="A7234" s="18">
        <v>4045</v>
      </c>
      <c r="B7234" s="4" t="s">
        <v>43</v>
      </c>
      <c r="C7234" s="38" t="s">
        <v>9803</v>
      </c>
      <c r="D7234" s="23">
        <v>2023</v>
      </c>
      <c r="E7234" s="18" t="s">
        <v>0</v>
      </c>
      <c r="F7234" s="6">
        <v>1</v>
      </c>
      <c r="G7234" s="40">
        <v>7</v>
      </c>
      <c r="H7234" s="40">
        <v>12.053410000000001</v>
      </c>
      <c r="I7234" s="212"/>
      <c r="J7234" s="212"/>
    </row>
    <row r="7235" spans="1:10" s="15" customFormat="1" ht="18" hidden="1" customHeight="1" outlineLevel="1" x14ac:dyDescent="0.25">
      <c r="A7235" s="18">
        <v>1610</v>
      </c>
      <c r="B7235" s="4" t="s">
        <v>43</v>
      </c>
      <c r="C7235" s="38" t="s">
        <v>9804</v>
      </c>
      <c r="D7235" s="23">
        <v>2023</v>
      </c>
      <c r="E7235" s="18" t="s">
        <v>0</v>
      </c>
      <c r="F7235" s="6">
        <v>1</v>
      </c>
      <c r="G7235" s="40">
        <v>5</v>
      </c>
      <c r="H7235" s="40">
        <v>15.08492</v>
      </c>
      <c r="I7235" s="212"/>
      <c r="J7235" s="212"/>
    </row>
    <row r="7236" spans="1:10" s="15" customFormat="1" ht="18" hidden="1" customHeight="1" outlineLevel="1" x14ac:dyDescent="0.25">
      <c r="A7236" s="18">
        <v>4052</v>
      </c>
      <c r="B7236" s="4" t="s">
        <v>43</v>
      </c>
      <c r="C7236" s="38" t="s">
        <v>9805</v>
      </c>
      <c r="D7236" s="23">
        <v>2023</v>
      </c>
      <c r="E7236" s="18" t="s">
        <v>0</v>
      </c>
      <c r="F7236" s="6">
        <v>1</v>
      </c>
      <c r="G7236" s="40">
        <v>6</v>
      </c>
      <c r="H7236" s="40">
        <v>12.35688</v>
      </c>
      <c r="I7236" s="212"/>
      <c r="J7236" s="212"/>
    </row>
    <row r="7237" spans="1:10" s="15" customFormat="1" ht="18" hidden="1" customHeight="1" outlineLevel="1" x14ac:dyDescent="0.25">
      <c r="A7237" s="18">
        <v>4055</v>
      </c>
      <c r="B7237" s="4" t="s">
        <v>43</v>
      </c>
      <c r="C7237" s="38" t="s">
        <v>9806</v>
      </c>
      <c r="D7237" s="23">
        <v>2023</v>
      </c>
      <c r="E7237" s="18" t="s">
        <v>0</v>
      </c>
      <c r="F7237" s="6">
        <v>1</v>
      </c>
      <c r="G7237" s="40">
        <v>7</v>
      </c>
      <c r="H7237" s="40">
        <v>11.83695</v>
      </c>
      <c r="I7237" s="212"/>
      <c r="J7237" s="212"/>
    </row>
    <row r="7238" spans="1:10" s="15" customFormat="1" ht="18" hidden="1" customHeight="1" outlineLevel="1" x14ac:dyDescent="0.25">
      <c r="A7238" s="18">
        <v>4060</v>
      </c>
      <c r="B7238" s="4" t="s">
        <v>43</v>
      </c>
      <c r="C7238" s="38" t="s">
        <v>9807</v>
      </c>
      <c r="D7238" s="23">
        <v>2023</v>
      </c>
      <c r="E7238" s="18" t="s">
        <v>0</v>
      </c>
      <c r="F7238" s="6">
        <v>1</v>
      </c>
      <c r="G7238" s="40">
        <v>7</v>
      </c>
      <c r="H7238" s="40">
        <v>12.426029999999999</v>
      </c>
      <c r="I7238" s="212"/>
      <c r="J7238" s="212"/>
    </row>
    <row r="7239" spans="1:10" s="15" customFormat="1" ht="18" hidden="1" customHeight="1" outlineLevel="1" x14ac:dyDescent="0.25">
      <c r="A7239" s="18">
        <v>1495</v>
      </c>
      <c r="B7239" s="4" t="s">
        <v>43</v>
      </c>
      <c r="C7239" s="38" t="s">
        <v>9808</v>
      </c>
      <c r="D7239" s="23">
        <v>2023</v>
      </c>
      <c r="E7239" s="18" t="s">
        <v>0</v>
      </c>
      <c r="F7239" s="6">
        <v>1</v>
      </c>
      <c r="G7239" s="40">
        <v>5</v>
      </c>
      <c r="H7239" s="40">
        <v>12.186960000000001</v>
      </c>
      <c r="I7239" s="212"/>
      <c r="J7239" s="212"/>
    </row>
    <row r="7240" spans="1:10" s="15" customFormat="1" ht="18" hidden="1" customHeight="1" outlineLevel="1" x14ac:dyDescent="0.25">
      <c r="A7240" s="18">
        <v>4036</v>
      </c>
      <c r="B7240" s="4" t="s">
        <v>43</v>
      </c>
      <c r="C7240" s="38" t="s">
        <v>9809</v>
      </c>
      <c r="D7240" s="23">
        <v>2023</v>
      </c>
      <c r="E7240" s="18" t="s">
        <v>0</v>
      </c>
      <c r="F7240" s="6">
        <v>1</v>
      </c>
      <c r="G7240" s="40">
        <v>5</v>
      </c>
      <c r="H7240" s="40">
        <v>12.78186</v>
      </c>
      <c r="I7240" s="212"/>
      <c r="J7240" s="212"/>
    </row>
    <row r="7241" spans="1:10" s="15" customFormat="1" ht="18" hidden="1" customHeight="1" outlineLevel="1" x14ac:dyDescent="0.25">
      <c r="A7241" s="18">
        <v>4070</v>
      </c>
      <c r="B7241" s="4" t="s">
        <v>43</v>
      </c>
      <c r="C7241" s="38" t="s">
        <v>9810</v>
      </c>
      <c r="D7241" s="23">
        <v>2023</v>
      </c>
      <c r="E7241" s="18" t="s">
        <v>0</v>
      </c>
      <c r="F7241" s="6">
        <v>1</v>
      </c>
      <c r="G7241" s="40">
        <v>5</v>
      </c>
      <c r="H7241" s="40">
        <v>13.86312</v>
      </c>
      <c r="I7241" s="212"/>
      <c r="J7241" s="212"/>
    </row>
    <row r="7242" spans="1:10" s="15" customFormat="1" ht="18" hidden="1" customHeight="1" outlineLevel="1" x14ac:dyDescent="0.25">
      <c r="A7242" s="18">
        <v>4071</v>
      </c>
      <c r="B7242" s="4" t="s">
        <v>43</v>
      </c>
      <c r="C7242" s="38" t="s">
        <v>9811</v>
      </c>
      <c r="D7242" s="23">
        <v>2023</v>
      </c>
      <c r="E7242" s="18" t="s">
        <v>0</v>
      </c>
      <c r="F7242" s="6">
        <v>1</v>
      </c>
      <c r="G7242" s="40">
        <v>6</v>
      </c>
      <c r="H7242" s="40">
        <v>14.215069999999999</v>
      </c>
      <c r="I7242" s="212"/>
      <c r="J7242" s="212"/>
    </row>
    <row r="7243" spans="1:10" s="15" customFormat="1" ht="18" hidden="1" customHeight="1" outlineLevel="1" x14ac:dyDescent="0.25">
      <c r="A7243" s="18">
        <v>1771</v>
      </c>
      <c r="B7243" s="4" t="s">
        <v>43</v>
      </c>
      <c r="C7243" s="38" t="s">
        <v>9812</v>
      </c>
      <c r="D7243" s="23">
        <v>2023</v>
      </c>
      <c r="E7243" s="18" t="s">
        <v>0</v>
      </c>
      <c r="F7243" s="6">
        <v>1</v>
      </c>
      <c r="G7243" s="40">
        <v>5</v>
      </c>
      <c r="H7243" s="40">
        <v>12.226880000000001</v>
      </c>
      <c r="I7243" s="212"/>
      <c r="J7243" s="212"/>
    </row>
    <row r="7244" spans="1:10" s="15" customFormat="1" ht="18" hidden="1" customHeight="1" outlineLevel="1" x14ac:dyDescent="0.25">
      <c r="A7244" s="18">
        <v>4062</v>
      </c>
      <c r="B7244" s="4" t="s">
        <v>43</v>
      </c>
      <c r="C7244" s="38" t="s">
        <v>9813</v>
      </c>
      <c r="D7244" s="23">
        <v>2023</v>
      </c>
      <c r="E7244" s="18" t="s">
        <v>0</v>
      </c>
      <c r="F7244" s="6">
        <v>1</v>
      </c>
      <c r="G7244" s="40">
        <v>10</v>
      </c>
      <c r="H7244" s="40">
        <v>13.39995</v>
      </c>
      <c r="I7244" s="212"/>
      <c r="J7244" s="212"/>
    </row>
    <row r="7245" spans="1:10" s="15" customFormat="1" ht="18" hidden="1" customHeight="1" outlineLevel="1" x14ac:dyDescent="0.25">
      <c r="A7245" s="18">
        <v>4076</v>
      </c>
      <c r="B7245" s="4" t="s">
        <v>43</v>
      </c>
      <c r="C7245" s="38" t="s">
        <v>9814</v>
      </c>
      <c r="D7245" s="23">
        <v>2023</v>
      </c>
      <c r="E7245" s="18" t="s">
        <v>0</v>
      </c>
      <c r="F7245" s="6">
        <v>1</v>
      </c>
      <c r="G7245" s="40">
        <v>12.6</v>
      </c>
      <c r="H7245" s="40">
        <v>12.35745</v>
      </c>
      <c r="I7245" s="212"/>
      <c r="J7245" s="212"/>
    </row>
    <row r="7246" spans="1:10" s="15" customFormat="1" ht="18" hidden="1" customHeight="1" outlineLevel="1" x14ac:dyDescent="0.25">
      <c r="A7246" s="18">
        <v>1841</v>
      </c>
      <c r="B7246" s="4" t="s">
        <v>43</v>
      </c>
      <c r="C7246" s="38" t="s">
        <v>9815</v>
      </c>
      <c r="D7246" s="23">
        <v>2023</v>
      </c>
      <c r="E7246" s="18" t="s">
        <v>0</v>
      </c>
      <c r="F7246" s="6">
        <v>1</v>
      </c>
      <c r="G7246" s="40">
        <v>5</v>
      </c>
      <c r="H7246" s="40">
        <v>12.4825</v>
      </c>
      <c r="I7246" s="212"/>
      <c r="J7246" s="212"/>
    </row>
    <row r="7247" spans="1:10" s="15" customFormat="1" ht="18" hidden="1" customHeight="1" outlineLevel="1" x14ac:dyDescent="0.25">
      <c r="A7247" s="18">
        <v>1727</v>
      </c>
      <c r="B7247" s="4" t="s">
        <v>43</v>
      </c>
      <c r="C7247" s="38" t="s">
        <v>9816</v>
      </c>
      <c r="D7247" s="23">
        <v>2023</v>
      </c>
      <c r="E7247" s="18" t="s">
        <v>0</v>
      </c>
      <c r="F7247" s="6">
        <v>1</v>
      </c>
      <c r="G7247" s="40">
        <v>5</v>
      </c>
      <c r="H7247" s="40">
        <v>11.94528</v>
      </c>
      <c r="I7247" s="212"/>
      <c r="J7247" s="212"/>
    </row>
    <row r="7248" spans="1:10" s="15" customFormat="1" ht="18" hidden="1" customHeight="1" outlineLevel="1" x14ac:dyDescent="0.25">
      <c r="A7248" s="18">
        <v>4088</v>
      </c>
      <c r="B7248" s="4" t="s">
        <v>43</v>
      </c>
      <c r="C7248" s="38" t="s">
        <v>9817</v>
      </c>
      <c r="D7248" s="23">
        <v>2023</v>
      </c>
      <c r="E7248" s="18" t="s">
        <v>0</v>
      </c>
      <c r="F7248" s="6">
        <v>1</v>
      </c>
      <c r="G7248" s="40">
        <v>15</v>
      </c>
      <c r="H7248" s="40">
        <v>12.09418</v>
      </c>
      <c r="I7248" s="212"/>
      <c r="J7248" s="212"/>
    </row>
    <row r="7249" spans="1:10" s="15" customFormat="1" ht="18" hidden="1" customHeight="1" outlineLevel="1" x14ac:dyDescent="0.25">
      <c r="A7249" s="18">
        <v>1956</v>
      </c>
      <c r="B7249" s="4" t="s">
        <v>43</v>
      </c>
      <c r="C7249" s="38" t="s">
        <v>9818</v>
      </c>
      <c r="D7249" s="23">
        <v>2023</v>
      </c>
      <c r="E7249" s="18" t="s">
        <v>0</v>
      </c>
      <c r="F7249" s="6">
        <v>1</v>
      </c>
      <c r="G7249" s="40">
        <v>5</v>
      </c>
      <c r="H7249" s="40">
        <v>12.739610000000001</v>
      </c>
      <c r="I7249" s="212"/>
      <c r="J7249" s="212"/>
    </row>
    <row r="7250" spans="1:10" s="15" customFormat="1" ht="18" hidden="1" customHeight="1" outlineLevel="1" x14ac:dyDescent="0.25">
      <c r="A7250" s="18">
        <v>4091</v>
      </c>
      <c r="B7250" s="4" t="s">
        <v>43</v>
      </c>
      <c r="C7250" s="38" t="s">
        <v>9819</v>
      </c>
      <c r="D7250" s="23">
        <v>2023</v>
      </c>
      <c r="E7250" s="18" t="s">
        <v>0</v>
      </c>
      <c r="F7250" s="6">
        <v>1</v>
      </c>
      <c r="G7250" s="40">
        <v>7</v>
      </c>
      <c r="H7250" s="40">
        <v>12.734509999999998</v>
      </c>
      <c r="I7250" s="212"/>
      <c r="J7250" s="212"/>
    </row>
    <row r="7251" spans="1:10" s="15" customFormat="1" ht="18" hidden="1" customHeight="1" outlineLevel="1" x14ac:dyDescent="0.25">
      <c r="A7251" s="18">
        <v>4092</v>
      </c>
      <c r="B7251" s="4" t="s">
        <v>43</v>
      </c>
      <c r="C7251" s="38" t="s">
        <v>9820</v>
      </c>
      <c r="D7251" s="23">
        <v>2023</v>
      </c>
      <c r="E7251" s="18" t="s">
        <v>0</v>
      </c>
      <c r="F7251" s="6">
        <v>1</v>
      </c>
      <c r="G7251" s="40">
        <v>1</v>
      </c>
      <c r="H7251" s="40">
        <v>12.52162</v>
      </c>
      <c r="I7251" s="212"/>
      <c r="J7251" s="212"/>
    </row>
    <row r="7252" spans="1:10" s="15" customFormat="1" ht="18" hidden="1" customHeight="1" outlineLevel="1" x14ac:dyDescent="0.25">
      <c r="A7252" s="18">
        <v>4099</v>
      </c>
      <c r="B7252" s="4" t="s">
        <v>43</v>
      </c>
      <c r="C7252" s="38" t="s">
        <v>9821</v>
      </c>
      <c r="D7252" s="23">
        <v>2023</v>
      </c>
      <c r="E7252" s="18" t="s">
        <v>0</v>
      </c>
      <c r="F7252" s="6">
        <v>1</v>
      </c>
      <c r="G7252" s="40">
        <v>7</v>
      </c>
      <c r="H7252" s="40">
        <v>10.96124</v>
      </c>
      <c r="I7252" s="212"/>
      <c r="J7252" s="212"/>
    </row>
    <row r="7253" spans="1:10" s="15" customFormat="1" ht="18" hidden="1" customHeight="1" outlineLevel="1" x14ac:dyDescent="0.25">
      <c r="A7253" s="18">
        <v>2132</v>
      </c>
      <c r="B7253" s="4" t="s">
        <v>43</v>
      </c>
      <c r="C7253" s="38" t="s">
        <v>9822</v>
      </c>
      <c r="D7253" s="23">
        <v>2023</v>
      </c>
      <c r="E7253" s="18" t="s">
        <v>0</v>
      </c>
      <c r="F7253" s="6">
        <v>1</v>
      </c>
      <c r="G7253" s="40">
        <v>5</v>
      </c>
      <c r="H7253" s="40">
        <v>12.36459</v>
      </c>
      <c r="I7253" s="212"/>
      <c r="J7253" s="212"/>
    </row>
    <row r="7254" spans="1:10" s="15" customFormat="1" ht="18" hidden="1" customHeight="1" outlineLevel="1" x14ac:dyDescent="0.25">
      <c r="A7254" s="18">
        <v>4101</v>
      </c>
      <c r="B7254" s="4" t="s">
        <v>43</v>
      </c>
      <c r="C7254" s="38" t="s">
        <v>9823</v>
      </c>
      <c r="D7254" s="23">
        <v>2023</v>
      </c>
      <c r="E7254" s="18" t="s">
        <v>0</v>
      </c>
      <c r="F7254" s="6">
        <v>1</v>
      </c>
      <c r="G7254" s="40">
        <v>7</v>
      </c>
      <c r="H7254" s="40">
        <v>12.366439999999999</v>
      </c>
      <c r="I7254" s="212"/>
      <c r="J7254" s="212"/>
    </row>
    <row r="7255" spans="1:10" s="15" customFormat="1" ht="18" hidden="1" customHeight="1" outlineLevel="1" x14ac:dyDescent="0.25">
      <c r="A7255" s="18">
        <v>2066</v>
      </c>
      <c r="B7255" s="4" t="s">
        <v>43</v>
      </c>
      <c r="C7255" s="38" t="s">
        <v>9824</v>
      </c>
      <c r="D7255" s="23">
        <v>2023</v>
      </c>
      <c r="E7255" s="18" t="s">
        <v>0</v>
      </c>
      <c r="F7255" s="6">
        <v>1</v>
      </c>
      <c r="G7255" s="40">
        <v>5</v>
      </c>
      <c r="H7255" s="40">
        <v>12.366439999999999</v>
      </c>
      <c r="I7255" s="212"/>
      <c r="J7255" s="212"/>
    </row>
    <row r="7256" spans="1:10" s="15" customFormat="1" ht="18" hidden="1" customHeight="1" outlineLevel="1" x14ac:dyDescent="0.25">
      <c r="A7256" s="18">
        <v>1965</v>
      </c>
      <c r="B7256" s="4" t="s">
        <v>43</v>
      </c>
      <c r="C7256" s="38" t="s">
        <v>9825</v>
      </c>
      <c r="D7256" s="23">
        <v>2023</v>
      </c>
      <c r="E7256" s="18" t="s">
        <v>0</v>
      </c>
      <c r="F7256" s="6">
        <v>1</v>
      </c>
      <c r="G7256" s="40">
        <v>5</v>
      </c>
      <c r="H7256" s="40">
        <v>9.9813200000000002</v>
      </c>
      <c r="I7256" s="212"/>
      <c r="J7256" s="212"/>
    </row>
    <row r="7257" spans="1:10" s="15" customFormat="1" ht="18" hidden="1" customHeight="1" outlineLevel="1" x14ac:dyDescent="0.25">
      <c r="A7257" s="18">
        <v>2161</v>
      </c>
      <c r="B7257" s="4" t="s">
        <v>43</v>
      </c>
      <c r="C7257" s="38" t="s">
        <v>9826</v>
      </c>
      <c r="D7257" s="23">
        <v>2023</v>
      </c>
      <c r="E7257" s="18" t="s">
        <v>0</v>
      </c>
      <c r="F7257" s="6">
        <v>1</v>
      </c>
      <c r="G7257" s="40">
        <v>4</v>
      </c>
      <c r="H7257" s="40">
        <v>10.798550000000001</v>
      </c>
      <c r="I7257" s="212"/>
      <c r="J7257" s="212"/>
    </row>
    <row r="7258" spans="1:10" s="15" customFormat="1" ht="18" hidden="1" customHeight="1" outlineLevel="1" x14ac:dyDescent="0.25">
      <c r="A7258" s="18">
        <v>2103</v>
      </c>
      <c r="B7258" s="4" t="s">
        <v>43</v>
      </c>
      <c r="C7258" s="38" t="s">
        <v>9827</v>
      </c>
      <c r="D7258" s="23">
        <v>2023</v>
      </c>
      <c r="E7258" s="18" t="s">
        <v>0</v>
      </c>
      <c r="F7258" s="6">
        <v>1</v>
      </c>
      <c r="G7258" s="40">
        <v>1</v>
      </c>
      <c r="H7258" s="40">
        <v>12.36459</v>
      </c>
      <c r="I7258" s="212"/>
      <c r="J7258" s="212"/>
    </row>
    <row r="7259" spans="1:10" s="15" customFormat="1" ht="18" hidden="1" customHeight="1" outlineLevel="1" x14ac:dyDescent="0.25">
      <c r="A7259" s="18">
        <v>2192</v>
      </c>
      <c r="B7259" s="4" t="s">
        <v>43</v>
      </c>
      <c r="C7259" s="38" t="s">
        <v>9828</v>
      </c>
      <c r="D7259" s="23">
        <v>2023</v>
      </c>
      <c r="E7259" s="18" t="s">
        <v>0</v>
      </c>
      <c r="F7259" s="6">
        <v>1</v>
      </c>
      <c r="G7259" s="40">
        <v>3</v>
      </c>
      <c r="H7259" s="40">
        <v>14.085989999999999</v>
      </c>
      <c r="I7259" s="212"/>
      <c r="J7259" s="212"/>
    </row>
    <row r="7260" spans="1:10" s="15" customFormat="1" ht="18" hidden="1" customHeight="1" outlineLevel="1" x14ac:dyDescent="0.25">
      <c r="A7260" s="18">
        <v>2174</v>
      </c>
      <c r="B7260" s="4" t="s">
        <v>43</v>
      </c>
      <c r="C7260" s="38" t="s">
        <v>9829</v>
      </c>
      <c r="D7260" s="23">
        <v>2023</v>
      </c>
      <c r="E7260" s="18" t="s">
        <v>0</v>
      </c>
      <c r="F7260" s="6">
        <v>1</v>
      </c>
      <c r="G7260" s="40">
        <v>5</v>
      </c>
      <c r="H7260" s="40">
        <v>13.54392</v>
      </c>
      <c r="I7260" s="212"/>
      <c r="J7260" s="212"/>
    </row>
    <row r="7261" spans="1:10" s="15" customFormat="1" ht="18" hidden="1" customHeight="1" outlineLevel="1" x14ac:dyDescent="0.25">
      <c r="A7261" s="18">
        <v>4105</v>
      </c>
      <c r="B7261" s="4" t="s">
        <v>43</v>
      </c>
      <c r="C7261" s="38" t="s">
        <v>9830</v>
      </c>
      <c r="D7261" s="23">
        <v>2023</v>
      </c>
      <c r="E7261" s="18" t="s">
        <v>0</v>
      </c>
      <c r="F7261" s="6">
        <v>1</v>
      </c>
      <c r="G7261" s="40">
        <v>7</v>
      </c>
      <c r="H7261" s="40">
        <v>11.536660000000001</v>
      </c>
      <c r="I7261" s="212"/>
      <c r="J7261" s="212"/>
    </row>
    <row r="7262" spans="1:10" s="15" customFormat="1" ht="18" hidden="1" customHeight="1" outlineLevel="1" x14ac:dyDescent="0.25">
      <c r="A7262" s="18">
        <v>2253</v>
      </c>
      <c r="B7262" s="4" t="s">
        <v>43</v>
      </c>
      <c r="C7262" s="38" t="s">
        <v>9831</v>
      </c>
      <c r="D7262" s="23">
        <v>2023</v>
      </c>
      <c r="E7262" s="18" t="s">
        <v>0</v>
      </c>
      <c r="F7262" s="6">
        <v>1</v>
      </c>
      <c r="G7262" s="40">
        <v>5</v>
      </c>
      <c r="H7262" s="40">
        <v>19.216440000000002</v>
      </c>
      <c r="I7262" s="212"/>
      <c r="J7262" s="212"/>
    </row>
    <row r="7263" spans="1:10" s="15" customFormat="1" ht="18" hidden="1" customHeight="1" outlineLevel="1" x14ac:dyDescent="0.25">
      <c r="A7263" s="18">
        <v>2213</v>
      </c>
      <c r="B7263" s="4" t="s">
        <v>43</v>
      </c>
      <c r="C7263" s="38" t="s">
        <v>9832</v>
      </c>
      <c r="D7263" s="23">
        <v>2023</v>
      </c>
      <c r="E7263" s="18" t="s">
        <v>0</v>
      </c>
      <c r="F7263" s="6">
        <v>1</v>
      </c>
      <c r="G7263" s="40">
        <v>5</v>
      </c>
      <c r="H7263" s="40">
        <v>14.80073</v>
      </c>
      <c r="I7263" s="212"/>
      <c r="J7263" s="212"/>
    </row>
    <row r="7264" spans="1:10" s="15" customFormat="1" ht="18" hidden="1" customHeight="1" outlineLevel="1" x14ac:dyDescent="0.25">
      <c r="A7264" s="18">
        <v>4098</v>
      </c>
      <c r="B7264" s="4" t="s">
        <v>43</v>
      </c>
      <c r="C7264" s="38" t="s">
        <v>9833</v>
      </c>
      <c r="D7264" s="23">
        <v>2023</v>
      </c>
      <c r="E7264" s="18" t="s">
        <v>0</v>
      </c>
      <c r="F7264" s="6">
        <v>1</v>
      </c>
      <c r="G7264" s="40">
        <v>3</v>
      </c>
      <c r="H7264" s="40">
        <v>13.465720000000001</v>
      </c>
      <c r="I7264" s="212"/>
      <c r="J7264" s="212"/>
    </row>
    <row r="7265" spans="1:10" s="15" customFormat="1" ht="18" hidden="1" customHeight="1" outlineLevel="1" x14ac:dyDescent="0.25">
      <c r="A7265" s="18">
        <v>2105</v>
      </c>
      <c r="B7265" s="4" t="s">
        <v>43</v>
      </c>
      <c r="C7265" s="38" t="s">
        <v>9834</v>
      </c>
      <c r="D7265" s="23">
        <v>2023</v>
      </c>
      <c r="E7265" s="18" t="s">
        <v>0</v>
      </c>
      <c r="F7265" s="6">
        <v>1</v>
      </c>
      <c r="G7265" s="40">
        <v>5</v>
      </c>
      <c r="H7265" s="40">
        <v>13.38964</v>
      </c>
      <c r="I7265" s="212"/>
      <c r="J7265" s="212"/>
    </row>
    <row r="7266" spans="1:10" s="15" customFormat="1" ht="18" hidden="1" customHeight="1" outlineLevel="1" x14ac:dyDescent="0.25">
      <c r="A7266" s="18">
        <v>2250</v>
      </c>
      <c r="B7266" s="4" t="s">
        <v>43</v>
      </c>
      <c r="C7266" s="38" t="s">
        <v>9835</v>
      </c>
      <c r="D7266" s="23">
        <v>2023</v>
      </c>
      <c r="E7266" s="18" t="s">
        <v>0</v>
      </c>
      <c r="F7266" s="6">
        <v>1</v>
      </c>
      <c r="G7266" s="40">
        <v>5</v>
      </c>
      <c r="H7266" s="40">
        <v>12.645849999999999</v>
      </c>
      <c r="I7266" s="212"/>
      <c r="J7266" s="212"/>
    </row>
    <row r="7267" spans="1:10" s="15" customFormat="1" ht="18" hidden="1" customHeight="1" outlineLevel="1" x14ac:dyDescent="0.25">
      <c r="A7267" s="18">
        <v>2038</v>
      </c>
      <c r="B7267" s="4" t="s">
        <v>43</v>
      </c>
      <c r="C7267" s="38" t="s">
        <v>9836</v>
      </c>
      <c r="D7267" s="23">
        <v>2023</v>
      </c>
      <c r="E7267" s="18" t="s">
        <v>0</v>
      </c>
      <c r="F7267" s="6">
        <v>1</v>
      </c>
      <c r="G7267" s="40">
        <v>7</v>
      </c>
      <c r="H7267" s="40">
        <v>11.162599999999999</v>
      </c>
      <c r="I7267" s="212"/>
      <c r="J7267" s="212"/>
    </row>
    <row r="7268" spans="1:10" s="15" customFormat="1" ht="18" hidden="1" customHeight="1" outlineLevel="1" x14ac:dyDescent="0.25">
      <c r="A7268" s="18">
        <v>1983</v>
      </c>
      <c r="B7268" s="4" t="s">
        <v>43</v>
      </c>
      <c r="C7268" s="38" t="s">
        <v>9837</v>
      </c>
      <c r="D7268" s="23">
        <v>2023</v>
      </c>
      <c r="E7268" s="18" t="s">
        <v>0</v>
      </c>
      <c r="F7268" s="6">
        <v>1</v>
      </c>
      <c r="G7268" s="40">
        <v>7</v>
      </c>
      <c r="H7268" s="40">
        <v>11.162599999999999</v>
      </c>
      <c r="I7268" s="212"/>
      <c r="J7268" s="212"/>
    </row>
    <row r="7269" spans="1:10" s="15" customFormat="1" ht="18" hidden="1" customHeight="1" outlineLevel="1" x14ac:dyDescent="0.25">
      <c r="A7269" s="18">
        <v>2195</v>
      </c>
      <c r="B7269" s="4" t="s">
        <v>43</v>
      </c>
      <c r="C7269" s="38" t="s">
        <v>9838</v>
      </c>
      <c r="D7269" s="23">
        <v>2023</v>
      </c>
      <c r="E7269" s="18" t="s">
        <v>0</v>
      </c>
      <c r="F7269" s="6">
        <v>1</v>
      </c>
      <c r="G7269" s="40">
        <v>3</v>
      </c>
      <c r="H7269" s="40">
        <v>13.036300000000001</v>
      </c>
      <c r="I7269" s="212"/>
      <c r="J7269" s="212"/>
    </row>
    <row r="7270" spans="1:10" s="15" customFormat="1" ht="18" hidden="1" customHeight="1" outlineLevel="1" x14ac:dyDescent="0.25">
      <c r="A7270" s="18">
        <v>4135</v>
      </c>
      <c r="B7270" s="4" t="s">
        <v>43</v>
      </c>
      <c r="C7270" s="38" t="s">
        <v>9839</v>
      </c>
      <c r="D7270" s="23">
        <v>2023</v>
      </c>
      <c r="E7270" s="18" t="s">
        <v>0</v>
      </c>
      <c r="F7270" s="6">
        <v>1</v>
      </c>
      <c r="G7270" s="40">
        <v>6</v>
      </c>
      <c r="H7270" s="40">
        <v>13.931600000000001</v>
      </c>
      <c r="I7270" s="212"/>
      <c r="J7270" s="212"/>
    </row>
    <row r="7271" spans="1:10" s="15" customFormat="1" ht="18" hidden="1" customHeight="1" outlineLevel="1" x14ac:dyDescent="0.25">
      <c r="A7271" s="18">
        <v>2387</v>
      </c>
      <c r="B7271" s="4" t="s">
        <v>43</v>
      </c>
      <c r="C7271" s="38" t="s">
        <v>9840</v>
      </c>
      <c r="D7271" s="23">
        <v>2023</v>
      </c>
      <c r="E7271" s="18" t="s">
        <v>0</v>
      </c>
      <c r="F7271" s="6">
        <v>1</v>
      </c>
      <c r="G7271" s="40">
        <v>5</v>
      </c>
      <c r="H7271" s="40">
        <v>13.110749999999999</v>
      </c>
      <c r="I7271" s="212"/>
      <c r="J7271" s="212"/>
    </row>
    <row r="7272" spans="1:10" s="15" customFormat="1" ht="18" hidden="1" customHeight="1" outlineLevel="1" x14ac:dyDescent="0.25">
      <c r="A7272" s="18">
        <v>2447</v>
      </c>
      <c r="B7272" s="4" t="s">
        <v>43</v>
      </c>
      <c r="C7272" s="38" t="s">
        <v>9841</v>
      </c>
      <c r="D7272" s="23">
        <v>2023</v>
      </c>
      <c r="E7272" s="18" t="s">
        <v>0</v>
      </c>
      <c r="F7272" s="6">
        <v>1</v>
      </c>
      <c r="G7272" s="40">
        <v>5</v>
      </c>
      <c r="H7272" s="40">
        <v>13.110749999999999</v>
      </c>
      <c r="I7272" s="212"/>
      <c r="J7272" s="212"/>
    </row>
    <row r="7273" spans="1:10" s="15" customFormat="1" ht="18" hidden="1" customHeight="1" outlineLevel="1" x14ac:dyDescent="0.25">
      <c r="A7273" s="18">
        <v>2422</v>
      </c>
      <c r="B7273" s="4" t="s">
        <v>43</v>
      </c>
      <c r="C7273" s="38" t="s">
        <v>9842</v>
      </c>
      <c r="D7273" s="23">
        <v>2023</v>
      </c>
      <c r="E7273" s="18" t="s">
        <v>0</v>
      </c>
      <c r="F7273" s="6">
        <v>1</v>
      </c>
      <c r="G7273" s="40">
        <v>5</v>
      </c>
      <c r="H7273" s="40">
        <v>13.110749999999999</v>
      </c>
      <c r="I7273" s="212"/>
      <c r="J7273" s="212"/>
    </row>
    <row r="7274" spans="1:10" s="15" customFormat="1" ht="18" hidden="1" customHeight="1" outlineLevel="1" x14ac:dyDescent="0.25">
      <c r="A7274" s="18">
        <v>4147</v>
      </c>
      <c r="B7274" s="4" t="s">
        <v>43</v>
      </c>
      <c r="C7274" s="38" t="s">
        <v>9843</v>
      </c>
      <c r="D7274" s="23">
        <v>2023</v>
      </c>
      <c r="E7274" s="18" t="s">
        <v>0</v>
      </c>
      <c r="F7274" s="6">
        <v>1</v>
      </c>
      <c r="G7274" s="40">
        <v>7</v>
      </c>
      <c r="H7274" s="40">
        <v>12.270700000000001</v>
      </c>
      <c r="I7274" s="212"/>
      <c r="J7274" s="212"/>
    </row>
    <row r="7275" spans="1:10" s="15" customFormat="1" ht="18" hidden="1" customHeight="1" outlineLevel="1" x14ac:dyDescent="0.25">
      <c r="A7275" s="18">
        <v>4146</v>
      </c>
      <c r="B7275" s="4" t="s">
        <v>43</v>
      </c>
      <c r="C7275" s="38" t="s">
        <v>9844</v>
      </c>
      <c r="D7275" s="23">
        <v>2023</v>
      </c>
      <c r="E7275" s="18" t="s">
        <v>0</v>
      </c>
      <c r="F7275" s="6">
        <v>1</v>
      </c>
      <c r="G7275" s="40">
        <v>7</v>
      </c>
      <c r="H7275" s="40">
        <v>12.270700000000001</v>
      </c>
      <c r="I7275" s="212"/>
      <c r="J7275" s="212"/>
    </row>
    <row r="7276" spans="1:10" s="15" customFormat="1" ht="18" hidden="1" customHeight="1" outlineLevel="1" x14ac:dyDescent="0.25">
      <c r="A7276" s="18">
        <v>4143</v>
      </c>
      <c r="B7276" s="4" t="s">
        <v>43</v>
      </c>
      <c r="C7276" s="38" t="s">
        <v>9845</v>
      </c>
      <c r="D7276" s="23">
        <v>2023</v>
      </c>
      <c r="E7276" s="18" t="s">
        <v>0</v>
      </c>
      <c r="F7276" s="6">
        <v>1</v>
      </c>
      <c r="G7276" s="40">
        <v>5</v>
      </c>
      <c r="H7276" s="40">
        <v>12.375690000000001</v>
      </c>
      <c r="I7276" s="212"/>
      <c r="J7276" s="212"/>
    </row>
    <row r="7277" spans="1:10" s="15" customFormat="1" ht="18" hidden="1" customHeight="1" outlineLevel="1" x14ac:dyDescent="0.25">
      <c r="A7277" s="18">
        <v>4144</v>
      </c>
      <c r="B7277" s="4" t="s">
        <v>43</v>
      </c>
      <c r="C7277" s="38" t="s">
        <v>9846</v>
      </c>
      <c r="D7277" s="23">
        <v>2023</v>
      </c>
      <c r="E7277" s="18" t="s">
        <v>0</v>
      </c>
      <c r="F7277" s="6">
        <v>1</v>
      </c>
      <c r="G7277" s="40">
        <v>5</v>
      </c>
      <c r="H7277" s="40">
        <v>12.27547</v>
      </c>
      <c r="I7277" s="212"/>
      <c r="J7277" s="212"/>
    </row>
    <row r="7278" spans="1:10" s="15" customFormat="1" ht="18" hidden="1" customHeight="1" outlineLevel="1" x14ac:dyDescent="0.25">
      <c r="A7278" s="18">
        <v>4145</v>
      </c>
      <c r="B7278" s="4" t="s">
        <v>43</v>
      </c>
      <c r="C7278" s="38" t="s">
        <v>9847</v>
      </c>
      <c r="D7278" s="23">
        <v>2023</v>
      </c>
      <c r="E7278" s="18" t="s">
        <v>0</v>
      </c>
      <c r="F7278" s="6">
        <v>1</v>
      </c>
      <c r="G7278" s="40">
        <v>7</v>
      </c>
      <c r="H7278" s="40">
        <v>12.270700000000001</v>
      </c>
      <c r="I7278" s="212"/>
      <c r="J7278" s="212"/>
    </row>
    <row r="7279" spans="1:10" s="15" customFormat="1" ht="18" hidden="1" customHeight="1" outlineLevel="1" x14ac:dyDescent="0.25">
      <c r="A7279" s="18">
        <v>4142</v>
      </c>
      <c r="B7279" s="4" t="s">
        <v>43</v>
      </c>
      <c r="C7279" s="38" t="s">
        <v>9848</v>
      </c>
      <c r="D7279" s="23">
        <v>2023</v>
      </c>
      <c r="E7279" s="18" t="s">
        <v>0</v>
      </c>
      <c r="F7279" s="6">
        <v>1</v>
      </c>
      <c r="G7279" s="40">
        <v>7</v>
      </c>
      <c r="H7279" s="40">
        <v>13.110749999999999</v>
      </c>
      <c r="I7279" s="212"/>
      <c r="J7279" s="212"/>
    </row>
    <row r="7280" spans="1:10" s="15" customFormat="1" ht="18" hidden="1" customHeight="1" outlineLevel="1" x14ac:dyDescent="0.25">
      <c r="A7280" s="18">
        <v>2452</v>
      </c>
      <c r="B7280" s="4" t="s">
        <v>43</v>
      </c>
      <c r="C7280" s="38" t="s">
        <v>9849</v>
      </c>
      <c r="D7280" s="23">
        <v>2023</v>
      </c>
      <c r="E7280" s="18" t="s">
        <v>0</v>
      </c>
      <c r="F7280" s="6">
        <v>1</v>
      </c>
      <c r="G7280" s="40">
        <v>6</v>
      </c>
      <c r="H7280" s="40">
        <v>13.110749999999999</v>
      </c>
      <c r="I7280" s="212"/>
      <c r="J7280" s="212"/>
    </row>
    <row r="7281" spans="1:10" s="15" customFormat="1" ht="18" hidden="1" customHeight="1" outlineLevel="1" x14ac:dyDescent="0.25">
      <c r="A7281" s="18">
        <v>4149</v>
      </c>
      <c r="B7281" s="4" t="s">
        <v>43</v>
      </c>
      <c r="C7281" s="38" t="s">
        <v>9850</v>
      </c>
      <c r="D7281" s="23">
        <v>2023</v>
      </c>
      <c r="E7281" s="18" t="s">
        <v>0</v>
      </c>
      <c r="F7281" s="6">
        <v>1</v>
      </c>
      <c r="G7281" s="40">
        <v>7</v>
      </c>
      <c r="H7281" s="40">
        <v>13.074339999999999</v>
      </c>
      <c r="I7281" s="212"/>
      <c r="J7281" s="212"/>
    </row>
    <row r="7282" spans="1:10" s="15" customFormat="1" ht="18" hidden="1" customHeight="1" outlineLevel="1" x14ac:dyDescent="0.25">
      <c r="A7282" s="18">
        <v>2461</v>
      </c>
      <c r="B7282" s="4" t="s">
        <v>43</v>
      </c>
      <c r="C7282" s="38" t="s">
        <v>9851</v>
      </c>
      <c r="D7282" s="23">
        <v>2023</v>
      </c>
      <c r="E7282" s="18" t="s">
        <v>0</v>
      </c>
      <c r="F7282" s="6">
        <v>1</v>
      </c>
      <c r="G7282" s="40">
        <v>4</v>
      </c>
      <c r="H7282" s="40">
        <v>26.410129999999999</v>
      </c>
      <c r="I7282" s="212"/>
      <c r="J7282" s="212"/>
    </row>
    <row r="7283" spans="1:10" s="15" customFormat="1" ht="18" hidden="1" customHeight="1" outlineLevel="1" x14ac:dyDescent="0.25">
      <c r="A7283" s="18">
        <v>4157</v>
      </c>
      <c r="B7283" s="4" t="s">
        <v>43</v>
      </c>
      <c r="C7283" s="38" t="s">
        <v>9852</v>
      </c>
      <c r="D7283" s="23">
        <v>2023</v>
      </c>
      <c r="E7283" s="18" t="s">
        <v>0</v>
      </c>
      <c r="F7283" s="6">
        <v>1</v>
      </c>
      <c r="G7283" s="40">
        <v>15</v>
      </c>
      <c r="H7283" s="40">
        <v>13.017380000000001</v>
      </c>
      <c r="I7283" s="212"/>
      <c r="J7283" s="212"/>
    </row>
    <row r="7284" spans="1:10" s="15" customFormat="1" ht="18" hidden="1" customHeight="1" outlineLevel="1" x14ac:dyDescent="0.25">
      <c r="A7284" s="18">
        <v>4156</v>
      </c>
      <c r="B7284" s="4" t="s">
        <v>43</v>
      </c>
      <c r="C7284" s="38" t="s">
        <v>9853</v>
      </c>
      <c r="D7284" s="23">
        <v>2023</v>
      </c>
      <c r="E7284" s="18" t="s">
        <v>0</v>
      </c>
      <c r="F7284" s="6">
        <v>1</v>
      </c>
      <c r="G7284" s="40">
        <v>7</v>
      </c>
      <c r="H7284" s="40">
        <v>27.703410000000002</v>
      </c>
      <c r="I7284" s="212"/>
      <c r="J7284" s="212"/>
    </row>
    <row r="7285" spans="1:10" s="15" customFormat="1" ht="18" hidden="1" customHeight="1" outlineLevel="1" x14ac:dyDescent="0.25">
      <c r="A7285" s="18">
        <v>4155</v>
      </c>
      <c r="B7285" s="4" t="s">
        <v>43</v>
      </c>
      <c r="C7285" s="38" t="s">
        <v>9854</v>
      </c>
      <c r="D7285" s="23">
        <v>2023</v>
      </c>
      <c r="E7285" s="18" t="s">
        <v>0</v>
      </c>
      <c r="F7285" s="6">
        <v>1</v>
      </c>
      <c r="G7285" s="40">
        <v>6</v>
      </c>
      <c r="H7285" s="40">
        <v>28.59347</v>
      </c>
      <c r="I7285" s="212"/>
      <c r="J7285" s="212"/>
    </row>
    <row r="7286" spans="1:10" s="15" customFormat="1" ht="18" hidden="1" customHeight="1" outlineLevel="1" x14ac:dyDescent="0.25">
      <c r="A7286" s="18">
        <v>4153</v>
      </c>
      <c r="B7286" s="4" t="s">
        <v>43</v>
      </c>
      <c r="C7286" s="38" t="s">
        <v>9855</v>
      </c>
      <c r="D7286" s="23">
        <v>2023</v>
      </c>
      <c r="E7286" s="18" t="s">
        <v>0</v>
      </c>
      <c r="F7286" s="6">
        <v>1</v>
      </c>
      <c r="G7286" s="40">
        <v>1</v>
      </c>
      <c r="H7286" s="40">
        <v>13.80594</v>
      </c>
      <c r="I7286" s="212"/>
      <c r="J7286" s="212"/>
    </row>
    <row r="7287" spans="1:10" s="15" customFormat="1" ht="18" hidden="1" customHeight="1" outlineLevel="1" x14ac:dyDescent="0.25">
      <c r="A7287" s="18">
        <v>4169</v>
      </c>
      <c r="B7287" s="4" t="s">
        <v>43</v>
      </c>
      <c r="C7287" s="38" t="s">
        <v>9856</v>
      </c>
      <c r="D7287" s="23">
        <v>2023</v>
      </c>
      <c r="E7287" s="18" t="s">
        <v>0</v>
      </c>
      <c r="F7287" s="6">
        <v>1</v>
      </c>
      <c r="G7287" s="40">
        <v>7</v>
      </c>
      <c r="H7287" s="40">
        <v>14.047230000000001</v>
      </c>
      <c r="I7287" s="212"/>
      <c r="J7287" s="212"/>
    </row>
    <row r="7288" spans="1:10" s="15" customFormat="1" ht="18" hidden="1" customHeight="1" outlineLevel="1" x14ac:dyDescent="0.25">
      <c r="A7288" s="18">
        <v>2531</v>
      </c>
      <c r="B7288" s="4" t="s">
        <v>43</v>
      </c>
      <c r="C7288" s="38" t="s">
        <v>9857</v>
      </c>
      <c r="D7288" s="23">
        <v>2023</v>
      </c>
      <c r="E7288" s="18" t="s">
        <v>0</v>
      </c>
      <c r="F7288" s="6">
        <v>1</v>
      </c>
      <c r="G7288" s="40">
        <v>4</v>
      </c>
      <c r="H7288" s="40">
        <v>14.002739999999999</v>
      </c>
      <c r="I7288" s="212"/>
      <c r="J7288" s="212"/>
    </row>
    <row r="7289" spans="1:10" s="15" customFormat="1" ht="18" hidden="1" customHeight="1" outlineLevel="1" x14ac:dyDescent="0.25">
      <c r="A7289" s="18">
        <v>4173</v>
      </c>
      <c r="B7289" s="4" t="s">
        <v>43</v>
      </c>
      <c r="C7289" s="38" t="s">
        <v>9858</v>
      </c>
      <c r="D7289" s="23">
        <v>2023</v>
      </c>
      <c r="E7289" s="18" t="s">
        <v>0</v>
      </c>
      <c r="F7289" s="6">
        <v>1</v>
      </c>
      <c r="G7289" s="40">
        <v>5</v>
      </c>
      <c r="H7289" s="40">
        <v>13.75689</v>
      </c>
      <c r="I7289" s="212"/>
      <c r="J7289" s="212"/>
    </row>
    <row r="7290" spans="1:10" s="15" customFormat="1" ht="18" hidden="1" customHeight="1" outlineLevel="1" x14ac:dyDescent="0.25">
      <c r="A7290" s="18">
        <v>2643</v>
      </c>
      <c r="B7290" s="4" t="s">
        <v>43</v>
      </c>
      <c r="C7290" s="38" t="s">
        <v>9859</v>
      </c>
      <c r="D7290" s="23">
        <v>2023</v>
      </c>
      <c r="E7290" s="18" t="s">
        <v>0</v>
      </c>
      <c r="F7290" s="6">
        <v>1</v>
      </c>
      <c r="G7290" s="40">
        <v>5</v>
      </c>
      <c r="H7290" s="40">
        <v>26.88363</v>
      </c>
      <c r="I7290" s="212"/>
      <c r="J7290" s="212"/>
    </row>
    <row r="7291" spans="1:10" s="15" customFormat="1" ht="18" hidden="1" customHeight="1" outlineLevel="1" x14ac:dyDescent="0.25">
      <c r="A7291" s="18">
        <v>2657</v>
      </c>
      <c r="B7291" s="4" t="s">
        <v>43</v>
      </c>
      <c r="C7291" s="38" t="s">
        <v>9860</v>
      </c>
      <c r="D7291" s="23">
        <v>2023</v>
      </c>
      <c r="E7291" s="18" t="s">
        <v>0</v>
      </c>
      <c r="F7291" s="6">
        <v>1</v>
      </c>
      <c r="G7291" s="40">
        <v>5</v>
      </c>
      <c r="H7291" s="40">
        <v>12.45007</v>
      </c>
      <c r="I7291" s="212"/>
      <c r="J7291" s="212"/>
    </row>
    <row r="7292" spans="1:10" s="15" customFormat="1" ht="18" hidden="1" customHeight="1" outlineLevel="1" x14ac:dyDescent="0.25">
      <c r="A7292" s="18">
        <v>2669</v>
      </c>
      <c r="B7292" s="4" t="s">
        <v>43</v>
      </c>
      <c r="C7292" s="38" t="s">
        <v>9861</v>
      </c>
      <c r="D7292" s="23">
        <v>2023</v>
      </c>
      <c r="E7292" s="18" t="s">
        <v>0</v>
      </c>
      <c r="F7292" s="6">
        <v>1</v>
      </c>
      <c r="G7292" s="40">
        <v>7</v>
      </c>
      <c r="H7292" s="40">
        <v>15.276019999999999</v>
      </c>
      <c r="I7292" s="212"/>
      <c r="J7292" s="212"/>
    </row>
    <row r="7293" spans="1:10" s="15" customFormat="1" ht="18" hidden="1" customHeight="1" outlineLevel="1" x14ac:dyDescent="0.25">
      <c r="A7293" s="18">
        <v>4185</v>
      </c>
      <c r="B7293" s="4" t="s">
        <v>43</v>
      </c>
      <c r="C7293" s="38" t="s">
        <v>9862</v>
      </c>
      <c r="D7293" s="23">
        <v>2023</v>
      </c>
      <c r="E7293" s="18" t="s">
        <v>0</v>
      </c>
      <c r="F7293" s="6">
        <v>1</v>
      </c>
      <c r="G7293" s="40">
        <v>15</v>
      </c>
      <c r="H7293" s="40">
        <v>14.83915</v>
      </c>
      <c r="I7293" s="212"/>
      <c r="J7293" s="212"/>
    </row>
    <row r="7294" spans="1:10" s="15" customFormat="1" ht="18" hidden="1" customHeight="1" outlineLevel="1" x14ac:dyDescent="0.25">
      <c r="A7294" s="18">
        <v>2668</v>
      </c>
      <c r="B7294" s="4" t="s">
        <v>43</v>
      </c>
      <c r="C7294" s="38" t="s">
        <v>9863</v>
      </c>
      <c r="D7294" s="23">
        <v>2023</v>
      </c>
      <c r="E7294" s="18" t="s">
        <v>0</v>
      </c>
      <c r="F7294" s="6">
        <v>1</v>
      </c>
      <c r="G7294" s="40">
        <v>4</v>
      </c>
      <c r="H7294" s="40">
        <v>14.83915</v>
      </c>
      <c r="I7294" s="212"/>
      <c r="J7294" s="212"/>
    </row>
    <row r="7295" spans="1:10" s="15" customFormat="1" ht="18" hidden="1" customHeight="1" outlineLevel="1" x14ac:dyDescent="0.25">
      <c r="A7295" s="18">
        <v>2672</v>
      </c>
      <c r="B7295" s="4" t="s">
        <v>43</v>
      </c>
      <c r="C7295" s="38" t="s">
        <v>9864</v>
      </c>
      <c r="D7295" s="23">
        <v>2023</v>
      </c>
      <c r="E7295" s="18" t="s">
        <v>0</v>
      </c>
      <c r="F7295" s="6">
        <v>1</v>
      </c>
      <c r="G7295" s="40">
        <v>5</v>
      </c>
      <c r="H7295" s="40">
        <v>14.83915</v>
      </c>
      <c r="I7295" s="212"/>
      <c r="J7295" s="212"/>
    </row>
    <row r="7296" spans="1:10" s="15" customFormat="1" ht="18" hidden="1" customHeight="1" outlineLevel="1" x14ac:dyDescent="0.25">
      <c r="A7296" s="18">
        <v>2678</v>
      </c>
      <c r="B7296" s="4" t="s">
        <v>43</v>
      </c>
      <c r="C7296" s="38" t="s">
        <v>9865</v>
      </c>
      <c r="D7296" s="23">
        <v>2023</v>
      </c>
      <c r="E7296" s="18" t="s">
        <v>0</v>
      </c>
      <c r="F7296" s="6">
        <v>1</v>
      </c>
      <c r="G7296" s="40">
        <v>5</v>
      </c>
      <c r="H7296" s="40">
        <v>14.83915</v>
      </c>
      <c r="I7296" s="212"/>
      <c r="J7296" s="212"/>
    </row>
    <row r="7297" spans="1:10" s="15" customFormat="1" ht="18" hidden="1" customHeight="1" outlineLevel="1" x14ac:dyDescent="0.25">
      <c r="A7297" s="18">
        <v>2687</v>
      </c>
      <c r="B7297" s="4" t="s">
        <v>43</v>
      </c>
      <c r="C7297" s="38" t="s">
        <v>9866</v>
      </c>
      <c r="D7297" s="23">
        <v>2023</v>
      </c>
      <c r="E7297" s="18" t="s">
        <v>0</v>
      </c>
      <c r="F7297" s="6">
        <v>1</v>
      </c>
      <c r="G7297" s="40">
        <v>5</v>
      </c>
      <c r="H7297" s="40">
        <v>14.83915</v>
      </c>
      <c r="I7297" s="212"/>
      <c r="J7297" s="212"/>
    </row>
    <row r="7298" spans="1:10" s="15" customFormat="1" ht="18" hidden="1" customHeight="1" outlineLevel="1" x14ac:dyDescent="0.25">
      <c r="A7298" s="18">
        <v>4193</v>
      </c>
      <c r="B7298" s="4" t="s">
        <v>43</v>
      </c>
      <c r="C7298" s="38" t="s">
        <v>9867</v>
      </c>
      <c r="D7298" s="23">
        <v>2023</v>
      </c>
      <c r="E7298" s="18" t="s">
        <v>0</v>
      </c>
      <c r="F7298" s="6">
        <v>1</v>
      </c>
      <c r="G7298" s="40">
        <v>7</v>
      </c>
      <c r="H7298" s="40">
        <v>12.875340000000001</v>
      </c>
      <c r="I7298" s="212"/>
      <c r="J7298" s="212"/>
    </row>
    <row r="7299" spans="1:10" s="15" customFormat="1" ht="18" hidden="1" customHeight="1" outlineLevel="1" x14ac:dyDescent="0.25">
      <c r="A7299" s="18">
        <v>2741</v>
      </c>
      <c r="B7299" s="4" t="s">
        <v>43</v>
      </c>
      <c r="C7299" s="38" t="s">
        <v>9868</v>
      </c>
      <c r="D7299" s="23">
        <v>2023</v>
      </c>
      <c r="E7299" s="18" t="s">
        <v>0</v>
      </c>
      <c r="F7299" s="6">
        <v>1</v>
      </c>
      <c r="G7299" s="40">
        <v>10</v>
      </c>
      <c r="H7299" s="40">
        <v>14.29561</v>
      </c>
      <c r="I7299" s="212"/>
      <c r="J7299" s="212"/>
    </row>
    <row r="7300" spans="1:10" s="15" customFormat="1" ht="18" hidden="1" customHeight="1" outlineLevel="1" x14ac:dyDescent="0.25">
      <c r="A7300" s="18">
        <v>2732</v>
      </c>
      <c r="B7300" s="4" t="s">
        <v>43</v>
      </c>
      <c r="C7300" s="38" t="s">
        <v>9869</v>
      </c>
      <c r="D7300" s="23">
        <v>2023</v>
      </c>
      <c r="E7300" s="18" t="s">
        <v>0</v>
      </c>
      <c r="F7300" s="6">
        <v>1</v>
      </c>
      <c r="G7300" s="40">
        <v>5</v>
      </c>
      <c r="H7300" s="40">
        <v>13.75516</v>
      </c>
      <c r="I7300" s="212"/>
      <c r="J7300" s="212"/>
    </row>
    <row r="7301" spans="1:10" s="15" customFormat="1" ht="18" hidden="1" customHeight="1" outlineLevel="1" x14ac:dyDescent="0.25">
      <c r="A7301" s="18">
        <v>4191</v>
      </c>
      <c r="B7301" s="4" t="s">
        <v>43</v>
      </c>
      <c r="C7301" s="38" t="s">
        <v>9870</v>
      </c>
      <c r="D7301" s="23">
        <v>2023</v>
      </c>
      <c r="E7301" s="18" t="s">
        <v>0</v>
      </c>
      <c r="F7301" s="6">
        <v>1</v>
      </c>
      <c r="G7301" s="40">
        <v>10</v>
      </c>
      <c r="H7301" s="40">
        <v>45.218499999999999</v>
      </c>
      <c r="I7301" s="212"/>
      <c r="J7301" s="212"/>
    </row>
    <row r="7302" spans="1:10" s="15" customFormat="1" ht="18" hidden="1" customHeight="1" outlineLevel="1" x14ac:dyDescent="0.25">
      <c r="A7302" s="18">
        <v>2739</v>
      </c>
      <c r="B7302" s="4" t="s">
        <v>43</v>
      </c>
      <c r="C7302" s="38" t="s">
        <v>9871</v>
      </c>
      <c r="D7302" s="23">
        <v>2023</v>
      </c>
      <c r="E7302" s="18" t="s">
        <v>0</v>
      </c>
      <c r="F7302" s="6">
        <v>1</v>
      </c>
      <c r="G7302" s="40">
        <v>6</v>
      </c>
      <c r="H7302" s="40">
        <v>14.222290000000001</v>
      </c>
      <c r="I7302" s="212"/>
      <c r="J7302" s="212"/>
    </row>
    <row r="7303" spans="1:10" s="15" customFormat="1" ht="18" hidden="1" customHeight="1" outlineLevel="1" x14ac:dyDescent="0.25">
      <c r="A7303" s="18">
        <v>4210</v>
      </c>
      <c r="B7303" s="4" t="s">
        <v>43</v>
      </c>
      <c r="C7303" s="38" t="s">
        <v>9872</v>
      </c>
      <c r="D7303" s="23">
        <v>2023</v>
      </c>
      <c r="E7303" s="18" t="s">
        <v>0</v>
      </c>
      <c r="F7303" s="6">
        <v>1</v>
      </c>
      <c r="G7303" s="40">
        <v>7</v>
      </c>
      <c r="H7303" s="40">
        <v>13.277290000000001</v>
      </c>
      <c r="I7303" s="212"/>
      <c r="J7303" s="212"/>
    </row>
    <row r="7304" spans="1:10" s="15" customFormat="1" ht="18" hidden="1" customHeight="1" outlineLevel="1" x14ac:dyDescent="0.25">
      <c r="A7304" s="18">
        <v>2740</v>
      </c>
      <c r="B7304" s="4" t="s">
        <v>43</v>
      </c>
      <c r="C7304" s="38" t="s">
        <v>9873</v>
      </c>
      <c r="D7304" s="23">
        <v>2023</v>
      </c>
      <c r="E7304" s="18" t="s">
        <v>0</v>
      </c>
      <c r="F7304" s="6">
        <v>1</v>
      </c>
      <c r="G7304" s="40">
        <v>5</v>
      </c>
      <c r="H7304" s="40">
        <v>13.2773</v>
      </c>
      <c r="I7304" s="212"/>
      <c r="J7304" s="212"/>
    </row>
    <row r="7305" spans="1:10" s="15" customFormat="1" ht="18" hidden="1" customHeight="1" outlineLevel="1" x14ac:dyDescent="0.25">
      <c r="A7305" s="18">
        <v>2747</v>
      </c>
      <c r="B7305" s="4" t="s">
        <v>43</v>
      </c>
      <c r="C7305" s="38" t="s">
        <v>9874</v>
      </c>
      <c r="D7305" s="23">
        <v>2023</v>
      </c>
      <c r="E7305" s="18" t="s">
        <v>0</v>
      </c>
      <c r="F7305" s="6">
        <v>1</v>
      </c>
      <c r="G7305" s="40">
        <v>5</v>
      </c>
      <c r="H7305" s="40">
        <v>20.55339</v>
      </c>
      <c r="I7305" s="212"/>
      <c r="J7305" s="212"/>
    </row>
    <row r="7306" spans="1:10" s="15" customFormat="1" ht="18" hidden="1" customHeight="1" outlineLevel="1" x14ac:dyDescent="0.25">
      <c r="A7306" s="18">
        <v>4209</v>
      </c>
      <c r="B7306" s="4" t="s">
        <v>43</v>
      </c>
      <c r="C7306" s="38" t="s">
        <v>9875</v>
      </c>
      <c r="D7306" s="23">
        <v>2023</v>
      </c>
      <c r="E7306" s="18" t="s">
        <v>0</v>
      </c>
      <c r="F7306" s="6">
        <v>1</v>
      </c>
      <c r="G7306" s="40">
        <v>5</v>
      </c>
      <c r="H7306" s="40">
        <v>13.42718</v>
      </c>
      <c r="I7306" s="212"/>
      <c r="J7306" s="212"/>
    </row>
    <row r="7307" spans="1:10" s="15" customFormat="1" ht="18" hidden="1" customHeight="1" outlineLevel="1" x14ac:dyDescent="0.25">
      <c r="A7307" s="18">
        <v>2736</v>
      </c>
      <c r="B7307" s="4" t="s">
        <v>43</v>
      </c>
      <c r="C7307" s="38" t="s">
        <v>9876</v>
      </c>
      <c r="D7307" s="23">
        <v>2023</v>
      </c>
      <c r="E7307" s="18" t="s">
        <v>0</v>
      </c>
      <c r="F7307" s="6">
        <v>1</v>
      </c>
      <c r="G7307" s="40">
        <v>5</v>
      </c>
      <c r="H7307" s="40">
        <v>13.284789999999999</v>
      </c>
      <c r="I7307" s="212"/>
      <c r="J7307" s="212"/>
    </row>
    <row r="7308" spans="1:10" s="15" customFormat="1" ht="18" hidden="1" customHeight="1" outlineLevel="1" x14ac:dyDescent="0.25">
      <c r="A7308" s="18">
        <v>2522</v>
      </c>
      <c r="B7308" s="4" t="s">
        <v>43</v>
      </c>
      <c r="C7308" s="38" t="s">
        <v>9877</v>
      </c>
      <c r="D7308" s="23">
        <v>2023</v>
      </c>
      <c r="E7308" s="18" t="s">
        <v>0</v>
      </c>
      <c r="F7308" s="6">
        <v>1</v>
      </c>
      <c r="G7308" s="40">
        <v>5</v>
      </c>
      <c r="H7308" s="40">
        <v>21.120839999999998</v>
      </c>
      <c r="I7308" s="212"/>
      <c r="J7308" s="212"/>
    </row>
    <row r="7309" spans="1:10" s="15" customFormat="1" ht="18" hidden="1" customHeight="1" outlineLevel="1" x14ac:dyDescent="0.25">
      <c r="A7309" s="18">
        <v>2517</v>
      </c>
      <c r="B7309" s="4" t="s">
        <v>43</v>
      </c>
      <c r="C7309" s="38" t="s">
        <v>9878</v>
      </c>
      <c r="D7309" s="23">
        <v>2023</v>
      </c>
      <c r="E7309" s="18" t="s">
        <v>0</v>
      </c>
      <c r="F7309" s="6">
        <v>1</v>
      </c>
      <c r="G7309" s="40">
        <v>7</v>
      </c>
      <c r="H7309" s="40">
        <v>13.704320000000001</v>
      </c>
      <c r="I7309" s="212"/>
      <c r="J7309" s="212"/>
    </row>
    <row r="7310" spans="1:10" s="15" customFormat="1" ht="18" hidden="1" customHeight="1" outlineLevel="1" x14ac:dyDescent="0.25">
      <c r="A7310" s="18">
        <v>4222</v>
      </c>
      <c r="B7310" s="4" t="s">
        <v>43</v>
      </c>
      <c r="C7310" s="38" t="s">
        <v>9879</v>
      </c>
      <c r="D7310" s="23">
        <v>2023</v>
      </c>
      <c r="E7310" s="18" t="s">
        <v>0</v>
      </c>
      <c r="F7310" s="6">
        <v>1</v>
      </c>
      <c r="G7310" s="40">
        <v>20</v>
      </c>
      <c r="H7310" s="40">
        <v>13.26572</v>
      </c>
      <c r="I7310" s="212"/>
      <c r="J7310" s="212"/>
    </row>
    <row r="7311" spans="1:10" s="15" customFormat="1" ht="18" hidden="1" customHeight="1" outlineLevel="1" x14ac:dyDescent="0.25">
      <c r="A7311" s="18">
        <v>2777</v>
      </c>
      <c r="B7311" s="4" t="s">
        <v>43</v>
      </c>
      <c r="C7311" s="38" t="s">
        <v>9880</v>
      </c>
      <c r="D7311" s="23">
        <v>2023</v>
      </c>
      <c r="E7311" s="18" t="s">
        <v>0</v>
      </c>
      <c r="F7311" s="6">
        <v>1</v>
      </c>
      <c r="G7311" s="40">
        <v>5</v>
      </c>
      <c r="H7311" s="40">
        <v>13.087440000000001</v>
      </c>
      <c r="I7311" s="212"/>
      <c r="J7311" s="212"/>
    </row>
    <row r="7312" spans="1:10" s="15" customFormat="1" ht="18" hidden="1" customHeight="1" outlineLevel="1" x14ac:dyDescent="0.25">
      <c r="A7312" s="18">
        <v>4218</v>
      </c>
      <c r="B7312" s="4" t="s">
        <v>43</v>
      </c>
      <c r="C7312" s="38" t="s">
        <v>9881</v>
      </c>
      <c r="D7312" s="23">
        <v>2023</v>
      </c>
      <c r="E7312" s="18" t="s">
        <v>0</v>
      </c>
      <c r="F7312" s="6">
        <v>1</v>
      </c>
      <c r="G7312" s="40">
        <v>7</v>
      </c>
      <c r="H7312" s="40">
        <v>13.053039999999999</v>
      </c>
      <c r="I7312" s="212"/>
      <c r="J7312" s="212"/>
    </row>
    <row r="7313" spans="1:10" s="15" customFormat="1" ht="18" hidden="1" customHeight="1" outlineLevel="1" x14ac:dyDescent="0.25">
      <c r="A7313" s="18">
        <v>4220</v>
      </c>
      <c r="B7313" s="4" t="s">
        <v>43</v>
      </c>
      <c r="C7313" s="38" t="s">
        <v>9882</v>
      </c>
      <c r="D7313" s="23">
        <v>2023</v>
      </c>
      <c r="E7313" s="18" t="s">
        <v>0</v>
      </c>
      <c r="F7313" s="6">
        <v>1</v>
      </c>
      <c r="G7313" s="40">
        <v>7</v>
      </c>
      <c r="H7313" s="40">
        <v>13.087440000000001</v>
      </c>
      <c r="I7313" s="212"/>
      <c r="J7313" s="212"/>
    </row>
    <row r="7314" spans="1:10" s="15" customFormat="1" ht="18" hidden="1" customHeight="1" outlineLevel="1" x14ac:dyDescent="0.25">
      <c r="A7314" s="18">
        <v>4225</v>
      </c>
      <c r="B7314" s="4" t="s">
        <v>43</v>
      </c>
      <c r="C7314" s="38" t="s">
        <v>9883</v>
      </c>
      <c r="D7314" s="23">
        <v>2023</v>
      </c>
      <c r="E7314" s="18" t="s">
        <v>0</v>
      </c>
      <c r="F7314" s="6">
        <v>1</v>
      </c>
      <c r="G7314" s="40">
        <v>7</v>
      </c>
      <c r="H7314" s="40">
        <v>15.903560000000001</v>
      </c>
      <c r="I7314" s="212"/>
      <c r="J7314" s="212"/>
    </row>
    <row r="7315" spans="1:10" s="15" customFormat="1" ht="18" hidden="1" customHeight="1" outlineLevel="1" x14ac:dyDescent="0.25">
      <c r="A7315" s="18">
        <v>2779</v>
      </c>
      <c r="B7315" s="4" t="s">
        <v>43</v>
      </c>
      <c r="C7315" s="38" t="s">
        <v>9884</v>
      </c>
      <c r="D7315" s="23">
        <v>2023</v>
      </c>
      <c r="E7315" s="18" t="s">
        <v>0</v>
      </c>
      <c r="F7315" s="6">
        <v>1</v>
      </c>
      <c r="G7315" s="40">
        <v>5</v>
      </c>
      <c r="H7315" s="40">
        <v>13.10122</v>
      </c>
      <c r="I7315" s="212"/>
      <c r="J7315" s="212"/>
    </row>
    <row r="7316" spans="1:10" s="15" customFormat="1" ht="18" hidden="1" customHeight="1" outlineLevel="1" x14ac:dyDescent="0.25">
      <c r="A7316" s="18">
        <v>2801</v>
      </c>
      <c r="B7316" s="4" t="s">
        <v>43</v>
      </c>
      <c r="C7316" s="38" t="s">
        <v>9885</v>
      </c>
      <c r="D7316" s="23">
        <v>2023</v>
      </c>
      <c r="E7316" s="18" t="s">
        <v>0</v>
      </c>
      <c r="F7316" s="6">
        <v>1</v>
      </c>
      <c r="G7316" s="40">
        <v>5</v>
      </c>
      <c r="H7316" s="40">
        <v>14.23513</v>
      </c>
      <c r="I7316" s="212"/>
      <c r="J7316" s="212"/>
    </row>
    <row r="7317" spans="1:10" s="15" customFormat="1" ht="18" hidden="1" customHeight="1" outlineLevel="1" x14ac:dyDescent="0.25">
      <c r="A7317" s="18">
        <v>4233</v>
      </c>
      <c r="B7317" s="4" t="s">
        <v>43</v>
      </c>
      <c r="C7317" s="38" t="s">
        <v>9886</v>
      </c>
      <c r="D7317" s="23">
        <v>2023</v>
      </c>
      <c r="E7317" s="18" t="s">
        <v>0</v>
      </c>
      <c r="F7317" s="6">
        <v>1</v>
      </c>
      <c r="G7317" s="40">
        <v>10</v>
      </c>
      <c r="H7317" s="40">
        <v>16.409940000000002</v>
      </c>
      <c r="I7317" s="212"/>
      <c r="J7317" s="212"/>
    </row>
    <row r="7318" spans="1:10" s="15" customFormat="1" ht="18" hidden="1" customHeight="1" outlineLevel="1" x14ac:dyDescent="0.25">
      <c r="A7318" s="18">
        <v>2771</v>
      </c>
      <c r="B7318" s="4" t="s">
        <v>43</v>
      </c>
      <c r="C7318" s="38" t="s">
        <v>9887</v>
      </c>
      <c r="D7318" s="23">
        <v>2023</v>
      </c>
      <c r="E7318" s="18" t="s">
        <v>0</v>
      </c>
      <c r="F7318" s="6">
        <v>1</v>
      </c>
      <c r="G7318" s="40">
        <v>5</v>
      </c>
      <c r="H7318" s="40">
        <v>21.71904</v>
      </c>
      <c r="I7318" s="212"/>
      <c r="J7318" s="212"/>
    </row>
    <row r="7319" spans="1:10" s="15" customFormat="1" ht="18" hidden="1" customHeight="1" outlineLevel="1" x14ac:dyDescent="0.25">
      <c r="A7319" s="18">
        <v>2760</v>
      </c>
      <c r="B7319" s="4" t="s">
        <v>43</v>
      </c>
      <c r="C7319" s="38" t="s">
        <v>9888</v>
      </c>
      <c r="D7319" s="23">
        <v>2023</v>
      </c>
      <c r="E7319" s="18" t="s">
        <v>0</v>
      </c>
      <c r="F7319" s="6">
        <v>1</v>
      </c>
      <c r="G7319" s="40">
        <v>5</v>
      </c>
      <c r="H7319" s="40">
        <v>21.788930000000001</v>
      </c>
      <c r="I7319" s="212"/>
      <c r="J7319" s="212"/>
    </row>
    <row r="7320" spans="1:10" s="15" customFormat="1" ht="18" hidden="1" customHeight="1" outlineLevel="1" x14ac:dyDescent="0.25">
      <c r="A7320" s="18">
        <v>4228</v>
      </c>
      <c r="B7320" s="4" t="s">
        <v>43</v>
      </c>
      <c r="C7320" s="38" t="s">
        <v>9889</v>
      </c>
      <c r="D7320" s="23">
        <v>2023</v>
      </c>
      <c r="E7320" s="18" t="s">
        <v>0</v>
      </c>
      <c r="F7320" s="6">
        <v>1</v>
      </c>
      <c r="G7320" s="40">
        <v>6</v>
      </c>
      <c r="H7320" s="40">
        <v>12.5662</v>
      </c>
      <c r="I7320" s="212"/>
      <c r="J7320" s="212"/>
    </row>
    <row r="7321" spans="1:10" s="15" customFormat="1" ht="18" hidden="1" customHeight="1" outlineLevel="1" x14ac:dyDescent="0.25">
      <c r="A7321" s="18">
        <v>2805</v>
      </c>
      <c r="B7321" s="4" t="s">
        <v>43</v>
      </c>
      <c r="C7321" s="38" t="s">
        <v>9890</v>
      </c>
      <c r="D7321" s="23">
        <v>2023</v>
      </c>
      <c r="E7321" s="18" t="s">
        <v>0</v>
      </c>
      <c r="F7321" s="6">
        <v>1</v>
      </c>
      <c r="G7321" s="40">
        <v>5</v>
      </c>
      <c r="H7321" s="40">
        <v>41.049030000000002</v>
      </c>
      <c r="I7321" s="212"/>
      <c r="J7321" s="212"/>
    </row>
    <row r="7322" spans="1:10" s="15" customFormat="1" ht="18" hidden="1" customHeight="1" outlineLevel="1" x14ac:dyDescent="0.25">
      <c r="A7322" s="18">
        <v>4234</v>
      </c>
      <c r="B7322" s="4" t="s">
        <v>43</v>
      </c>
      <c r="C7322" s="38" t="s">
        <v>9891</v>
      </c>
      <c r="D7322" s="23">
        <v>2023</v>
      </c>
      <c r="E7322" s="18" t="s">
        <v>0</v>
      </c>
      <c r="F7322" s="6">
        <v>1</v>
      </c>
      <c r="G7322" s="40">
        <v>10</v>
      </c>
      <c r="H7322" s="40">
        <v>40.664520000000003</v>
      </c>
      <c r="I7322" s="212"/>
      <c r="J7322" s="212"/>
    </row>
    <row r="7323" spans="1:10" s="15" customFormat="1" ht="18" hidden="1" customHeight="1" outlineLevel="1" x14ac:dyDescent="0.25">
      <c r="A7323" s="18">
        <v>2221</v>
      </c>
      <c r="B7323" s="4" t="s">
        <v>43</v>
      </c>
      <c r="C7323" s="38" t="s">
        <v>9892</v>
      </c>
      <c r="D7323" s="23">
        <v>2023</v>
      </c>
      <c r="E7323" s="18" t="s">
        <v>0</v>
      </c>
      <c r="F7323" s="6">
        <v>1</v>
      </c>
      <c r="G7323" s="40">
        <v>7</v>
      </c>
      <c r="H7323" s="40">
        <v>39.957380000000001</v>
      </c>
      <c r="I7323" s="212"/>
      <c r="J7323" s="212"/>
    </row>
    <row r="7324" spans="1:10" s="15" customFormat="1" ht="18" hidden="1" customHeight="1" outlineLevel="1" x14ac:dyDescent="0.25">
      <c r="A7324" s="18">
        <v>4003</v>
      </c>
      <c r="B7324" s="4" t="s">
        <v>43</v>
      </c>
      <c r="C7324" s="38" t="s">
        <v>8222</v>
      </c>
      <c r="D7324" s="23">
        <v>2023</v>
      </c>
      <c r="E7324" s="18" t="s">
        <v>0</v>
      </c>
      <c r="F7324" s="6">
        <v>1</v>
      </c>
      <c r="G7324" s="40">
        <v>5</v>
      </c>
      <c r="H7324" s="40">
        <v>31.077009999999998</v>
      </c>
      <c r="I7324" s="212"/>
      <c r="J7324" s="212"/>
    </row>
    <row r="7325" spans="1:10" s="15" customFormat="1" ht="18" hidden="1" customHeight="1" outlineLevel="1" x14ac:dyDescent="0.25">
      <c r="A7325" s="18">
        <v>4021</v>
      </c>
      <c r="B7325" s="4" t="s">
        <v>43</v>
      </c>
      <c r="C7325" s="38" t="s">
        <v>8224</v>
      </c>
      <c r="D7325" s="23">
        <v>2023</v>
      </c>
      <c r="E7325" s="18" t="s">
        <v>0</v>
      </c>
      <c r="F7325" s="6">
        <v>1</v>
      </c>
      <c r="G7325" s="40">
        <v>5</v>
      </c>
      <c r="H7325" s="40">
        <v>51.8247</v>
      </c>
      <c r="I7325" s="212"/>
      <c r="J7325" s="212"/>
    </row>
    <row r="7326" spans="1:10" s="15" customFormat="1" ht="18" hidden="1" customHeight="1" outlineLevel="1" x14ac:dyDescent="0.25">
      <c r="A7326" s="18">
        <v>3912</v>
      </c>
      <c r="B7326" s="4" t="s">
        <v>43</v>
      </c>
      <c r="C7326" s="38" t="s">
        <v>8229</v>
      </c>
      <c r="D7326" s="23">
        <v>2023</v>
      </c>
      <c r="E7326" s="18" t="s">
        <v>0</v>
      </c>
      <c r="F7326" s="6">
        <v>1</v>
      </c>
      <c r="G7326" s="40">
        <v>5</v>
      </c>
      <c r="H7326" s="40">
        <v>52.722810000000003</v>
      </c>
      <c r="I7326" s="212"/>
      <c r="J7326" s="212"/>
    </row>
    <row r="7327" spans="1:10" s="15" customFormat="1" ht="18" hidden="1" customHeight="1" outlineLevel="1" x14ac:dyDescent="0.25">
      <c r="A7327" s="18">
        <v>3534</v>
      </c>
      <c r="B7327" s="4" t="s">
        <v>43</v>
      </c>
      <c r="C7327" s="38" t="s">
        <v>8235</v>
      </c>
      <c r="D7327" s="23">
        <v>2023</v>
      </c>
      <c r="E7327" s="18" t="s">
        <v>0</v>
      </c>
      <c r="F7327" s="6">
        <v>1</v>
      </c>
      <c r="G7327" s="40">
        <v>7</v>
      </c>
      <c r="H7327" s="40">
        <v>21.347169999999998</v>
      </c>
      <c r="I7327" s="212"/>
      <c r="J7327" s="212"/>
    </row>
    <row r="7328" spans="1:10" s="15" customFormat="1" ht="18" hidden="1" customHeight="1" outlineLevel="1" x14ac:dyDescent="0.25">
      <c r="A7328" s="18">
        <v>3834</v>
      </c>
      <c r="B7328" s="4" t="s">
        <v>43</v>
      </c>
      <c r="C7328" s="38" t="s">
        <v>8243</v>
      </c>
      <c r="D7328" s="23">
        <v>2023</v>
      </c>
      <c r="E7328" s="18" t="s">
        <v>0</v>
      </c>
      <c r="F7328" s="6">
        <v>1</v>
      </c>
      <c r="G7328" s="40">
        <v>7</v>
      </c>
      <c r="H7328" s="40">
        <v>24.840890000000002</v>
      </c>
      <c r="I7328" s="212"/>
      <c r="J7328" s="212"/>
    </row>
    <row r="7329" spans="1:10" s="15" customFormat="1" ht="18" hidden="1" customHeight="1" outlineLevel="1" x14ac:dyDescent="0.25">
      <c r="A7329" s="18">
        <v>3784</v>
      </c>
      <c r="B7329" s="4" t="s">
        <v>43</v>
      </c>
      <c r="C7329" s="38" t="s">
        <v>8245</v>
      </c>
      <c r="D7329" s="23">
        <v>2023</v>
      </c>
      <c r="E7329" s="18" t="s">
        <v>0</v>
      </c>
      <c r="F7329" s="6">
        <v>1</v>
      </c>
      <c r="G7329" s="40">
        <v>5</v>
      </c>
      <c r="H7329" s="40">
        <v>19.819210000000002</v>
      </c>
      <c r="I7329" s="212"/>
      <c r="J7329" s="212"/>
    </row>
    <row r="7330" spans="1:10" s="15" customFormat="1" ht="18" hidden="1" customHeight="1" outlineLevel="1" x14ac:dyDescent="0.25">
      <c r="A7330" s="18">
        <v>3909</v>
      </c>
      <c r="B7330" s="4" t="s">
        <v>43</v>
      </c>
      <c r="C7330" s="38" t="s">
        <v>8251</v>
      </c>
      <c r="D7330" s="23">
        <v>2023</v>
      </c>
      <c r="E7330" s="18" t="s">
        <v>0</v>
      </c>
      <c r="F7330" s="6">
        <v>1</v>
      </c>
      <c r="G7330" s="40">
        <v>7</v>
      </c>
      <c r="H7330" s="40">
        <v>37.085809999999995</v>
      </c>
      <c r="I7330" s="212"/>
      <c r="J7330" s="212"/>
    </row>
    <row r="7331" spans="1:10" s="15" customFormat="1" ht="18" hidden="1" customHeight="1" outlineLevel="1" x14ac:dyDescent="0.25">
      <c r="A7331" s="18">
        <v>3932</v>
      </c>
      <c r="B7331" s="4" t="s">
        <v>43</v>
      </c>
      <c r="C7331" s="38" t="s">
        <v>8252</v>
      </c>
      <c r="D7331" s="23">
        <v>2023</v>
      </c>
      <c r="E7331" s="18" t="s">
        <v>0</v>
      </c>
      <c r="F7331" s="6">
        <v>1</v>
      </c>
      <c r="G7331" s="40">
        <v>5</v>
      </c>
      <c r="H7331" s="40">
        <v>27.397729999999999</v>
      </c>
      <c r="I7331" s="212"/>
      <c r="J7331" s="212"/>
    </row>
    <row r="7332" spans="1:10" s="15" customFormat="1" ht="18" hidden="1" customHeight="1" outlineLevel="1" x14ac:dyDescent="0.25">
      <c r="A7332" s="18">
        <v>1278</v>
      </c>
      <c r="B7332" s="4" t="s">
        <v>43</v>
      </c>
      <c r="C7332" s="38" t="s">
        <v>8254</v>
      </c>
      <c r="D7332" s="23">
        <v>2023</v>
      </c>
      <c r="E7332" s="18" t="s">
        <v>0</v>
      </c>
      <c r="F7332" s="6">
        <v>1</v>
      </c>
      <c r="G7332" s="40">
        <v>7</v>
      </c>
      <c r="H7332" s="40">
        <v>16.039200000000001</v>
      </c>
      <c r="I7332" s="212"/>
      <c r="J7332" s="212"/>
    </row>
    <row r="7333" spans="1:10" s="15" customFormat="1" ht="18" hidden="1" customHeight="1" outlineLevel="1" x14ac:dyDescent="0.25">
      <c r="A7333" s="18">
        <v>3255</v>
      </c>
      <c r="B7333" s="4" t="s">
        <v>43</v>
      </c>
      <c r="C7333" s="38" t="s">
        <v>8256</v>
      </c>
      <c r="D7333" s="23">
        <v>2023</v>
      </c>
      <c r="E7333" s="18" t="s">
        <v>0</v>
      </c>
      <c r="F7333" s="6">
        <v>1</v>
      </c>
      <c r="G7333" s="40">
        <v>6</v>
      </c>
      <c r="H7333" s="40">
        <v>17.482379999999999</v>
      </c>
      <c r="I7333" s="212"/>
      <c r="J7333" s="212"/>
    </row>
    <row r="7334" spans="1:10" s="15" customFormat="1" ht="18" hidden="1" customHeight="1" outlineLevel="1" x14ac:dyDescent="0.25">
      <c r="A7334" s="18">
        <v>948</v>
      </c>
      <c r="B7334" s="4" t="s">
        <v>43</v>
      </c>
      <c r="C7334" s="38" t="s">
        <v>8264</v>
      </c>
      <c r="D7334" s="23">
        <v>2023</v>
      </c>
      <c r="E7334" s="18" t="s">
        <v>0</v>
      </c>
      <c r="F7334" s="6">
        <v>1</v>
      </c>
      <c r="G7334" s="40">
        <v>5</v>
      </c>
      <c r="H7334" s="40">
        <v>19.18216</v>
      </c>
      <c r="I7334" s="212"/>
      <c r="J7334" s="212"/>
    </row>
    <row r="7335" spans="1:10" s="15" customFormat="1" ht="18" hidden="1" customHeight="1" outlineLevel="1" x14ac:dyDescent="0.25">
      <c r="A7335" s="18">
        <v>1422</v>
      </c>
      <c r="B7335" s="4" t="s">
        <v>43</v>
      </c>
      <c r="C7335" s="38" t="s">
        <v>8274</v>
      </c>
      <c r="D7335" s="23">
        <v>2023</v>
      </c>
      <c r="E7335" s="18" t="s">
        <v>0</v>
      </c>
      <c r="F7335" s="6">
        <v>1</v>
      </c>
      <c r="G7335" s="40">
        <v>6</v>
      </c>
      <c r="H7335" s="40">
        <v>28.823499999999999</v>
      </c>
      <c r="I7335" s="212"/>
      <c r="J7335" s="212"/>
    </row>
    <row r="7336" spans="1:10" s="15" customFormat="1" ht="18" hidden="1" customHeight="1" outlineLevel="1" x14ac:dyDescent="0.25">
      <c r="A7336" s="18">
        <v>1352</v>
      </c>
      <c r="B7336" s="4" t="s">
        <v>43</v>
      </c>
      <c r="C7336" s="38" t="s">
        <v>8278</v>
      </c>
      <c r="D7336" s="23">
        <v>2023</v>
      </c>
      <c r="E7336" s="18" t="s">
        <v>0</v>
      </c>
      <c r="F7336" s="6">
        <v>1</v>
      </c>
      <c r="G7336" s="40">
        <v>7</v>
      </c>
      <c r="H7336" s="40">
        <v>19.108920000000001</v>
      </c>
      <c r="I7336" s="212"/>
      <c r="J7336" s="212"/>
    </row>
    <row r="7337" spans="1:10" s="15" customFormat="1" ht="18" hidden="1" customHeight="1" outlineLevel="1" x14ac:dyDescent="0.25">
      <c r="A7337" s="18">
        <v>1043</v>
      </c>
      <c r="B7337" s="4" t="s">
        <v>43</v>
      </c>
      <c r="C7337" s="38" t="s">
        <v>8281</v>
      </c>
      <c r="D7337" s="23">
        <v>2023</v>
      </c>
      <c r="E7337" s="18" t="s">
        <v>0</v>
      </c>
      <c r="F7337" s="6">
        <v>1</v>
      </c>
      <c r="G7337" s="40">
        <v>5</v>
      </c>
      <c r="H7337" s="40">
        <v>43.814450000000001</v>
      </c>
      <c r="I7337" s="212"/>
      <c r="J7337" s="212"/>
    </row>
    <row r="7338" spans="1:10" s="15" customFormat="1" ht="18" hidden="1" customHeight="1" outlineLevel="1" x14ac:dyDescent="0.25">
      <c r="A7338" s="18">
        <v>578</v>
      </c>
      <c r="B7338" s="4" t="s">
        <v>43</v>
      </c>
      <c r="C7338" s="38" t="s">
        <v>8314</v>
      </c>
      <c r="D7338" s="23">
        <v>2023</v>
      </c>
      <c r="E7338" s="18" t="s">
        <v>0</v>
      </c>
      <c r="F7338" s="6">
        <v>1</v>
      </c>
      <c r="G7338" s="40">
        <v>7</v>
      </c>
      <c r="H7338" s="40">
        <v>17.626609999999999</v>
      </c>
      <c r="I7338" s="212"/>
      <c r="J7338" s="212"/>
    </row>
    <row r="7339" spans="1:10" s="15" customFormat="1" ht="18" hidden="1" customHeight="1" outlineLevel="1" x14ac:dyDescent="0.25">
      <c r="A7339" s="18">
        <v>2246</v>
      </c>
      <c r="B7339" s="4" t="s">
        <v>43</v>
      </c>
      <c r="C7339" s="38" t="s">
        <v>8320</v>
      </c>
      <c r="D7339" s="23">
        <v>2023</v>
      </c>
      <c r="E7339" s="18" t="s">
        <v>0</v>
      </c>
      <c r="F7339" s="6">
        <v>1</v>
      </c>
      <c r="G7339" s="40">
        <v>5</v>
      </c>
      <c r="H7339" s="40">
        <v>30.643819999999998</v>
      </c>
      <c r="I7339" s="212"/>
      <c r="J7339" s="212"/>
    </row>
    <row r="7340" spans="1:10" s="15" customFormat="1" ht="18" hidden="1" customHeight="1" outlineLevel="1" x14ac:dyDescent="0.25">
      <c r="A7340" s="18">
        <v>1840</v>
      </c>
      <c r="B7340" s="4" t="s">
        <v>43</v>
      </c>
      <c r="C7340" s="38" t="s">
        <v>8324</v>
      </c>
      <c r="D7340" s="23">
        <v>2023</v>
      </c>
      <c r="E7340" s="18" t="s">
        <v>0</v>
      </c>
      <c r="F7340" s="6">
        <v>1</v>
      </c>
      <c r="G7340" s="40">
        <v>5</v>
      </c>
      <c r="H7340" s="40">
        <v>16.75563</v>
      </c>
      <c r="I7340" s="212"/>
      <c r="J7340" s="212"/>
    </row>
    <row r="7341" spans="1:10" s="15" customFormat="1" ht="18" hidden="1" customHeight="1" outlineLevel="1" x14ac:dyDescent="0.25">
      <c r="A7341" s="18">
        <v>2098</v>
      </c>
      <c r="B7341" s="4" t="s">
        <v>43</v>
      </c>
      <c r="C7341" s="38" t="s">
        <v>8328</v>
      </c>
      <c r="D7341" s="23">
        <v>2023</v>
      </c>
      <c r="E7341" s="18" t="s">
        <v>0</v>
      </c>
      <c r="F7341" s="6">
        <v>1</v>
      </c>
      <c r="G7341" s="40">
        <v>5</v>
      </c>
      <c r="H7341" s="40">
        <v>18.545820000000003</v>
      </c>
      <c r="I7341" s="212"/>
      <c r="J7341" s="212"/>
    </row>
    <row r="7342" spans="1:10" s="15" customFormat="1" ht="18" hidden="1" customHeight="1" outlineLevel="1" x14ac:dyDescent="0.25">
      <c r="A7342" s="18">
        <v>2254</v>
      </c>
      <c r="B7342" s="4" t="s">
        <v>43</v>
      </c>
      <c r="C7342" s="38" t="s">
        <v>8335</v>
      </c>
      <c r="D7342" s="23">
        <v>2023</v>
      </c>
      <c r="E7342" s="18" t="s">
        <v>0</v>
      </c>
      <c r="F7342" s="6">
        <v>1</v>
      </c>
      <c r="G7342" s="40">
        <v>5</v>
      </c>
      <c r="H7342" s="40">
        <v>52.094469999999994</v>
      </c>
      <c r="I7342" s="212"/>
      <c r="J7342" s="212"/>
    </row>
    <row r="7343" spans="1:10" s="15" customFormat="1" ht="18" hidden="1" customHeight="1" outlineLevel="1" x14ac:dyDescent="0.25">
      <c r="A7343" s="18">
        <v>2175</v>
      </c>
      <c r="B7343" s="4" t="s">
        <v>43</v>
      </c>
      <c r="C7343" s="38" t="s">
        <v>8337</v>
      </c>
      <c r="D7343" s="23">
        <v>2023</v>
      </c>
      <c r="E7343" s="18" t="s">
        <v>0</v>
      </c>
      <c r="F7343" s="6">
        <v>1</v>
      </c>
      <c r="G7343" s="40">
        <v>7</v>
      </c>
      <c r="H7343" s="40">
        <v>28.41574</v>
      </c>
      <c r="I7343" s="212"/>
      <c r="J7343" s="212"/>
    </row>
    <row r="7344" spans="1:10" s="15" customFormat="1" ht="18" hidden="1" customHeight="1" outlineLevel="1" x14ac:dyDescent="0.25">
      <c r="A7344" s="18">
        <v>2228</v>
      </c>
      <c r="B7344" s="4" t="s">
        <v>43</v>
      </c>
      <c r="C7344" s="38" t="s">
        <v>8338</v>
      </c>
      <c r="D7344" s="23">
        <v>2023</v>
      </c>
      <c r="E7344" s="18" t="s">
        <v>0</v>
      </c>
      <c r="F7344" s="6">
        <v>1</v>
      </c>
      <c r="G7344" s="40">
        <v>7</v>
      </c>
      <c r="H7344" s="40">
        <v>28.760590000000001</v>
      </c>
      <c r="I7344" s="212"/>
      <c r="J7344" s="212"/>
    </row>
    <row r="7345" spans="1:10" s="15" customFormat="1" ht="18" hidden="1" customHeight="1" outlineLevel="1" x14ac:dyDescent="0.25">
      <c r="A7345" s="18">
        <v>2205</v>
      </c>
      <c r="B7345" s="4" t="s">
        <v>43</v>
      </c>
      <c r="C7345" s="38" t="s">
        <v>8340</v>
      </c>
      <c r="D7345" s="23">
        <v>2023</v>
      </c>
      <c r="E7345" s="18" t="s">
        <v>0</v>
      </c>
      <c r="F7345" s="6">
        <v>1</v>
      </c>
      <c r="G7345" s="40">
        <v>7</v>
      </c>
      <c r="H7345" s="40">
        <v>25.431709999999999</v>
      </c>
      <c r="I7345" s="212"/>
      <c r="J7345" s="212"/>
    </row>
    <row r="7346" spans="1:10" s="15" customFormat="1" ht="18" hidden="1" customHeight="1" outlineLevel="1" x14ac:dyDescent="0.25">
      <c r="A7346" s="18">
        <v>772</v>
      </c>
      <c r="B7346" s="4" t="s">
        <v>43</v>
      </c>
      <c r="C7346" s="38" t="s">
        <v>8343</v>
      </c>
      <c r="D7346" s="23">
        <v>2023</v>
      </c>
      <c r="E7346" s="18" t="s">
        <v>0</v>
      </c>
      <c r="F7346" s="6">
        <v>1</v>
      </c>
      <c r="G7346" s="40">
        <v>5</v>
      </c>
      <c r="H7346" s="40">
        <v>24.312529999999999</v>
      </c>
      <c r="I7346" s="212"/>
      <c r="J7346" s="212"/>
    </row>
    <row r="7347" spans="1:10" s="15" customFormat="1" ht="18" hidden="1" customHeight="1" outlineLevel="1" x14ac:dyDescent="0.25">
      <c r="A7347" s="18">
        <v>1820</v>
      </c>
      <c r="B7347" s="4" t="s">
        <v>43</v>
      </c>
      <c r="C7347" s="38" t="s">
        <v>8346</v>
      </c>
      <c r="D7347" s="23">
        <v>2023</v>
      </c>
      <c r="E7347" s="18" t="s">
        <v>0</v>
      </c>
      <c r="F7347" s="6">
        <v>1</v>
      </c>
      <c r="G7347" s="40">
        <v>5</v>
      </c>
      <c r="H7347" s="40">
        <v>16.093910000000001</v>
      </c>
      <c r="I7347" s="212"/>
      <c r="J7347" s="212"/>
    </row>
    <row r="7348" spans="1:10" s="15" customFormat="1" ht="18" hidden="1" customHeight="1" outlineLevel="1" x14ac:dyDescent="0.25">
      <c r="A7348" s="18">
        <v>2364</v>
      </c>
      <c r="B7348" s="4" t="s">
        <v>43</v>
      </c>
      <c r="C7348" s="38" t="s">
        <v>8351</v>
      </c>
      <c r="D7348" s="23">
        <v>2023</v>
      </c>
      <c r="E7348" s="18" t="s">
        <v>0</v>
      </c>
      <c r="F7348" s="6">
        <v>1</v>
      </c>
      <c r="G7348" s="40">
        <v>14</v>
      </c>
      <c r="H7348" s="40">
        <v>38.97383</v>
      </c>
      <c r="I7348" s="212"/>
      <c r="J7348" s="212"/>
    </row>
    <row r="7349" spans="1:10" s="15" customFormat="1" ht="18" hidden="1" customHeight="1" outlineLevel="1" x14ac:dyDescent="0.25">
      <c r="A7349" s="18">
        <v>2388</v>
      </c>
      <c r="B7349" s="4" t="s">
        <v>43</v>
      </c>
      <c r="C7349" s="38" t="s">
        <v>8352</v>
      </c>
      <c r="D7349" s="23">
        <v>2023</v>
      </c>
      <c r="E7349" s="18" t="s">
        <v>0</v>
      </c>
      <c r="F7349" s="6">
        <v>1</v>
      </c>
      <c r="G7349" s="40">
        <v>5</v>
      </c>
      <c r="H7349" s="40">
        <v>32.024660000000004</v>
      </c>
      <c r="I7349" s="212"/>
      <c r="J7349" s="212"/>
    </row>
    <row r="7350" spans="1:10" s="15" customFormat="1" ht="18" hidden="1" customHeight="1" outlineLevel="1" x14ac:dyDescent="0.25">
      <c r="A7350" s="18">
        <v>4163</v>
      </c>
      <c r="B7350" s="4" t="s">
        <v>43</v>
      </c>
      <c r="C7350" s="38" t="s">
        <v>8353</v>
      </c>
      <c r="D7350" s="23">
        <v>2023</v>
      </c>
      <c r="E7350" s="18" t="s">
        <v>0</v>
      </c>
      <c r="F7350" s="6">
        <v>1</v>
      </c>
      <c r="G7350" s="40">
        <v>5</v>
      </c>
      <c r="H7350" s="40">
        <v>28.193570000000001</v>
      </c>
      <c r="I7350" s="212"/>
      <c r="J7350" s="212"/>
    </row>
    <row r="7351" spans="1:10" s="15" customFormat="1" ht="18" hidden="1" customHeight="1" outlineLevel="1" x14ac:dyDescent="0.25">
      <c r="A7351" s="18">
        <v>2539</v>
      </c>
      <c r="B7351" s="4" t="s">
        <v>43</v>
      </c>
      <c r="C7351" s="38" t="s">
        <v>8355</v>
      </c>
      <c r="D7351" s="23">
        <v>2023</v>
      </c>
      <c r="E7351" s="18" t="s">
        <v>0</v>
      </c>
      <c r="F7351" s="6">
        <v>1</v>
      </c>
      <c r="G7351" s="40">
        <v>7</v>
      </c>
      <c r="H7351" s="40">
        <v>27.971080000000001</v>
      </c>
      <c r="I7351" s="212"/>
      <c r="J7351" s="212"/>
    </row>
    <row r="7352" spans="1:10" s="15" customFormat="1" ht="18" hidden="1" customHeight="1" outlineLevel="1" x14ac:dyDescent="0.25">
      <c r="A7352" s="18">
        <v>1177</v>
      </c>
      <c r="B7352" s="4" t="s">
        <v>43</v>
      </c>
      <c r="C7352" s="38" t="s">
        <v>8356</v>
      </c>
      <c r="D7352" s="23">
        <v>2023</v>
      </c>
      <c r="E7352" s="18" t="s">
        <v>0</v>
      </c>
      <c r="F7352" s="6">
        <v>1</v>
      </c>
      <c r="G7352" s="40">
        <v>7</v>
      </c>
      <c r="H7352" s="40">
        <v>37.03613</v>
      </c>
      <c r="I7352" s="212"/>
      <c r="J7352" s="212"/>
    </row>
    <row r="7353" spans="1:10" s="15" customFormat="1" ht="18" hidden="1" customHeight="1" outlineLevel="1" x14ac:dyDescent="0.25">
      <c r="A7353" s="18">
        <v>1679</v>
      </c>
      <c r="B7353" s="4" t="s">
        <v>43</v>
      </c>
      <c r="C7353" s="38" t="s">
        <v>8381</v>
      </c>
      <c r="D7353" s="23">
        <v>2023</v>
      </c>
      <c r="E7353" s="18" t="s">
        <v>0</v>
      </c>
      <c r="F7353" s="6">
        <v>1</v>
      </c>
      <c r="G7353" s="40">
        <v>7</v>
      </c>
      <c r="H7353" s="40">
        <v>26.008110000000002</v>
      </c>
      <c r="I7353" s="212"/>
      <c r="J7353" s="212"/>
    </row>
    <row r="7354" spans="1:10" s="15" customFormat="1" ht="18" hidden="1" customHeight="1" outlineLevel="1" x14ac:dyDescent="0.25">
      <c r="A7354" s="18">
        <v>639</v>
      </c>
      <c r="B7354" s="4" t="s">
        <v>43</v>
      </c>
      <c r="C7354" s="38" t="s">
        <v>8386</v>
      </c>
      <c r="D7354" s="23">
        <v>2023</v>
      </c>
      <c r="E7354" s="18" t="s">
        <v>0</v>
      </c>
      <c r="F7354" s="6">
        <v>1</v>
      </c>
      <c r="G7354" s="40">
        <v>5</v>
      </c>
      <c r="H7354" s="40">
        <v>52.491999999999997</v>
      </c>
      <c r="I7354" s="212"/>
      <c r="J7354" s="212"/>
    </row>
    <row r="7355" spans="1:10" s="15" customFormat="1" ht="18" hidden="1" customHeight="1" outlineLevel="1" x14ac:dyDescent="0.25">
      <c r="A7355" s="18">
        <v>4818</v>
      </c>
      <c r="B7355" s="4" t="s">
        <v>43</v>
      </c>
      <c r="C7355" s="38" t="s">
        <v>9893</v>
      </c>
      <c r="D7355" s="23">
        <v>2023</v>
      </c>
      <c r="E7355" s="18" t="s">
        <v>0</v>
      </c>
      <c r="F7355" s="6">
        <v>1</v>
      </c>
      <c r="G7355" s="40">
        <v>1.04</v>
      </c>
      <c r="H7355" s="40">
        <v>11.494</v>
      </c>
      <c r="I7355" s="212"/>
      <c r="J7355" s="212"/>
    </row>
    <row r="7356" spans="1:10" s="15" customFormat="1" ht="18" hidden="1" customHeight="1" outlineLevel="1" x14ac:dyDescent="0.25">
      <c r="A7356" s="18">
        <v>1652</v>
      </c>
      <c r="B7356" s="4" t="s">
        <v>43</v>
      </c>
      <c r="C7356" s="38" t="s">
        <v>9894</v>
      </c>
      <c r="D7356" s="23">
        <v>2023</v>
      </c>
      <c r="E7356" s="18" t="s">
        <v>0</v>
      </c>
      <c r="F7356" s="6">
        <v>1</v>
      </c>
      <c r="G7356" s="40">
        <v>3</v>
      </c>
      <c r="H7356" s="40">
        <v>26.382000000000001</v>
      </c>
      <c r="I7356" s="212"/>
      <c r="J7356" s="212"/>
    </row>
    <row r="7357" spans="1:10" s="15" customFormat="1" ht="18" hidden="1" customHeight="1" outlineLevel="1" x14ac:dyDescent="0.25">
      <c r="A7357" s="18">
        <v>1715</v>
      </c>
      <c r="B7357" s="4" t="s">
        <v>43</v>
      </c>
      <c r="C7357" s="38" t="s">
        <v>9895</v>
      </c>
      <c r="D7357" s="23">
        <v>2023</v>
      </c>
      <c r="E7357" s="18" t="s">
        <v>0</v>
      </c>
      <c r="F7357" s="6">
        <v>1</v>
      </c>
      <c r="G7357" s="40">
        <v>3</v>
      </c>
      <c r="H7357" s="40">
        <v>21.132000000000001</v>
      </c>
      <c r="I7357" s="212"/>
      <c r="J7357" s="212"/>
    </row>
    <row r="7358" spans="1:10" s="15" customFormat="1" ht="18" hidden="1" customHeight="1" outlineLevel="1" x14ac:dyDescent="0.25">
      <c r="A7358" s="18">
        <v>4820</v>
      </c>
      <c r="B7358" s="4" t="s">
        <v>43</v>
      </c>
      <c r="C7358" s="38" t="s">
        <v>9896</v>
      </c>
      <c r="D7358" s="23">
        <v>2023</v>
      </c>
      <c r="E7358" s="18" t="s">
        <v>0</v>
      </c>
      <c r="F7358" s="6">
        <v>1</v>
      </c>
      <c r="G7358" s="40">
        <v>0.4</v>
      </c>
      <c r="H7358" s="40">
        <v>29.53</v>
      </c>
      <c r="I7358" s="212"/>
      <c r="J7358" s="212"/>
    </row>
    <row r="7359" spans="1:10" s="15" customFormat="1" ht="18" hidden="1" customHeight="1" outlineLevel="1" x14ac:dyDescent="0.25">
      <c r="A7359" s="18">
        <v>4821</v>
      </c>
      <c r="B7359" s="4" t="s">
        <v>43</v>
      </c>
      <c r="C7359" s="38" t="s">
        <v>9897</v>
      </c>
      <c r="D7359" s="23">
        <v>2023</v>
      </c>
      <c r="E7359" s="18" t="s">
        <v>0</v>
      </c>
      <c r="F7359" s="6">
        <v>1</v>
      </c>
      <c r="G7359" s="40">
        <v>0.55000000000000004</v>
      </c>
      <c r="H7359" s="40">
        <v>29.530999999999999</v>
      </c>
      <c r="I7359" s="212"/>
      <c r="J7359" s="212"/>
    </row>
    <row r="7360" spans="1:10" s="15" customFormat="1" ht="18" hidden="1" customHeight="1" outlineLevel="1" x14ac:dyDescent="0.25">
      <c r="A7360" s="18">
        <v>4822</v>
      </c>
      <c r="B7360" s="4" t="s">
        <v>43</v>
      </c>
      <c r="C7360" s="38" t="s">
        <v>9898</v>
      </c>
      <c r="D7360" s="23">
        <v>2023</v>
      </c>
      <c r="E7360" s="18" t="s">
        <v>0</v>
      </c>
      <c r="F7360" s="6">
        <v>1</v>
      </c>
      <c r="G7360" s="40">
        <v>15</v>
      </c>
      <c r="H7360" s="40">
        <v>23.475000000000001</v>
      </c>
      <c r="I7360" s="212"/>
      <c r="J7360" s="212"/>
    </row>
    <row r="7361" spans="1:10" s="15" customFormat="1" ht="18" hidden="1" customHeight="1" outlineLevel="1" x14ac:dyDescent="0.25">
      <c r="A7361" s="18">
        <v>4824</v>
      </c>
      <c r="B7361" s="4" t="s">
        <v>43</v>
      </c>
      <c r="C7361" s="38" t="s">
        <v>9899</v>
      </c>
      <c r="D7361" s="23">
        <v>2023</v>
      </c>
      <c r="E7361" s="18" t="s">
        <v>0</v>
      </c>
      <c r="F7361" s="6">
        <v>1</v>
      </c>
      <c r="G7361" s="40">
        <v>10</v>
      </c>
      <c r="H7361" s="40">
        <v>28.635999999999999</v>
      </c>
      <c r="I7361" s="212"/>
      <c r="J7361" s="212"/>
    </row>
    <row r="7362" spans="1:10" s="15" customFormat="1" ht="18" hidden="1" customHeight="1" outlineLevel="1" x14ac:dyDescent="0.25">
      <c r="A7362" s="18">
        <v>1928</v>
      </c>
      <c r="B7362" s="4" t="s">
        <v>43</v>
      </c>
      <c r="C7362" s="38" t="s">
        <v>9900</v>
      </c>
      <c r="D7362" s="23">
        <v>2023</v>
      </c>
      <c r="E7362" s="18" t="s">
        <v>0</v>
      </c>
      <c r="F7362" s="6">
        <v>1</v>
      </c>
      <c r="G7362" s="40">
        <v>5</v>
      </c>
      <c r="H7362" s="40">
        <v>27.936</v>
      </c>
      <c r="I7362" s="212"/>
      <c r="J7362" s="212"/>
    </row>
    <row r="7363" spans="1:10" s="15" customFormat="1" ht="18" hidden="1" customHeight="1" outlineLevel="1" x14ac:dyDescent="0.25">
      <c r="A7363" s="18">
        <v>1950</v>
      </c>
      <c r="B7363" s="4" t="s">
        <v>43</v>
      </c>
      <c r="C7363" s="38" t="s">
        <v>9901</v>
      </c>
      <c r="D7363" s="23">
        <v>2023</v>
      </c>
      <c r="E7363" s="18" t="s">
        <v>0</v>
      </c>
      <c r="F7363" s="6">
        <v>1</v>
      </c>
      <c r="G7363" s="40">
        <v>10</v>
      </c>
      <c r="H7363" s="40">
        <v>30.010999999999999</v>
      </c>
      <c r="I7363" s="212"/>
      <c r="J7363" s="212"/>
    </row>
    <row r="7364" spans="1:10" s="15" customFormat="1" ht="18" hidden="1" customHeight="1" outlineLevel="1" x14ac:dyDescent="0.25">
      <c r="A7364" s="18">
        <v>1981</v>
      </c>
      <c r="B7364" s="4" t="s">
        <v>43</v>
      </c>
      <c r="C7364" s="38" t="s">
        <v>8398</v>
      </c>
      <c r="D7364" s="23">
        <v>2023</v>
      </c>
      <c r="E7364" s="18" t="s">
        <v>0</v>
      </c>
      <c r="F7364" s="6">
        <v>1</v>
      </c>
      <c r="G7364" s="40">
        <v>5</v>
      </c>
      <c r="H7364" s="40">
        <v>40.484000000000002</v>
      </c>
      <c r="I7364" s="212"/>
      <c r="J7364" s="212"/>
    </row>
    <row r="7365" spans="1:10" s="15" customFormat="1" ht="18" hidden="1" customHeight="1" outlineLevel="1" x14ac:dyDescent="0.25">
      <c r="A7365" s="18">
        <v>4826</v>
      </c>
      <c r="B7365" s="4" t="s">
        <v>43</v>
      </c>
      <c r="C7365" s="38" t="s">
        <v>9902</v>
      </c>
      <c r="D7365" s="23">
        <v>2023</v>
      </c>
      <c r="E7365" s="18" t="s">
        <v>0</v>
      </c>
      <c r="F7365" s="6">
        <v>1</v>
      </c>
      <c r="G7365" s="40">
        <v>1.2</v>
      </c>
      <c r="H7365" s="40">
        <v>25.466999999999999</v>
      </c>
      <c r="I7365" s="212"/>
      <c r="J7365" s="212"/>
    </row>
    <row r="7366" spans="1:10" s="15" customFormat="1" ht="18" hidden="1" customHeight="1" outlineLevel="1" x14ac:dyDescent="0.25">
      <c r="A7366" s="18">
        <v>4828</v>
      </c>
      <c r="B7366" s="4" t="s">
        <v>43</v>
      </c>
      <c r="C7366" s="38" t="s">
        <v>9903</v>
      </c>
      <c r="D7366" s="23">
        <v>2023</v>
      </c>
      <c r="E7366" s="18" t="s">
        <v>0</v>
      </c>
      <c r="F7366" s="6">
        <v>1</v>
      </c>
      <c r="G7366" s="40">
        <v>15</v>
      </c>
      <c r="H7366" s="40">
        <v>28.524999999999999</v>
      </c>
      <c r="I7366" s="212"/>
      <c r="J7366" s="212"/>
    </row>
    <row r="7367" spans="1:10" s="15" customFormat="1" ht="18" hidden="1" customHeight="1" outlineLevel="1" x14ac:dyDescent="0.25">
      <c r="A7367" s="18">
        <v>2042</v>
      </c>
      <c r="B7367" s="4" t="s">
        <v>43</v>
      </c>
      <c r="C7367" s="38" t="s">
        <v>9904</v>
      </c>
      <c r="D7367" s="23">
        <v>2023</v>
      </c>
      <c r="E7367" s="18" t="s">
        <v>0</v>
      </c>
      <c r="F7367" s="6">
        <v>1</v>
      </c>
      <c r="G7367" s="40">
        <v>5</v>
      </c>
      <c r="H7367" s="40">
        <v>26.596</v>
      </c>
      <c r="I7367" s="212"/>
      <c r="J7367" s="212"/>
    </row>
    <row r="7368" spans="1:10" s="15" customFormat="1" ht="18" hidden="1" customHeight="1" outlineLevel="1" x14ac:dyDescent="0.25">
      <c r="A7368" s="18">
        <v>2013</v>
      </c>
      <c r="B7368" s="4" t="s">
        <v>43</v>
      </c>
      <c r="C7368" s="38" t="s">
        <v>9905</v>
      </c>
      <c r="D7368" s="23">
        <v>2023</v>
      </c>
      <c r="E7368" s="18" t="s">
        <v>0</v>
      </c>
      <c r="F7368" s="6">
        <v>1</v>
      </c>
      <c r="G7368" s="40">
        <v>5</v>
      </c>
      <c r="H7368" s="40">
        <v>26.489000000000001</v>
      </c>
      <c r="I7368" s="212"/>
      <c r="J7368" s="212"/>
    </row>
    <row r="7369" spans="1:10" s="15" customFormat="1" ht="18" hidden="1" customHeight="1" outlineLevel="1" x14ac:dyDescent="0.25">
      <c r="A7369" s="18">
        <v>2118</v>
      </c>
      <c r="B7369" s="4" t="s">
        <v>43</v>
      </c>
      <c r="C7369" s="38" t="s">
        <v>9906</v>
      </c>
      <c r="D7369" s="23">
        <v>2023</v>
      </c>
      <c r="E7369" s="18" t="s">
        <v>0</v>
      </c>
      <c r="F7369" s="6">
        <v>1</v>
      </c>
      <c r="G7369" s="40">
        <v>15</v>
      </c>
      <c r="H7369" s="40">
        <v>42.944000000000003</v>
      </c>
      <c r="I7369" s="212"/>
      <c r="J7369" s="212"/>
    </row>
    <row r="7370" spans="1:10" s="15" customFormat="1" ht="18" hidden="1" customHeight="1" outlineLevel="1" x14ac:dyDescent="0.25">
      <c r="A7370" s="18">
        <v>2126</v>
      </c>
      <c r="B7370" s="4" t="s">
        <v>43</v>
      </c>
      <c r="C7370" s="38" t="s">
        <v>9907</v>
      </c>
      <c r="D7370" s="23">
        <v>2023</v>
      </c>
      <c r="E7370" s="18" t="s">
        <v>0</v>
      </c>
      <c r="F7370" s="6">
        <v>1</v>
      </c>
      <c r="G7370" s="40">
        <v>4</v>
      </c>
      <c r="H7370" s="40">
        <v>21.532</v>
      </c>
      <c r="I7370" s="212"/>
      <c r="J7370" s="212"/>
    </row>
    <row r="7371" spans="1:10" s="15" customFormat="1" ht="18" hidden="1" customHeight="1" outlineLevel="1" x14ac:dyDescent="0.25">
      <c r="A7371" s="18">
        <v>4830</v>
      </c>
      <c r="B7371" s="4" t="s">
        <v>43</v>
      </c>
      <c r="C7371" s="38" t="s">
        <v>9908</v>
      </c>
      <c r="D7371" s="23">
        <v>2023</v>
      </c>
      <c r="E7371" s="18" t="s">
        <v>0</v>
      </c>
      <c r="F7371" s="6">
        <v>1</v>
      </c>
      <c r="G7371" s="40">
        <v>15</v>
      </c>
      <c r="H7371" s="40">
        <v>30.233000000000001</v>
      </c>
      <c r="I7371" s="212"/>
      <c r="J7371" s="212"/>
    </row>
    <row r="7372" spans="1:10" s="15" customFormat="1" ht="18" hidden="1" customHeight="1" outlineLevel="1" x14ac:dyDescent="0.25">
      <c r="A7372" s="18">
        <v>4831</v>
      </c>
      <c r="B7372" s="4" t="s">
        <v>43</v>
      </c>
      <c r="C7372" s="38" t="s">
        <v>9909</v>
      </c>
      <c r="D7372" s="23">
        <v>2023</v>
      </c>
      <c r="E7372" s="18" t="s">
        <v>0</v>
      </c>
      <c r="F7372" s="6">
        <v>1</v>
      </c>
      <c r="G7372" s="40">
        <v>15</v>
      </c>
      <c r="H7372" s="40">
        <v>29.721</v>
      </c>
      <c r="I7372" s="212"/>
      <c r="J7372" s="212"/>
    </row>
    <row r="7373" spans="1:10" s="15" customFormat="1" ht="18" hidden="1" customHeight="1" outlineLevel="1" x14ac:dyDescent="0.25">
      <c r="A7373" s="18">
        <v>4836</v>
      </c>
      <c r="B7373" s="4" t="s">
        <v>43</v>
      </c>
      <c r="C7373" s="38" t="s">
        <v>9910</v>
      </c>
      <c r="D7373" s="23">
        <v>2023</v>
      </c>
      <c r="E7373" s="18" t="s">
        <v>0</v>
      </c>
      <c r="F7373" s="6">
        <v>1</v>
      </c>
      <c r="G7373" s="40">
        <v>0.5</v>
      </c>
      <c r="H7373" s="40">
        <v>25.885999999999999</v>
      </c>
      <c r="I7373" s="212"/>
      <c r="J7373" s="212"/>
    </row>
    <row r="7374" spans="1:10" s="15" customFormat="1" ht="18" hidden="1" customHeight="1" outlineLevel="1" x14ac:dyDescent="0.25">
      <c r="A7374" s="18">
        <v>4838</v>
      </c>
      <c r="B7374" s="4" t="s">
        <v>43</v>
      </c>
      <c r="C7374" s="38" t="s">
        <v>9911</v>
      </c>
      <c r="D7374" s="23">
        <v>2023</v>
      </c>
      <c r="E7374" s="18" t="s">
        <v>0</v>
      </c>
      <c r="F7374" s="6">
        <v>1</v>
      </c>
      <c r="G7374" s="40">
        <v>7</v>
      </c>
      <c r="H7374" s="40">
        <v>20.946000000000002</v>
      </c>
      <c r="I7374" s="212"/>
      <c r="J7374" s="212"/>
    </row>
    <row r="7375" spans="1:10" s="15" customFormat="1" ht="18" hidden="1" customHeight="1" outlineLevel="1" x14ac:dyDescent="0.25">
      <c r="A7375" s="18">
        <v>4842</v>
      </c>
      <c r="B7375" s="4" t="s">
        <v>43</v>
      </c>
      <c r="C7375" s="38" t="s">
        <v>9912</v>
      </c>
      <c r="D7375" s="23">
        <v>2023</v>
      </c>
      <c r="E7375" s="18" t="s">
        <v>0</v>
      </c>
      <c r="F7375" s="6">
        <v>1</v>
      </c>
      <c r="G7375" s="40">
        <v>6</v>
      </c>
      <c r="H7375" s="40">
        <v>20.05</v>
      </c>
      <c r="I7375" s="212"/>
      <c r="J7375" s="212"/>
    </row>
    <row r="7376" spans="1:10" s="15" customFormat="1" ht="18" hidden="1" customHeight="1" outlineLevel="1" x14ac:dyDescent="0.25">
      <c r="A7376" s="18">
        <v>4843</v>
      </c>
      <c r="B7376" s="4" t="s">
        <v>43</v>
      </c>
      <c r="C7376" s="38" t="s">
        <v>9913</v>
      </c>
      <c r="D7376" s="23">
        <v>2023</v>
      </c>
      <c r="E7376" s="18" t="s">
        <v>0</v>
      </c>
      <c r="F7376" s="6">
        <v>1</v>
      </c>
      <c r="G7376" s="40">
        <v>1.3</v>
      </c>
      <c r="H7376" s="40">
        <v>19.503</v>
      </c>
      <c r="I7376" s="212"/>
      <c r="J7376" s="212"/>
    </row>
    <row r="7377" spans="1:10" s="15" customFormat="1" ht="18" hidden="1" customHeight="1" outlineLevel="1" x14ac:dyDescent="0.25">
      <c r="A7377" s="18">
        <v>4845</v>
      </c>
      <c r="B7377" s="4" t="s">
        <v>43</v>
      </c>
      <c r="C7377" s="38" t="s">
        <v>9914</v>
      </c>
      <c r="D7377" s="23">
        <v>2023</v>
      </c>
      <c r="E7377" s="18" t="s">
        <v>0</v>
      </c>
      <c r="F7377" s="6">
        <v>1</v>
      </c>
      <c r="G7377" s="40">
        <v>15</v>
      </c>
      <c r="H7377" s="40">
        <v>26.818999999999999</v>
      </c>
      <c r="I7377" s="212"/>
      <c r="J7377" s="212"/>
    </row>
    <row r="7378" spans="1:10" s="15" customFormat="1" ht="18" hidden="1" customHeight="1" outlineLevel="1" x14ac:dyDescent="0.25">
      <c r="A7378" s="18">
        <v>4847</v>
      </c>
      <c r="B7378" s="4" t="s">
        <v>43</v>
      </c>
      <c r="C7378" s="38" t="s">
        <v>9915</v>
      </c>
      <c r="D7378" s="23">
        <v>2023</v>
      </c>
      <c r="E7378" s="18" t="s">
        <v>0</v>
      </c>
      <c r="F7378" s="6">
        <v>1</v>
      </c>
      <c r="G7378" s="40">
        <v>7</v>
      </c>
      <c r="H7378" s="40">
        <v>25.809000000000001</v>
      </c>
      <c r="I7378" s="212"/>
      <c r="J7378" s="212"/>
    </row>
    <row r="7379" spans="1:10" s="15" customFormat="1" ht="18" hidden="1" customHeight="1" outlineLevel="1" x14ac:dyDescent="0.25">
      <c r="A7379" s="18">
        <v>4850</v>
      </c>
      <c r="B7379" s="4" t="s">
        <v>43</v>
      </c>
      <c r="C7379" s="38" t="s">
        <v>9916</v>
      </c>
      <c r="D7379" s="23">
        <v>2023</v>
      </c>
      <c r="E7379" s="18" t="s">
        <v>0</v>
      </c>
      <c r="F7379" s="6">
        <v>1</v>
      </c>
      <c r="G7379" s="40">
        <v>15</v>
      </c>
      <c r="H7379" s="40">
        <v>26.411000000000001</v>
      </c>
      <c r="I7379" s="212"/>
      <c r="J7379" s="212"/>
    </row>
    <row r="7380" spans="1:10" s="15" customFormat="1" ht="18" hidden="1" customHeight="1" outlineLevel="1" x14ac:dyDescent="0.25">
      <c r="A7380" s="18">
        <v>4851</v>
      </c>
      <c r="B7380" s="4" t="s">
        <v>43</v>
      </c>
      <c r="C7380" s="38" t="s">
        <v>9917</v>
      </c>
      <c r="D7380" s="23">
        <v>2023</v>
      </c>
      <c r="E7380" s="18" t="s">
        <v>0</v>
      </c>
      <c r="F7380" s="6">
        <v>1</v>
      </c>
      <c r="G7380" s="40">
        <v>15</v>
      </c>
      <c r="H7380" s="40">
        <v>26.818000000000001</v>
      </c>
      <c r="I7380" s="212"/>
      <c r="J7380" s="212"/>
    </row>
    <row r="7381" spans="1:10" s="15" customFormat="1" ht="18" hidden="1" customHeight="1" outlineLevel="1" x14ac:dyDescent="0.25">
      <c r="A7381" s="18">
        <v>2288</v>
      </c>
      <c r="B7381" s="4" t="s">
        <v>43</v>
      </c>
      <c r="C7381" s="38" t="s">
        <v>9918</v>
      </c>
      <c r="D7381" s="23">
        <v>2023</v>
      </c>
      <c r="E7381" s="18" t="s">
        <v>0</v>
      </c>
      <c r="F7381" s="6">
        <v>1</v>
      </c>
      <c r="G7381" s="40">
        <v>5</v>
      </c>
      <c r="H7381" s="40">
        <v>24.808</v>
      </c>
      <c r="I7381" s="212"/>
      <c r="J7381" s="212"/>
    </row>
    <row r="7382" spans="1:10" s="15" customFormat="1" ht="18" hidden="1" customHeight="1" outlineLevel="1" x14ac:dyDescent="0.25">
      <c r="A7382" s="18">
        <v>4853</v>
      </c>
      <c r="B7382" s="4" t="s">
        <v>43</v>
      </c>
      <c r="C7382" s="38" t="s">
        <v>9919</v>
      </c>
      <c r="D7382" s="23">
        <v>2023</v>
      </c>
      <c r="E7382" s="18" t="s">
        <v>0</v>
      </c>
      <c r="F7382" s="6">
        <v>1</v>
      </c>
      <c r="G7382" s="40">
        <v>0.9</v>
      </c>
      <c r="H7382" s="40">
        <v>25.472000000000001</v>
      </c>
      <c r="I7382" s="212"/>
      <c r="J7382" s="212"/>
    </row>
    <row r="7383" spans="1:10" s="15" customFormat="1" ht="18" hidden="1" customHeight="1" outlineLevel="1" x14ac:dyDescent="0.25">
      <c r="A7383" s="18">
        <v>4858</v>
      </c>
      <c r="B7383" s="4" t="s">
        <v>43</v>
      </c>
      <c r="C7383" s="38" t="s">
        <v>9920</v>
      </c>
      <c r="D7383" s="23">
        <v>2023</v>
      </c>
      <c r="E7383" s="18" t="s">
        <v>0</v>
      </c>
      <c r="F7383" s="6">
        <v>1</v>
      </c>
      <c r="G7383" s="40">
        <v>15</v>
      </c>
      <c r="H7383" s="40">
        <v>27.175000000000001</v>
      </c>
      <c r="I7383" s="212"/>
      <c r="J7383" s="212"/>
    </row>
    <row r="7384" spans="1:10" s="15" customFormat="1" ht="18" hidden="1" customHeight="1" outlineLevel="1" x14ac:dyDescent="0.25">
      <c r="A7384" s="18">
        <v>4861</v>
      </c>
      <c r="B7384" s="4" t="s">
        <v>43</v>
      </c>
      <c r="C7384" s="38" t="s">
        <v>9921</v>
      </c>
      <c r="D7384" s="23">
        <v>2023</v>
      </c>
      <c r="E7384" s="18" t="s">
        <v>0</v>
      </c>
      <c r="F7384" s="6">
        <v>1</v>
      </c>
      <c r="G7384" s="40">
        <v>15</v>
      </c>
      <c r="H7384" s="40">
        <v>26.937999999999999</v>
      </c>
      <c r="I7384" s="212"/>
      <c r="J7384" s="212"/>
    </row>
    <row r="7385" spans="1:10" s="15" customFormat="1" ht="18" hidden="1" customHeight="1" outlineLevel="1" x14ac:dyDescent="0.25">
      <c r="A7385" s="18">
        <v>4862</v>
      </c>
      <c r="B7385" s="4" t="s">
        <v>43</v>
      </c>
      <c r="C7385" s="38" t="s">
        <v>9922</v>
      </c>
      <c r="D7385" s="23">
        <v>2023</v>
      </c>
      <c r="E7385" s="18" t="s">
        <v>0</v>
      </c>
      <c r="F7385" s="6">
        <v>1</v>
      </c>
      <c r="G7385" s="40">
        <v>7</v>
      </c>
      <c r="H7385" s="40">
        <v>25.472000000000001</v>
      </c>
      <c r="I7385" s="212"/>
      <c r="J7385" s="212"/>
    </row>
    <row r="7386" spans="1:10" s="15" customFormat="1" ht="18" hidden="1" customHeight="1" outlineLevel="1" x14ac:dyDescent="0.25">
      <c r="A7386" s="18">
        <v>2396</v>
      </c>
      <c r="B7386" s="4" t="s">
        <v>43</v>
      </c>
      <c r="C7386" s="38" t="s">
        <v>9923</v>
      </c>
      <c r="D7386" s="23">
        <v>2023</v>
      </c>
      <c r="E7386" s="18" t="s">
        <v>0</v>
      </c>
      <c r="F7386" s="6">
        <v>1</v>
      </c>
      <c r="G7386" s="40">
        <v>5</v>
      </c>
      <c r="H7386" s="40">
        <v>24.747</v>
      </c>
      <c r="I7386" s="212"/>
      <c r="J7386" s="212"/>
    </row>
    <row r="7387" spans="1:10" s="15" customFormat="1" ht="18" hidden="1" customHeight="1" outlineLevel="1" x14ac:dyDescent="0.25">
      <c r="A7387" s="18">
        <v>4869</v>
      </c>
      <c r="B7387" s="4" t="s">
        <v>43</v>
      </c>
      <c r="C7387" s="38" t="s">
        <v>9924</v>
      </c>
      <c r="D7387" s="23">
        <v>2023</v>
      </c>
      <c r="E7387" s="18" t="s">
        <v>0</v>
      </c>
      <c r="F7387" s="6">
        <v>1</v>
      </c>
      <c r="G7387" s="40">
        <v>7</v>
      </c>
      <c r="H7387" s="40">
        <v>19.532</v>
      </c>
      <c r="I7387" s="212"/>
      <c r="J7387" s="212"/>
    </row>
    <row r="7388" spans="1:10" s="15" customFormat="1" ht="18" hidden="1" customHeight="1" outlineLevel="1" x14ac:dyDescent="0.25">
      <c r="A7388" s="18">
        <v>4871</v>
      </c>
      <c r="B7388" s="4" t="s">
        <v>43</v>
      </c>
      <c r="C7388" s="38" t="s">
        <v>9925</v>
      </c>
      <c r="D7388" s="23">
        <v>2023</v>
      </c>
      <c r="E7388" s="18" t="s">
        <v>0</v>
      </c>
      <c r="F7388" s="6">
        <v>1</v>
      </c>
      <c r="G7388" s="40">
        <v>7</v>
      </c>
      <c r="H7388" s="40">
        <v>25.978000000000002</v>
      </c>
      <c r="I7388" s="212"/>
      <c r="J7388" s="212"/>
    </row>
    <row r="7389" spans="1:10" s="15" customFormat="1" ht="18" hidden="1" customHeight="1" outlineLevel="1" x14ac:dyDescent="0.25">
      <c r="A7389" s="18">
        <v>4873</v>
      </c>
      <c r="B7389" s="4" t="s">
        <v>43</v>
      </c>
      <c r="C7389" s="38" t="s">
        <v>9926</v>
      </c>
      <c r="D7389" s="23">
        <v>2023</v>
      </c>
      <c r="E7389" s="18" t="s">
        <v>0</v>
      </c>
      <c r="F7389" s="6">
        <v>1</v>
      </c>
      <c r="G7389" s="40">
        <v>15</v>
      </c>
      <c r="H7389" s="40">
        <v>28.995000000000001</v>
      </c>
      <c r="I7389" s="212"/>
      <c r="J7389" s="212"/>
    </row>
    <row r="7390" spans="1:10" s="15" customFormat="1" ht="18" hidden="1" customHeight="1" outlineLevel="1" x14ac:dyDescent="0.25">
      <c r="A7390" s="18">
        <v>4876</v>
      </c>
      <c r="B7390" s="4" t="s">
        <v>43</v>
      </c>
      <c r="C7390" s="38" t="s">
        <v>9927</v>
      </c>
      <c r="D7390" s="23">
        <v>2023</v>
      </c>
      <c r="E7390" s="18" t="s">
        <v>0</v>
      </c>
      <c r="F7390" s="6">
        <v>1</v>
      </c>
      <c r="G7390" s="40">
        <v>7</v>
      </c>
      <c r="H7390" s="40">
        <v>26.547000000000001</v>
      </c>
      <c r="I7390" s="212"/>
      <c r="J7390" s="212"/>
    </row>
    <row r="7391" spans="1:10" s="15" customFormat="1" ht="18" hidden="1" customHeight="1" outlineLevel="1" x14ac:dyDescent="0.25">
      <c r="A7391" s="18">
        <v>2645</v>
      </c>
      <c r="B7391" s="4" t="s">
        <v>43</v>
      </c>
      <c r="C7391" s="38" t="s">
        <v>9928</v>
      </c>
      <c r="D7391" s="23">
        <v>2023</v>
      </c>
      <c r="E7391" s="18" t="s">
        <v>0</v>
      </c>
      <c r="F7391" s="6">
        <v>1</v>
      </c>
      <c r="G7391" s="40">
        <v>3</v>
      </c>
      <c r="H7391" s="40">
        <v>31.794</v>
      </c>
      <c r="I7391" s="212"/>
      <c r="J7391" s="212"/>
    </row>
    <row r="7392" spans="1:10" s="15" customFormat="1" ht="18" hidden="1" customHeight="1" outlineLevel="1" x14ac:dyDescent="0.25">
      <c r="A7392" s="18">
        <v>4885</v>
      </c>
      <c r="B7392" s="4" t="s">
        <v>43</v>
      </c>
      <c r="C7392" s="38" t="s">
        <v>9929</v>
      </c>
      <c r="D7392" s="23">
        <v>2023</v>
      </c>
      <c r="E7392" s="18" t="s">
        <v>0</v>
      </c>
      <c r="F7392" s="6">
        <v>1</v>
      </c>
      <c r="G7392" s="40">
        <v>15</v>
      </c>
      <c r="H7392" s="40">
        <v>37.003</v>
      </c>
      <c r="I7392" s="212"/>
      <c r="J7392" s="212"/>
    </row>
    <row r="7393" spans="1:10" s="15" customFormat="1" ht="18" hidden="1" customHeight="1" outlineLevel="1" x14ac:dyDescent="0.25">
      <c r="A7393" s="18">
        <v>4886</v>
      </c>
      <c r="B7393" s="4" t="s">
        <v>43</v>
      </c>
      <c r="C7393" s="38" t="s">
        <v>9930</v>
      </c>
      <c r="D7393" s="23">
        <v>2023</v>
      </c>
      <c r="E7393" s="18" t="s">
        <v>0</v>
      </c>
      <c r="F7393" s="6">
        <v>1</v>
      </c>
      <c r="G7393" s="40">
        <v>6.4</v>
      </c>
      <c r="H7393" s="40">
        <v>28.058</v>
      </c>
      <c r="I7393" s="212"/>
      <c r="J7393" s="212"/>
    </row>
    <row r="7394" spans="1:10" s="15" customFormat="1" ht="18" hidden="1" customHeight="1" outlineLevel="1" x14ac:dyDescent="0.25">
      <c r="A7394" s="18">
        <v>2700</v>
      </c>
      <c r="B7394" s="4" t="s">
        <v>43</v>
      </c>
      <c r="C7394" s="38" t="s">
        <v>9931</v>
      </c>
      <c r="D7394" s="23">
        <v>2023</v>
      </c>
      <c r="E7394" s="18" t="s">
        <v>0</v>
      </c>
      <c r="F7394" s="6">
        <v>1</v>
      </c>
      <c r="G7394" s="40">
        <v>5</v>
      </c>
      <c r="H7394" s="40">
        <v>18.37</v>
      </c>
      <c r="I7394" s="212"/>
      <c r="J7394" s="212"/>
    </row>
    <row r="7395" spans="1:10" s="15" customFormat="1" ht="18" hidden="1" customHeight="1" outlineLevel="1" x14ac:dyDescent="0.25">
      <c r="A7395" s="18">
        <v>2701</v>
      </c>
      <c r="B7395" s="4" t="s">
        <v>43</v>
      </c>
      <c r="C7395" s="38" t="s">
        <v>9932</v>
      </c>
      <c r="D7395" s="23">
        <v>2023</v>
      </c>
      <c r="E7395" s="18" t="s">
        <v>0</v>
      </c>
      <c r="F7395" s="6">
        <v>1</v>
      </c>
      <c r="G7395" s="40">
        <v>5</v>
      </c>
      <c r="H7395" s="40">
        <v>21.064</v>
      </c>
      <c r="I7395" s="212"/>
      <c r="J7395" s="212"/>
    </row>
    <row r="7396" spans="1:10" s="15" customFormat="1" ht="18" hidden="1" customHeight="1" outlineLevel="1" x14ac:dyDescent="0.25">
      <c r="A7396" s="18">
        <v>4892</v>
      </c>
      <c r="B7396" s="4" t="s">
        <v>43</v>
      </c>
      <c r="C7396" s="38" t="s">
        <v>9933</v>
      </c>
      <c r="D7396" s="23">
        <v>2023</v>
      </c>
      <c r="E7396" s="18" t="s">
        <v>0</v>
      </c>
      <c r="F7396" s="6">
        <v>1</v>
      </c>
      <c r="G7396" s="40">
        <v>15</v>
      </c>
      <c r="H7396" s="40">
        <v>25.295000000000002</v>
      </c>
      <c r="I7396" s="212"/>
      <c r="J7396" s="212"/>
    </row>
    <row r="7397" spans="1:10" s="15" customFormat="1" ht="18" hidden="1" customHeight="1" outlineLevel="1" x14ac:dyDescent="0.25">
      <c r="A7397" s="18">
        <v>2723</v>
      </c>
      <c r="B7397" s="4" t="s">
        <v>43</v>
      </c>
      <c r="C7397" s="38" t="s">
        <v>9934</v>
      </c>
      <c r="D7397" s="23">
        <v>2023</v>
      </c>
      <c r="E7397" s="18" t="s">
        <v>0</v>
      </c>
      <c r="F7397" s="6">
        <v>1</v>
      </c>
      <c r="G7397" s="40">
        <v>5</v>
      </c>
      <c r="H7397" s="40">
        <v>22.695</v>
      </c>
      <c r="I7397" s="212"/>
      <c r="J7397" s="212"/>
    </row>
    <row r="7398" spans="1:10" s="15" customFormat="1" ht="18" hidden="1" customHeight="1" outlineLevel="1" x14ac:dyDescent="0.25">
      <c r="A7398" s="18">
        <v>4897</v>
      </c>
      <c r="B7398" s="4" t="s">
        <v>43</v>
      </c>
      <c r="C7398" s="38" t="s">
        <v>9935</v>
      </c>
      <c r="D7398" s="23">
        <v>2023</v>
      </c>
      <c r="E7398" s="18" t="s">
        <v>0</v>
      </c>
      <c r="F7398" s="6">
        <v>1</v>
      </c>
      <c r="G7398" s="40">
        <v>7</v>
      </c>
      <c r="H7398" s="40">
        <v>27.166</v>
      </c>
      <c r="I7398" s="212"/>
      <c r="J7398" s="212"/>
    </row>
    <row r="7399" spans="1:10" s="15" customFormat="1" ht="18" hidden="1" customHeight="1" outlineLevel="1" x14ac:dyDescent="0.25">
      <c r="A7399" s="18">
        <v>4898</v>
      </c>
      <c r="B7399" s="4" t="s">
        <v>43</v>
      </c>
      <c r="C7399" s="38" t="s">
        <v>9936</v>
      </c>
      <c r="D7399" s="23">
        <v>2023</v>
      </c>
      <c r="E7399" s="18" t="s">
        <v>0</v>
      </c>
      <c r="F7399" s="6">
        <v>1</v>
      </c>
      <c r="G7399" s="40">
        <v>7</v>
      </c>
      <c r="H7399" s="40">
        <v>27.166</v>
      </c>
      <c r="I7399" s="212"/>
      <c r="J7399" s="212"/>
    </row>
    <row r="7400" spans="1:10" s="15" customFormat="1" ht="18" hidden="1" customHeight="1" outlineLevel="1" x14ac:dyDescent="0.25">
      <c r="A7400" s="18">
        <v>4899</v>
      </c>
      <c r="B7400" s="4" t="s">
        <v>43</v>
      </c>
      <c r="C7400" s="38" t="s">
        <v>9937</v>
      </c>
      <c r="D7400" s="23">
        <v>2023</v>
      </c>
      <c r="E7400" s="18" t="s">
        <v>0</v>
      </c>
      <c r="F7400" s="6">
        <v>1</v>
      </c>
      <c r="G7400" s="40">
        <v>7</v>
      </c>
      <c r="H7400" s="40">
        <v>26.748999999999999</v>
      </c>
      <c r="I7400" s="212"/>
      <c r="J7400" s="212"/>
    </row>
    <row r="7401" spans="1:10" s="15" customFormat="1" ht="18" hidden="1" customHeight="1" outlineLevel="1" x14ac:dyDescent="0.25">
      <c r="A7401" s="18">
        <v>2750</v>
      </c>
      <c r="B7401" s="4" t="s">
        <v>43</v>
      </c>
      <c r="C7401" s="38" t="s">
        <v>9938</v>
      </c>
      <c r="D7401" s="23">
        <v>2023</v>
      </c>
      <c r="E7401" s="18" t="s">
        <v>0</v>
      </c>
      <c r="F7401" s="6">
        <v>1</v>
      </c>
      <c r="G7401" s="40">
        <v>5</v>
      </c>
      <c r="H7401" s="40">
        <v>22.861999999999998</v>
      </c>
      <c r="I7401" s="212"/>
      <c r="J7401" s="212"/>
    </row>
    <row r="7402" spans="1:10" s="15" customFormat="1" ht="18" hidden="1" customHeight="1" outlineLevel="1" x14ac:dyDescent="0.25">
      <c r="A7402" s="18">
        <v>4900</v>
      </c>
      <c r="B7402" s="4" t="s">
        <v>43</v>
      </c>
      <c r="C7402" s="38" t="s">
        <v>9939</v>
      </c>
      <c r="D7402" s="23">
        <v>2023</v>
      </c>
      <c r="E7402" s="18" t="s">
        <v>0</v>
      </c>
      <c r="F7402" s="6">
        <v>1</v>
      </c>
      <c r="G7402" s="40">
        <v>7</v>
      </c>
      <c r="H7402" s="40">
        <v>21.242999999999999</v>
      </c>
      <c r="I7402" s="212"/>
      <c r="J7402" s="212"/>
    </row>
    <row r="7403" spans="1:10" s="15" customFormat="1" ht="18" hidden="1" customHeight="1" outlineLevel="1" x14ac:dyDescent="0.25">
      <c r="A7403" s="18">
        <v>4901</v>
      </c>
      <c r="B7403" s="4" t="s">
        <v>43</v>
      </c>
      <c r="C7403" s="38" t="s">
        <v>9940</v>
      </c>
      <c r="D7403" s="23">
        <v>2023</v>
      </c>
      <c r="E7403" s="18" t="s">
        <v>0</v>
      </c>
      <c r="F7403" s="6">
        <v>1</v>
      </c>
      <c r="G7403" s="40">
        <v>7</v>
      </c>
      <c r="H7403" s="40">
        <v>20.978000000000002</v>
      </c>
      <c r="I7403" s="212"/>
      <c r="J7403" s="212"/>
    </row>
    <row r="7404" spans="1:10" s="15" customFormat="1" ht="18" hidden="1" customHeight="1" outlineLevel="1" x14ac:dyDescent="0.25">
      <c r="A7404" s="18">
        <v>4903</v>
      </c>
      <c r="B7404" s="4" t="s">
        <v>43</v>
      </c>
      <c r="C7404" s="38" t="s">
        <v>9941</v>
      </c>
      <c r="D7404" s="23">
        <v>2023</v>
      </c>
      <c r="E7404" s="18" t="s">
        <v>0</v>
      </c>
      <c r="F7404" s="6">
        <v>1</v>
      </c>
      <c r="G7404" s="40">
        <v>5</v>
      </c>
      <c r="H7404" s="40">
        <v>20.727</v>
      </c>
      <c r="I7404" s="212"/>
      <c r="J7404" s="212"/>
    </row>
    <row r="7405" spans="1:10" s="15" customFormat="1" ht="18" hidden="1" customHeight="1" outlineLevel="1" x14ac:dyDescent="0.25">
      <c r="A7405" s="18">
        <v>2764</v>
      </c>
      <c r="B7405" s="4" t="s">
        <v>43</v>
      </c>
      <c r="C7405" s="38" t="s">
        <v>9942</v>
      </c>
      <c r="D7405" s="23">
        <v>2023</v>
      </c>
      <c r="E7405" s="18" t="s">
        <v>0</v>
      </c>
      <c r="F7405" s="6">
        <v>1</v>
      </c>
      <c r="G7405" s="40">
        <v>5</v>
      </c>
      <c r="H7405" s="40">
        <v>22.698</v>
      </c>
      <c r="I7405" s="212"/>
      <c r="J7405" s="212"/>
    </row>
    <row r="7406" spans="1:10" s="15" customFormat="1" ht="18" hidden="1" customHeight="1" outlineLevel="1" x14ac:dyDescent="0.25">
      <c r="A7406" s="18">
        <v>4905</v>
      </c>
      <c r="B7406" s="4" t="s">
        <v>43</v>
      </c>
      <c r="C7406" s="38" t="s">
        <v>9943</v>
      </c>
      <c r="D7406" s="23">
        <v>2023</v>
      </c>
      <c r="E7406" s="18" t="s">
        <v>0</v>
      </c>
      <c r="F7406" s="6">
        <v>1</v>
      </c>
      <c r="G7406" s="40">
        <v>15</v>
      </c>
      <c r="H7406" s="40">
        <v>23.344000000000001</v>
      </c>
      <c r="I7406" s="212"/>
      <c r="J7406" s="212"/>
    </row>
    <row r="7407" spans="1:10" s="15" customFormat="1" ht="18" hidden="1" customHeight="1" outlineLevel="1" x14ac:dyDescent="0.25">
      <c r="A7407" s="18">
        <v>4906</v>
      </c>
      <c r="B7407" s="4" t="s">
        <v>43</v>
      </c>
      <c r="C7407" s="38" t="s">
        <v>9944</v>
      </c>
      <c r="D7407" s="23">
        <v>2023</v>
      </c>
      <c r="E7407" s="18" t="s">
        <v>0</v>
      </c>
      <c r="F7407" s="6">
        <v>1</v>
      </c>
      <c r="G7407" s="40">
        <v>7</v>
      </c>
      <c r="H7407" s="40">
        <v>21.242999999999999</v>
      </c>
      <c r="I7407" s="212"/>
      <c r="J7407" s="212"/>
    </row>
    <row r="7408" spans="1:10" s="15" customFormat="1" ht="18" hidden="1" customHeight="1" outlineLevel="1" x14ac:dyDescent="0.25">
      <c r="A7408" s="18">
        <v>4907</v>
      </c>
      <c r="B7408" s="4" t="s">
        <v>43</v>
      </c>
      <c r="C7408" s="38" t="s">
        <v>9945</v>
      </c>
      <c r="D7408" s="23">
        <v>2023</v>
      </c>
      <c r="E7408" s="18" t="s">
        <v>0</v>
      </c>
      <c r="F7408" s="6">
        <v>1</v>
      </c>
      <c r="G7408" s="40">
        <v>7</v>
      </c>
      <c r="H7408" s="40">
        <v>20.978000000000002</v>
      </c>
      <c r="I7408" s="212"/>
      <c r="J7408" s="212"/>
    </row>
    <row r="7409" spans="1:10" s="15" customFormat="1" ht="18" hidden="1" customHeight="1" outlineLevel="1" x14ac:dyDescent="0.25">
      <c r="A7409" s="18">
        <v>4908</v>
      </c>
      <c r="B7409" s="4" t="s">
        <v>43</v>
      </c>
      <c r="C7409" s="38" t="s">
        <v>9946</v>
      </c>
      <c r="D7409" s="23">
        <v>2023</v>
      </c>
      <c r="E7409" s="18" t="s">
        <v>0</v>
      </c>
      <c r="F7409" s="6">
        <v>1</v>
      </c>
      <c r="G7409" s="40">
        <v>7</v>
      </c>
      <c r="H7409" s="40">
        <v>21.036999999999999</v>
      </c>
      <c r="I7409" s="212"/>
      <c r="J7409" s="212"/>
    </row>
    <row r="7410" spans="1:10" s="15" customFormat="1" ht="18" hidden="1" customHeight="1" outlineLevel="1" x14ac:dyDescent="0.25">
      <c r="A7410" s="18">
        <v>4911</v>
      </c>
      <c r="B7410" s="4" t="s">
        <v>43</v>
      </c>
      <c r="C7410" s="38" t="s">
        <v>9947</v>
      </c>
      <c r="D7410" s="23">
        <v>2023</v>
      </c>
      <c r="E7410" s="18" t="s">
        <v>0</v>
      </c>
      <c r="F7410" s="6">
        <v>1</v>
      </c>
      <c r="G7410" s="40">
        <v>4</v>
      </c>
      <c r="H7410" s="40">
        <v>22.314</v>
      </c>
      <c r="I7410" s="212"/>
      <c r="J7410" s="212"/>
    </row>
    <row r="7411" spans="1:10" s="15" customFormat="1" ht="18" hidden="1" customHeight="1" outlineLevel="1" x14ac:dyDescent="0.25">
      <c r="A7411" s="18">
        <v>4913</v>
      </c>
      <c r="B7411" s="4" t="s">
        <v>43</v>
      </c>
      <c r="C7411" s="38" t="s">
        <v>9948</v>
      </c>
      <c r="D7411" s="23">
        <v>2023</v>
      </c>
      <c r="E7411" s="18" t="s">
        <v>0</v>
      </c>
      <c r="F7411" s="6">
        <v>1</v>
      </c>
      <c r="G7411" s="40">
        <v>15</v>
      </c>
      <c r="H7411" s="40">
        <v>22.34</v>
      </c>
      <c r="I7411" s="212"/>
      <c r="J7411" s="212"/>
    </row>
    <row r="7412" spans="1:10" s="15" customFormat="1" ht="18" hidden="1" customHeight="1" outlineLevel="1" x14ac:dyDescent="0.25">
      <c r="A7412" s="18">
        <v>4920</v>
      </c>
      <c r="B7412" s="4" t="s">
        <v>43</v>
      </c>
      <c r="C7412" s="38" t="s">
        <v>9949</v>
      </c>
      <c r="D7412" s="23">
        <v>2023</v>
      </c>
      <c r="E7412" s="18" t="s">
        <v>0</v>
      </c>
      <c r="F7412" s="6">
        <v>1</v>
      </c>
      <c r="G7412" s="40">
        <v>2</v>
      </c>
      <c r="H7412" s="40">
        <v>24.224</v>
      </c>
      <c r="I7412" s="212"/>
      <c r="J7412" s="212"/>
    </row>
    <row r="7413" spans="1:10" s="15" customFormat="1" ht="18" hidden="1" customHeight="1" outlineLevel="1" x14ac:dyDescent="0.25">
      <c r="A7413" s="18">
        <v>4921</v>
      </c>
      <c r="B7413" s="4" t="s">
        <v>43</v>
      </c>
      <c r="C7413" s="38" t="s">
        <v>9950</v>
      </c>
      <c r="D7413" s="23">
        <v>2023</v>
      </c>
      <c r="E7413" s="18" t="s">
        <v>0</v>
      </c>
      <c r="F7413" s="6">
        <v>1</v>
      </c>
      <c r="G7413" s="40">
        <v>2</v>
      </c>
      <c r="H7413" s="40">
        <v>25.417999999999999</v>
      </c>
      <c r="I7413" s="212"/>
      <c r="J7413" s="212"/>
    </row>
    <row r="7414" spans="1:10" s="15" customFormat="1" ht="18" hidden="1" customHeight="1" outlineLevel="1" x14ac:dyDescent="0.25">
      <c r="A7414" s="18">
        <v>4285</v>
      </c>
      <c r="B7414" s="4" t="s">
        <v>43</v>
      </c>
      <c r="C7414" s="38" t="s">
        <v>9951</v>
      </c>
      <c r="D7414" s="23">
        <v>2023</v>
      </c>
      <c r="E7414" s="18" t="s">
        <v>0</v>
      </c>
      <c r="F7414" s="6">
        <v>1</v>
      </c>
      <c r="G7414" s="40">
        <v>6</v>
      </c>
      <c r="H7414" s="40">
        <v>9.9989600000000003</v>
      </c>
      <c r="I7414" s="212"/>
      <c r="J7414" s="212"/>
    </row>
    <row r="7415" spans="1:10" s="15" customFormat="1" ht="18" hidden="1" customHeight="1" outlineLevel="1" x14ac:dyDescent="0.25">
      <c r="A7415" s="18">
        <v>4275</v>
      </c>
      <c r="B7415" s="4" t="s">
        <v>43</v>
      </c>
      <c r="C7415" s="38" t="s">
        <v>9952</v>
      </c>
      <c r="D7415" s="23">
        <v>2023</v>
      </c>
      <c r="E7415" s="18" t="s">
        <v>0</v>
      </c>
      <c r="F7415" s="6">
        <v>1</v>
      </c>
      <c r="G7415" s="40">
        <v>0.5</v>
      </c>
      <c r="H7415" s="40">
        <v>24.899919999999998</v>
      </c>
      <c r="I7415" s="212"/>
      <c r="J7415" s="212"/>
    </row>
    <row r="7416" spans="1:10" s="15" customFormat="1" ht="18" hidden="1" customHeight="1" outlineLevel="1" x14ac:dyDescent="0.25">
      <c r="A7416" s="18">
        <v>4280</v>
      </c>
      <c r="B7416" s="4" t="s">
        <v>43</v>
      </c>
      <c r="C7416" s="38" t="s">
        <v>9953</v>
      </c>
      <c r="D7416" s="23">
        <v>2023</v>
      </c>
      <c r="E7416" s="18" t="s">
        <v>0</v>
      </c>
      <c r="F7416" s="6">
        <v>1</v>
      </c>
      <c r="G7416" s="40">
        <v>10</v>
      </c>
      <c r="H7416" s="40">
        <v>24.899930000000001</v>
      </c>
      <c r="I7416" s="212"/>
      <c r="J7416" s="212"/>
    </row>
    <row r="7417" spans="1:10" s="15" customFormat="1" ht="18" hidden="1" customHeight="1" outlineLevel="1" x14ac:dyDescent="0.25">
      <c r="A7417" s="18">
        <v>964</v>
      </c>
      <c r="B7417" s="4" t="s">
        <v>43</v>
      </c>
      <c r="C7417" s="38" t="s">
        <v>9954</v>
      </c>
      <c r="D7417" s="23">
        <v>2023</v>
      </c>
      <c r="E7417" s="18" t="s">
        <v>0</v>
      </c>
      <c r="F7417" s="6">
        <v>1</v>
      </c>
      <c r="G7417" s="40">
        <v>10</v>
      </c>
      <c r="H7417" s="40">
        <v>25.450839999999999</v>
      </c>
      <c r="I7417" s="212"/>
      <c r="J7417" s="212"/>
    </row>
    <row r="7418" spans="1:10" s="15" customFormat="1" ht="18" hidden="1" customHeight="1" outlineLevel="1" x14ac:dyDescent="0.25">
      <c r="A7418" s="18">
        <v>4283</v>
      </c>
      <c r="B7418" s="4" t="s">
        <v>43</v>
      </c>
      <c r="C7418" s="38" t="s">
        <v>9955</v>
      </c>
      <c r="D7418" s="23">
        <v>2023</v>
      </c>
      <c r="E7418" s="18" t="s">
        <v>0</v>
      </c>
      <c r="F7418" s="6">
        <v>1</v>
      </c>
      <c r="G7418" s="40">
        <v>10</v>
      </c>
      <c r="H7418" s="40">
        <v>24.901960000000003</v>
      </c>
      <c r="I7418" s="212"/>
      <c r="J7418" s="212"/>
    </row>
    <row r="7419" spans="1:10" s="15" customFormat="1" ht="18" hidden="1" customHeight="1" outlineLevel="1" x14ac:dyDescent="0.25">
      <c r="A7419" s="18">
        <v>408</v>
      </c>
      <c r="B7419" s="4" t="s">
        <v>43</v>
      </c>
      <c r="C7419" s="38" t="s">
        <v>8412</v>
      </c>
      <c r="D7419" s="23">
        <v>2023</v>
      </c>
      <c r="E7419" s="18" t="s">
        <v>0</v>
      </c>
      <c r="F7419" s="6">
        <v>1</v>
      </c>
      <c r="G7419" s="40">
        <v>10</v>
      </c>
      <c r="H7419" s="40">
        <v>41.571450000000006</v>
      </c>
      <c r="I7419" s="212"/>
      <c r="J7419" s="212"/>
    </row>
    <row r="7420" spans="1:10" s="15" customFormat="1" ht="18" hidden="1" customHeight="1" outlineLevel="1" x14ac:dyDescent="0.25">
      <c r="A7420" s="18">
        <v>1115</v>
      </c>
      <c r="B7420" s="4" t="s">
        <v>43</v>
      </c>
      <c r="C7420" s="38" t="s">
        <v>9956</v>
      </c>
      <c r="D7420" s="23">
        <v>2023</v>
      </c>
      <c r="E7420" s="18" t="s">
        <v>0</v>
      </c>
      <c r="F7420" s="6">
        <v>1</v>
      </c>
      <c r="G7420" s="40">
        <v>10</v>
      </c>
      <c r="H7420" s="40">
        <v>26.008610000000001</v>
      </c>
      <c r="I7420" s="212"/>
      <c r="J7420" s="212"/>
    </row>
    <row r="7421" spans="1:10" s="15" customFormat="1" ht="18" hidden="1" customHeight="1" outlineLevel="1" x14ac:dyDescent="0.25">
      <c r="A7421" s="18">
        <v>1160</v>
      </c>
      <c r="B7421" s="4" t="s">
        <v>43</v>
      </c>
      <c r="C7421" s="38" t="s">
        <v>9957</v>
      </c>
      <c r="D7421" s="23">
        <v>2023</v>
      </c>
      <c r="E7421" s="18" t="s">
        <v>0</v>
      </c>
      <c r="F7421" s="6">
        <v>1</v>
      </c>
      <c r="G7421" s="40">
        <v>10</v>
      </c>
      <c r="H7421" s="40">
        <v>26.287499999999998</v>
      </c>
      <c r="I7421" s="212"/>
      <c r="J7421" s="212"/>
    </row>
    <row r="7422" spans="1:10" s="15" customFormat="1" ht="18" hidden="1" customHeight="1" outlineLevel="1" x14ac:dyDescent="0.25">
      <c r="A7422" s="18">
        <v>4278</v>
      </c>
      <c r="B7422" s="4" t="s">
        <v>43</v>
      </c>
      <c r="C7422" s="38" t="s">
        <v>9958</v>
      </c>
      <c r="D7422" s="23">
        <v>2023</v>
      </c>
      <c r="E7422" s="18" t="s">
        <v>0</v>
      </c>
      <c r="F7422" s="6">
        <v>1</v>
      </c>
      <c r="G7422" s="40">
        <v>10</v>
      </c>
      <c r="H7422" s="40">
        <v>25.729469999999999</v>
      </c>
      <c r="I7422" s="212"/>
      <c r="J7422" s="212"/>
    </row>
    <row r="7423" spans="1:10" s="15" customFormat="1" ht="18" hidden="1" customHeight="1" outlineLevel="1" x14ac:dyDescent="0.25">
      <c r="A7423" s="18">
        <v>4286</v>
      </c>
      <c r="B7423" s="4" t="s">
        <v>43</v>
      </c>
      <c r="C7423" s="38" t="s">
        <v>9959</v>
      </c>
      <c r="D7423" s="23">
        <v>2023</v>
      </c>
      <c r="E7423" s="18" t="s">
        <v>0</v>
      </c>
      <c r="F7423" s="6">
        <v>1</v>
      </c>
      <c r="G7423" s="40">
        <v>6</v>
      </c>
      <c r="H7423" s="40">
        <v>13.04814</v>
      </c>
      <c r="I7423" s="212"/>
      <c r="J7423" s="212"/>
    </row>
    <row r="7424" spans="1:10" s="15" customFormat="1" ht="18" hidden="1" customHeight="1" outlineLevel="1" x14ac:dyDescent="0.25">
      <c r="A7424" s="18">
        <v>1411</v>
      </c>
      <c r="B7424" s="4" t="s">
        <v>43</v>
      </c>
      <c r="C7424" s="38" t="s">
        <v>9960</v>
      </c>
      <c r="D7424" s="23">
        <v>2023</v>
      </c>
      <c r="E7424" s="18" t="s">
        <v>0</v>
      </c>
      <c r="F7424" s="6">
        <v>1</v>
      </c>
      <c r="G7424" s="40">
        <v>3</v>
      </c>
      <c r="H7424" s="40">
        <v>13.047549999999999</v>
      </c>
      <c r="I7424" s="212"/>
      <c r="J7424" s="212"/>
    </row>
    <row r="7425" spans="1:10" s="15" customFormat="1" ht="18" hidden="1" customHeight="1" outlineLevel="1" x14ac:dyDescent="0.25">
      <c r="A7425" s="18">
        <v>1574</v>
      </c>
      <c r="B7425" s="4" t="s">
        <v>43</v>
      </c>
      <c r="C7425" s="38" t="s">
        <v>9961</v>
      </c>
      <c r="D7425" s="23">
        <v>2023</v>
      </c>
      <c r="E7425" s="18" t="s">
        <v>0</v>
      </c>
      <c r="F7425" s="6">
        <v>1</v>
      </c>
      <c r="G7425" s="40">
        <v>6</v>
      </c>
      <c r="H7425" s="40">
        <v>9.789200000000001</v>
      </c>
      <c r="I7425" s="212"/>
      <c r="J7425" s="212"/>
    </row>
    <row r="7426" spans="1:10" s="15" customFormat="1" ht="18" hidden="1" customHeight="1" outlineLevel="1" x14ac:dyDescent="0.25">
      <c r="A7426" s="18">
        <v>1221</v>
      </c>
      <c r="B7426" s="4" t="s">
        <v>43</v>
      </c>
      <c r="C7426" s="38" t="s">
        <v>8420</v>
      </c>
      <c r="D7426" s="23">
        <v>2023</v>
      </c>
      <c r="E7426" s="18" t="s">
        <v>0</v>
      </c>
      <c r="F7426" s="6">
        <v>1</v>
      </c>
      <c r="G7426" s="40">
        <v>6</v>
      </c>
      <c r="H7426" s="40">
        <v>51.04278</v>
      </c>
      <c r="I7426" s="212"/>
      <c r="J7426" s="212"/>
    </row>
    <row r="7427" spans="1:10" s="15" customFormat="1" ht="18" hidden="1" customHeight="1" outlineLevel="1" x14ac:dyDescent="0.25">
      <c r="A7427" s="18">
        <v>4288</v>
      </c>
      <c r="B7427" s="4" t="s">
        <v>43</v>
      </c>
      <c r="C7427" s="38" t="s">
        <v>9962</v>
      </c>
      <c r="D7427" s="23">
        <v>2023</v>
      </c>
      <c r="E7427" s="18" t="s">
        <v>0</v>
      </c>
      <c r="F7427" s="6">
        <v>1</v>
      </c>
      <c r="G7427" s="40">
        <v>6</v>
      </c>
      <c r="H7427" s="40">
        <v>12.508100000000001</v>
      </c>
      <c r="I7427" s="212"/>
      <c r="J7427" s="212"/>
    </row>
    <row r="7428" spans="1:10" s="15" customFormat="1" ht="18" hidden="1" customHeight="1" outlineLevel="1" x14ac:dyDescent="0.25">
      <c r="A7428" s="18">
        <v>4289</v>
      </c>
      <c r="B7428" s="4" t="s">
        <v>43</v>
      </c>
      <c r="C7428" s="38" t="s">
        <v>9963</v>
      </c>
      <c r="D7428" s="23">
        <v>2023</v>
      </c>
      <c r="E7428" s="18" t="s">
        <v>0</v>
      </c>
      <c r="F7428" s="6">
        <v>1</v>
      </c>
      <c r="G7428" s="40">
        <v>15</v>
      </c>
      <c r="H7428" s="40">
        <v>12.522040000000002</v>
      </c>
      <c r="I7428" s="212"/>
      <c r="J7428" s="212"/>
    </row>
    <row r="7429" spans="1:10" s="15" customFormat="1" ht="18" hidden="1" customHeight="1" outlineLevel="1" x14ac:dyDescent="0.25">
      <c r="A7429" s="18">
        <v>1250</v>
      </c>
      <c r="B7429" s="4" t="s">
        <v>43</v>
      </c>
      <c r="C7429" s="38" t="s">
        <v>9964</v>
      </c>
      <c r="D7429" s="23">
        <v>2023</v>
      </c>
      <c r="E7429" s="18" t="s">
        <v>0</v>
      </c>
      <c r="F7429" s="6">
        <v>1</v>
      </c>
      <c r="G7429" s="40">
        <v>3</v>
      </c>
      <c r="H7429" s="40">
        <v>9.4508200000000002</v>
      </c>
      <c r="I7429" s="212"/>
      <c r="J7429" s="212"/>
    </row>
    <row r="7430" spans="1:10" s="15" customFormat="1" ht="18" hidden="1" customHeight="1" outlineLevel="1" x14ac:dyDescent="0.25">
      <c r="A7430" s="18">
        <v>4291</v>
      </c>
      <c r="B7430" s="4" t="s">
        <v>43</v>
      </c>
      <c r="C7430" s="38" t="s">
        <v>9965</v>
      </c>
      <c r="D7430" s="23">
        <v>2023</v>
      </c>
      <c r="E7430" s="18" t="s">
        <v>0</v>
      </c>
      <c r="F7430" s="6">
        <v>1</v>
      </c>
      <c r="G7430" s="40">
        <v>10</v>
      </c>
      <c r="H7430" s="40">
        <v>23.960190000000001</v>
      </c>
      <c r="I7430" s="212"/>
      <c r="J7430" s="212"/>
    </row>
    <row r="7431" spans="1:10" s="15" customFormat="1" ht="18" hidden="1" customHeight="1" outlineLevel="1" x14ac:dyDescent="0.25">
      <c r="A7431" s="18">
        <v>4291</v>
      </c>
      <c r="B7431" s="4" t="s">
        <v>43</v>
      </c>
      <c r="C7431" s="38" t="s">
        <v>9966</v>
      </c>
      <c r="D7431" s="23">
        <v>2023</v>
      </c>
      <c r="E7431" s="18" t="s">
        <v>0</v>
      </c>
      <c r="F7431" s="6">
        <v>1</v>
      </c>
      <c r="G7431" s="40">
        <v>10</v>
      </c>
      <c r="H7431" s="40">
        <v>23.960190000000001</v>
      </c>
      <c r="I7431" s="212"/>
      <c r="J7431" s="212"/>
    </row>
    <row r="7432" spans="1:10" s="15" customFormat="1" ht="18" hidden="1" customHeight="1" outlineLevel="1" x14ac:dyDescent="0.25">
      <c r="A7432" s="18">
        <v>1237</v>
      </c>
      <c r="B7432" s="4" t="s">
        <v>43</v>
      </c>
      <c r="C7432" s="38" t="s">
        <v>9967</v>
      </c>
      <c r="D7432" s="23">
        <v>2023</v>
      </c>
      <c r="E7432" s="18" t="s">
        <v>0</v>
      </c>
      <c r="F7432" s="6">
        <v>1</v>
      </c>
      <c r="G7432" s="40">
        <v>5</v>
      </c>
      <c r="H7432" s="40">
        <v>23.960169999999998</v>
      </c>
      <c r="I7432" s="212"/>
      <c r="J7432" s="212"/>
    </row>
    <row r="7433" spans="1:10" s="15" customFormat="1" ht="18" hidden="1" customHeight="1" outlineLevel="1" x14ac:dyDescent="0.25">
      <c r="A7433" s="18">
        <v>4291</v>
      </c>
      <c r="B7433" s="4" t="s">
        <v>43</v>
      </c>
      <c r="C7433" s="38" t="s">
        <v>9968</v>
      </c>
      <c r="D7433" s="23">
        <v>2023</v>
      </c>
      <c r="E7433" s="18" t="s">
        <v>0</v>
      </c>
      <c r="F7433" s="6">
        <v>1</v>
      </c>
      <c r="G7433" s="40">
        <v>10</v>
      </c>
      <c r="H7433" s="40">
        <v>23.960190000000001</v>
      </c>
      <c r="I7433" s="212"/>
      <c r="J7433" s="212"/>
    </row>
    <row r="7434" spans="1:10" s="15" customFormat="1" ht="18" hidden="1" customHeight="1" outlineLevel="1" x14ac:dyDescent="0.25">
      <c r="A7434" s="18">
        <v>4294</v>
      </c>
      <c r="B7434" s="4" t="s">
        <v>43</v>
      </c>
      <c r="C7434" s="38" t="s">
        <v>9969</v>
      </c>
      <c r="D7434" s="23">
        <v>2023</v>
      </c>
      <c r="E7434" s="18" t="s">
        <v>0</v>
      </c>
      <c r="F7434" s="6">
        <v>1</v>
      </c>
      <c r="G7434" s="40">
        <v>10</v>
      </c>
      <c r="H7434" s="40">
        <v>9.4507900000000014</v>
      </c>
      <c r="I7434" s="212"/>
      <c r="J7434" s="212"/>
    </row>
    <row r="7435" spans="1:10" s="15" customFormat="1" ht="18" hidden="1" customHeight="1" outlineLevel="1" x14ac:dyDescent="0.25">
      <c r="A7435" s="18">
        <v>4291</v>
      </c>
      <c r="B7435" s="4" t="s">
        <v>43</v>
      </c>
      <c r="C7435" s="38" t="s">
        <v>9970</v>
      </c>
      <c r="D7435" s="23">
        <v>2023</v>
      </c>
      <c r="E7435" s="18" t="s">
        <v>0</v>
      </c>
      <c r="F7435" s="6">
        <v>1</v>
      </c>
      <c r="G7435" s="40">
        <v>10</v>
      </c>
      <c r="H7435" s="40">
        <v>23.960190000000001</v>
      </c>
      <c r="I7435" s="212"/>
      <c r="J7435" s="212"/>
    </row>
    <row r="7436" spans="1:10" s="15" customFormat="1" ht="18" hidden="1" customHeight="1" outlineLevel="1" x14ac:dyDescent="0.25">
      <c r="A7436" s="18">
        <v>4296</v>
      </c>
      <c r="B7436" s="4" t="s">
        <v>43</v>
      </c>
      <c r="C7436" s="38" t="s">
        <v>9971</v>
      </c>
      <c r="D7436" s="23">
        <v>2023</v>
      </c>
      <c r="E7436" s="18" t="s">
        <v>0</v>
      </c>
      <c r="F7436" s="6">
        <v>1</v>
      </c>
      <c r="G7436" s="40">
        <v>10</v>
      </c>
      <c r="H7436" s="40">
        <v>23.960160000000002</v>
      </c>
      <c r="I7436" s="212"/>
      <c r="J7436" s="212"/>
    </row>
    <row r="7437" spans="1:10" s="15" customFormat="1" ht="18" hidden="1" customHeight="1" outlineLevel="1" x14ac:dyDescent="0.25">
      <c r="A7437" s="18">
        <v>4297</v>
      </c>
      <c r="B7437" s="4" t="s">
        <v>43</v>
      </c>
      <c r="C7437" s="38" t="s">
        <v>9972</v>
      </c>
      <c r="D7437" s="23">
        <v>2023</v>
      </c>
      <c r="E7437" s="18" t="s">
        <v>0</v>
      </c>
      <c r="F7437" s="6">
        <v>1</v>
      </c>
      <c r="G7437" s="40">
        <v>10</v>
      </c>
      <c r="H7437" s="40">
        <v>24.474150000000002</v>
      </c>
      <c r="I7437" s="212"/>
      <c r="J7437" s="212"/>
    </row>
    <row r="7438" spans="1:10" s="15" customFormat="1" ht="18" hidden="1" customHeight="1" outlineLevel="1" x14ac:dyDescent="0.25">
      <c r="A7438" s="18">
        <v>4298</v>
      </c>
      <c r="B7438" s="4" t="s">
        <v>43</v>
      </c>
      <c r="C7438" s="38" t="s">
        <v>9973</v>
      </c>
      <c r="D7438" s="23">
        <v>2023</v>
      </c>
      <c r="E7438" s="18" t="s">
        <v>0</v>
      </c>
      <c r="F7438" s="6">
        <v>1</v>
      </c>
      <c r="G7438" s="40">
        <v>15</v>
      </c>
      <c r="H7438" s="40">
        <v>34.61909</v>
      </c>
      <c r="I7438" s="212"/>
      <c r="J7438" s="212"/>
    </row>
    <row r="7439" spans="1:10" s="15" customFormat="1" ht="18" hidden="1" customHeight="1" outlineLevel="1" x14ac:dyDescent="0.25">
      <c r="A7439" s="18">
        <v>4300</v>
      </c>
      <c r="B7439" s="4" t="s">
        <v>43</v>
      </c>
      <c r="C7439" s="38" t="s">
        <v>9974</v>
      </c>
      <c r="D7439" s="23">
        <v>2023</v>
      </c>
      <c r="E7439" s="18" t="s">
        <v>0</v>
      </c>
      <c r="F7439" s="6">
        <v>1</v>
      </c>
      <c r="G7439" s="40">
        <v>8</v>
      </c>
      <c r="H7439" s="40">
        <v>13.809950000000001</v>
      </c>
      <c r="I7439" s="212"/>
      <c r="J7439" s="212"/>
    </row>
    <row r="7440" spans="1:10" s="15" customFormat="1" ht="18" hidden="1" customHeight="1" outlineLevel="1" x14ac:dyDescent="0.25">
      <c r="A7440" s="18">
        <v>4302</v>
      </c>
      <c r="B7440" s="4" t="s">
        <v>43</v>
      </c>
      <c r="C7440" s="38" t="s">
        <v>9975</v>
      </c>
      <c r="D7440" s="23">
        <v>2023</v>
      </c>
      <c r="E7440" s="18" t="s">
        <v>0</v>
      </c>
      <c r="F7440" s="6">
        <v>1</v>
      </c>
      <c r="G7440" s="40">
        <v>10</v>
      </c>
      <c r="H7440" s="40">
        <v>24.457830000000005</v>
      </c>
      <c r="I7440" s="212"/>
      <c r="J7440" s="212"/>
    </row>
    <row r="7441" spans="1:10" s="15" customFormat="1" ht="18" hidden="1" customHeight="1" outlineLevel="1" x14ac:dyDescent="0.25">
      <c r="A7441" s="18">
        <v>1446</v>
      </c>
      <c r="B7441" s="4" t="s">
        <v>43</v>
      </c>
      <c r="C7441" s="38" t="s">
        <v>9976</v>
      </c>
      <c r="D7441" s="23">
        <v>2023</v>
      </c>
      <c r="E7441" s="18" t="s">
        <v>0</v>
      </c>
      <c r="F7441" s="6">
        <v>1</v>
      </c>
      <c r="G7441" s="40">
        <v>5</v>
      </c>
      <c r="H7441" s="40">
        <v>24.451830000000001</v>
      </c>
      <c r="I7441" s="212"/>
      <c r="J7441" s="212"/>
    </row>
    <row r="7442" spans="1:10" s="15" customFormat="1" ht="18" hidden="1" customHeight="1" outlineLevel="1" x14ac:dyDescent="0.25">
      <c r="A7442" s="18">
        <v>4303</v>
      </c>
      <c r="B7442" s="4" t="s">
        <v>43</v>
      </c>
      <c r="C7442" s="38" t="s">
        <v>9977</v>
      </c>
      <c r="D7442" s="23">
        <v>2023</v>
      </c>
      <c r="E7442" s="18" t="s">
        <v>0</v>
      </c>
      <c r="F7442" s="6">
        <v>1</v>
      </c>
      <c r="G7442" s="40">
        <v>9</v>
      </c>
      <c r="H7442" s="40">
        <v>24.456939999999999</v>
      </c>
      <c r="I7442" s="212"/>
      <c r="J7442" s="212"/>
    </row>
    <row r="7443" spans="1:10" s="15" customFormat="1" ht="18" hidden="1" customHeight="1" outlineLevel="1" x14ac:dyDescent="0.25">
      <c r="A7443" s="18">
        <v>4304</v>
      </c>
      <c r="B7443" s="4" t="s">
        <v>43</v>
      </c>
      <c r="C7443" s="38" t="s">
        <v>9978</v>
      </c>
      <c r="D7443" s="23">
        <v>2023</v>
      </c>
      <c r="E7443" s="18" t="s">
        <v>0</v>
      </c>
      <c r="F7443" s="6">
        <v>1</v>
      </c>
      <c r="G7443" s="40">
        <v>10</v>
      </c>
      <c r="H7443" s="40">
        <v>24.456259999999997</v>
      </c>
      <c r="I7443" s="212"/>
      <c r="J7443" s="212"/>
    </row>
    <row r="7444" spans="1:10" s="15" customFormat="1" ht="18" hidden="1" customHeight="1" outlineLevel="1" x14ac:dyDescent="0.25">
      <c r="A7444" s="18">
        <v>4305</v>
      </c>
      <c r="B7444" s="4" t="s">
        <v>43</v>
      </c>
      <c r="C7444" s="38" t="s">
        <v>9979</v>
      </c>
      <c r="D7444" s="23">
        <v>2023</v>
      </c>
      <c r="E7444" s="18" t="s">
        <v>0</v>
      </c>
      <c r="F7444" s="6">
        <v>1</v>
      </c>
      <c r="G7444" s="40">
        <v>10</v>
      </c>
      <c r="H7444" s="40">
        <v>24.456930000000003</v>
      </c>
      <c r="I7444" s="212"/>
      <c r="J7444" s="212"/>
    </row>
    <row r="7445" spans="1:10" s="15" customFormat="1" ht="18" hidden="1" customHeight="1" outlineLevel="1" x14ac:dyDescent="0.25">
      <c r="A7445" s="18">
        <v>4306</v>
      </c>
      <c r="B7445" s="4" t="s">
        <v>43</v>
      </c>
      <c r="C7445" s="38" t="s">
        <v>9980</v>
      </c>
      <c r="D7445" s="23">
        <v>2023</v>
      </c>
      <c r="E7445" s="18" t="s">
        <v>0</v>
      </c>
      <c r="F7445" s="6">
        <v>1</v>
      </c>
      <c r="G7445" s="40">
        <v>10</v>
      </c>
      <c r="H7445" s="40">
        <v>24.456880000000002</v>
      </c>
      <c r="I7445" s="212"/>
      <c r="J7445" s="212"/>
    </row>
    <row r="7446" spans="1:10" s="15" customFormat="1" ht="18" hidden="1" customHeight="1" outlineLevel="1" x14ac:dyDescent="0.25">
      <c r="A7446" s="18">
        <v>4307</v>
      </c>
      <c r="B7446" s="4" t="s">
        <v>43</v>
      </c>
      <c r="C7446" s="38" t="s">
        <v>9981</v>
      </c>
      <c r="D7446" s="23">
        <v>2023</v>
      </c>
      <c r="E7446" s="18" t="s">
        <v>0</v>
      </c>
      <c r="F7446" s="6">
        <v>1</v>
      </c>
      <c r="G7446" s="40">
        <v>10</v>
      </c>
      <c r="H7446" s="40">
        <v>9.5907</v>
      </c>
      <c r="I7446" s="212"/>
      <c r="J7446" s="212"/>
    </row>
    <row r="7447" spans="1:10" s="15" customFormat="1" ht="18" hidden="1" customHeight="1" outlineLevel="1" x14ac:dyDescent="0.25">
      <c r="A7447" s="18">
        <v>4307</v>
      </c>
      <c r="B7447" s="4" t="s">
        <v>43</v>
      </c>
      <c r="C7447" s="38" t="s">
        <v>9982</v>
      </c>
      <c r="D7447" s="23">
        <v>2023</v>
      </c>
      <c r="E7447" s="18" t="s">
        <v>0</v>
      </c>
      <c r="F7447" s="6">
        <v>1</v>
      </c>
      <c r="G7447" s="40">
        <v>8</v>
      </c>
      <c r="H7447" s="40">
        <v>9.5907</v>
      </c>
      <c r="I7447" s="212"/>
      <c r="J7447" s="212"/>
    </row>
    <row r="7448" spans="1:10" s="15" customFormat="1" ht="18" hidden="1" customHeight="1" outlineLevel="1" x14ac:dyDescent="0.25">
      <c r="A7448" s="18">
        <v>4308</v>
      </c>
      <c r="B7448" s="4" t="s">
        <v>43</v>
      </c>
      <c r="C7448" s="38" t="s">
        <v>9983</v>
      </c>
      <c r="D7448" s="23">
        <v>2023</v>
      </c>
      <c r="E7448" s="18" t="s">
        <v>0</v>
      </c>
      <c r="F7448" s="6">
        <v>1</v>
      </c>
      <c r="G7448" s="40">
        <v>10</v>
      </c>
      <c r="H7448" s="40">
        <v>24.312669999999997</v>
      </c>
      <c r="I7448" s="212"/>
      <c r="J7448" s="212"/>
    </row>
    <row r="7449" spans="1:10" s="15" customFormat="1" ht="18" hidden="1" customHeight="1" outlineLevel="1" x14ac:dyDescent="0.25">
      <c r="A7449" s="18">
        <v>4309</v>
      </c>
      <c r="B7449" s="4" t="s">
        <v>43</v>
      </c>
      <c r="C7449" s="38" t="s">
        <v>9984</v>
      </c>
      <c r="D7449" s="23">
        <v>2023</v>
      </c>
      <c r="E7449" s="18" t="s">
        <v>0</v>
      </c>
      <c r="F7449" s="6">
        <v>1</v>
      </c>
      <c r="G7449" s="40">
        <v>10</v>
      </c>
      <c r="H7449" s="40">
        <v>9.7649600000000003</v>
      </c>
      <c r="I7449" s="212"/>
      <c r="J7449" s="212"/>
    </row>
    <row r="7450" spans="1:10" s="15" customFormat="1" ht="18" hidden="1" customHeight="1" outlineLevel="1" x14ac:dyDescent="0.25">
      <c r="A7450" s="18">
        <v>4267</v>
      </c>
      <c r="B7450" s="4" t="s">
        <v>43</v>
      </c>
      <c r="C7450" s="38" t="s">
        <v>9985</v>
      </c>
      <c r="D7450" s="23">
        <v>2023</v>
      </c>
      <c r="E7450" s="18" t="s">
        <v>0</v>
      </c>
      <c r="F7450" s="6">
        <v>1</v>
      </c>
      <c r="G7450" s="40">
        <v>15</v>
      </c>
      <c r="H7450" s="40">
        <v>17.89179</v>
      </c>
      <c r="I7450" s="212"/>
      <c r="J7450" s="212"/>
    </row>
    <row r="7451" spans="1:10" s="15" customFormat="1" ht="18" hidden="1" customHeight="1" outlineLevel="1" x14ac:dyDescent="0.25">
      <c r="A7451" s="18">
        <v>1572</v>
      </c>
      <c r="B7451" s="4" t="s">
        <v>43</v>
      </c>
      <c r="C7451" s="38" t="s">
        <v>9986</v>
      </c>
      <c r="D7451" s="23">
        <v>2023</v>
      </c>
      <c r="E7451" s="18" t="s">
        <v>0</v>
      </c>
      <c r="F7451" s="6">
        <v>1</v>
      </c>
      <c r="G7451" s="40">
        <v>6</v>
      </c>
      <c r="H7451" s="40">
        <v>24.0549</v>
      </c>
      <c r="I7451" s="212"/>
      <c r="J7451" s="212"/>
    </row>
    <row r="7452" spans="1:10" s="15" customFormat="1" ht="18" hidden="1" customHeight="1" outlineLevel="1" x14ac:dyDescent="0.25">
      <c r="A7452" s="18">
        <v>330</v>
      </c>
      <c r="B7452" s="4" t="s">
        <v>43</v>
      </c>
      <c r="C7452" s="38" t="s">
        <v>8431</v>
      </c>
      <c r="D7452" s="23">
        <v>2023</v>
      </c>
      <c r="E7452" s="18" t="s">
        <v>0</v>
      </c>
      <c r="F7452" s="6">
        <v>1</v>
      </c>
      <c r="G7452" s="40">
        <v>10</v>
      </c>
      <c r="H7452" s="40">
        <v>39.665569999999995</v>
      </c>
      <c r="I7452" s="212"/>
      <c r="J7452" s="212"/>
    </row>
    <row r="7453" spans="1:10" s="15" customFormat="1" ht="18" hidden="1" customHeight="1" outlineLevel="1" x14ac:dyDescent="0.25">
      <c r="A7453" s="18">
        <v>341</v>
      </c>
      <c r="B7453" s="4" t="s">
        <v>43</v>
      </c>
      <c r="C7453" s="38" t="s">
        <v>8433</v>
      </c>
      <c r="D7453" s="23">
        <v>2023</v>
      </c>
      <c r="E7453" s="18" t="s">
        <v>0</v>
      </c>
      <c r="F7453" s="6">
        <v>1</v>
      </c>
      <c r="G7453" s="40">
        <v>10</v>
      </c>
      <c r="H7453" s="40">
        <v>40.369309999999999</v>
      </c>
      <c r="I7453" s="212"/>
      <c r="J7453" s="212"/>
    </row>
    <row r="7454" spans="1:10" s="15" customFormat="1" ht="18" hidden="1" customHeight="1" outlineLevel="1" x14ac:dyDescent="0.25">
      <c r="A7454" s="18">
        <v>4311</v>
      </c>
      <c r="B7454" s="4" t="s">
        <v>43</v>
      </c>
      <c r="C7454" s="38" t="s">
        <v>9987</v>
      </c>
      <c r="D7454" s="23">
        <v>2023</v>
      </c>
      <c r="E7454" s="18" t="s">
        <v>0</v>
      </c>
      <c r="F7454" s="6">
        <v>1</v>
      </c>
      <c r="G7454" s="40">
        <v>10</v>
      </c>
      <c r="H7454" s="40">
        <v>24.054940000000002</v>
      </c>
      <c r="I7454" s="212"/>
      <c r="J7454" s="212"/>
    </row>
    <row r="7455" spans="1:10" s="15" customFormat="1" ht="18" hidden="1" customHeight="1" outlineLevel="1" x14ac:dyDescent="0.25">
      <c r="A7455" s="18">
        <v>4312</v>
      </c>
      <c r="B7455" s="4" t="s">
        <v>43</v>
      </c>
      <c r="C7455" s="38" t="s">
        <v>9988</v>
      </c>
      <c r="D7455" s="23">
        <v>2023</v>
      </c>
      <c r="E7455" s="18" t="s">
        <v>0</v>
      </c>
      <c r="F7455" s="6">
        <v>1</v>
      </c>
      <c r="G7455" s="40">
        <v>10</v>
      </c>
      <c r="H7455" s="40">
        <v>9.3353400000000004</v>
      </c>
      <c r="I7455" s="212"/>
      <c r="J7455" s="212"/>
    </row>
    <row r="7456" spans="1:10" s="15" customFormat="1" ht="18" hidden="1" customHeight="1" outlineLevel="1" x14ac:dyDescent="0.25">
      <c r="A7456" s="18">
        <v>1572</v>
      </c>
      <c r="B7456" s="4" t="s">
        <v>43</v>
      </c>
      <c r="C7456" s="38" t="s">
        <v>9989</v>
      </c>
      <c r="D7456" s="23">
        <v>2023</v>
      </c>
      <c r="E7456" s="18" t="s">
        <v>0</v>
      </c>
      <c r="F7456" s="6">
        <v>1</v>
      </c>
      <c r="G7456" s="40">
        <v>10</v>
      </c>
      <c r="H7456" s="40">
        <v>24.0549</v>
      </c>
      <c r="I7456" s="212"/>
      <c r="J7456" s="212"/>
    </row>
    <row r="7457" spans="1:10" s="15" customFormat="1" ht="18" hidden="1" customHeight="1" outlineLevel="1" x14ac:dyDescent="0.25">
      <c r="A7457" s="18">
        <v>1424</v>
      </c>
      <c r="B7457" s="4" t="s">
        <v>43</v>
      </c>
      <c r="C7457" s="38" t="s">
        <v>9990</v>
      </c>
      <c r="D7457" s="23">
        <v>2023</v>
      </c>
      <c r="E7457" s="18" t="s">
        <v>0</v>
      </c>
      <c r="F7457" s="6">
        <v>1</v>
      </c>
      <c r="G7457" s="40">
        <v>5</v>
      </c>
      <c r="H7457" s="40">
        <v>35.137340000000002</v>
      </c>
      <c r="I7457" s="212"/>
      <c r="J7457" s="212"/>
    </row>
    <row r="7458" spans="1:10" s="15" customFormat="1" ht="18" hidden="1" customHeight="1" outlineLevel="1" x14ac:dyDescent="0.25">
      <c r="A7458" s="18">
        <v>1572</v>
      </c>
      <c r="B7458" s="4" t="s">
        <v>43</v>
      </c>
      <c r="C7458" s="38" t="s">
        <v>9991</v>
      </c>
      <c r="D7458" s="23">
        <v>2023</v>
      </c>
      <c r="E7458" s="18" t="s">
        <v>0</v>
      </c>
      <c r="F7458" s="6">
        <v>1</v>
      </c>
      <c r="G7458" s="40">
        <v>10</v>
      </c>
      <c r="H7458" s="40">
        <v>24.0549</v>
      </c>
      <c r="I7458" s="212"/>
      <c r="J7458" s="212"/>
    </row>
    <row r="7459" spans="1:10" s="15" customFormat="1" ht="18" hidden="1" customHeight="1" outlineLevel="1" x14ac:dyDescent="0.25">
      <c r="A7459" s="18">
        <v>4315</v>
      </c>
      <c r="B7459" s="4" t="s">
        <v>43</v>
      </c>
      <c r="C7459" s="38" t="s">
        <v>9992</v>
      </c>
      <c r="D7459" s="23">
        <v>2023</v>
      </c>
      <c r="E7459" s="18" t="s">
        <v>0</v>
      </c>
      <c r="F7459" s="6">
        <v>1</v>
      </c>
      <c r="G7459" s="40">
        <v>10</v>
      </c>
      <c r="H7459" s="40">
        <v>24.054919999999999</v>
      </c>
      <c r="I7459" s="212"/>
      <c r="J7459" s="212"/>
    </row>
    <row r="7460" spans="1:10" s="15" customFormat="1" ht="18" hidden="1" customHeight="1" outlineLevel="1" x14ac:dyDescent="0.25">
      <c r="A7460" s="18">
        <v>4311</v>
      </c>
      <c r="B7460" s="4" t="s">
        <v>43</v>
      </c>
      <c r="C7460" s="38" t="s">
        <v>9993</v>
      </c>
      <c r="D7460" s="23">
        <v>2023</v>
      </c>
      <c r="E7460" s="18" t="s">
        <v>0</v>
      </c>
      <c r="F7460" s="6">
        <v>1</v>
      </c>
      <c r="G7460" s="40">
        <v>4</v>
      </c>
      <c r="H7460" s="40">
        <v>24.054940000000002</v>
      </c>
      <c r="I7460" s="212"/>
      <c r="J7460" s="212"/>
    </row>
    <row r="7461" spans="1:10" s="15" customFormat="1" ht="18" hidden="1" customHeight="1" outlineLevel="1" x14ac:dyDescent="0.25">
      <c r="A7461" s="18">
        <v>4311</v>
      </c>
      <c r="B7461" s="4" t="s">
        <v>43</v>
      </c>
      <c r="C7461" s="38" t="s">
        <v>9994</v>
      </c>
      <c r="D7461" s="23">
        <v>2023</v>
      </c>
      <c r="E7461" s="18" t="s">
        <v>0</v>
      </c>
      <c r="F7461" s="6">
        <v>1</v>
      </c>
      <c r="G7461" s="40">
        <v>9</v>
      </c>
      <c r="H7461" s="40">
        <v>24.054940000000002</v>
      </c>
      <c r="I7461" s="212"/>
      <c r="J7461" s="212"/>
    </row>
    <row r="7462" spans="1:10" s="15" customFormat="1" ht="18" hidden="1" customHeight="1" outlineLevel="1" x14ac:dyDescent="0.25">
      <c r="A7462" s="18">
        <v>4318</v>
      </c>
      <c r="B7462" s="4" t="s">
        <v>43</v>
      </c>
      <c r="C7462" s="38" t="s">
        <v>9995</v>
      </c>
      <c r="D7462" s="23">
        <v>2023</v>
      </c>
      <c r="E7462" s="18" t="s">
        <v>0</v>
      </c>
      <c r="F7462" s="6">
        <v>1</v>
      </c>
      <c r="G7462" s="40">
        <v>4</v>
      </c>
      <c r="H7462" s="40">
        <v>24.055859999999999</v>
      </c>
      <c r="I7462" s="212"/>
      <c r="J7462" s="212"/>
    </row>
    <row r="7463" spans="1:10" s="15" customFormat="1" ht="18" hidden="1" customHeight="1" outlineLevel="1" x14ac:dyDescent="0.25">
      <c r="A7463" s="18">
        <v>635</v>
      </c>
      <c r="B7463" s="4" t="s">
        <v>43</v>
      </c>
      <c r="C7463" s="38" t="s">
        <v>8434</v>
      </c>
      <c r="D7463" s="23">
        <v>2023</v>
      </c>
      <c r="E7463" s="18" t="s">
        <v>0</v>
      </c>
      <c r="F7463" s="6">
        <v>1</v>
      </c>
      <c r="G7463" s="40">
        <v>10</v>
      </c>
      <c r="H7463" s="40">
        <v>20.867739999999998</v>
      </c>
      <c r="I7463" s="212"/>
      <c r="J7463" s="212"/>
    </row>
    <row r="7464" spans="1:10" s="15" customFormat="1" ht="18" hidden="1" customHeight="1" outlineLevel="1" x14ac:dyDescent="0.25">
      <c r="A7464" s="18">
        <v>1417</v>
      </c>
      <c r="B7464" s="4" t="s">
        <v>43</v>
      </c>
      <c r="C7464" s="38" t="s">
        <v>8442</v>
      </c>
      <c r="D7464" s="23">
        <v>2023</v>
      </c>
      <c r="E7464" s="18" t="s">
        <v>0</v>
      </c>
      <c r="F7464" s="6">
        <v>1</v>
      </c>
      <c r="G7464" s="40">
        <v>6</v>
      </c>
      <c r="H7464" s="40">
        <v>39.981000000000002</v>
      </c>
      <c r="I7464" s="212"/>
      <c r="J7464" s="212"/>
    </row>
    <row r="7465" spans="1:10" s="15" customFormat="1" ht="18" hidden="1" customHeight="1" outlineLevel="1" x14ac:dyDescent="0.25">
      <c r="A7465" s="18">
        <v>4324</v>
      </c>
      <c r="B7465" s="4" t="s">
        <v>43</v>
      </c>
      <c r="C7465" s="38" t="s">
        <v>9996</v>
      </c>
      <c r="D7465" s="23">
        <v>2023</v>
      </c>
      <c r="E7465" s="18" t="s">
        <v>0</v>
      </c>
      <c r="F7465" s="6">
        <v>1</v>
      </c>
      <c r="G7465" s="40">
        <v>10</v>
      </c>
      <c r="H7465" s="40">
        <v>9.2297499999999992</v>
      </c>
      <c r="I7465" s="212"/>
      <c r="J7465" s="212"/>
    </row>
    <row r="7466" spans="1:10" s="15" customFormat="1" ht="18" hidden="1" customHeight="1" outlineLevel="1" x14ac:dyDescent="0.25">
      <c r="A7466" s="18">
        <v>1707</v>
      </c>
      <c r="B7466" s="4" t="s">
        <v>43</v>
      </c>
      <c r="C7466" s="38" t="s">
        <v>9997</v>
      </c>
      <c r="D7466" s="23">
        <v>2023</v>
      </c>
      <c r="E7466" s="18" t="s">
        <v>0</v>
      </c>
      <c r="F7466" s="6">
        <v>1</v>
      </c>
      <c r="G7466" s="40">
        <v>5</v>
      </c>
      <c r="H7466" s="40">
        <v>9.2285599999999999</v>
      </c>
      <c r="I7466" s="212"/>
      <c r="J7466" s="212"/>
    </row>
    <row r="7467" spans="1:10" s="15" customFormat="1" ht="18" hidden="1" customHeight="1" outlineLevel="1" x14ac:dyDescent="0.25">
      <c r="A7467" s="18">
        <v>4324</v>
      </c>
      <c r="B7467" s="4" t="s">
        <v>43</v>
      </c>
      <c r="C7467" s="38" t="s">
        <v>9998</v>
      </c>
      <c r="D7467" s="23">
        <v>2023</v>
      </c>
      <c r="E7467" s="18" t="s">
        <v>0</v>
      </c>
      <c r="F7467" s="6">
        <v>1</v>
      </c>
      <c r="G7467" s="40">
        <v>6</v>
      </c>
      <c r="H7467" s="40">
        <v>9.2297499999999992</v>
      </c>
      <c r="I7467" s="212"/>
      <c r="J7467" s="212"/>
    </row>
    <row r="7468" spans="1:10" s="15" customFormat="1" ht="18" hidden="1" customHeight="1" outlineLevel="1" x14ac:dyDescent="0.25">
      <c r="A7468" s="18">
        <v>1978</v>
      </c>
      <c r="B7468" s="4" t="s">
        <v>43</v>
      </c>
      <c r="C7468" s="38" t="s">
        <v>9999</v>
      </c>
      <c r="D7468" s="23">
        <v>2023</v>
      </c>
      <c r="E7468" s="18" t="s">
        <v>0</v>
      </c>
      <c r="F7468" s="6">
        <v>1</v>
      </c>
      <c r="G7468" s="40">
        <v>5</v>
      </c>
      <c r="H7468" s="40">
        <v>23.834419999999998</v>
      </c>
      <c r="I7468" s="212"/>
      <c r="J7468" s="212"/>
    </row>
    <row r="7469" spans="1:10" s="15" customFormat="1" ht="18" hidden="1" customHeight="1" outlineLevel="1" x14ac:dyDescent="0.25">
      <c r="A7469" s="18">
        <v>4326</v>
      </c>
      <c r="B7469" s="4" t="s">
        <v>43</v>
      </c>
      <c r="C7469" s="38" t="s">
        <v>10000</v>
      </c>
      <c r="D7469" s="23">
        <v>2023</v>
      </c>
      <c r="E7469" s="18" t="s">
        <v>0</v>
      </c>
      <c r="F7469" s="6">
        <v>1</v>
      </c>
      <c r="G7469" s="40">
        <v>6</v>
      </c>
      <c r="H7469" s="40">
        <v>9.1255100000000002</v>
      </c>
      <c r="I7469" s="212"/>
      <c r="J7469" s="212"/>
    </row>
    <row r="7470" spans="1:10" s="15" customFormat="1" ht="18" hidden="1" customHeight="1" outlineLevel="1" x14ac:dyDescent="0.25">
      <c r="A7470" s="18">
        <v>4327</v>
      </c>
      <c r="B7470" s="4" t="s">
        <v>43</v>
      </c>
      <c r="C7470" s="38" t="s">
        <v>10001</v>
      </c>
      <c r="D7470" s="23">
        <v>2023</v>
      </c>
      <c r="E7470" s="18" t="s">
        <v>0</v>
      </c>
      <c r="F7470" s="6">
        <v>1</v>
      </c>
      <c r="G7470" s="40">
        <v>10</v>
      </c>
      <c r="H7470" s="40">
        <v>9.2297700000000003</v>
      </c>
      <c r="I7470" s="212"/>
      <c r="J7470" s="212"/>
    </row>
    <row r="7471" spans="1:10" s="15" customFormat="1" ht="18" hidden="1" customHeight="1" outlineLevel="1" x14ac:dyDescent="0.25">
      <c r="A7471" s="18">
        <v>1619</v>
      </c>
      <c r="B7471" s="4" t="s">
        <v>43</v>
      </c>
      <c r="C7471" s="38" t="s">
        <v>10002</v>
      </c>
      <c r="D7471" s="23">
        <v>2023</v>
      </c>
      <c r="E7471" s="18" t="s">
        <v>0</v>
      </c>
      <c r="F7471" s="6">
        <v>1</v>
      </c>
      <c r="G7471" s="40">
        <v>10</v>
      </c>
      <c r="H7471" s="40">
        <v>9.2297600000000006</v>
      </c>
      <c r="I7471" s="212"/>
      <c r="J7471" s="212"/>
    </row>
    <row r="7472" spans="1:10" s="15" customFormat="1" ht="18" hidden="1" customHeight="1" outlineLevel="1" x14ac:dyDescent="0.25">
      <c r="A7472" s="18">
        <v>4328</v>
      </c>
      <c r="B7472" s="4" t="s">
        <v>43</v>
      </c>
      <c r="C7472" s="38" t="s">
        <v>10003</v>
      </c>
      <c r="D7472" s="23">
        <v>2023</v>
      </c>
      <c r="E7472" s="18" t="s">
        <v>0</v>
      </c>
      <c r="F7472" s="6">
        <v>1</v>
      </c>
      <c r="G7472" s="40">
        <v>10</v>
      </c>
      <c r="H7472" s="40">
        <v>23.834430000000001</v>
      </c>
      <c r="I7472" s="212"/>
      <c r="J7472" s="212"/>
    </row>
    <row r="7473" spans="1:10" s="15" customFormat="1" ht="18" hidden="1" customHeight="1" outlineLevel="1" x14ac:dyDescent="0.25">
      <c r="A7473" s="18">
        <v>1566</v>
      </c>
      <c r="B7473" s="4" t="s">
        <v>43</v>
      </c>
      <c r="C7473" s="38" t="s">
        <v>8443</v>
      </c>
      <c r="D7473" s="23">
        <v>2023</v>
      </c>
      <c r="E7473" s="18" t="s">
        <v>0</v>
      </c>
      <c r="F7473" s="6">
        <v>1</v>
      </c>
      <c r="G7473" s="40">
        <v>10</v>
      </c>
      <c r="H7473" s="40">
        <v>36.900849999999998</v>
      </c>
      <c r="I7473" s="212"/>
      <c r="J7473" s="212"/>
    </row>
    <row r="7474" spans="1:10" s="15" customFormat="1" ht="18" hidden="1" customHeight="1" outlineLevel="1" x14ac:dyDescent="0.25">
      <c r="A7474" s="18">
        <v>4329</v>
      </c>
      <c r="B7474" s="4" t="s">
        <v>43</v>
      </c>
      <c r="C7474" s="38" t="s">
        <v>10004</v>
      </c>
      <c r="D7474" s="23">
        <v>2023</v>
      </c>
      <c r="E7474" s="18" t="s">
        <v>0</v>
      </c>
      <c r="F7474" s="6">
        <v>1</v>
      </c>
      <c r="G7474" s="40">
        <v>10</v>
      </c>
      <c r="H7474" s="40">
        <v>24.296890000000001</v>
      </c>
      <c r="I7474" s="212"/>
      <c r="J7474" s="212"/>
    </row>
    <row r="7475" spans="1:10" s="15" customFormat="1" ht="18" hidden="1" customHeight="1" outlineLevel="1" x14ac:dyDescent="0.25">
      <c r="A7475" s="18">
        <v>4329</v>
      </c>
      <c r="B7475" s="4" t="s">
        <v>43</v>
      </c>
      <c r="C7475" s="38" t="s">
        <v>10005</v>
      </c>
      <c r="D7475" s="23">
        <v>2023</v>
      </c>
      <c r="E7475" s="18" t="s">
        <v>0</v>
      </c>
      <c r="F7475" s="6">
        <v>1</v>
      </c>
      <c r="G7475" s="40">
        <v>9</v>
      </c>
      <c r="H7475" s="40">
        <v>24.296890000000001</v>
      </c>
      <c r="I7475" s="212"/>
      <c r="J7475" s="212"/>
    </row>
    <row r="7476" spans="1:10" s="15" customFormat="1" ht="18" hidden="1" customHeight="1" outlineLevel="1" x14ac:dyDescent="0.25">
      <c r="A7476" s="18">
        <v>4257</v>
      </c>
      <c r="B7476" s="4" t="s">
        <v>43</v>
      </c>
      <c r="C7476" s="38" t="s">
        <v>8447</v>
      </c>
      <c r="D7476" s="23">
        <v>2023</v>
      </c>
      <c r="E7476" s="18" t="s">
        <v>0</v>
      </c>
      <c r="F7476" s="6">
        <v>1</v>
      </c>
      <c r="G7476" s="40">
        <v>10</v>
      </c>
      <c r="H7476" s="40">
        <v>29.252330000000001</v>
      </c>
      <c r="I7476" s="212"/>
      <c r="J7476" s="212"/>
    </row>
    <row r="7477" spans="1:10" s="15" customFormat="1" ht="18" hidden="1" customHeight="1" outlineLevel="1" x14ac:dyDescent="0.25">
      <c r="A7477" s="18">
        <v>2230</v>
      </c>
      <c r="B7477" s="4" t="s">
        <v>43</v>
      </c>
      <c r="C7477" s="38" t="s">
        <v>10006</v>
      </c>
      <c r="D7477" s="23">
        <v>2023</v>
      </c>
      <c r="E7477" s="18" t="s">
        <v>0</v>
      </c>
      <c r="F7477" s="6">
        <v>1</v>
      </c>
      <c r="G7477" s="40">
        <v>10</v>
      </c>
      <c r="H7477" s="40">
        <v>24.388809999999999</v>
      </c>
      <c r="I7477" s="212"/>
      <c r="J7477" s="212"/>
    </row>
    <row r="7478" spans="1:10" s="15" customFormat="1" ht="18" hidden="1" customHeight="1" outlineLevel="1" x14ac:dyDescent="0.25">
      <c r="A7478" s="18">
        <v>4337</v>
      </c>
      <c r="B7478" s="4" t="s">
        <v>43</v>
      </c>
      <c r="C7478" s="38" t="s">
        <v>10007</v>
      </c>
      <c r="D7478" s="23">
        <v>2023</v>
      </c>
      <c r="E7478" s="18" t="s">
        <v>0</v>
      </c>
      <c r="F7478" s="6">
        <v>1</v>
      </c>
      <c r="G7478" s="40">
        <v>10</v>
      </c>
      <c r="H7478" s="40">
        <v>24.388819999999999</v>
      </c>
      <c r="I7478" s="212"/>
      <c r="J7478" s="212"/>
    </row>
    <row r="7479" spans="1:10" s="15" customFormat="1" ht="18" hidden="1" customHeight="1" outlineLevel="1" x14ac:dyDescent="0.25">
      <c r="A7479" s="18">
        <v>1706</v>
      </c>
      <c r="B7479" s="4" t="s">
        <v>43</v>
      </c>
      <c r="C7479" s="38" t="s">
        <v>8451</v>
      </c>
      <c r="D7479" s="23">
        <v>2023</v>
      </c>
      <c r="E7479" s="18" t="s">
        <v>0</v>
      </c>
      <c r="F7479" s="6">
        <v>1</v>
      </c>
      <c r="G7479" s="40">
        <v>10</v>
      </c>
      <c r="H7479" s="40">
        <v>37.342729999999996</v>
      </c>
      <c r="I7479" s="212"/>
      <c r="J7479" s="212"/>
    </row>
    <row r="7480" spans="1:10" s="15" customFormat="1" ht="18" hidden="1" customHeight="1" outlineLevel="1" x14ac:dyDescent="0.25">
      <c r="A7480" s="18">
        <v>1766</v>
      </c>
      <c r="B7480" s="4" t="s">
        <v>43</v>
      </c>
      <c r="C7480" s="38" t="s">
        <v>10008</v>
      </c>
      <c r="D7480" s="23">
        <v>2023</v>
      </c>
      <c r="E7480" s="18" t="s">
        <v>0</v>
      </c>
      <c r="F7480" s="6">
        <v>1</v>
      </c>
      <c r="G7480" s="40">
        <v>3</v>
      </c>
      <c r="H7480" s="40">
        <v>25.379720000000002</v>
      </c>
      <c r="I7480" s="212"/>
      <c r="J7480" s="212"/>
    </row>
    <row r="7481" spans="1:10" s="15" customFormat="1" ht="18" hidden="1" customHeight="1" outlineLevel="1" x14ac:dyDescent="0.25">
      <c r="A7481" s="18">
        <v>2166</v>
      </c>
      <c r="B7481" s="4" t="s">
        <v>43</v>
      </c>
      <c r="C7481" s="38" t="s">
        <v>10009</v>
      </c>
      <c r="D7481" s="23">
        <v>2023</v>
      </c>
      <c r="E7481" s="18" t="s">
        <v>0</v>
      </c>
      <c r="F7481" s="6">
        <v>1</v>
      </c>
      <c r="G7481" s="40">
        <v>10</v>
      </c>
      <c r="H7481" s="40">
        <v>23.811730000000001</v>
      </c>
      <c r="I7481" s="212"/>
      <c r="J7481" s="212"/>
    </row>
    <row r="7482" spans="1:10" s="15" customFormat="1" ht="18" hidden="1" customHeight="1" outlineLevel="1" x14ac:dyDescent="0.25">
      <c r="A7482" s="18">
        <v>4340</v>
      </c>
      <c r="B7482" s="4" t="s">
        <v>43</v>
      </c>
      <c r="C7482" s="38" t="s">
        <v>10010</v>
      </c>
      <c r="D7482" s="23">
        <v>2023</v>
      </c>
      <c r="E7482" s="18" t="s">
        <v>0</v>
      </c>
      <c r="F7482" s="6">
        <v>1</v>
      </c>
      <c r="G7482" s="40">
        <v>9</v>
      </c>
      <c r="H7482" s="40">
        <v>9.214319999999999</v>
      </c>
      <c r="I7482" s="212"/>
      <c r="J7482" s="212"/>
    </row>
    <row r="7483" spans="1:10" s="15" customFormat="1" ht="18" hidden="1" customHeight="1" outlineLevel="1" x14ac:dyDescent="0.25">
      <c r="A7483" s="18">
        <v>4340</v>
      </c>
      <c r="B7483" s="4" t="s">
        <v>43</v>
      </c>
      <c r="C7483" s="38" t="s">
        <v>10011</v>
      </c>
      <c r="D7483" s="23">
        <v>2023</v>
      </c>
      <c r="E7483" s="18" t="s">
        <v>0</v>
      </c>
      <c r="F7483" s="6">
        <v>1</v>
      </c>
      <c r="G7483" s="40">
        <v>10</v>
      </c>
      <c r="H7483" s="40">
        <v>9.214319999999999</v>
      </c>
      <c r="I7483" s="212"/>
      <c r="J7483" s="212"/>
    </row>
    <row r="7484" spans="1:10" s="15" customFormat="1" ht="18" hidden="1" customHeight="1" outlineLevel="1" x14ac:dyDescent="0.25">
      <c r="A7484" s="18">
        <v>4342</v>
      </c>
      <c r="B7484" s="4" t="s">
        <v>43</v>
      </c>
      <c r="C7484" s="38" t="s">
        <v>10012</v>
      </c>
      <c r="D7484" s="23">
        <v>2023</v>
      </c>
      <c r="E7484" s="18" t="s">
        <v>0</v>
      </c>
      <c r="F7484" s="6">
        <v>1</v>
      </c>
      <c r="G7484" s="40">
        <v>10</v>
      </c>
      <c r="H7484" s="40">
        <v>23.775589999999998</v>
      </c>
      <c r="I7484" s="212"/>
      <c r="J7484" s="212"/>
    </row>
    <row r="7485" spans="1:10" s="15" customFormat="1" ht="18" hidden="1" customHeight="1" outlineLevel="1" x14ac:dyDescent="0.25">
      <c r="A7485" s="18">
        <v>4342</v>
      </c>
      <c r="B7485" s="4" t="s">
        <v>43</v>
      </c>
      <c r="C7485" s="38" t="s">
        <v>10013</v>
      </c>
      <c r="D7485" s="23">
        <v>2023</v>
      </c>
      <c r="E7485" s="18" t="s">
        <v>0</v>
      </c>
      <c r="F7485" s="6">
        <v>1</v>
      </c>
      <c r="G7485" s="40">
        <v>6</v>
      </c>
      <c r="H7485" s="40">
        <v>23.775589999999998</v>
      </c>
      <c r="I7485" s="212"/>
      <c r="J7485" s="212"/>
    </row>
    <row r="7486" spans="1:10" s="15" customFormat="1" ht="18" hidden="1" customHeight="1" outlineLevel="1" x14ac:dyDescent="0.25">
      <c r="A7486" s="18">
        <v>1620</v>
      </c>
      <c r="B7486" s="4" t="s">
        <v>43</v>
      </c>
      <c r="C7486" s="38" t="s">
        <v>10014</v>
      </c>
      <c r="D7486" s="23">
        <v>2023</v>
      </c>
      <c r="E7486" s="18" t="s">
        <v>0</v>
      </c>
      <c r="F7486" s="6">
        <v>1</v>
      </c>
      <c r="G7486" s="40">
        <v>10</v>
      </c>
      <c r="H7486" s="40">
        <v>23.775580000000001</v>
      </c>
      <c r="I7486" s="212"/>
      <c r="J7486" s="212"/>
    </row>
    <row r="7487" spans="1:10" s="15" customFormat="1" ht="18" hidden="1" customHeight="1" outlineLevel="1" x14ac:dyDescent="0.25">
      <c r="A7487" s="18">
        <v>1787</v>
      </c>
      <c r="B7487" s="4" t="s">
        <v>43</v>
      </c>
      <c r="C7487" s="38" t="s">
        <v>10015</v>
      </c>
      <c r="D7487" s="23">
        <v>2023</v>
      </c>
      <c r="E7487" s="18" t="s">
        <v>0</v>
      </c>
      <c r="F7487" s="6">
        <v>1</v>
      </c>
      <c r="G7487" s="40">
        <v>5</v>
      </c>
      <c r="H7487" s="40">
        <v>23.775600000000001</v>
      </c>
      <c r="I7487" s="212"/>
      <c r="J7487" s="212"/>
    </row>
    <row r="7488" spans="1:10" s="15" customFormat="1" ht="18" hidden="1" customHeight="1" outlineLevel="1" x14ac:dyDescent="0.25">
      <c r="A7488" s="18">
        <v>2165</v>
      </c>
      <c r="B7488" s="4" t="s">
        <v>43</v>
      </c>
      <c r="C7488" s="38" t="s">
        <v>10016</v>
      </c>
      <c r="D7488" s="23">
        <v>2023</v>
      </c>
      <c r="E7488" s="18" t="s">
        <v>0</v>
      </c>
      <c r="F7488" s="6">
        <v>1</v>
      </c>
      <c r="G7488" s="40">
        <v>10</v>
      </c>
      <c r="H7488" s="40">
        <v>23.811710000000001</v>
      </c>
      <c r="I7488" s="212"/>
      <c r="J7488" s="212"/>
    </row>
    <row r="7489" spans="1:10" s="15" customFormat="1" ht="18" hidden="1" customHeight="1" outlineLevel="1" x14ac:dyDescent="0.25">
      <c r="A7489" s="18">
        <v>1787</v>
      </c>
      <c r="B7489" s="4" t="s">
        <v>43</v>
      </c>
      <c r="C7489" s="38" t="s">
        <v>10017</v>
      </c>
      <c r="D7489" s="23">
        <v>2023</v>
      </c>
      <c r="E7489" s="18" t="s">
        <v>0</v>
      </c>
      <c r="F7489" s="6">
        <v>1</v>
      </c>
      <c r="G7489" s="40">
        <v>10</v>
      </c>
      <c r="H7489" s="40">
        <v>23.775600000000001</v>
      </c>
      <c r="I7489" s="212"/>
      <c r="J7489" s="212"/>
    </row>
    <row r="7490" spans="1:10" s="15" customFormat="1" ht="18" hidden="1" customHeight="1" outlineLevel="1" x14ac:dyDescent="0.25">
      <c r="A7490" s="18">
        <v>1620</v>
      </c>
      <c r="B7490" s="4" t="s">
        <v>43</v>
      </c>
      <c r="C7490" s="38" t="s">
        <v>10018</v>
      </c>
      <c r="D7490" s="23">
        <v>2023</v>
      </c>
      <c r="E7490" s="18" t="s">
        <v>0</v>
      </c>
      <c r="F7490" s="6">
        <v>1</v>
      </c>
      <c r="G7490" s="40">
        <v>10</v>
      </c>
      <c r="H7490" s="40">
        <v>23.775580000000001</v>
      </c>
      <c r="I7490" s="212"/>
      <c r="J7490" s="212"/>
    </row>
    <row r="7491" spans="1:10" s="15" customFormat="1" ht="18" hidden="1" customHeight="1" outlineLevel="1" x14ac:dyDescent="0.25">
      <c r="A7491" s="18">
        <v>1787</v>
      </c>
      <c r="B7491" s="4" t="s">
        <v>43</v>
      </c>
      <c r="C7491" s="38" t="s">
        <v>10019</v>
      </c>
      <c r="D7491" s="23">
        <v>2023</v>
      </c>
      <c r="E7491" s="18" t="s">
        <v>0</v>
      </c>
      <c r="F7491" s="6">
        <v>1</v>
      </c>
      <c r="G7491" s="40">
        <v>10</v>
      </c>
      <c r="H7491" s="40">
        <v>23.775600000000001</v>
      </c>
      <c r="I7491" s="212"/>
      <c r="J7491" s="212"/>
    </row>
    <row r="7492" spans="1:10" s="15" customFormat="1" ht="18" hidden="1" customHeight="1" outlineLevel="1" x14ac:dyDescent="0.25">
      <c r="A7492" s="18">
        <v>2165</v>
      </c>
      <c r="B7492" s="4" t="s">
        <v>43</v>
      </c>
      <c r="C7492" s="38" t="s">
        <v>10020</v>
      </c>
      <c r="D7492" s="23">
        <v>2023</v>
      </c>
      <c r="E7492" s="18" t="s">
        <v>0</v>
      </c>
      <c r="F7492" s="6">
        <v>1</v>
      </c>
      <c r="G7492" s="40">
        <v>3</v>
      </c>
      <c r="H7492" s="40">
        <v>23.811710000000001</v>
      </c>
      <c r="I7492" s="212"/>
      <c r="J7492" s="212"/>
    </row>
    <row r="7493" spans="1:10" s="15" customFormat="1" ht="18" hidden="1" customHeight="1" outlineLevel="1" x14ac:dyDescent="0.25">
      <c r="A7493" s="18">
        <v>4347</v>
      </c>
      <c r="B7493" s="4" t="s">
        <v>43</v>
      </c>
      <c r="C7493" s="38" t="s">
        <v>10021</v>
      </c>
      <c r="D7493" s="23">
        <v>2023</v>
      </c>
      <c r="E7493" s="18" t="s">
        <v>0</v>
      </c>
      <c r="F7493" s="6">
        <v>1</v>
      </c>
      <c r="G7493" s="40">
        <v>10</v>
      </c>
      <c r="H7493" s="40">
        <v>24.874210000000001</v>
      </c>
      <c r="I7493" s="212"/>
      <c r="J7493" s="212"/>
    </row>
    <row r="7494" spans="1:10" s="15" customFormat="1" ht="18" hidden="1" customHeight="1" outlineLevel="1" x14ac:dyDescent="0.25">
      <c r="A7494" s="18">
        <v>4348</v>
      </c>
      <c r="B7494" s="4" t="s">
        <v>43</v>
      </c>
      <c r="C7494" s="38" t="s">
        <v>10022</v>
      </c>
      <c r="D7494" s="23">
        <v>2023</v>
      </c>
      <c r="E7494" s="18" t="s">
        <v>0</v>
      </c>
      <c r="F7494" s="6">
        <v>1</v>
      </c>
      <c r="G7494" s="40">
        <v>6</v>
      </c>
      <c r="H7494" s="40">
        <v>25.696630000000003</v>
      </c>
      <c r="I7494" s="212"/>
      <c r="J7494" s="212"/>
    </row>
    <row r="7495" spans="1:10" s="15" customFormat="1" ht="18" hidden="1" customHeight="1" outlineLevel="1" x14ac:dyDescent="0.25">
      <c r="A7495" s="18">
        <v>4357</v>
      </c>
      <c r="B7495" s="4" t="s">
        <v>43</v>
      </c>
      <c r="C7495" s="38" t="s">
        <v>10023</v>
      </c>
      <c r="D7495" s="23">
        <v>2023</v>
      </c>
      <c r="E7495" s="18" t="s">
        <v>0</v>
      </c>
      <c r="F7495" s="6">
        <v>1</v>
      </c>
      <c r="G7495" s="40">
        <v>6</v>
      </c>
      <c r="H7495" s="40">
        <v>25.696660000000001</v>
      </c>
      <c r="I7495" s="212"/>
      <c r="J7495" s="212"/>
    </row>
    <row r="7496" spans="1:10" s="15" customFormat="1" ht="18" hidden="1" customHeight="1" outlineLevel="1" x14ac:dyDescent="0.25">
      <c r="A7496" s="18">
        <v>1264</v>
      </c>
      <c r="B7496" s="4" t="s">
        <v>43</v>
      </c>
      <c r="C7496" s="38" t="s">
        <v>8453</v>
      </c>
      <c r="D7496" s="23">
        <v>2023</v>
      </c>
      <c r="E7496" s="18" t="s">
        <v>0</v>
      </c>
      <c r="F7496" s="6">
        <v>1</v>
      </c>
      <c r="G7496" s="40">
        <v>6</v>
      </c>
      <c r="H7496" s="40">
        <v>30.46537</v>
      </c>
      <c r="I7496" s="212"/>
      <c r="J7496" s="212"/>
    </row>
    <row r="7497" spans="1:10" s="15" customFormat="1" ht="18" hidden="1" customHeight="1" outlineLevel="1" x14ac:dyDescent="0.25">
      <c r="A7497" s="18">
        <v>986</v>
      </c>
      <c r="B7497" s="4" t="s">
        <v>43</v>
      </c>
      <c r="C7497" s="38" t="s">
        <v>8455</v>
      </c>
      <c r="D7497" s="23">
        <v>2023</v>
      </c>
      <c r="E7497" s="18" t="s">
        <v>0</v>
      </c>
      <c r="F7497" s="6">
        <v>1</v>
      </c>
      <c r="G7497" s="40">
        <v>6</v>
      </c>
      <c r="H7497" s="40">
        <v>51.488289999999999</v>
      </c>
      <c r="I7497" s="212"/>
      <c r="J7497" s="212"/>
    </row>
    <row r="7498" spans="1:10" s="15" customFormat="1" ht="18" hidden="1" customHeight="1" outlineLevel="1" x14ac:dyDescent="0.25">
      <c r="A7498" s="18">
        <v>1487</v>
      </c>
      <c r="B7498" s="4" t="s">
        <v>43</v>
      </c>
      <c r="C7498" s="38" t="s">
        <v>8456</v>
      </c>
      <c r="D7498" s="23">
        <v>2023</v>
      </c>
      <c r="E7498" s="18" t="s">
        <v>0</v>
      </c>
      <c r="F7498" s="6">
        <v>1</v>
      </c>
      <c r="G7498" s="40">
        <v>15</v>
      </c>
      <c r="H7498" s="40">
        <v>45.490859999999998</v>
      </c>
      <c r="I7498" s="212"/>
      <c r="J7498" s="212"/>
    </row>
    <row r="7499" spans="1:10" s="15" customFormat="1" ht="18" hidden="1" customHeight="1" outlineLevel="1" x14ac:dyDescent="0.25">
      <c r="A7499" s="18">
        <v>2474</v>
      </c>
      <c r="B7499" s="4" t="s">
        <v>43</v>
      </c>
      <c r="C7499" s="38" t="s">
        <v>10024</v>
      </c>
      <c r="D7499" s="23">
        <v>2023</v>
      </c>
      <c r="E7499" s="18" t="s">
        <v>0</v>
      </c>
      <c r="F7499" s="6">
        <v>1</v>
      </c>
      <c r="G7499" s="40">
        <v>6</v>
      </c>
      <c r="H7499" s="40">
        <v>25.271799999999999</v>
      </c>
      <c r="I7499" s="212"/>
      <c r="J7499" s="212"/>
    </row>
    <row r="7500" spans="1:10" s="15" customFormat="1" ht="18" hidden="1" customHeight="1" outlineLevel="1" x14ac:dyDescent="0.25">
      <c r="A7500" s="18">
        <v>2301</v>
      </c>
      <c r="B7500" s="4" t="s">
        <v>43</v>
      </c>
      <c r="C7500" s="38" t="s">
        <v>10025</v>
      </c>
      <c r="D7500" s="23">
        <v>2023</v>
      </c>
      <c r="E7500" s="18" t="s">
        <v>0</v>
      </c>
      <c r="F7500" s="6">
        <v>1</v>
      </c>
      <c r="G7500" s="40">
        <v>2</v>
      </c>
      <c r="H7500" s="40">
        <v>25.062719999999999</v>
      </c>
      <c r="I7500" s="212"/>
      <c r="J7500" s="212"/>
    </row>
    <row r="7501" spans="1:10" s="15" customFormat="1" ht="18" hidden="1" customHeight="1" outlineLevel="1" x14ac:dyDescent="0.25">
      <c r="A7501" s="18">
        <v>4358</v>
      </c>
      <c r="B7501" s="4" t="s">
        <v>43</v>
      </c>
      <c r="C7501" s="38" t="s">
        <v>10026</v>
      </c>
      <c r="D7501" s="23">
        <v>2023</v>
      </c>
      <c r="E7501" s="18" t="s">
        <v>0</v>
      </c>
      <c r="F7501" s="6">
        <v>1</v>
      </c>
      <c r="G7501" s="40">
        <v>10</v>
      </c>
      <c r="H7501" s="40">
        <v>25.17145</v>
      </c>
      <c r="I7501" s="212"/>
      <c r="J7501" s="212"/>
    </row>
    <row r="7502" spans="1:10" s="15" customFormat="1" ht="18" hidden="1" customHeight="1" outlineLevel="1" x14ac:dyDescent="0.25">
      <c r="A7502" s="18">
        <v>2182</v>
      </c>
      <c r="B7502" s="4" t="s">
        <v>43</v>
      </c>
      <c r="C7502" s="38" t="s">
        <v>10027</v>
      </c>
      <c r="D7502" s="23">
        <v>2023</v>
      </c>
      <c r="E7502" s="18" t="s">
        <v>0</v>
      </c>
      <c r="F7502" s="6">
        <v>1</v>
      </c>
      <c r="G7502" s="40">
        <v>2</v>
      </c>
      <c r="H7502" s="40">
        <v>25.171430000000001</v>
      </c>
      <c r="I7502" s="212"/>
      <c r="J7502" s="212"/>
    </row>
    <row r="7503" spans="1:10" s="15" customFormat="1" ht="18" hidden="1" customHeight="1" outlineLevel="1" x14ac:dyDescent="0.25">
      <c r="A7503" s="18">
        <v>4358</v>
      </c>
      <c r="B7503" s="4" t="s">
        <v>43</v>
      </c>
      <c r="C7503" s="38" t="s">
        <v>10028</v>
      </c>
      <c r="D7503" s="23">
        <v>2023</v>
      </c>
      <c r="E7503" s="18" t="s">
        <v>0</v>
      </c>
      <c r="F7503" s="6">
        <v>1</v>
      </c>
      <c r="G7503" s="40">
        <v>10</v>
      </c>
      <c r="H7503" s="40">
        <v>25.17145</v>
      </c>
      <c r="I7503" s="212"/>
      <c r="J7503" s="212"/>
    </row>
    <row r="7504" spans="1:10" s="15" customFormat="1" ht="18" hidden="1" customHeight="1" outlineLevel="1" x14ac:dyDescent="0.25">
      <c r="A7504" s="18">
        <v>2182</v>
      </c>
      <c r="B7504" s="4" t="s">
        <v>43</v>
      </c>
      <c r="C7504" s="38" t="s">
        <v>10029</v>
      </c>
      <c r="D7504" s="23">
        <v>2023</v>
      </c>
      <c r="E7504" s="18" t="s">
        <v>0</v>
      </c>
      <c r="F7504" s="6">
        <v>1</v>
      </c>
      <c r="G7504" s="40">
        <v>3</v>
      </c>
      <c r="H7504" s="40">
        <v>25.171430000000001</v>
      </c>
      <c r="I7504" s="212"/>
      <c r="J7504" s="212"/>
    </row>
    <row r="7505" spans="1:10" s="15" customFormat="1" ht="18" hidden="1" customHeight="1" outlineLevel="1" x14ac:dyDescent="0.25">
      <c r="A7505" s="18">
        <v>4358</v>
      </c>
      <c r="B7505" s="4" t="s">
        <v>43</v>
      </c>
      <c r="C7505" s="38" t="s">
        <v>10030</v>
      </c>
      <c r="D7505" s="23">
        <v>2023</v>
      </c>
      <c r="E7505" s="18" t="s">
        <v>0</v>
      </c>
      <c r="F7505" s="6">
        <v>1</v>
      </c>
      <c r="G7505" s="40">
        <v>6</v>
      </c>
      <c r="H7505" s="40">
        <v>25.17145</v>
      </c>
      <c r="I7505" s="212"/>
      <c r="J7505" s="212"/>
    </row>
    <row r="7506" spans="1:10" s="15" customFormat="1" ht="18" hidden="1" customHeight="1" outlineLevel="1" x14ac:dyDescent="0.25">
      <c r="A7506" s="18">
        <v>2223</v>
      </c>
      <c r="B7506" s="4" t="s">
        <v>43</v>
      </c>
      <c r="C7506" s="38" t="s">
        <v>10031</v>
      </c>
      <c r="D7506" s="23">
        <v>2023</v>
      </c>
      <c r="E7506" s="18" t="s">
        <v>0</v>
      </c>
      <c r="F7506" s="6">
        <v>1</v>
      </c>
      <c r="G7506" s="40">
        <v>4</v>
      </c>
      <c r="H7506" s="40">
        <v>25.171420000000001</v>
      </c>
      <c r="I7506" s="212"/>
      <c r="J7506" s="212"/>
    </row>
    <row r="7507" spans="1:10" s="15" customFormat="1" ht="18" hidden="1" customHeight="1" outlineLevel="1" x14ac:dyDescent="0.25">
      <c r="A7507" s="18">
        <v>4363</v>
      </c>
      <c r="B7507" s="4" t="s">
        <v>43</v>
      </c>
      <c r="C7507" s="38" t="s">
        <v>10032</v>
      </c>
      <c r="D7507" s="23">
        <v>2023</v>
      </c>
      <c r="E7507" s="18" t="s">
        <v>0</v>
      </c>
      <c r="F7507" s="6">
        <v>1</v>
      </c>
      <c r="G7507" s="40">
        <v>6</v>
      </c>
      <c r="H7507" s="40">
        <v>26.77993</v>
      </c>
      <c r="I7507" s="212"/>
      <c r="J7507" s="212"/>
    </row>
    <row r="7508" spans="1:10" s="15" customFormat="1" ht="18" hidden="1" customHeight="1" outlineLevel="1" x14ac:dyDescent="0.25">
      <c r="A7508" s="18">
        <v>4259</v>
      </c>
      <c r="B7508" s="4" t="s">
        <v>43</v>
      </c>
      <c r="C7508" s="38" t="s">
        <v>8460</v>
      </c>
      <c r="D7508" s="23">
        <v>2023</v>
      </c>
      <c r="E7508" s="18" t="s">
        <v>0</v>
      </c>
      <c r="F7508" s="6">
        <v>8</v>
      </c>
      <c r="G7508" s="40">
        <v>80</v>
      </c>
      <c r="H7508" s="40">
        <v>439.12964999999997</v>
      </c>
      <c r="I7508" s="212"/>
      <c r="J7508" s="212"/>
    </row>
    <row r="7509" spans="1:10" s="15" customFormat="1" ht="18" hidden="1" customHeight="1" outlineLevel="1" x14ac:dyDescent="0.25">
      <c r="A7509" s="18">
        <v>4367</v>
      </c>
      <c r="B7509" s="4" t="s">
        <v>43</v>
      </c>
      <c r="C7509" s="38" t="s">
        <v>10033</v>
      </c>
      <c r="D7509" s="23">
        <v>2023</v>
      </c>
      <c r="E7509" s="18" t="s">
        <v>0</v>
      </c>
      <c r="F7509" s="6">
        <v>1</v>
      </c>
      <c r="G7509" s="40">
        <v>10</v>
      </c>
      <c r="H7509" s="40">
        <v>25.245440000000002</v>
      </c>
      <c r="I7509" s="212"/>
      <c r="J7509" s="212"/>
    </row>
    <row r="7510" spans="1:10" s="15" customFormat="1" ht="18" hidden="1" customHeight="1" outlineLevel="1" x14ac:dyDescent="0.25">
      <c r="A7510" s="18">
        <v>2334</v>
      </c>
      <c r="B7510" s="4" t="s">
        <v>43</v>
      </c>
      <c r="C7510" s="38" t="s">
        <v>10034</v>
      </c>
      <c r="D7510" s="23">
        <v>2023</v>
      </c>
      <c r="E7510" s="18" t="s">
        <v>0</v>
      </c>
      <c r="F7510" s="6">
        <v>1</v>
      </c>
      <c r="G7510" s="40">
        <v>10</v>
      </c>
      <c r="H7510" s="40">
        <v>25.245469999999997</v>
      </c>
      <c r="I7510" s="212"/>
      <c r="J7510" s="212"/>
    </row>
    <row r="7511" spans="1:10" s="15" customFormat="1" ht="18" hidden="1" customHeight="1" outlineLevel="1" x14ac:dyDescent="0.25">
      <c r="A7511" s="18">
        <v>1900</v>
      </c>
      <c r="B7511" s="4" t="s">
        <v>43</v>
      </c>
      <c r="C7511" s="38" t="s">
        <v>8462</v>
      </c>
      <c r="D7511" s="23">
        <v>2023</v>
      </c>
      <c r="E7511" s="18" t="s">
        <v>0</v>
      </c>
      <c r="F7511" s="6">
        <v>1</v>
      </c>
      <c r="G7511" s="40">
        <v>8</v>
      </c>
      <c r="H7511" s="40">
        <v>35.833559999999999</v>
      </c>
      <c r="I7511" s="212"/>
      <c r="J7511" s="212"/>
    </row>
    <row r="7512" spans="1:10" s="15" customFormat="1" ht="18" hidden="1" customHeight="1" outlineLevel="1" x14ac:dyDescent="0.25">
      <c r="A7512" s="18">
        <v>1865</v>
      </c>
      <c r="B7512" s="4" t="s">
        <v>43</v>
      </c>
      <c r="C7512" s="38" t="s">
        <v>8464</v>
      </c>
      <c r="D7512" s="23">
        <v>2023</v>
      </c>
      <c r="E7512" s="18" t="s">
        <v>0</v>
      </c>
      <c r="F7512" s="6">
        <v>1</v>
      </c>
      <c r="G7512" s="40">
        <v>10</v>
      </c>
      <c r="H7512" s="40">
        <v>43.56277</v>
      </c>
      <c r="I7512" s="212"/>
      <c r="J7512" s="212"/>
    </row>
    <row r="7513" spans="1:10" s="15" customFormat="1" ht="18" hidden="1" customHeight="1" outlineLevel="1" x14ac:dyDescent="0.25">
      <c r="A7513" s="18">
        <v>2023</v>
      </c>
      <c r="B7513" s="4" t="s">
        <v>43</v>
      </c>
      <c r="C7513" s="38" t="s">
        <v>8468</v>
      </c>
      <c r="D7513" s="23">
        <v>2023</v>
      </c>
      <c r="E7513" s="18" t="s">
        <v>0</v>
      </c>
      <c r="F7513" s="6">
        <v>1</v>
      </c>
      <c r="G7513" s="40">
        <v>5</v>
      </c>
      <c r="H7513" s="40">
        <v>38.173909999999999</v>
      </c>
      <c r="I7513" s="212"/>
      <c r="J7513" s="212"/>
    </row>
    <row r="7514" spans="1:10" s="15" customFormat="1" ht="18" hidden="1" customHeight="1" outlineLevel="1" x14ac:dyDescent="0.25">
      <c r="A7514" s="18">
        <v>2045</v>
      </c>
      <c r="B7514" s="4" t="s">
        <v>43</v>
      </c>
      <c r="C7514" s="38" t="s">
        <v>8471</v>
      </c>
      <c r="D7514" s="23">
        <v>2023</v>
      </c>
      <c r="E7514" s="18" t="s">
        <v>0</v>
      </c>
      <c r="F7514" s="6">
        <v>1</v>
      </c>
      <c r="G7514" s="40">
        <v>10</v>
      </c>
      <c r="H7514" s="40">
        <v>36.638120000000001</v>
      </c>
      <c r="I7514" s="212"/>
      <c r="J7514" s="212"/>
    </row>
    <row r="7515" spans="1:10" s="15" customFormat="1" ht="18" hidden="1" customHeight="1" outlineLevel="1" x14ac:dyDescent="0.25">
      <c r="A7515" s="18">
        <v>2282</v>
      </c>
      <c r="B7515" s="4" t="s">
        <v>43</v>
      </c>
      <c r="C7515" s="38" t="s">
        <v>10035</v>
      </c>
      <c r="D7515" s="23">
        <v>2023</v>
      </c>
      <c r="E7515" s="18" t="s">
        <v>0</v>
      </c>
      <c r="F7515" s="6">
        <v>1</v>
      </c>
      <c r="G7515" s="40">
        <v>10</v>
      </c>
      <c r="H7515" s="40">
        <v>24.652529999999999</v>
      </c>
      <c r="I7515" s="212"/>
      <c r="J7515" s="212"/>
    </row>
    <row r="7516" spans="1:10" s="15" customFormat="1" ht="18" hidden="1" customHeight="1" outlineLevel="1" x14ac:dyDescent="0.25">
      <c r="A7516" s="18">
        <v>2282</v>
      </c>
      <c r="B7516" s="4" t="s">
        <v>43</v>
      </c>
      <c r="C7516" s="38" t="s">
        <v>10036</v>
      </c>
      <c r="D7516" s="23">
        <v>2023</v>
      </c>
      <c r="E7516" s="18" t="s">
        <v>0</v>
      </c>
      <c r="F7516" s="6">
        <v>1</v>
      </c>
      <c r="G7516" s="40">
        <v>5</v>
      </c>
      <c r="H7516" s="40">
        <v>24.652529999999999</v>
      </c>
      <c r="I7516" s="212"/>
      <c r="J7516" s="212"/>
    </row>
    <row r="7517" spans="1:10" s="15" customFormat="1" ht="18" hidden="1" customHeight="1" outlineLevel="1" x14ac:dyDescent="0.25">
      <c r="A7517" s="18">
        <v>4373</v>
      </c>
      <c r="B7517" s="4" t="s">
        <v>43</v>
      </c>
      <c r="C7517" s="38" t="s">
        <v>10037</v>
      </c>
      <c r="D7517" s="23">
        <v>2023</v>
      </c>
      <c r="E7517" s="18" t="s">
        <v>0</v>
      </c>
      <c r="F7517" s="6">
        <v>1</v>
      </c>
      <c r="G7517" s="40">
        <v>7.0000000000000007E-2</v>
      </c>
      <c r="H7517" s="40">
        <v>17.238509999999998</v>
      </c>
      <c r="I7517" s="212"/>
      <c r="J7517" s="212"/>
    </row>
    <row r="7518" spans="1:10" s="15" customFormat="1" ht="18" hidden="1" customHeight="1" outlineLevel="1" x14ac:dyDescent="0.25">
      <c r="A7518" s="18">
        <v>4374</v>
      </c>
      <c r="B7518" s="4" t="s">
        <v>43</v>
      </c>
      <c r="C7518" s="38" t="s">
        <v>10038</v>
      </c>
      <c r="D7518" s="23">
        <v>2023</v>
      </c>
      <c r="E7518" s="18" t="s">
        <v>0</v>
      </c>
      <c r="F7518" s="6">
        <v>1</v>
      </c>
      <c r="G7518" s="40">
        <v>7</v>
      </c>
      <c r="H7518" s="40">
        <v>25.07856</v>
      </c>
      <c r="I7518" s="212"/>
      <c r="J7518" s="212"/>
    </row>
    <row r="7519" spans="1:10" s="15" customFormat="1" ht="18" hidden="1" customHeight="1" outlineLevel="1" x14ac:dyDescent="0.25">
      <c r="A7519" s="18">
        <v>2654</v>
      </c>
      <c r="B7519" s="4" t="s">
        <v>43</v>
      </c>
      <c r="C7519" s="38" t="s">
        <v>10039</v>
      </c>
      <c r="D7519" s="23">
        <v>2023</v>
      </c>
      <c r="E7519" s="18" t="s">
        <v>0</v>
      </c>
      <c r="F7519" s="6">
        <v>1</v>
      </c>
      <c r="G7519" s="40">
        <v>5</v>
      </c>
      <c r="H7519" s="40">
        <v>24.50667</v>
      </c>
      <c r="I7519" s="212"/>
      <c r="J7519" s="212"/>
    </row>
    <row r="7520" spans="1:10" s="15" customFormat="1" ht="18" hidden="1" customHeight="1" outlineLevel="1" x14ac:dyDescent="0.25">
      <c r="A7520" s="18">
        <v>4375</v>
      </c>
      <c r="B7520" s="4" t="s">
        <v>43</v>
      </c>
      <c r="C7520" s="38" t="s">
        <v>10040</v>
      </c>
      <c r="D7520" s="23">
        <v>2023</v>
      </c>
      <c r="E7520" s="18" t="s">
        <v>0</v>
      </c>
      <c r="F7520" s="6">
        <v>1</v>
      </c>
      <c r="G7520" s="40">
        <v>10</v>
      </c>
      <c r="H7520" s="40">
        <v>10.370100000000001</v>
      </c>
      <c r="I7520" s="212"/>
      <c r="J7520" s="212"/>
    </row>
    <row r="7521" spans="1:10" s="15" customFormat="1" ht="18" hidden="1" customHeight="1" outlineLevel="1" x14ac:dyDescent="0.25">
      <c r="A7521" s="18">
        <v>4377</v>
      </c>
      <c r="B7521" s="4" t="s">
        <v>43</v>
      </c>
      <c r="C7521" s="38" t="s">
        <v>10041</v>
      </c>
      <c r="D7521" s="23">
        <v>2023</v>
      </c>
      <c r="E7521" s="18" t="s">
        <v>0</v>
      </c>
      <c r="F7521" s="6">
        <v>1</v>
      </c>
      <c r="G7521" s="40">
        <v>10</v>
      </c>
      <c r="H7521" s="40">
        <v>10.37012</v>
      </c>
      <c r="I7521" s="212"/>
      <c r="J7521" s="212"/>
    </row>
    <row r="7522" spans="1:10" s="15" customFormat="1" ht="18" hidden="1" customHeight="1" outlineLevel="1" x14ac:dyDescent="0.25">
      <c r="A7522" s="18">
        <v>4377</v>
      </c>
      <c r="B7522" s="4" t="s">
        <v>43</v>
      </c>
      <c r="C7522" s="38" t="s">
        <v>10042</v>
      </c>
      <c r="D7522" s="23">
        <v>2023</v>
      </c>
      <c r="E7522" s="18" t="s">
        <v>0</v>
      </c>
      <c r="F7522" s="6">
        <v>1</v>
      </c>
      <c r="G7522" s="40">
        <v>15</v>
      </c>
      <c r="H7522" s="40">
        <v>10.37012</v>
      </c>
      <c r="I7522" s="212"/>
      <c r="J7522" s="212"/>
    </row>
    <row r="7523" spans="1:10" s="15" customFormat="1" ht="18" hidden="1" customHeight="1" outlineLevel="1" x14ac:dyDescent="0.25">
      <c r="A7523" s="18">
        <v>4380</v>
      </c>
      <c r="B7523" s="4" t="s">
        <v>43</v>
      </c>
      <c r="C7523" s="38" t="s">
        <v>10043</v>
      </c>
      <c r="D7523" s="23">
        <v>2023</v>
      </c>
      <c r="E7523" s="18" t="s">
        <v>0</v>
      </c>
      <c r="F7523" s="6">
        <v>1</v>
      </c>
      <c r="G7523" s="40">
        <v>10</v>
      </c>
      <c r="H7523" s="40">
        <v>10.370089999999999</v>
      </c>
      <c r="I7523" s="212"/>
      <c r="J7523" s="212"/>
    </row>
    <row r="7524" spans="1:10" s="15" customFormat="1" ht="18" hidden="1" customHeight="1" outlineLevel="1" x14ac:dyDescent="0.25">
      <c r="A7524" s="18">
        <v>4381</v>
      </c>
      <c r="B7524" s="4" t="s">
        <v>43</v>
      </c>
      <c r="C7524" s="38" t="s">
        <v>10044</v>
      </c>
      <c r="D7524" s="23">
        <v>2023</v>
      </c>
      <c r="E7524" s="18" t="s">
        <v>0</v>
      </c>
      <c r="F7524" s="6">
        <v>1</v>
      </c>
      <c r="G7524" s="40">
        <v>10</v>
      </c>
      <c r="H7524" s="40">
        <v>10.37074</v>
      </c>
      <c r="I7524" s="212"/>
      <c r="J7524" s="212"/>
    </row>
    <row r="7525" spans="1:10" s="15" customFormat="1" ht="18" hidden="1" customHeight="1" outlineLevel="1" x14ac:dyDescent="0.25">
      <c r="A7525" s="18">
        <v>4382</v>
      </c>
      <c r="B7525" s="4" t="s">
        <v>43</v>
      </c>
      <c r="C7525" s="38" t="s">
        <v>10045</v>
      </c>
      <c r="D7525" s="23">
        <v>2023</v>
      </c>
      <c r="E7525" s="18" t="s">
        <v>0</v>
      </c>
      <c r="F7525" s="6">
        <v>1</v>
      </c>
      <c r="G7525" s="40">
        <v>5</v>
      </c>
      <c r="H7525" s="40">
        <v>14.35605</v>
      </c>
      <c r="I7525" s="212"/>
      <c r="J7525" s="212"/>
    </row>
    <row r="7526" spans="1:10" s="15" customFormat="1" ht="18" hidden="1" customHeight="1" outlineLevel="1" x14ac:dyDescent="0.25">
      <c r="A7526" s="18">
        <v>2598</v>
      </c>
      <c r="B7526" s="4" t="s">
        <v>43</v>
      </c>
      <c r="C7526" s="38" t="s">
        <v>10046</v>
      </c>
      <c r="D7526" s="23">
        <v>2023</v>
      </c>
      <c r="E7526" s="18" t="s">
        <v>0</v>
      </c>
      <c r="F7526" s="6">
        <v>1</v>
      </c>
      <c r="G7526" s="40">
        <v>6</v>
      </c>
      <c r="H7526" s="40">
        <v>11.84013</v>
      </c>
      <c r="I7526" s="212"/>
      <c r="J7526" s="212"/>
    </row>
    <row r="7527" spans="1:10" s="15" customFormat="1" ht="18" hidden="1" customHeight="1" outlineLevel="1" x14ac:dyDescent="0.25">
      <c r="A7527" s="18">
        <v>2479</v>
      </c>
      <c r="B7527" s="4" t="s">
        <v>43</v>
      </c>
      <c r="C7527" s="38" t="s">
        <v>10047</v>
      </c>
      <c r="D7527" s="23">
        <v>2023</v>
      </c>
      <c r="E7527" s="18" t="s">
        <v>0</v>
      </c>
      <c r="F7527" s="6">
        <v>1</v>
      </c>
      <c r="G7527" s="40">
        <v>5</v>
      </c>
      <c r="H7527" s="40">
        <v>26.60763</v>
      </c>
      <c r="I7527" s="212"/>
      <c r="J7527" s="212"/>
    </row>
    <row r="7528" spans="1:10" s="15" customFormat="1" ht="18" hidden="1" customHeight="1" outlineLevel="1" x14ac:dyDescent="0.25">
      <c r="A7528" s="18">
        <v>4384</v>
      </c>
      <c r="B7528" s="4" t="s">
        <v>43</v>
      </c>
      <c r="C7528" s="38" t="s">
        <v>10048</v>
      </c>
      <c r="D7528" s="23">
        <v>2023</v>
      </c>
      <c r="E7528" s="18" t="s">
        <v>0</v>
      </c>
      <c r="F7528" s="6">
        <v>1</v>
      </c>
      <c r="G7528" s="40">
        <v>6</v>
      </c>
      <c r="H7528" s="40">
        <v>26.356870000000001</v>
      </c>
      <c r="I7528" s="212"/>
      <c r="J7528" s="212"/>
    </row>
    <row r="7529" spans="1:10" s="15" customFormat="1" ht="18" hidden="1" customHeight="1" outlineLevel="1" x14ac:dyDescent="0.25">
      <c r="A7529" s="18">
        <v>4385</v>
      </c>
      <c r="B7529" s="4" t="s">
        <v>43</v>
      </c>
      <c r="C7529" s="38" t="s">
        <v>10049</v>
      </c>
      <c r="D7529" s="23">
        <v>2023</v>
      </c>
      <c r="E7529" s="18" t="s">
        <v>0</v>
      </c>
      <c r="F7529" s="6">
        <v>1</v>
      </c>
      <c r="G7529" s="40">
        <v>6</v>
      </c>
      <c r="H7529" s="40">
        <v>11.605119999999999</v>
      </c>
      <c r="I7529" s="212"/>
      <c r="J7529" s="212"/>
    </row>
    <row r="7530" spans="1:10" s="15" customFormat="1" ht="18" hidden="1" customHeight="1" outlineLevel="1" x14ac:dyDescent="0.25">
      <c r="A7530" s="18">
        <v>4386</v>
      </c>
      <c r="B7530" s="4" t="s">
        <v>43</v>
      </c>
      <c r="C7530" s="38" t="s">
        <v>10050</v>
      </c>
      <c r="D7530" s="23">
        <v>2023</v>
      </c>
      <c r="E7530" s="18" t="s">
        <v>0</v>
      </c>
      <c r="F7530" s="6">
        <v>1</v>
      </c>
      <c r="G7530" s="40">
        <v>6</v>
      </c>
      <c r="H7530" s="40">
        <v>11.689220000000001</v>
      </c>
      <c r="I7530" s="212"/>
      <c r="J7530" s="212"/>
    </row>
    <row r="7531" spans="1:10" s="15" customFormat="1" ht="18" hidden="1" customHeight="1" outlineLevel="1" x14ac:dyDescent="0.25">
      <c r="A7531" s="18">
        <v>2136</v>
      </c>
      <c r="B7531" s="4" t="s">
        <v>43</v>
      </c>
      <c r="C7531" s="38" t="s">
        <v>8472</v>
      </c>
      <c r="D7531" s="23">
        <v>2023</v>
      </c>
      <c r="E7531" s="18" t="s">
        <v>0</v>
      </c>
      <c r="F7531" s="6">
        <v>1</v>
      </c>
      <c r="G7531" s="40">
        <v>6</v>
      </c>
      <c r="H7531" s="40">
        <v>38.828250000000004</v>
      </c>
      <c r="I7531" s="212"/>
      <c r="J7531" s="212"/>
    </row>
    <row r="7532" spans="1:10" s="15" customFormat="1" ht="18" hidden="1" customHeight="1" outlineLevel="1" x14ac:dyDescent="0.25">
      <c r="A7532" s="18">
        <v>2173</v>
      </c>
      <c r="B7532" s="4" t="s">
        <v>43</v>
      </c>
      <c r="C7532" s="38" t="s">
        <v>10051</v>
      </c>
      <c r="D7532" s="23">
        <v>2023</v>
      </c>
      <c r="E7532" s="18" t="s">
        <v>0</v>
      </c>
      <c r="F7532" s="6">
        <v>1</v>
      </c>
      <c r="G7532" s="40">
        <v>3</v>
      </c>
      <c r="H7532" s="40">
        <v>12.829969999999999</v>
      </c>
      <c r="I7532" s="212"/>
      <c r="J7532" s="212"/>
    </row>
    <row r="7533" spans="1:10" s="15" customFormat="1" ht="18" hidden="1" customHeight="1" outlineLevel="1" x14ac:dyDescent="0.25">
      <c r="A7533" s="18">
        <v>4387</v>
      </c>
      <c r="B7533" s="4" t="s">
        <v>43</v>
      </c>
      <c r="C7533" s="38" t="s">
        <v>10052</v>
      </c>
      <c r="D7533" s="23">
        <v>2023</v>
      </c>
      <c r="E7533" s="18" t="s">
        <v>0</v>
      </c>
      <c r="F7533" s="6">
        <v>1</v>
      </c>
      <c r="G7533" s="40">
        <v>8</v>
      </c>
      <c r="H7533" s="40">
        <v>13.680210000000001</v>
      </c>
      <c r="I7533" s="212"/>
      <c r="J7533" s="212"/>
    </row>
    <row r="7534" spans="1:10" s="15" customFormat="1" ht="18" hidden="1" customHeight="1" outlineLevel="1" x14ac:dyDescent="0.25">
      <c r="A7534" s="18">
        <v>2232</v>
      </c>
      <c r="B7534" s="4" t="s">
        <v>43</v>
      </c>
      <c r="C7534" s="38" t="s">
        <v>8477</v>
      </c>
      <c r="D7534" s="23">
        <v>2023</v>
      </c>
      <c r="E7534" s="18" t="s">
        <v>0</v>
      </c>
      <c r="F7534" s="6">
        <v>1</v>
      </c>
      <c r="G7534" s="40">
        <v>8</v>
      </c>
      <c r="H7534" s="40">
        <v>28.062989999999999</v>
      </c>
      <c r="I7534" s="212"/>
      <c r="J7534" s="212"/>
    </row>
    <row r="7535" spans="1:10" s="15" customFormat="1" ht="18" hidden="1" customHeight="1" outlineLevel="1" x14ac:dyDescent="0.25">
      <c r="A7535" s="18">
        <v>2145</v>
      </c>
      <c r="B7535" s="4" t="s">
        <v>43</v>
      </c>
      <c r="C7535" s="38" t="s">
        <v>8480</v>
      </c>
      <c r="D7535" s="23">
        <v>2023</v>
      </c>
      <c r="E7535" s="18" t="s">
        <v>0</v>
      </c>
      <c r="F7535" s="6">
        <v>1</v>
      </c>
      <c r="G7535" s="40">
        <v>10</v>
      </c>
      <c r="H7535" s="40">
        <v>35.86215</v>
      </c>
      <c r="I7535" s="212"/>
      <c r="J7535" s="212"/>
    </row>
    <row r="7536" spans="1:10" s="15" customFormat="1" ht="18" hidden="1" customHeight="1" outlineLevel="1" x14ac:dyDescent="0.25">
      <c r="A7536" s="18">
        <v>4389</v>
      </c>
      <c r="B7536" s="4" t="s">
        <v>43</v>
      </c>
      <c r="C7536" s="38" t="s">
        <v>10053</v>
      </c>
      <c r="D7536" s="23">
        <v>2023</v>
      </c>
      <c r="E7536" s="18" t="s">
        <v>0</v>
      </c>
      <c r="F7536" s="6">
        <v>1</v>
      </c>
      <c r="G7536" s="40">
        <v>10</v>
      </c>
      <c r="H7536" s="40">
        <v>17.715389999999999</v>
      </c>
      <c r="I7536" s="212"/>
      <c r="J7536" s="212"/>
    </row>
    <row r="7537" spans="1:10" s="15" customFormat="1" ht="18" hidden="1" customHeight="1" outlineLevel="1" x14ac:dyDescent="0.25">
      <c r="A7537" s="18">
        <v>2417</v>
      </c>
      <c r="B7537" s="4" t="s">
        <v>43</v>
      </c>
      <c r="C7537" s="38" t="s">
        <v>10054</v>
      </c>
      <c r="D7537" s="23">
        <v>2023</v>
      </c>
      <c r="E7537" s="18" t="s">
        <v>0</v>
      </c>
      <c r="F7537" s="6">
        <v>1</v>
      </c>
      <c r="G7537" s="40">
        <v>3</v>
      </c>
      <c r="H7537" s="40">
        <v>19.255939999999999</v>
      </c>
      <c r="I7537" s="212"/>
      <c r="J7537" s="212"/>
    </row>
    <row r="7538" spans="1:10" s="15" customFormat="1" ht="18" hidden="1" customHeight="1" outlineLevel="1" x14ac:dyDescent="0.25">
      <c r="A7538" s="18">
        <v>4391</v>
      </c>
      <c r="B7538" s="4" t="s">
        <v>43</v>
      </c>
      <c r="C7538" s="38" t="s">
        <v>10055</v>
      </c>
      <c r="D7538" s="23">
        <v>2023</v>
      </c>
      <c r="E7538" s="18" t="s">
        <v>0</v>
      </c>
      <c r="F7538" s="6">
        <v>1</v>
      </c>
      <c r="G7538" s="40">
        <v>10</v>
      </c>
      <c r="H7538" s="40">
        <v>19.703900000000001</v>
      </c>
      <c r="I7538" s="212"/>
      <c r="J7538" s="212"/>
    </row>
    <row r="7539" spans="1:10" s="15" customFormat="1" ht="18" hidden="1" customHeight="1" outlineLevel="1" x14ac:dyDescent="0.25">
      <c r="A7539" s="18">
        <v>2659</v>
      </c>
      <c r="B7539" s="4" t="s">
        <v>43</v>
      </c>
      <c r="C7539" s="38" t="s">
        <v>10056</v>
      </c>
      <c r="D7539" s="23">
        <v>2023</v>
      </c>
      <c r="E7539" s="18" t="s">
        <v>0</v>
      </c>
      <c r="F7539" s="6">
        <v>1</v>
      </c>
      <c r="G7539" s="40">
        <v>10</v>
      </c>
      <c r="H7539" s="40">
        <v>18.06148</v>
      </c>
      <c r="I7539" s="212"/>
      <c r="J7539" s="212"/>
    </row>
    <row r="7540" spans="1:10" s="15" customFormat="1" ht="18" hidden="1" customHeight="1" outlineLevel="1" x14ac:dyDescent="0.25">
      <c r="A7540" s="18">
        <v>2610</v>
      </c>
      <c r="B7540" s="4" t="s">
        <v>43</v>
      </c>
      <c r="C7540" s="38" t="s">
        <v>10057</v>
      </c>
      <c r="D7540" s="23">
        <v>2023</v>
      </c>
      <c r="E7540" s="18" t="s">
        <v>0</v>
      </c>
      <c r="F7540" s="6">
        <v>1</v>
      </c>
      <c r="G7540" s="40">
        <v>10</v>
      </c>
      <c r="H7540" s="40">
        <v>18.06147</v>
      </c>
      <c r="I7540" s="212"/>
      <c r="J7540" s="212"/>
    </row>
    <row r="7541" spans="1:10" s="15" customFormat="1" ht="18" hidden="1" customHeight="1" outlineLevel="1" x14ac:dyDescent="0.25">
      <c r="A7541" s="18">
        <v>4396</v>
      </c>
      <c r="B7541" s="4" t="s">
        <v>43</v>
      </c>
      <c r="C7541" s="38" t="s">
        <v>10058</v>
      </c>
      <c r="D7541" s="23">
        <v>2023</v>
      </c>
      <c r="E7541" s="18" t="s">
        <v>0</v>
      </c>
      <c r="F7541" s="6">
        <v>1</v>
      </c>
      <c r="G7541" s="40">
        <v>10</v>
      </c>
      <c r="H7541" s="40">
        <v>19.550509999999999</v>
      </c>
      <c r="I7541" s="212"/>
      <c r="J7541" s="212"/>
    </row>
    <row r="7542" spans="1:10" s="15" customFormat="1" ht="18" hidden="1" customHeight="1" outlineLevel="1" x14ac:dyDescent="0.25">
      <c r="A7542" s="18">
        <v>4397</v>
      </c>
      <c r="B7542" s="4" t="s">
        <v>43</v>
      </c>
      <c r="C7542" s="38" t="s">
        <v>10059</v>
      </c>
      <c r="D7542" s="23">
        <v>2023</v>
      </c>
      <c r="E7542" s="18" t="s">
        <v>0</v>
      </c>
      <c r="F7542" s="6">
        <v>1</v>
      </c>
      <c r="G7542" s="40">
        <v>10</v>
      </c>
      <c r="H7542" s="40">
        <v>19.5505</v>
      </c>
      <c r="I7542" s="212"/>
      <c r="J7542" s="212"/>
    </row>
    <row r="7543" spans="1:10" s="15" customFormat="1" ht="18" hidden="1" customHeight="1" outlineLevel="1" x14ac:dyDescent="0.25">
      <c r="A7543" s="18">
        <v>4397</v>
      </c>
      <c r="B7543" s="4" t="s">
        <v>43</v>
      </c>
      <c r="C7543" s="38" t="s">
        <v>10060</v>
      </c>
      <c r="D7543" s="23">
        <v>2023</v>
      </c>
      <c r="E7543" s="18" t="s">
        <v>0</v>
      </c>
      <c r="F7543" s="6">
        <v>1</v>
      </c>
      <c r="G7543" s="40">
        <v>10</v>
      </c>
      <c r="H7543" s="40">
        <v>19.5505</v>
      </c>
      <c r="I7543" s="212"/>
      <c r="J7543" s="212"/>
    </row>
    <row r="7544" spans="1:10" s="15" customFormat="1" ht="18" hidden="1" customHeight="1" outlineLevel="1" x14ac:dyDescent="0.25">
      <c r="A7544" s="18">
        <v>2751</v>
      </c>
      <c r="B7544" s="4" t="s">
        <v>43</v>
      </c>
      <c r="C7544" s="38" t="s">
        <v>10061</v>
      </c>
      <c r="D7544" s="23">
        <v>2023</v>
      </c>
      <c r="E7544" s="18" t="s">
        <v>0</v>
      </c>
      <c r="F7544" s="6">
        <v>1</v>
      </c>
      <c r="G7544" s="40">
        <v>3</v>
      </c>
      <c r="H7544" s="40">
        <v>19.55048</v>
      </c>
      <c r="I7544" s="212"/>
      <c r="J7544" s="212"/>
    </row>
    <row r="7545" spans="1:10" s="15" customFormat="1" ht="18" hidden="1" customHeight="1" outlineLevel="1" x14ac:dyDescent="0.25">
      <c r="A7545" s="18">
        <v>4399</v>
      </c>
      <c r="B7545" s="4" t="s">
        <v>43</v>
      </c>
      <c r="C7545" s="38" t="s">
        <v>10062</v>
      </c>
      <c r="D7545" s="23">
        <v>2023</v>
      </c>
      <c r="E7545" s="18" t="s">
        <v>0</v>
      </c>
      <c r="F7545" s="6">
        <v>1</v>
      </c>
      <c r="G7545" s="40">
        <v>1.2</v>
      </c>
      <c r="H7545" s="40">
        <v>17.967130000000001</v>
      </c>
      <c r="I7545" s="212"/>
      <c r="J7545" s="212"/>
    </row>
    <row r="7546" spans="1:10" s="15" customFormat="1" ht="18" hidden="1" customHeight="1" outlineLevel="1" x14ac:dyDescent="0.25">
      <c r="A7546" s="18">
        <v>4401</v>
      </c>
      <c r="B7546" s="4" t="s">
        <v>43</v>
      </c>
      <c r="C7546" s="38" t="s">
        <v>10063</v>
      </c>
      <c r="D7546" s="23">
        <v>2023</v>
      </c>
      <c r="E7546" s="18" t="s">
        <v>0</v>
      </c>
      <c r="F7546" s="6">
        <v>1</v>
      </c>
      <c r="G7546" s="40">
        <v>6</v>
      </c>
      <c r="H7546" s="40">
        <v>19.02177</v>
      </c>
      <c r="I7546" s="212"/>
      <c r="J7546" s="212"/>
    </row>
    <row r="7547" spans="1:10" s="15" customFormat="1" ht="18" hidden="1" customHeight="1" outlineLevel="1" x14ac:dyDescent="0.25">
      <c r="A7547" s="18">
        <v>4402</v>
      </c>
      <c r="B7547" s="4" t="s">
        <v>43</v>
      </c>
      <c r="C7547" s="38" t="s">
        <v>10064</v>
      </c>
      <c r="D7547" s="23">
        <v>2023</v>
      </c>
      <c r="E7547" s="18" t="s">
        <v>0</v>
      </c>
      <c r="F7547" s="6">
        <v>1</v>
      </c>
      <c r="G7547" s="40">
        <v>6</v>
      </c>
      <c r="H7547" s="40">
        <v>17.314499999999999</v>
      </c>
      <c r="I7547" s="212"/>
      <c r="J7547" s="212"/>
    </row>
    <row r="7548" spans="1:10" s="15" customFormat="1" ht="18" hidden="1" customHeight="1" outlineLevel="1" x14ac:dyDescent="0.25">
      <c r="A7548" s="18">
        <v>4403</v>
      </c>
      <c r="B7548" s="4" t="s">
        <v>43</v>
      </c>
      <c r="C7548" s="38" t="s">
        <v>10065</v>
      </c>
      <c r="D7548" s="23">
        <v>2023</v>
      </c>
      <c r="E7548" s="18" t="s">
        <v>0</v>
      </c>
      <c r="F7548" s="6">
        <v>1</v>
      </c>
      <c r="G7548" s="40">
        <v>6</v>
      </c>
      <c r="H7548" s="40">
        <v>17.0335</v>
      </c>
      <c r="I7548" s="212"/>
      <c r="J7548" s="212"/>
    </row>
    <row r="7549" spans="1:10" s="15" customFormat="1" ht="18" hidden="1" customHeight="1" outlineLevel="1" x14ac:dyDescent="0.25">
      <c r="A7549" s="18">
        <v>4405</v>
      </c>
      <c r="B7549" s="4" t="s">
        <v>43</v>
      </c>
      <c r="C7549" s="38" t="s">
        <v>10066</v>
      </c>
      <c r="D7549" s="23">
        <v>2023</v>
      </c>
      <c r="E7549" s="18" t="s">
        <v>0</v>
      </c>
      <c r="F7549" s="6">
        <v>1</v>
      </c>
      <c r="G7549" s="40">
        <v>7</v>
      </c>
      <c r="H7549" s="40">
        <v>18.740500000000001</v>
      </c>
      <c r="I7549" s="212"/>
      <c r="J7549" s="212"/>
    </row>
    <row r="7550" spans="1:10" s="15" customFormat="1" ht="18" hidden="1" customHeight="1" outlineLevel="1" x14ac:dyDescent="0.25">
      <c r="A7550" s="18">
        <v>3331</v>
      </c>
      <c r="B7550" s="4" t="s">
        <v>43</v>
      </c>
      <c r="C7550" s="38" t="s">
        <v>8491</v>
      </c>
      <c r="D7550" s="23">
        <v>2023</v>
      </c>
      <c r="E7550" s="18" t="s">
        <v>0</v>
      </c>
      <c r="F7550" s="6">
        <v>1</v>
      </c>
      <c r="G7550" s="40">
        <v>3</v>
      </c>
      <c r="H7550" s="40">
        <v>29.724710000000002</v>
      </c>
      <c r="I7550" s="212"/>
      <c r="J7550" s="212"/>
    </row>
    <row r="7551" spans="1:10" s="15" customFormat="1" ht="18" hidden="1" customHeight="1" outlineLevel="1" x14ac:dyDescent="0.25">
      <c r="A7551" s="18">
        <v>2906</v>
      </c>
      <c r="B7551" s="4" t="s">
        <v>43</v>
      </c>
      <c r="C7551" s="38" t="s">
        <v>8492</v>
      </c>
      <c r="D7551" s="23">
        <v>2023</v>
      </c>
      <c r="E7551" s="18" t="s">
        <v>0</v>
      </c>
      <c r="F7551" s="6">
        <v>1</v>
      </c>
      <c r="G7551" s="40">
        <v>15</v>
      </c>
      <c r="H7551" s="40">
        <v>29.972169999999998</v>
      </c>
      <c r="I7551" s="212"/>
      <c r="J7551" s="212"/>
    </row>
    <row r="7552" spans="1:10" s="15" customFormat="1" ht="18" hidden="1" customHeight="1" outlineLevel="1" x14ac:dyDescent="0.25">
      <c r="A7552" s="18">
        <v>2706</v>
      </c>
      <c r="B7552" s="4" t="s">
        <v>43</v>
      </c>
      <c r="C7552" s="38" t="s">
        <v>10067</v>
      </c>
      <c r="D7552" s="23">
        <v>2023</v>
      </c>
      <c r="E7552" s="18" t="s">
        <v>0</v>
      </c>
      <c r="F7552" s="6">
        <v>1</v>
      </c>
      <c r="G7552" s="40">
        <v>4</v>
      </c>
      <c r="H7552" s="40">
        <v>16.846699999999998</v>
      </c>
      <c r="I7552" s="212"/>
      <c r="J7552" s="212"/>
    </row>
    <row r="7553" spans="1:10" s="15" customFormat="1" ht="18" hidden="1" customHeight="1" outlineLevel="1" x14ac:dyDescent="0.25">
      <c r="A7553" s="18">
        <v>4408</v>
      </c>
      <c r="B7553" s="4" t="s">
        <v>43</v>
      </c>
      <c r="C7553" s="38" t="s">
        <v>10068</v>
      </c>
      <c r="D7553" s="23">
        <v>2023</v>
      </c>
      <c r="E7553" s="18" t="s">
        <v>0</v>
      </c>
      <c r="F7553" s="6">
        <v>1</v>
      </c>
      <c r="G7553" s="40">
        <v>10</v>
      </c>
      <c r="H7553" s="40">
        <v>16.846719999999998</v>
      </c>
      <c r="I7553" s="212"/>
      <c r="J7553" s="212"/>
    </row>
    <row r="7554" spans="1:10" s="15" customFormat="1" ht="18" hidden="1" customHeight="1" outlineLevel="1" x14ac:dyDescent="0.25">
      <c r="A7554" s="18">
        <v>4409</v>
      </c>
      <c r="B7554" s="4" t="s">
        <v>43</v>
      </c>
      <c r="C7554" s="38" t="s">
        <v>10069</v>
      </c>
      <c r="D7554" s="23">
        <v>2023</v>
      </c>
      <c r="E7554" s="18" t="s">
        <v>0</v>
      </c>
      <c r="F7554" s="6">
        <v>1</v>
      </c>
      <c r="G7554" s="40">
        <v>10</v>
      </c>
      <c r="H7554" s="40">
        <v>16.846690000000002</v>
      </c>
      <c r="I7554" s="212"/>
      <c r="J7554" s="212"/>
    </row>
    <row r="7555" spans="1:10" s="15" customFormat="1" ht="18" hidden="1" customHeight="1" outlineLevel="1" x14ac:dyDescent="0.25">
      <c r="A7555" s="18">
        <v>3329</v>
      </c>
      <c r="B7555" s="4" t="s">
        <v>43</v>
      </c>
      <c r="C7555" s="38" t="s">
        <v>8497</v>
      </c>
      <c r="D7555" s="23">
        <v>2023</v>
      </c>
      <c r="E7555" s="18" t="s">
        <v>0</v>
      </c>
      <c r="F7555" s="6">
        <v>1</v>
      </c>
      <c r="G7555" s="40">
        <v>5</v>
      </c>
      <c r="H7555" s="40">
        <v>26.3446</v>
      </c>
      <c r="I7555" s="212"/>
      <c r="J7555" s="212"/>
    </row>
    <row r="7556" spans="1:10" s="15" customFormat="1" ht="18" hidden="1" customHeight="1" outlineLevel="1" x14ac:dyDescent="0.25">
      <c r="A7556" s="18">
        <v>3731</v>
      </c>
      <c r="B7556" s="4" t="s">
        <v>43</v>
      </c>
      <c r="C7556" s="38" t="s">
        <v>10070</v>
      </c>
      <c r="D7556" s="23">
        <v>2023</v>
      </c>
      <c r="E7556" s="18" t="s">
        <v>0</v>
      </c>
      <c r="F7556" s="6">
        <v>1</v>
      </c>
      <c r="G7556" s="40">
        <v>5</v>
      </c>
      <c r="H7556" s="40">
        <v>11.8538</v>
      </c>
      <c r="I7556" s="212"/>
      <c r="J7556" s="212"/>
    </row>
    <row r="7557" spans="1:10" s="15" customFormat="1" ht="18" hidden="1" customHeight="1" outlineLevel="1" x14ac:dyDescent="0.25">
      <c r="A7557" s="18">
        <v>3742</v>
      </c>
      <c r="B7557" s="4" t="s">
        <v>43</v>
      </c>
      <c r="C7557" s="38" t="s">
        <v>10071</v>
      </c>
      <c r="D7557" s="23">
        <v>2023</v>
      </c>
      <c r="E7557" s="18" t="s">
        <v>0</v>
      </c>
      <c r="F7557" s="6">
        <v>1</v>
      </c>
      <c r="G7557" s="40">
        <v>6</v>
      </c>
      <c r="H7557" s="40">
        <v>11.487</v>
      </c>
      <c r="I7557" s="212"/>
      <c r="J7557" s="212"/>
    </row>
    <row r="7558" spans="1:10" s="15" customFormat="1" ht="18" hidden="1" customHeight="1" outlineLevel="1" x14ac:dyDescent="0.25">
      <c r="A7558" s="18">
        <v>4618</v>
      </c>
      <c r="B7558" s="4" t="s">
        <v>43</v>
      </c>
      <c r="C7558" s="38" t="s">
        <v>10072</v>
      </c>
      <c r="D7558" s="23">
        <v>2023</v>
      </c>
      <c r="E7558" s="18" t="s">
        <v>0</v>
      </c>
      <c r="F7558" s="6">
        <v>1</v>
      </c>
      <c r="G7558" s="40">
        <v>0.8</v>
      </c>
      <c r="H7558" s="40">
        <v>22.026</v>
      </c>
      <c r="I7558" s="212"/>
      <c r="J7558" s="212"/>
    </row>
    <row r="7559" spans="1:10" s="15" customFormat="1" ht="18" hidden="1" customHeight="1" outlineLevel="1" x14ac:dyDescent="0.25">
      <c r="A7559" s="18">
        <v>4654</v>
      </c>
      <c r="B7559" s="4" t="s">
        <v>43</v>
      </c>
      <c r="C7559" s="38" t="s">
        <v>10073</v>
      </c>
      <c r="D7559" s="23">
        <v>2023</v>
      </c>
      <c r="E7559" s="18" t="s">
        <v>0</v>
      </c>
      <c r="F7559" s="6">
        <v>1</v>
      </c>
      <c r="G7559" s="40">
        <v>5</v>
      </c>
      <c r="H7559" s="40">
        <v>13.945</v>
      </c>
      <c r="I7559" s="212"/>
      <c r="J7559" s="212"/>
    </row>
    <row r="7560" spans="1:10" s="15" customFormat="1" ht="18" hidden="1" customHeight="1" outlineLevel="1" x14ac:dyDescent="0.25">
      <c r="A7560" s="18">
        <v>3446</v>
      </c>
      <c r="B7560" s="4" t="s">
        <v>43</v>
      </c>
      <c r="C7560" s="38" t="s">
        <v>10074</v>
      </c>
      <c r="D7560" s="23">
        <v>2023</v>
      </c>
      <c r="E7560" s="18" t="s">
        <v>0</v>
      </c>
      <c r="F7560" s="6">
        <v>1</v>
      </c>
      <c r="G7560" s="40">
        <v>5</v>
      </c>
      <c r="H7560" s="40">
        <v>14.112500000000001</v>
      </c>
      <c r="I7560" s="212"/>
      <c r="J7560" s="212"/>
    </row>
    <row r="7561" spans="1:10" s="15" customFormat="1" ht="18" hidden="1" customHeight="1" outlineLevel="1" x14ac:dyDescent="0.25">
      <c r="A7561" s="18">
        <v>4630</v>
      </c>
      <c r="B7561" s="4" t="s">
        <v>43</v>
      </c>
      <c r="C7561" s="38" t="s">
        <v>10075</v>
      </c>
      <c r="D7561" s="23">
        <v>2023</v>
      </c>
      <c r="E7561" s="18" t="s">
        <v>0</v>
      </c>
      <c r="F7561" s="6">
        <v>1</v>
      </c>
      <c r="G7561" s="40">
        <v>5</v>
      </c>
      <c r="H7561" s="40">
        <v>15.477</v>
      </c>
      <c r="I7561" s="212"/>
      <c r="J7561" s="212"/>
    </row>
    <row r="7562" spans="1:10" s="15" customFormat="1" ht="18" hidden="1" customHeight="1" outlineLevel="1" x14ac:dyDescent="0.25">
      <c r="A7562" s="18">
        <v>4638</v>
      </c>
      <c r="B7562" s="4" t="s">
        <v>43</v>
      </c>
      <c r="C7562" s="38" t="s">
        <v>10076</v>
      </c>
      <c r="D7562" s="23">
        <v>2023</v>
      </c>
      <c r="E7562" s="18" t="s">
        <v>0</v>
      </c>
      <c r="F7562" s="6">
        <v>1</v>
      </c>
      <c r="G7562" s="40">
        <v>2</v>
      </c>
      <c r="H7562" s="40">
        <v>9.7243999999999993</v>
      </c>
      <c r="I7562" s="212"/>
      <c r="J7562" s="212"/>
    </row>
    <row r="7563" spans="1:10" s="15" customFormat="1" ht="18" hidden="1" customHeight="1" outlineLevel="1" x14ac:dyDescent="0.25">
      <c r="A7563" s="18">
        <v>4639</v>
      </c>
      <c r="B7563" s="4" t="s">
        <v>43</v>
      </c>
      <c r="C7563" s="38" t="s">
        <v>10077</v>
      </c>
      <c r="D7563" s="23">
        <v>2023</v>
      </c>
      <c r="E7563" s="18" t="s">
        <v>0</v>
      </c>
      <c r="F7563" s="6">
        <v>1</v>
      </c>
      <c r="G7563" s="40">
        <v>1</v>
      </c>
      <c r="H7563" s="40">
        <v>9.8109999999999999</v>
      </c>
      <c r="I7563" s="212"/>
      <c r="J7563" s="212"/>
    </row>
    <row r="7564" spans="1:10" s="15" customFormat="1" ht="18" hidden="1" customHeight="1" outlineLevel="1" x14ac:dyDescent="0.25">
      <c r="A7564" s="18">
        <v>4640</v>
      </c>
      <c r="B7564" s="4" t="s">
        <v>43</v>
      </c>
      <c r="C7564" s="38" t="s">
        <v>10078</v>
      </c>
      <c r="D7564" s="23">
        <v>2023</v>
      </c>
      <c r="E7564" s="18" t="s">
        <v>0</v>
      </c>
      <c r="F7564" s="6">
        <v>1</v>
      </c>
      <c r="G7564" s="40">
        <v>5</v>
      </c>
      <c r="H7564" s="40">
        <v>10.210800000000001</v>
      </c>
      <c r="I7564" s="212"/>
      <c r="J7564" s="212"/>
    </row>
    <row r="7565" spans="1:10" s="15" customFormat="1" ht="18" hidden="1" customHeight="1" outlineLevel="1" x14ac:dyDescent="0.25">
      <c r="A7565" s="18">
        <v>4641</v>
      </c>
      <c r="B7565" s="4" t="s">
        <v>43</v>
      </c>
      <c r="C7565" s="38" t="s">
        <v>10079</v>
      </c>
      <c r="D7565" s="23">
        <v>2023</v>
      </c>
      <c r="E7565" s="18" t="s">
        <v>0</v>
      </c>
      <c r="F7565" s="6">
        <v>1</v>
      </c>
      <c r="G7565" s="40">
        <v>5</v>
      </c>
      <c r="H7565" s="40">
        <v>9.8286499999999997</v>
      </c>
      <c r="I7565" s="212"/>
      <c r="J7565" s="212"/>
    </row>
    <row r="7566" spans="1:10" s="15" customFormat="1" ht="18" hidden="1" customHeight="1" outlineLevel="1" x14ac:dyDescent="0.25">
      <c r="A7566" s="18">
        <v>4642</v>
      </c>
      <c r="B7566" s="4" t="s">
        <v>43</v>
      </c>
      <c r="C7566" s="38" t="s">
        <v>10080</v>
      </c>
      <c r="D7566" s="23">
        <v>2023</v>
      </c>
      <c r="E7566" s="18" t="s">
        <v>0</v>
      </c>
      <c r="F7566" s="6">
        <v>1</v>
      </c>
      <c r="G7566" s="40">
        <v>5</v>
      </c>
      <c r="H7566" s="40">
        <v>25.878</v>
      </c>
      <c r="I7566" s="212"/>
      <c r="J7566" s="212"/>
    </row>
    <row r="7567" spans="1:10" s="15" customFormat="1" ht="18" hidden="1" customHeight="1" outlineLevel="1" x14ac:dyDescent="0.25">
      <c r="A7567" s="18">
        <v>4644</v>
      </c>
      <c r="B7567" s="4" t="s">
        <v>43</v>
      </c>
      <c r="C7567" s="38" t="s">
        <v>10081</v>
      </c>
      <c r="D7567" s="23">
        <v>2023</v>
      </c>
      <c r="E7567" s="18" t="s">
        <v>0</v>
      </c>
      <c r="F7567" s="6">
        <v>1</v>
      </c>
      <c r="G7567" s="40">
        <v>1</v>
      </c>
      <c r="H7567" s="40">
        <v>9.8282799999999995</v>
      </c>
      <c r="I7567" s="212"/>
      <c r="J7567" s="212"/>
    </row>
    <row r="7568" spans="1:10" s="15" customFormat="1" ht="18" hidden="1" customHeight="1" outlineLevel="1" x14ac:dyDescent="0.25">
      <c r="A7568" s="18">
        <v>4645</v>
      </c>
      <c r="B7568" s="4" t="s">
        <v>43</v>
      </c>
      <c r="C7568" s="38" t="s">
        <v>10082</v>
      </c>
      <c r="D7568" s="23">
        <v>2023</v>
      </c>
      <c r="E7568" s="18" t="s">
        <v>0</v>
      </c>
      <c r="F7568" s="6">
        <v>1</v>
      </c>
      <c r="G7568" s="40">
        <v>5</v>
      </c>
      <c r="H7568" s="40">
        <v>15.4679</v>
      </c>
      <c r="I7568" s="212"/>
      <c r="J7568" s="212"/>
    </row>
    <row r="7569" spans="1:10" s="15" customFormat="1" ht="18" hidden="1" customHeight="1" outlineLevel="1" x14ac:dyDescent="0.25">
      <c r="A7569" s="18">
        <v>3467</v>
      </c>
      <c r="B7569" s="4" t="s">
        <v>43</v>
      </c>
      <c r="C7569" s="38" t="s">
        <v>10083</v>
      </c>
      <c r="D7569" s="23">
        <v>2023</v>
      </c>
      <c r="E7569" s="18" t="s">
        <v>0</v>
      </c>
      <c r="F7569" s="6">
        <v>1</v>
      </c>
      <c r="G7569" s="40">
        <v>5.5</v>
      </c>
      <c r="H7569" s="40">
        <v>25.7867</v>
      </c>
      <c r="I7569" s="212"/>
      <c r="J7569" s="212"/>
    </row>
    <row r="7570" spans="1:10" s="15" customFormat="1" ht="18" hidden="1" customHeight="1" outlineLevel="1" x14ac:dyDescent="0.25">
      <c r="A7570" s="18">
        <v>702</v>
      </c>
      <c r="B7570" s="4" t="s">
        <v>43</v>
      </c>
      <c r="C7570" s="38" t="s">
        <v>9242</v>
      </c>
      <c r="D7570" s="23">
        <v>2023</v>
      </c>
      <c r="E7570" s="18" t="s">
        <v>0</v>
      </c>
      <c r="F7570" s="6">
        <v>1</v>
      </c>
      <c r="G7570" s="40">
        <v>5</v>
      </c>
      <c r="H7570" s="40">
        <v>48.094000000000001</v>
      </c>
      <c r="I7570" s="212"/>
      <c r="J7570" s="212"/>
    </row>
    <row r="7571" spans="1:10" s="15" customFormat="1" ht="18" hidden="1" customHeight="1" outlineLevel="1" x14ac:dyDescent="0.25">
      <c r="A7571" s="18">
        <v>4663</v>
      </c>
      <c r="B7571" s="4" t="s">
        <v>43</v>
      </c>
      <c r="C7571" s="38" t="s">
        <v>10084</v>
      </c>
      <c r="D7571" s="23">
        <v>2023</v>
      </c>
      <c r="E7571" s="18" t="s">
        <v>0</v>
      </c>
      <c r="F7571" s="6">
        <v>1</v>
      </c>
      <c r="G7571" s="40">
        <v>10</v>
      </c>
      <c r="H7571" s="40">
        <v>26.861000000000001</v>
      </c>
      <c r="I7571" s="212"/>
      <c r="J7571" s="212"/>
    </row>
    <row r="7572" spans="1:10" s="15" customFormat="1" ht="18" hidden="1" customHeight="1" outlineLevel="1" x14ac:dyDescent="0.25">
      <c r="A7572" s="18">
        <v>4668</v>
      </c>
      <c r="B7572" s="4" t="s">
        <v>43</v>
      </c>
      <c r="C7572" s="38" t="s">
        <v>10085</v>
      </c>
      <c r="D7572" s="23">
        <v>2023</v>
      </c>
      <c r="E7572" s="18" t="s">
        <v>0</v>
      </c>
      <c r="F7572" s="6">
        <v>1</v>
      </c>
      <c r="G7572" s="40">
        <v>5</v>
      </c>
      <c r="H7572" s="40">
        <v>27.106000000000002</v>
      </c>
      <c r="I7572" s="212"/>
      <c r="J7572" s="212"/>
    </row>
    <row r="7573" spans="1:10" s="15" customFormat="1" ht="18" hidden="1" customHeight="1" outlineLevel="1" x14ac:dyDescent="0.25">
      <c r="A7573" s="18">
        <v>1281</v>
      </c>
      <c r="B7573" s="4" t="s">
        <v>43</v>
      </c>
      <c r="C7573" s="38" t="s">
        <v>10086</v>
      </c>
      <c r="D7573" s="23">
        <v>2023</v>
      </c>
      <c r="E7573" s="18" t="s">
        <v>0</v>
      </c>
      <c r="F7573" s="6">
        <v>1</v>
      </c>
      <c r="G7573" s="40">
        <v>5</v>
      </c>
      <c r="H7573" s="40">
        <v>32.76</v>
      </c>
      <c r="I7573" s="212"/>
      <c r="J7573" s="212"/>
    </row>
    <row r="7574" spans="1:10" s="15" customFormat="1" ht="18" hidden="1" customHeight="1" outlineLevel="1" x14ac:dyDescent="0.25">
      <c r="A7574" s="18">
        <v>4669</v>
      </c>
      <c r="B7574" s="4" t="s">
        <v>43</v>
      </c>
      <c r="C7574" s="38" t="s">
        <v>10087</v>
      </c>
      <c r="D7574" s="23">
        <v>2023</v>
      </c>
      <c r="E7574" s="18" t="s">
        <v>0</v>
      </c>
      <c r="F7574" s="6">
        <v>1</v>
      </c>
      <c r="G7574" s="40">
        <v>5</v>
      </c>
      <c r="H7574" s="40">
        <v>31.704999999999998</v>
      </c>
      <c r="I7574" s="212"/>
      <c r="J7574" s="212"/>
    </row>
    <row r="7575" spans="1:10" s="15" customFormat="1" ht="18" hidden="1" customHeight="1" outlineLevel="1" x14ac:dyDescent="0.25">
      <c r="A7575" s="18">
        <v>4662</v>
      </c>
      <c r="B7575" s="4" t="s">
        <v>43</v>
      </c>
      <c r="C7575" s="38" t="s">
        <v>10088</v>
      </c>
      <c r="D7575" s="23">
        <v>2023</v>
      </c>
      <c r="E7575" s="18" t="s">
        <v>0</v>
      </c>
      <c r="F7575" s="6">
        <v>1</v>
      </c>
      <c r="G7575" s="40">
        <v>14.5</v>
      </c>
      <c r="H7575" s="40">
        <v>29.821000000000002</v>
      </c>
      <c r="I7575" s="212"/>
      <c r="J7575" s="212"/>
    </row>
    <row r="7576" spans="1:10" s="15" customFormat="1" ht="18" hidden="1" customHeight="1" outlineLevel="1" x14ac:dyDescent="0.25">
      <c r="A7576" s="18">
        <v>3931</v>
      </c>
      <c r="B7576" s="4" t="s">
        <v>43</v>
      </c>
      <c r="C7576" s="38" t="s">
        <v>9251</v>
      </c>
      <c r="D7576" s="23">
        <v>2023</v>
      </c>
      <c r="E7576" s="18" t="s">
        <v>0</v>
      </c>
      <c r="F7576" s="6">
        <v>1</v>
      </c>
      <c r="G7576" s="40">
        <v>5</v>
      </c>
      <c r="H7576" s="40">
        <v>46.691000000000003</v>
      </c>
      <c r="I7576" s="212"/>
      <c r="J7576" s="212"/>
    </row>
    <row r="7577" spans="1:10" s="15" customFormat="1" ht="18" hidden="1" customHeight="1" outlineLevel="1" x14ac:dyDescent="0.25">
      <c r="A7577" s="18">
        <v>3934</v>
      </c>
      <c r="B7577" s="4" t="s">
        <v>43</v>
      </c>
      <c r="C7577" s="38" t="s">
        <v>9252</v>
      </c>
      <c r="D7577" s="23">
        <v>2023</v>
      </c>
      <c r="E7577" s="18" t="s">
        <v>0</v>
      </c>
      <c r="F7577" s="6">
        <v>1</v>
      </c>
      <c r="G7577" s="40">
        <v>5</v>
      </c>
      <c r="H7577" s="40">
        <v>39.311</v>
      </c>
      <c r="I7577" s="212"/>
      <c r="J7577" s="212"/>
    </row>
    <row r="7578" spans="1:10" s="15" customFormat="1" ht="18" hidden="1" customHeight="1" outlineLevel="1" x14ac:dyDescent="0.25">
      <c r="A7578" s="18">
        <v>450</v>
      </c>
      <c r="B7578" s="4" t="s">
        <v>43</v>
      </c>
      <c r="C7578" s="38" t="s">
        <v>9257</v>
      </c>
      <c r="D7578" s="23">
        <v>2023</v>
      </c>
      <c r="E7578" s="18" t="s">
        <v>0</v>
      </c>
      <c r="F7578" s="6">
        <v>1</v>
      </c>
      <c r="G7578" s="40">
        <v>5</v>
      </c>
      <c r="H7578" s="40">
        <v>35.199800000000003</v>
      </c>
      <c r="I7578" s="212"/>
      <c r="J7578" s="212"/>
    </row>
    <row r="7579" spans="1:10" s="15" customFormat="1" ht="18" hidden="1" customHeight="1" outlineLevel="1" x14ac:dyDescent="0.25">
      <c r="A7579" s="18">
        <v>1319</v>
      </c>
      <c r="B7579" s="4" t="s">
        <v>43</v>
      </c>
      <c r="C7579" s="38" t="s">
        <v>10089</v>
      </c>
      <c r="D7579" s="23">
        <v>2023</v>
      </c>
      <c r="E7579" s="18" t="s">
        <v>0</v>
      </c>
      <c r="F7579" s="6">
        <v>1</v>
      </c>
      <c r="G7579" s="40">
        <v>5</v>
      </c>
      <c r="H7579" s="40">
        <v>11.959</v>
      </c>
      <c r="I7579" s="212"/>
      <c r="J7579" s="212"/>
    </row>
    <row r="7580" spans="1:10" s="15" customFormat="1" ht="18" hidden="1" customHeight="1" outlineLevel="1" x14ac:dyDescent="0.25">
      <c r="A7580" s="18">
        <v>1416</v>
      </c>
      <c r="B7580" s="4" t="s">
        <v>43</v>
      </c>
      <c r="C7580" s="38" t="s">
        <v>10090</v>
      </c>
      <c r="D7580" s="23">
        <v>2023</v>
      </c>
      <c r="E7580" s="18" t="s">
        <v>0</v>
      </c>
      <c r="F7580" s="6">
        <v>1</v>
      </c>
      <c r="G7580" s="40">
        <v>5</v>
      </c>
      <c r="H7580" s="40">
        <v>12.128</v>
      </c>
      <c r="I7580" s="212"/>
      <c r="J7580" s="212"/>
    </row>
    <row r="7581" spans="1:10" s="15" customFormat="1" ht="18" hidden="1" customHeight="1" outlineLevel="1" x14ac:dyDescent="0.25">
      <c r="A7581" s="18">
        <v>1302</v>
      </c>
      <c r="B7581" s="4" t="s">
        <v>43</v>
      </c>
      <c r="C7581" s="38" t="s">
        <v>10091</v>
      </c>
      <c r="D7581" s="23">
        <v>2023</v>
      </c>
      <c r="E7581" s="18" t="s">
        <v>0</v>
      </c>
      <c r="F7581" s="6">
        <v>1</v>
      </c>
      <c r="G7581" s="40">
        <v>5</v>
      </c>
      <c r="H7581" s="40">
        <v>12.128</v>
      </c>
      <c r="I7581" s="212"/>
      <c r="J7581" s="212"/>
    </row>
    <row r="7582" spans="1:10" s="15" customFormat="1" ht="18" hidden="1" customHeight="1" outlineLevel="1" x14ac:dyDescent="0.25">
      <c r="A7582" s="18">
        <v>4671</v>
      </c>
      <c r="B7582" s="4" t="s">
        <v>43</v>
      </c>
      <c r="C7582" s="38" t="s">
        <v>10092</v>
      </c>
      <c r="D7582" s="23">
        <v>2023</v>
      </c>
      <c r="E7582" s="18" t="s">
        <v>0</v>
      </c>
      <c r="F7582" s="6">
        <v>1</v>
      </c>
      <c r="G7582" s="40">
        <v>2</v>
      </c>
      <c r="H7582" s="40">
        <v>18.922999999999998</v>
      </c>
      <c r="I7582" s="212"/>
      <c r="J7582" s="212"/>
    </row>
    <row r="7583" spans="1:10" s="15" customFormat="1" ht="18" hidden="1" customHeight="1" outlineLevel="1" x14ac:dyDescent="0.25">
      <c r="A7583" s="18">
        <v>4672</v>
      </c>
      <c r="B7583" s="4" t="s">
        <v>43</v>
      </c>
      <c r="C7583" s="38" t="s">
        <v>10093</v>
      </c>
      <c r="D7583" s="23">
        <v>2023</v>
      </c>
      <c r="E7583" s="18" t="s">
        <v>0</v>
      </c>
      <c r="F7583" s="6">
        <v>1</v>
      </c>
      <c r="G7583" s="40">
        <v>1</v>
      </c>
      <c r="H7583" s="40">
        <v>10.841999999999999</v>
      </c>
      <c r="I7583" s="212"/>
      <c r="J7583" s="212"/>
    </row>
    <row r="7584" spans="1:10" s="15" customFormat="1" ht="18" hidden="1" customHeight="1" outlineLevel="1" x14ac:dyDescent="0.25">
      <c r="A7584" s="18">
        <v>4674</v>
      </c>
      <c r="B7584" s="4" t="s">
        <v>43</v>
      </c>
      <c r="C7584" s="38" t="s">
        <v>10094</v>
      </c>
      <c r="D7584" s="23">
        <v>2023</v>
      </c>
      <c r="E7584" s="18" t="s">
        <v>0</v>
      </c>
      <c r="F7584" s="6">
        <v>1</v>
      </c>
      <c r="G7584" s="40">
        <v>5</v>
      </c>
      <c r="H7584" s="40">
        <v>10.841999999999999</v>
      </c>
      <c r="I7584" s="212"/>
      <c r="J7584" s="212"/>
    </row>
    <row r="7585" spans="1:10" s="15" customFormat="1" ht="18" hidden="1" customHeight="1" outlineLevel="1" x14ac:dyDescent="0.25">
      <c r="A7585" s="18">
        <v>4675</v>
      </c>
      <c r="B7585" s="4" t="s">
        <v>43</v>
      </c>
      <c r="C7585" s="38" t="s">
        <v>10095</v>
      </c>
      <c r="D7585" s="23">
        <v>2023</v>
      </c>
      <c r="E7585" s="18" t="s">
        <v>0</v>
      </c>
      <c r="F7585" s="6">
        <v>1</v>
      </c>
      <c r="G7585" s="40">
        <v>0.45</v>
      </c>
      <c r="H7585" s="40">
        <v>10.841999999999999</v>
      </c>
      <c r="I7585" s="212"/>
      <c r="J7585" s="212"/>
    </row>
    <row r="7586" spans="1:10" s="15" customFormat="1" ht="18" hidden="1" customHeight="1" outlineLevel="1" x14ac:dyDescent="0.25">
      <c r="A7586" s="18">
        <v>1532</v>
      </c>
      <c r="B7586" s="4" t="s">
        <v>43</v>
      </c>
      <c r="C7586" s="38" t="s">
        <v>10096</v>
      </c>
      <c r="D7586" s="23">
        <v>2023</v>
      </c>
      <c r="E7586" s="18" t="s">
        <v>0</v>
      </c>
      <c r="F7586" s="6">
        <v>1</v>
      </c>
      <c r="G7586" s="40">
        <v>5</v>
      </c>
      <c r="H7586" s="40">
        <v>11.664999999999999</v>
      </c>
      <c r="I7586" s="212"/>
      <c r="J7586" s="212"/>
    </row>
    <row r="7587" spans="1:10" s="15" customFormat="1" ht="18" hidden="1" customHeight="1" outlineLevel="1" x14ac:dyDescent="0.25">
      <c r="A7587" s="18">
        <v>1515</v>
      </c>
      <c r="B7587" s="4" t="s">
        <v>43</v>
      </c>
      <c r="C7587" s="38" t="s">
        <v>10097</v>
      </c>
      <c r="D7587" s="23">
        <v>2023</v>
      </c>
      <c r="E7587" s="18" t="s">
        <v>0</v>
      </c>
      <c r="F7587" s="6">
        <v>1</v>
      </c>
      <c r="G7587" s="40">
        <v>5</v>
      </c>
      <c r="H7587" s="40">
        <v>11.863</v>
      </c>
      <c r="I7587" s="212"/>
      <c r="J7587" s="212"/>
    </row>
    <row r="7588" spans="1:10" s="15" customFormat="1" ht="18" hidden="1" customHeight="1" outlineLevel="1" x14ac:dyDescent="0.25">
      <c r="A7588" s="18">
        <v>349</v>
      </c>
      <c r="B7588" s="4" t="s">
        <v>43</v>
      </c>
      <c r="C7588" s="38" t="s">
        <v>10098</v>
      </c>
      <c r="D7588" s="23">
        <v>2023</v>
      </c>
      <c r="E7588" s="18" t="s">
        <v>0</v>
      </c>
      <c r="F7588" s="6">
        <v>1</v>
      </c>
      <c r="G7588" s="40">
        <v>5</v>
      </c>
      <c r="H7588" s="40">
        <v>32.741999999999997</v>
      </c>
      <c r="I7588" s="212"/>
      <c r="J7588" s="212"/>
    </row>
    <row r="7589" spans="1:10" s="15" customFormat="1" ht="18" hidden="1" customHeight="1" outlineLevel="1" x14ac:dyDescent="0.25">
      <c r="A7589" s="18">
        <v>393</v>
      </c>
      <c r="B7589" s="4" t="s">
        <v>43</v>
      </c>
      <c r="C7589" s="38" t="s">
        <v>10099</v>
      </c>
      <c r="D7589" s="23">
        <v>2023</v>
      </c>
      <c r="E7589" s="18" t="s">
        <v>0</v>
      </c>
      <c r="F7589" s="6">
        <v>1</v>
      </c>
      <c r="G7589" s="40">
        <v>5</v>
      </c>
      <c r="H7589" s="40">
        <v>35.778999999999996</v>
      </c>
      <c r="I7589" s="212"/>
      <c r="J7589" s="212"/>
    </row>
    <row r="7590" spans="1:10" s="15" customFormat="1" ht="18" hidden="1" customHeight="1" outlineLevel="1" x14ac:dyDescent="0.25">
      <c r="A7590" s="18">
        <v>1400</v>
      </c>
      <c r="B7590" s="4" t="s">
        <v>43</v>
      </c>
      <c r="C7590" s="38" t="s">
        <v>10100</v>
      </c>
      <c r="D7590" s="23">
        <v>2023</v>
      </c>
      <c r="E7590" s="18" t="s">
        <v>0</v>
      </c>
      <c r="F7590" s="6">
        <v>1</v>
      </c>
      <c r="G7590" s="40">
        <v>5</v>
      </c>
      <c r="H7590" s="40">
        <v>26.085000000000001</v>
      </c>
      <c r="I7590" s="212"/>
      <c r="J7590" s="212"/>
    </row>
    <row r="7591" spans="1:10" s="15" customFormat="1" ht="18" hidden="1" customHeight="1" outlineLevel="1" x14ac:dyDescent="0.25">
      <c r="A7591" s="18">
        <v>4585</v>
      </c>
      <c r="B7591" s="4" t="s">
        <v>43</v>
      </c>
      <c r="C7591" s="38" t="s">
        <v>10101</v>
      </c>
      <c r="D7591" s="23">
        <v>2023</v>
      </c>
      <c r="E7591" s="18" t="s">
        <v>0</v>
      </c>
      <c r="F7591" s="6">
        <v>1</v>
      </c>
      <c r="G7591" s="40">
        <v>5</v>
      </c>
      <c r="H7591" s="40">
        <v>41.937000000000005</v>
      </c>
      <c r="I7591" s="212"/>
      <c r="J7591" s="212"/>
    </row>
    <row r="7592" spans="1:10" s="15" customFormat="1" ht="18" hidden="1" customHeight="1" outlineLevel="1" x14ac:dyDescent="0.25">
      <c r="A7592" s="18">
        <v>4615</v>
      </c>
      <c r="B7592" s="4" t="s">
        <v>43</v>
      </c>
      <c r="C7592" s="38" t="s">
        <v>10102</v>
      </c>
      <c r="D7592" s="23">
        <v>2023</v>
      </c>
      <c r="E7592" s="18" t="s">
        <v>0</v>
      </c>
      <c r="F7592" s="6">
        <v>1</v>
      </c>
      <c r="G7592" s="40">
        <v>6</v>
      </c>
      <c r="H7592" s="40">
        <v>33.821999999999996</v>
      </c>
      <c r="I7592" s="212"/>
      <c r="J7592" s="212"/>
    </row>
    <row r="7593" spans="1:10" s="15" customFormat="1" ht="18" hidden="1" customHeight="1" outlineLevel="1" x14ac:dyDescent="0.25">
      <c r="A7593" s="18">
        <v>4619</v>
      </c>
      <c r="B7593" s="4" t="s">
        <v>43</v>
      </c>
      <c r="C7593" s="38" t="s">
        <v>10103</v>
      </c>
      <c r="D7593" s="23">
        <v>2023</v>
      </c>
      <c r="E7593" s="18" t="s">
        <v>0</v>
      </c>
      <c r="F7593" s="6">
        <v>1</v>
      </c>
      <c r="G7593" s="40">
        <v>5</v>
      </c>
      <c r="H7593" s="40">
        <v>27.425000000000001</v>
      </c>
      <c r="I7593" s="212"/>
      <c r="J7593" s="212"/>
    </row>
    <row r="7594" spans="1:10" s="15" customFormat="1" ht="18" hidden="1" customHeight="1" outlineLevel="1" x14ac:dyDescent="0.25">
      <c r="A7594" s="18">
        <v>3940</v>
      </c>
      <c r="B7594" s="4" t="s">
        <v>43</v>
      </c>
      <c r="C7594" s="38" t="s">
        <v>10104</v>
      </c>
      <c r="D7594" s="23">
        <v>2023</v>
      </c>
      <c r="E7594" s="18" t="s">
        <v>0</v>
      </c>
      <c r="F7594" s="6">
        <v>1</v>
      </c>
      <c r="G7594" s="40">
        <v>3</v>
      </c>
      <c r="H7594" s="40">
        <v>28.926000000000002</v>
      </c>
      <c r="I7594" s="212"/>
      <c r="J7594" s="212"/>
    </row>
    <row r="7595" spans="1:10" s="15" customFormat="1" ht="18" hidden="1" customHeight="1" outlineLevel="1" x14ac:dyDescent="0.25">
      <c r="A7595" s="18">
        <v>4621</v>
      </c>
      <c r="B7595" s="4" t="s">
        <v>43</v>
      </c>
      <c r="C7595" s="38" t="s">
        <v>10105</v>
      </c>
      <c r="D7595" s="23">
        <v>2023</v>
      </c>
      <c r="E7595" s="18" t="s">
        <v>0</v>
      </c>
      <c r="F7595" s="6">
        <v>1</v>
      </c>
      <c r="G7595" s="40">
        <v>15</v>
      </c>
      <c r="H7595" s="40">
        <v>33.808999999999997</v>
      </c>
      <c r="I7595" s="212"/>
      <c r="J7595" s="212"/>
    </row>
    <row r="7596" spans="1:10" s="15" customFormat="1" ht="18" hidden="1" customHeight="1" outlineLevel="1" x14ac:dyDescent="0.25">
      <c r="A7596" s="18">
        <v>3879</v>
      </c>
      <c r="B7596" s="4" t="s">
        <v>43</v>
      </c>
      <c r="C7596" s="38" t="s">
        <v>10106</v>
      </c>
      <c r="D7596" s="23">
        <v>2023</v>
      </c>
      <c r="E7596" s="18" t="s">
        <v>0</v>
      </c>
      <c r="F7596" s="6">
        <v>1</v>
      </c>
      <c r="G7596" s="40">
        <v>5</v>
      </c>
      <c r="H7596" s="40">
        <v>34.819000000000003</v>
      </c>
      <c r="I7596" s="212"/>
      <c r="J7596" s="212"/>
    </row>
    <row r="7597" spans="1:10" s="15" customFormat="1" ht="18" hidden="1" customHeight="1" outlineLevel="1" x14ac:dyDescent="0.25">
      <c r="A7597" s="18">
        <v>4700</v>
      </c>
      <c r="B7597" s="4" t="s">
        <v>43</v>
      </c>
      <c r="C7597" s="38" t="s">
        <v>10107</v>
      </c>
      <c r="D7597" s="23">
        <v>2023</v>
      </c>
      <c r="E7597" s="18" t="s">
        <v>0</v>
      </c>
      <c r="F7597" s="6">
        <v>1</v>
      </c>
      <c r="G7597" s="40">
        <v>5</v>
      </c>
      <c r="H7597" s="40">
        <v>25.972999999999999</v>
      </c>
      <c r="I7597" s="212"/>
      <c r="J7597" s="212"/>
    </row>
    <row r="7598" spans="1:10" s="15" customFormat="1" ht="18" hidden="1" customHeight="1" outlineLevel="1" x14ac:dyDescent="0.25">
      <c r="A7598" s="18">
        <v>4701</v>
      </c>
      <c r="B7598" s="4" t="s">
        <v>43</v>
      </c>
      <c r="C7598" s="38" t="s">
        <v>10108</v>
      </c>
      <c r="D7598" s="23">
        <v>2023</v>
      </c>
      <c r="E7598" s="18" t="s">
        <v>0</v>
      </c>
      <c r="F7598" s="6">
        <v>1</v>
      </c>
      <c r="G7598" s="40">
        <v>5</v>
      </c>
      <c r="H7598" s="40">
        <v>25.972999999999999</v>
      </c>
      <c r="I7598" s="212"/>
      <c r="J7598" s="212"/>
    </row>
    <row r="7599" spans="1:10" s="15" customFormat="1" ht="18" hidden="1" customHeight="1" outlineLevel="1" x14ac:dyDescent="0.25">
      <c r="A7599" s="18">
        <v>4696</v>
      </c>
      <c r="B7599" s="4" t="s">
        <v>43</v>
      </c>
      <c r="C7599" s="38" t="s">
        <v>10109</v>
      </c>
      <c r="D7599" s="23">
        <v>2023</v>
      </c>
      <c r="E7599" s="18" t="s">
        <v>0</v>
      </c>
      <c r="F7599" s="6">
        <v>1</v>
      </c>
      <c r="G7599" s="40">
        <v>5</v>
      </c>
      <c r="H7599" s="40">
        <v>26.359000000000002</v>
      </c>
      <c r="I7599" s="212"/>
      <c r="J7599" s="212"/>
    </row>
    <row r="7600" spans="1:10" s="15" customFormat="1" ht="18" hidden="1" customHeight="1" outlineLevel="1" x14ac:dyDescent="0.25">
      <c r="A7600" s="18">
        <v>1393</v>
      </c>
      <c r="B7600" s="4" t="s">
        <v>43</v>
      </c>
      <c r="C7600" s="38" t="s">
        <v>10110</v>
      </c>
      <c r="D7600" s="23">
        <v>2023</v>
      </c>
      <c r="E7600" s="18" t="s">
        <v>0</v>
      </c>
      <c r="F7600" s="6">
        <v>1</v>
      </c>
      <c r="G7600" s="40">
        <v>5</v>
      </c>
      <c r="H7600" s="40">
        <v>27.885000000000002</v>
      </c>
      <c r="I7600" s="212"/>
      <c r="J7600" s="212"/>
    </row>
    <row r="7601" spans="1:10" s="15" customFormat="1" ht="18" hidden="1" customHeight="1" outlineLevel="1" x14ac:dyDescent="0.25">
      <c r="A7601" s="18">
        <v>1580</v>
      </c>
      <c r="B7601" s="4" t="s">
        <v>43</v>
      </c>
      <c r="C7601" s="38" t="s">
        <v>10111</v>
      </c>
      <c r="D7601" s="23">
        <v>2023</v>
      </c>
      <c r="E7601" s="18" t="s">
        <v>0</v>
      </c>
      <c r="F7601" s="6">
        <v>1</v>
      </c>
      <c r="G7601" s="40">
        <v>5</v>
      </c>
      <c r="H7601" s="40">
        <v>27.993000000000002</v>
      </c>
      <c r="I7601" s="212"/>
      <c r="J7601" s="212"/>
    </row>
    <row r="7602" spans="1:10" s="15" customFormat="1" ht="18" hidden="1" customHeight="1" outlineLevel="1" x14ac:dyDescent="0.25">
      <c r="A7602" s="18">
        <v>1359</v>
      </c>
      <c r="B7602" s="4" t="s">
        <v>43</v>
      </c>
      <c r="C7602" s="38" t="s">
        <v>10112</v>
      </c>
      <c r="D7602" s="23">
        <v>2023</v>
      </c>
      <c r="E7602" s="18" t="s">
        <v>0</v>
      </c>
      <c r="F7602" s="6">
        <v>1</v>
      </c>
      <c r="G7602" s="40">
        <v>5</v>
      </c>
      <c r="H7602" s="40">
        <v>12.686</v>
      </c>
      <c r="I7602" s="212"/>
      <c r="J7602" s="212"/>
    </row>
    <row r="7603" spans="1:10" s="15" customFormat="1" ht="18" hidden="1" customHeight="1" outlineLevel="1" x14ac:dyDescent="0.25">
      <c r="A7603" s="18">
        <v>4687</v>
      </c>
      <c r="B7603" s="4" t="s">
        <v>43</v>
      </c>
      <c r="C7603" s="38" t="s">
        <v>10113</v>
      </c>
      <c r="D7603" s="23">
        <v>2023</v>
      </c>
      <c r="E7603" s="18" t="s">
        <v>0</v>
      </c>
      <c r="F7603" s="6">
        <v>1</v>
      </c>
      <c r="G7603" s="40">
        <v>5.5</v>
      </c>
      <c r="H7603" s="40">
        <v>27.114000000000001</v>
      </c>
      <c r="I7603" s="212"/>
      <c r="J7603" s="212"/>
    </row>
    <row r="7604" spans="1:10" s="15" customFormat="1" ht="18" hidden="1" customHeight="1" outlineLevel="1" x14ac:dyDescent="0.25">
      <c r="A7604" s="18">
        <v>1544</v>
      </c>
      <c r="B7604" s="4" t="s">
        <v>43</v>
      </c>
      <c r="C7604" s="38" t="s">
        <v>10114</v>
      </c>
      <c r="D7604" s="23">
        <v>2023</v>
      </c>
      <c r="E7604" s="18" t="s">
        <v>0</v>
      </c>
      <c r="F7604" s="6">
        <v>1</v>
      </c>
      <c r="G7604" s="40">
        <v>3</v>
      </c>
      <c r="H7604" s="40">
        <v>27.418000000000003</v>
      </c>
      <c r="I7604" s="212"/>
      <c r="J7604" s="212"/>
    </row>
    <row r="7605" spans="1:10" s="15" customFormat="1" ht="18" hidden="1" customHeight="1" outlineLevel="1" x14ac:dyDescent="0.25">
      <c r="A7605" s="18">
        <v>1960</v>
      </c>
      <c r="B7605" s="4" t="s">
        <v>43</v>
      </c>
      <c r="C7605" s="38" t="s">
        <v>10115</v>
      </c>
      <c r="D7605" s="23">
        <v>2023</v>
      </c>
      <c r="E7605" s="18" t="s">
        <v>0</v>
      </c>
      <c r="F7605" s="6">
        <v>1</v>
      </c>
      <c r="G7605" s="40">
        <v>5</v>
      </c>
      <c r="H7605" s="40">
        <v>26.074999999999999</v>
      </c>
      <c r="I7605" s="212"/>
      <c r="J7605" s="212"/>
    </row>
    <row r="7606" spans="1:10" s="15" customFormat="1" ht="18" hidden="1" customHeight="1" outlineLevel="1" x14ac:dyDescent="0.25">
      <c r="A7606" s="18">
        <v>4712</v>
      </c>
      <c r="B7606" s="4" t="s">
        <v>43</v>
      </c>
      <c r="C7606" s="38" t="s">
        <v>10116</v>
      </c>
      <c r="D7606" s="23">
        <v>2023</v>
      </c>
      <c r="E7606" s="18" t="s">
        <v>0</v>
      </c>
      <c r="F7606" s="6">
        <v>1</v>
      </c>
      <c r="G7606" s="40">
        <v>10</v>
      </c>
      <c r="H7606" s="40">
        <v>27.154</v>
      </c>
      <c r="I7606" s="212"/>
      <c r="J7606" s="212"/>
    </row>
    <row r="7607" spans="1:10" s="15" customFormat="1" ht="18" hidden="1" customHeight="1" outlineLevel="1" x14ac:dyDescent="0.25">
      <c r="A7607" s="18">
        <v>2037</v>
      </c>
      <c r="B7607" s="4" t="s">
        <v>43</v>
      </c>
      <c r="C7607" s="38" t="s">
        <v>10117</v>
      </c>
      <c r="D7607" s="23">
        <v>2023</v>
      </c>
      <c r="E7607" s="18" t="s">
        <v>0</v>
      </c>
      <c r="F7607" s="6">
        <v>1</v>
      </c>
      <c r="G7607" s="40">
        <v>5</v>
      </c>
      <c r="H7607" s="40">
        <v>25.943000000000001</v>
      </c>
      <c r="I7607" s="212"/>
      <c r="J7607" s="212"/>
    </row>
    <row r="7608" spans="1:10" s="15" customFormat="1" ht="18" hidden="1" customHeight="1" outlineLevel="1" x14ac:dyDescent="0.25">
      <c r="A7608" s="18">
        <v>3215</v>
      </c>
      <c r="B7608" s="4" t="s">
        <v>43</v>
      </c>
      <c r="C7608" s="38" t="s">
        <v>9290</v>
      </c>
      <c r="D7608" s="23">
        <v>2023</v>
      </c>
      <c r="E7608" s="18" t="s">
        <v>0</v>
      </c>
      <c r="F7608" s="6">
        <v>1</v>
      </c>
      <c r="G7608" s="40">
        <v>5</v>
      </c>
      <c r="H7608" s="40">
        <v>58.026000000000003</v>
      </c>
      <c r="I7608" s="212"/>
      <c r="J7608" s="212"/>
    </row>
    <row r="7609" spans="1:10" s="15" customFormat="1" ht="18" hidden="1" customHeight="1" outlineLevel="1" x14ac:dyDescent="0.25">
      <c r="A7609" s="18">
        <v>4710</v>
      </c>
      <c r="B7609" s="4" t="s">
        <v>43</v>
      </c>
      <c r="C7609" s="38" t="s">
        <v>10118</v>
      </c>
      <c r="D7609" s="23">
        <v>2023</v>
      </c>
      <c r="E7609" s="18" t="s">
        <v>0</v>
      </c>
      <c r="F7609" s="6">
        <v>1</v>
      </c>
      <c r="G7609" s="40">
        <v>5</v>
      </c>
      <c r="H7609" s="40">
        <v>26.728999999999999</v>
      </c>
      <c r="I7609" s="212"/>
      <c r="J7609" s="212"/>
    </row>
    <row r="7610" spans="1:10" s="15" customFormat="1" ht="18" hidden="1" customHeight="1" outlineLevel="1" x14ac:dyDescent="0.25">
      <c r="A7610" s="18">
        <v>1999</v>
      </c>
      <c r="B7610" s="4" t="s">
        <v>43</v>
      </c>
      <c r="C7610" s="38" t="s">
        <v>10119</v>
      </c>
      <c r="D7610" s="23">
        <v>2023</v>
      </c>
      <c r="E7610" s="18" t="s">
        <v>0</v>
      </c>
      <c r="F7610" s="6">
        <v>1</v>
      </c>
      <c r="G7610" s="40">
        <v>5</v>
      </c>
      <c r="H7610" s="40">
        <v>27.911999999999999</v>
      </c>
      <c r="I7610" s="212"/>
      <c r="J7610" s="212"/>
    </row>
    <row r="7611" spans="1:10" s="15" customFormat="1" ht="18" hidden="1" customHeight="1" outlineLevel="1" x14ac:dyDescent="0.25">
      <c r="A7611" s="18">
        <v>4723</v>
      </c>
      <c r="B7611" s="4" t="s">
        <v>43</v>
      </c>
      <c r="C7611" s="38" t="s">
        <v>10120</v>
      </c>
      <c r="D7611" s="23">
        <v>2023</v>
      </c>
      <c r="E7611" s="18" t="s">
        <v>0</v>
      </c>
      <c r="F7611" s="6">
        <v>1</v>
      </c>
      <c r="G7611" s="40">
        <v>10</v>
      </c>
      <c r="H7611" s="40">
        <v>27.134999999999998</v>
      </c>
      <c r="I7611" s="212"/>
      <c r="J7611" s="212"/>
    </row>
    <row r="7612" spans="1:10" s="15" customFormat="1" ht="18" hidden="1" customHeight="1" outlineLevel="1" x14ac:dyDescent="0.25">
      <c r="A7612" s="18">
        <v>1959</v>
      </c>
      <c r="B7612" s="4" t="s">
        <v>43</v>
      </c>
      <c r="C7612" s="38" t="s">
        <v>10121</v>
      </c>
      <c r="D7612" s="23">
        <v>2023</v>
      </c>
      <c r="E7612" s="18" t="s">
        <v>0</v>
      </c>
      <c r="F7612" s="6">
        <v>1</v>
      </c>
      <c r="G7612" s="40">
        <v>5</v>
      </c>
      <c r="H7612" s="40">
        <v>26.870999999999999</v>
      </c>
      <c r="I7612" s="212"/>
      <c r="J7612" s="212"/>
    </row>
    <row r="7613" spans="1:10" s="15" customFormat="1" ht="18" hidden="1" customHeight="1" outlineLevel="1" x14ac:dyDescent="0.25">
      <c r="A7613" s="18">
        <v>1853</v>
      </c>
      <c r="B7613" s="4" t="s">
        <v>43</v>
      </c>
      <c r="C7613" s="38" t="s">
        <v>10122</v>
      </c>
      <c r="D7613" s="23">
        <v>2023</v>
      </c>
      <c r="E7613" s="18" t="s">
        <v>0</v>
      </c>
      <c r="F7613" s="6">
        <v>1</v>
      </c>
      <c r="G7613" s="40">
        <v>5</v>
      </c>
      <c r="H7613" s="40">
        <v>27.108000000000001</v>
      </c>
      <c r="I7613" s="212"/>
      <c r="J7613" s="212"/>
    </row>
    <row r="7614" spans="1:10" s="15" customFormat="1" ht="18" hidden="1" customHeight="1" outlineLevel="1" x14ac:dyDescent="0.25">
      <c r="A7614" s="18">
        <v>4584</v>
      </c>
      <c r="B7614" s="4" t="s">
        <v>43</v>
      </c>
      <c r="C7614" s="38" t="s">
        <v>10123</v>
      </c>
      <c r="D7614" s="23">
        <v>2023</v>
      </c>
      <c r="E7614" s="18" t="s">
        <v>0</v>
      </c>
      <c r="F7614" s="6">
        <v>1</v>
      </c>
      <c r="G7614" s="40">
        <v>3</v>
      </c>
      <c r="H7614" s="40">
        <v>41.216000000000001</v>
      </c>
      <c r="I7614" s="212"/>
      <c r="J7614" s="212"/>
    </row>
    <row r="7615" spans="1:10" s="15" customFormat="1" ht="18" hidden="1" customHeight="1" outlineLevel="1" x14ac:dyDescent="0.25">
      <c r="A7615" s="18">
        <v>4587</v>
      </c>
      <c r="B7615" s="4" t="s">
        <v>43</v>
      </c>
      <c r="C7615" s="38" t="s">
        <v>10124</v>
      </c>
      <c r="D7615" s="23">
        <v>2023</v>
      </c>
      <c r="E7615" s="18" t="s">
        <v>0</v>
      </c>
      <c r="F7615" s="6">
        <v>1</v>
      </c>
      <c r="G7615" s="40">
        <v>5</v>
      </c>
      <c r="H7615" s="40">
        <v>32.076000000000001</v>
      </c>
      <c r="I7615" s="212"/>
      <c r="J7615" s="212"/>
    </row>
    <row r="7616" spans="1:10" s="15" customFormat="1" ht="18" hidden="1" customHeight="1" outlineLevel="1" x14ac:dyDescent="0.25">
      <c r="A7616" s="18">
        <v>2041</v>
      </c>
      <c r="B7616" s="4" t="s">
        <v>43</v>
      </c>
      <c r="C7616" s="38" t="s">
        <v>10125</v>
      </c>
      <c r="D7616" s="23">
        <v>2023</v>
      </c>
      <c r="E7616" s="18" t="s">
        <v>0</v>
      </c>
      <c r="F7616" s="6">
        <v>1</v>
      </c>
      <c r="G7616" s="40">
        <v>5</v>
      </c>
      <c r="H7616" s="40">
        <v>27.248000000000001</v>
      </c>
      <c r="I7616" s="212"/>
      <c r="J7616" s="212"/>
    </row>
    <row r="7617" spans="1:10" s="15" customFormat="1" ht="18" hidden="1" customHeight="1" outlineLevel="1" x14ac:dyDescent="0.25">
      <c r="A7617" s="18">
        <v>3445</v>
      </c>
      <c r="B7617" s="4" t="s">
        <v>43</v>
      </c>
      <c r="C7617" s="38" t="s">
        <v>10126</v>
      </c>
      <c r="D7617" s="23">
        <v>2023</v>
      </c>
      <c r="E7617" s="18" t="s">
        <v>0</v>
      </c>
      <c r="F7617" s="6">
        <v>1</v>
      </c>
      <c r="G7617" s="40">
        <v>5</v>
      </c>
      <c r="H7617" s="40">
        <v>11.938000000000001</v>
      </c>
      <c r="I7617" s="212"/>
      <c r="J7617" s="212"/>
    </row>
    <row r="7618" spans="1:10" s="15" customFormat="1" ht="18" hidden="1" customHeight="1" outlineLevel="1" x14ac:dyDescent="0.25">
      <c r="A7618" s="18">
        <v>2046</v>
      </c>
      <c r="B7618" s="4" t="s">
        <v>43</v>
      </c>
      <c r="C7618" s="38" t="s">
        <v>10127</v>
      </c>
      <c r="D7618" s="23">
        <v>2023</v>
      </c>
      <c r="E7618" s="18" t="s">
        <v>0</v>
      </c>
      <c r="F7618" s="6">
        <v>1</v>
      </c>
      <c r="G7618" s="40">
        <v>10</v>
      </c>
      <c r="H7618" s="40">
        <v>27.224</v>
      </c>
      <c r="I7618" s="212"/>
      <c r="J7618" s="212"/>
    </row>
    <row r="7619" spans="1:10" s="15" customFormat="1" ht="18" hidden="1" customHeight="1" outlineLevel="1" x14ac:dyDescent="0.25">
      <c r="A7619" s="18">
        <v>4717</v>
      </c>
      <c r="B7619" s="4" t="s">
        <v>43</v>
      </c>
      <c r="C7619" s="38" t="s">
        <v>10128</v>
      </c>
      <c r="D7619" s="23">
        <v>2023</v>
      </c>
      <c r="E7619" s="18" t="s">
        <v>0</v>
      </c>
      <c r="F7619" s="6">
        <v>1</v>
      </c>
      <c r="G7619" s="40">
        <v>3</v>
      </c>
      <c r="H7619" s="40">
        <v>26.611000000000001</v>
      </c>
      <c r="I7619" s="212"/>
      <c r="J7619" s="212"/>
    </row>
    <row r="7620" spans="1:10" s="15" customFormat="1" ht="18" hidden="1" customHeight="1" outlineLevel="1" x14ac:dyDescent="0.25">
      <c r="A7620" s="18">
        <v>4718</v>
      </c>
      <c r="B7620" s="4" t="s">
        <v>43</v>
      </c>
      <c r="C7620" s="38" t="s">
        <v>10129</v>
      </c>
      <c r="D7620" s="23">
        <v>2023</v>
      </c>
      <c r="E7620" s="18" t="s">
        <v>0</v>
      </c>
      <c r="F7620" s="6">
        <v>1</v>
      </c>
      <c r="G7620" s="40">
        <v>3</v>
      </c>
      <c r="H7620" s="40">
        <v>26.792000000000002</v>
      </c>
      <c r="I7620" s="212"/>
      <c r="J7620" s="212"/>
    </row>
    <row r="7621" spans="1:10" s="15" customFormat="1" ht="18" hidden="1" customHeight="1" outlineLevel="1" x14ac:dyDescent="0.25">
      <c r="A7621" s="18">
        <v>4719</v>
      </c>
      <c r="B7621" s="4" t="s">
        <v>43</v>
      </c>
      <c r="C7621" s="38" t="s">
        <v>10130</v>
      </c>
      <c r="D7621" s="23">
        <v>2023</v>
      </c>
      <c r="E7621" s="18" t="s">
        <v>0</v>
      </c>
      <c r="F7621" s="6">
        <v>1</v>
      </c>
      <c r="G7621" s="40">
        <v>3</v>
      </c>
      <c r="H7621" s="40">
        <v>26.587</v>
      </c>
      <c r="I7621" s="212"/>
      <c r="J7621" s="212"/>
    </row>
    <row r="7622" spans="1:10" s="15" customFormat="1" ht="18" hidden="1" customHeight="1" outlineLevel="1" x14ac:dyDescent="0.25">
      <c r="A7622" s="18">
        <v>4720</v>
      </c>
      <c r="B7622" s="4" t="s">
        <v>43</v>
      </c>
      <c r="C7622" s="38" t="s">
        <v>10131</v>
      </c>
      <c r="D7622" s="23">
        <v>2023</v>
      </c>
      <c r="E7622" s="18" t="s">
        <v>0</v>
      </c>
      <c r="F7622" s="6">
        <v>1</v>
      </c>
      <c r="G7622" s="40">
        <v>5</v>
      </c>
      <c r="H7622" s="40">
        <v>26.187999999999999</v>
      </c>
      <c r="I7622" s="212"/>
      <c r="J7622" s="212"/>
    </row>
    <row r="7623" spans="1:10" s="15" customFormat="1" ht="18" hidden="1" customHeight="1" outlineLevel="1" x14ac:dyDescent="0.25">
      <c r="A7623" s="18">
        <v>4721</v>
      </c>
      <c r="B7623" s="4" t="s">
        <v>43</v>
      </c>
      <c r="C7623" s="38" t="s">
        <v>10132</v>
      </c>
      <c r="D7623" s="23">
        <v>2023</v>
      </c>
      <c r="E7623" s="18" t="s">
        <v>0</v>
      </c>
      <c r="F7623" s="6">
        <v>1</v>
      </c>
      <c r="G7623" s="40">
        <v>3</v>
      </c>
      <c r="H7623" s="40">
        <v>26.748000000000001</v>
      </c>
      <c r="I7623" s="212"/>
      <c r="J7623" s="212"/>
    </row>
    <row r="7624" spans="1:10" s="15" customFormat="1" ht="18" hidden="1" customHeight="1" outlineLevel="1" x14ac:dyDescent="0.25">
      <c r="A7624" s="18">
        <v>4722</v>
      </c>
      <c r="B7624" s="4" t="s">
        <v>43</v>
      </c>
      <c r="C7624" s="38" t="s">
        <v>10133</v>
      </c>
      <c r="D7624" s="23">
        <v>2023</v>
      </c>
      <c r="E7624" s="18" t="s">
        <v>0</v>
      </c>
      <c r="F7624" s="6">
        <v>1</v>
      </c>
      <c r="G7624" s="40">
        <v>3</v>
      </c>
      <c r="H7624" s="40">
        <v>26.576999999999998</v>
      </c>
      <c r="I7624" s="212"/>
      <c r="J7624" s="212"/>
    </row>
    <row r="7625" spans="1:10" s="15" customFormat="1" ht="18" hidden="1" customHeight="1" outlineLevel="1" x14ac:dyDescent="0.25">
      <c r="A7625" s="18">
        <v>4586</v>
      </c>
      <c r="B7625" s="4" t="s">
        <v>43</v>
      </c>
      <c r="C7625" s="38" t="s">
        <v>10134</v>
      </c>
      <c r="D7625" s="23">
        <v>2023</v>
      </c>
      <c r="E7625" s="18" t="s">
        <v>0</v>
      </c>
      <c r="F7625" s="6">
        <v>1</v>
      </c>
      <c r="G7625" s="40">
        <v>5</v>
      </c>
      <c r="H7625" s="40">
        <v>40.622</v>
      </c>
      <c r="I7625" s="212"/>
      <c r="J7625" s="212"/>
    </row>
    <row r="7626" spans="1:10" s="15" customFormat="1" ht="18" hidden="1" customHeight="1" outlineLevel="1" x14ac:dyDescent="0.25">
      <c r="A7626" s="18">
        <v>3820</v>
      </c>
      <c r="B7626" s="4" t="s">
        <v>43</v>
      </c>
      <c r="C7626" s="38" t="s">
        <v>10135</v>
      </c>
      <c r="D7626" s="23">
        <v>2023</v>
      </c>
      <c r="E7626" s="18" t="s">
        <v>0</v>
      </c>
      <c r="F7626" s="6">
        <v>1</v>
      </c>
      <c r="G7626" s="40">
        <v>5</v>
      </c>
      <c r="H7626" s="40">
        <v>34.662999999999997</v>
      </c>
      <c r="I7626" s="212"/>
      <c r="J7626" s="212"/>
    </row>
    <row r="7627" spans="1:10" s="15" customFormat="1" ht="18" hidden="1" customHeight="1" outlineLevel="1" x14ac:dyDescent="0.25">
      <c r="A7627" s="18">
        <v>3779</v>
      </c>
      <c r="B7627" s="4" t="s">
        <v>43</v>
      </c>
      <c r="C7627" s="38" t="s">
        <v>10136</v>
      </c>
      <c r="D7627" s="23">
        <v>2023</v>
      </c>
      <c r="E7627" s="18" t="s">
        <v>0</v>
      </c>
      <c r="F7627" s="6">
        <v>1</v>
      </c>
      <c r="G7627" s="40">
        <v>5</v>
      </c>
      <c r="H7627" s="40">
        <v>34.712000000000003</v>
      </c>
      <c r="I7627" s="212"/>
      <c r="J7627" s="212"/>
    </row>
    <row r="7628" spans="1:10" s="15" customFormat="1" ht="18" hidden="1" customHeight="1" outlineLevel="1" x14ac:dyDescent="0.25">
      <c r="A7628" s="18">
        <v>2270</v>
      </c>
      <c r="B7628" s="4" t="s">
        <v>43</v>
      </c>
      <c r="C7628" s="38" t="s">
        <v>10137</v>
      </c>
      <c r="D7628" s="23">
        <v>2023</v>
      </c>
      <c r="E7628" s="18" t="s">
        <v>0</v>
      </c>
      <c r="F7628" s="6">
        <v>1</v>
      </c>
      <c r="G7628" s="40">
        <v>5</v>
      </c>
      <c r="H7628" s="40">
        <v>27.480999999999998</v>
      </c>
      <c r="I7628" s="212"/>
      <c r="J7628" s="212"/>
    </row>
    <row r="7629" spans="1:10" s="15" customFormat="1" ht="18" hidden="1" customHeight="1" outlineLevel="1" x14ac:dyDescent="0.25">
      <c r="A7629" s="18">
        <v>3701</v>
      </c>
      <c r="B7629" s="4" t="s">
        <v>43</v>
      </c>
      <c r="C7629" s="38" t="s">
        <v>10138</v>
      </c>
      <c r="D7629" s="23">
        <v>2023</v>
      </c>
      <c r="E7629" s="18" t="s">
        <v>0</v>
      </c>
      <c r="F7629" s="6">
        <v>1</v>
      </c>
      <c r="G7629" s="40">
        <v>5</v>
      </c>
      <c r="H7629" s="40">
        <v>26.532</v>
      </c>
      <c r="I7629" s="212"/>
      <c r="J7629" s="212"/>
    </row>
    <row r="7630" spans="1:10" s="15" customFormat="1" ht="18" hidden="1" customHeight="1" outlineLevel="1" x14ac:dyDescent="0.25">
      <c r="A7630" s="18">
        <v>1729</v>
      </c>
      <c r="B7630" s="4" t="s">
        <v>43</v>
      </c>
      <c r="C7630" s="38" t="s">
        <v>9298</v>
      </c>
      <c r="D7630" s="23">
        <v>2023</v>
      </c>
      <c r="E7630" s="18" t="s">
        <v>0</v>
      </c>
      <c r="F7630" s="6">
        <v>1</v>
      </c>
      <c r="G7630" s="40">
        <v>2</v>
      </c>
      <c r="H7630" s="40">
        <v>55.724000000000004</v>
      </c>
      <c r="I7630" s="212"/>
      <c r="J7630" s="212"/>
    </row>
    <row r="7631" spans="1:10" s="15" customFormat="1" ht="18" hidden="1" customHeight="1" outlineLevel="1" x14ac:dyDescent="0.25">
      <c r="A7631" s="18">
        <v>4747</v>
      </c>
      <c r="B7631" s="4" t="s">
        <v>43</v>
      </c>
      <c r="C7631" s="38" t="s">
        <v>10139</v>
      </c>
      <c r="D7631" s="23">
        <v>2023</v>
      </c>
      <c r="E7631" s="18" t="s">
        <v>0</v>
      </c>
      <c r="F7631" s="6">
        <v>1</v>
      </c>
      <c r="G7631" s="40">
        <v>10</v>
      </c>
      <c r="H7631" s="40">
        <v>31.892999999999997</v>
      </c>
      <c r="I7631" s="212"/>
      <c r="J7631" s="212"/>
    </row>
    <row r="7632" spans="1:10" s="15" customFormat="1" ht="18" hidden="1" customHeight="1" outlineLevel="1" x14ac:dyDescent="0.25">
      <c r="A7632" s="18">
        <v>4748</v>
      </c>
      <c r="B7632" s="4" t="s">
        <v>43</v>
      </c>
      <c r="C7632" s="38" t="s">
        <v>10140</v>
      </c>
      <c r="D7632" s="23">
        <v>2023</v>
      </c>
      <c r="E7632" s="18" t="s">
        <v>0</v>
      </c>
      <c r="F7632" s="6">
        <v>1</v>
      </c>
      <c r="G7632" s="40">
        <v>15</v>
      </c>
      <c r="H7632" s="40">
        <v>29.654</v>
      </c>
      <c r="I7632" s="212"/>
      <c r="J7632" s="212"/>
    </row>
    <row r="7633" spans="1:10" s="15" customFormat="1" ht="18" hidden="1" customHeight="1" outlineLevel="1" x14ac:dyDescent="0.25">
      <c r="A7633" s="18">
        <v>1843</v>
      </c>
      <c r="B7633" s="4" t="s">
        <v>43</v>
      </c>
      <c r="C7633" s="38" t="s">
        <v>10141</v>
      </c>
      <c r="D7633" s="23">
        <v>2023</v>
      </c>
      <c r="E7633" s="18" t="s">
        <v>0</v>
      </c>
      <c r="F7633" s="6">
        <v>1</v>
      </c>
      <c r="G7633" s="40">
        <v>10</v>
      </c>
      <c r="H7633" s="40">
        <v>28.982999999999997</v>
      </c>
      <c r="I7633" s="212"/>
      <c r="J7633" s="212"/>
    </row>
    <row r="7634" spans="1:10" s="15" customFormat="1" ht="18" hidden="1" customHeight="1" outlineLevel="1" x14ac:dyDescent="0.25">
      <c r="A7634" s="18">
        <v>1602</v>
      </c>
      <c r="B7634" s="4" t="s">
        <v>43</v>
      </c>
      <c r="C7634" s="38" t="s">
        <v>9308</v>
      </c>
      <c r="D7634" s="23">
        <v>2023</v>
      </c>
      <c r="E7634" s="18" t="s">
        <v>0</v>
      </c>
      <c r="F7634" s="6">
        <v>1</v>
      </c>
      <c r="G7634" s="40">
        <v>5</v>
      </c>
      <c r="H7634" s="40">
        <v>49.499929999999999</v>
      </c>
      <c r="I7634" s="212"/>
      <c r="J7634" s="212"/>
    </row>
    <row r="7635" spans="1:10" s="15" customFormat="1" ht="18" hidden="1" customHeight="1" outlineLevel="1" x14ac:dyDescent="0.25">
      <c r="A7635" s="18">
        <v>2384</v>
      </c>
      <c r="B7635" s="4" t="s">
        <v>43</v>
      </c>
      <c r="C7635" s="38" t="s">
        <v>10142</v>
      </c>
      <c r="D7635" s="23">
        <v>2023</v>
      </c>
      <c r="E7635" s="18" t="s">
        <v>0</v>
      </c>
      <c r="F7635" s="6">
        <v>1</v>
      </c>
      <c r="G7635" s="40">
        <v>5</v>
      </c>
      <c r="H7635" s="40">
        <v>27.670999999999999</v>
      </c>
      <c r="I7635" s="212"/>
      <c r="J7635" s="212"/>
    </row>
    <row r="7636" spans="1:10" s="15" customFormat="1" ht="18" hidden="1" customHeight="1" outlineLevel="1" x14ac:dyDescent="0.25">
      <c r="A7636" s="18">
        <v>2431</v>
      </c>
      <c r="B7636" s="4" t="s">
        <v>43</v>
      </c>
      <c r="C7636" s="38" t="s">
        <v>10143</v>
      </c>
      <c r="D7636" s="23">
        <v>2023</v>
      </c>
      <c r="E7636" s="18" t="s">
        <v>0</v>
      </c>
      <c r="F7636" s="6">
        <v>1</v>
      </c>
      <c r="G7636" s="40">
        <v>3</v>
      </c>
      <c r="H7636" s="40">
        <v>27.6755</v>
      </c>
      <c r="I7636" s="212"/>
      <c r="J7636" s="212"/>
    </row>
    <row r="7637" spans="1:10" s="15" customFormat="1" ht="18" hidden="1" customHeight="1" outlineLevel="1" x14ac:dyDescent="0.25">
      <c r="A7637" s="18">
        <v>2487</v>
      </c>
      <c r="B7637" s="4" t="s">
        <v>43</v>
      </c>
      <c r="C7637" s="38" t="s">
        <v>10144</v>
      </c>
      <c r="D7637" s="23">
        <v>2023</v>
      </c>
      <c r="E7637" s="18" t="s">
        <v>0</v>
      </c>
      <c r="F7637" s="6">
        <v>1</v>
      </c>
      <c r="G7637" s="40">
        <v>4</v>
      </c>
      <c r="H7637" s="40">
        <v>27.670999999999999</v>
      </c>
      <c r="I7637" s="212"/>
      <c r="J7637" s="212"/>
    </row>
    <row r="7638" spans="1:10" s="15" customFormat="1" ht="18" hidden="1" customHeight="1" outlineLevel="1" x14ac:dyDescent="0.25">
      <c r="A7638" s="18">
        <v>3277</v>
      </c>
      <c r="B7638" s="4" t="s">
        <v>43</v>
      </c>
      <c r="C7638" s="38" t="s">
        <v>9312</v>
      </c>
      <c r="D7638" s="23">
        <v>2023</v>
      </c>
      <c r="E7638" s="18" t="s">
        <v>0</v>
      </c>
      <c r="F7638" s="6">
        <v>1</v>
      </c>
      <c r="G7638" s="40">
        <v>10</v>
      </c>
      <c r="H7638" s="40">
        <v>61.557000000000002</v>
      </c>
      <c r="I7638" s="212"/>
      <c r="J7638" s="212"/>
    </row>
    <row r="7639" spans="1:10" s="15" customFormat="1" ht="18" hidden="1" customHeight="1" outlineLevel="1" x14ac:dyDescent="0.25">
      <c r="A7639" s="18">
        <v>4757</v>
      </c>
      <c r="B7639" s="4" t="s">
        <v>43</v>
      </c>
      <c r="C7639" s="38" t="s">
        <v>10145</v>
      </c>
      <c r="D7639" s="23">
        <v>2023</v>
      </c>
      <c r="E7639" s="18" t="s">
        <v>0</v>
      </c>
      <c r="F7639" s="6">
        <v>1</v>
      </c>
      <c r="G7639" s="40">
        <v>10</v>
      </c>
      <c r="H7639" s="40">
        <v>23.740000000000002</v>
      </c>
      <c r="I7639" s="212"/>
      <c r="J7639" s="212"/>
    </row>
    <row r="7640" spans="1:10" s="15" customFormat="1" ht="18" hidden="1" customHeight="1" outlineLevel="1" x14ac:dyDescent="0.25">
      <c r="A7640" s="18">
        <v>2533</v>
      </c>
      <c r="B7640" s="4" t="s">
        <v>43</v>
      </c>
      <c r="C7640" s="38" t="s">
        <v>10146</v>
      </c>
      <c r="D7640" s="23">
        <v>2023</v>
      </c>
      <c r="E7640" s="18" t="s">
        <v>0</v>
      </c>
      <c r="F7640" s="6">
        <v>1</v>
      </c>
      <c r="G7640" s="40">
        <v>5</v>
      </c>
      <c r="H7640" s="40">
        <v>15.928999999999998</v>
      </c>
      <c r="I7640" s="212"/>
      <c r="J7640" s="212"/>
    </row>
    <row r="7641" spans="1:10" s="15" customFormat="1" ht="18" hidden="1" customHeight="1" outlineLevel="1" x14ac:dyDescent="0.25">
      <c r="A7641" s="18">
        <v>2376</v>
      </c>
      <c r="B7641" s="4" t="s">
        <v>43</v>
      </c>
      <c r="C7641" s="38" t="s">
        <v>10147</v>
      </c>
      <c r="D7641" s="23">
        <v>2023</v>
      </c>
      <c r="E7641" s="18" t="s">
        <v>0</v>
      </c>
      <c r="F7641" s="6">
        <v>1</v>
      </c>
      <c r="G7641" s="40">
        <v>5</v>
      </c>
      <c r="H7641" s="40">
        <v>15.122999999999999</v>
      </c>
      <c r="I7641" s="212"/>
      <c r="J7641" s="212"/>
    </row>
    <row r="7642" spans="1:10" s="15" customFormat="1" ht="18" hidden="1" customHeight="1" outlineLevel="1" x14ac:dyDescent="0.25">
      <c r="A7642" s="18">
        <v>2312</v>
      </c>
      <c r="B7642" s="4" t="s">
        <v>43</v>
      </c>
      <c r="C7642" s="38" t="s">
        <v>10148</v>
      </c>
      <c r="D7642" s="23">
        <v>2023</v>
      </c>
      <c r="E7642" s="18" t="s">
        <v>0</v>
      </c>
      <c r="F7642" s="6">
        <v>1</v>
      </c>
      <c r="G7642" s="40">
        <v>5</v>
      </c>
      <c r="H7642" s="40">
        <v>19.411000000000001</v>
      </c>
      <c r="I7642" s="212"/>
      <c r="J7642" s="212"/>
    </row>
    <row r="7643" spans="1:10" s="15" customFormat="1" ht="18" hidden="1" customHeight="1" outlineLevel="1" x14ac:dyDescent="0.25">
      <c r="A7643" s="18">
        <v>4616</v>
      </c>
      <c r="B7643" s="4" t="s">
        <v>43</v>
      </c>
      <c r="C7643" s="38" t="s">
        <v>10149</v>
      </c>
      <c r="D7643" s="23">
        <v>2023</v>
      </c>
      <c r="E7643" s="18" t="s">
        <v>0</v>
      </c>
      <c r="F7643" s="6">
        <v>1</v>
      </c>
      <c r="G7643" s="40">
        <v>5</v>
      </c>
      <c r="H7643" s="40">
        <v>27.335999999999999</v>
      </c>
      <c r="I7643" s="212"/>
      <c r="J7643" s="212"/>
    </row>
    <row r="7644" spans="1:10" s="15" customFormat="1" ht="18" hidden="1" customHeight="1" outlineLevel="1" x14ac:dyDescent="0.25">
      <c r="A7644" s="18">
        <v>2648</v>
      </c>
      <c r="B7644" s="4" t="s">
        <v>43</v>
      </c>
      <c r="C7644" s="38" t="s">
        <v>10150</v>
      </c>
      <c r="D7644" s="23">
        <v>2023</v>
      </c>
      <c r="E7644" s="18" t="s">
        <v>0</v>
      </c>
      <c r="F7644" s="6">
        <v>1</v>
      </c>
      <c r="G7644" s="40">
        <v>5</v>
      </c>
      <c r="H7644" s="40">
        <v>19.309000000000001</v>
      </c>
      <c r="I7644" s="212"/>
      <c r="J7644" s="212"/>
    </row>
    <row r="7645" spans="1:10" s="15" customFormat="1" ht="18" hidden="1" customHeight="1" outlineLevel="1" x14ac:dyDescent="0.25">
      <c r="A7645" s="18">
        <v>4784</v>
      </c>
      <c r="B7645" s="4" t="s">
        <v>43</v>
      </c>
      <c r="C7645" s="38" t="s">
        <v>10151</v>
      </c>
      <c r="D7645" s="23">
        <v>2023</v>
      </c>
      <c r="E7645" s="18" t="s">
        <v>0</v>
      </c>
      <c r="F7645" s="6">
        <v>1</v>
      </c>
      <c r="G7645" s="40">
        <v>10</v>
      </c>
      <c r="H7645" s="40">
        <v>19.309000000000001</v>
      </c>
      <c r="I7645" s="212"/>
      <c r="J7645" s="212"/>
    </row>
    <row r="7646" spans="1:10" s="15" customFormat="1" ht="18" hidden="1" customHeight="1" outlineLevel="1" x14ac:dyDescent="0.25">
      <c r="A7646" s="18">
        <v>2572</v>
      </c>
      <c r="B7646" s="4" t="s">
        <v>43</v>
      </c>
      <c r="C7646" s="38" t="s">
        <v>10152</v>
      </c>
      <c r="D7646" s="23">
        <v>2023</v>
      </c>
      <c r="E7646" s="18" t="s">
        <v>0</v>
      </c>
      <c r="F7646" s="6">
        <v>1</v>
      </c>
      <c r="G7646" s="40">
        <v>5</v>
      </c>
      <c r="H7646" s="40">
        <v>19.251000000000001</v>
      </c>
      <c r="I7646" s="212"/>
      <c r="J7646" s="212"/>
    </row>
    <row r="7647" spans="1:10" s="15" customFormat="1" ht="18" hidden="1" customHeight="1" outlineLevel="1" x14ac:dyDescent="0.25">
      <c r="A7647" s="18">
        <v>4772</v>
      </c>
      <c r="B7647" s="4" t="s">
        <v>43</v>
      </c>
      <c r="C7647" s="38" t="s">
        <v>10153</v>
      </c>
      <c r="D7647" s="23">
        <v>2023</v>
      </c>
      <c r="E7647" s="18" t="s">
        <v>0</v>
      </c>
      <c r="F7647" s="6">
        <v>1</v>
      </c>
      <c r="G7647" s="40">
        <v>2</v>
      </c>
      <c r="H7647" s="40">
        <v>19.373999999999999</v>
      </c>
      <c r="I7647" s="212"/>
      <c r="J7647" s="212"/>
    </row>
    <row r="7648" spans="1:10" s="15" customFormat="1" ht="18" hidden="1" customHeight="1" outlineLevel="1" x14ac:dyDescent="0.25">
      <c r="A7648" s="18">
        <v>2450</v>
      </c>
      <c r="B7648" s="4" t="s">
        <v>43</v>
      </c>
      <c r="C7648" s="38" t="s">
        <v>10154</v>
      </c>
      <c r="D7648" s="23">
        <v>2023</v>
      </c>
      <c r="E7648" s="18" t="s">
        <v>0</v>
      </c>
      <c r="F7648" s="6">
        <v>1</v>
      </c>
      <c r="G7648" s="40">
        <v>5</v>
      </c>
      <c r="H7648" s="40">
        <v>20.247</v>
      </c>
      <c r="I7648" s="212"/>
      <c r="J7648" s="212"/>
    </row>
    <row r="7649" spans="1:10" s="15" customFormat="1" ht="18" hidden="1" customHeight="1" outlineLevel="1" x14ac:dyDescent="0.25">
      <c r="A7649" s="18">
        <v>2258</v>
      </c>
      <c r="B7649" s="4" t="s">
        <v>43</v>
      </c>
      <c r="C7649" s="38" t="s">
        <v>9321</v>
      </c>
      <c r="D7649" s="23">
        <v>2023</v>
      </c>
      <c r="E7649" s="18" t="s">
        <v>0</v>
      </c>
      <c r="F7649" s="6">
        <v>1</v>
      </c>
      <c r="G7649" s="40">
        <v>10</v>
      </c>
      <c r="H7649" s="40">
        <v>51.320999999999998</v>
      </c>
      <c r="I7649" s="212"/>
      <c r="J7649" s="212"/>
    </row>
    <row r="7650" spans="1:10" s="15" customFormat="1" ht="18" hidden="1" customHeight="1" outlineLevel="1" x14ac:dyDescent="0.25">
      <c r="A7650" s="18">
        <v>4798</v>
      </c>
      <c r="B7650" s="4" t="s">
        <v>43</v>
      </c>
      <c r="C7650" s="38" t="s">
        <v>10155</v>
      </c>
      <c r="D7650" s="23">
        <v>2023</v>
      </c>
      <c r="E7650" s="18" t="s">
        <v>0</v>
      </c>
      <c r="F7650" s="6">
        <v>1</v>
      </c>
      <c r="G7650" s="40">
        <v>10</v>
      </c>
      <c r="H7650" s="40">
        <v>21.63</v>
      </c>
      <c r="I7650" s="212"/>
      <c r="J7650" s="212"/>
    </row>
    <row r="7651" spans="1:10" s="15" customFormat="1" ht="18" hidden="1" customHeight="1" outlineLevel="1" x14ac:dyDescent="0.25">
      <c r="A7651" s="18">
        <v>2627</v>
      </c>
      <c r="B7651" s="4" t="s">
        <v>43</v>
      </c>
      <c r="C7651" s="38" t="s">
        <v>10156</v>
      </c>
      <c r="D7651" s="23">
        <v>2023</v>
      </c>
      <c r="E7651" s="18" t="s">
        <v>0</v>
      </c>
      <c r="F7651" s="6">
        <v>1</v>
      </c>
      <c r="G7651" s="40">
        <v>10</v>
      </c>
      <c r="H7651" s="40">
        <v>21.414999999999999</v>
      </c>
      <c r="I7651" s="212"/>
      <c r="J7651" s="212"/>
    </row>
    <row r="7652" spans="1:10" s="15" customFormat="1" ht="18" hidden="1" customHeight="1" outlineLevel="1" x14ac:dyDescent="0.25">
      <c r="A7652" s="18">
        <v>2647</v>
      </c>
      <c r="B7652" s="4" t="s">
        <v>43</v>
      </c>
      <c r="C7652" s="38" t="s">
        <v>10157</v>
      </c>
      <c r="D7652" s="23">
        <v>2023</v>
      </c>
      <c r="E7652" s="18" t="s">
        <v>0</v>
      </c>
      <c r="F7652" s="6">
        <v>1</v>
      </c>
      <c r="G7652" s="40">
        <v>5</v>
      </c>
      <c r="H7652" s="40">
        <v>21.475999999999999</v>
      </c>
      <c r="I7652" s="212"/>
      <c r="J7652" s="212"/>
    </row>
    <row r="7653" spans="1:10" s="15" customFormat="1" ht="18" hidden="1" customHeight="1" outlineLevel="1" x14ac:dyDescent="0.25">
      <c r="A7653" s="18">
        <v>4807</v>
      </c>
      <c r="B7653" s="4" t="s">
        <v>43</v>
      </c>
      <c r="C7653" s="38" t="s">
        <v>10158</v>
      </c>
      <c r="D7653" s="23">
        <v>2023</v>
      </c>
      <c r="E7653" s="18" t="s">
        <v>0</v>
      </c>
      <c r="F7653" s="6">
        <v>1</v>
      </c>
      <c r="G7653" s="40">
        <v>5</v>
      </c>
      <c r="H7653" s="40">
        <v>20.773</v>
      </c>
      <c r="I7653" s="212"/>
      <c r="J7653" s="212"/>
    </row>
    <row r="7654" spans="1:10" s="15" customFormat="1" ht="18" hidden="1" customHeight="1" outlineLevel="1" x14ac:dyDescent="0.25">
      <c r="A7654" s="18">
        <v>4789</v>
      </c>
      <c r="B7654" s="4" t="s">
        <v>43</v>
      </c>
      <c r="C7654" s="38" t="s">
        <v>9323</v>
      </c>
      <c r="D7654" s="23">
        <v>2023</v>
      </c>
      <c r="E7654" s="18" t="s">
        <v>0</v>
      </c>
      <c r="F7654" s="6">
        <v>1</v>
      </c>
      <c r="G7654" s="40">
        <v>5</v>
      </c>
      <c r="H7654" s="40">
        <v>66.834000000000003</v>
      </c>
      <c r="I7654" s="212"/>
      <c r="J7654" s="212"/>
    </row>
    <row r="7655" spans="1:10" s="15" customFormat="1" ht="18" hidden="1" customHeight="1" outlineLevel="1" x14ac:dyDescent="0.25">
      <c r="A7655" s="18">
        <v>2709</v>
      </c>
      <c r="B7655" s="4" t="s">
        <v>43</v>
      </c>
      <c r="C7655" s="38" t="s">
        <v>10159</v>
      </c>
      <c r="D7655" s="23">
        <v>2023</v>
      </c>
      <c r="E7655" s="18" t="s">
        <v>0</v>
      </c>
      <c r="F7655" s="6">
        <v>1</v>
      </c>
      <c r="G7655" s="40">
        <v>5</v>
      </c>
      <c r="H7655" s="40">
        <v>20.597000000000001</v>
      </c>
      <c r="I7655" s="212"/>
      <c r="J7655" s="212"/>
    </row>
    <row r="7656" spans="1:10" s="15" customFormat="1" ht="18" hidden="1" customHeight="1" outlineLevel="1" x14ac:dyDescent="0.25">
      <c r="A7656" s="18">
        <v>2702</v>
      </c>
      <c r="B7656" s="4" t="s">
        <v>43</v>
      </c>
      <c r="C7656" s="38" t="s">
        <v>10160</v>
      </c>
      <c r="D7656" s="23">
        <v>2023</v>
      </c>
      <c r="E7656" s="18" t="s">
        <v>0</v>
      </c>
      <c r="F7656" s="6">
        <v>1</v>
      </c>
      <c r="G7656" s="40">
        <v>5</v>
      </c>
      <c r="H7656" s="40">
        <v>21.562000000000001</v>
      </c>
      <c r="I7656" s="212"/>
      <c r="J7656" s="212"/>
    </row>
    <row r="7657" spans="1:10" s="15" customFormat="1" ht="18" hidden="1" customHeight="1" outlineLevel="1" x14ac:dyDescent="0.25">
      <c r="A7657" s="18">
        <v>4793</v>
      </c>
      <c r="B7657" s="4" t="s">
        <v>43</v>
      </c>
      <c r="C7657" s="38" t="s">
        <v>10161</v>
      </c>
      <c r="D7657" s="23">
        <v>2023</v>
      </c>
      <c r="E7657" s="18" t="s">
        <v>0</v>
      </c>
      <c r="F7657" s="6">
        <v>1</v>
      </c>
      <c r="G7657" s="40">
        <v>3</v>
      </c>
      <c r="H7657" s="40">
        <v>21.267999999999997</v>
      </c>
      <c r="I7657" s="212"/>
      <c r="J7657" s="212"/>
    </row>
    <row r="7658" spans="1:10" s="15" customFormat="1" ht="18" hidden="1" customHeight="1" outlineLevel="1" x14ac:dyDescent="0.25">
      <c r="A7658" s="18">
        <v>2436</v>
      </c>
      <c r="B7658" s="4" t="s">
        <v>43</v>
      </c>
      <c r="C7658" s="38" t="s">
        <v>10162</v>
      </c>
      <c r="D7658" s="23">
        <v>2023</v>
      </c>
      <c r="E7658" s="18" t="s">
        <v>0</v>
      </c>
      <c r="F7658" s="6">
        <v>1</v>
      </c>
      <c r="G7658" s="40">
        <v>5</v>
      </c>
      <c r="H7658" s="40">
        <v>20.251000000000001</v>
      </c>
      <c r="I7658" s="212"/>
      <c r="J7658" s="212"/>
    </row>
    <row r="7659" spans="1:10" s="15" customFormat="1" ht="18" hidden="1" customHeight="1" outlineLevel="1" x14ac:dyDescent="0.25">
      <c r="A7659" s="18">
        <v>2719</v>
      </c>
      <c r="B7659" s="4" t="s">
        <v>43</v>
      </c>
      <c r="C7659" s="38" t="s">
        <v>10163</v>
      </c>
      <c r="D7659" s="23">
        <v>2023</v>
      </c>
      <c r="E7659" s="18" t="s">
        <v>0</v>
      </c>
      <c r="F7659" s="6">
        <v>1</v>
      </c>
      <c r="G7659" s="40">
        <v>5</v>
      </c>
      <c r="H7659" s="40">
        <v>24.065999999999999</v>
      </c>
      <c r="I7659" s="212"/>
      <c r="J7659" s="212"/>
    </row>
    <row r="7660" spans="1:10" s="15" customFormat="1" ht="18" hidden="1" customHeight="1" outlineLevel="1" x14ac:dyDescent="0.25">
      <c r="A7660" s="18">
        <v>3982</v>
      </c>
      <c r="B7660" s="4" t="s">
        <v>43</v>
      </c>
      <c r="C7660" s="38" t="s">
        <v>8514</v>
      </c>
      <c r="D7660" s="23">
        <v>2023</v>
      </c>
      <c r="E7660" s="18" t="s">
        <v>0</v>
      </c>
      <c r="F7660" s="6">
        <v>1</v>
      </c>
      <c r="G7660" s="40">
        <v>10</v>
      </c>
      <c r="H7660" s="40">
        <v>90.98527</v>
      </c>
      <c r="I7660" s="212"/>
      <c r="J7660" s="212"/>
    </row>
    <row r="7661" spans="1:10" s="15" customFormat="1" ht="18" hidden="1" customHeight="1" outlineLevel="1" x14ac:dyDescent="0.25">
      <c r="A7661" s="18">
        <v>1122</v>
      </c>
      <c r="B7661" s="4" t="s">
        <v>43</v>
      </c>
      <c r="C7661" s="38" t="s">
        <v>8516</v>
      </c>
      <c r="D7661" s="23">
        <v>2023</v>
      </c>
      <c r="E7661" s="18" t="s">
        <v>0</v>
      </c>
      <c r="F7661" s="6">
        <v>1</v>
      </c>
      <c r="G7661" s="40">
        <v>20</v>
      </c>
      <c r="H7661" s="40">
        <v>40.667540000000002</v>
      </c>
      <c r="I7661" s="212"/>
      <c r="J7661" s="212"/>
    </row>
    <row r="7662" spans="1:10" s="15" customFormat="1" ht="18" hidden="1" customHeight="1" outlineLevel="1" x14ac:dyDescent="0.25">
      <c r="A7662" s="18">
        <v>5043</v>
      </c>
      <c r="B7662" s="4" t="s">
        <v>43</v>
      </c>
      <c r="C7662" s="38" t="s">
        <v>8523</v>
      </c>
      <c r="D7662" s="23">
        <v>2023</v>
      </c>
      <c r="E7662" s="18" t="s">
        <v>0</v>
      </c>
      <c r="F7662" s="6">
        <v>1</v>
      </c>
      <c r="G7662" s="40">
        <v>0.1</v>
      </c>
      <c r="H7662" s="40">
        <v>48.137319999999995</v>
      </c>
      <c r="I7662" s="212"/>
      <c r="J7662" s="212"/>
    </row>
    <row r="7663" spans="1:10" s="15" customFormat="1" ht="18" hidden="1" customHeight="1" outlineLevel="1" x14ac:dyDescent="0.25">
      <c r="A7663" s="18">
        <v>3389</v>
      </c>
      <c r="B7663" s="4" t="s">
        <v>43</v>
      </c>
      <c r="C7663" s="38" t="s">
        <v>8528</v>
      </c>
      <c r="D7663" s="23">
        <v>2023</v>
      </c>
      <c r="E7663" s="18" t="s">
        <v>0</v>
      </c>
      <c r="F7663" s="6">
        <v>5</v>
      </c>
      <c r="G7663" s="40">
        <v>55</v>
      </c>
      <c r="H7663" s="40">
        <v>182.92726999999999</v>
      </c>
      <c r="I7663" s="212"/>
      <c r="J7663" s="212"/>
    </row>
    <row r="7664" spans="1:10" s="15" customFormat="1" ht="18" hidden="1" customHeight="1" outlineLevel="1" x14ac:dyDescent="0.25">
      <c r="A7664" s="18">
        <v>428</v>
      </c>
      <c r="B7664" s="4" t="s">
        <v>43</v>
      </c>
      <c r="C7664" s="38" t="s">
        <v>8529</v>
      </c>
      <c r="D7664" s="23">
        <v>2023</v>
      </c>
      <c r="E7664" s="18" t="s">
        <v>0</v>
      </c>
      <c r="F7664" s="6">
        <v>1</v>
      </c>
      <c r="G7664" s="40">
        <v>10</v>
      </c>
      <c r="H7664" s="40">
        <v>39.466920000000002</v>
      </c>
      <c r="I7664" s="212"/>
      <c r="J7664" s="212"/>
    </row>
    <row r="7665" spans="1:10" s="15" customFormat="1" ht="18" hidden="1" customHeight="1" outlineLevel="1" x14ac:dyDescent="0.25">
      <c r="A7665" s="18">
        <v>3388</v>
      </c>
      <c r="B7665" s="4" t="s">
        <v>43</v>
      </c>
      <c r="C7665" s="38" t="s">
        <v>8536</v>
      </c>
      <c r="D7665" s="23">
        <v>2023</v>
      </c>
      <c r="E7665" s="18" t="s">
        <v>0</v>
      </c>
      <c r="F7665" s="6">
        <v>3</v>
      </c>
      <c r="G7665" s="40">
        <v>30</v>
      </c>
      <c r="H7665" s="40">
        <v>79.091380000000001</v>
      </c>
      <c r="I7665" s="212"/>
      <c r="J7665" s="212"/>
    </row>
    <row r="7666" spans="1:10" s="15" customFormat="1" ht="18" hidden="1" customHeight="1" outlineLevel="1" x14ac:dyDescent="0.25">
      <c r="A7666" s="18">
        <v>3381</v>
      </c>
      <c r="B7666" s="4" t="s">
        <v>43</v>
      </c>
      <c r="C7666" s="38" t="s">
        <v>8541</v>
      </c>
      <c r="D7666" s="23">
        <v>2023</v>
      </c>
      <c r="E7666" s="18" t="s">
        <v>0</v>
      </c>
      <c r="F7666" s="6">
        <v>2</v>
      </c>
      <c r="G7666" s="40">
        <v>20</v>
      </c>
      <c r="H7666" s="40">
        <v>63.064419999999998</v>
      </c>
      <c r="I7666" s="212"/>
      <c r="J7666" s="212"/>
    </row>
    <row r="7667" spans="1:10" s="15" customFormat="1" ht="18" hidden="1" customHeight="1" outlineLevel="1" x14ac:dyDescent="0.25">
      <c r="A7667" s="18">
        <v>471</v>
      </c>
      <c r="B7667" s="4" t="s">
        <v>43</v>
      </c>
      <c r="C7667" s="38" t="s">
        <v>9070</v>
      </c>
      <c r="D7667" s="23">
        <v>2023</v>
      </c>
      <c r="E7667" s="18" t="s">
        <v>0</v>
      </c>
      <c r="F7667" s="6">
        <v>14</v>
      </c>
      <c r="G7667" s="40">
        <v>140</v>
      </c>
      <c r="H7667" s="40">
        <v>647.02201000000002</v>
      </c>
      <c r="I7667" s="212"/>
      <c r="J7667" s="212"/>
    </row>
    <row r="7668" spans="1:10" s="15" customFormat="1" ht="18" hidden="1" customHeight="1" outlineLevel="1" x14ac:dyDescent="0.25">
      <c r="A7668" s="18">
        <v>5062</v>
      </c>
      <c r="B7668" s="4" t="s">
        <v>43</v>
      </c>
      <c r="C7668" s="38" t="s">
        <v>10164</v>
      </c>
      <c r="D7668" s="23">
        <v>2023</v>
      </c>
      <c r="E7668" s="18" t="s">
        <v>0</v>
      </c>
      <c r="F7668" s="6">
        <v>1</v>
      </c>
      <c r="G7668" s="40">
        <v>10</v>
      </c>
      <c r="H7668" s="40">
        <v>13.87485</v>
      </c>
      <c r="I7668" s="212"/>
      <c r="J7668" s="212"/>
    </row>
    <row r="7669" spans="1:10" s="15" customFormat="1" ht="18" hidden="1" customHeight="1" outlineLevel="1" x14ac:dyDescent="0.25">
      <c r="A7669" s="18">
        <v>5063</v>
      </c>
      <c r="B7669" s="4" t="s">
        <v>43</v>
      </c>
      <c r="C7669" s="38" t="s">
        <v>10165</v>
      </c>
      <c r="D7669" s="23">
        <v>2023</v>
      </c>
      <c r="E7669" s="18" t="s">
        <v>0</v>
      </c>
      <c r="F7669" s="6">
        <v>1</v>
      </c>
      <c r="G7669" s="40">
        <v>4</v>
      </c>
      <c r="H7669" s="40">
        <v>13.874839999999999</v>
      </c>
      <c r="I7669" s="212"/>
      <c r="J7669" s="212"/>
    </row>
    <row r="7670" spans="1:10" s="15" customFormat="1" ht="18" hidden="1" customHeight="1" outlineLevel="1" x14ac:dyDescent="0.25">
      <c r="A7670" s="18">
        <v>5065</v>
      </c>
      <c r="B7670" s="4" t="s">
        <v>43</v>
      </c>
      <c r="C7670" s="38" t="s">
        <v>10166</v>
      </c>
      <c r="D7670" s="23">
        <v>2023</v>
      </c>
      <c r="E7670" s="18" t="s">
        <v>0</v>
      </c>
      <c r="F7670" s="6">
        <v>1</v>
      </c>
      <c r="G7670" s="40">
        <v>5</v>
      </c>
      <c r="H7670" s="40">
        <v>13.882540000000001</v>
      </c>
      <c r="I7670" s="212"/>
      <c r="J7670" s="212"/>
    </row>
    <row r="7671" spans="1:10" s="15" customFormat="1" ht="18" hidden="1" customHeight="1" outlineLevel="1" x14ac:dyDescent="0.25">
      <c r="A7671" s="18">
        <v>5066</v>
      </c>
      <c r="B7671" s="4" t="s">
        <v>43</v>
      </c>
      <c r="C7671" s="38" t="s">
        <v>10167</v>
      </c>
      <c r="D7671" s="23">
        <v>2023</v>
      </c>
      <c r="E7671" s="18" t="s">
        <v>0</v>
      </c>
      <c r="F7671" s="6">
        <v>1</v>
      </c>
      <c r="G7671" s="40">
        <v>13</v>
      </c>
      <c r="H7671" s="40">
        <v>13.874839999999999</v>
      </c>
      <c r="I7671" s="212"/>
      <c r="J7671" s="212"/>
    </row>
    <row r="7672" spans="1:10" s="15" customFormat="1" ht="18" hidden="1" customHeight="1" outlineLevel="1" x14ac:dyDescent="0.25">
      <c r="A7672" s="18">
        <v>1754</v>
      </c>
      <c r="B7672" s="4" t="s">
        <v>43</v>
      </c>
      <c r="C7672" s="38" t="s">
        <v>10168</v>
      </c>
      <c r="D7672" s="23">
        <v>2023</v>
      </c>
      <c r="E7672" s="18" t="s">
        <v>0</v>
      </c>
      <c r="F7672" s="6">
        <v>1</v>
      </c>
      <c r="G7672" s="40">
        <v>5</v>
      </c>
      <c r="H7672" s="40">
        <v>13.882540000000001</v>
      </c>
      <c r="I7672" s="212"/>
      <c r="J7672" s="212"/>
    </row>
    <row r="7673" spans="1:10" s="15" customFormat="1" ht="18" hidden="1" customHeight="1" outlineLevel="1" x14ac:dyDescent="0.25">
      <c r="A7673" s="18">
        <v>1731</v>
      </c>
      <c r="B7673" s="4" t="s">
        <v>43</v>
      </c>
      <c r="C7673" s="38" t="s">
        <v>10169</v>
      </c>
      <c r="D7673" s="23">
        <v>2023</v>
      </c>
      <c r="E7673" s="18" t="s">
        <v>0</v>
      </c>
      <c r="F7673" s="6">
        <v>1</v>
      </c>
      <c r="G7673" s="40">
        <v>5</v>
      </c>
      <c r="H7673" s="40">
        <v>13.882540000000001</v>
      </c>
      <c r="I7673" s="212"/>
      <c r="J7673" s="212"/>
    </row>
    <row r="7674" spans="1:10" s="15" customFormat="1" ht="18" hidden="1" customHeight="1" outlineLevel="1" x14ac:dyDescent="0.25">
      <c r="A7674" s="18">
        <v>5067</v>
      </c>
      <c r="B7674" s="4" t="s">
        <v>43</v>
      </c>
      <c r="C7674" s="38" t="s">
        <v>10170</v>
      </c>
      <c r="D7674" s="23">
        <v>2023</v>
      </c>
      <c r="E7674" s="18" t="s">
        <v>0</v>
      </c>
      <c r="F7674" s="6">
        <v>1</v>
      </c>
      <c r="G7674" s="40">
        <v>5</v>
      </c>
      <c r="H7674" s="40">
        <v>13.058370000000002</v>
      </c>
      <c r="I7674" s="212"/>
      <c r="J7674" s="212"/>
    </row>
    <row r="7675" spans="1:10" s="15" customFormat="1" ht="18" hidden="1" customHeight="1" outlineLevel="1" x14ac:dyDescent="0.25">
      <c r="A7675" s="18">
        <v>1716</v>
      </c>
      <c r="B7675" s="4" t="s">
        <v>43</v>
      </c>
      <c r="C7675" s="38" t="s">
        <v>10171</v>
      </c>
      <c r="D7675" s="23">
        <v>2023</v>
      </c>
      <c r="E7675" s="18" t="s">
        <v>0</v>
      </c>
      <c r="F7675" s="6">
        <v>1</v>
      </c>
      <c r="G7675" s="40">
        <v>10</v>
      </c>
      <c r="H7675" s="40">
        <v>10.454190000000001</v>
      </c>
      <c r="I7675" s="212"/>
      <c r="J7675" s="212"/>
    </row>
    <row r="7676" spans="1:10" s="15" customFormat="1" ht="18" hidden="1" customHeight="1" outlineLevel="1" x14ac:dyDescent="0.25">
      <c r="A7676" s="18">
        <v>5069</v>
      </c>
      <c r="B7676" s="4" t="s">
        <v>43</v>
      </c>
      <c r="C7676" s="38" t="s">
        <v>10172</v>
      </c>
      <c r="D7676" s="23">
        <v>2023</v>
      </c>
      <c r="E7676" s="18" t="s">
        <v>0</v>
      </c>
      <c r="F7676" s="6">
        <v>1</v>
      </c>
      <c r="G7676" s="40">
        <v>1</v>
      </c>
      <c r="H7676" s="40">
        <v>13.05838</v>
      </c>
      <c r="I7676" s="212"/>
      <c r="J7676" s="212"/>
    </row>
    <row r="7677" spans="1:10" s="15" customFormat="1" ht="18" hidden="1" customHeight="1" outlineLevel="1" x14ac:dyDescent="0.25">
      <c r="A7677" s="18">
        <v>5071</v>
      </c>
      <c r="B7677" s="4" t="s">
        <v>43</v>
      </c>
      <c r="C7677" s="38" t="s">
        <v>10173</v>
      </c>
      <c r="D7677" s="23">
        <v>2023</v>
      </c>
      <c r="E7677" s="18" t="s">
        <v>0</v>
      </c>
      <c r="F7677" s="6">
        <v>1</v>
      </c>
      <c r="G7677" s="40">
        <v>5</v>
      </c>
      <c r="H7677" s="40">
        <v>12.306909999999998</v>
      </c>
      <c r="I7677" s="212"/>
      <c r="J7677" s="212"/>
    </row>
    <row r="7678" spans="1:10" s="15" customFormat="1" ht="18" hidden="1" customHeight="1" outlineLevel="1" x14ac:dyDescent="0.25">
      <c r="A7678" s="18">
        <v>5072</v>
      </c>
      <c r="B7678" s="4" t="s">
        <v>43</v>
      </c>
      <c r="C7678" s="38" t="s">
        <v>10174</v>
      </c>
      <c r="D7678" s="23">
        <v>2023</v>
      </c>
      <c r="E7678" s="18" t="s">
        <v>0</v>
      </c>
      <c r="F7678" s="6">
        <v>1</v>
      </c>
      <c r="G7678" s="40">
        <v>10</v>
      </c>
      <c r="H7678" s="40">
        <v>12.30082</v>
      </c>
      <c r="I7678" s="212"/>
      <c r="J7678" s="212"/>
    </row>
    <row r="7679" spans="1:10" s="15" customFormat="1" ht="18" hidden="1" customHeight="1" outlineLevel="1" x14ac:dyDescent="0.25">
      <c r="A7679" s="18">
        <v>1624</v>
      </c>
      <c r="B7679" s="4" t="s">
        <v>43</v>
      </c>
      <c r="C7679" s="38" t="s">
        <v>10175</v>
      </c>
      <c r="D7679" s="23">
        <v>2023</v>
      </c>
      <c r="E7679" s="18" t="s">
        <v>0</v>
      </c>
      <c r="F7679" s="6">
        <v>1</v>
      </c>
      <c r="G7679" s="40">
        <v>5</v>
      </c>
      <c r="H7679" s="40">
        <v>10.87311</v>
      </c>
      <c r="I7679" s="212"/>
      <c r="J7679" s="212"/>
    </row>
    <row r="7680" spans="1:10" s="15" customFormat="1" ht="18" hidden="1" customHeight="1" outlineLevel="1" x14ac:dyDescent="0.25">
      <c r="A7680" s="18">
        <v>5073</v>
      </c>
      <c r="B7680" s="4" t="s">
        <v>43</v>
      </c>
      <c r="C7680" s="38" t="s">
        <v>10176</v>
      </c>
      <c r="D7680" s="23">
        <v>2023</v>
      </c>
      <c r="E7680" s="18" t="s">
        <v>0</v>
      </c>
      <c r="F7680" s="6">
        <v>1</v>
      </c>
      <c r="G7680" s="40">
        <v>5</v>
      </c>
      <c r="H7680" s="40">
        <v>12.300840000000001</v>
      </c>
      <c r="I7680" s="212"/>
      <c r="J7680" s="212"/>
    </row>
    <row r="7681" spans="1:10" s="15" customFormat="1" ht="18" hidden="1" customHeight="1" outlineLevel="1" x14ac:dyDescent="0.25">
      <c r="A7681" s="18">
        <v>5076</v>
      </c>
      <c r="B7681" s="4" t="s">
        <v>43</v>
      </c>
      <c r="C7681" s="38" t="s">
        <v>10177</v>
      </c>
      <c r="D7681" s="23">
        <v>2023</v>
      </c>
      <c r="E7681" s="18" t="s">
        <v>0</v>
      </c>
      <c r="F7681" s="6">
        <v>1</v>
      </c>
      <c r="G7681" s="40">
        <v>10</v>
      </c>
      <c r="H7681" s="40">
        <v>10.20101</v>
      </c>
      <c r="I7681" s="212"/>
      <c r="J7681" s="212"/>
    </row>
    <row r="7682" spans="1:10" s="15" customFormat="1" ht="18" hidden="1" customHeight="1" outlineLevel="1" x14ac:dyDescent="0.25">
      <c r="A7682" s="18">
        <v>5077</v>
      </c>
      <c r="B7682" s="4" t="s">
        <v>43</v>
      </c>
      <c r="C7682" s="38" t="s">
        <v>10178</v>
      </c>
      <c r="D7682" s="23">
        <v>2023</v>
      </c>
      <c r="E7682" s="18" t="s">
        <v>0</v>
      </c>
      <c r="F7682" s="6">
        <v>1</v>
      </c>
      <c r="G7682" s="40">
        <v>10</v>
      </c>
      <c r="H7682" s="40">
        <v>10.20101</v>
      </c>
      <c r="I7682" s="212"/>
      <c r="J7682" s="212"/>
    </row>
    <row r="7683" spans="1:10" s="15" customFormat="1" ht="18" hidden="1" customHeight="1" outlineLevel="1" x14ac:dyDescent="0.25">
      <c r="A7683" s="18">
        <v>5078</v>
      </c>
      <c r="B7683" s="4" t="s">
        <v>43</v>
      </c>
      <c r="C7683" s="38" t="s">
        <v>10179</v>
      </c>
      <c r="D7683" s="23">
        <v>2023</v>
      </c>
      <c r="E7683" s="18" t="s">
        <v>0</v>
      </c>
      <c r="F7683" s="6">
        <v>1</v>
      </c>
      <c r="G7683" s="40">
        <v>10</v>
      </c>
      <c r="H7683" s="40">
        <v>10.20101</v>
      </c>
      <c r="I7683" s="212"/>
      <c r="J7683" s="212"/>
    </row>
    <row r="7684" spans="1:10" s="15" customFormat="1" ht="18" hidden="1" customHeight="1" outlineLevel="1" x14ac:dyDescent="0.25">
      <c r="A7684" s="18">
        <v>5079</v>
      </c>
      <c r="B7684" s="4" t="s">
        <v>43</v>
      </c>
      <c r="C7684" s="38" t="s">
        <v>10180</v>
      </c>
      <c r="D7684" s="23">
        <v>2023</v>
      </c>
      <c r="E7684" s="18" t="s">
        <v>0</v>
      </c>
      <c r="F7684" s="6">
        <v>1</v>
      </c>
      <c r="G7684" s="40">
        <v>13</v>
      </c>
      <c r="H7684" s="40">
        <v>12.242610000000001</v>
      </c>
      <c r="I7684" s="212"/>
      <c r="J7684" s="212"/>
    </row>
    <row r="7685" spans="1:10" s="15" customFormat="1" ht="18" hidden="1" customHeight="1" outlineLevel="1" x14ac:dyDescent="0.25">
      <c r="A7685" s="18">
        <v>1541</v>
      </c>
      <c r="B7685" s="4" t="s">
        <v>43</v>
      </c>
      <c r="C7685" s="38" t="s">
        <v>10181</v>
      </c>
      <c r="D7685" s="23">
        <v>2023</v>
      </c>
      <c r="E7685" s="18" t="s">
        <v>0</v>
      </c>
      <c r="F7685" s="6">
        <v>1</v>
      </c>
      <c r="G7685" s="40">
        <v>2</v>
      </c>
      <c r="H7685" s="40">
        <v>12.24264</v>
      </c>
      <c r="I7685" s="212"/>
      <c r="J7685" s="212"/>
    </row>
    <row r="7686" spans="1:10" s="15" customFormat="1" ht="18" hidden="1" customHeight="1" outlineLevel="1" x14ac:dyDescent="0.25">
      <c r="A7686" s="18">
        <v>5083</v>
      </c>
      <c r="B7686" s="4" t="s">
        <v>43</v>
      </c>
      <c r="C7686" s="38" t="s">
        <v>10182</v>
      </c>
      <c r="D7686" s="23">
        <v>2023</v>
      </c>
      <c r="E7686" s="18" t="s">
        <v>0</v>
      </c>
      <c r="F7686" s="6">
        <v>1</v>
      </c>
      <c r="G7686" s="40">
        <v>10</v>
      </c>
      <c r="H7686" s="40">
        <v>10.20101</v>
      </c>
      <c r="I7686" s="212"/>
      <c r="J7686" s="212"/>
    </row>
    <row r="7687" spans="1:10" s="15" customFormat="1" ht="18" hidden="1" customHeight="1" outlineLevel="1" x14ac:dyDescent="0.25">
      <c r="A7687" s="18">
        <v>5084</v>
      </c>
      <c r="B7687" s="4" t="s">
        <v>43</v>
      </c>
      <c r="C7687" s="38" t="s">
        <v>10183</v>
      </c>
      <c r="D7687" s="23">
        <v>2023</v>
      </c>
      <c r="E7687" s="18" t="s">
        <v>0</v>
      </c>
      <c r="F7687" s="6">
        <v>1</v>
      </c>
      <c r="G7687" s="40">
        <v>6</v>
      </c>
      <c r="H7687" s="40">
        <v>10.87311</v>
      </c>
      <c r="I7687" s="212"/>
      <c r="J7687" s="212"/>
    </row>
    <row r="7688" spans="1:10" s="15" customFormat="1" ht="18" hidden="1" customHeight="1" outlineLevel="1" x14ac:dyDescent="0.25">
      <c r="A7688" s="18">
        <v>5088</v>
      </c>
      <c r="B7688" s="4" t="s">
        <v>43</v>
      </c>
      <c r="C7688" s="38" t="s">
        <v>10184</v>
      </c>
      <c r="D7688" s="23">
        <v>2023</v>
      </c>
      <c r="E7688" s="18" t="s">
        <v>0</v>
      </c>
      <c r="F7688" s="6">
        <v>1</v>
      </c>
      <c r="G7688" s="40">
        <v>5</v>
      </c>
      <c r="H7688" s="40">
        <v>10.87321</v>
      </c>
      <c r="I7688" s="212"/>
      <c r="J7688" s="212"/>
    </row>
    <row r="7689" spans="1:10" s="15" customFormat="1" ht="18" hidden="1" customHeight="1" outlineLevel="1" x14ac:dyDescent="0.25">
      <c r="A7689" s="18">
        <v>5089</v>
      </c>
      <c r="B7689" s="4" t="s">
        <v>43</v>
      </c>
      <c r="C7689" s="38" t="s">
        <v>10185</v>
      </c>
      <c r="D7689" s="23">
        <v>2023</v>
      </c>
      <c r="E7689" s="18" t="s">
        <v>0</v>
      </c>
      <c r="F7689" s="6">
        <v>1</v>
      </c>
      <c r="G7689" s="40">
        <v>9</v>
      </c>
      <c r="H7689" s="40">
        <v>12.24264</v>
      </c>
      <c r="I7689" s="212"/>
      <c r="J7689" s="212"/>
    </row>
    <row r="7690" spans="1:10" s="15" customFormat="1" ht="18" hidden="1" customHeight="1" outlineLevel="1" x14ac:dyDescent="0.25">
      <c r="A7690" s="18">
        <v>5090</v>
      </c>
      <c r="B7690" s="4" t="s">
        <v>43</v>
      </c>
      <c r="C7690" s="38" t="s">
        <v>10186</v>
      </c>
      <c r="D7690" s="23">
        <v>2023</v>
      </c>
      <c r="E7690" s="18" t="s">
        <v>0</v>
      </c>
      <c r="F7690" s="6">
        <v>1</v>
      </c>
      <c r="G7690" s="40">
        <v>5</v>
      </c>
      <c r="H7690" s="40">
        <v>12.24264</v>
      </c>
      <c r="I7690" s="212"/>
      <c r="J7690" s="212"/>
    </row>
    <row r="7691" spans="1:10" s="15" customFormat="1" ht="18" hidden="1" customHeight="1" outlineLevel="1" x14ac:dyDescent="0.25">
      <c r="A7691" s="18">
        <v>5091</v>
      </c>
      <c r="B7691" s="4" t="s">
        <v>43</v>
      </c>
      <c r="C7691" s="38" t="s">
        <v>10187</v>
      </c>
      <c r="D7691" s="23">
        <v>2023</v>
      </c>
      <c r="E7691" s="18" t="s">
        <v>0</v>
      </c>
      <c r="F7691" s="6">
        <v>1</v>
      </c>
      <c r="G7691" s="40">
        <v>10</v>
      </c>
      <c r="H7691" s="40">
        <v>10.20101</v>
      </c>
      <c r="I7691" s="212"/>
      <c r="J7691" s="212"/>
    </row>
    <row r="7692" spans="1:10" s="15" customFormat="1" ht="18" hidden="1" customHeight="1" outlineLevel="1" x14ac:dyDescent="0.25">
      <c r="A7692" s="18">
        <v>5092</v>
      </c>
      <c r="B7692" s="4" t="s">
        <v>43</v>
      </c>
      <c r="C7692" s="38" t="s">
        <v>10188</v>
      </c>
      <c r="D7692" s="23">
        <v>2023</v>
      </c>
      <c r="E7692" s="18" t="s">
        <v>0</v>
      </c>
      <c r="F7692" s="6">
        <v>1</v>
      </c>
      <c r="G7692" s="40">
        <v>12</v>
      </c>
      <c r="H7692" s="40">
        <v>12.24264</v>
      </c>
      <c r="I7692" s="212"/>
      <c r="J7692" s="212"/>
    </row>
    <row r="7693" spans="1:10" s="15" customFormat="1" ht="18" hidden="1" customHeight="1" outlineLevel="1" x14ac:dyDescent="0.25">
      <c r="A7693" s="18">
        <v>5093</v>
      </c>
      <c r="B7693" s="4" t="s">
        <v>43</v>
      </c>
      <c r="C7693" s="38" t="s">
        <v>10189</v>
      </c>
      <c r="D7693" s="23">
        <v>2023</v>
      </c>
      <c r="E7693" s="18" t="s">
        <v>0</v>
      </c>
      <c r="F7693" s="6">
        <v>1</v>
      </c>
      <c r="G7693" s="40">
        <v>15</v>
      </c>
      <c r="H7693" s="40">
        <v>12.242610000000001</v>
      </c>
      <c r="I7693" s="212"/>
      <c r="J7693" s="212"/>
    </row>
    <row r="7694" spans="1:10" s="15" customFormat="1" ht="18" hidden="1" customHeight="1" outlineLevel="1" x14ac:dyDescent="0.25">
      <c r="A7694" s="18">
        <v>5098</v>
      </c>
      <c r="B7694" s="4" t="s">
        <v>43</v>
      </c>
      <c r="C7694" s="38" t="s">
        <v>10190</v>
      </c>
      <c r="D7694" s="23">
        <v>2023</v>
      </c>
      <c r="E7694" s="18" t="s">
        <v>0</v>
      </c>
      <c r="F7694" s="6">
        <v>1</v>
      </c>
      <c r="G7694" s="40">
        <v>15</v>
      </c>
      <c r="H7694" s="40">
        <v>10.20101</v>
      </c>
      <c r="I7694" s="212"/>
      <c r="J7694" s="212"/>
    </row>
    <row r="7695" spans="1:10" s="15" customFormat="1" ht="18" hidden="1" customHeight="1" outlineLevel="1" x14ac:dyDescent="0.25">
      <c r="A7695" s="18">
        <v>5099</v>
      </c>
      <c r="B7695" s="4" t="s">
        <v>43</v>
      </c>
      <c r="C7695" s="38" t="s">
        <v>10191</v>
      </c>
      <c r="D7695" s="23">
        <v>2023</v>
      </c>
      <c r="E7695" s="18" t="s">
        <v>0</v>
      </c>
      <c r="F7695" s="6">
        <v>1</v>
      </c>
      <c r="G7695" s="40">
        <v>10</v>
      </c>
      <c r="H7695" s="40">
        <v>10.20101</v>
      </c>
      <c r="I7695" s="212"/>
      <c r="J7695" s="212"/>
    </row>
    <row r="7696" spans="1:10" s="15" customFormat="1" ht="18" hidden="1" customHeight="1" outlineLevel="1" x14ac:dyDescent="0.25">
      <c r="A7696" s="18">
        <v>1219</v>
      </c>
      <c r="B7696" s="4" t="s">
        <v>43</v>
      </c>
      <c r="C7696" s="38" t="s">
        <v>10192</v>
      </c>
      <c r="D7696" s="23">
        <v>2023</v>
      </c>
      <c r="E7696" s="18" t="s">
        <v>0</v>
      </c>
      <c r="F7696" s="6">
        <v>1</v>
      </c>
      <c r="G7696" s="40">
        <v>5</v>
      </c>
      <c r="H7696" s="40">
        <v>12.335979999999999</v>
      </c>
      <c r="I7696" s="212"/>
      <c r="J7696" s="212"/>
    </row>
    <row r="7697" spans="1:10" s="15" customFormat="1" ht="18" hidden="1" customHeight="1" outlineLevel="1" x14ac:dyDescent="0.25">
      <c r="A7697" s="18">
        <v>5102</v>
      </c>
      <c r="B7697" s="4" t="s">
        <v>43</v>
      </c>
      <c r="C7697" s="38" t="s">
        <v>10193</v>
      </c>
      <c r="D7697" s="23">
        <v>2023</v>
      </c>
      <c r="E7697" s="18" t="s">
        <v>0</v>
      </c>
      <c r="F7697" s="6">
        <v>1</v>
      </c>
      <c r="G7697" s="40">
        <v>5</v>
      </c>
      <c r="H7697" s="40">
        <v>10.20101</v>
      </c>
      <c r="I7697" s="212"/>
      <c r="J7697" s="212"/>
    </row>
    <row r="7698" spans="1:10" s="15" customFormat="1" ht="18" hidden="1" customHeight="1" outlineLevel="1" x14ac:dyDescent="0.25">
      <c r="A7698" s="18">
        <v>5103</v>
      </c>
      <c r="B7698" s="4" t="s">
        <v>43</v>
      </c>
      <c r="C7698" s="38" t="s">
        <v>10194</v>
      </c>
      <c r="D7698" s="23">
        <v>2023</v>
      </c>
      <c r="E7698" s="18" t="s">
        <v>0</v>
      </c>
      <c r="F7698" s="6">
        <v>1</v>
      </c>
      <c r="G7698" s="40">
        <v>10</v>
      </c>
      <c r="H7698" s="40">
        <v>10.20101</v>
      </c>
      <c r="I7698" s="212"/>
      <c r="J7698" s="212"/>
    </row>
    <row r="7699" spans="1:10" s="15" customFormat="1" ht="18" hidden="1" customHeight="1" outlineLevel="1" x14ac:dyDescent="0.25">
      <c r="A7699" s="18">
        <v>5105</v>
      </c>
      <c r="B7699" s="4" t="s">
        <v>43</v>
      </c>
      <c r="C7699" s="38" t="s">
        <v>10195</v>
      </c>
      <c r="D7699" s="23">
        <v>2023</v>
      </c>
      <c r="E7699" s="18" t="s">
        <v>0</v>
      </c>
      <c r="F7699" s="6">
        <v>1</v>
      </c>
      <c r="G7699" s="40">
        <v>10</v>
      </c>
      <c r="H7699" s="40">
        <v>10.20101</v>
      </c>
      <c r="I7699" s="212"/>
      <c r="J7699" s="212"/>
    </row>
    <row r="7700" spans="1:10" s="15" customFormat="1" ht="18" hidden="1" customHeight="1" outlineLevel="1" x14ac:dyDescent="0.25">
      <c r="A7700" s="18">
        <v>5106</v>
      </c>
      <c r="B7700" s="4" t="s">
        <v>43</v>
      </c>
      <c r="C7700" s="38" t="s">
        <v>10196</v>
      </c>
      <c r="D7700" s="23">
        <v>2023</v>
      </c>
      <c r="E7700" s="18" t="s">
        <v>0</v>
      </c>
      <c r="F7700" s="6">
        <v>1</v>
      </c>
      <c r="G7700" s="40">
        <v>10</v>
      </c>
      <c r="H7700" s="40">
        <v>10.20101</v>
      </c>
      <c r="I7700" s="212"/>
      <c r="J7700" s="212"/>
    </row>
    <row r="7701" spans="1:10" s="15" customFormat="1" ht="18" hidden="1" customHeight="1" outlineLevel="1" x14ac:dyDescent="0.25">
      <c r="A7701" s="18">
        <v>5107</v>
      </c>
      <c r="B7701" s="4" t="s">
        <v>43</v>
      </c>
      <c r="C7701" s="38" t="s">
        <v>10197</v>
      </c>
      <c r="D7701" s="23">
        <v>2023</v>
      </c>
      <c r="E7701" s="18" t="s">
        <v>0</v>
      </c>
      <c r="F7701" s="6">
        <v>1</v>
      </c>
      <c r="G7701" s="40">
        <v>10</v>
      </c>
      <c r="H7701" s="40">
        <v>10.20101</v>
      </c>
      <c r="I7701" s="212"/>
      <c r="J7701" s="212"/>
    </row>
    <row r="7702" spans="1:10" s="15" customFormat="1" ht="18" hidden="1" customHeight="1" outlineLevel="1" x14ac:dyDescent="0.25">
      <c r="A7702" s="18">
        <v>5108</v>
      </c>
      <c r="B7702" s="4" t="s">
        <v>43</v>
      </c>
      <c r="C7702" s="38" t="s">
        <v>10198</v>
      </c>
      <c r="D7702" s="23">
        <v>2023</v>
      </c>
      <c r="E7702" s="18" t="s">
        <v>0</v>
      </c>
      <c r="F7702" s="6">
        <v>1</v>
      </c>
      <c r="G7702" s="40">
        <v>10</v>
      </c>
      <c r="H7702" s="40">
        <v>10.20101</v>
      </c>
      <c r="I7702" s="212"/>
      <c r="J7702" s="212"/>
    </row>
    <row r="7703" spans="1:10" s="15" customFormat="1" ht="18" hidden="1" customHeight="1" outlineLevel="1" x14ac:dyDescent="0.25">
      <c r="A7703" s="18">
        <v>1057</v>
      </c>
      <c r="B7703" s="4" t="s">
        <v>43</v>
      </c>
      <c r="C7703" s="38" t="s">
        <v>10199</v>
      </c>
      <c r="D7703" s="23">
        <v>2023</v>
      </c>
      <c r="E7703" s="18" t="s">
        <v>0</v>
      </c>
      <c r="F7703" s="6">
        <v>1</v>
      </c>
      <c r="G7703" s="40">
        <v>10</v>
      </c>
      <c r="H7703" s="40">
        <v>13.518129999999999</v>
      </c>
      <c r="I7703" s="212"/>
      <c r="J7703" s="212"/>
    </row>
    <row r="7704" spans="1:10" s="15" customFormat="1" ht="18" hidden="1" customHeight="1" outlineLevel="1" x14ac:dyDescent="0.25">
      <c r="A7704" s="18">
        <v>1121</v>
      </c>
      <c r="B7704" s="4" t="s">
        <v>43</v>
      </c>
      <c r="C7704" s="38" t="s">
        <v>10200</v>
      </c>
      <c r="D7704" s="23">
        <v>2023</v>
      </c>
      <c r="E7704" s="18" t="s">
        <v>0</v>
      </c>
      <c r="F7704" s="6">
        <v>1</v>
      </c>
      <c r="G7704" s="40">
        <v>10</v>
      </c>
      <c r="H7704" s="40">
        <v>10.20101</v>
      </c>
      <c r="I7704" s="212"/>
      <c r="J7704" s="212"/>
    </row>
    <row r="7705" spans="1:10" s="15" customFormat="1" ht="18" hidden="1" customHeight="1" outlineLevel="1" x14ac:dyDescent="0.25">
      <c r="A7705" s="18">
        <v>5109</v>
      </c>
      <c r="B7705" s="4" t="s">
        <v>43</v>
      </c>
      <c r="C7705" s="38" t="s">
        <v>10201</v>
      </c>
      <c r="D7705" s="23">
        <v>2023</v>
      </c>
      <c r="E7705" s="18" t="s">
        <v>0</v>
      </c>
      <c r="F7705" s="6">
        <v>1</v>
      </c>
      <c r="G7705" s="40">
        <v>8</v>
      </c>
      <c r="H7705" s="40">
        <v>10.672509999999999</v>
      </c>
      <c r="I7705" s="212"/>
      <c r="J7705" s="212"/>
    </row>
    <row r="7706" spans="1:10" s="15" customFormat="1" ht="18" hidden="1" customHeight="1" outlineLevel="1" x14ac:dyDescent="0.25">
      <c r="A7706" s="18">
        <v>5110</v>
      </c>
      <c r="B7706" s="4" t="s">
        <v>43</v>
      </c>
      <c r="C7706" s="38" t="s">
        <v>10202</v>
      </c>
      <c r="D7706" s="23">
        <v>2023</v>
      </c>
      <c r="E7706" s="18" t="s">
        <v>0</v>
      </c>
      <c r="F7706" s="6">
        <v>1</v>
      </c>
      <c r="G7706" s="40">
        <v>8</v>
      </c>
      <c r="H7706" s="40">
        <v>10.672499999999999</v>
      </c>
      <c r="I7706" s="212"/>
      <c r="J7706" s="212"/>
    </row>
    <row r="7707" spans="1:10" s="15" customFormat="1" ht="18" hidden="1" customHeight="1" outlineLevel="1" x14ac:dyDescent="0.25">
      <c r="A7707" s="18">
        <v>3617</v>
      </c>
      <c r="B7707" s="4" t="s">
        <v>43</v>
      </c>
      <c r="C7707" s="38" t="s">
        <v>10203</v>
      </c>
      <c r="D7707" s="23">
        <v>2023</v>
      </c>
      <c r="E7707" s="18" t="s">
        <v>0</v>
      </c>
      <c r="F7707" s="6">
        <v>1</v>
      </c>
      <c r="G7707" s="40">
        <v>10</v>
      </c>
      <c r="H7707" s="40">
        <v>10.672499999999999</v>
      </c>
      <c r="I7707" s="212"/>
      <c r="J7707" s="212"/>
    </row>
    <row r="7708" spans="1:10" s="15" customFormat="1" ht="18" hidden="1" customHeight="1" outlineLevel="1" x14ac:dyDescent="0.25">
      <c r="A7708" s="18">
        <v>3616</v>
      </c>
      <c r="B7708" s="4" t="s">
        <v>43</v>
      </c>
      <c r="C7708" s="38" t="s">
        <v>10204</v>
      </c>
      <c r="D7708" s="23">
        <v>2023</v>
      </c>
      <c r="E7708" s="18" t="s">
        <v>0</v>
      </c>
      <c r="F7708" s="6">
        <v>1</v>
      </c>
      <c r="G7708" s="40">
        <v>10</v>
      </c>
      <c r="H7708" s="40">
        <v>10.672499999999999</v>
      </c>
      <c r="I7708" s="212"/>
      <c r="J7708" s="212"/>
    </row>
    <row r="7709" spans="1:10" s="15" customFormat="1" ht="18" hidden="1" customHeight="1" outlineLevel="1" x14ac:dyDescent="0.25">
      <c r="A7709" s="18">
        <v>3602</v>
      </c>
      <c r="B7709" s="4" t="s">
        <v>43</v>
      </c>
      <c r="C7709" s="38" t="s">
        <v>10205</v>
      </c>
      <c r="D7709" s="23">
        <v>2023</v>
      </c>
      <c r="E7709" s="18" t="s">
        <v>0</v>
      </c>
      <c r="F7709" s="6">
        <v>1</v>
      </c>
      <c r="G7709" s="40">
        <v>10</v>
      </c>
      <c r="H7709" s="40">
        <v>10.672499999999999</v>
      </c>
      <c r="I7709" s="212"/>
      <c r="J7709" s="212"/>
    </row>
    <row r="7710" spans="1:10" s="15" customFormat="1" ht="18" hidden="1" customHeight="1" outlineLevel="1" x14ac:dyDescent="0.25">
      <c r="A7710" s="18">
        <v>3615</v>
      </c>
      <c r="B7710" s="4" t="s">
        <v>43</v>
      </c>
      <c r="C7710" s="38" t="s">
        <v>10206</v>
      </c>
      <c r="D7710" s="23">
        <v>2023</v>
      </c>
      <c r="E7710" s="18" t="s">
        <v>0</v>
      </c>
      <c r="F7710" s="6">
        <v>1</v>
      </c>
      <c r="G7710" s="40">
        <v>8</v>
      </c>
      <c r="H7710" s="40">
        <v>10.672499999999999</v>
      </c>
      <c r="I7710" s="212"/>
      <c r="J7710" s="212"/>
    </row>
    <row r="7711" spans="1:10" s="15" customFormat="1" ht="18" hidden="1" customHeight="1" outlineLevel="1" x14ac:dyDescent="0.25">
      <c r="A7711" s="18">
        <v>3604</v>
      </c>
      <c r="B7711" s="4" t="s">
        <v>43</v>
      </c>
      <c r="C7711" s="38" t="s">
        <v>10207</v>
      </c>
      <c r="D7711" s="23">
        <v>2023</v>
      </c>
      <c r="E7711" s="18" t="s">
        <v>0</v>
      </c>
      <c r="F7711" s="6">
        <v>1</v>
      </c>
      <c r="G7711" s="40">
        <v>8</v>
      </c>
      <c r="H7711" s="40">
        <v>10.672509999999999</v>
      </c>
      <c r="I7711" s="212"/>
      <c r="J7711" s="212"/>
    </row>
    <row r="7712" spans="1:10" s="15" customFormat="1" ht="18" hidden="1" customHeight="1" outlineLevel="1" x14ac:dyDescent="0.25">
      <c r="A7712" s="18">
        <v>5111</v>
      </c>
      <c r="B7712" s="4" t="s">
        <v>43</v>
      </c>
      <c r="C7712" s="38" t="s">
        <v>10208</v>
      </c>
      <c r="D7712" s="23">
        <v>2023</v>
      </c>
      <c r="E7712" s="18" t="s">
        <v>0</v>
      </c>
      <c r="F7712" s="6">
        <v>1</v>
      </c>
      <c r="G7712" s="40">
        <v>10</v>
      </c>
      <c r="H7712" s="40">
        <v>10.672499999999999</v>
      </c>
      <c r="I7712" s="212"/>
      <c r="J7712" s="212"/>
    </row>
    <row r="7713" spans="1:10" s="15" customFormat="1" ht="18" hidden="1" customHeight="1" outlineLevel="1" x14ac:dyDescent="0.25">
      <c r="A7713" s="18">
        <v>3649</v>
      </c>
      <c r="B7713" s="4" t="s">
        <v>43</v>
      </c>
      <c r="C7713" s="38" t="s">
        <v>10209</v>
      </c>
      <c r="D7713" s="23">
        <v>2023</v>
      </c>
      <c r="E7713" s="18" t="s">
        <v>0</v>
      </c>
      <c r="F7713" s="6">
        <v>1</v>
      </c>
      <c r="G7713" s="40">
        <v>10</v>
      </c>
      <c r="H7713" s="40">
        <v>10.67249</v>
      </c>
      <c r="I7713" s="212"/>
      <c r="J7713" s="212"/>
    </row>
    <row r="7714" spans="1:10" s="15" customFormat="1" ht="18" hidden="1" customHeight="1" outlineLevel="1" x14ac:dyDescent="0.25">
      <c r="A7714" s="18">
        <v>3609</v>
      </c>
      <c r="B7714" s="4" t="s">
        <v>43</v>
      </c>
      <c r="C7714" s="38" t="s">
        <v>10210</v>
      </c>
      <c r="D7714" s="23">
        <v>2023</v>
      </c>
      <c r="E7714" s="18" t="s">
        <v>0</v>
      </c>
      <c r="F7714" s="6">
        <v>1</v>
      </c>
      <c r="G7714" s="40">
        <v>5</v>
      </c>
      <c r="H7714" s="40">
        <v>10.672509999999999</v>
      </c>
      <c r="I7714" s="212"/>
      <c r="J7714" s="212"/>
    </row>
    <row r="7715" spans="1:10" s="15" customFormat="1" ht="18" hidden="1" customHeight="1" outlineLevel="1" x14ac:dyDescent="0.25">
      <c r="A7715" s="18">
        <v>3653</v>
      </c>
      <c r="B7715" s="4" t="s">
        <v>43</v>
      </c>
      <c r="C7715" s="38" t="s">
        <v>10211</v>
      </c>
      <c r="D7715" s="23">
        <v>2023</v>
      </c>
      <c r="E7715" s="18" t="s">
        <v>0</v>
      </c>
      <c r="F7715" s="6">
        <v>1</v>
      </c>
      <c r="G7715" s="40">
        <v>10</v>
      </c>
      <c r="H7715" s="40">
        <v>10.672509999999999</v>
      </c>
      <c r="I7715" s="212"/>
      <c r="J7715" s="212"/>
    </row>
    <row r="7716" spans="1:10" s="15" customFormat="1" ht="18" hidden="1" customHeight="1" outlineLevel="1" x14ac:dyDescent="0.25">
      <c r="A7716" s="18">
        <v>3639</v>
      </c>
      <c r="B7716" s="4" t="s">
        <v>43</v>
      </c>
      <c r="C7716" s="38" t="s">
        <v>10212</v>
      </c>
      <c r="D7716" s="23">
        <v>2023</v>
      </c>
      <c r="E7716" s="18" t="s">
        <v>0</v>
      </c>
      <c r="F7716" s="6">
        <v>1</v>
      </c>
      <c r="G7716" s="40">
        <v>10</v>
      </c>
      <c r="H7716" s="40">
        <v>10.672509999999999</v>
      </c>
      <c r="I7716" s="212"/>
      <c r="J7716" s="212"/>
    </row>
    <row r="7717" spans="1:10" s="15" customFormat="1" ht="18" hidden="1" customHeight="1" outlineLevel="1" x14ac:dyDescent="0.25">
      <c r="A7717" s="18">
        <v>3619</v>
      </c>
      <c r="B7717" s="4" t="s">
        <v>43</v>
      </c>
      <c r="C7717" s="38" t="s">
        <v>10213</v>
      </c>
      <c r="D7717" s="23">
        <v>2023</v>
      </c>
      <c r="E7717" s="18" t="s">
        <v>0</v>
      </c>
      <c r="F7717" s="6">
        <v>1</v>
      </c>
      <c r="G7717" s="40">
        <v>8</v>
      </c>
      <c r="H7717" s="40">
        <v>10.672509999999999</v>
      </c>
      <c r="I7717" s="212"/>
      <c r="J7717" s="212"/>
    </row>
    <row r="7718" spans="1:10" s="15" customFormat="1" ht="18" hidden="1" customHeight="1" outlineLevel="1" x14ac:dyDescent="0.25">
      <c r="A7718" s="18">
        <v>3645</v>
      </c>
      <c r="B7718" s="4" t="s">
        <v>43</v>
      </c>
      <c r="C7718" s="38" t="s">
        <v>10214</v>
      </c>
      <c r="D7718" s="23">
        <v>2023</v>
      </c>
      <c r="E7718" s="18" t="s">
        <v>0</v>
      </c>
      <c r="F7718" s="6">
        <v>1</v>
      </c>
      <c r="G7718" s="40">
        <v>8</v>
      </c>
      <c r="H7718" s="40">
        <v>10.672509999999999</v>
      </c>
      <c r="I7718" s="212"/>
      <c r="J7718" s="212"/>
    </row>
    <row r="7719" spans="1:10" s="15" customFormat="1" ht="18" hidden="1" customHeight="1" outlineLevel="1" x14ac:dyDescent="0.25">
      <c r="A7719" s="18">
        <v>3652</v>
      </c>
      <c r="B7719" s="4" t="s">
        <v>43</v>
      </c>
      <c r="C7719" s="38" t="s">
        <v>10215</v>
      </c>
      <c r="D7719" s="23">
        <v>2023</v>
      </c>
      <c r="E7719" s="18" t="s">
        <v>0</v>
      </c>
      <c r="F7719" s="6">
        <v>1</v>
      </c>
      <c r="G7719" s="40">
        <v>5</v>
      </c>
      <c r="H7719" s="40">
        <v>10.672509999999999</v>
      </c>
      <c r="I7719" s="212"/>
      <c r="J7719" s="212"/>
    </row>
    <row r="7720" spans="1:10" s="15" customFormat="1" ht="18" hidden="1" customHeight="1" outlineLevel="1" x14ac:dyDescent="0.25">
      <c r="A7720" s="18">
        <v>3651</v>
      </c>
      <c r="B7720" s="4" t="s">
        <v>43</v>
      </c>
      <c r="C7720" s="38" t="s">
        <v>10216</v>
      </c>
      <c r="D7720" s="23">
        <v>2023</v>
      </c>
      <c r="E7720" s="18" t="s">
        <v>0</v>
      </c>
      <c r="F7720" s="6">
        <v>1</v>
      </c>
      <c r="G7720" s="40">
        <v>5</v>
      </c>
      <c r="H7720" s="40">
        <v>10.672509999999999</v>
      </c>
      <c r="I7720" s="212"/>
      <c r="J7720" s="212"/>
    </row>
    <row r="7721" spans="1:10" s="15" customFormat="1" ht="18" hidden="1" customHeight="1" outlineLevel="1" x14ac:dyDescent="0.25">
      <c r="A7721" s="18">
        <v>3642</v>
      </c>
      <c r="B7721" s="4" t="s">
        <v>43</v>
      </c>
      <c r="C7721" s="38" t="s">
        <v>10217</v>
      </c>
      <c r="D7721" s="23">
        <v>2023</v>
      </c>
      <c r="E7721" s="18" t="s">
        <v>0</v>
      </c>
      <c r="F7721" s="6">
        <v>1</v>
      </c>
      <c r="G7721" s="40">
        <v>8</v>
      </c>
      <c r="H7721" s="40">
        <v>10.672509999999999</v>
      </c>
      <c r="I7721" s="212"/>
      <c r="J7721" s="212"/>
    </row>
    <row r="7722" spans="1:10" s="15" customFormat="1" ht="18" hidden="1" customHeight="1" outlineLevel="1" x14ac:dyDescent="0.25">
      <c r="A7722" s="18">
        <v>3610</v>
      </c>
      <c r="B7722" s="4" t="s">
        <v>43</v>
      </c>
      <c r="C7722" s="38" t="s">
        <v>10218</v>
      </c>
      <c r="D7722" s="23">
        <v>2023</v>
      </c>
      <c r="E7722" s="18" t="s">
        <v>0</v>
      </c>
      <c r="F7722" s="6">
        <v>1</v>
      </c>
      <c r="G7722" s="40">
        <v>10</v>
      </c>
      <c r="H7722" s="40">
        <v>10.672499999999999</v>
      </c>
      <c r="I7722" s="212"/>
      <c r="J7722" s="212"/>
    </row>
    <row r="7723" spans="1:10" s="15" customFormat="1" ht="18" hidden="1" customHeight="1" outlineLevel="1" x14ac:dyDescent="0.25">
      <c r="A7723" s="18">
        <v>3611</v>
      </c>
      <c r="B7723" s="4" t="s">
        <v>43</v>
      </c>
      <c r="C7723" s="38" t="s">
        <v>10219</v>
      </c>
      <c r="D7723" s="23">
        <v>2023</v>
      </c>
      <c r="E7723" s="18" t="s">
        <v>0</v>
      </c>
      <c r="F7723" s="6">
        <v>1</v>
      </c>
      <c r="G7723" s="40">
        <v>10</v>
      </c>
      <c r="H7723" s="40">
        <v>10.672509999999999</v>
      </c>
      <c r="I7723" s="212"/>
      <c r="J7723" s="212"/>
    </row>
    <row r="7724" spans="1:10" s="15" customFormat="1" ht="18" hidden="1" customHeight="1" outlineLevel="1" x14ac:dyDescent="0.25">
      <c r="A7724" s="18">
        <v>3647</v>
      </c>
      <c r="B7724" s="4" t="s">
        <v>43</v>
      </c>
      <c r="C7724" s="38" t="s">
        <v>10220</v>
      </c>
      <c r="D7724" s="23">
        <v>2023</v>
      </c>
      <c r="E7724" s="18" t="s">
        <v>0</v>
      </c>
      <c r="F7724" s="6">
        <v>1</v>
      </c>
      <c r="G7724" s="40">
        <v>10</v>
      </c>
      <c r="H7724" s="40">
        <v>10.672509999999999</v>
      </c>
      <c r="I7724" s="212"/>
      <c r="J7724" s="212"/>
    </row>
    <row r="7725" spans="1:10" s="15" customFormat="1" ht="18" hidden="1" customHeight="1" outlineLevel="1" x14ac:dyDescent="0.25">
      <c r="A7725" s="18">
        <v>5112</v>
      </c>
      <c r="B7725" s="4" t="s">
        <v>43</v>
      </c>
      <c r="C7725" s="38" t="s">
        <v>10221</v>
      </c>
      <c r="D7725" s="23">
        <v>2023</v>
      </c>
      <c r="E7725" s="18" t="s">
        <v>0</v>
      </c>
      <c r="F7725" s="6">
        <v>1</v>
      </c>
      <c r="G7725" s="40">
        <v>8</v>
      </c>
      <c r="H7725" s="40">
        <v>10.672509999999999</v>
      </c>
      <c r="I7725" s="212"/>
      <c r="J7725" s="212"/>
    </row>
    <row r="7726" spans="1:10" s="15" customFormat="1" ht="18" hidden="1" customHeight="1" outlineLevel="1" x14ac:dyDescent="0.25">
      <c r="A7726" s="18">
        <v>5113</v>
      </c>
      <c r="B7726" s="4" t="s">
        <v>43</v>
      </c>
      <c r="C7726" s="38" t="s">
        <v>10222</v>
      </c>
      <c r="D7726" s="23">
        <v>2023</v>
      </c>
      <c r="E7726" s="18" t="s">
        <v>0</v>
      </c>
      <c r="F7726" s="6">
        <v>1</v>
      </c>
      <c r="G7726" s="40">
        <v>8</v>
      </c>
      <c r="H7726" s="40">
        <v>10.672509999999999</v>
      </c>
      <c r="I7726" s="212"/>
      <c r="J7726" s="212"/>
    </row>
    <row r="7727" spans="1:10" s="15" customFormat="1" ht="18" hidden="1" customHeight="1" outlineLevel="1" x14ac:dyDescent="0.25">
      <c r="A7727" s="18">
        <v>3650</v>
      </c>
      <c r="B7727" s="4" t="s">
        <v>43</v>
      </c>
      <c r="C7727" s="38" t="s">
        <v>10223</v>
      </c>
      <c r="D7727" s="23">
        <v>2023</v>
      </c>
      <c r="E7727" s="18" t="s">
        <v>0</v>
      </c>
      <c r="F7727" s="6">
        <v>1</v>
      </c>
      <c r="G7727" s="40">
        <v>10</v>
      </c>
      <c r="H7727" s="40">
        <v>10.672499999999999</v>
      </c>
      <c r="I7727" s="212"/>
      <c r="J7727" s="212"/>
    </row>
    <row r="7728" spans="1:10" s="15" customFormat="1" ht="18" hidden="1" customHeight="1" outlineLevel="1" x14ac:dyDescent="0.25">
      <c r="A7728" s="18">
        <v>5114</v>
      </c>
      <c r="B7728" s="4" t="s">
        <v>43</v>
      </c>
      <c r="C7728" s="38" t="s">
        <v>10224</v>
      </c>
      <c r="D7728" s="23">
        <v>2023</v>
      </c>
      <c r="E7728" s="18" t="s">
        <v>0</v>
      </c>
      <c r="F7728" s="6">
        <v>1</v>
      </c>
      <c r="G7728" s="40">
        <v>10</v>
      </c>
      <c r="H7728" s="40">
        <v>10.85032</v>
      </c>
      <c r="I7728" s="212"/>
      <c r="J7728" s="212"/>
    </row>
    <row r="7729" spans="1:10" s="15" customFormat="1" ht="18" hidden="1" customHeight="1" outlineLevel="1" x14ac:dyDescent="0.25">
      <c r="A7729" s="18">
        <v>5115</v>
      </c>
      <c r="B7729" s="4" t="s">
        <v>43</v>
      </c>
      <c r="C7729" s="38" t="s">
        <v>10225</v>
      </c>
      <c r="D7729" s="23">
        <v>2023</v>
      </c>
      <c r="E7729" s="18" t="s">
        <v>0</v>
      </c>
      <c r="F7729" s="6">
        <v>1</v>
      </c>
      <c r="G7729" s="40">
        <v>10</v>
      </c>
      <c r="H7729" s="40">
        <v>10.85032</v>
      </c>
      <c r="I7729" s="212"/>
      <c r="J7729" s="212"/>
    </row>
    <row r="7730" spans="1:10" s="15" customFormat="1" ht="18" hidden="1" customHeight="1" outlineLevel="1" x14ac:dyDescent="0.25">
      <c r="A7730" s="18">
        <v>5116</v>
      </c>
      <c r="B7730" s="4" t="s">
        <v>43</v>
      </c>
      <c r="C7730" s="38" t="s">
        <v>10226</v>
      </c>
      <c r="D7730" s="23">
        <v>2023</v>
      </c>
      <c r="E7730" s="18" t="s">
        <v>0</v>
      </c>
      <c r="F7730" s="6">
        <v>1</v>
      </c>
      <c r="G7730" s="40">
        <v>10</v>
      </c>
      <c r="H7730" s="40">
        <v>10.672509999999999</v>
      </c>
      <c r="I7730" s="212"/>
      <c r="J7730" s="212"/>
    </row>
    <row r="7731" spans="1:10" s="15" customFormat="1" ht="18" hidden="1" customHeight="1" outlineLevel="1" x14ac:dyDescent="0.25">
      <c r="A7731" s="18">
        <v>5117</v>
      </c>
      <c r="B7731" s="4" t="s">
        <v>43</v>
      </c>
      <c r="C7731" s="38" t="s">
        <v>10227</v>
      </c>
      <c r="D7731" s="23">
        <v>2023</v>
      </c>
      <c r="E7731" s="18" t="s">
        <v>0</v>
      </c>
      <c r="F7731" s="6">
        <v>1</v>
      </c>
      <c r="G7731" s="40">
        <v>10</v>
      </c>
      <c r="H7731" s="40">
        <v>10.672499999999999</v>
      </c>
      <c r="I7731" s="212"/>
      <c r="J7731" s="212"/>
    </row>
    <row r="7732" spans="1:10" s="15" customFormat="1" ht="18" hidden="1" customHeight="1" outlineLevel="1" x14ac:dyDescent="0.25">
      <c r="A7732" s="18">
        <v>5118</v>
      </c>
      <c r="B7732" s="4" t="s">
        <v>43</v>
      </c>
      <c r="C7732" s="38" t="s">
        <v>10228</v>
      </c>
      <c r="D7732" s="23">
        <v>2023</v>
      </c>
      <c r="E7732" s="18" t="s">
        <v>0</v>
      </c>
      <c r="F7732" s="6">
        <v>1</v>
      </c>
      <c r="G7732" s="40">
        <v>10</v>
      </c>
      <c r="H7732" s="40">
        <v>10.672509999999999</v>
      </c>
      <c r="I7732" s="212"/>
      <c r="J7732" s="212"/>
    </row>
    <row r="7733" spans="1:10" s="15" customFormat="1" ht="18" hidden="1" customHeight="1" outlineLevel="1" x14ac:dyDescent="0.25">
      <c r="A7733" s="18">
        <v>3644</v>
      </c>
      <c r="B7733" s="4" t="s">
        <v>43</v>
      </c>
      <c r="C7733" s="38" t="s">
        <v>10229</v>
      </c>
      <c r="D7733" s="23">
        <v>2023</v>
      </c>
      <c r="E7733" s="18" t="s">
        <v>0</v>
      </c>
      <c r="F7733" s="6">
        <v>1</v>
      </c>
      <c r="G7733" s="40">
        <v>10</v>
      </c>
      <c r="H7733" s="40">
        <v>10.672499999999999</v>
      </c>
      <c r="I7733" s="212"/>
      <c r="J7733" s="212"/>
    </row>
    <row r="7734" spans="1:10" s="15" customFormat="1" ht="18" hidden="1" customHeight="1" outlineLevel="1" x14ac:dyDescent="0.25">
      <c r="A7734" s="18">
        <v>5119</v>
      </c>
      <c r="B7734" s="4" t="s">
        <v>43</v>
      </c>
      <c r="C7734" s="38" t="s">
        <v>10230</v>
      </c>
      <c r="D7734" s="23">
        <v>2023</v>
      </c>
      <c r="E7734" s="18" t="s">
        <v>0</v>
      </c>
      <c r="F7734" s="6">
        <v>1</v>
      </c>
      <c r="G7734" s="40">
        <v>10</v>
      </c>
      <c r="H7734" s="40">
        <v>10.672509999999999</v>
      </c>
      <c r="I7734" s="212"/>
      <c r="J7734" s="212"/>
    </row>
    <row r="7735" spans="1:10" s="15" customFormat="1" ht="18" hidden="1" customHeight="1" outlineLevel="1" x14ac:dyDescent="0.25">
      <c r="A7735" s="18">
        <v>5120</v>
      </c>
      <c r="B7735" s="4" t="s">
        <v>43</v>
      </c>
      <c r="C7735" s="38" t="s">
        <v>10231</v>
      </c>
      <c r="D7735" s="23">
        <v>2023</v>
      </c>
      <c r="E7735" s="18" t="s">
        <v>0</v>
      </c>
      <c r="F7735" s="6">
        <v>1</v>
      </c>
      <c r="G7735" s="40">
        <v>10</v>
      </c>
      <c r="H7735" s="40">
        <v>10.672499999999999</v>
      </c>
      <c r="I7735" s="212"/>
      <c r="J7735" s="212"/>
    </row>
    <row r="7736" spans="1:10" s="15" customFormat="1" ht="18" hidden="1" customHeight="1" outlineLevel="1" x14ac:dyDescent="0.25">
      <c r="A7736" s="18">
        <v>5121</v>
      </c>
      <c r="B7736" s="4" t="s">
        <v>43</v>
      </c>
      <c r="C7736" s="38" t="s">
        <v>10232</v>
      </c>
      <c r="D7736" s="23">
        <v>2023</v>
      </c>
      <c r="E7736" s="18" t="s">
        <v>0</v>
      </c>
      <c r="F7736" s="6">
        <v>1</v>
      </c>
      <c r="G7736" s="40">
        <v>10</v>
      </c>
      <c r="H7736" s="40">
        <v>10.672509999999999</v>
      </c>
      <c r="I7736" s="212"/>
      <c r="J7736" s="212"/>
    </row>
    <row r="7737" spans="1:10" s="15" customFormat="1" ht="18" hidden="1" customHeight="1" outlineLevel="1" x14ac:dyDescent="0.25">
      <c r="A7737" s="18">
        <v>5122</v>
      </c>
      <c r="B7737" s="4" t="s">
        <v>43</v>
      </c>
      <c r="C7737" s="38" t="s">
        <v>10233</v>
      </c>
      <c r="D7737" s="23">
        <v>2023</v>
      </c>
      <c r="E7737" s="18" t="s">
        <v>0</v>
      </c>
      <c r="F7737" s="6">
        <v>1</v>
      </c>
      <c r="G7737" s="40">
        <v>10</v>
      </c>
      <c r="H7737" s="40">
        <v>10.672509999999999</v>
      </c>
      <c r="I7737" s="212"/>
      <c r="J7737" s="212"/>
    </row>
    <row r="7738" spans="1:10" s="15" customFormat="1" ht="18" hidden="1" customHeight="1" outlineLevel="1" x14ac:dyDescent="0.25">
      <c r="A7738" s="18">
        <v>3663</v>
      </c>
      <c r="B7738" s="4" t="s">
        <v>43</v>
      </c>
      <c r="C7738" s="38" t="s">
        <v>10234</v>
      </c>
      <c r="D7738" s="23">
        <v>2023</v>
      </c>
      <c r="E7738" s="18" t="s">
        <v>0</v>
      </c>
      <c r="F7738" s="6">
        <v>1</v>
      </c>
      <c r="G7738" s="40">
        <v>8</v>
      </c>
      <c r="H7738" s="40">
        <v>10.672509999999999</v>
      </c>
      <c r="I7738" s="212"/>
      <c r="J7738" s="212"/>
    </row>
    <row r="7739" spans="1:10" s="15" customFormat="1" ht="18" hidden="1" customHeight="1" outlineLevel="1" x14ac:dyDescent="0.25">
      <c r="A7739" s="18">
        <v>3640</v>
      </c>
      <c r="B7739" s="4" t="s">
        <v>43</v>
      </c>
      <c r="C7739" s="38" t="s">
        <v>10235</v>
      </c>
      <c r="D7739" s="23">
        <v>2023</v>
      </c>
      <c r="E7739" s="18" t="s">
        <v>0</v>
      </c>
      <c r="F7739" s="6">
        <v>1</v>
      </c>
      <c r="G7739" s="40">
        <v>10</v>
      </c>
      <c r="H7739" s="40">
        <v>10.672499999999999</v>
      </c>
      <c r="I7739" s="212"/>
      <c r="J7739" s="212"/>
    </row>
    <row r="7740" spans="1:10" s="15" customFormat="1" ht="18" hidden="1" customHeight="1" outlineLevel="1" x14ac:dyDescent="0.25">
      <c r="A7740" s="18">
        <v>3697</v>
      </c>
      <c r="B7740" s="4" t="s">
        <v>43</v>
      </c>
      <c r="C7740" s="38" t="s">
        <v>10236</v>
      </c>
      <c r="D7740" s="23">
        <v>2023</v>
      </c>
      <c r="E7740" s="18" t="s">
        <v>0</v>
      </c>
      <c r="F7740" s="6">
        <v>1</v>
      </c>
      <c r="G7740" s="40">
        <v>8</v>
      </c>
      <c r="H7740" s="40">
        <v>10.672509999999999</v>
      </c>
      <c r="I7740" s="212"/>
      <c r="J7740" s="212"/>
    </row>
    <row r="7741" spans="1:10" s="15" customFormat="1" ht="18" hidden="1" customHeight="1" outlineLevel="1" x14ac:dyDescent="0.25">
      <c r="A7741" s="18">
        <v>3712</v>
      </c>
      <c r="B7741" s="4" t="s">
        <v>43</v>
      </c>
      <c r="C7741" s="38" t="s">
        <v>10237</v>
      </c>
      <c r="D7741" s="23">
        <v>2023</v>
      </c>
      <c r="E7741" s="18" t="s">
        <v>0</v>
      </c>
      <c r="F7741" s="6">
        <v>1</v>
      </c>
      <c r="G7741" s="40">
        <v>10</v>
      </c>
      <c r="H7741" s="40">
        <v>10.672509999999999</v>
      </c>
      <c r="I7741" s="212"/>
      <c r="J7741" s="212"/>
    </row>
    <row r="7742" spans="1:10" s="15" customFormat="1" ht="18" hidden="1" customHeight="1" outlineLevel="1" x14ac:dyDescent="0.25">
      <c r="A7742" s="18">
        <v>3662</v>
      </c>
      <c r="B7742" s="4" t="s">
        <v>43</v>
      </c>
      <c r="C7742" s="38" t="s">
        <v>10238</v>
      </c>
      <c r="D7742" s="23">
        <v>2023</v>
      </c>
      <c r="E7742" s="18" t="s">
        <v>0</v>
      </c>
      <c r="F7742" s="6">
        <v>1</v>
      </c>
      <c r="G7742" s="40">
        <v>8</v>
      </c>
      <c r="H7742" s="40">
        <v>10.672499999999999</v>
      </c>
      <c r="I7742" s="212"/>
      <c r="J7742" s="212"/>
    </row>
    <row r="7743" spans="1:10" s="15" customFormat="1" ht="18" hidden="1" customHeight="1" outlineLevel="1" x14ac:dyDescent="0.25">
      <c r="A7743" s="18">
        <v>3669</v>
      </c>
      <c r="B7743" s="4" t="s">
        <v>43</v>
      </c>
      <c r="C7743" s="38" t="s">
        <v>10239</v>
      </c>
      <c r="D7743" s="23">
        <v>2023</v>
      </c>
      <c r="E7743" s="18" t="s">
        <v>0</v>
      </c>
      <c r="F7743" s="6">
        <v>1</v>
      </c>
      <c r="G7743" s="40">
        <v>10</v>
      </c>
      <c r="H7743" s="40">
        <v>10.672499999999999</v>
      </c>
      <c r="I7743" s="212"/>
      <c r="J7743" s="212"/>
    </row>
    <row r="7744" spans="1:10" s="15" customFormat="1" ht="18" hidden="1" customHeight="1" outlineLevel="1" x14ac:dyDescent="0.25">
      <c r="A7744" s="18">
        <v>620</v>
      </c>
      <c r="B7744" s="4" t="s">
        <v>43</v>
      </c>
      <c r="C7744" s="38" t="s">
        <v>10240</v>
      </c>
      <c r="D7744" s="23">
        <v>2023</v>
      </c>
      <c r="E7744" s="18" t="s">
        <v>0</v>
      </c>
      <c r="F7744" s="6">
        <v>1</v>
      </c>
      <c r="G7744" s="40">
        <v>15</v>
      </c>
      <c r="H7744" s="40">
        <v>10.20101</v>
      </c>
      <c r="I7744" s="212"/>
      <c r="J7744" s="212"/>
    </row>
    <row r="7745" spans="1:10" s="15" customFormat="1" ht="18" hidden="1" customHeight="1" outlineLevel="1" x14ac:dyDescent="0.25">
      <c r="A7745" s="18">
        <v>3867</v>
      </c>
      <c r="B7745" s="4" t="s">
        <v>43</v>
      </c>
      <c r="C7745" s="38" t="s">
        <v>10241</v>
      </c>
      <c r="D7745" s="23">
        <v>2023</v>
      </c>
      <c r="E7745" s="18" t="s">
        <v>0</v>
      </c>
      <c r="F7745" s="6">
        <v>1</v>
      </c>
      <c r="G7745" s="40">
        <v>5</v>
      </c>
      <c r="H7745" s="40">
        <v>10.672509999999999</v>
      </c>
      <c r="I7745" s="212"/>
      <c r="J7745" s="212"/>
    </row>
    <row r="7746" spans="1:10" s="15" customFormat="1" ht="18" hidden="1" customHeight="1" outlineLevel="1" x14ac:dyDescent="0.25">
      <c r="A7746" s="18">
        <v>3884</v>
      </c>
      <c r="B7746" s="4" t="s">
        <v>43</v>
      </c>
      <c r="C7746" s="38" t="s">
        <v>10242</v>
      </c>
      <c r="D7746" s="23">
        <v>2023</v>
      </c>
      <c r="E7746" s="18" t="s">
        <v>0</v>
      </c>
      <c r="F7746" s="6">
        <v>1</v>
      </c>
      <c r="G7746" s="40">
        <v>11</v>
      </c>
      <c r="H7746" s="40">
        <v>12.574669999999999</v>
      </c>
      <c r="I7746" s="212"/>
      <c r="J7746" s="212"/>
    </row>
    <row r="7747" spans="1:10" s="15" customFormat="1" ht="18" hidden="1" customHeight="1" outlineLevel="1" x14ac:dyDescent="0.25">
      <c r="A7747" s="18">
        <v>5136</v>
      </c>
      <c r="B7747" s="4" t="s">
        <v>43</v>
      </c>
      <c r="C7747" s="38" t="s">
        <v>10243</v>
      </c>
      <c r="D7747" s="23">
        <v>2023</v>
      </c>
      <c r="E7747" s="18" t="s">
        <v>0</v>
      </c>
      <c r="F7747" s="6">
        <v>1</v>
      </c>
      <c r="G7747" s="40">
        <v>12</v>
      </c>
      <c r="H7747" s="40">
        <v>10.20101</v>
      </c>
      <c r="I7747" s="212"/>
      <c r="J7747" s="212"/>
    </row>
    <row r="7748" spans="1:10" s="15" customFormat="1" ht="18" hidden="1" customHeight="1" outlineLevel="1" x14ac:dyDescent="0.25">
      <c r="A7748" s="18">
        <v>5137</v>
      </c>
      <c r="B7748" s="4" t="s">
        <v>43</v>
      </c>
      <c r="C7748" s="38" t="s">
        <v>10244</v>
      </c>
      <c r="D7748" s="23">
        <v>2023</v>
      </c>
      <c r="E7748" s="18" t="s">
        <v>0</v>
      </c>
      <c r="F7748" s="6">
        <v>1</v>
      </c>
      <c r="G7748" s="40">
        <v>12</v>
      </c>
      <c r="H7748" s="40">
        <v>12.24264</v>
      </c>
      <c r="I7748" s="212"/>
      <c r="J7748" s="212"/>
    </row>
    <row r="7749" spans="1:10" s="15" customFormat="1" ht="18" hidden="1" customHeight="1" outlineLevel="1" x14ac:dyDescent="0.25">
      <c r="A7749" s="18">
        <v>5139</v>
      </c>
      <c r="B7749" s="4" t="s">
        <v>43</v>
      </c>
      <c r="C7749" s="38" t="s">
        <v>10245</v>
      </c>
      <c r="D7749" s="23">
        <v>2023</v>
      </c>
      <c r="E7749" s="18" t="s">
        <v>0</v>
      </c>
      <c r="F7749" s="6">
        <v>1</v>
      </c>
      <c r="G7749" s="40">
        <v>4</v>
      </c>
      <c r="H7749" s="40">
        <v>12.242610000000001</v>
      </c>
      <c r="I7749" s="212"/>
      <c r="J7749" s="212"/>
    </row>
    <row r="7750" spans="1:10" s="15" customFormat="1" ht="18" hidden="1" customHeight="1" outlineLevel="1" x14ac:dyDescent="0.25">
      <c r="A7750" s="18">
        <v>5140</v>
      </c>
      <c r="B7750" s="4" t="s">
        <v>43</v>
      </c>
      <c r="C7750" s="38" t="s">
        <v>10246</v>
      </c>
      <c r="D7750" s="23">
        <v>2023</v>
      </c>
      <c r="E7750" s="18" t="s">
        <v>0</v>
      </c>
      <c r="F7750" s="6">
        <v>1</v>
      </c>
      <c r="G7750" s="40">
        <v>10</v>
      </c>
      <c r="H7750" s="40">
        <v>10.454190000000001</v>
      </c>
      <c r="I7750" s="212"/>
      <c r="J7750" s="212"/>
    </row>
    <row r="7751" spans="1:10" s="15" customFormat="1" ht="18" hidden="1" customHeight="1" outlineLevel="1" x14ac:dyDescent="0.25">
      <c r="A7751" s="18">
        <v>1117</v>
      </c>
      <c r="B7751" s="4" t="s">
        <v>43</v>
      </c>
      <c r="C7751" s="38" t="s">
        <v>10247</v>
      </c>
      <c r="D7751" s="23">
        <v>2023</v>
      </c>
      <c r="E7751" s="18" t="s">
        <v>0</v>
      </c>
      <c r="F7751" s="6">
        <v>1</v>
      </c>
      <c r="G7751" s="40">
        <v>10</v>
      </c>
      <c r="H7751" s="40">
        <v>10.20101</v>
      </c>
      <c r="I7751" s="212"/>
      <c r="J7751" s="212"/>
    </row>
    <row r="7752" spans="1:10" s="15" customFormat="1" ht="18" hidden="1" customHeight="1" outlineLevel="1" x14ac:dyDescent="0.25">
      <c r="A7752" s="18">
        <v>1034</v>
      </c>
      <c r="B7752" s="4" t="s">
        <v>43</v>
      </c>
      <c r="C7752" s="38" t="s">
        <v>10248</v>
      </c>
      <c r="D7752" s="23">
        <v>2023</v>
      </c>
      <c r="E7752" s="18" t="s">
        <v>0</v>
      </c>
      <c r="F7752" s="6">
        <v>1</v>
      </c>
      <c r="G7752" s="40">
        <v>10</v>
      </c>
      <c r="H7752" s="40">
        <v>10.20101</v>
      </c>
      <c r="I7752" s="212"/>
      <c r="J7752" s="212"/>
    </row>
    <row r="7753" spans="1:10" s="15" customFormat="1" ht="18" hidden="1" customHeight="1" outlineLevel="1" x14ac:dyDescent="0.25">
      <c r="A7753" s="18">
        <v>1030</v>
      </c>
      <c r="B7753" s="4" t="s">
        <v>43</v>
      </c>
      <c r="C7753" s="38" t="s">
        <v>10249</v>
      </c>
      <c r="D7753" s="23">
        <v>2023</v>
      </c>
      <c r="E7753" s="18" t="s">
        <v>0</v>
      </c>
      <c r="F7753" s="6">
        <v>1</v>
      </c>
      <c r="G7753" s="40">
        <v>10</v>
      </c>
      <c r="H7753" s="40">
        <v>10.20101</v>
      </c>
      <c r="I7753" s="212"/>
      <c r="J7753" s="212"/>
    </row>
    <row r="7754" spans="1:10" s="15" customFormat="1" ht="18" hidden="1" customHeight="1" outlineLevel="1" x14ac:dyDescent="0.25">
      <c r="A7754" s="18">
        <v>963</v>
      </c>
      <c r="B7754" s="4" t="s">
        <v>43</v>
      </c>
      <c r="C7754" s="38" t="s">
        <v>10250</v>
      </c>
      <c r="D7754" s="23">
        <v>2023</v>
      </c>
      <c r="E7754" s="18" t="s">
        <v>0</v>
      </c>
      <c r="F7754" s="6">
        <v>1</v>
      </c>
      <c r="G7754" s="40">
        <v>10</v>
      </c>
      <c r="H7754" s="40">
        <v>10.20101</v>
      </c>
      <c r="I7754" s="212"/>
      <c r="J7754" s="212"/>
    </row>
    <row r="7755" spans="1:10" s="15" customFormat="1" ht="18" hidden="1" customHeight="1" outlineLevel="1" x14ac:dyDescent="0.25">
      <c r="A7755" s="18">
        <v>1008</v>
      </c>
      <c r="B7755" s="4" t="s">
        <v>43</v>
      </c>
      <c r="C7755" s="38" t="s">
        <v>10251</v>
      </c>
      <c r="D7755" s="23">
        <v>2023</v>
      </c>
      <c r="E7755" s="18" t="s">
        <v>0</v>
      </c>
      <c r="F7755" s="6">
        <v>1</v>
      </c>
      <c r="G7755" s="40">
        <v>10</v>
      </c>
      <c r="H7755" s="40">
        <v>10.20101</v>
      </c>
      <c r="I7755" s="212"/>
      <c r="J7755" s="212"/>
    </row>
    <row r="7756" spans="1:10" s="15" customFormat="1" ht="18" hidden="1" customHeight="1" outlineLevel="1" x14ac:dyDescent="0.25">
      <c r="A7756" s="18">
        <v>994</v>
      </c>
      <c r="B7756" s="4" t="s">
        <v>43</v>
      </c>
      <c r="C7756" s="38" t="s">
        <v>10252</v>
      </c>
      <c r="D7756" s="23">
        <v>2023</v>
      </c>
      <c r="E7756" s="18" t="s">
        <v>0</v>
      </c>
      <c r="F7756" s="6">
        <v>1</v>
      </c>
      <c r="G7756" s="40">
        <v>10</v>
      </c>
      <c r="H7756" s="40">
        <v>10.20101</v>
      </c>
      <c r="I7756" s="212"/>
      <c r="J7756" s="212"/>
    </row>
    <row r="7757" spans="1:10" s="15" customFormat="1" ht="18" hidden="1" customHeight="1" outlineLevel="1" x14ac:dyDescent="0.25">
      <c r="A7757" s="18">
        <v>3460</v>
      </c>
      <c r="B7757" s="4" t="s">
        <v>43</v>
      </c>
      <c r="C7757" s="38" t="s">
        <v>10253</v>
      </c>
      <c r="D7757" s="23">
        <v>2023</v>
      </c>
      <c r="E7757" s="18" t="s">
        <v>0</v>
      </c>
      <c r="F7757" s="6">
        <v>1</v>
      </c>
      <c r="G7757" s="40">
        <v>10</v>
      </c>
      <c r="H7757" s="40">
        <v>10.201000000000001</v>
      </c>
      <c r="I7757" s="212"/>
      <c r="J7757" s="212"/>
    </row>
    <row r="7758" spans="1:10" s="15" customFormat="1" ht="18" hidden="1" customHeight="1" outlineLevel="1" x14ac:dyDescent="0.25">
      <c r="A7758" s="18">
        <v>3457</v>
      </c>
      <c r="B7758" s="4" t="s">
        <v>43</v>
      </c>
      <c r="C7758" s="38" t="s">
        <v>10254</v>
      </c>
      <c r="D7758" s="23">
        <v>2023</v>
      </c>
      <c r="E7758" s="18" t="s">
        <v>0</v>
      </c>
      <c r="F7758" s="6">
        <v>1</v>
      </c>
      <c r="G7758" s="40">
        <v>10</v>
      </c>
      <c r="H7758" s="40">
        <v>10.20101</v>
      </c>
      <c r="I7758" s="212"/>
      <c r="J7758" s="212"/>
    </row>
    <row r="7759" spans="1:10" s="15" customFormat="1" ht="18" hidden="1" customHeight="1" outlineLevel="1" x14ac:dyDescent="0.25">
      <c r="A7759" s="18">
        <v>3567</v>
      </c>
      <c r="B7759" s="4" t="s">
        <v>43</v>
      </c>
      <c r="C7759" s="38" t="s">
        <v>10255</v>
      </c>
      <c r="D7759" s="23">
        <v>2023</v>
      </c>
      <c r="E7759" s="18" t="s">
        <v>0</v>
      </c>
      <c r="F7759" s="6">
        <v>1</v>
      </c>
      <c r="G7759" s="40">
        <v>10</v>
      </c>
      <c r="H7759" s="40">
        <v>10.201000000000001</v>
      </c>
      <c r="I7759" s="212"/>
      <c r="J7759" s="212"/>
    </row>
    <row r="7760" spans="1:10" s="15" customFormat="1" ht="18" hidden="1" customHeight="1" outlineLevel="1" x14ac:dyDescent="0.25">
      <c r="A7760" s="18">
        <v>879</v>
      </c>
      <c r="B7760" s="4" t="s">
        <v>43</v>
      </c>
      <c r="C7760" s="38" t="s">
        <v>10256</v>
      </c>
      <c r="D7760" s="23">
        <v>2023</v>
      </c>
      <c r="E7760" s="18" t="s">
        <v>0</v>
      </c>
      <c r="F7760" s="6">
        <v>1</v>
      </c>
      <c r="G7760" s="40">
        <v>10</v>
      </c>
      <c r="H7760" s="40">
        <v>10.201000000000001</v>
      </c>
      <c r="I7760" s="212"/>
      <c r="J7760" s="212"/>
    </row>
    <row r="7761" spans="1:10" s="15" customFormat="1" ht="18" hidden="1" customHeight="1" outlineLevel="1" x14ac:dyDescent="0.25">
      <c r="A7761" s="18">
        <v>3589</v>
      </c>
      <c r="B7761" s="4" t="s">
        <v>43</v>
      </c>
      <c r="C7761" s="38" t="s">
        <v>10257</v>
      </c>
      <c r="D7761" s="23">
        <v>2023</v>
      </c>
      <c r="E7761" s="18" t="s">
        <v>0</v>
      </c>
      <c r="F7761" s="6">
        <v>1</v>
      </c>
      <c r="G7761" s="40">
        <v>10</v>
      </c>
      <c r="H7761" s="40">
        <v>10.20101</v>
      </c>
      <c r="I7761" s="212"/>
      <c r="J7761" s="212"/>
    </row>
    <row r="7762" spans="1:10" s="15" customFormat="1" ht="18" hidden="1" customHeight="1" outlineLevel="1" x14ac:dyDescent="0.25">
      <c r="A7762" s="18">
        <v>3658</v>
      </c>
      <c r="B7762" s="4" t="s">
        <v>43</v>
      </c>
      <c r="C7762" s="38" t="s">
        <v>10258</v>
      </c>
      <c r="D7762" s="23">
        <v>2023</v>
      </c>
      <c r="E7762" s="18" t="s">
        <v>0</v>
      </c>
      <c r="F7762" s="6">
        <v>1</v>
      </c>
      <c r="G7762" s="40">
        <v>10</v>
      </c>
      <c r="H7762" s="40">
        <v>10.20101</v>
      </c>
      <c r="I7762" s="212"/>
      <c r="J7762" s="212"/>
    </row>
    <row r="7763" spans="1:10" s="15" customFormat="1" ht="18" hidden="1" customHeight="1" outlineLevel="1" x14ac:dyDescent="0.25">
      <c r="A7763" s="18">
        <v>3657</v>
      </c>
      <c r="B7763" s="4" t="s">
        <v>43</v>
      </c>
      <c r="C7763" s="38" t="s">
        <v>10259</v>
      </c>
      <c r="D7763" s="23">
        <v>2023</v>
      </c>
      <c r="E7763" s="18" t="s">
        <v>0</v>
      </c>
      <c r="F7763" s="6">
        <v>1</v>
      </c>
      <c r="G7763" s="40">
        <v>12</v>
      </c>
      <c r="H7763" s="40">
        <v>10.454190000000001</v>
      </c>
      <c r="I7763" s="212"/>
      <c r="J7763" s="212"/>
    </row>
    <row r="7764" spans="1:10" s="15" customFormat="1" ht="18" hidden="1" customHeight="1" outlineLevel="1" x14ac:dyDescent="0.25">
      <c r="A7764" s="18">
        <v>3695</v>
      </c>
      <c r="B7764" s="4" t="s">
        <v>43</v>
      </c>
      <c r="C7764" s="38" t="s">
        <v>10260</v>
      </c>
      <c r="D7764" s="23">
        <v>2023</v>
      </c>
      <c r="E7764" s="18" t="s">
        <v>0</v>
      </c>
      <c r="F7764" s="6">
        <v>1</v>
      </c>
      <c r="G7764" s="40">
        <v>10</v>
      </c>
      <c r="H7764" s="40">
        <v>10.201000000000001</v>
      </c>
      <c r="I7764" s="212"/>
      <c r="J7764" s="212"/>
    </row>
    <row r="7765" spans="1:10" s="15" customFormat="1" ht="18" hidden="1" customHeight="1" outlineLevel="1" x14ac:dyDescent="0.25">
      <c r="A7765" s="18">
        <v>3668</v>
      </c>
      <c r="B7765" s="4" t="s">
        <v>43</v>
      </c>
      <c r="C7765" s="38" t="s">
        <v>10261</v>
      </c>
      <c r="D7765" s="23">
        <v>2023</v>
      </c>
      <c r="E7765" s="18" t="s">
        <v>0</v>
      </c>
      <c r="F7765" s="6">
        <v>1</v>
      </c>
      <c r="G7765" s="40">
        <v>15</v>
      </c>
      <c r="H7765" s="40">
        <v>10.201000000000001</v>
      </c>
      <c r="I7765" s="212"/>
      <c r="J7765" s="212"/>
    </row>
    <row r="7766" spans="1:10" s="15" customFormat="1" ht="18" hidden="1" customHeight="1" outlineLevel="1" x14ac:dyDescent="0.25">
      <c r="A7766" s="18">
        <v>3750</v>
      </c>
      <c r="B7766" s="4" t="s">
        <v>43</v>
      </c>
      <c r="C7766" s="38" t="s">
        <v>10262</v>
      </c>
      <c r="D7766" s="23">
        <v>2023</v>
      </c>
      <c r="E7766" s="18" t="s">
        <v>0</v>
      </c>
      <c r="F7766" s="6">
        <v>1</v>
      </c>
      <c r="G7766" s="40">
        <v>10</v>
      </c>
      <c r="H7766" s="40">
        <v>10.20101</v>
      </c>
      <c r="I7766" s="212"/>
      <c r="J7766" s="212"/>
    </row>
    <row r="7767" spans="1:10" s="15" customFormat="1" ht="18" hidden="1" customHeight="1" outlineLevel="1" x14ac:dyDescent="0.25">
      <c r="A7767" s="18">
        <v>3751</v>
      </c>
      <c r="B7767" s="4" t="s">
        <v>43</v>
      </c>
      <c r="C7767" s="38" t="s">
        <v>10263</v>
      </c>
      <c r="D7767" s="23">
        <v>2023</v>
      </c>
      <c r="E7767" s="18" t="s">
        <v>0</v>
      </c>
      <c r="F7767" s="6">
        <v>1</v>
      </c>
      <c r="G7767" s="40">
        <v>10</v>
      </c>
      <c r="H7767" s="40">
        <v>10.20101</v>
      </c>
      <c r="I7767" s="212"/>
      <c r="J7767" s="212"/>
    </row>
    <row r="7768" spans="1:10" s="15" customFormat="1" ht="18" hidden="1" customHeight="1" outlineLevel="1" x14ac:dyDescent="0.25">
      <c r="A7768" s="18">
        <v>3747</v>
      </c>
      <c r="B7768" s="4" t="s">
        <v>43</v>
      </c>
      <c r="C7768" s="38" t="s">
        <v>10264</v>
      </c>
      <c r="D7768" s="23">
        <v>2023</v>
      </c>
      <c r="E7768" s="18" t="s">
        <v>0</v>
      </c>
      <c r="F7768" s="6">
        <v>1</v>
      </c>
      <c r="G7768" s="40">
        <v>10</v>
      </c>
      <c r="H7768" s="40">
        <v>10.20101</v>
      </c>
      <c r="I7768" s="212"/>
      <c r="J7768" s="212"/>
    </row>
    <row r="7769" spans="1:10" s="15" customFormat="1" ht="18" hidden="1" customHeight="1" outlineLevel="1" x14ac:dyDescent="0.25">
      <c r="A7769" s="18">
        <v>3756</v>
      </c>
      <c r="B7769" s="4" t="s">
        <v>43</v>
      </c>
      <c r="C7769" s="38" t="s">
        <v>10265</v>
      </c>
      <c r="D7769" s="23">
        <v>2023</v>
      </c>
      <c r="E7769" s="18" t="s">
        <v>0</v>
      </c>
      <c r="F7769" s="6">
        <v>1</v>
      </c>
      <c r="G7769" s="40">
        <v>15</v>
      </c>
      <c r="H7769" s="40">
        <v>10.201000000000001</v>
      </c>
      <c r="I7769" s="212"/>
      <c r="J7769" s="212"/>
    </row>
    <row r="7770" spans="1:10" s="15" customFormat="1" ht="18" hidden="1" customHeight="1" outlineLevel="1" x14ac:dyDescent="0.25">
      <c r="A7770" s="18">
        <v>3817</v>
      </c>
      <c r="B7770" s="4" t="s">
        <v>43</v>
      </c>
      <c r="C7770" s="38" t="s">
        <v>10266</v>
      </c>
      <c r="D7770" s="23">
        <v>2023</v>
      </c>
      <c r="E7770" s="18" t="s">
        <v>0</v>
      </c>
      <c r="F7770" s="6">
        <v>1</v>
      </c>
      <c r="G7770" s="40">
        <v>11</v>
      </c>
      <c r="H7770" s="40">
        <v>10.454180000000001</v>
      </c>
      <c r="I7770" s="212"/>
      <c r="J7770" s="212"/>
    </row>
    <row r="7771" spans="1:10" s="15" customFormat="1" ht="18" hidden="1" customHeight="1" outlineLevel="1" x14ac:dyDescent="0.25">
      <c r="A7771" s="18">
        <v>5143</v>
      </c>
      <c r="B7771" s="4" t="s">
        <v>43</v>
      </c>
      <c r="C7771" s="38" t="s">
        <v>10267</v>
      </c>
      <c r="D7771" s="23">
        <v>2023</v>
      </c>
      <c r="E7771" s="18" t="s">
        <v>0</v>
      </c>
      <c r="F7771" s="6">
        <v>1</v>
      </c>
      <c r="G7771" s="40">
        <v>14</v>
      </c>
      <c r="H7771" s="40">
        <v>12.0905</v>
      </c>
      <c r="I7771" s="212"/>
      <c r="J7771" s="212"/>
    </row>
    <row r="7772" spans="1:10" s="15" customFormat="1" ht="18" hidden="1" customHeight="1" outlineLevel="1" x14ac:dyDescent="0.25">
      <c r="A7772" s="18">
        <v>5144</v>
      </c>
      <c r="B7772" s="4" t="s">
        <v>43</v>
      </c>
      <c r="C7772" s="38" t="s">
        <v>10268</v>
      </c>
      <c r="D7772" s="23">
        <v>2023</v>
      </c>
      <c r="E7772" s="18" t="s">
        <v>0</v>
      </c>
      <c r="F7772" s="6">
        <v>1</v>
      </c>
      <c r="G7772" s="40">
        <v>14</v>
      </c>
      <c r="H7772" s="40">
        <v>12.30692</v>
      </c>
      <c r="I7772" s="212"/>
      <c r="J7772" s="212"/>
    </row>
    <row r="7773" spans="1:10" s="15" customFormat="1" ht="18" hidden="1" customHeight="1" outlineLevel="1" x14ac:dyDescent="0.25">
      <c r="A7773" s="18">
        <v>3881</v>
      </c>
      <c r="B7773" s="4" t="s">
        <v>43</v>
      </c>
      <c r="C7773" s="38" t="s">
        <v>10269</v>
      </c>
      <c r="D7773" s="23">
        <v>2023</v>
      </c>
      <c r="E7773" s="18" t="s">
        <v>0</v>
      </c>
      <c r="F7773" s="6">
        <v>1</v>
      </c>
      <c r="G7773" s="40">
        <v>11</v>
      </c>
      <c r="H7773" s="40">
        <v>12.527659999999999</v>
      </c>
      <c r="I7773" s="212"/>
      <c r="J7773" s="212"/>
    </row>
    <row r="7774" spans="1:10" s="15" customFormat="1" ht="18" hidden="1" customHeight="1" outlineLevel="1" x14ac:dyDescent="0.25">
      <c r="A7774" s="18">
        <v>3993</v>
      </c>
      <c r="B7774" s="4" t="s">
        <v>43</v>
      </c>
      <c r="C7774" s="38" t="s">
        <v>8554</v>
      </c>
      <c r="D7774" s="23">
        <v>2023</v>
      </c>
      <c r="E7774" s="18" t="s">
        <v>0</v>
      </c>
      <c r="F7774" s="6">
        <v>1</v>
      </c>
      <c r="G7774" s="40">
        <v>10</v>
      </c>
      <c r="H7774" s="40">
        <v>42.039029999999997</v>
      </c>
      <c r="I7774" s="212"/>
      <c r="J7774" s="212"/>
    </row>
    <row r="7775" spans="1:10" s="15" customFormat="1" ht="18" hidden="1" customHeight="1" outlineLevel="1" x14ac:dyDescent="0.25">
      <c r="A7775" s="18">
        <v>856</v>
      </c>
      <c r="B7775" s="4" t="s">
        <v>43</v>
      </c>
      <c r="C7775" s="38" t="s">
        <v>8561</v>
      </c>
      <c r="D7775" s="23">
        <v>2023</v>
      </c>
      <c r="E7775" s="18" t="s">
        <v>0</v>
      </c>
      <c r="F7775" s="6">
        <v>1</v>
      </c>
      <c r="G7775" s="40">
        <v>10</v>
      </c>
      <c r="H7775" s="40">
        <v>143.01898</v>
      </c>
      <c r="I7775" s="212"/>
      <c r="J7775" s="212"/>
    </row>
    <row r="7776" spans="1:10" s="15" customFormat="1" ht="18" hidden="1" customHeight="1" outlineLevel="1" x14ac:dyDescent="0.25">
      <c r="A7776" s="18">
        <v>1248</v>
      </c>
      <c r="B7776" s="4" t="s">
        <v>43</v>
      </c>
      <c r="C7776" s="38" t="s">
        <v>8562</v>
      </c>
      <c r="D7776" s="23">
        <v>2023</v>
      </c>
      <c r="E7776" s="18" t="s">
        <v>0</v>
      </c>
      <c r="F7776" s="6">
        <v>1</v>
      </c>
      <c r="G7776" s="40">
        <v>31</v>
      </c>
      <c r="H7776" s="40">
        <v>131.69758999999999</v>
      </c>
      <c r="I7776" s="212"/>
      <c r="J7776" s="212"/>
    </row>
    <row r="7777" spans="1:10" s="15" customFormat="1" ht="18" hidden="1" customHeight="1" outlineLevel="1" x14ac:dyDescent="0.25">
      <c r="A7777" s="18">
        <v>911</v>
      </c>
      <c r="B7777" s="4" t="s">
        <v>43</v>
      </c>
      <c r="C7777" s="38" t="s">
        <v>8564</v>
      </c>
      <c r="D7777" s="23">
        <v>2023</v>
      </c>
      <c r="E7777" s="18" t="s">
        <v>0</v>
      </c>
      <c r="F7777" s="6">
        <v>1</v>
      </c>
      <c r="G7777" s="40">
        <v>15</v>
      </c>
      <c r="H7777" s="40">
        <v>105.4081</v>
      </c>
      <c r="I7777" s="212"/>
      <c r="J7777" s="212"/>
    </row>
    <row r="7778" spans="1:10" s="15" customFormat="1" ht="18" hidden="1" customHeight="1" outlineLevel="1" x14ac:dyDescent="0.25">
      <c r="A7778" s="18">
        <v>1065</v>
      </c>
      <c r="B7778" s="4" t="s">
        <v>43</v>
      </c>
      <c r="C7778" s="38" t="s">
        <v>10270</v>
      </c>
      <c r="D7778" s="23">
        <v>2023</v>
      </c>
      <c r="E7778" s="18" t="s">
        <v>0</v>
      </c>
      <c r="F7778" s="6">
        <v>1</v>
      </c>
      <c r="G7778" s="40">
        <v>8</v>
      </c>
      <c r="H7778" s="40">
        <v>128.82990999999998</v>
      </c>
      <c r="I7778" s="212"/>
      <c r="J7778" s="212"/>
    </row>
    <row r="7779" spans="1:10" s="15" customFormat="1" ht="18" hidden="1" customHeight="1" outlineLevel="1" x14ac:dyDescent="0.25">
      <c r="A7779" s="18">
        <v>5154</v>
      </c>
      <c r="B7779" s="4" t="s">
        <v>43</v>
      </c>
      <c r="C7779" s="38" t="s">
        <v>10271</v>
      </c>
      <c r="D7779" s="23">
        <v>2023</v>
      </c>
      <c r="E7779" s="18" t="s">
        <v>0</v>
      </c>
      <c r="F7779" s="6">
        <v>1</v>
      </c>
      <c r="G7779" s="40">
        <v>12</v>
      </c>
      <c r="H7779" s="40">
        <v>11.006639999999999</v>
      </c>
      <c r="I7779" s="212"/>
      <c r="J7779" s="212"/>
    </row>
    <row r="7780" spans="1:10" s="15" customFormat="1" ht="18" hidden="1" customHeight="1" outlineLevel="1" x14ac:dyDescent="0.25">
      <c r="A7780" s="18">
        <v>1772</v>
      </c>
      <c r="B7780" s="4" t="s">
        <v>43</v>
      </c>
      <c r="C7780" s="38" t="s">
        <v>10272</v>
      </c>
      <c r="D7780" s="23">
        <v>2023</v>
      </c>
      <c r="E7780" s="18" t="s">
        <v>0</v>
      </c>
      <c r="F7780" s="6">
        <v>1</v>
      </c>
      <c r="G7780" s="40">
        <v>5</v>
      </c>
      <c r="H7780" s="40">
        <v>11.006870000000001</v>
      </c>
      <c r="I7780" s="212"/>
      <c r="J7780" s="212"/>
    </row>
    <row r="7781" spans="1:10" s="15" customFormat="1" ht="18" hidden="1" customHeight="1" outlineLevel="1" x14ac:dyDescent="0.25">
      <c r="A7781" s="18">
        <v>5032</v>
      </c>
      <c r="B7781" s="4" t="s">
        <v>43</v>
      </c>
      <c r="C7781" s="38" t="s">
        <v>8569</v>
      </c>
      <c r="D7781" s="23">
        <v>2023</v>
      </c>
      <c r="E7781" s="18" t="s">
        <v>0</v>
      </c>
      <c r="F7781" s="6">
        <v>1</v>
      </c>
      <c r="G7781" s="40">
        <v>10</v>
      </c>
      <c r="H7781" s="40">
        <v>41.298830000000002</v>
      </c>
      <c r="I7781" s="212"/>
      <c r="J7781" s="212"/>
    </row>
    <row r="7782" spans="1:10" s="15" customFormat="1" ht="18" hidden="1" customHeight="1" outlineLevel="1" x14ac:dyDescent="0.25">
      <c r="A7782" s="18">
        <v>368</v>
      </c>
      <c r="B7782" s="4" t="s">
        <v>43</v>
      </c>
      <c r="C7782" s="38" t="s">
        <v>8570</v>
      </c>
      <c r="D7782" s="23">
        <v>2023</v>
      </c>
      <c r="E7782" s="18" t="s">
        <v>0</v>
      </c>
      <c r="F7782" s="6">
        <v>1</v>
      </c>
      <c r="G7782" s="40">
        <v>50</v>
      </c>
      <c r="H7782" s="40">
        <v>36.327179999999998</v>
      </c>
      <c r="I7782" s="212"/>
      <c r="J7782" s="212"/>
    </row>
    <row r="7783" spans="1:10" s="15" customFormat="1" ht="18" hidden="1" customHeight="1" outlineLevel="1" x14ac:dyDescent="0.25">
      <c r="A7783" s="18">
        <v>4010</v>
      </c>
      <c r="B7783" s="4" t="s">
        <v>43</v>
      </c>
      <c r="C7783" s="38" t="s">
        <v>8572</v>
      </c>
      <c r="D7783" s="23">
        <v>2023</v>
      </c>
      <c r="E7783" s="18" t="s">
        <v>0</v>
      </c>
      <c r="F7783" s="6">
        <v>1</v>
      </c>
      <c r="G7783" s="40">
        <v>10</v>
      </c>
      <c r="H7783" s="40">
        <v>40.15184</v>
      </c>
      <c r="I7783" s="212"/>
      <c r="J7783" s="212"/>
    </row>
    <row r="7784" spans="1:10" s="15" customFormat="1" ht="18" hidden="1" customHeight="1" outlineLevel="1" x14ac:dyDescent="0.25">
      <c r="A7784" s="18">
        <v>357</v>
      </c>
      <c r="B7784" s="4" t="s">
        <v>43</v>
      </c>
      <c r="C7784" s="38" t="s">
        <v>8575</v>
      </c>
      <c r="D7784" s="23">
        <v>2023</v>
      </c>
      <c r="E7784" s="18" t="s">
        <v>0</v>
      </c>
      <c r="F7784" s="6">
        <v>1</v>
      </c>
      <c r="G7784" s="40">
        <v>10</v>
      </c>
      <c r="H7784" s="40">
        <v>36.18609</v>
      </c>
      <c r="I7784" s="212"/>
      <c r="J7784" s="212"/>
    </row>
    <row r="7785" spans="1:10" s="15" customFormat="1" ht="18" hidden="1" customHeight="1" outlineLevel="1" x14ac:dyDescent="0.25">
      <c r="A7785" s="18">
        <v>3829</v>
      </c>
      <c r="B7785" s="4" t="s">
        <v>43</v>
      </c>
      <c r="C7785" s="38" t="s">
        <v>8581</v>
      </c>
      <c r="D7785" s="23">
        <v>2023</v>
      </c>
      <c r="E7785" s="18" t="s">
        <v>0</v>
      </c>
      <c r="F7785" s="6">
        <v>1</v>
      </c>
      <c r="G7785" s="40">
        <v>6</v>
      </c>
      <c r="H7785" s="40">
        <v>98.027760000000001</v>
      </c>
      <c r="I7785" s="212"/>
      <c r="J7785" s="212"/>
    </row>
    <row r="7786" spans="1:10" s="15" customFormat="1" ht="18" hidden="1" customHeight="1" outlineLevel="1" x14ac:dyDescent="0.25">
      <c r="A7786" s="18">
        <v>5157</v>
      </c>
      <c r="B7786" s="4" t="s">
        <v>43</v>
      </c>
      <c r="C7786" s="38" t="s">
        <v>8588</v>
      </c>
      <c r="D7786" s="23">
        <v>2023</v>
      </c>
      <c r="E7786" s="18" t="s">
        <v>0</v>
      </c>
      <c r="F7786" s="6">
        <v>1</v>
      </c>
      <c r="G7786" s="40">
        <v>6</v>
      </c>
      <c r="H7786" s="40">
        <v>117.36315999999999</v>
      </c>
      <c r="I7786" s="212"/>
      <c r="J7786" s="212"/>
    </row>
    <row r="7787" spans="1:10" s="15" customFormat="1" ht="18" hidden="1" customHeight="1" outlineLevel="1" x14ac:dyDescent="0.25">
      <c r="A7787" s="18">
        <v>596</v>
      </c>
      <c r="B7787" s="4" t="s">
        <v>43</v>
      </c>
      <c r="C7787" s="38" t="s">
        <v>8590</v>
      </c>
      <c r="D7787" s="23">
        <v>2023</v>
      </c>
      <c r="E7787" s="18" t="s">
        <v>0</v>
      </c>
      <c r="F7787" s="6">
        <v>1</v>
      </c>
      <c r="G7787" s="40">
        <v>10</v>
      </c>
      <c r="H7787" s="40">
        <v>172.75862999999998</v>
      </c>
      <c r="I7787" s="212"/>
      <c r="J7787" s="212"/>
    </row>
    <row r="7788" spans="1:10" s="15" customFormat="1" ht="18" hidden="1" customHeight="1" outlineLevel="1" x14ac:dyDescent="0.25">
      <c r="A7788" s="18">
        <v>5161</v>
      </c>
      <c r="B7788" s="4" t="s">
        <v>43</v>
      </c>
      <c r="C7788" s="38" t="s">
        <v>10273</v>
      </c>
      <c r="D7788" s="23">
        <v>2023</v>
      </c>
      <c r="E7788" s="18" t="s">
        <v>0</v>
      </c>
      <c r="F7788" s="6">
        <v>1</v>
      </c>
      <c r="G7788" s="40">
        <v>5</v>
      </c>
      <c r="H7788" s="40">
        <v>22.072599999999998</v>
      </c>
      <c r="I7788" s="212"/>
      <c r="J7788" s="212"/>
    </row>
    <row r="7789" spans="1:10" s="15" customFormat="1" ht="18" hidden="1" customHeight="1" outlineLevel="1" x14ac:dyDescent="0.25">
      <c r="A7789" s="18">
        <v>5165</v>
      </c>
      <c r="B7789" s="4" t="s">
        <v>43</v>
      </c>
      <c r="C7789" s="38" t="s">
        <v>10274</v>
      </c>
      <c r="D7789" s="23">
        <v>2023</v>
      </c>
      <c r="E7789" s="18" t="s">
        <v>0</v>
      </c>
      <c r="F7789" s="6">
        <v>1</v>
      </c>
      <c r="G7789" s="40">
        <v>14</v>
      </c>
      <c r="H7789" s="40">
        <v>10.423399999999999</v>
      </c>
      <c r="I7789" s="212"/>
      <c r="J7789" s="212"/>
    </row>
    <row r="7790" spans="1:10" s="15" customFormat="1" ht="18" hidden="1" customHeight="1" outlineLevel="1" x14ac:dyDescent="0.25">
      <c r="A7790" s="18">
        <v>5166</v>
      </c>
      <c r="B7790" s="4" t="s">
        <v>43</v>
      </c>
      <c r="C7790" s="38" t="s">
        <v>10275</v>
      </c>
      <c r="D7790" s="23">
        <v>2023</v>
      </c>
      <c r="E7790" s="18" t="s">
        <v>0</v>
      </c>
      <c r="F7790" s="6">
        <v>1</v>
      </c>
      <c r="G7790" s="40">
        <v>10</v>
      </c>
      <c r="H7790" s="40">
        <v>10.423389999999999</v>
      </c>
      <c r="I7790" s="212"/>
      <c r="J7790" s="212"/>
    </row>
    <row r="7791" spans="1:10" s="15" customFormat="1" ht="18" hidden="1" customHeight="1" outlineLevel="1" x14ac:dyDescent="0.25">
      <c r="A7791" s="18">
        <v>5168</v>
      </c>
      <c r="B7791" s="4" t="s">
        <v>43</v>
      </c>
      <c r="C7791" s="38" t="s">
        <v>10276</v>
      </c>
      <c r="D7791" s="23">
        <v>2023</v>
      </c>
      <c r="E7791" s="18" t="s">
        <v>0</v>
      </c>
      <c r="F7791" s="6">
        <v>1</v>
      </c>
      <c r="G7791" s="40">
        <v>10</v>
      </c>
      <c r="H7791" s="40">
        <v>10.423389999999999</v>
      </c>
      <c r="I7791" s="212"/>
      <c r="J7791" s="212"/>
    </row>
    <row r="7792" spans="1:10" s="15" customFormat="1" ht="18" hidden="1" customHeight="1" outlineLevel="1" x14ac:dyDescent="0.25">
      <c r="A7792" s="18">
        <v>5170</v>
      </c>
      <c r="B7792" s="4" t="s">
        <v>43</v>
      </c>
      <c r="C7792" s="38" t="s">
        <v>10277</v>
      </c>
      <c r="D7792" s="23">
        <v>2023</v>
      </c>
      <c r="E7792" s="18" t="s">
        <v>0</v>
      </c>
      <c r="F7792" s="6">
        <v>1</v>
      </c>
      <c r="G7792" s="40">
        <v>10</v>
      </c>
      <c r="H7792" s="40">
        <v>10.708600000000001</v>
      </c>
      <c r="I7792" s="212"/>
      <c r="J7792" s="212"/>
    </row>
    <row r="7793" spans="1:10" s="15" customFormat="1" ht="18" hidden="1" customHeight="1" outlineLevel="1" x14ac:dyDescent="0.25">
      <c r="A7793" s="18">
        <v>3630</v>
      </c>
      <c r="B7793" s="4" t="s">
        <v>43</v>
      </c>
      <c r="C7793" s="38" t="s">
        <v>10278</v>
      </c>
      <c r="D7793" s="23">
        <v>2023</v>
      </c>
      <c r="E7793" s="18" t="s">
        <v>0</v>
      </c>
      <c r="F7793" s="6">
        <v>1</v>
      </c>
      <c r="G7793" s="40">
        <v>12</v>
      </c>
      <c r="H7793" s="40">
        <v>10.708600000000001</v>
      </c>
      <c r="I7793" s="212"/>
      <c r="J7793" s="212"/>
    </row>
    <row r="7794" spans="1:10" s="15" customFormat="1" ht="18" hidden="1" customHeight="1" outlineLevel="1" x14ac:dyDescent="0.25">
      <c r="A7794" s="18">
        <v>3972</v>
      </c>
      <c r="B7794" s="4" t="s">
        <v>43</v>
      </c>
      <c r="C7794" s="38" t="s">
        <v>10279</v>
      </c>
      <c r="D7794" s="23">
        <v>2023</v>
      </c>
      <c r="E7794" s="18" t="s">
        <v>0</v>
      </c>
      <c r="F7794" s="6">
        <v>12</v>
      </c>
      <c r="G7794" s="40">
        <v>132</v>
      </c>
      <c r="H7794" s="40">
        <v>355.17991000000001</v>
      </c>
      <c r="I7794" s="212"/>
      <c r="J7794" s="212"/>
    </row>
    <row r="7795" spans="1:10" s="15" customFormat="1" ht="18" hidden="1" customHeight="1" outlineLevel="1" x14ac:dyDescent="0.25">
      <c r="A7795" s="18">
        <v>3971</v>
      </c>
      <c r="B7795" s="4" t="s">
        <v>43</v>
      </c>
      <c r="C7795" s="38" t="s">
        <v>10280</v>
      </c>
      <c r="D7795" s="23">
        <v>2023</v>
      </c>
      <c r="E7795" s="18" t="s">
        <v>0</v>
      </c>
      <c r="F7795" s="6">
        <v>14</v>
      </c>
      <c r="G7795" s="40">
        <v>153</v>
      </c>
      <c r="H7795" s="40">
        <v>244.12932000000001</v>
      </c>
      <c r="I7795" s="212"/>
      <c r="J7795" s="212"/>
    </row>
    <row r="7796" spans="1:10" s="15" customFormat="1" ht="18" hidden="1" customHeight="1" outlineLevel="1" x14ac:dyDescent="0.25">
      <c r="A7796" s="18">
        <v>3957</v>
      </c>
      <c r="B7796" s="4" t="s">
        <v>43</v>
      </c>
      <c r="C7796" s="38" t="s">
        <v>10281</v>
      </c>
      <c r="D7796" s="23">
        <v>2023</v>
      </c>
      <c r="E7796" s="18" t="s">
        <v>0</v>
      </c>
      <c r="F7796" s="6">
        <v>8</v>
      </c>
      <c r="G7796" s="40">
        <v>85</v>
      </c>
      <c r="H7796" s="40">
        <v>224.57915</v>
      </c>
      <c r="I7796" s="212"/>
      <c r="J7796" s="212"/>
    </row>
    <row r="7797" spans="1:10" s="15" customFormat="1" ht="18" hidden="1" customHeight="1" outlineLevel="1" x14ac:dyDescent="0.25">
      <c r="A7797" s="18">
        <v>3844</v>
      </c>
      <c r="B7797" s="4" t="s">
        <v>43</v>
      </c>
      <c r="C7797" s="38" t="s">
        <v>10282</v>
      </c>
      <c r="D7797" s="23">
        <v>2023</v>
      </c>
      <c r="E7797" s="18" t="s">
        <v>0</v>
      </c>
      <c r="F7797" s="6">
        <v>1</v>
      </c>
      <c r="G7797" s="40">
        <v>10</v>
      </c>
      <c r="H7797" s="40">
        <v>10.758549999999998</v>
      </c>
      <c r="I7797" s="212"/>
      <c r="J7797" s="212"/>
    </row>
    <row r="7798" spans="1:10" s="15" customFormat="1" ht="18" hidden="1" customHeight="1" outlineLevel="1" x14ac:dyDescent="0.25">
      <c r="A7798" s="18">
        <v>3738</v>
      </c>
      <c r="B7798" s="4" t="s">
        <v>43</v>
      </c>
      <c r="C7798" s="38" t="s">
        <v>10283</v>
      </c>
      <c r="D7798" s="23">
        <v>2023</v>
      </c>
      <c r="E7798" s="18" t="s">
        <v>0</v>
      </c>
      <c r="F7798" s="6">
        <v>1</v>
      </c>
      <c r="G7798" s="40">
        <v>15</v>
      </c>
      <c r="H7798" s="40">
        <v>10.758549999999998</v>
      </c>
      <c r="I7798" s="212"/>
      <c r="J7798" s="212"/>
    </row>
    <row r="7799" spans="1:10" s="15" customFormat="1" ht="18" hidden="1" customHeight="1" outlineLevel="1" x14ac:dyDescent="0.25">
      <c r="A7799" s="18">
        <v>3700</v>
      </c>
      <c r="B7799" s="4" t="s">
        <v>43</v>
      </c>
      <c r="C7799" s="38" t="s">
        <v>10284</v>
      </c>
      <c r="D7799" s="23">
        <v>2023</v>
      </c>
      <c r="E7799" s="18" t="s">
        <v>0</v>
      </c>
      <c r="F7799" s="6">
        <v>1</v>
      </c>
      <c r="G7799" s="40">
        <v>10</v>
      </c>
      <c r="H7799" s="40">
        <v>10.758549999999998</v>
      </c>
      <c r="I7799" s="212"/>
      <c r="J7799" s="212"/>
    </row>
    <row r="7800" spans="1:10" s="15" customFormat="1" ht="18" hidden="1" customHeight="1" outlineLevel="1" x14ac:dyDescent="0.25">
      <c r="A7800" s="18">
        <v>3614</v>
      </c>
      <c r="B7800" s="4" t="s">
        <v>43</v>
      </c>
      <c r="C7800" s="38" t="s">
        <v>10285</v>
      </c>
      <c r="D7800" s="23">
        <v>2023</v>
      </c>
      <c r="E7800" s="18" t="s">
        <v>0</v>
      </c>
      <c r="F7800" s="6">
        <v>1</v>
      </c>
      <c r="G7800" s="40">
        <v>8</v>
      </c>
      <c r="H7800" s="40">
        <v>10.758560000000001</v>
      </c>
      <c r="I7800" s="212"/>
      <c r="J7800" s="212"/>
    </row>
    <row r="7801" spans="1:10" s="15" customFormat="1" ht="18" hidden="1" customHeight="1" outlineLevel="1" x14ac:dyDescent="0.25">
      <c r="A7801" s="18">
        <v>3605</v>
      </c>
      <c r="B7801" s="4" t="s">
        <v>43</v>
      </c>
      <c r="C7801" s="38" t="s">
        <v>10286</v>
      </c>
      <c r="D7801" s="23">
        <v>2023</v>
      </c>
      <c r="E7801" s="18" t="s">
        <v>0</v>
      </c>
      <c r="F7801" s="6">
        <v>1</v>
      </c>
      <c r="G7801" s="40">
        <v>10</v>
      </c>
      <c r="H7801" s="40">
        <v>10.75867</v>
      </c>
      <c r="I7801" s="212"/>
      <c r="J7801" s="212"/>
    </row>
    <row r="7802" spans="1:10" s="15" customFormat="1" ht="18" hidden="1" customHeight="1" outlineLevel="1" x14ac:dyDescent="0.25">
      <c r="A7802" s="18">
        <v>3606</v>
      </c>
      <c r="B7802" s="4" t="s">
        <v>43</v>
      </c>
      <c r="C7802" s="38" t="s">
        <v>10287</v>
      </c>
      <c r="D7802" s="23">
        <v>2023</v>
      </c>
      <c r="E7802" s="18" t="s">
        <v>0</v>
      </c>
      <c r="F7802" s="6">
        <v>1</v>
      </c>
      <c r="G7802" s="40">
        <v>10</v>
      </c>
      <c r="H7802" s="40">
        <v>10.46125</v>
      </c>
      <c r="I7802" s="212"/>
      <c r="J7802" s="212"/>
    </row>
    <row r="7803" spans="1:10" s="15" customFormat="1" ht="18" hidden="1" customHeight="1" outlineLevel="1" x14ac:dyDescent="0.25">
      <c r="A7803" s="18">
        <v>3607</v>
      </c>
      <c r="B7803" s="4" t="s">
        <v>43</v>
      </c>
      <c r="C7803" s="38" t="s">
        <v>10288</v>
      </c>
      <c r="D7803" s="23">
        <v>2023</v>
      </c>
      <c r="E7803" s="18" t="s">
        <v>0</v>
      </c>
      <c r="F7803" s="6">
        <v>1</v>
      </c>
      <c r="G7803" s="40">
        <v>10</v>
      </c>
      <c r="H7803" s="40">
        <v>10.46124</v>
      </c>
      <c r="I7803" s="212"/>
      <c r="J7803" s="212"/>
    </row>
    <row r="7804" spans="1:10" s="15" customFormat="1" ht="18" hidden="1" customHeight="1" outlineLevel="1" x14ac:dyDescent="0.25">
      <c r="A7804" s="18">
        <v>3608</v>
      </c>
      <c r="B7804" s="4" t="s">
        <v>43</v>
      </c>
      <c r="C7804" s="38" t="s">
        <v>10289</v>
      </c>
      <c r="D7804" s="23">
        <v>2023</v>
      </c>
      <c r="E7804" s="18" t="s">
        <v>0</v>
      </c>
      <c r="F7804" s="6">
        <v>1</v>
      </c>
      <c r="G7804" s="40">
        <v>10</v>
      </c>
      <c r="H7804" s="40">
        <v>10.46125</v>
      </c>
      <c r="I7804" s="212"/>
      <c r="J7804" s="212"/>
    </row>
    <row r="7805" spans="1:10" s="15" customFormat="1" ht="18" hidden="1" customHeight="1" outlineLevel="1" x14ac:dyDescent="0.25">
      <c r="A7805" s="18">
        <v>5029</v>
      </c>
      <c r="B7805" s="4" t="s">
        <v>43</v>
      </c>
      <c r="C7805" s="38" t="s">
        <v>8593</v>
      </c>
      <c r="D7805" s="23">
        <v>2023</v>
      </c>
      <c r="E7805" s="18" t="s">
        <v>0</v>
      </c>
      <c r="F7805" s="6">
        <v>1</v>
      </c>
      <c r="G7805" s="40">
        <v>10</v>
      </c>
      <c r="H7805" s="40">
        <v>37.928440000000002</v>
      </c>
      <c r="I7805" s="212"/>
      <c r="J7805" s="212"/>
    </row>
    <row r="7806" spans="1:10" s="15" customFormat="1" ht="18" hidden="1" customHeight="1" outlineLevel="1" x14ac:dyDescent="0.25">
      <c r="A7806" s="18">
        <v>3953</v>
      </c>
      <c r="B7806" s="4" t="s">
        <v>43</v>
      </c>
      <c r="C7806" s="38" t="s">
        <v>8601</v>
      </c>
      <c r="D7806" s="23">
        <v>2023</v>
      </c>
      <c r="E7806" s="18" t="s">
        <v>0</v>
      </c>
      <c r="F7806" s="6">
        <v>1</v>
      </c>
      <c r="G7806" s="40">
        <v>20</v>
      </c>
      <c r="H7806" s="40">
        <v>58.100590000000004</v>
      </c>
      <c r="I7806" s="212"/>
      <c r="J7806" s="212"/>
    </row>
    <row r="7807" spans="1:10" s="15" customFormat="1" ht="18" hidden="1" customHeight="1" outlineLevel="1" x14ac:dyDescent="0.25">
      <c r="A7807" s="18">
        <v>3944</v>
      </c>
      <c r="B7807" s="4" t="s">
        <v>43</v>
      </c>
      <c r="C7807" s="38" t="s">
        <v>8608</v>
      </c>
      <c r="D7807" s="23">
        <v>2023</v>
      </c>
      <c r="E7807" s="18" t="s">
        <v>0</v>
      </c>
      <c r="F7807" s="6">
        <v>1</v>
      </c>
      <c r="G7807" s="40">
        <v>15</v>
      </c>
      <c r="H7807" s="40">
        <v>38.66498</v>
      </c>
      <c r="I7807" s="212"/>
      <c r="J7807" s="212"/>
    </row>
    <row r="7808" spans="1:10" s="15" customFormat="1" ht="18" hidden="1" customHeight="1" outlineLevel="1" x14ac:dyDescent="0.25">
      <c r="A7808" s="18">
        <v>693</v>
      </c>
      <c r="B7808" s="4" t="s">
        <v>43</v>
      </c>
      <c r="C7808" s="38" t="s">
        <v>8618</v>
      </c>
      <c r="D7808" s="23">
        <v>2023</v>
      </c>
      <c r="E7808" s="18" t="s">
        <v>0</v>
      </c>
      <c r="F7808" s="6">
        <v>1</v>
      </c>
      <c r="G7808" s="40">
        <v>10</v>
      </c>
      <c r="H7808" s="40">
        <v>125.51656</v>
      </c>
      <c r="I7808" s="212"/>
      <c r="J7808" s="212"/>
    </row>
    <row r="7809" spans="1:10" s="15" customFormat="1" ht="18" hidden="1" customHeight="1" outlineLevel="1" x14ac:dyDescent="0.25">
      <c r="A7809" s="18">
        <v>5172</v>
      </c>
      <c r="B7809" s="4" t="s">
        <v>43</v>
      </c>
      <c r="C7809" s="38" t="s">
        <v>9078</v>
      </c>
      <c r="D7809" s="23">
        <v>2023</v>
      </c>
      <c r="E7809" s="18" t="s">
        <v>0</v>
      </c>
      <c r="F7809" s="6">
        <v>5</v>
      </c>
      <c r="G7809" s="40">
        <v>30</v>
      </c>
      <c r="H7809" s="40">
        <v>310.98903999999999</v>
      </c>
      <c r="I7809" s="212"/>
      <c r="J7809" s="212"/>
    </row>
    <row r="7810" spans="1:10" s="15" customFormat="1" ht="18" hidden="1" customHeight="1" outlineLevel="1" x14ac:dyDescent="0.25">
      <c r="A7810" s="18">
        <v>5174</v>
      </c>
      <c r="B7810" s="4" t="s">
        <v>43</v>
      </c>
      <c r="C7810" s="38" t="s">
        <v>9144</v>
      </c>
      <c r="D7810" s="23">
        <v>2023</v>
      </c>
      <c r="E7810" s="18" t="s">
        <v>0</v>
      </c>
      <c r="F7810" s="6">
        <v>14</v>
      </c>
      <c r="G7810" s="40">
        <v>100</v>
      </c>
      <c r="H7810" s="40">
        <v>767.72090000000003</v>
      </c>
      <c r="I7810" s="212"/>
      <c r="J7810" s="212"/>
    </row>
    <row r="7811" spans="1:10" s="15" customFormat="1" ht="18" hidden="1" customHeight="1" outlineLevel="1" x14ac:dyDescent="0.25">
      <c r="A7811" s="18">
        <v>282</v>
      </c>
      <c r="B7811" s="4" t="s">
        <v>43</v>
      </c>
      <c r="C7811" s="38" t="s">
        <v>10290</v>
      </c>
      <c r="D7811" s="23">
        <v>2023</v>
      </c>
      <c r="E7811" s="18" t="s">
        <v>0</v>
      </c>
      <c r="F7811" s="6">
        <v>4</v>
      </c>
      <c r="G7811" s="40">
        <v>90</v>
      </c>
      <c r="H7811" s="40">
        <v>148.23090999999999</v>
      </c>
      <c r="I7811" s="212"/>
      <c r="J7811" s="212"/>
    </row>
    <row r="7812" spans="1:10" s="15" customFormat="1" ht="18" hidden="1" customHeight="1" outlineLevel="1" x14ac:dyDescent="0.25">
      <c r="A7812" s="18">
        <v>885</v>
      </c>
      <c r="B7812" s="4" t="s">
        <v>43</v>
      </c>
      <c r="C7812" s="38" t="s">
        <v>10291</v>
      </c>
      <c r="D7812" s="23">
        <v>2023</v>
      </c>
      <c r="E7812" s="18" t="s">
        <v>0</v>
      </c>
      <c r="F7812" s="6">
        <v>1</v>
      </c>
      <c r="G7812" s="40">
        <v>8</v>
      </c>
      <c r="H7812" s="40">
        <v>15.44572</v>
      </c>
      <c r="I7812" s="212"/>
      <c r="J7812" s="212"/>
    </row>
    <row r="7813" spans="1:10" s="15" customFormat="1" ht="18" hidden="1" customHeight="1" outlineLevel="1" x14ac:dyDescent="0.25">
      <c r="A7813" s="18">
        <v>884</v>
      </c>
      <c r="B7813" s="4" t="s">
        <v>43</v>
      </c>
      <c r="C7813" s="38" t="s">
        <v>10292</v>
      </c>
      <c r="D7813" s="23">
        <v>2023</v>
      </c>
      <c r="E7813" s="18" t="s">
        <v>0</v>
      </c>
      <c r="F7813" s="6">
        <v>1</v>
      </c>
      <c r="G7813" s="40">
        <v>15</v>
      </c>
      <c r="H7813" s="40">
        <v>15.44572</v>
      </c>
      <c r="I7813" s="212"/>
      <c r="J7813" s="212"/>
    </row>
    <row r="7814" spans="1:10" s="15" customFormat="1" ht="18" hidden="1" customHeight="1" outlineLevel="1" x14ac:dyDescent="0.25">
      <c r="A7814" s="18">
        <v>1130</v>
      </c>
      <c r="B7814" s="4" t="s">
        <v>43</v>
      </c>
      <c r="C7814" s="38" t="s">
        <v>10293</v>
      </c>
      <c r="D7814" s="23">
        <v>2023</v>
      </c>
      <c r="E7814" s="18" t="s">
        <v>0</v>
      </c>
      <c r="F7814" s="6">
        <v>1</v>
      </c>
      <c r="G7814" s="40">
        <v>10</v>
      </c>
      <c r="H7814" s="40">
        <v>15.44572</v>
      </c>
      <c r="I7814" s="212"/>
      <c r="J7814" s="212"/>
    </row>
    <row r="7815" spans="1:10" s="15" customFormat="1" ht="18" hidden="1" customHeight="1" outlineLevel="1" x14ac:dyDescent="0.25">
      <c r="A7815" s="18">
        <v>1195</v>
      </c>
      <c r="B7815" s="4" t="s">
        <v>43</v>
      </c>
      <c r="C7815" s="38" t="s">
        <v>10294</v>
      </c>
      <c r="D7815" s="23">
        <v>2023</v>
      </c>
      <c r="E7815" s="18" t="s">
        <v>0</v>
      </c>
      <c r="F7815" s="6">
        <v>1</v>
      </c>
      <c r="G7815" s="40">
        <v>10</v>
      </c>
      <c r="H7815" s="40">
        <v>15.44572</v>
      </c>
      <c r="I7815" s="212"/>
      <c r="J7815" s="212"/>
    </row>
    <row r="7816" spans="1:10" s="15" customFormat="1" ht="18" hidden="1" customHeight="1" outlineLevel="1" x14ac:dyDescent="0.25">
      <c r="A7816" s="18">
        <v>1272</v>
      </c>
      <c r="B7816" s="4" t="s">
        <v>43</v>
      </c>
      <c r="C7816" s="38" t="s">
        <v>10295</v>
      </c>
      <c r="D7816" s="23">
        <v>2023</v>
      </c>
      <c r="E7816" s="18" t="s">
        <v>0</v>
      </c>
      <c r="F7816" s="6">
        <v>1</v>
      </c>
      <c r="G7816" s="40">
        <v>2</v>
      </c>
      <c r="H7816" s="40">
        <v>15.44572</v>
      </c>
      <c r="I7816" s="212"/>
      <c r="J7816" s="212"/>
    </row>
    <row r="7817" spans="1:10" s="15" customFormat="1" ht="18" hidden="1" customHeight="1" outlineLevel="1" x14ac:dyDescent="0.25">
      <c r="A7817" s="18">
        <v>1187</v>
      </c>
      <c r="B7817" s="4" t="s">
        <v>43</v>
      </c>
      <c r="C7817" s="38" t="s">
        <v>10296</v>
      </c>
      <c r="D7817" s="23">
        <v>2023</v>
      </c>
      <c r="E7817" s="18" t="s">
        <v>0</v>
      </c>
      <c r="F7817" s="6">
        <v>1</v>
      </c>
      <c r="G7817" s="40">
        <v>8</v>
      </c>
      <c r="H7817" s="40">
        <v>15.44572</v>
      </c>
      <c r="I7817" s="212"/>
      <c r="J7817" s="212"/>
    </row>
    <row r="7818" spans="1:10" s="15" customFormat="1" ht="18" hidden="1" customHeight="1" outlineLevel="1" x14ac:dyDescent="0.25">
      <c r="A7818" s="18">
        <v>1176</v>
      </c>
      <c r="B7818" s="4" t="s">
        <v>43</v>
      </c>
      <c r="C7818" s="38" t="s">
        <v>10297</v>
      </c>
      <c r="D7818" s="23">
        <v>2023</v>
      </c>
      <c r="E7818" s="18" t="s">
        <v>0</v>
      </c>
      <c r="F7818" s="6">
        <v>1</v>
      </c>
      <c r="G7818" s="40">
        <v>10</v>
      </c>
      <c r="H7818" s="40">
        <v>15.44572</v>
      </c>
      <c r="I7818" s="212"/>
      <c r="J7818" s="212"/>
    </row>
    <row r="7819" spans="1:10" s="15" customFormat="1" ht="18" hidden="1" customHeight="1" outlineLevel="1" x14ac:dyDescent="0.25">
      <c r="A7819" s="18">
        <v>5176</v>
      </c>
      <c r="B7819" s="4" t="s">
        <v>43</v>
      </c>
      <c r="C7819" s="38" t="s">
        <v>10298</v>
      </c>
      <c r="D7819" s="23">
        <v>2023</v>
      </c>
      <c r="E7819" s="18" t="s">
        <v>0</v>
      </c>
      <c r="F7819" s="6">
        <v>1</v>
      </c>
      <c r="G7819" s="40">
        <v>1</v>
      </c>
      <c r="H7819" s="40">
        <v>15.44572</v>
      </c>
      <c r="I7819" s="212"/>
      <c r="J7819" s="212"/>
    </row>
    <row r="7820" spans="1:10" s="15" customFormat="1" ht="18" hidden="1" customHeight="1" outlineLevel="1" x14ac:dyDescent="0.25">
      <c r="A7820" s="18">
        <v>5177</v>
      </c>
      <c r="B7820" s="4" t="s">
        <v>43</v>
      </c>
      <c r="C7820" s="38" t="s">
        <v>10299</v>
      </c>
      <c r="D7820" s="23">
        <v>2023</v>
      </c>
      <c r="E7820" s="18" t="s">
        <v>0</v>
      </c>
      <c r="F7820" s="6">
        <v>1</v>
      </c>
      <c r="G7820" s="40">
        <v>1</v>
      </c>
      <c r="H7820" s="40">
        <v>15.44572</v>
      </c>
      <c r="I7820" s="212"/>
      <c r="J7820" s="212"/>
    </row>
    <row r="7821" spans="1:10" s="15" customFormat="1" ht="18" hidden="1" customHeight="1" outlineLevel="1" x14ac:dyDescent="0.25">
      <c r="A7821" s="18">
        <v>5178</v>
      </c>
      <c r="B7821" s="4" t="s">
        <v>43</v>
      </c>
      <c r="C7821" s="38" t="s">
        <v>10300</v>
      </c>
      <c r="D7821" s="23">
        <v>2023</v>
      </c>
      <c r="E7821" s="18" t="s">
        <v>0</v>
      </c>
      <c r="F7821" s="6">
        <v>1</v>
      </c>
      <c r="G7821" s="40">
        <v>5</v>
      </c>
      <c r="H7821" s="40">
        <v>15.44572</v>
      </c>
      <c r="I7821" s="212"/>
      <c r="J7821" s="212"/>
    </row>
    <row r="7822" spans="1:10" s="15" customFormat="1" ht="18" hidden="1" customHeight="1" outlineLevel="1" x14ac:dyDescent="0.25">
      <c r="A7822" s="18">
        <v>5179</v>
      </c>
      <c r="B7822" s="4" t="s">
        <v>43</v>
      </c>
      <c r="C7822" s="38" t="s">
        <v>10301</v>
      </c>
      <c r="D7822" s="23">
        <v>2023</v>
      </c>
      <c r="E7822" s="18" t="s">
        <v>0</v>
      </c>
      <c r="F7822" s="6">
        <v>1</v>
      </c>
      <c r="G7822" s="40">
        <v>7</v>
      </c>
      <c r="H7822" s="40">
        <v>15.44572</v>
      </c>
      <c r="I7822" s="212"/>
      <c r="J7822" s="212"/>
    </row>
    <row r="7823" spans="1:10" s="15" customFormat="1" ht="18" hidden="1" customHeight="1" outlineLevel="1" x14ac:dyDescent="0.25">
      <c r="A7823" s="18">
        <v>5180</v>
      </c>
      <c r="B7823" s="4" t="s">
        <v>43</v>
      </c>
      <c r="C7823" s="38" t="s">
        <v>10302</v>
      </c>
      <c r="D7823" s="23">
        <v>2023</v>
      </c>
      <c r="E7823" s="18" t="s">
        <v>0</v>
      </c>
      <c r="F7823" s="6">
        <v>1</v>
      </c>
      <c r="G7823" s="40">
        <v>10</v>
      </c>
      <c r="H7823" s="40">
        <v>15.44572</v>
      </c>
      <c r="I7823" s="212"/>
      <c r="J7823" s="212"/>
    </row>
    <row r="7824" spans="1:10" s="15" customFormat="1" ht="18" hidden="1" customHeight="1" outlineLevel="1" x14ac:dyDescent="0.25">
      <c r="A7824" s="18">
        <v>5181</v>
      </c>
      <c r="B7824" s="4" t="s">
        <v>43</v>
      </c>
      <c r="C7824" s="38" t="s">
        <v>10303</v>
      </c>
      <c r="D7824" s="23">
        <v>2023</v>
      </c>
      <c r="E7824" s="18" t="s">
        <v>0</v>
      </c>
      <c r="F7824" s="6">
        <v>1</v>
      </c>
      <c r="G7824" s="40">
        <v>0.2</v>
      </c>
      <c r="H7824" s="40">
        <v>15.44572</v>
      </c>
      <c r="I7824" s="212"/>
      <c r="J7824" s="212"/>
    </row>
    <row r="7825" spans="1:10" s="15" customFormat="1" ht="18" hidden="1" customHeight="1" outlineLevel="1" x14ac:dyDescent="0.25">
      <c r="A7825" s="18">
        <v>5182</v>
      </c>
      <c r="B7825" s="4" t="s">
        <v>43</v>
      </c>
      <c r="C7825" s="38" t="s">
        <v>10304</v>
      </c>
      <c r="D7825" s="23">
        <v>2023</v>
      </c>
      <c r="E7825" s="18" t="s">
        <v>0</v>
      </c>
      <c r="F7825" s="6">
        <v>1</v>
      </c>
      <c r="G7825" s="40">
        <v>0.2</v>
      </c>
      <c r="H7825" s="40">
        <v>15.44572</v>
      </c>
      <c r="I7825" s="212"/>
      <c r="J7825" s="212"/>
    </row>
    <row r="7826" spans="1:10" s="15" customFormat="1" ht="18" hidden="1" customHeight="1" outlineLevel="1" x14ac:dyDescent="0.25">
      <c r="A7826" s="18">
        <v>5183</v>
      </c>
      <c r="B7826" s="4" t="s">
        <v>43</v>
      </c>
      <c r="C7826" s="38" t="s">
        <v>10305</v>
      </c>
      <c r="D7826" s="23">
        <v>2023</v>
      </c>
      <c r="E7826" s="18" t="s">
        <v>0</v>
      </c>
      <c r="F7826" s="6">
        <v>1</v>
      </c>
      <c r="G7826" s="40">
        <v>0.2</v>
      </c>
      <c r="H7826" s="40">
        <v>15.44572</v>
      </c>
      <c r="I7826" s="212"/>
      <c r="J7826" s="212"/>
    </row>
    <row r="7827" spans="1:10" s="15" customFormat="1" ht="18" hidden="1" customHeight="1" outlineLevel="1" x14ac:dyDescent="0.25">
      <c r="A7827" s="18">
        <v>1543</v>
      </c>
      <c r="B7827" s="4" t="s">
        <v>43</v>
      </c>
      <c r="C7827" s="38" t="s">
        <v>10306</v>
      </c>
      <c r="D7827" s="23">
        <v>2023</v>
      </c>
      <c r="E7827" s="18" t="s">
        <v>0</v>
      </c>
      <c r="F7827" s="6">
        <v>1</v>
      </c>
      <c r="G7827" s="40">
        <v>5</v>
      </c>
      <c r="H7827" s="40">
        <v>15.44572</v>
      </c>
      <c r="I7827" s="212"/>
      <c r="J7827" s="212"/>
    </row>
    <row r="7828" spans="1:10" s="15" customFormat="1" ht="18" hidden="1" customHeight="1" outlineLevel="1" x14ac:dyDescent="0.25">
      <c r="A7828" s="18">
        <v>5184</v>
      </c>
      <c r="B7828" s="4" t="s">
        <v>43</v>
      </c>
      <c r="C7828" s="38" t="s">
        <v>10307</v>
      </c>
      <c r="D7828" s="23">
        <v>2023</v>
      </c>
      <c r="E7828" s="18" t="s">
        <v>0</v>
      </c>
      <c r="F7828" s="6">
        <v>1</v>
      </c>
      <c r="G7828" s="40">
        <v>0.2</v>
      </c>
      <c r="H7828" s="40">
        <v>15.44572</v>
      </c>
      <c r="I7828" s="212"/>
      <c r="J7828" s="212"/>
    </row>
    <row r="7829" spans="1:10" s="15" customFormat="1" ht="18" hidden="1" customHeight="1" outlineLevel="1" x14ac:dyDescent="0.25">
      <c r="A7829" s="18">
        <v>5185</v>
      </c>
      <c r="B7829" s="4" t="s">
        <v>43</v>
      </c>
      <c r="C7829" s="38" t="s">
        <v>10308</v>
      </c>
      <c r="D7829" s="23">
        <v>2023</v>
      </c>
      <c r="E7829" s="18" t="s">
        <v>0</v>
      </c>
      <c r="F7829" s="6">
        <v>1</v>
      </c>
      <c r="G7829" s="40">
        <v>7</v>
      </c>
      <c r="H7829" s="40">
        <v>15.44572</v>
      </c>
      <c r="I7829" s="212"/>
      <c r="J7829" s="212"/>
    </row>
    <row r="7830" spans="1:10" s="15" customFormat="1" ht="18" hidden="1" customHeight="1" outlineLevel="1" x14ac:dyDescent="0.25">
      <c r="A7830" s="18">
        <v>815</v>
      </c>
      <c r="B7830" s="4" t="s">
        <v>43</v>
      </c>
      <c r="C7830" s="38" t="s">
        <v>10309</v>
      </c>
      <c r="D7830" s="23">
        <v>2023</v>
      </c>
      <c r="E7830" s="18" t="s">
        <v>0</v>
      </c>
      <c r="F7830" s="6">
        <v>1</v>
      </c>
      <c r="G7830" s="40">
        <v>10</v>
      </c>
      <c r="H7830" s="40">
        <v>15.525459999999999</v>
      </c>
      <c r="I7830" s="212"/>
      <c r="J7830" s="212"/>
    </row>
    <row r="7831" spans="1:10" s="15" customFormat="1" ht="18" hidden="1" customHeight="1" outlineLevel="1" x14ac:dyDescent="0.25">
      <c r="A7831" s="18">
        <v>831</v>
      </c>
      <c r="B7831" s="4" t="s">
        <v>43</v>
      </c>
      <c r="C7831" s="38" t="s">
        <v>10310</v>
      </c>
      <c r="D7831" s="23">
        <v>2023</v>
      </c>
      <c r="E7831" s="18" t="s">
        <v>0</v>
      </c>
      <c r="F7831" s="6">
        <v>1</v>
      </c>
      <c r="G7831" s="40">
        <v>10</v>
      </c>
      <c r="H7831" s="40">
        <v>15.525459999999999</v>
      </c>
      <c r="I7831" s="212"/>
      <c r="J7831" s="212"/>
    </row>
    <row r="7832" spans="1:10" s="15" customFormat="1" ht="18" hidden="1" customHeight="1" outlineLevel="1" x14ac:dyDescent="0.25">
      <c r="A7832" s="18">
        <v>857</v>
      </c>
      <c r="B7832" s="4" t="s">
        <v>43</v>
      </c>
      <c r="C7832" s="38" t="s">
        <v>10311</v>
      </c>
      <c r="D7832" s="23">
        <v>2023</v>
      </c>
      <c r="E7832" s="18" t="s">
        <v>0</v>
      </c>
      <c r="F7832" s="6">
        <v>1</v>
      </c>
      <c r="G7832" s="40">
        <v>10</v>
      </c>
      <c r="H7832" s="40">
        <v>15.525459999999999</v>
      </c>
      <c r="I7832" s="212"/>
      <c r="J7832" s="212"/>
    </row>
    <row r="7833" spans="1:10" s="15" customFormat="1" ht="18" hidden="1" customHeight="1" outlineLevel="1" x14ac:dyDescent="0.25">
      <c r="A7833" s="18">
        <v>899</v>
      </c>
      <c r="B7833" s="4" t="s">
        <v>43</v>
      </c>
      <c r="C7833" s="38" t="s">
        <v>10312</v>
      </c>
      <c r="D7833" s="23">
        <v>2023</v>
      </c>
      <c r="E7833" s="18" t="s">
        <v>0</v>
      </c>
      <c r="F7833" s="6">
        <v>1</v>
      </c>
      <c r="G7833" s="40">
        <v>12</v>
      </c>
      <c r="H7833" s="40">
        <v>15.525459999999999</v>
      </c>
      <c r="I7833" s="212"/>
      <c r="J7833" s="212"/>
    </row>
    <row r="7834" spans="1:10" s="15" customFormat="1" ht="18" hidden="1" customHeight="1" outlineLevel="1" x14ac:dyDescent="0.25">
      <c r="A7834" s="18">
        <v>881</v>
      </c>
      <c r="B7834" s="4" t="s">
        <v>43</v>
      </c>
      <c r="C7834" s="38" t="s">
        <v>10313</v>
      </c>
      <c r="D7834" s="23">
        <v>2023</v>
      </c>
      <c r="E7834" s="18" t="s">
        <v>0</v>
      </c>
      <c r="F7834" s="6">
        <v>1</v>
      </c>
      <c r="G7834" s="40">
        <v>15</v>
      </c>
      <c r="H7834" s="40">
        <v>15.525459999999999</v>
      </c>
      <c r="I7834" s="212"/>
      <c r="J7834" s="212"/>
    </row>
    <row r="7835" spans="1:10" s="15" customFormat="1" ht="18" hidden="1" customHeight="1" outlineLevel="1" x14ac:dyDescent="0.25">
      <c r="A7835" s="18">
        <v>1207</v>
      </c>
      <c r="B7835" s="4" t="s">
        <v>43</v>
      </c>
      <c r="C7835" s="38" t="s">
        <v>10314</v>
      </c>
      <c r="D7835" s="23">
        <v>2023</v>
      </c>
      <c r="E7835" s="18" t="s">
        <v>0</v>
      </c>
      <c r="F7835" s="6">
        <v>1</v>
      </c>
      <c r="G7835" s="40">
        <v>4</v>
      </c>
      <c r="H7835" s="40">
        <v>15.525459999999999</v>
      </c>
      <c r="I7835" s="212"/>
      <c r="J7835" s="212"/>
    </row>
    <row r="7836" spans="1:10" s="15" customFormat="1" ht="18" hidden="1" customHeight="1" outlineLevel="1" x14ac:dyDescent="0.25">
      <c r="A7836" s="18">
        <v>5197</v>
      </c>
      <c r="B7836" s="4" t="s">
        <v>43</v>
      </c>
      <c r="C7836" s="38" t="s">
        <v>10315</v>
      </c>
      <c r="D7836" s="23">
        <v>2023</v>
      </c>
      <c r="E7836" s="18" t="s">
        <v>0</v>
      </c>
      <c r="F7836" s="6">
        <v>1</v>
      </c>
      <c r="G7836" s="40">
        <v>10</v>
      </c>
      <c r="H7836" s="40">
        <v>15.525459999999999</v>
      </c>
      <c r="I7836" s="212"/>
      <c r="J7836" s="212"/>
    </row>
    <row r="7837" spans="1:10" s="15" customFormat="1" ht="18" hidden="1" customHeight="1" outlineLevel="1" x14ac:dyDescent="0.25">
      <c r="A7837" s="18">
        <v>5198</v>
      </c>
      <c r="B7837" s="4" t="s">
        <v>43</v>
      </c>
      <c r="C7837" s="38" t="s">
        <v>10316</v>
      </c>
      <c r="D7837" s="23">
        <v>2023</v>
      </c>
      <c r="E7837" s="18" t="s">
        <v>0</v>
      </c>
      <c r="F7837" s="6">
        <v>1</v>
      </c>
      <c r="G7837" s="40">
        <v>10</v>
      </c>
      <c r="H7837" s="40">
        <v>15.525459999999999</v>
      </c>
      <c r="I7837" s="212"/>
      <c r="J7837" s="212"/>
    </row>
    <row r="7838" spans="1:10" s="15" customFormat="1" ht="18" hidden="1" customHeight="1" outlineLevel="1" x14ac:dyDescent="0.25">
      <c r="A7838" s="18">
        <v>5199</v>
      </c>
      <c r="B7838" s="4" t="s">
        <v>43</v>
      </c>
      <c r="C7838" s="38" t="s">
        <v>10317</v>
      </c>
      <c r="D7838" s="23">
        <v>2023</v>
      </c>
      <c r="E7838" s="18" t="s">
        <v>0</v>
      </c>
      <c r="F7838" s="6">
        <v>1</v>
      </c>
      <c r="G7838" s="40">
        <v>4</v>
      </c>
      <c r="H7838" s="40">
        <v>15.525459999999999</v>
      </c>
      <c r="I7838" s="212"/>
      <c r="J7838" s="212"/>
    </row>
    <row r="7839" spans="1:10" s="15" customFormat="1" ht="18" hidden="1" customHeight="1" outlineLevel="1" x14ac:dyDescent="0.25">
      <c r="A7839" s="18">
        <v>5200</v>
      </c>
      <c r="B7839" s="4" t="s">
        <v>43</v>
      </c>
      <c r="C7839" s="38" t="s">
        <v>10318</v>
      </c>
      <c r="D7839" s="23">
        <v>2023</v>
      </c>
      <c r="E7839" s="18" t="s">
        <v>0</v>
      </c>
      <c r="F7839" s="6">
        <v>1</v>
      </c>
      <c r="G7839" s="40">
        <v>4</v>
      </c>
      <c r="H7839" s="40">
        <v>15.525459999999999</v>
      </c>
      <c r="I7839" s="212"/>
      <c r="J7839" s="212"/>
    </row>
    <row r="7840" spans="1:10" s="15" customFormat="1" ht="18" hidden="1" customHeight="1" outlineLevel="1" x14ac:dyDescent="0.25">
      <c r="A7840" s="18">
        <v>5201</v>
      </c>
      <c r="B7840" s="4" t="s">
        <v>43</v>
      </c>
      <c r="C7840" s="38" t="s">
        <v>10319</v>
      </c>
      <c r="D7840" s="23">
        <v>2023</v>
      </c>
      <c r="E7840" s="18" t="s">
        <v>0</v>
      </c>
      <c r="F7840" s="6">
        <v>1</v>
      </c>
      <c r="G7840" s="40">
        <v>4</v>
      </c>
      <c r="H7840" s="40">
        <v>15.525459999999999</v>
      </c>
      <c r="I7840" s="212"/>
      <c r="J7840" s="212"/>
    </row>
    <row r="7841" spans="1:10" s="15" customFormat="1" ht="18" hidden="1" customHeight="1" outlineLevel="1" x14ac:dyDescent="0.25">
      <c r="A7841" s="18">
        <v>5202</v>
      </c>
      <c r="B7841" s="4" t="s">
        <v>43</v>
      </c>
      <c r="C7841" s="38" t="s">
        <v>10320</v>
      </c>
      <c r="D7841" s="23">
        <v>2023</v>
      </c>
      <c r="E7841" s="18" t="s">
        <v>0</v>
      </c>
      <c r="F7841" s="6">
        <v>1</v>
      </c>
      <c r="G7841" s="40">
        <v>4</v>
      </c>
      <c r="H7841" s="40">
        <v>15.525459999999999</v>
      </c>
      <c r="I7841" s="212"/>
      <c r="J7841" s="212"/>
    </row>
    <row r="7842" spans="1:10" s="15" customFormat="1" ht="18" hidden="1" customHeight="1" outlineLevel="1" x14ac:dyDescent="0.25">
      <c r="A7842" s="18">
        <v>5203</v>
      </c>
      <c r="B7842" s="4" t="s">
        <v>43</v>
      </c>
      <c r="C7842" s="38" t="s">
        <v>10321</v>
      </c>
      <c r="D7842" s="23">
        <v>2023</v>
      </c>
      <c r="E7842" s="18" t="s">
        <v>0</v>
      </c>
      <c r="F7842" s="6">
        <v>1</v>
      </c>
      <c r="G7842" s="40">
        <v>4</v>
      </c>
      <c r="H7842" s="40">
        <v>15.525459999999999</v>
      </c>
      <c r="I7842" s="212"/>
      <c r="J7842" s="212"/>
    </row>
    <row r="7843" spans="1:10" s="15" customFormat="1" ht="18" hidden="1" customHeight="1" outlineLevel="1" x14ac:dyDescent="0.25">
      <c r="A7843" s="18">
        <v>5204</v>
      </c>
      <c r="B7843" s="4" t="s">
        <v>43</v>
      </c>
      <c r="C7843" s="38" t="s">
        <v>10322</v>
      </c>
      <c r="D7843" s="23">
        <v>2023</v>
      </c>
      <c r="E7843" s="18" t="s">
        <v>0</v>
      </c>
      <c r="F7843" s="6">
        <v>1</v>
      </c>
      <c r="G7843" s="40">
        <v>4</v>
      </c>
      <c r="H7843" s="40">
        <v>15.525459999999999</v>
      </c>
      <c r="I7843" s="212"/>
      <c r="J7843" s="212"/>
    </row>
    <row r="7844" spans="1:10" s="15" customFormat="1" ht="18" hidden="1" customHeight="1" outlineLevel="1" x14ac:dyDescent="0.25">
      <c r="A7844" s="18">
        <v>5205</v>
      </c>
      <c r="B7844" s="4" t="s">
        <v>43</v>
      </c>
      <c r="C7844" s="38" t="s">
        <v>10323</v>
      </c>
      <c r="D7844" s="23">
        <v>2023</v>
      </c>
      <c r="E7844" s="18" t="s">
        <v>0</v>
      </c>
      <c r="F7844" s="6">
        <v>1</v>
      </c>
      <c r="G7844" s="40">
        <v>4</v>
      </c>
      <c r="H7844" s="40">
        <v>15.525459999999999</v>
      </c>
      <c r="I7844" s="212"/>
      <c r="J7844" s="212"/>
    </row>
    <row r="7845" spans="1:10" s="15" customFormat="1" ht="18" hidden="1" customHeight="1" outlineLevel="1" x14ac:dyDescent="0.25">
      <c r="A7845" s="18">
        <v>5206</v>
      </c>
      <c r="B7845" s="4" t="s">
        <v>43</v>
      </c>
      <c r="C7845" s="38" t="s">
        <v>10324</v>
      </c>
      <c r="D7845" s="23">
        <v>2023</v>
      </c>
      <c r="E7845" s="18" t="s">
        <v>0</v>
      </c>
      <c r="F7845" s="6">
        <v>1</v>
      </c>
      <c r="G7845" s="40">
        <v>4</v>
      </c>
      <c r="H7845" s="40">
        <v>15.525459999999999</v>
      </c>
      <c r="I7845" s="212"/>
      <c r="J7845" s="212"/>
    </row>
    <row r="7846" spans="1:10" s="15" customFormat="1" ht="18" hidden="1" customHeight="1" outlineLevel="1" x14ac:dyDescent="0.25">
      <c r="A7846" s="18">
        <v>5207</v>
      </c>
      <c r="B7846" s="4" t="s">
        <v>43</v>
      </c>
      <c r="C7846" s="38" t="s">
        <v>10325</v>
      </c>
      <c r="D7846" s="23">
        <v>2023</v>
      </c>
      <c r="E7846" s="18" t="s">
        <v>0</v>
      </c>
      <c r="F7846" s="6">
        <v>1</v>
      </c>
      <c r="G7846" s="40">
        <v>4</v>
      </c>
      <c r="H7846" s="40">
        <v>15.525459999999999</v>
      </c>
      <c r="I7846" s="212"/>
      <c r="J7846" s="212"/>
    </row>
    <row r="7847" spans="1:10" s="15" customFormat="1" ht="18" hidden="1" customHeight="1" outlineLevel="1" x14ac:dyDescent="0.25">
      <c r="A7847" s="18">
        <v>5208</v>
      </c>
      <c r="B7847" s="4" t="s">
        <v>43</v>
      </c>
      <c r="C7847" s="38" t="s">
        <v>10326</v>
      </c>
      <c r="D7847" s="23">
        <v>2023</v>
      </c>
      <c r="E7847" s="18" t="s">
        <v>0</v>
      </c>
      <c r="F7847" s="6">
        <v>1</v>
      </c>
      <c r="G7847" s="40">
        <v>4</v>
      </c>
      <c r="H7847" s="40">
        <v>15.525459999999999</v>
      </c>
      <c r="I7847" s="212"/>
      <c r="J7847" s="212"/>
    </row>
    <row r="7848" spans="1:10" s="15" customFormat="1" ht="18" hidden="1" customHeight="1" outlineLevel="1" x14ac:dyDescent="0.25">
      <c r="A7848" s="18">
        <v>5209</v>
      </c>
      <c r="B7848" s="4" t="s">
        <v>43</v>
      </c>
      <c r="C7848" s="38" t="s">
        <v>10327</v>
      </c>
      <c r="D7848" s="23">
        <v>2023</v>
      </c>
      <c r="E7848" s="18" t="s">
        <v>0</v>
      </c>
      <c r="F7848" s="6">
        <v>1</v>
      </c>
      <c r="G7848" s="40">
        <v>4</v>
      </c>
      <c r="H7848" s="40">
        <v>15.525459999999999</v>
      </c>
      <c r="I7848" s="212"/>
      <c r="J7848" s="212"/>
    </row>
    <row r="7849" spans="1:10" s="15" customFormat="1" ht="18" hidden="1" customHeight="1" outlineLevel="1" x14ac:dyDescent="0.25">
      <c r="A7849" s="18">
        <v>5210</v>
      </c>
      <c r="B7849" s="4" t="s">
        <v>43</v>
      </c>
      <c r="C7849" s="38" t="s">
        <v>10328</v>
      </c>
      <c r="D7849" s="23">
        <v>2023</v>
      </c>
      <c r="E7849" s="18" t="s">
        <v>0</v>
      </c>
      <c r="F7849" s="6">
        <v>1</v>
      </c>
      <c r="G7849" s="40">
        <v>4</v>
      </c>
      <c r="H7849" s="40">
        <v>15.525459999999999</v>
      </c>
      <c r="I7849" s="212"/>
      <c r="J7849" s="212"/>
    </row>
    <row r="7850" spans="1:10" s="15" customFormat="1" ht="18" hidden="1" customHeight="1" outlineLevel="1" x14ac:dyDescent="0.25">
      <c r="A7850" s="18">
        <v>5211</v>
      </c>
      <c r="B7850" s="4" t="s">
        <v>43</v>
      </c>
      <c r="C7850" s="38" t="s">
        <v>10329</v>
      </c>
      <c r="D7850" s="23">
        <v>2023</v>
      </c>
      <c r="E7850" s="18" t="s">
        <v>0</v>
      </c>
      <c r="F7850" s="6">
        <v>1</v>
      </c>
      <c r="G7850" s="40">
        <v>10</v>
      </c>
      <c r="H7850" s="40">
        <v>15.525459999999999</v>
      </c>
      <c r="I7850" s="212"/>
      <c r="J7850" s="212"/>
    </row>
    <row r="7851" spans="1:10" s="15" customFormat="1" ht="18" hidden="1" customHeight="1" outlineLevel="1" x14ac:dyDescent="0.25">
      <c r="A7851" s="18">
        <v>5212</v>
      </c>
      <c r="B7851" s="4" t="s">
        <v>43</v>
      </c>
      <c r="C7851" s="38" t="s">
        <v>10330</v>
      </c>
      <c r="D7851" s="23">
        <v>2023</v>
      </c>
      <c r="E7851" s="18" t="s">
        <v>0</v>
      </c>
      <c r="F7851" s="6">
        <v>1</v>
      </c>
      <c r="G7851" s="40">
        <v>5</v>
      </c>
      <c r="H7851" s="40">
        <v>15.525459999999999</v>
      </c>
      <c r="I7851" s="212"/>
      <c r="J7851" s="212"/>
    </row>
    <row r="7852" spans="1:10" s="15" customFormat="1" ht="18" hidden="1" customHeight="1" outlineLevel="1" x14ac:dyDescent="0.25">
      <c r="A7852" s="18">
        <v>5213</v>
      </c>
      <c r="B7852" s="4" t="s">
        <v>43</v>
      </c>
      <c r="C7852" s="38" t="s">
        <v>10331</v>
      </c>
      <c r="D7852" s="23">
        <v>2023</v>
      </c>
      <c r="E7852" s="18" t="s">
        <v>0</v>
      </c>
      <c r="F7852" s="6">
        <v>1</v>
      </c>
      <c r="G7852" s="40">
        <v>5</v>
      </c>
      <c r="H7852" s="40">
        <v>15.525459999999999</v>
      </c>
      <c r="I7852" s="212"/>
      <c r="J7852" s="212"/>
    </row>
    <row r="7853" spans="1:10" s="15" customFormat="1" ht="18" hidden="1" customHeight="1" outlineLevel="1" x14ac:dyDescent="0.25">
      <c r="A7853" s="18">
        <v>5214</v>
      </c>
      <c r="B7853" s="4" t="s">
        <v>43</v>
      </c>
      <c r="C7853" s="38" t="s">
        <v>10332</v>
      </c>
      <c r="D7853" s="23">
        <v>2023</v>
      </c>
      <c r="E7853" s="18" t="s">
        <v>0</v>
      </c>
      <c r="F7853" s="6">
        <v>1</v>
      </c>
      <c r="G7853" s="40">
        <v>5</v>
      </c>
      <c r="H7853" s="40">
        <v>15.525459999999999</v>
      </c>
      <c r="I7853" s="212"/>
      <c r="J7853" s="212"/>
    </row>
    <row r="7854" spans="1:10" s="15" customFormat="1" ht="18" hidden="1" customHeight="1" outlineLevel="1" x14ac:dyDescent="0.25">
      <c r="A7854" s="18">
        <v>5215</v>
      </c>
      <c r="B7854" s="4" t="s">
        <v>43</v>
      </c>
      <c r="C7854" s="38" t="s">
        <v>10333</v>
      </c>
      <c r="D7854" s="23">
        <v>2023</v>
      </c>
      <c r="E7854" s="18" t="s">
        <v>0</v>
      </c>
      <c r="F7854" s="6">
        <v>1</v>
      </c>
      <c r="G7854" s="40">
        <v>5</v>
      </c>
      <c r="H7854" s="40">
        <v>15.525459999999999</v>
      </c>
      <c r="I7854" s="212"/>
      <c r="J7854" s="212"/>
    </row>
    <row r="7855" spans="1:10" s="15" customFormat="1" ht="18" hidden="1" customHeight="1" outlineLevel="1" x14ac:dyDescent="0.25">
      <c r="A7855" s="18">
        <v>5216</v>
      </c>
      <c r="B7855" s="4" t="s">
        <v>43</v>
      </c>
      <c r="C7855" s="38" t="s">
        <v>10334</v>
      </c>
      <c r="D7855" s="23">
        <v>2023</v>
      </c>
      <c r="E7855" s="18" t="s">
        <v>0</v>
      </c>
      <c r="F7855" s="6">
        <v>1</v>
      </c>
      <c r="G7855" s="40">
        <v>5</v>
      </c>
      <c r="H7855" s="40">
        <v>15.525459999999999</v>
      </c>
      <c r="I7855" s="212"/>
      <c r="J7855" s="212"/>
    </row>
    <row r="7856" spans="1:10" s="15" customFormat="1" ht="18" hidden="1" customHeight="1" outlineLevel="1" x14ac:dyDescent="0.25">
      <c r="A7856" s="18">
        <v>5217</v>
      </c>
      <c r="B7856" s="4" t="s">
        <v>43</v>
      </c>
      <c r="C7856" s="38" t="s">
        <v>10335</v>
      </c>
      <c r="D7856" s="23">
        <v>2023</v>
      </c>
      <c r="E7856" s="18" t="s">
        <v>0</v>
      </c>
      <c r="F7856" s="6">
        <v>1</v>
      </c>
      <c r="G7856" s="40">
        <v>5</v>
      </c>
      <c r="H7856" s="40">
        <v>15.525459999999999</v>
      </c>
      <c r="I7856" s="212"/>
      <c r="J7856" s="212"/>
    </row>
    <row r="7857" spans="1:10" s="15" customFormat="1" ht="18" hidden="1" customHeight="1" outlineLevel="1" x14ac:dyDescent="0.25">
      <c r="A7857" s="18">
        <v>5218</v>
      </c>
      <c r="B7857" s="4" t="s">
        <v>43</v>
      </c>
      <c r="C7857" s="38" t="s">
        <v>10336</v>
      </c>
      <c r="D7857" s="23">
        <v>2023</v>
      </c>
      <c r="E7857" s="18" t="s">
        <v>0</v>
      </c>
      <c r="F7857" s="6">
        <v>1</v>
      </c>
      <c r="G7857" s="40">
        <v>5</v>
      </c>
      <c r="H7857" s="40">
        <v>15.525459999999999</v>
      </c>
      <c r="I7857" s="212"/>
      <c r="J7857" s="212"/>
    </row>
    <row r="7858" spans="1:10" s="15" customFormat="1" ht="18" hidden="1" customHeight="1" outlineLevel="1" x14ac:dyDescent="0.25">
      <c r="A7858" s="18">
        <v>5219</v>
      </c>
      <c r="B7858" s="4" t="s">
        <v>43</v>
      </c>
      <c r="C7858" s="38" t="s">
        <v>10337</v>
      </c>
      <c r="D7858" s="23">
        <v>2023</v>
      </c>
      <c r="E7858" s="18" t="s">
        <v>0</v>
      </c>
      <c r="F7858" s="6">
        <v>1</v>
      </c>
      <c r="G7858" s="40">
        <v>5</v>
      </c>
      <c r="H7858" s="40">
        <v>15.525459999999999</v>
      </c>
      <c r="I7858" s="212"/>
      <c r="J7858" s="212"/>
    </row>
    <row r="7859" spans="1:10" s="15" customFormat="1" ht="18" hidden="1" customHeight="1" outlineLevel="1" x14ac:dyDescent="0.25">
      <c r="A7859" s="18">
        <v>5220</v>
      </c>
      <c r="B7859" s="4" t="s">
        <v>43</v>
      </c>
      <c r="C7859" s="38" t="s">
        <v>10338</v>
      </c>
      <c r="D7859" s="23">
        <v>2023</v>
      </c>
      <c r="E7859" s="18" t="s">
        <v>0</v>
      </c>
      <c r="F7859" s="6">
        <v>1</v>
      </c>
      <c r="G7859" s="40">
        <v>5</v>
      </c>
      <c r="H7859" s="40">
        <v>15.525459999999999</v>
      </c>
      <c r="I7859" s="212"/>
      <c r="J7859" s="212"/>
    </row>
    <row r="7860" spans="1:10" s="15" customFormat="1" ht="18" hidden="1" customHeight="1" outlineLevel="1" x14ac:dyDescent="0.25">
      <c r="A7860" s="18">
        <v>5221</v>
      </c>
      <c r="B7860" s="4" t="s">
        <v>43</v>
      </c>
      <c r="C7860" s="38" t="s">
        <v>10339</v>
      </c>
      <c r="D7860" s="23">
        <v>2023</v>
      </c>
      <c r="E7860" s="18" t="s">
        <v>0</v>
      </c>
      <c r="F7860" s="6">
        <v>1</v>
      </c>
      <c r="G7860" s="40">
        <v>10</v>
      </c>
      <c r="H7860" s="40">
        <v>15.525459999999999</v>
      </c>
      <c r="I7860" s="212"/>
      <c r="J7860" s="212"/>
    </row>
    <row r="7861" spans="1:10" s="15" customFormat="1" ht="18" hidden="1" customHeight="1" outlineLevel="1" x14ac:dyDescent="0.25">
      <c r="A7861" s="18">
        <v>5222</v>
      </c>
      <c r="B7861" s="4" t="s">
        <v>43</v>
      </c>
      <c r="C7861" s="38" t="s">
        <v>10340</v>
      </c>
      <c r="D7861" s="23">
        <v>2023</v>
      </c>
      <c r="E7861" s="18" t="s">
        <v>0</v>
      </c>
      <c r="F7861" s="6">
        <v>1</v>
      </c>
      <c r="G7861" s="40">
        <v>10</v>
      </c>
      <c r="H7861" s="40">
        <v>15.525459999999999</v>
      </c>
      <c r="I7861" s="212"/>
      <c r="J7861" s="212"/>
    </row>
    <row r="7862" spans="1:10" s="15" customFormat="1" ht="18" hidden="1" customHeight="1" outlineLevel="1" x14ac:dyDescent="0.25">
      <c r="A7862" s="18">
        <v>5223</v>
      </c>
      <c r="B7862" s="4" t="s">
        <v>43</v>
      </c>
      <c r="C7862" s="38" t="s">
        <v>10341</v>
      </c>
      <c r="D7862" s="23">
        <v>2023</v>
      </c>
      <c r="E7862" s="18" t="s">
        <v>0</v>
      </c>
      <c r="F7862" s="6">
        <v>1</v>
      </c>
      <c r="G7862" s="40">
        <v>10</v>
      </c>
      <c r="H7862" s="40">
        <v>15.525459999999999</v>
      </c>
      <c r="I7862" s="212"/>
      <c r="J7862" s="212"/>
    </row>
    <row r="7863" spans="1:10" s="15" customFormat="1" ht="18" hidden="1" customHeight="1" outlineLevel="1" x14ac:dyDescent="0.25">
      <c r="A7863" s="18">
        <v>5224</v>
      </c>
      <c r="B7863" s="4" t="s">
        <v>43</v>
      </c>
      <c r="C7863" s="38" t="s">
        <v>10342</v>
      </c>
      <c r="D7863" s="23">
        <v>2023</v>
      </c>
      <c r="E7863" s="18" t="s">
        <v>0</v>
      </c>
      <c r="F7863" s="6">
        <v>1</v>
      </c>
      <c r="G7863" s="40">
        <v>10</v>
      </c>
      <c r="H7863" s="40">
        <v>15.525459999999999</v>
      </c>
      <c r="I7863" s="212"/>
      <c r="J7863" s="212"/>
    </row>
    <row r="7864" spans="1:10" s="15" customFormat="1" ht="18" hidden="1" customHeight="1" outlineLevel="1" x14ac:dyDescent="0.25">
      <c r="A7864" s="18">
        <v>718</v>
      </c>
      <c r="B7864" s="4" t="s">
        <v>43</v>
      </c>
      <c r="C7864" s="38" t="s">
        <v>10343</v>
      </c>
      <c r="D7864" s="23">
        <v>2023</v>
      </c>
      <c r="E7864" s="18" t="s">
        <v>0</v>
      </c>
      <c r="F7864" s="6">
        <v>1</v>
      </c>
      <c r="G7864" s="40">
        <v>11</v>
      </c>
      <c r="H7864" s="40">
        <v>15.525459999999999</v>
      </c>
      <c r="I7864" s="212"/>
      <c r="J7864" s="212"/>
    </row>
    <row r="7865" spans="1:10" s="15" customFormat="1" ht="18" hidden="1" customHeight="1" outlineLevel="1" x14ac:dyDescent="0.25">
      <c r="A7865" s="18">
        <v>742</v>
      </c>
      <c r="B7865" s="4" t="s">
        <v>43</v>
      </c>
      <c r="C7865" s="38" t="s">
        <v>10344</v>
      </c>
      <c r="D7865" s="23">
        <v>2023</v>
      </c>
      <c r="E7865" s="18" t="s">
        <v>0</v>
      </c>
      <c r="F7865" s="6">
        <v>1</v>
      </c>
      <c r="G7865" s="40">
        <v>10</v>
      </c>
      <c r="H7865" s="40">
        <v>15.525459999999999</v>
      </c>
      <c r="I7865" s="212"/>
      <c r="J7865" s="212"/>
    </row>
    <row r="7866" spans="1:10" s="15" customFormat="1" ht="18" hidden="1" customHeight="1" outlineLevel="1" x14ac:dyDescent="0.25">
      <c r="A7866" s="18">
        <v>5225</v>
      </c>
      <c r="B7866" s="4" t="s">
        <v>43</v>
      </c>
      <c r="C7866" s="38" t="s">
        <v>10345</v>
      </c>
      <c r="D7866" s="23">
        <v>2023</v>
      </c>
      <c r="E7866" s="18" t="s">
        <v>0</v>
      </c>
      <c r="F7866" s="6">
        <v>1</v>
      </c>
      <c r="G7866" s="40">
        <v>10</v>
      </c>
      <c r="H7866" s="40">
        <v>15.525459999999999</v>
      </c>
      <c r="I7866" s="212"/>
      <c r="J7866" s="212"/>
    </row>
    <row r="7867" spans="1:10" s="15" customFormat="1" ht="18" hidden="1" customHeight="1" outlineLevel="1" x14ac:dyDescent="0.25">
      <c r="A7867" s="18">
        <v>789</v>
      </c>
      <c r="B7867" s="4" t="s">
        <v>43</v>
      </c>
      <c r="C7867" s="38" t="s">
        <v>10346</v>
      </c>
      <c r="D7867" s="23">
        <v>2023</v>
      </c>
      <c r="E7867" s="18" t="s">
        <v>0</v>
      </c>
      <c r="F7867" s="6">
        <v>1</v>
      </c>
      <c r="G7867" s="40">
        <v>10</v>
      </c>
      <c r="H7867" s="40">
        <v>15.525459999999999</v>
      </c>
      <c r="I7867" s="212"/>
      <c r="J7867" s="212"/>
    </row>
    <row r="7868" spans="1:10" s="15" customFormat="1" ht="18" hidden="1" customHeight="1" outlineLevel="1" x14ac:dyDescent="0.25">
      <c r="A7868" s="18">
        <v>855</v>
      </c>
      <c r="B7868" s="4" t="s">
        <v>43</v>
      </c>
      <c r="C7868" s="38" t="s">
        <v>10347</v>
      </c>
      <c r="D7868" s="23">
        <v>2023</v>
      </c>
      <c r="E7868" s="18" t="s">
        <v>0</v>
      </c>
      <c r="F7868" s="6">
        <v>1</v>
      </c>
      <c r="G7868" s="40">
        <v>10</v>
      </c>
      <c r="H7868" s="40">
        <v>15.525459999999999</v>
      </c>
      <c r="I7868" s="212"/>
      <c r="J7868" s="212"/>
    </row>
    <row r="7869" spans="1:10" s="15" customFormat="1" ht="18" hidden="1" customHeight="1" outlineLevel="1" x14ac:dyDescent="0.25">
      <c r="A7869" s="18">
        <v>921</v>
      </c>
      <c r="B7869" s="4" t="s">
        <v>43</v>
      </c>
      <c r="C7869" s="38" t="s">
        <v>10348</v>
      </c>
      <c r="D7869" s="23">
        <v>2023</v>
      </c>
      <c r="E7869" s="18" t="s">
        <v>0</v>
      </c>
      <c r="F7869" s="6">
        <v>1</v>
      </c>
      <c r="G7869" s="40">
        <v>10</v>
      </c>
      <c r="H7869" s="40">
        <v>15.525459999999999</v>
      </c>
      <c r="I7869" s="212"/>
      <c r="J7869" s="212"/>
    </row>
    <row r="7870" spans="1:10" s="15" customFormat="1" ht="18" hidden="1" customHeight="1" outlineLevel="1" x14ac:dyDescent="0.25">
      <c r="A7870" s="18">
        <v>991</v>
      </c>
      <c r="B7870" s="4" t="s">
        <v>43</v>
      </c>
      <c r="C7870" s="38" t="s">
        <v>10349</v>
      </c>
      <c r="D7870" s="23">
        <v>2023</v>
      </c>
      <c r="E7870" s="18" t="s">
        <v>0</v>
      </c>
      <c r="F7870" s="6">
        <v>1</v>
      </c>
      <c r="G7870" s="40">
        <v>10</v>
      </c>
      <c r="H7870" s="40">
        <v>15.525459999999999</v>
      </c>
      <c r="I7870" s="212"/>
      <c r="J7870" s="212"/>
    </row>
    <row r="7871" spans="1:10" s="15" customFormat="1" ht="18" hidden="1" customHeight="1" outlineLevel="1" x14ac:dyDescent="0.25">
      <c r="A7871" s="18">
        <v>1202</v>
      </c>
      <c r="B7871" s="4" t="s">
        <v>43</v>
      </c>
      <c r="C7871" s="38" t="s">
        <v>10350</v>
      </c>
      <c r="D7871" s="23">
        <v>2023</v>
      </c>
      <c r="E7871" s="18" t="s">
        <v>0</v>
      </c>
      <c r="F7871" s="6">
        <v>1</v>
      </c>
      <c r="G7871" s="40">
        <v>10</v>
      </c>
      <c r="H7871" s="40">
        <v>15.525459999999999</v>
      </c>
      <c r="I7871" s="212"/>
      <c r="J7871" s="212"/>
    </row>
    <row r="7872" spans="1:10" s="15" customFormat="1" ht="18" hidden="1" customHeight="1" outlineLevel="1" x14ac:dyDescent="0.25">
      <c r="A7872" s="18">
        <v>1090</v>
      </c>
      <c r="B7872" s="4" t="s">
        <v>43</v>
      </c>
      <c r="C7872" s="38" t="s">
        <v>10351</v>
      </c>
      <c r="D7872" s="23">
        <v>2023</v>
      </c>
      <c r="E7872" s="18" t="s">
        <v>0</v>
      </c>
      <c r="F7872" s="6">
        <v>1</v>
      </c>
      <c r="G7872" s="40">
        <v>10</v>
      </c>
      <c r="H7872" s="40">
        <v>15.525459999999999</v>
      </c>
      <c r="I7872" s="212"/>
      <c r="J7872" s="212"/>
    </row>
    <row r="7873" spans="1:10" s="15" customFormat="1" ht="18" hidden="1" customHeight="1" outlineLevel="1" x14ac:dyDescent="0.25">
      <c r="A7873" s="18">
        <v>5226</v>
      </c>
      <c r="B7873" s="4" t="s">
        <v>43</v>
      </c>
      <c r="C7873" s="38" t="s">
        <v>10352</v>
      </c>
      <c r="D7873" s="23">
        <v>2023</v>
      </c>
      <c r="E7873" s="18" t="s">
        <v>0</v>
      </c>
      <c r="F7873" s="6">
        <v>1</v>
      </c>
      <c r="G7873" s="40">
        <v>10</v>
      </c>
      <c r="H7873" s="40">
        <v>15.525459999999999</v>
      </c>
      <c r="I7873" s="212"/>
      <c r="J7873" s="212"/>
    </row>
    <row r="7874" spans="1:10" s="15" customFormat="1" ht="18" hidden="1" customHeight="1" outlineLevel="1" x14ac:dyDescent="0.25">
      <c r="A7874" s="18">
        <v>1103</v>
      </c>
      <c r="B7874" s="4" t="s">
        <v>43</v>
      </c>
      <c r="C7874" s="38" t="s">
        <v>10353</v>
      </c>
      <c r="D7874" s="23">
        <v>2023</v>
      </c>
      <c r="E7874" s="18" t="s">
        <v>0</v>
      </c>
      <c r="F7874" s="6">
        <v>1</v>
      </c>
      <c r="G7874" s="40">
        <v>6</v>
      </c>
      <c r="H7874" s="40">
        <v>15.525459999999999</v>
      </c>
      <c r="I7874" s="212"/>
      <c r="J7874" s="212"/>
    </row>
    <row r="7875" spans="1:10" s="15" customFormat="1" ht="18" hidden="1" customHeight="1" outlineLevel="1" x14ac:dyDescent="0.25">
      <c r="A7875" s="18">
        <v>5227</v>
      </c>
      <c r="B7875" s="4" t="s">
        <v>43</v>
      </c>
      <c r="C7875" s="38" t="s">
        <v>10354</v>
      </c>
      <c r="D7875" s="23">
        <v>2023</v>
      </c>
      <c r="E7875" s="18" t="s">
        <v>0</v>
      </c>
      <c r="F7875" s="6">
        <v>1</v>
      </c>
      <c r="G7875" s="40">
        <v>15</v>
      </c>
      <c r="H7875" s="40">
        <v>15.525459999999999</v>
      </c>
      <c r="I7875" s="212"/>
      <c r="J7875" s="212"/>
    </row>
    <row r="7876" spans="1:10" s="15" customFormat="1" ht="18" hidden="1" customHeight="1" outlineLevel="1" x14ac:dyDescent="0.25">
      <c r="A7876" s="18">
        <v>1129</v>
      </c>
      <c r="B7876" s="4" t="s">
        <v>43</v>
      </c>
      <c r="C7876" s="38" t="s">
        <v>10355</v>
      </c>
      <c r="D7876" s="23">
        <v>2023</v>
      </c>
      <c r="E7876" s="18" t="s">
        <v>0</v>
      </c>
      <c r="F7876" s="6">
        <v>1</v>
      </c>
      <c r="G7876" s="40">
        <v>15</v>
      </c>
      <c r="H7876" s="40">
        <v>15.525459999999999</v>
      </c>
      <c r="I7876" s="212"/>
      <c r="J7876" s="212"/>
    </row>
    <row r="7877" spans="1:10" s="15" customFormat="1" ht="18" hidden="1" customHeight="1" outlineLevel="1" x14ac:dyDescent="0.25">
      <c r="A7877" s="18">
        <v>5228</v>
      </c>
      <c r="B7877" s="4" t="s">
        <v>43</v>
      </c>
      <c r="C7877" s="38" t="s">
        <v>10356</v>
      </c>
      <c r="D7877" s="23">
        <v>2023</v>
      </c>
      <c r="E7877" s="18" t="s">
        <v>0</v>
      </c>
      <c r="F7877" s="6">
        <v>1</v>
      </c>
      <c r="G7877" s="40">
        <v>10</v>
      </c>
      <c r="H7877" s="40">
        <v>15.525459999999999</v>
      </c>
      <c r="I7877" s="212"/>
      <c r="J7877" s="212"/>
    </row>
    <row r="7878" spans="1:10" s="15" customFormat="1" ht="18" hidden="1" customHeight="1" outlineLevel="1" x14ac:dyDescent="0.25">
      <c r="A7878" s="18">
        <v>1301</v>
      </c>
      <c r="B7878" s="4" t="s">
        <v>43</v>
      </c>
      <c r="C7878" s="38" t="s">
        <v>10357</v>
      </c>
      <c r="D7878" s="23">
        <v>2023</v>
      </c>
      <c r="E7878" s="18" t="s">
        <v>0</v>
      </c>
      <c r="F7878" s="6">
        <v>1</v>
      </c>
      <c r="G7878" s="40">
        <v>15</v>
      </c>
      <c r="H7878" s="40">
        <v>15.525459999999999</v>
      </c>
      <c r="I7878" s="212"/>
      <c r="J7878" s="212"/>
    </row>
    <row r="7879" spans="1:10" s="15" customFormat="1" ht="18" hidden="1" customHeight="1" outlineLevel="1" x14ac:dyDescent="0.25">
      <c r="A7879" s="18">
        <v>1300</v>
      </c>
      <c r="B7879" s="4" t="s">
        <v>43</v>
      </c>
      <c r="C7879" s="38" t="s">
        <v>10358</v>
      </c>
      <c r="D7879" s="23">
        <v>2023</v>
      </c>
      <c r="E7879" s="18" t="s">
        <v>0</v>
      </c>
      <c r="F7879" s="6">
        <v>1</v>
      </c>
      <c r="G7879" s="40">
        <v>10</v>
      </c>
      <c r="H7879" s="40">
        <v>15.525459999999999</v>
      </c>
      <c r="I7879" s="212"/>
      <c r="J7879" s="212"/>
    </row>
    <row r="7880" spans="1:10" s="15" customFormat="1" ht="18" hidden="1" customHeight="1" outlineLevel="1" x14ac:dyDescent="0.25">
      <c r="A7880" s="18">
        <v>1320</v>
      </c>
      <c r="B7880" s="4" t="s">
        <v>43</v>
      </c>
      <c r="C7880" s="38" t="s">
        <v>10359</v>
      </c>
      <c r="D7880" s="23">
        <v>2023</v>
      </c>
      <c r="E7880" s="18" t="s">
        <v>0</v>
      </c>
      <c r="F7880" s="6">
        <v>1</v>
      </c>
      <c r="G7880" s="40">
        <v>10</v>
      </c>
      <c r="H7880" s="40">
        <v>15.525459999999999</v>
      </c>
      <c r="I7880" s="212"/>
      <c r="J7880" s="212"/>
    </row>
    <row r="7881" spans="1:10" s="15" customFormat="1" ht="18" hidden="1" customHeight="1" outlineLevel="1" x14ac:dyDescent="0.25">
      <c r="A7881" s="18">
        <v>1363</v>
      </c>
      <c r="B7881" s="4" t="s">
        <v>43</v>
      </c>
      <c r="C7881" s="38" t="s">
        <v>10360</v>
      </c>
      <c r="D7881" s="23">
        <v>2023</v>
      </c>
      <c r="E7881" s="18" t="s">
        <v>0</v>
      </c>
      <c r="F7881" s="6">
        <v>1</v>
      </c>
      <c r="G7881" s="40">
        <v>10</v>
      </c>
      <c r="H7881" s="40">
        <v>42.595960000000005</v>
      </c>
      <c r="I7881" s="212"/>
      <c r="J7881" s="212"/>
    </row>
    <row r="7882" spans="1:10" s="15" customFormat="1" ht="18" hidden="1" customHeight="1" outlineLevel="1" x14ac:dyDescent="0.25">
      <c r="A7882" s="18">
        <v>5229</v>
      </c>
      <c r="B7882" s="4" t="s">
        <v>43</v>
      </c>
      <c r="C7882" s="38" t="s">
        <v>10361</v>
      </c>
      <c r="D7882" s="23">
        <v>2023</v>
      </c>
      <c r="E7882" s="18" t="s">
        <v>0</v>
      </c>
      <c r="F7882" s="6">
        <v>1</v>
      </c>
      <c r="G7882" s="40">
        <v>10</v>
      </c>
      <c r="H7882" s="40">
        <v>15.525459999999999</v>
      </c>
      <c r="I7882" s="212"/>
      <c r="J7882" s="212"/>
    </row>
    <row r="7883" spans="1:10" s="15" customFormat="1" ht="18" hidden="1" customHeight="1" outlineLevel="1" x14ac:dyDescent="0.25">
      <c r="A7883" s="18">
        <v>5230</v>
      </c>
      <c r="B7883" s="4" t="s">
        <v>43</v>
      </c>
      <c r="C7883" s="38" t="s">
        <v>10362</v>
      </c>
      <c r="D7883" s="23">
        <v>2023</v>
      </c>
      <c r="E7883" s="18" t="s">
        <v>0</v>
      </c>
      <c r="F7883" s="6">
        <v>1</v>
      </c>
      <c r="G7883" s="40">
        <v>10</v>
      </c>
      <c r="H7883" s="40">
        <v>15.525459999999999</v>
      </c>
      <c r="I7883" s="212"/>
      <c r="J7883" s="212"/>
    </row>
    <row r="7884" spans="1:10" s="15" customFormat="1" ht="18" hidden="1" customHeight="1" outlineLevel="1" x14ac:dyDescent="0.25">
      <c r="A7884" s="18">
        <v>1472</v>
      </c>
      <c r="B7884" s="4" t="s">
        <v>43</v>
      </c>
      <c r="C7884" s="38" t="s">
        <v>10363</v>
      </c>
      <c r="D7884" s="23">
        <v>2023</v>
      </c>
      <c r="E7884" s="18" t="s">
        <v>0</v>
      </c>
      <c r="F7884" s="6">
        <v>1</v>
      </c>
      <c r="G7884" s="40">
        <v>5</v>
      </c>
      <c r="H7884" s="40">
        <v>15.525459999999999</v>
      </c>
      <c r="I7884" s="212"/>
      <c r="J7884" s="212"/>
    </row>
    <row r="7885" spans="1:10" s="15" customFormat="1" ht="18" hidden="1" customHeight="1" outlineLevel="1" x14ac:dyDescent="0.25">
      <c r="A7885" s="18">
        <v>5231</v>
      </c>
      <c r="B7885" s="4" t="s">
        <v>43</v>
      </c>
      <c r="C7885" s="38" t="s">
        <v>10364</v>
      </c>
      <c r="D7885" s="23">
        <v>2023</v>
      </c>
      <c r="E7885" s="18" t="s">
        <v>0</v>
      </c>
      <c r="F7885" s="6">
        <v>1</v>
      </c>
      <c r="G7885" s="40">
        <v>10</v>
      </c>
      <c r="H7885" s="40">
        <v>15.525459999999999</v>
      </c>
      <c r="I7885" s="212"/>
      <c r="J7885" s="212"/>
    </row>
    <row r="7886" spans="1:10" s="15" customFormat="1" ht="18" hidden="1" customHeight="1" outlineLevel="1" x14ac:dyDescent="0.25">
      <c r="A7886" s="18">
        <v>5232</v>
      </c>
      <c r="B7886" s="4" t="s">
        <v>43</v>
      </c>
      <c r="C7886" s="38" t="s">
        <v>10365</v>
      </c>
      <c r="D7886" s="23">
        <v>2023</v>
      </c>
      <c r="E7886" s="18" t="s">
        <v>0</v>
      </c>
      <c r="F7886" s="6">
        <v>1</v>
      </c>
      <c r="G7886" s="40">
        <v>10</v>
      </c>
      <c r="H7886" s="40">
        <v>15.525459999999999</v>
      </c>
      <c r="I7886" s="212"/>
      <c r="J7886" s="212"/>
    </row>
    <row r="7887" spans="1:10" s="15" customFormat="1" ht="18" hidden="1" customHeight="1" outlineLevel="1" x14ac:dyDescent="0.25">
      <c r="A7887" s="18">
        <v>5233</v>
      </c>
      <c r="B7887" s="4" t="s">
        <v>43</v>
      </c>
      <c r="C7887" s="38" t="s">
        <v>10366</v>
      </c>
      <c r="D7887" s="23">
        <v>2023</v>
      </c>
      <c r="E7887" s="18" t="s">
        <v>0</v>
      </c>
      <c r="F7887" s="6">
        <v>1</v>
      </c>
      <c r="G7887" s="40">
        <v>5</v>
      </c>
      <c r="H7887" s="40">
        <v>15.525459999999999</v>
      </c>
      <c r="I7887" s="212"/>
      <c r="J7887" s="212"/>
    </row>
    <row r="7888" spans="1:10" s="15" customFormat="1" ht="18" hidden="1" customHeight="1" outlineLevel="1" x14ac:dyDescent="0.25">
      <c r="A7888" s="18">
        <v>5234</v>
      </c>
      <c r="B7888" s="4" t="s">
        <v>43</v>
      </c>
      <c r="C7888" s="38" t="s">
        <v>10367</v>
      </c>
      <c r="D7888" s="23">
        <v>2023</v>
      </c>
      <c r="E7888" s="18" t="s">
        <v>0</v>
      </c>
      <c r="F7888" s="6">
        <v>1</v>
      </c>
      <c r="G7888" s="40">
        <v>10</v>
      </c>
      <c r="H7888" s="40">
        <v>15.525459999999999</v>
      </c>
      <c r="I7888" s="212"/>
      <c r="J7888" s="212"/>
    </row>
    <row r="7889" spans="1:10" s="15" customFormat="1" ht="18" hidden="1" customHeight="1" outlineLevel="1" x14ac:dyDescent="0.25">
      <c r="A7889" s="18">
        <v>5235</v>
      </c>
      <c r="B7889" s="4" t="s">
        <v>43</v>
      </c>
      <c r="C7889" s="38" t="s">
        <v>10368</v>
      </c>
      <c r="D7889" s="23">
        <v>2023</v>
      </c>
      <c r="E7889" s="18" t="s">
        <v>0</v>
      </c>
      <c r="F7889" s="6">
        <v>1</v>
      </c>
      <c r="G7889" s="40">
        <v>5</v>
      </c>
      <c r="H7889" s="40">
        <v>15.525459999999999</v>
      </c>
      <c r="I7889" s="212"/>
      <c r="J7889" s="212"/>
    </row>
    <row r="7890" spans="1:10" s="15" customFormat="1" ht="18" hidden="1" customHeight="1" outlineLevel="1" x14ac:dyDescent="0.25">
      <c r="A7890" s="18">
        <v>5236</v>
      </c>
      <c r="B7890" s="4" t="s">
        <v>43</v>
      </c>
      <c r="C7890" s="38" t="s">
        <v>10369</v>
      </c>
      <c r="D7890" s="23">
        <v>2023</v>
      </c>
      <c r="E7890" s="18" t="s">
        <v>0</v>
      </c>
      <c r="F7890" s="6">
        <v>1</v>
      </c>
      <c r="G7890" s="40">
        <v>10</v>
      </c>
      <c r="H7890" s="40">
        <v>15.525459999999999</v>
      </c>
      <c r="I7890" s="212"/>
      <c r="J7890" s="212"/>
    </row>
    <row r="7891" spans="1:10" s="15" customFormat="1" ht="18" hidden="1" customHeight="1" outlineLevel="1" x14ac:dyDescent="0.25">
      <c r="A7891" s="18">
        <v>1627</v>
      </c>
      <c r="B7891" s="4" t="s">
        <v>43</v>
      </c>
      <c r="C7891" s="38" t="s">
        <v>10370</v>
      </c>
      <c r="D7891" s="23">
        <v>2023</v>
      </c>
      <c r="E7891" s="18" t="s">
        <v>0</v>
      </c>
      <c r="F7891" s="6">
        <v>1</v>
      </c>
      <c r="G7891" s="40">
        <v>10</v>
      </c>
      <c r="H7891" s="40">
        <v>15.525459999999999</v>
      </c>
      <c r="I7891" s="212"/>
      <c r="J7891" s="212"/>
    </row>
    <row r="7892" spans="1:10" s="15" customFormat="1" ht="18" hidden="1" customHeight="1" outlineLevel="1" x14ac:dyDescent="0.25">
      <c r="A7892" s="18">
        <v>1675</v>
      </c>
      <c r="B7892" s="4" t="s">
        <v>43</v>
      </c>
      <c r="C7892" s="38" t="s">
        <v>10371</v>
      </c>
      <c r="D7892" s="23">
        <v>2023</v>
      </c>
      <c r="E7892" s="18" t="s">
        <v>0</v>
      </c>
      <c r="F7892" s="6">
        <v>1</v>
      </c>
      <c r="G7892" s="40">
        <v>5</v>
      </c>
      <c r="H7892" s="40">
        <v>15.525459999999999</v>
      </c>
      <c r="I7892" s="212"/>
      <c r="J7892" s="212"/>
    </row>
    <row r="7893" spans="1:10" s="15" customFormat="1" ht="18" hidden="1" customHeight="1" outlineLevel="1" x14ac:dyDescent="0.25">
      <c r="A7893" s="18">
        <v>1669</v>
      </c>
      <c r="B7893" s="4" t="s">
        <v>43</v>
      </c>
      <c r="C7893" s="38" t="s">
        <v>10372</v>
      </c>
      <c r="D7893" s="23">
        <v>2023</v>
      </c>
      <c r="E7893" s="18" t="s">
        <v>0</v>
      </c>
      <c r="F7893" s="6">
        <v>1</v>
      </c>
      <c r="G7893" s="40">
        <v>5</v>
      </c>
      <c r="H7893" s="40">
        <v>15.525459999999999</v>
      </c>
      <c r="I7893" s="212"/>
      <c r="J7893" s="212"/>
    </row>
    <row r="7894" spans="1:10" s="15" customFormat="1" ht="18" hidden="1" customHeight="1" outlineLevel="1" x14ac:dyDescent="0.25">
      <c r="A7894" s="18">
        <v>5237</v>
      </c>
      <c r="B7894" s="4" t="s">
        <v>43</v>
      </c>
      <c r="C7894" s="38" t="s">
        <v>10373</v>
      </c>
      <c r="D7894" s="23">
        <v>2023</v>
      </c>
      <c r="E7894" s="18" t="s">
        <v>0</v>
      </c>
      <c r="F7894" s="6">
        <v>1</v>
      </c>
      <c r="G7894" s="40">
        <v>15</v>
      </c>
      <c r="H7894" s="40">
        <v>15.525459999999999</v>
      </c>
      <c r="I7894" s="212"/>
      <c r="J7894" s="212"/>
    </row>
    <row r="7895" spans="1:10" s="15" customFormat="1" ht="18" hidden="1" customHeight="1" outlineLevel="1" x14ac:dyDescent="0.25">
      <c r="A7895" s="18">
        <v>5238</v>
      </c>
      <c r="B7895" s="4" t="s">
        <v>43</v>
      </c>
      <c r="C7895" s="38" t="s">
        <v>10374</v>
      </c>
      <c r="D7895" s="23">
        <v>2023</v>
      </c>
      <c r="E7895" s="18" t="s">
        <v>0</v>
      </c>
      <c r="F7895" s="6">
        <v>1</v>
      </c>
      <c r="G7895" s="40">
        <v>15</v>
      </c>
      <c r="H7895" s="40">
        <v>15.525459999999999</v>
      </c>
      <c r="I7895" s="212"/>
      <c r="J7895" s="212"/>
    </row>
    <row r="7896" spans="1:10" s="15" customFormat="1" ht="18" hidden="1" customHeight="1" outlineLevel="1" x14ac:dyDescent="0.25">
      <c r="A7896" s="18">
        <v>5239</v>
      </c>
      <c r="B7896" s="4" t="s">
        <v>43</v>
      </c>
      <c r="C7896" s="38" t="s">
        <v>10375</v>
      </c>
      <c r="D7896" s="23">
        <v>2023</v>
      </c>
      <c r="E7896" s="18" t="s">
        <v>0</v>
      </c>
      <c r="F7896" s="6">
        <v>1</v>
      </c>
      <c r="G7896" s="40">
        <v>15</v>
      </c>
      <c r="H7896" s="40">
        <v>15.525459999999999</v>
      </c>
      <c r="I7896" s="212"/>
      <c r="J7896" s="212"/>
    </row>
    <row r="7897" spans="1:10" s="15" customFormat="1" ht="18" hidden="1" customHeight="1" outlineLevel="1" x14ac:dyDescent="0.25">
      <c r="A7897" s="18">
        <v>1759</v>
      </c>
      <c r="B7897" s="4" t="s">
        <v>43</v>
      </c>
      <c r="C7897" s="38" t="s">
        <v>10376</v>
      </c>
      <c r="D7897" s="23">
        <v>2023</v>
      </c>
      <c r="E7897" s="18" t="s">
        <v>0</v>
      </c>
      <c r="F7897" s="6">
        <v>1</v>
      </c>
      <c r="G7897" s="40">
        <v>5</v>
      </c>
      <c r="H7897" s="40">
        <v>15.525459999999999</v>
      </c>
      <c r="I7897" s="212"/>
      <c r="J7897" s="212"/>
    </row>
    <row r="7898" spans="1:10" s="15" customFormat="1" ht="18" hidden="1" customHeight="1" outlineLevel="1" x14ac:dyDescent="0.25">
      <c r="A7898" s="18">
        <v>5249</v>
      </c>
      <c r="B7898" s="4" t="s">
        <v>43</v>
      </c>
      <c r="C7898" s="38" t="s">
        <v>10377</v>
      </c>
      <c r="D7898" s="23">
        <v>2023</v>
      </c>
      <c r="E7898" s="18" t="s">
        <v>0</v>
      </c>
      <c r="F7898" s="6">
        <v>1</v>
      </c>
      <c r="G7898" s="40">
        <v>10</v>
      </c>
      <c r="H7898" s="40">
        <v>15.525459999999999</v>
      </c>
      <c r="I7898" s="212"/>
      <c r="J7898" s="212"/>
    </row>
    <row r="7899" spans="1:10" s="15" customFormat="1" ht="18" hidden="1" customHeight="1" outlineLevel="1" x14ac:dyDescent="0.25">
      <c r="A7899" s="18">
        <v>747</v>
      </c>
      <c r="B7899" s="4" t="s">
        <v>43</v>
      </c>
      <c r="C7899" s="38" t="s">
        <v>10378</v>
      </c>
      <c r="D7899" s="23">
        <v>2023</v>
      </c>
      <c r="E7899" s="18" t="s">
        <v>0</v>
      </c>
      <c r="F7899" s="6">
        <v>1</v>
      </c>
      <c r="G7899" s="40">
        <v>15</v>
      </c>
      <c r="H7899" s="40">
        <v>15.365930000000001</v>
      </c>
      <c r="I7899" s="212"/>
      <c r="J7899" s="212"/>
    </row>
    <row r="7900" spans="1:10" s="15" customFormat="1" ht="18" hidden="1" customHeight="1" outlineLevel="1" x14ac:dyDescent="0.25">
      <c r="A7900" s="18">
        <v>5250</v>
      </c>
      <c r="B7900" s="4" t="s">
        <v>43</v>
      </c>
      <c r="C7900" s="38" t="s">
        <v>10379</v>
      </c>
      <c r="D7900" s="23">
        <v>2023</v>
      </c>
      <c r="E7900" s="18" t="s">
        <v>0</v>
      </c>
      <c r="F7900" s="6">
        <v>1</v>
      </c>
      <c r="G7900" s="40">
        <v>10</v>
      </c>
      <c r="H7900" s="40">
        <v>15.365930000000001</v>
      </c>
      <c r="I7900" s="212"/>
      <c r="J7900" s="212"/>
    </row>
    <row r="7901" spans="1:10" s="15" customFormat="1" ht="18" hidden="1" customHeight="1" outlineLevel="1" x14ac:dyDescent="0.25">
      <c r="A7901" s="18">
        <v>874</v>
      </c>
      <c r="B7901" s="4" t="s">
        <v>43</v>
      </c>
      <c r="C7901" s="38" t="s">
        <v>10380</v>
      </c>
      <c r="D7901" s="23">
        <v>2023</v>
      </c>
      <c r="E7901" s="18" t="s">
        <v>0</v>
      </c>
      <c r="F7901" s="6">
        <v>1</v>
      </c>
      <c r="G7901" s="40">
        <v>8</v>
      </c>
      <c r="H7901" s="40">
        <v>15.365930000000001</v>
      </c>
      <c r="I7901" s="212"/>
      <c r="J7901" s="212"/>
    </row>
    <row r="7902" spans="1:10" s="15" customFormat="1" ht="18" hidden="1" customHeight="1" outlineLevel="1" x14ac:dyDescent="0.25">
      <c r="A7902" s="18">
        <v>853</v>
      </c>
      <c r="B7902" s="4" t="s">
        <v>43</v>
      </c>
      <c r="C7902" s="38" t="s">
        <v>10381</v>
      </c>
      <c r="D7902" s="23">
        <v>2023</v>
      </c>
      <c r="E7902" s="18" t="s">
        <v>0</v>
      </c>
      <c r="F7902" s="6">
        <v>1</v>
      </c>
      <c r="G7902" s="40">
        <v>15</v>
      </c>
      <c r="H7902" s="40">
        <v>15.365930000000001</v>
      </c>
      <c r="I7902" s="212"/>
      <c r="J7902" s="212"/>
    </row>
    <row r="7903" spans="1:10" s="15" customFormat="1" ht="18" hidden="1" customHeight="1" outlineLevel="1" x14ac:dyDescent="0.25">
      <c r="A7903" s="18">
        <v>942</v>
      </c>
      <c r="B7903" s="4" t="s">
        <v>43</v>
      </c>
      <c r="C7903" s="38" t="s">
        <v>10382</v>
      </c>
      <c r="D7903" s="23">
        <v>2023</v>
      </c>
      <c r="E7903" s="18" t="s">
        <v>0</v>
      </c>
      <c r="F7903" s="6">
        <v>1</v>
      </c>
      <c r="G7903" s="40">
        <v>10</v>
      </c>
      <c r="H7903" s="40">
        <v>15.365930000000001</v>
      </c>
      <c r="I7903" s="212"/>
      <c r="J7903" s="212"/>
    </row>
    <row r="7904" spans="1:10" s="15" customFormat="1" ht="18" hidden="1" customHeight="1" outlineLevel="1" x14ac:dyDescent="0.25">
      <c r="A7904" s="18">
        <v>951</v>
      </c>
      <c r="B7904" s="4" t="s">
        <v>43</v>
      </c>
      <c r="C7904" s="38" t="s">
        <v>10383</v>
      </c>
      <c r="D7904" s="23">
        <v>2023</v>
      </c>
      <c r="E7904" s="18" t="s">
        <v>0</v>
      </c>
      <c r="F7904" s="6">
        <v>1</v>
      </c>
      <c r="G7904" s="40">
        <v>8</v>
      </c>
      <c r="H7904" s="40">
        <v>15.365930000000001</v>
      </c>
      <c r="I7904" s="212"/>
      <c r="J7904" s="212"/>
    </row>
    <row r="7905" spans="1:10" s="15" customFormat="1" ht="18" hidden="1" customHeight="1" outlineLevel="1" x14ac:dyDescent="0.25">
      <c r="A7905" s="18">
        <v>5251</v>
      </c>
      <c r="B7905" s="4" t="s">
        <v>43</v>
      </c>
      <c r="C7905" s="38" t="s">
        <v>10384</v>
      </c>
      <c r="D7905" s="23">
        <v>2023</v>
      </c>
      <c r="E7905" s="18" t="s">
        <v>0</v>
      </c>
      <c r="F7905" s="6">
        <v>1</v>
      </c>
      <c r="G7905" s="40">
        <v>10</v>
      </c>
      <c r="H7905" s="40">
        <v>15.365930000000001</v>
      </c>
      <c r="I7905" s="212"/>
      <c r="J7905" s="212"/>
    </row>
    <row r="7906" spans="1:10" s="15" customFormat="1" ht="18" hidden="1" customHeight="1" outlineLevel="1" x14ac:dyDescent="0.25">
      <c r="A7906" s="18">
        <v>988</v>
      </c>
      <c r="B7906" s="4" t="s">
        <v>43</v>
      </c>
      <c r="C7906" s="38" t="s">
        <v>10385</v>
      </c>
      <c r="D7906" s="23">
        <v>2023</v>
      </c>
      <c r="E7906" s="18" t="s">
        <v>0</v>
      </c>
      <c r="F7906" s="6">
        <v>1</v>
      </c>
      <c r="G7906" s="40">
        <v>10</v>
      </c>
      <c r="H7906" s="40">
        <v>15.365930000000001</v>
      </c>
      <c r="I7906" s="212"/>
      <c r="J7906" s="212"/>
    </row>
    <row r="7907" spans="1:10" s="15" customFormat="1" ht="18" hidden="1" customHeight="1" outlineLevel="1" x14ac:dyDescent="0.25">
      <c r="A7907" s="18">
        <v>5252</v>
      </c>
      <c r="B7907" s="4" t="s">
        <v>43</v>
      </c>
      <c r="C7907" s="38" t="s">
        <v>10386</v>
      </c>
      <c r="D7907" s="23">
        <v>2023</v>
      </c>
      <c r="E7907" s="18" t="s">
        <v>0</v>
      </c>
      <c r="F7907" s="6">
        <v>1</v>
      </c>
      <c r="G7907" s="40">
        <v>10</v>
      </c>
      <c r="H7907" s="40">
        <v>15.365930000000001</v>
      </c>
      <c r="I7907" s="212"/>
      <c r="J7907" s="212"/>
    </row>
    <row r="7908" spans="1:10" s="15" customFormat="1" ht="18" hidden="1" customHeight="1" outlineLevel="1" x14ac:dyDescent="0.25">
      <c r="A7908" s="18">
        <v>842</v>
      </c>
      <c r="B7908" s="4" t="s">
        <v>43</v>
      </c>
      <c r="C7908" s="38" t="s">
        <v>10387</v>
      </c>
      <c r="D7908" s="23">
        <v>2023</v>
      </c>
      <c r="E7908" s="18" t="s">
        <v>0</v>
      </c>
      <c r="F7908" s="6">
        <v>1</v>
      </c>
      <c r="G7908" s="40">
        <v>10</v>
      </c>
      <c r="H7908" s="40">
        <v>15.365930000000001</v>
      </c>
      <c r="I7908" s="212"/>
      <c r="J7908" s="212"/>
    </row>
    <row r="7909" spans="1:10" s="15" customFormat="1" ht="18" hidden="1" customHeight="1" outlineLevel="1" x14ac:dyDescent="0.25">
      <c r="A7909" s="18">
        <v>974</v>
      </c>
      <c r="B7909" s="4" t="s">
        <v>43</v>
      </c>
      <c r="C7909" s="38" t="s">
        <v>10388</v>
      </c>
      <c r="D7909" s="23">
        <v>2023</v>
      </c>
      <c r="E7909" s="18" t="s">
        <v>0</v>
      </c>
      <c r="F7909" s="6">
        <v>1</v>
      </c>
      <c r="G7909" s="40">
        <v>5</v>
      </c>
      <c r="H7909" s="40">
        <v>15.365930000000001</v>
      </c>
      <c r="I7909" s="212"/>
      <c r="J7909" s="212"/>
    </row>
    <row r="7910" spans="1:10" s="15" customFormat="1" ht="18" hidden="1" customHeight="1" outlineLevel="1" x14ac:dyDescent="0.25">
      <c r="A7910" s="18">
        <v>999</v>
      </c>
      <c r="B7910" s="4" t="s">
        <v>43</v>
      </c>
      <c r="C7910" s="38" t="s">
        <v>10389</v>
      </c>
      <c r="D7910" s="23">
        <v>2023</v>
      </c>
      <c r="E7910" s="18" t="s">
        <v>0</v>
      </c>
      <c r="F7910" s="6">
        <v>1</v>
      </c>
      <c r="G7910" s="40">
        <v>8</v>
      </c>
      <c r="H7910" s="40">
        <v>15.365930000000001</v>
      </c>
      <c r="I7910" s="212"/>
      <c r="J7910" s="212"/>
    </row>
    <row r="7911" spans="1:10" s="15" customFormat="1" ht="18" hidden="1" customHeight="1" outlineLevel="1" x14ac:dyDescent="0.25">
      <c r="A7911" s="18">
        <v>5263</v>
      </c>
      <c r="B7911" s="4" t="s">
        <v>43</v>
      </c>
      <c r="C7911" s="38" t="s">
        <v>10390</v>
      </c>
      <c r="D7911" s="23">
        <v>2023</v>
      </c>
      <c r="E7911" s="18" t="s">
        <v>0</v>
      </c>
      <c r="F7911" s="6">
        <v>1</v>
      </c>
      <c r="G7911" s="40">
        <v>8</v>
      </c>
      <c r="H7911" s="40">
        <v>25.169930000000001</v>
      </c>
      <c r="I7911" s="212"/>
      <c r="J7911" s="212"/>
    </row>
    <row r="7912" spans="1:10" s="15" customFormat="1" ht="18" hidden="1" customHeight="1" outlineLevel="1" x14ac:dyDescent="0.25">
      <c r="A7912" s="18">
        <v>5264</v>
      </c>
      <c r="B7912" s="4" t="s">
        <v>43</v>
      </c>
      <c r="C7912" s="38" t="s">
        <v>10391</v>
      </c>
      <c r="D7912" s="23">
        <v>2023</v>
      </c>
      <c r="E7912" s="18" t="s">
        <v>0</v>
      </c>
      <c r="F7912" s="6">
        <v>1</v>
      </c>
      <c r="G7912" s="40">
        <v>5</v>
      </c>
      <c r="H7912" s="40">
        <v>25.16995</v>
      </c>
      <c r="I7912" s="212"/>
      <c r="J7912" s="212"/>
    </row>
    <row r="7913" spans="1:10" s="15" customFormat="1" ht="18" hidden="1" customHeight="1" outlineLevel="1" x14ac:dyDescent="0.25">
      <c r="A7913" s="18">
        <v>1464</v>
      </c>
      <c r="B7913" s="4" t="s">
        <v>43</v>
      </c>
      <c r="C7913" s="38" t="s">
        <v>10392</v>
      </c>
      <c r="D7913" s="23">
        <v>2023</v>
      </c>
      <c r="E7913" s="18" t="s">
        <v>0</v>
      </c>
      <c r="F7913" s="6">
        <v>1</v>
      </c>
      <c r="G7913" s="40">
        <v>5</v>
      </c>
      <c r="H7913" s="40">
        <v>25.169939999999997</v>
      </c>
      <c r="I7913" s="212"/>
      <c r="J7913" s="212"/>
    </row>
    <row r="7914" spans="1:10" s="15" customFormat="1" ht="18" hidden="1" customHeight="1" outlineLevel="1" x14ac:dyDescent="0.25">
      <c r="A7914" s="18">
        <v>1439</v>
      </c>
      <c r="B7914" s="4" t="s">
        <v>43</v>
      </c>
      <c r="C7914" s="38" t="s">
        <v>10393</v>
      </c>
      <c r="D7914" s="23">
        <v>2023</v>
      </c>
      <c r="E7914" s="18" t="s">
        <v>0</v>
      </c>
      <c r="F7914" s="6">
        <v>1</v>
      </c>
      <c r="G7914" s="40">
        <v>5</v>
      </c>
      <c r="H7914" s="40">
        <v>25.169930000000001</v>
      </c>
      <c r="I7914" s="212"/>
      <c r="J7914" s="212"/>
    </row>
    <row r="7915" spans="1:10" s="15" customFormat="1" ht="18" hidden="1" customHeight="1" outlineLevel="1" x14ac:dyDescent="0.25">
      <c r="A7915" s="18">
        <v>5265</v>
      </c>
      <c r="B7915" s="4" t="s">
        <v>43</v>
      </c>
      <c r="C7915" s="38" t="s">
        <v>10394</v>
      </c>
      <c r="D7915" s="23">
        <v>2023</v>
      </c>
      <c r="E7915" s="18" t="s">
        <v>0</v>
      </c>
      <c r="F7915" s="6">
        <v>1</v>
      </c>
      <c r="G7915" s="40">
        <v>7</v>
      </c>
      <c r="H7915" s="40">
        <v>25.169939999999997</v>
      </c>
      <c r="I7915" s="212"/>
      <c r="J7915" s="212"/>
    </row>
    <row r="7916" spans="1:10" s="15" customFormat="1" ht="18" hidden="1" customHeight="1" outlineLevel="1" x14ac:dyDescent="0.25">
      <c r="A7916" s="18">
        <v>1473</v>
      </c>
      <c r="B7916" s="4" t="s">
        <v>43</v>
      </c>
      <c r="C7916" s="38" t="s">
        <v>10395</v>
      </c>
      <c r="D7916" s="23">
        <v>2023</v>
      </c>
      <c r="E7916" s="18" t="s">
        <v>0</v>
      </c>
      <c r="F7916" s="6">
        <v>1</v>
      </c>
      <c r="G7916" s="40">
        <v>5</v>
      </c>
      <c r="H7916" s="40">
        <v>25.169939999999997</v>
      </c>
      <c r="I7916" s="212"/>
      <c r="J7916" s="212"/>
    </row>
    <row r="7917" spans="1:10" s="15" customFormat="1" ht="18" hidden="1" customHeight="1" outlineLevel="1" x14ac:dyDescent="0.25">
      <c r="A7917" s="18">
        <v>1518</v>
      </c>
      <c r="B7917" s="4" t="s">
        <v>43</v>
      </c>
      <c r="C7917" s="38" t="s">
        <v>10396</v>
      </c>
      <c r="D7917" s="23">
        <v>2023</v>
      </c>
      <c r="E7917" s="18" t="s">
        <v>0</v>
      </c>
      <c r="F7917" s="6">
        <v>1</v>
      </c>
      <c r="G7917" s="40">
        <v>5</v>
      </c>
      <c r="H7917" s="40">
        <v>25.169939999999997</v>
      </c>
      <c r="I7917" s="212"/>
      <c r="J7917" s="212"/>
    </row>
    <row r="7918" spans="1:10" s="15" customFormat="1" ht="18" hidden="1" customHeight="1" outlineLevel="1" x14ac:dyDescent="0.25">
      <c r="A7918" s="18">
        <v>5266</v>
      </c>
      <c r="B7918" s="4" t="s">
        <v>43</v>
      </c>
      <c r="C7918" s="38" t="s">
        <v>10397</v>
      </c>
      <c r="D7918" s="23">
        <v>2023</v>
      </c>
      <c r="E7918" s="18" t="s">
        <v>0</v>
      </c>
      <c r="F7918" s="6">
        <v>1</v>
      </c>
      <c r="G7918" s="40">
        <v>5</v>
      </c>
      <c r="H7918" s="40">
        <v>25.289330000000003</v>
      </c>
      <c r="I7918" s="212"/>
      <c r="J7918" s="212"/>
    </row>
    <row r="7919" spans="1:10" s="15" customFormat="1" ht="18" hidden="1" customHeight="1" outlineLevel="1" x14ac:dyDescent="0.25">
      <c r="A7919" s="18">
        <v>5267</v>
      </c>
      <c r="B7919" s="4" t="s">
        <v>43</v>
      </c>
      <c r="C7919" s="38" t="s">
        <v>10398</v>
      </c>
      <c r="D7919" s="23">
        <v>2023</v>
      </c>
      <c r="E7919" s="18" t="s">
        <v>0</v>
      </c>
      <c r="F7919" s="6">
        <v>1</v>
      </c>
      <c r="G7919" s="40">
        <v>8</v>
      </c>
      <c r="H7919" s="40">
        <v>25.349059999999998</v>
      </c>
      <c r="I7919" s="212"/>
      <c r="J7919" s="212"/>
    </row>
    <row r="7920" spans="1:10" s="15" customFormat="1" ht="18" hidden="1" customHeight="1" outlineLevel="1" x14ac:dyDescent="0.25">
      <c r="A7920" s="18">
        <v>5268</v>
      </c>
      <c r="B7920" s="4" t="s">
        <v>43</v>
      </c>
      <c r="C7920" s="38" t="s">
        <v>10399</v>
      </c>
      <c r="D7920" s="23">
        <v>2023</v>
      </c>
      <c r="E7920" s="18" t="s">
        <v>0</v>
      </c>
      <c r="F7920" s="6">
        <v>1</v>
      </c>
      <c r="G7920" s="40">
        <v>7</v>
      </c>
      <c r="H7920" s="40">
        <v>25.169880000000003</v>
      </c>
      <c r="I7920" s="212"/>
      <c r="J7920" s="212"/>
    </row>
    <row r="7921" spans="1:10" s="15" customFormat="1" ht="18" hidden="1" customHeight="1" outlineLevel="1" x14ac:dyDescent="0.25">
      <c r="A7921" s="18">
        <v>1512</v>
      </c>
      <c r="B7921" s="4" t="s">
        <v>43</v>
      </c>
      <c r="C7921" s="38" t="s">
        <v>10400</v>
      </c>
      <c r="D7921" s="23">
        <v>2023</v>
      </c>
      <c r="E7921" s="18" t="s">
        <v>0</v>
      </c>
      <c r="F7921" s="6">
        <v>1</v>
      </c>
      <c r="G7921" s="40">
        <v>5</v>
      </c>
      <c r="H7921" s="40">
        <v>25.169939999999997</v>
      </c>
      <c r="I7921" s="212"/>
      <c r="J7921" s="212"/>
    </row>
    <row r="7922" spans="1:10" s="15" customFormat="1" ht="18" hidden="1" customHeight="1" outlineLevel="1" x14ac:dyDescent="0.25">
      <c r="A7922" s="18">
        <v>1500</v>
      </c>
      <c r="B7922" s="4" t="s">
        <v>43</v>
      </c>
      <c r="C7922" s="38" t="s">
        <v>10401</v>
      </c>
      <c r="D7922" s="23">
        <v>2023</v>
      </c>
      <c r="E7922" s="18" t="s">
        <v>0</v>
      </c>
      <c r="F7922" s="6">
        <v>1</v>
      </c>
      <c r="G7922" s="40">
        <v>5</v>
      </c>
      <c r="H7922" s="40">
        <v>25.169939999999997</v>
      </c>
      <c r="I7922" s="212"/>
      <c r="J7922" s="212"/>
    </row>
    <row r="7923" spans="1:10" s="15" customFormat="1" ht="18" hidden="1" customHeight="1" outlineLevel="1" x14ac:dyDescent="0.25">
      <c r="A7923" s="18">
        <v>5269</v>
      </c>
      <c r="B7923" s="4" t="s">
        <v>43</v>
      </c>
      <c r="C7923" s="38" t="s">
        <v>10402</v>
      </c>
      <c r="D7923" s="23">
        <v>2023</v>
      </c>
      <c r="E7923" s="18" t="s">
        <v>0</v>
      </c>
      <c r="F7923" s="6">
        <v>1</v>
      </c>
      <c r="G7923" s="40">
        <v>7</v>
      </c>
      <c r="H7923" s="40">
        <v>25.169939999999997</v>
      </c>
      <c r="I7923" s="212"/>
      <c r="J7923" s="212"/>
    </row>
    <row r="7924" spans="1:10" s="15" customFormat="1" ht="18" hidden="1" customHeight="1" outlineLevel="1" x14ac:dyDescent="0.25">
      <c r="A7924" s="18">
        <v>5270</v>
      </c>
      <c r="B7924" s="4" t="s">
        <v>43</v>
      </c>
      <c r="C7924" s="38" t="s">
        <v>10403</v>
      </c>
      <c r="D7924" s="23">
        <v>2023</v>
      </c>
      <c r="E7924" s="18" t="s">
        <v>0</v>
      </c>
      <c r="F7924" s="6">
        <v>1</v>
      </c>
      <c r="G7924" s="40">
        <v>6</v>
      </c>
      <c r="H7924" s="40">
        <v>25.169939999999997</v>
      </c>
      <c r="I7924" s="212"/>
      <c r="J7924" s="212"/>
    </row>
    <row r="7925" spans="1:10" s="15" customFormat="1" ht="18" hidden="1" customHeight="1" outlineLevel="1" x14ac:dyDescent="0.25">
      <c r="A7925" s="18">
        <v>5271</v>
      </c>
      <c r="B7925" s="4" t="s">
        <v>43</v>
      </c>
      <c r="C7925" s="38" t="s">
        <v>10404</v>
      </c>
      <c r="D7925" s="23">
        <v>2023</v>
      </c>
      <c r="E7925" s="18" t="s">
        <v>0</v>
      </c>
      <c r="F7925" s="6">
        <v>1</v>
      </c>
      <c r="G7925" s="40">
        <v>8</v>
      </c>
      <c r="H7925" s="40">
        <v>25.169930000000001</v>
      </c>
      <c r="I7925" s="212"/>
      <c r="J7925" s="212"/>
    </row>
    <row r="7926" spans="1:10" s="15" customFormat="1" ht="18" hidden="1" customHeight="1" outlineLevel="1" x14ac:dyDescent="0.25">
      <c r="A7926" s="18">
        <v>1462</v>
      </c>
      <c r="B7926" s="4" t="s">
        <v>43</v>
      </c>
      <c r="C7926" s="38" t="s">
        <v>10405</v>
      </c>
      <c r="D7926" s="23">
        <v>2023</v>
      </c>
      <c r="E7926" s="18" t="s">
        <v>0</v>
      </c>
      <c r="F7926" s="6">
        <v>1</v>
      </c>
      <c r="G7926" s="40">
        <v>5</v>
      </c>
      <c r="H7926" s="40">
        <v>25.169939999999997</v>
      </c>
      <c r="I7926" s="212"/>
      <c r="J7926" s="212"/>
    </row>
    <row r="7927" spans="1:10" s="15" customFormat="1" ht="18" hidden="1" customHeight="1" outlineLevel="1" x14ac:dyDescent="0.25">
      <c r="A7927" s="18">
        <v>5272</v>
      </c>
      <c r="B7927" s="4" t="s">
        <v>43</v>
      </c>
      <c r="C7927" s="38" t="s">
        <v>10406</v>
      </c>
      <c r="D7927" s="23">
        <v>2023</v>
      </c>
      <c r="E7927" s="18" t="s">
        <v>0</v>
      </c>
      <c r="F7927" s="6">
        <v>1</v>
      </c>
      <c r="G7927" s="40">
        <v>6</v>
      </c>
      <c r="H7927" s="40">
        <v>25.169930000000001</v>
      </c>
      <c r="I7927" s="212"/>
      <c r="J7927" s="212"/>
    </row>
    <row r="7928" spans="1:10" s="15" customFormat="1" ht="18" hidden="1" customHeight="1" outlineLevel="1" x14ac:dyDescent="0.25">
      <c r="A7928" s="18">
        <v>1465</v>
      </c>
      <c r="B7928" s="4" t="s">
        <v>43</v>
      </c>
      <c r="C7928" s="38" t="s">
        <v>10407</v>
      </c>
      <c r="D7928" s="23">
        <v>2023</v>
      </c>
      <c r="E7928" s="18" t="s">
        <v>0</v>
      </c>
      <c r="F7928" s="6">
        <v>1</v>
      </c>
      <c r="G7928" s="40">
        <v>5</v>
      </c>
      <c r="H7928" s="40">
        <v>25.169939999999997</v>
      </c>
      <c r="I7928" s="212"/>
      <c r="J7928" s="212"/>
    </row>
    <row r="7929" spans="1:10" s="15" customFormat="1" ht="18" hidden="1" customHeight="1" outlineLevel="1" x14ac:dyDescent="0.25">
      <c r="A7929" s="18">
        <v>5273</v>
      </c>
      <c r="B7929" s="4" t="s">
        <v>43</v>
      </c>
      <c r="C7929" s="38" t="s">
        <v>10408</v>
      </c>
      <c r="D7929" s="23">
        <v>2023</v>
      </c>
      <c r="E7929" s="18" t="s">
        <v>0</v>
      </c>
      <c r="F7929" s="6">
        <v>1</v>
      </c>
      <c r="G7929" s="40">
        <v>5</v>
      </c>
      <c r="H7929" s="40">
        <v>25.169919999999998</v>
      </c>
      <c r="I7929" s="212"/>
      <c r="J7929" s="212"/>
    </row>
    <row r="7930" spans="1:10" s="15" customFormat="1" ht="18" hidden="1" customHeight="1" outlineLevel="1" x14ac:dyDescent="0.25">
      <c r="A7930" s="18">
        <v>5274</v>
      </c>
      <c r="B7930" s="4" t="s">
        <v>43</v>
      </c>
      <c r="C7930" s="38" t="s">
        <v>10409</v>
      </c>
      <c r="D7930" s="23">
        <v>2023</v>
      </c>
      <c r="E7930" s="18" t="s">
        <v>0</v>
      </c>
      <c r="F7930" s="6">
        <v>1</v>
      </c>
      <c r="G7930" s="40">
        <v>5</v>
      </c>
      <c r="H7930" s="40">
        <v>25.169939999999997</v>
      </c>
      <c r="I7930" s="212"/>
      <c r="J7930" s="212"/>
    </row>
    <row r="7931" spans="1:10" s="15" customFormat="1" ht="18" hidden="1" customHeight="1" outlineLevel="1" x14ac:dyDescent="0.25">
      <c r="A7931" s="18">
        <v>1484</v>
      </c>
      <c r="B7931" s="4" t="s">
        <v>43</v>
      </c>
      <c r="C7931" s="38" t="s">
        <v>10410</v>
      </c>
      <c r="D7931" s="23">
        <v>2023</v>
      </c>
      <c r="E7931" s="18" t="s">
        <v>0</v>
      </c>
      <c r="F7931" s="6">
        <v>1</v>
      </c>
      <c r="G7931" s="40">
        <v>5</v>
      </c>
      <c r="H7931" s="40">
        <v>25.169930000000001</v>
      </c>
      <c r="I7931" s="212"/>
      <c r="J7931" s="212"/>
    </row>
    <row r="7932" spans="1:10" s="15" customFormat="1" ht="18" hidden="1" customHeight="1" outlineLevel="1" x14ac:dyDescent="0.25">
      <c r="A7932" s="18">
        <v>5275</v>
      </c>
      <c r="B7932" s="4" t="s">
        <v>43</v>
      </c>
      <c r="C7932" s="38" t="s">
        <v>10411</v>
      </c>
      <c r="D7932" s="23">
        <v>2023</v>
      </c>
      <c r="E7932" s="18" t="s">
        <v>0</v>
      </c>
      <c r="F7932" s="6">
        <v>1</v>
      </c>
      <c r="G7932" s="40">
        <v>7</v>
      </c>
      <c r="H7932" s="40">
        <v>25.169930000000001</v>
      </c>
      <c r="I7932" s="212"/>
      <c r="J7932" s="212"/>
    </row>
    <row r="7933" spans="1:10" s="15" customFormat="1" ht="18" hidden="1" customHeight="1" outlineLevel="1" x14ac:dyDescent="0.25">
      <c r="A7933" s="18">
        <v>1412</v>
      </c>
      <c r="B7933" s="4" t="s">
        <v>43</v>
      </c>
      <c r="C7933" s="38" t="s">
        <v>10412</v>
      </c>
      <c r="D7933" s="23">
        <v>2023</v>
      </c>
      <c r="E7933" s="18" t="s">
        <v>0</v>
      </c>
      <c r="F7933" s="6">
        <v>1</v>
      </c>
      <c r="G7933" s="40">
        <v>5</v>
      </c>
      <c r="H7933" s="40">
        <v>25.169849999999997</v>
      </c>
      <c r="I7933" s="212"/>
      <c r="J7933" s="212"/>
    </row>
    <row r="7934" spans="1:10" s="15" customFormat="1" ht="18" hidden="1" customHeight="1" outlineLevel="1" x14ac:dyDescent="0.25">
      <c r="A7934" s="18">
        <v>5276</v>
      </c>
      <c r="B7934" s="4" t="s">
        <v>43</v>
      </c>
      <c r="C7934" s="38" t="s">
        <v>10413</v>
      </c>
      <c r="D7934" s="23">
        <v>2023</v>
      </c>
      <c r="E7934" s="18" t="s">
        <v>0</v>
      </c>
      <c r="F7934" s="6">
        <v>1</v>
      </c>
      <c r="G7934" s="40">
        <v>5</v>
      </c>
      <c r="H7934" s="40">
        <v>25.169939999999997</v>
      </c>
      <c r="I7934" s="212"/>
      <c r="J7934" s="212"/>
    </row>
    <row r="7935" spans="1:10" s="15" customFormat="1" ht="18" hidden="1" customHeight="1" outlineLevel="1" x14ac:dyDescent="0.25">
      <c r="A7935" s="18">
        <v>5277</v>
      </c>
      <c r="B7935" s="4" t="s">
        <v>43</v>
      </c>
      <c r="C7935" s="38" t="s">
        <v>10414</v>
      </c>
      <c r="D7935" s="23">
        <v>2023</v>
      </c>
      <c r="E7935" s="18" t="s">
        <v>0</v>
      </c>
      <c r="F7935" s="6">
        <v>1</v>
      </c>
      <c r="G7935" s="40">
        <v>5</v>
      </c>
      <c r="H7935" s="40">
        <v>25.169930000000001</v>
      </c>
      <c r="I7935" s="212"/>
      <c r="J7935" s="212"/>
    </row>
    <row r="7936" spans="1:10" s="15" customFormat="1" ht="18" hidden="1" customHeight="1" outlineLevel="1" x14ac:dyDescent="0.25">
      <c r="A7936" s="18">
        <v>5278</v>
      </c>
      <c r="B7936" s="4" t="s">
        <v>43</v>
      </c>
      <c r="C7936" s="38" t="s">
        <v>10415</v>
      </c>
      <c r="D7936" s="23">
        <v>2023</v>
      </c>
      <c r="E7936" s="18" t="s">
        <v>0</v>
      </c>
      <c r="F7936" s="6">
        <v>1</v>
      </c>
      <c r="G7936" s="40">
        <v>10</v>
      </c>
      <c r="H7936" s="40">
        <v>25.169939999999997</v>
      </c>
      <c r="I7936" s="212"/>
      <c r="J7936" s="212"/>
    </row>
    <row r="7937" spans="1:10" s="15" customFormat="1" ht="18" hidden="1" customHeight="1" outlineLevel="1" x14ac:dyDescent="0.25">
      <c r="A7937" s="18">
        <v>1404</v>
      </c>
      <c r="B7937" s="4" t="s">
        <v>43</v>
      </c>
      <c r="C7937" s="38" t="s">
        <v>10416</v>
      </c>
      <c r="D7937" s="23">
        <v>2023</v>
      </c>
      <c r="E7937" s="18" t="s">
        <v>0</v>
      </c>
      <c r="F7937" s="6">
        <v>1</v>
      </c>
      <c r="G7937" s="40">
        <v>5</v>
      </c>
      <c r="H7937" s="40">
        <v>25.169930000000001</v>
      </c>
      <c r="I7937" s="212"/>
      <c r="J7937" s="212"/>
    </row>
    <row r="7938" spans="1:10" s="15" customFormat="1" ht="18" hidden="1" customHeight="1" outlineLevel="1" x14ac:dyDescent="0.25">
      <c r="A7938" s="18">
        <v>1510</v>
      </c>
      <c r="B7938" s="4" t="s">
        <v>43</v>
      </c>
      <c r="C7938" s="38" t="s">
        <v>10417</v>
      </c>
      <c r="D7938" s="23">
        <v>2023</v>
      </c>
      <c r="E7938" s="18" t="s">
        <v>0</v>
      </c>
      <c r="F7938" s="6">
        <v>1</v>
      </c>
      <c r="G7938" s="40">
        <v>5</v>
      </c>
      <c r="H7938" s="40">
        <v>25.169939999999997</v>
      </c>
      <c r="I7938" s="212"/>
      <c r="J7938" s="212"/>
    </row>
    <row r="7939" spans="1:10" s="15" customFormat="1" ht="18" hidden="1" customHeight="1" outlineLevel="1" x14ac:dyDescent="0.25">
      <c r="A7939" s="18">
        <v>1443</v>
      </c>
      <c r="B7939" s="4" t="s">
        <v>43</v>
      </c>
      <c r="C7939" s="38" t="s">
        <v>10418</v>
      </c>
      <c r="D7939" s="23">
        <v>2023</v>
      </c>
      <c r="E7939" s="18" t="s">
        <v>0</v>
      </c>
      <c r="F7939" s="6">
        <v>1</v>
      </c>
      <c r="G7939" s="40">
        <v>5</v>
      </c>
      <c r="H7939" s="40">
        <v>25.169930000000001</v>
      </c>
      <c r="I7939" s="212"/>
      <c r="J7939" s="212"/>
    </row>
    <row r="7940" spans="1:10" s="15" customFormat="1" ht="18" hidden="1" customHeight="1" outlineLevel="1" x14ac:dyDescent="0.25">
      <c r="A7940" s="18">
        <v>1517</v>
      </c>
      <c r="B7940" s="4" t="s">
        <v>43</v>
      </c>
      <c r="C7940" s="38" t="s">
        <v>10419</v>
      </c>
      <c r="D7940" s="23">
        <v>2023</v>
      </c>
      <c r="E7940" s="18" t="s">
        <v>0</v>
      </c>
      <c r="F7940" s="6">
        <v>1</v>
      </c>
      <c r="G7940" s="40">
        <v>5</v>
      </c>
      <c r="H7940" s="40">
        <v>25.169939999999997</v>
      </c>
      <c r="I7940" s="212"/>
      <c r="J7940" s="212"/>
    </row>
    <row r="7941" spans="1:10" s="15" customFormat="1" ht="18" hidden="1" customHeight="1" outlineLevel="1" x14ac:dyDescent="0.25">
      <c r="A7941" s="18">
        <v>5279</v>
      </c>
      <c r="B7941" s="4" t="s">
        <v>43</v>
      </c>
      <c r="C7941" s="38" t="s">
        <v>10420</v>
      </c>
      <c r="D7941" s="23">
        <v>2023</v>
      </c>
      <c r="E7941" s="18" t="s">
        <v>0</v>
      </c>
      <c r="F7941" s="6">
        <v>1</v>
      </c>
      <c r="G7941" s="40">
        <v>5</v>
      </c>
      <c r="H7941" s="40">
        <v>25.169930000000001</v>
      </c>
      <c r="I7941" s="212"/>
      <c r="J7941" s="212"/>
    </row>
    <row r="7942" spans="1:10" s="15" customFormat="1" ht="18" hidden="1" customHeight="1" outlineLevel="1" x14ac:dyDescent="0.25">
      <c r="A7942" s="18">
        <v>5280</v>
      </c>
      <c r="B7942" s="4" t="s">
        <v>43</v>
      </c>
      <c r="C7942" s="38" t="s">
        <v>10421</v>
      </c>
      <c r="D7942" s="23">
        <v>2023</v>
      </c>
      <c r="E7942" s="18" t="s">
        <v>0</v>
      </c>
      <c r="F7942" s="6">
        <v>1</v>
      </c>
      <c r="G7942" s="40">
        <v>8</v>
      </c>
      <c r="H7942" s="40">
        <v>25.169939999999997</v>
      </c>
      <c r="I7942" s="212"/>
      <c r="J7942" s="212"/>
    </row>
    <row r="7943" spans="1:10" s="15" customFormat="1" ht="18" hidden="1" customHeight="1" outlineLevel="1" x14ac:dyDescent="0.25">
      <c r="A7943" s="18">
        <v>1395</v>
      </c>
      <c r="B7943" s="4" t="s">
        <v>43</v>
      </c>
      <c r="C7943" s="38" t="s">
        <v>10422</v>
      </c>
      <c r="D7943" s="23">
        <v>2023</v>
      </c>
      <c r="E7943" s="18" t="s">
        <v>0</v>
      </c>
      <c r="F7943" s="6">
        <v>1</v>
      </c>
      <c r="G7943" s="40">
        <v>5</v>
      </c>
      <c r="H7943" s="40">
        <v>25.169930000000001</v>
      </c>
      <c r="I7943" s="212"/>
      <c r="J7943" s="212"/>
    </row>
    <row r="7944" spans="1:10" s="15" customFormat="1" ht="18" hidden="1" customHeight="1" outlineLevel="1" x14ac:dyDescent="0.25">
      <c r="A7944" s="18">
        <v>5281</v>
      </c>
      <c r="B7944" s="4" t="s">
        <v>43</v>
      </c>
      <c r="C7944" s="38" t="s">
        <v>10423</v>
      </c>
      <c r="D7944" s="23">
        <v>2023</v>
      </c>
      <c r="E7944" s="18" t="s">
        <v>0</v>
      </c>
      <c r="F7944" s="6">
        <v>1</v>
      </c>
      <c r="G7944" s="40">
        <v>7</v>
      </c>
      <c r="H7944" s="40">
        <v>25.169939999999997</v>
      </c>
      <c r="I7944" s="212"/>
      <c r="J7944" s="212"/>
    </row>
    <row r="7945" spans="1:10" s="15" customFormat="1" ht="18" hidden="1" customHeight="1" outlineLevel="1" x14ac:dyDescent="0.25">
      <c r="A7945" s="18">
        <v>1414</v>
      </c>
      <c r="B7945" s="4" t="s">
        <v>43</v>
      </c>
      <c r="C7945" s="38" t="s">
        <v>10424</v>
      </c>
      <c r="D7945" s="23">
        <v>2023</v>
      </c>
      <c r="E7945" s="18" t="s">
        <v>0</v>
      </c>
      <c r="F7945" s="6">
        <v>1</v>
      </c>
      <c r="G7945" s="40">
        <v>5</v>
      </c>
      <c r="H7945" s="40">
        <v>25.169930000000001</v>
      </c>
      <c r="I7945" s="212"/>
      <c r="J7945" s="212"/>
    </row>
    <row r="7946" spans="1:10" s="15" customFormat="1" ht="18" hidden="1" customHeight="1" outlineLevel="1" x14ac:dyDescent="0.25">
      <c r="A7946" s="18">
        <v>1405</v>
      </c>
      <c r="B7946" s="4" t="s">
        <v>43</v>
      </c>
      <c r="C7946" s="38" t="s">
        <v>10425</v>
      </c>
      <c r="D7946" s="23">
        <v>2023</v>
      </c>
      <c r="E7946" s="18" t="s">
        <v>0</v>
      </c>
      <c r="F7946" s="6">
        <v>1</v>
      </c>
      <c r="G7946" s="40">
        <v>5</v>
      </c>
      <c r="H7946" s="40">
        <v>25.169939999999997</v>
      </c>
      <c r="I7946" s="212"/>
      <c r="J7946" s="212"/>
    </row>
    <row r="7947" spans="1:10" s="15" customFormat="1" ht="18" hidden="1" customHeight="1" outlineLevel="1" x14ac:dyDescent="0.25">
      <c r="A7947" s="18">
        <v>5282</v>
      </c>
      <c r="B7947" s="4" t="s">
        <v>43</v>
      </c>
      <c r="C7947" s="38" t="s">
        <v>10426</v>
      </c>
      <c r="D7947" s="23">
        <v>2023</v>
      </c>
      <c r="E7947" s="18" t="s">
        <v>0</v>
      </c>
      <c r="F7947" s="6">
        <v>1</v>
      </c>
      <c r="G7947" s="40">
        <v>5</v>
      </c>
      <c r="H7947" s="40">
        <v>25.169459999999997</v>
      </c>
      <c r="I7947" s="212"/>
      <c r="J7947" s="212"/>
    </row>
    <row r="7948" spans="1:10" s="15" customFormat="1" ht="18" hidden="1" customHeight="1" outlineLevel="1" x14ac:dyDescent="0.25">
      <c r="A7948" s="18">
        <v>5283</v>
      </c>
      <c r="B7948" s="4" t="s">
        <v>43</v>
      </c>
      <c r="C7948" s="38" t="s">
        <v>10427</v>
      </c>
      <c r="D7948" s="23">
        <v>2023</v>
      </c>
      <c r="E7948" s="18" t="s">
        <v>0</v>
      </c>
      <c r="F7948" s="6">
        <v>1</v>
      </c>
      <c r="G7948" s="40">
        <v>5</v>
      </c>
      <c r="H7948" s="40">
        <v>18.787179999999999</v>
      </c>
      <c r="I7948" s="212"/>
      <c r="J7948" s="212"/>
    </row>
    <row r="7949" spans="1:10" s="15" customFormat="1" ht="18" hidden="1" customHeight="1" outlineLevel="1" x14ac:dyDescent="0.25">
      <c r="A7949" s="18">
        <v>5284</v>
      </c>
      <c r="B7949" s="4" t="s">
        <v>43</v>
      </c>
      <c r="C7949" s="38" t="s">
        <v>10428</v>
      </c>
      <c r="D7949" s="23">
        <v>2023</v>
      </c>
      <c r="E7949" s="18" t="s">
        <v>0</v>
      </c>
      <c r="F7949" s="6">
        <v>1</v>
      </c>
      <c r="G7949" s="40">
        <v>3</v>
      </c>
      <c r="H7949" s="40">
        <v>18.787279999999999</v>
      </c>
      <c r="I7949" s="212"/>
      <c r="J7949" s="212"/>
    </row>
    <row r="7950" spans="1:10" s="15" customFormat="1" ht="18" hidden="1" customHeight="1" outlineLevel="1" x14ac:dyDescent="0.25">
      <c r="A7950" s="18">
        <v>5285</v>
      </c>
      <c r="B7950" s="4" t="s">
        <v>43</v>
      </c>
      <c r="C7950" s="38" t="s">
        <v>10429</v>
      </c>
      <c r="D7950" s="23">
        <v>2023</v>
      </c>
      <c r="E7950" s="18" t="s">
        <v>0</v>
      </c>
      <c r="F7950" s="6">
        <v>1</v>
      </c>
      <c r="G7950" s="40">
        <v>7</v>
      </c>
      <c r="H7950" s="40">
        <v>18.787279999999999</v>
      </c>
      <c r="I7950" s="212"/>
      <c r="J7950" s="212"/>
    </row>
    <row r="7951" spans="1:10" s="15" customFormat="1" ht="18" hidden="1" customHeight="1" outlineLevel="1" x14ac:dyDescent="0.25">
      <c r="A7951" s="18">
        <v>1413</v>
      </c>
      <c r="B7951" s="4" t="s">
        <v>43</v>
      </c>
      <c r="C7951" s="38" t="s">
        <v>10430</v>
      </c>
      <c r="D7951" s="23">
        <v>2023</v>
      </c>
      <c r="E7951" s="18" t="s">
        <v>0</v>
      </c>
      <c r="F7951" s="6">
        <v>1</v>
      </c>
      <c r="G7951" s="40">
        <v>5</v>
      </c>
      <c r="H7951" s="40">
        <v>18.787279999999999</v>
      </c>
      <c r="I7951" s="212"/>
      <c r="J7951" s="212"/>
    </row>
    <row r="7952" spans="1:10" s="15" customFormat="1" ht="18" hidden="1" customHeight="1" outlineLevel="1" x14ac:dyDescent="0.25">
      <c r="A7952" s="18">
        <v>5286</v>
      </c>
      <c r="B7952" s="4" t="s">
        <v>43</v>
      </c>
      <c r="C7952" s="38" t="s">
        <v>10431</v>
      </c>
      <c r="D7952" s="23">
        <v>2023</v>
      </c>
      <c r="E7952" s="18" t="s">
        <v>0</v>
      </c>
      <c r="F7952" s="6">
        <v>1</v>
      </c>
      <c r="G7952" s="40">
        <v>5</v>
      </c>
      <c r="H7952" s="40">
        <v>18.787279999999999</v>
      </c>
      <c r="I7952" s="212"/>
      <c r="J7952" s="212"/>
    </row>
    <row r="7953" spans="1:10" s="15" customFormat="1" ht="18" hidden="1" customHeight="1" outlineLevel="1" x14ac:dyDescent="0.25">
      <c r="A7953" s="18">
        <v>1406</v>
      </c>
      <c r="B7953" s="4" t="s">
        <v>43</v>
      </c>
      <c r="C7953" s="38" t="s">
        <v>10432</v>
      </c>
      <c r="D7953" s="23">
        <v>2023</v>
      </c>
      <c r="E7953" s="18" t="s">
        <v>0</v>
      </c>
      <c r="F7953" s="6">
        <v>1</v>
      </c>
      <c r="G7953" s="40">
        <v>5</v>
      </c>
      <c r="H7953" s="40">
        <v>18.787270000000003</v>
      </c>
      <c r="I7953" s="212"/>
      <c r="J7953" s="212"/>
    </row>
    <row r="7954" spans="1:10" s="15" customFormat="1" ht="18" hidden="1" customHeight="1" outlineLevel="1" x14ac:dyDescent="0.25">
      <c r="A7954" s="18">
        <v>5287</v>
      </c>
      <c r="B7954" s="4" t="s">
        <v>43</v>
      </c>
      <c r="C7954" s="38" t="s">
        <v>10433</v>
      </c>
      <c r="D7954" s="23">
        <v>2023</v>
      </c>
      <c r="E7954" s="18" t="s">
        <v>0</v>
      </c>
      <c r="F7954" s="6">
        <v>1</v>
      </c>
      <c r="G7954" s="40">
        <v>5</v>
      </c>
      <c r="H7954" s="40">
        <v>18.787279999999999</v>
      </c>
      <c r="I7954" s="212"/>
      <c r="J7954" s="212"/>
    </row>
    <row r="7955" spans="1:10" s="15" customFormat="1" ht="18" hidden="1" customHeight="1" outlineLevel="1" x14ac:dyDescent="0.25">
      <c r="A7955" s="18">
        <v>1374</v>
      </c>
      <c r="B7955" s="4" t="s">
        <v>43</v>
      </c>
      <c r="C7955" s="38" t="s">
        <v>10434</v>
      </c>
      <c r="D7955" s="23">
        <v>2023</v>
      </c>
      <c r="E7955" s="18" t="s">
        <v>0</v>
      </c>
      <c r="F7955" s="6">
        <v>1</v>
      </c>
      <c r="G7955" s="40">
        <v>5</v>
      </c>
      <c r="H7955" s="40">
        <v>18.787270000000003</v>
      </c>
      <c r="I7955" s="212"/>
      <c r="J7955" s="212"/>
    </row>
    <row r="7956" spans="1:10" s="15" customFormat="1" ht="18" hidden="1" customHeight="1" outlineLevel="1" x14ac:dyDescent="0.25">
      <c r="A7956" s="18">
        <v>5288</v>
      </c>
      <c r="B7956" s="4" t="s">
        <v>43</v>
      </c>
      <c r="C7956" s="38" t="s">
        <v>10435</v>
      </c>
      <c r="D7956" s="23">
        <v>2023</v>
      </c>
      <c r="E7956" s="18" t="s">
        <v>0</v>
      </c>
      <c r="F7956" s="6">
        <v>1</v>
      </c>
      <c r="G7956" s="40">
        <v>5</v>
      </c>
      <c r="H7956" s="40">
        <v>25.169939999999997</v>
      </c>
      <c r="I7956" s="212"/>
      <c r="J7956" s="212"/>
    </row>
    <row r="7957" spans="1:10" s="15" customFormat="1" ht="18" hidden="1" customHeight="1" outlineLevel="1" x14ac:dyDescent="0.25">
      <c r="A7957" s="18">
        <v>5289</v>
      </c>
      <c r="B7957" s="4" t="s">
        <v>43</v>
      </c>
      <c r="C7957" s="38" t="s">
        <v>10436</v>
      </c>
      <c r="D7957" s="23">
        <v>2023</v>
      </c>
      <c r="E7957" s="18" t="s">
        <v>0</v>
      </c>
      <c r="F7957" s="6">
        <v>1</v>
      </c>
      <c r="G7957" s="40">
        <v>4</v>
      </c>
      <c r="H7957" s="40">
        <v>25.169939999999997</v>
      </c>
      <c r="I7957" s="212"/>
      <c r="J7957" s="212"/>
    </row>
    <row r="7958" spans="1:10" s="15" customFormat="1" ht="18" hidden="1" customHeight="1" outlineLevel="1" x14ac:dyDescent="0.25">
      <c r="A7958" s="18">
        <v>5290</v>
      </c>
      <c r="B7958" s="4" t="s">
        <v>43</v>
      </c>
      <c r="C7958" s="38" t="s">
        <v>10437</v>
      </c>
      <c r="D7958" s="23">
        <v>2023</v>
      </c>
      <c r="E7958" s="18" t="s">
        <v>0</v>
      </c>
      <c r="F7958" s="6">
        <v>1</v>
      </c>
      <c r="G7958" s="40">
        <v>4</v>
      </c>
      <c r="H7958" s="40">
        <v>25.169939999999997</v>
      </c>
      <c r="I7958" s="212"/>
      <c r="J7958" s="212"/>
    </row>
    <row r="7959" spans="1:10" s="15" customFormat="1" ht="18" hidden="1" customHeight="1" outlineLevel="1" x14ac:dyDescent="0.25">
      <c r="A7959" s="18">
        <v>5291</v>
      </c>
      <c r="B7959" s="4" t="s">
        <v>43</v>
      </c>
      <c r="C7959" s="38" t="s">
        <v>10438</v>
      </c>
      <c r="D7959" s="23">
        <v>2023</v>
      </c>
      <c r="E7959" s="18" t="s">
        <v>0</v>
      </c>
      <c r="F7959" s="6">
        <v>1</v>
      </c>
      <c r="G7959" s="40">
        <v>4</v>
      </c>
      <c r="H7959" s="40">
        <v>25.169939999999997</v>
      </c>
      <c r="I7959" s="212"/>
      <c r="J7959" s="212"/>
    </row>
    <row r="7960" spans="1:10" s="15" customFormat="1" ht="18" hidden="1" customHeight="1" outlineLevel="1" x14ac:dyDescent="0.25">
      <c r="A7960" s="18">
        <v>5292</v>
      </c>
      <c r="B7960" s="4" t="s">
        <v>43</v>
      </c>
      <c r="C7960" s="38" t="s">
        <v>10439</v>
      </c>
      <c r="D7960" s="23">
        <v>2023</v>
      </c>
      <c r="E7960" s="18" t="s">
        <v>0</v>
      </c>
      <c r="F7960" s="6">
        <v>1</v>
      </c>
      <c r="G7960" s="40">
        <v>5</v>
      </c>
      <c r="H7960" s="40">
        <v>25.169939999999997</v>
      </c>
      <c r="I7960" s="212"/>
      <c r="J7960" s="212"/>
    </row>
    <row r="7961" spans="1:10" s="15" customFormat="1" ht="18" hidden="1" customHeight="1" outlineLevel="1" x14ac:dyDescent="0.25">
      <c r="A7961" s="18">
        <v>5293</v>
      </c>
      <c r="B7961" s="4" t="s">
        <v>43</v>
      </c>
      <c r="C7961" s="38" t="s">
        <v>10440</v>
      </c>
      <c r="D7961" s="23">
        <v>2023</v>
      </c>
      <c r="E7961" s="18" t="s">
        <v>0</v>
      </c>
      <c r="F7961" s="6">
        <v>1</v>
      </c>
      <c r="G7961" s="40">
        <v>5</v>
      </c>
      <c r="H7961" s="40">
        <v>25.169939999999997</v>
      </c>
      <c r="I7961" s="212"/>
      <c r="J7961" s="212"/>
    </row>
    <row r="7962" spans="1:10" s="15" customFormat="1" ht="18" hidden="1" customHeight="1" outlineLevel="1" x14ac:dyDescent="0.25">
      <c r="A7962" s="18">
        <v>5294</v>
      </c>
      <c r="B7962" s="4" t="s">
        <v>43</v>
      </c>
      <c r="C7962" s="38" t="s">
        <v>10441</v>
      </c>
      <c r="D7962" s="23">
        <v>2023</v>
      </c>
      <c r="E7962" s="18" t="s">
        <v>0</v>
      </c>
      <c r="F7962" s="6">
        <v>1</v>
      </c>
      <c r="G7962" s="40">
        <v>6</v>
      </c>
      <c r="H7962" s="40">
        <v>25.169939999999997</v>
      </c>
      <c r="I7962" s="212"/>
      <c r="J7962" s="212"/>
    </row>
    <row r="7963" spans="1:10" s="15" customFormat="1" ht="18" hidden="1" customHeight="1" outlineLevel="1" x14ac:dyDescent="0.25">
      <c r="A7963" s="18">
        <v>1373</v>
      </c>
      <c r="B7963" s="4" t="s">
        <v>43</v>
      </c>
      <c r="C7963" s="38" t="s">
        <v>10442</v>
      </c>
      <c r="D7963" s="23">
        <v>2023</v>
      </c>
      <c r="E7963" s="18" t="s">
        <v>0</v>
      </c>
      <c r="F7963" s="6">
        <v>1</v>
      </c>
      <c r="G7963" s="40">
        <v>5</v>
      </c>
      <c r="H7963" s="40">
        <v>25.169939999999997</v>
      </c>
      <c r="I7963" s="212"/>
      <c r="J7963" s="212"/>
    </row>
    <row r="7964" spans="1:10" s="15" customFormat="1" ht="18" hidden="1" customHeight="1" outlineLevel="1" x14ac:dyDescent="0.25">
      <c r="A7964" s="18">
        <v>1378</v>
      </c>
      <c r="B7964" s="4" t="s">
        <v>43</v>
      </c>
      <c r="C7964" s="38" t="s">
        <v>10443</v>
      </c>
      <c r="D7964" s="23">
        <v>2023</v>
      </c>
      <c r="E7964" s="18" t="s">
        <v>0</v>
      </c>
      <c r="F7964" s="6">
        <v>1</v>
      </c>
      <c r="G7964" s="40">
        <v>5</v>
      </c>
      <c r="H7964" s="40">
        <v>25.169939999999997</v>
      </c>
      <c r="I7964" s="212"/>
      <c r="J7964" s="212"/>
    </row>
    <row r="7965" spans="1:10" s="15" customFormat="1" ht="18" hidden="1" customHeight="1" outlineLevel="1" x14ac:dyDescent="0.25">
      <c r="A7965" s="18">
        <v>5295</v>
      </c>
      <c r="B7965" s="4" t="s">
        <v>43</v>
      </c>
      <c r="C7965" s="38" t="s">
        <v>10444</v>
      </c>
      <c r="D7965" s="23">
        <v>2023</v>
      </c>
      <c r="E7965" s="18" t="s">
        <v>0</v>
      </c>
      <c r="F7965" s="6">
        <v>1</v>
      </c>
      <c r="G7965" s="40">
        <v>5</v>
      </c>
      <c r="H7965" s="40">
        <v>25.169939999999997</v>
      </c>
      <c r="I7965" s="212"/>
      <c r="J7965" s="212"/>
    </row>
    <row r="7966" spans="1:10" s="15" customFormat="1" ht="18" hidden="1" customHeight="1" outlineLevel="1" x14ac:dyDescent="0.25">
      <c r="A7966" s="18">
        <v>5296</v>
      </c>
      <c r="B7966" s="4" t="s">
        <v>43</v>
      </c>
      <c r="C7966" s="38" t="s">
        <v>10445</v>
      </c>
      <c r="D7966" s="23">
        <v>2023</v>
      </c>
      <c r="E7966" s="18" t="s">
        <v>0</v>
      </c>
      <c r="F7966" s="6">
        <v>1</v>
      </c>
      <c r="G7966" s="40">
        <v>5</v>
      </c>
      <c r="H7966" s="40">
        <v>10.56531</v>
      </c>
      <c r="I7966" s="212"/>
      <c r="J7966" s="212"/>
    </row>
    <row r="7967" spans="1:10" s="15" customFormat="1" ht="18" hidden="1" customHeight="1" outlineLevel="1" x14ac:dyDescent="0.25">
      <c r="A7967" s="18">
        <v>5297</v>
      </c>
      <c r="B7967" s="4" t="s">
        <v>43</v>
      </c>
      <c r="C7967" s="38" t="s">
        <v>10446</v>
      </c>
      <c r="D7967" s="23">
        <v>2023</v>
      </c>
      <c r="E7967" s="18" t="s">
        <v>0</v>
      </c>
      <c r="F7967" s="6">
        <v>1</v>
      </c>
      <c r="G7967" s="40">
        <v>5</v>
      </c>
      <c r="H7967" s="40">
        <v>10.56259</v>
      </c>
      <c r="I7967" s="212"/>
      <c r="J7967" s="212"/>
    </row>
    <row r="7968" spans="1:10" s="15" customFormat="1" ht="18" hidden="1" customHeight="1" outlineLevel="1" x14ac:dyDescent="0.25">
      <c r="A7968" s="18">
        <v>5298</v>
      </c>
      <c r="B7968" s="4" t="s">
        <v>43</v>
      </c>
      <c r="C7968" s="38" t="s">
        <v>10447</v>
      </c>
      <c r="D7968" s="23">
        <v>2023</v>
      </c>
      <c r="E7968" s="18" t="s">
        <v>0</v>
      </c>
      <c r="F7968" s="6">
        <v>1</v>
      </c>
      <c r="G7968" s="40">
        <v>5</v>
      </c>
      <c r="H7968" s="40">
        <v>10.56532</v>
      </c>
      <c r="I7968" s="212"/>
      <c r="J7968" s="212"/>
    </row>
    <row r="7969" spans="1:10" s="15" customFormat="1" ht="18" hidden="1" customHeight="1" outlineLevel="1" x14ac:dyDescent="0.25">
      <c r="A7969" s="18">
        <v>5299</v>
      </c>
      <c r="B7969" s="4" t="s">
        <v>43</v>
      </c>
      <c r="C7969" s="38" t="s">
        <v>10448</v>
      </c>
      <c r="D7969" s="23">
        <v>2023</v>
      </c>
      <c r="E7969" s="18" t="s">
        <v>0</v>
      </c>
      <c r="F7969" s="6">
        <v>1</v>
      </c>
      <c r="G7969" s="40">
        <v>5</v>
      </c>
      <c r="H7969" s="40">
        <v>10.56532</v>
      </c>
      <c r="I7969" s="212"/>
      <c r="J7969" s="212"/>
    </row>
    <row r="7970" spans="1:10" s="15" customFormat="1" ht="18" hidden="1" customHeight="1" outlineLevel="1" x14ac:dyDescent="0.25">
      <c r="A7970" s="18">
        <v>5300</v>
      </c>
      <c r="B7970" s="4" t="s">
        <v>43</v>
      </c>
      <c r="C7970" s="38" t="s">
        <v>10449</v>
      </c>
      <c r="D7970" s="23">
        <v>2023</v>
      </c>
      <c r="E7970" s="18" t="s">
        <v>0</v>
      </c>
      <c r="F7970" s="6">
        <v>1</v>
      </c>
      <c r="G7970" s="40">
        <v>5</v>
      </c>
      <c r="H7970" s="40">
        <v>10.56532</v>
      </c>
      <c r="I7970" s="212"/>
      <c r="J7970" s="212"/>
    </row>
    <row r="7971" spans="1:10" s="15" customFormat="1" ht="18" hidden="1" customHeight="1" outlineLevel="1" x14ac:dyDescent="0.25">
      <c r="A7971" s="18">
        <v>5301</v>
      </c>
      <c r="B7971" s="4" t="s">
        <v>43</v>
      </c>
      <c r="C7971" s="38" t="s">
        <v>10450</v>
      </c>
      <c r="D7971" s="23">
        <v>2023</v>
      </c>
      <c r="E7971" s="18" t="s">
        <v>0</v>
      </c>
      <c r="F7971" s="6">
        <v>1</v>
      </c>
      <c r="G7971" s="40">
        <v>5</v>
      </c>
      <c r="H7971" s="40">
        <v>10.56532</v>
      </c>
      <c r="I7971" s="212"/>
      <c r="J7971" s="212"/>
    </row>
    <row r="7972" spans="1:10" s="15" customFormat="1" ht="18" hidden="1" customHeight="1" outlineLevel="1" x14ac:dyDescent="0.25">
      <c r="A7972" s="18">
        <v>5302</v>
      </c>
      <c r="B7972" s="4" t="s">
        <v>43</v>
      </c>
      <c r="C7972" s="38" t="s">
        <v>10451</v>
      </c>
      <c r="D7972" s="23">
        <v>2023</v>
      </c>
      <c r="E7972" s="18" t="s">
        <v>0</v>
      </c>
      <c r="F7972" s="6">
        <v>1</v>
      </c>
      <c r="G7972" s="40">
        <v>5</v>
      </c>
      <c r="H7972" s="40">
        <v>10.56532</v>
      </c>
      <c r="I7972" s="212"/>
      <c r="J7972" s="212"/>
    </row>
    <row r="7973" spans="1:10" s="15" customFormat="1" ht="18" hidden="1" customHeight="1" outlineLevel="1" x14ac:dyDescent="0.25">
      <c r="A7973" s="18">
        <v>5303</v>
      </c>
      <c r="B7973" s="4" t="s">
        <v>43</v>
      </c>
      <c r="C7973" s="38" t="s">
        <v>10452</v>
      </c>
      <c r="D7973" s="23">
        <v>2023</v>
      </c>
      <c r="E7973" s="18" t="s">
        <v>0</v>
      </c>
      <c r="F7973" s="6">
        <v>1</v>
      </c>
      <c r="G7973" s="40">
        <v>5</v>
      </c>
      <c r="H7973" s="40">
        <v>10.56532</v>
      </c>
      <c r="I7973" s="212"/>
      <c r="J7973" s="212"/>
    </row>
    <row r="7974" spans="1:10" s="15" customFormat="1" ht="18" hidden="1" customHeight="1" outlineLevel="1" x14ac:dyDescent="0.25">
      <c r="A7974" s="18">
        <v>5304</v>
      </c>
      <c r="B7974" s="4" t="s">
        <v>43</v>
      </c>
      <c r="C7974" s="38" t="s">
        <v>10453</v>
      </c>
      <c r="D7974" s="23">
        <v>2023</v>
      </c>
      <c r="E7974" s="18" t="s">
        <v>0</v>
      </c>
      <c r="F7974" s="6">
        <v>1</v>
      </c>
      <c r="G7974" s="40">
        <v>5</v>
      </c>
      <c r="H7974" s="40">
        <v>10.56532</v>
      </c>
      <c r="I7974" s="212"/>
      <c r="J7974" s="212"/>
    </row>
    <row r="7975" spans="1:10" s="15" customFormat="1" ht="18" hidden="1" customHeight="1" outlineLevel="1" x14ac:dyDescent="0.25">
      <c r="A7975" s="18">
        <v>5305</v>
      </c>
      <c r="B7975" s="4" t="s">
        <v>43</v>
      </c>
      <c r="C7975" s="38" t="s">
        <v>10454</v>
      </c>
      <c r="D7975" s="23">
        <v>2023</v>
      </c>
      <c r="E7975" s="18" t="s">
        <v>0</v>
      </c>
      <c r="F7975" s="6">
        <v>1</v>
      </c>
      <c r="G7975" s="40">
        <v>5</v>
      </c>
      <c r="H7975" s="40">
        <v>10.56532</v>
      </c>
      <c r="I7975" s="212"/>
      <c r="J7975" s="212"/>
    </row>
    <row r="7976" spans="1:10" s="15" customFormat="1" ht="18" hidden="1" customHeight="1" outlineLevel="1" x14ac:dyDescent="0.25">
      <c r="A7976" s="18">
        <v>5306</v>
      </c>
      <c r="B7976" s="4" t="s">
        <v>43</v>
      </c>
      <c r="C7976" s="38" t="s">
        <v>10455</v>
      </c>
      <c r="D7976" s="23">
        <v>2023</v>
      </c>
      <c r="E7976" s="18" t="s">
        <v>0</v>
      </c>
      <c r="F7976" s="6">
        <v>1</v>
      </c>
      <c r="G7976" s="40">
        <v>5</v>
      </c>
      <c r="H7976" s="40">
        <v>10.56532</v>
      </c>
      <c r="I7976" s="212"/>
      <c r="J7976" s="212"/>
    </row>
    <row r="7977" spans="1:10" s="15" customFormat="1" ht="18" hidden="1" customHeight="1" outlineLevel="1" x14ac:dyDescent="0.25">
      <c r="A7977" s="18">
        <v>5307</v>
      </c>
      <c r="B7977" s="4" t="s">
        <v>43</v>
      </c>
      <c r="C7977" s="38" t="s">
        <v>10456</v>
      </c>
      <c r="D7977" s="23">
        <v>2023</v>
      </c>
      <c r="E7977" s="18" t="s">
        <v>0</v>
      </c>
      <c r="F7977" s="6">
        <v>1</v>
      </c>
      <c r="G7977" s="40">
        <v>5</v>
      </c>
      <c r="H7977" s="40">
        <v>10.56532</v>
      </c>
      <c r="I7977" s="212"/>
      <c r="J7977" s="212"/>
    </row>
    <row r="7978" spans="1:10" s="15" customFormat="1" ht="18" hidden="1" customHeight="1" outlineLevel="1" x14ac:dyDescent="0.25">
      <c r="A7978" s="18">
        <v>2661</v>
      </c>
      <c r="B7978" s="4" t="s">
        <v>43</v>
      </c>
      <c r="C7978" s="38" t="s">
        <v>10457</v>
      </c>
      <c r="D7978" s="23">
        <v>2023</v>
      </c>
      <c r="E7978" s="18" t="s">
        <v>0</v>
      </c>
      <c r="F7978" s="6">
        <v>1</v>
      </c>
      <c r="G7978" s="40">
        <v>3</v>
      </c>
      <c r="H7978" s="40">
        <v>10.56532</v>
      </c>
      <c r="I7978" s="212"/>
      <c r="J7978" s="212"/>
    </row>
    <row r="7979" spans="1:10" s="15" customFormat="1" ht="18" hidden="1" customHeight="1" outlineLevel="1" x14ac:dyDescent="0.25">
      <c r="A7979" s="18">
        <v>1353</v>
      </c>
      <c r="B7979" s="4" t="s">
        <v>43</v>
      </c>
      <c r="C7979" s="38" t="s">
        <v>10458</v>
      </c>
      <c r="D7979" s="23">
        <v>2023</v>
      </c>
      <c r="E7979" s="18" t="s">
        <v>0</v>
      </c>
      <c r="F7979" s="6">
        <v>1</v>
      </c>
      <c r="G7979" s="40">
        <v>5</v>
      </c>
      <c r="H7979" s="40">
        <v>10.56532</v>
      </c>
      <c r="I7979" s="212"/>
      <c r="J7979" s="212"/>
    </row>
    <row r="7980" spans="1:10" s="15" customFormat="1" ht="18" hidden="1" customHeight="1" outlineLevel="1" x14ac:dyDescent="0.25">
      <c r="A7980" s="18">
        <v>2008</v>
      </c>
      <c r="B7980" s="4" t="s">
        <v>43</v>
      </c>
      <c r="C7980" s="38" t="s">
        <v>10459</v>
      </c>
      <c r="D7980" s="23">
        <v>2023</v>
      </c>
      <c r="E7980" s="18" t="s">
        <v>0</v>
      </c>
      <c r="F7980" s="6">
        <v>1</v>
      </c>
      <c r="G7980" s="40">
        <v>3</v>
      </c>
      <c r="H7980" s="40">
        <v>10.56532</v>
      </c>
      <c r="I7980" s="212"/>
      <c r="J7980" s="212"/>
    </row>
    <row r="7981" spans="1:10" s="15" customFormat="1" ht="18" hidden="1" customHeight="1" outlineLevel="1" x14ac:dyDescent="0.25">
      <c r="A7981" s="18">
        <v>2581</v>
      </c>
      <c r="B7981" s="4" t="s">
        <v>43</v>
      </c>
      <c r="C7981" s="38" t="s">
        <v>10460</v>
      </c>
      <c r="D7981" s="23">
        <v>2023</v>
      </c>
      <c r="E7981" s="18" t="s">
        <v>0</v>
      </c>
      <c r="F7981" s="6">
        <v>1</v>
      </c>
      <c r="G7981" s="40">
        <v>3</v>
      </c>
      <c r="H7981" s="40">
        <v>10.56532</v>
      </c>
      <c r="I7981" s="212"/>
      <c r="J7981" s="212"/>
    </row>
    <row r="7982" spans="1:10" s="15" customFormat="1" ht="18" hidden="1" customHeight="1" outlineLevel="1" x14ac:dyDescent="0.25">
      <c r="A7982" s="18">
        <v>5308</v>
      </c>
      <c r="B7982" s="4" t="s">
        <v>43</v>
      </c>
      <c r="C7982" s="38" t="s">
        <v>10461</v>
      </c>
      <c r="D7982" s="23">
        <v>2023</v>
      </c>
      <c r="E7982" s="18" t="s">
        <v>0</v>
      </c>
      <c r="F7982" s="6">
        <v>1</v>
      </c>
      <c r="G7982" s="40">
        <v>6</v>
      </c>
      <c r="H7982" s="40">
        <v>10.565300000000001</v>
      </c>
      <c r="I7982" s="212"/>
      <c r="J7982" s="212"/>
    </row>
    <row r="7983" spans="1:10" s="15" customFormat="1" ht="18" hidden="1" customHeight="1" outlineLevel="1" x14ac:dyDescent="0.25">
      <c r="A7983" s="18">
        <v>5309</v>
      </c>
      <c r="B7983" s="4" t="s">
        <v>43</v>
      </c>
      <c r="C7983" s="38" t="s">
        <v>10462</v>
      </c>
      <c r="D7983" s="23">
        <v>2023</v>
      </c>
      <c r="E7983" s="18" t="s">
        <v>0</v>
      </c>
      <c r="F7983" s="6">
        <v>1</v>
      </c>
      <c r="G7983" s="40">
        <v>10</v>
      </c>
      <c r="H7983" s="40">
        <v>10.565329999999999</v>
      </c>
      <c r="I7983" s="212"/>
      <c r="J7983" s="212"/>
    </row>
    <row r="7984" spans="1:10" s="15" customFormat="1" ht="18" hidden="1" customHeight="1" outlineLevel="1" x14ac:dyDescent="0.25">
      <c r="A7984" s="18">
        <v>5310</v>
      </c>
      <c r="B7984" s="4" t="s">
        <v>43</v>
      </c>
      <c r="C7984" s="38" t="s">
        <v>10463</v>
      </c>
      <c r="D7984" s="23">
        <v>2023</v>
      </c>
      <c r="E7984" s="18" t="s">
        <v>0</v>
      </c>
      <c r="F7984" s="6">
        <v>1</v>
      </c>
      <c r="G7984" s="40">
        <v>10</v>
      </c>
      <c r="H7984" s="40">
        <v>10.56531</v>
      </c>
      <c r="I7984" s="212"/>
      <c r="J7984" s="212"/>
    </row>
    <row r="7985" spans="1:10" s="15" customFormat="1" ht="18" hidden="1" customHeight="1" outlineLevel="1" x14ac:dyDescent="0.25">
      <c r="A7985" s="18">
        <v>5311</v>
      </c>
      <c r="B7985" s="4" t="s">
        <v>43</v>
      </c>
      <c r="C7985" s="38" t="s">
        <v>10464</v>
      </c>
      <c r="D7985" s="23">
        <v>2023</v>
      </c>
      <c r="E7985" s="18" t="s">
        <v>0</v>
      </c>
      <c r="F7985" s="6">
        <v>1</v>
      </c>
      <c r="G7985" s="40">
        <v>5</v>
      </c>
      <c r="H7985" s="40">
        <v>10.565329999999999</v>
      </c>
      <c r="I7985" s="212"/>
      <c r="J7985" s="212"/>
    </row>
    <row r="7986" spans="1:10" s="15" customFormat="1" ht="18" hidden="1" customHeight="1" outlineLevel="1" x14ac:dyDescent="0.25">
      <c r="A7986" s="18">
        <v>5312</v>
      </c>
      <c r="B7986" s="4" t="s">
        <v>43</v>
      </c>
      <c r="C7986" s="38" t="s">
        <v>10465</v>
      </c>
      <c r="D7986" s="23">
        <v>2023</v>
      </c>
      <c r="E7986" s="18" t="s">
        <v>0</v>
      </c>
      <c r="F7986" s="6">
        <v>1</v>
      </c>
      <c r="G7986" s="40">
        <v>10</v>
      </c>
      <c r="H7986" s="40">
        <v>10.56531</v>
      </c>
      <c r="I7986" s="212"/>
      <c r="J7986" s="212"/>
    </row>
    <row r="7987" spans="1:10" s="15" customFormat="1" ht="18" hidden="1" customHeight="1" outlineLevel="1" x14ac:dyDescent="0.25">
      <c r="A7987" s="18">
        <v>5313</v>
      </c>
      <c r="B7987" s="4" t="s">
        <v>43</v>
      </c>
      <c r="C7987" s="38" t="s">
        <v>10466</v>
      </c>
      <c r="D7987" s="23">
        <v>2023</v>
      </c>
      <c r="E7987" s="18" t="s">
        <v>0</v>
      </c>
      <c r="F7987" s="6">
        <v>1</v>
      </c>
      <c r="G7987" s="40">
        <v>5</v>
      </c>
      <c r="H7987" s="40">
        <v>10.565329999999999</v>
      </c>
      <c r="I7987" s="212"/>
      <c r="J7987" s="212"/>
    </row>
    <row r="7988" spans="1:10" s="15" customFormat="1" ht="18" hidden="1" customHeight="1" outlineLevel="1" x14ac:dyDescent="0.25">
      <c r="A7988" s="18">
        <v>5314</v>
      </c>
      <c r="B7988" s="4" t="s">
        <v>43</v>
      </c>
      <c r="C7988" s="38" t="s">
        <v>10467</v>
      </c>
      <c r="D7988" s="23">
        <v>2023</v>
      </c>
      <c r="E7988" s="18" t="s">
        <v>0</v>
      </c>
      <c r="F7988" s="6">
        <v>1</v>
      </c>
      <c r="G7988" s="40">
        <v>5</v>
      </c>
      <c r="H7988" s="40">
        <v>10.56531</v>
      </c>
      <c r="I7988" s="212"/>
      <c r="J7988" s="212"/>
    </row>
    <row r="7989" spans="1:10" s="15" customFormat="1" ht="18" hidden="1" customHeight="1" outlineLevel="1" x14ac:dyDescent="0.25">
      <c r="A7989" s="18">
        <v>5315</v>
      </c>
      <c r="B7989" s="4" t="s">
        <v>43</v>
      </c>
      <c r="C7989" s="38" t="s">
        <v>10468</v>
      </c>
      <c r="D7989" s="23">
        <v>2023</v>
      </c>
      <c r="E7989" s="18" t="s">
        <v>0</v>
      </c>
      <c r="F7989" s="6">
        <v>1</v>
      </c>
      <c r="G7989" s="40">
        <v>8</v>
      </c>
      <c r="H7989" s="40">
        <v>10.565329999999999</v>
      </c>
      <c r="I7989" s="212"/>
      <c r="J7989" s="212"/>
    </row>
    <row r="7990" spans="1:10" s="15" customFormat="1" ht="18" hidden="1" customHeight="1" outlineLevel="1" x14ac:dyDescent="0.25">
      <c r="A7990" s="18">
        <v>5316</v>
      </c>
      <c r="B7990" s="4" t="s">
        <v>43</v>
      </c>
      <c r="C7990" s="38" t="s">
        <v>10469</v>
      </c>
      <c r="D7990" s="23">
        <v>2023</v>
      </c>
      <c r="E7990" s="18" t="s">
        <v>0</v>
      </c>
      <c r="F7990" s="6">
        <v>1</v>
      </c>
      <c r="G7990" s="40">
        <v>6</v>
      </c>
      <c r="H7990" s="40">
        <v>10.56531</v>
      </c>
      <c r="I7990" s="212"/>
      <c r="J7990" s="212"/>
    </row>
    <row r="7991" spans="1:10" s="15" customFormat="1" ht="18" hidden="1" customHeight="1" outlineLevel="1" x14ac:dyDescent="0.25">
      <c r="A7991" s="18">
        <v>5317</v>
      </c>
      <c r="B7991" s="4" t="s">
        <v>43</v>
      </c>
      <c r="C7991" s="38" t="s">
        <v>10470</v>
      </c>
      <c r="D7991" s="23">
        <v>2023</v>
      </c>
      <c r="E7991" s="18" t="s">
        <v>0</v>
      </c>
      <c r="F7991" s="6">
        <v>1</v>
      </c>
      <c r="G7991" s="40">
        <v>5</v>
      </c>
      <c r="H7991" s="40">
        <v>10.565329999999999</v>
      </c>
      <c r="I7991" s="212"/>
      <c r="J7991" s="212"/>
    </row>
    <row r="7992" spans="1:10" s="15" customFormat="1" ht="18" hidden="1" customHeight="1" outlineLevel="1" x14ac:dyDescent="0.25">
      <c r="A7992" s="18">
        <v>5318</v>
      </c>
      <c r="B7992" s="4" t="s">
        <v>43</v>
      </c>
      <c r="C7992" s="38" t="s">
        <v>10471</v>
      </c>
      <c r="D7992" s="23">
        <v>2023</v>
      </c>
      <c r="E7992" s="18" t="s">
        <v>0</v>
      </c>
      <c r="F7992" s="6">
        <v>1</v>
      </c>
      <c r="G7992" s="40">
        <v>5</v>
      </c>
      <c r="H7992" s="40">
        <v>10.56531</v>
      </c>
      <c r="I7992" s="212"/>
      <c r="J7992" s="212"/>
    </row>
    <row r="7993" spans="1:10" s="15" customFormat="1" ht="18" hidden="1" customHeight="1" outlineLevel="1" x14ac:dyDescent="0.25">
      <c r="A7993" s="18">
        <v>5319</v>
      </c>
      <c r="B7993" s="4" t="s">
        <v>43</v>
      </c>
      <c r="C7993" s="38" t="s">
        <v>10472</v>
      </c>
      <c r="D7993" s="23">
        <v>2023</v>
      </c>
      <c r="E7993" s="18" t="s">
        <v>0</v>
      </c>
      <c r="F7993" s="6">
        <v>1</v>
      </c>
      <c r="G7993" s="40">
        <v>6</v>
      </c>
      <c r="H7993" s="40">
        <v>10.565329999999999</v>
      </c>
      <c r="I7993" s="212"/>
      <c r="J7993" s="212"/>
    </row>
    <row r="7994" spans="1:10" s="15" customFormat="1" ht="18" hidden="1" customHeight="1" outlineLevel="1" x14ac:dyDescent="0.25">
      <c r="A7994" s="18">
        <v>5320</v>
      </c>
      <c r="B7994" s="4" t="s">
        <v>43</v>
      </c>
      <c r="C7994" s="38" t="s">
        <v>10473</v>
      </c>
      <c r="D7994" s="23">
        <v>2023</v>
      </c>
      <c r="E7994" s="18" t="s">
        <v>0</v>
      </c>
      <c r="F7994" s="6">
        <v>1</v>
      </c>
      <c r="G7994" s="40">
        <v>5</v>
      </c>
      <c r="H7994" s="40">
        <v>10.565300000000001</v>
      </c>
      <c r="I7994" s="212"/>
      <c r="J7994" s="212"/>
    </row>
    <row r="7995" spans="1:10" s="15" customFormat="1" ht="18" hidden="1" customHeight="1" outlineLevel="1" x14ac:dyDescent="0.25">
      <c r="A7995" s="18">
        <v>5321</v>
      </c>
      <c r="B7995" s="4" t="s">
        <v>43</v>
      </c>
      <c r="C7995" s="38" t="s">
        <v>10474</v>
      </c>
      <c r="D7995" s="23">
        <v>2023</v>
      </c>
      <c r="E7995" s="18" t="s">
        <v>0</v>
      </c>
      <c r="F7995" s="6">
        <v>1</v>
      </c>
      <c r="G7995" s="40">
        <v>5</v>
      </c>
      <c r="H7995" s="40">
        <v>10.565329999999999</v>
      </c>
      <c r="I7995" s="212"/>
      <c r="J7995" s="212"/>
    </row>
    <row r="7996" spans="1:10" s="15" customFormat="1" ht="18" hidden="1" customHeight="1" outlineLevel="1" x14ac:dyDescent="0.25">
      <c r="A7996" s="18">
        <v>5322</v>
      </c>
      <c r="B7996" s="4" t="s">
        <v>43</v>
      </c>
      <c r="C7996" s="38" t="s">
        <v>10475</v>
      </c>
      <c r="D7996" s="23">
        <v>2023</v>
      </c>
      <c r="E7996" s="18" t="s">
        <v>0</v>
      </c>
      <c r="F7996" s="6">
        <v>1</v>
      </c>
      <c r="G7996" s="40">
        <v>5</v>
      </c>
      <c r="H7996" s="40">
        <v>10.565300000000001</v>
      </c>
      <c r="I7996" s="212"/>
      <c r="J7996" s="212"/>
    </row>
    <row r="7997" spans="1:10" s="15" customFormat="1" ht="18" hidden="1" customHeight="1" outlineLevel="1" x14ac:dyDescent="0.25">
      <c r="A7997" s="18">
        <v>5323</v>
      </c>
      <c r="B7997" s="4" t="s">
        <v>43</v>
      </c>
      <c r="C7997" s="38" t="s">
        <v>10476</v>
      </c>
      <c r="D7997" s="23">
        <v>2023</v>
      </c>
      <c r="E7997" s="18" t="s">
        <v>0</v>
      </c>
      <c r="F7997" s="6">
        <v>1</v>
      </c>
      <c r="G7997" s="40">
        <v>5</v>
      </c>
      <c r="H7997" s="40">
        <v>10.56532</v>
      </c>
      <c r="I7997" s="212"/>
      <c r="J7997" s="212"/>
    </row>
    <row r="7998" spans="1:10" s="15" customFormat="1" ht="18" hidden="1" customHeight="1" outlineLevel="1" x14ac:dyDescent="0.25">
      <c r="A7998" s="18">
        <v>5324</v>
      </c>
      <c r="B7998" s="4" t="s">
        <v>43</v>
      </c>
      <c r="C7998" s="38" t="s">
        <v>10477</v>
      </c>
      <c r="D7998" s="23">
        <v>2023</v>
      </c>
      <c r="E7998" s="18" t="s">
        <v>0</v>
      </c>
      <c r="F7998" s="6">
        <v>1</v>
      </c>
      <c r="G7998" s="40">
        <v>8</v>
      </c>
      <c r="H7998" s="40">
        <v>10.565300000000001</v>
      </c>
      <c r="I7998" s="212"/>
      <c r="J7998" s="212"/>
    </row>
    <row r="7999" spans="1:10" s="15" customFormat="1" ht="18" hidden="1" customHeight="1" outlineLevel="1" x14ac:dyDescent="0.25">
      <c r="A7999" s="18">
        <v>5325</v>
      </c>
      <c r="B7999" s="4" t="s">
        <v>43</v>
      </c>
      <c r="C7999" s="38" t="s">
        <v>10478</v>
      </c>
      <c r="D7999" s="23">
        <v>2023</v>
      </c>
      <c r="E7999" s="18" t="s">
        <v>0</v>
      </c>
      <c r="F7999" s="6">
        <v>1</v>
      </c>
      <c r="G7999" s="40">
        <v>5</v>
      </c>
      <c r="H7999" s="40">
        <v>10.56532</v>
      </c>
      <c r="I7999" s="212"/>
      <c r="J7999" s="212"/>
    </row>
    <row r="8000" spans="1:10" s="15" customFormat="1" ht="18" hidden="1" customHeight="1" outlineLevel="1" x14ac:dyDescent="0.25">
      <c r="A8000" s="18">
        <v>5326</v>
      </c>
      <c r="B8000" s="4" t="s">
        <v>43</v>
      </c>
      <c r="C8000" s="38" t="s">
        <v>10479</v>
      </c>
      <c r="D8000" s="23">
        <v>2023</v>
      </c>
      <c r="E8000" s="18" t="s">
        <v>0</v>
      </c>
      <c r="F8000" s="6">
        <v>1</v>
      </c>
      <c r="G8000" s="40">
        <v>5</v>
      </c>
      <c r="H8000" s="40">
        <v>10.565300000000001</v>
      </c>
      <c r="I8000" s="212"/>
      <c r="J8000" s="212"/>
    </row>
    <row r="8001" spans="1:10" s="15" customFormat="1" ht="18" hidden="1" customHeight="1" outlineLevel="1" x14ac:dyDescent="0.25">
      <c r="A8001" s="18">
        <v>5327</v>
      </c>
      <c r="B8001" s="4" t="s">
        <v>43</v>
      </c>
      <c r="C8001" s="38" t="s">
        <v>10480</v>
      </c>
      <c r="D8001" s="23">
        <v>2023</v>
      </c>
      <c r="E8001" s="18" t="s">
        <v>0</v>
      </c>
      <c r="F8001" s="6">
        <v>1</v>
      </c>
      <c r="G8001" s="40">
        <v>5</v>
      </c>
      <c r="H8001" s="40">
        <v>10.56532</v>
      </c>
      <c r="I8001" s="212"/>
      <c r="J8001" s="212"/>
    </row>
    <row r="8002" spans="1:10" s="15" customFormat="1" ht="18" hidden="1" customHeight="1" outlineLevel="1" x14ac:dyDescent="0.25">
      <c r="A8002" s="18">
        <v>5328</v>
      </c>
      <c r="B8002" s="4" t="s">
        <v>43</v>
      </c>
      <c r="C8002" s="38" t="s">
        <v>10481</v>
      </c>
      <c r="D8002" s="23">
        <v>2023</v>
      </c>
      <c r="E8002" s="18" t="s">
        <v>0</v>
      </c>
      <c r="F8002" s="6">
        <v>1</v>
      </c>
      <c r="G8002" s="40">
        <v>5</v>
      </c>
      <c r="H8002" s="40">
        <v>10.565300000000001</v>
      </c>
      <c r="I8002" s="212"/>
      <c r="J8002" s="212"/>
    </row>
    <row r="8003" spans="1:10" s="15" customFormat="1" ht="18" hidden="1" customHeight="1" outlineLevel="1" x14ac:dyDescent="0.25">
      <c r="A8003" s="18">
        <v>5329</v>
      </c>
      <c r="B8003" s="4" t="s">
        <v>43</v>
      </c>
      <c r="C8003" s="38" t="s">
        <v>10482</v>
      </c>
      <c r="D8003" s="23">
        <v>2023</v>
      </c>
      <c r="E8003" s="18" t="s">
        <v>0</v>
      </c>
      <c r="F8003" s="6">
        <v>1</v>
      </c>
      <c r="G8003" s="40">
        <v>5</v>
      </c>
      <c r="H8003" s="40">
        <v>10.56532</v>
      </c>
      <c r="I8003" s="212"/>
      <c r="J8003" s="212"/>
    </row>
    <row r="8004" spans="1:10" s="15" customFormat="1" ht="18" hidden="1" customHeight="1" outlineLevel="1" x14ac:dyDescent="0.25">
      <c r="A8004" s="18">
        <v>5330</v>
      </c>
      <c r="B8004" s="4" t="s">
        <v>43</v>
      </c>
      <c r="C8004" s="38" t="s">
        <v>10483</v>
      </c>
      <c r="D8004" s="23">
        <v>2023</v>
      </c>
      <c r="E8004" s="18" t="s">
        <v>0</v>
      </c>
      <c r="F8004" s="6">
        <v>1</v>
      </c>
      <c r="G8004" s="40">
        <v>5</v>
      </c>
      <c r="H8004" s="40">
        <v>10.565300000000001</v>
      </c>
      <c r="I8004" s="212"/>
      <c r="J8004" s="212"/>
    </row>
    <row r="8005" spans="1:10" s="15" customFormat="1" ht="18" hidden="1" customHeight="1" outlineLevel="1" x14ac:dyDescent="0.25">
      <c r="A8005" s="18">
        <v>5331</v>
      </c>
      <c r="B8005" s="4" t="s">
        <v>43</v>
      </c>
      <c r="C8005" s="38" t="s">
        <v>10484</v>
      </c>
      <c r="D8005" s="23">
        <v>2023</v>
      </c>
      <c r="E8005" s="18" t="s">
        <v>0</v>
      </c>
      <c r="F8005" s="6">
        <v>1</v>
      </c>
      <c r="G8005" s="40">
        <v>5</v>
      </c>
      <c r="H8005" s="40">
        <v>10.56532</v>
      </c>
      <c r="I8005" s="212"/>
      <c r="J8005" s="212"/>
    </row>
    <row r="8006" spans="1:10" s="15" customFormat="1" ht="18" hidden="1" customHeight="1" outlineLevel="1" x14ac:dyDescent="0.25">
      <c r="A8006" s="18">
        <v>5332</v>
      </c>
      <c r="B8006" s="4" t="s">
        <v>43</v>
      </c>
      <c r="C8006" s="38" t="s">
        <v>10485</v>
      </c>
      <c r="D8006" s="23">
        <v>2023</v>
      </c>
      <c r="E8006" s="18" t="s">
        <v>0</v>
      </c>
      <c r="F8006" s="6">
        <v>1</v>
      </c>
      <c r="G8006" s="40">
        <v>5</v>
      </c>
      <c r="H8006" s="40">
        <v>10.565300000000001</v>
      </c>
      <c r="I8006" s="212"/>
      <c r="J8006" s="212"/>
    </row>
    <row r="8007" spans="1:10" s="15" customFormat="1" ht="18" hidden="1" customHeight="1" outlineLevel="1" x14ac:dyDescent="0.25">
      <c r="A8007" s="18">
        <v>5333</v>
      </c>
      <c r="B8007" s="4" t="s">
        <v>43</v>
      </c>
      <c r="C8007" s="38" t="s">
        <v>10486</v>
      </c>
      <c r="D8007" s="23">
        <v>2023</v>
      </c>
      <c r="E8007" s="18" t="s">
        <v>0</v>
      </c>
      <c r="F8007" s="6">
        <v>1</v>
      </c>
      <c r="G8007" s="40">
        <v>5</v>
      </c>
      <c r="H8007" s="40">
        <v>10.56532</v>
      </c>
      <c r="I8007" s="212"/>
      <c r="J8007" s="212"/>
    </row>
    <row r="8008" spans="1:10" s="15" customFormat="1" ht="18" hidden="1" customHeight="1" outlineLevel="1" x14ac:dyDescent="0.25">
      <c r="A8008" s="18">
        <v>5334</v>
      </c>
      <c r="B8008" s="4" t="s">
        <v>43</v>
      </c>
      <c r="C8008" s="38" t="s">
        <v>10487</v>
      </c>
      <c r="D8008" s="23">
        <v>2023</v>
      </c>
      <c r="E8008" s="18" t="s">
        <v>0</v>
      </c>
      <c r="F8008" s="6">
        <v>1</v>
      </c>
      <c r="G8008" s="40">
        <v>5</v>
      </c>
      <c r="H8008" s="40">
        <v>10.565300000000001</v>
      </c>
      <c r="I8008" s="212"/>
      <c r="J8008" s="212"/>
    </row>
    <row r="8009" spans="1:10" s="15" customFormat="1" ht="18" hidden="1" customHeight="1" outlineLevel="1" x14ac:dyDescent="0.25">
      <c r="A8009" s="18">
        <v>5335</v>
      </c>
      <c r="B8009" s="4" t="s">
        <v>43</v>
      </c>
      <c r="C8009" s="38" t="s">
        <v>10488</v>
      </c>
      <c r="D8009" s="23">
        <v>2023</v>
      </c>
      <c r="E8009" s="18" t="s">
        <v>0</v>
      </c>
      <c r="F8009" s="6">
        <v>1</v>
      </c>
      <c r="G8009" s="40">
        <v>5</v>
      </c>
      <c r="H8009" s="40">
        <v>10.56532</v>
      </c>
      <c r="I8009" s="212"/>
      <c r="J8009" s="212"/>
    </row>
    <row r="8010" spans="1:10" s="15" customFormat="1" ht="18" hidden="1" customHeight="1" outlineLevel="1" x14ac:dyDescent="0.25">
      <c r="A8010" s="18">
        <v>5336</v>
      </c>
      <c r="B8010" s="4" t="s">
        <v>43</v>
      </c>
      <c r="C8010" s="38" t="s">
        <v>10489</v>
      </c>
      <c r="D8010" s="23">
        <v>2023</v>
      </c>
      <c r="E8010" s="18" t="s">
        <v>0</v>
      </c>
      <c r="F8010" s="6">
        <v>1</v>
      </c>
      <c r="G8010" s="40">
        <v>6</v>
      </c>
      <c r="H8010" s="40">
        <v>10.565300000000001</v>
      </c>
      <c r="I8010" s="212"/>
      <c r="J8010" s="212"/>
    </row>
    <row r="8011" spans="1:10" s="15" customFormat="1" ht="18" hidden="1" customHeight="1" outlineLevel="1" x14ac:dyDescent="0.25">
      <c r="A8011" s="18">
        <v>5337</v>
      </c>
      <c r="B8011" s="4" t="s">
        <v>43</v>
      </c>
      <c r="C8011" s="38" t="s">
        <v>10490</v>
      </c>
      <c r="D8011" s="23">
        <v>2023</v>
      </c>
      <c r="E8011" s="18" t="s">
        <v>0</v>
      </c>
      <c r="F8011" s="6">
        <v>1</v>
      </c>
      <c r="G8011" s="40">
        <v>5</v>
      </c>
      <c r="H8011" s="40">
        <v>10.56532</v>
      </c>
      <c r="I8011" s="212"/>
      <c r="J8011" s="212"/>
    </row>
    <row r="8012" spans="1:10" s="15" customFormat="1" ht="18" hidden="1" customHeight="1" outlineLevel="1" x14ac:dyDescent="0.25">
      <c r="A8012" s="18">
        <v>5338</v>
      </c>
      <c r="B8012" s="4" t="s">
        <v>43</v>
      </c>
      <c r="C8012" s="38" t="s">
        <v>10491</v>
      </c>
      <c r="D8012" s="23">
        <v>2023</v>
      </c>
      <c r="E8012" s="18" t="s">
        <v>0</v>
      </c>
      <c r="F8012" s="6">
        <v>1</v>
      </c>
      <c r="G8012" s="40">
        <v>5</v>
      </c>
      <c r="H8012" s="40">
        <v>10.565300000000001</v>
      </c>
      <c r="I8012" s="212"/>
      <c r="J8012" s="212"/>
    </row>
    <row r="8013" spans="1:10" s="15" customFormat="1" ht="18" hidden="1" customHeight="1" outlineLevel="1" x14ac:dyDescent="0.25">
      <c r="A8013" s="18">
        <v>5339</v>
      </c>
      <c r="B8013" s="4" t="s">
        <v>43</v>
      </c>
      <c r="C8013" s="38" t="s">
        <v>10492</v>
      </c>
      <c r="D8013" s="23">
        <v>2023</v>
      </c>
      <c r="E8013" s="18" t="s">
        <v>0</v>
      </c>
      <c r="F8013" s="6">
        <v>1</v>
      </c>
      <c r="G8013" s="40">
        <v>8</v>
      </c>
      <c r="H8013" s="40">
        <v>10.56532</v>
      </c>
      <c r="I8013" s="212"/>
      <c r="J8013" s="212"/>
    </row>
    <row r="8014" spans="1:10" s="15" customFormat="1" ht="18" hidden="1" customHeight="1" outlineLevel="1" x14ac:dyDescent="0.25">
      <c r="A8014" s="18">
        <v>5340</v>
      </c>
      <c r="B8014" s="4" t="s">
        <v>43</v>
      </c>
      <c r="C8014" s="38" t="s">
        <v>10493</v>
      </c>
      <c r="D8014" s="23">
        <v>2023</v>
      </c>
      <c r="E8014" s="18" t="s">
        <v>0</v>
      </c>
      <c r="F8014" s="6">
        <v>1</v>
      </c>
      <c r="G8014" s="40">
        <v>15</v>
      </c>
      <c r="H8014" s="40">
        <v>10.565300000000001</v>
      </c>
      <c r="I8014" s="212"/>
      <c r="J8014" s="212"/>
    </row>
    <row r="8015" spans="1:10" s="15" customFormat="1" ht="18" hidden="1" customHeight="1" outlineLevel="1" x14ac:dyDescent="0.25">
      <c r="A8015" s="18">
        <v>5341</v>
      </c>
      <c r="B8015" s="4" t="s">
        <v>43</v>
      </c>
      <c r="C8015" s="38" t="s">
        <v>10494</v>
      </c>
      <c r="D8015" s="23">
        <v>2023</v>
      </c>
      <c r="E8015" s="18" t="s">
        <v>0</v>
      </c>
      <c r="F8015" s="6">
        <v>1</v>
      </c>
      <c r="G8015" s="40">
        <v>5</v>
      </c>
      <c r="H8015" s="40">
        <v>10.56532</v>
      </c>
      <c r="I8015" s="212"/>
      <c r="J8015" s="212"/>
    </row>
    <row r="8016" spans="1:10" s="15" customFormat="1" ht="18" hidden="1" customHeight="1" outlineLevel="1" x14ac:dyDescent="0.25">
      <c r="A8016" s="18">
        <v>5342</v>
      </c>
      <c r="B8016" s="4" t="s">
        <v>43</v>
      </c>
      <c r="C8016" s="38" t="s">
        <v>10495</v>
      </c>
      <c r="D8016" s="23">
        <v>2023</v>
      </c>
      <c r="E8016" s="18" t="s">
        <v>0</v>
      </c>
      <c r="F8016" s="6">
        <v>1</v>
      </c>
      <c r="G8016" s="40">
        <v>5</v>
      </c>
      <c r="H8016" s="40">
        <v>10.565300000000001</v>
      </c>
      <c r="I8016" s="212"/>
      <c r="J8016" s="212"/>
    </row>
    <row r="8017" spans="1:10" s="15" customFormat="1" ht="18" hidden="1" customHeight="1" outlineLevel="1" x14ac:dyDescent="0.25">
      <c r="A8017" s="18">
        <v>5343</v>
      </c>
      <c r="B8017" s="4" t="s">
        <v>43</v>
      </c>
      <c r="C8017" s="38" t="s">
        <v>10496</v>
      </c>
      <c r="D8017" s="23">
        <v>2023</v>
      </c>
      <c r="E8017" s="18" t="s">
        <v>0</v>
      </c>
      <c r="F8017" s="6">
        <v>1</v>
      </c>
      <c r="G8017" s="40">
        <v>3</v>
      </c>
      <c r="H8017" s="40">
        <v>10.56532</v>
      </c>
      <c r="I8017" s="212"/>
      <c r="J8017" s="212"/>
    </row>
    <row r="8018" spans="1:10" s="15" customFormat="1" ht="18" hidden="1" customHeight="1" outlineLevel="1" x14ac:dyDescent="0.25">
      <c r="A8018" s="18">
        <v>5344</v>
      </c>
      <c r="B8018" s="4" t="s">
        <v>43</v>
      </c>
      <c r="C8018" s="38" t="s">
        <v>10497</v>
      </c>
      <c r="D8018" s="23">
        <v>2023</v>
      </c>
      <c r="E8018" s="18" t="s">
        <v>0</v>
      </c>
      <c r="F8018" s="6">
        <v>1</v>
      </c>
      <c r="G8018" s="40">
        <v>5</v>
      </c>
      <c r="H8018" s="40">
        <v>10.565300000000001</v>
      </c>
      <c r="I8018" s="212"/>
      <c r="J8018" s="212"/>
    </row>
    <row r="8019" spans="1:10" s="15" customFormat="1" ht="18" hidden="1" customHeight="1" outlineLevel="1" x14ac:dyDescent="0.25">
      <c r="A8019" s="18">
        <v>5345</v>
      </c>
      <c r="B8019" s="4" t="s">
        <v>43</v>
      </c>
      <c r="C8019" s="38" t="s">
        <v>10498</v>
      </c>
      <c r="D8019" s="23">
        <v>2023</v>
      </c>
      <c r="E8019" s="18" t="s">
        <v>0</v>
      </c>
      <c r="F8019" s="6">
        <v>1</v>
      </c>
      <c r="G8019" s="40">
        <v>5</v>
      </c>
      <c r="H8019" s="40">
        <v>10.56532</v>
      </c>
      <c r="I8019" s="212"/>
      <c r="J8019" s="212"/>
    </row>
    <row r="8020" spans="1:10" s="15" customFormat="1" ht="18" hidden="1" customHeight="1" outlineLevel="1" x14ac:dyDescent="0.25">
      <c r="A8020" s="18">
        <v>5346</v>
      </c>
      <c r="B8020" s="4" t="s">
        <v>43</v>
      </c>
      <c r="C8020" s="38" t="s">
        <v>10499</v>
      </c>
      <c r="D8020" s="23">
        <v>2023</v>
      </c>
      <c r="E8020" s="18" t="s">
        <v>0</v>
      </c>
      <c r="F8020" s="6">
        <v>1</v>
      </c>
      <c r="G8020" s="40">
        <v>5</v>
      </c>
      <c r="H8020" s="40">
        <v>10.565300000000001</v>
      </c>
      <c r="I8020" s="212"/>
      <c r="J8020" s="212"/>
    </row>
    <row r="8021" spans="1:10" s="15" customFormat="1" ht="18" hidden="1" customHeight="1" outlineLevel="1" x14ac:dyDescent="0.25">
      <c r="A8021" s="18">
        <v>5347</v>
      </c>
      <c r="B8021" s="4" t="s">
        <v>43</v>
      </c>
      <c r="C8021" s="38" t="s">
        <v>10500</v>
      </c>
      <c r="D8021" s="23">
        <v>2023</v>
      </c>
      <c r="E8021" s="18" t="s">
        <v>0</v>
      </c>
      <c r="F8021" s="6">
        <v>1</v>
      </c>
      <c r="G8021" s="40">
        <v>5</v>
      </c>
      <c r="H8021" s="40">
        <v>10.56532</v>
      </c>
      <c r="I8021" s="212"/>
      <c r="J8021" s="212"/>
    </row>
    <row r="8022" spans="1:10" s="15" customFormat="1" ht="18" hidden="1" customHeight="1" outlineLevel="1" x14ac:dyDescent="0.25">
      <c r="A8022" s="18">
        <v>5348</v>
      </c>
      <c r="B8022" s="4" t="s">
        <v>43</v>
      </c>
      <c r="C8022" s="38" t="s">
        <v>10501</v>
      </c>
      <c r="D8022" s="23">
        <v>2023</v>
      </c>
      <c r="E8022" s="18" t="s">
        <v>0</v>
      </c>
      <c r="F8022" s="6">
        <v>1</v>
      </c>
      <c r="G8022" s="40">
        <v>5</v>
      </c>
      <c r="H8022" s="40">
        <v>10.565300000000001</v>
      </c>
      <c r="I8022" s="212"/>
      <c r="J8022" s="212"/>
    </row>
    <row r="8023" spans="1:10" s="15" customFormat="1" ht="18" hidden="1" customHeight="1" outlineLevel="1" x14ac:dyDescent="0.25">
      <c r="A8023" s="18">
        <v>5349</v>
      </c>
      <c r="B8023" s="4" t="s">
        <v>43</v>
      </c>
      <c r="C8023" s="38" t="s">
        <v>10502</v>
      </c>
      <c r="D8023" s="23">
        <v>2023</v>
      </c>
      <c r="E8023" s="18" t="s">
        <v>0</v>
      </c>
      <c r="F8023" s="6">
        <v>1</v>
      </c>
      <c r="G8023" s="40">
        <v>5</v>
      </c>
      <c r="H8023" s="40">
        <v>10.565329999999999</v>
      </c>
      <c r="I8023" s="212"/>
      <c r="J8023" s="212"/>
    </row>
    <row r="8024" spans="1:10" s="15" customFormat="1" ht="18" hidden="1" customHeight="1" outlineLevel="1" x14ac:dyDescent="0.25">
      <c r="A8024" s="18">
        <v>5350</v>
      </c>
      <c r="B8024" s="4" t="s">
        <v>43</v>
      </c>
      <c r="C8024" s="38" t="s">
        <v>10503</v>
      </c>
      <c r="D8024" s="23">
        <v>2023</v>
      </c>
      <c r="E8024" s="18" t="s">
        <v>0</v>
      </c>
      <c r="F8024" s="6">
        <v>1</v>
      </c>
      <c r="G8024" s="40">
        <v>5</v>
      </c>
      <c r="H8024" s="40">
        <v>10.565300000000001</v>
      </c>
      <c r="I8024" s="212"/>
      <c r="J8024" s="212"/>
    </row>
    <row r="8025" spans="1:10" s="15" customFormat="1" ht="18" hidden="1" customHeight="1" outlineLevel="1" x14ac:dyDescent="0.25">
      <c r="A8025" s="18">
        <v>5351</v>
      </c>
      <c r="B8025" s="4" t="s">
        <v>43</v>
      </c>
      <c r="C8025" s="38" t="s">
        <v>10504</v>
      </c>
      <c r="D8025" s="23">
        <v>2023</v>
      </c>
      <c r="E8025" s="18" t="s">
        <v>0</v>
      </c>
      <c r="F8025" s="6">
        <v>1</v>
      </c>
      <c r="G8025" s="40">
        <v>5</v>
      </c>
      <c r="H8025" s="40">
        <v>10.565329999999999</v>
      </c>
      <c r="I8025" s="212"/>
      <c r="J8025" s="212"/>
    </row>
    <row r="8026" spans="1:10" s="15" customFormat="1" ht="18" hidden="1" customHeight="1" outlineLevel="1" x14ac:dyDescent="0.25">
      <c r="A8026" s="18">
        <v>5352</v>
      </c>
      <c r="B8026" s="4" t="s">
        <v>43</v>
      </c>
      <c r="C8026" s="38" t="s">
        <v>10505</v>
      </c>
      <c r="D8026" s="23">
        <v>2023</v>
      </c>
      <c r="E8026" s="18" t="s">
        <v>0</v>
      </c>
      <c r="F8026" s="6">
        <v>1</v>
      </c>
      <c r="G8026" s="40">
        <v>5</v>
      </c>
      <c r="H8026" s="40">
        <v>10.565300000000001</v>
      </c>
      <c r="I8026" s="212"/>
      <c r="J8026" s="212"/>
    </row>
    <row r="8027" spans="1:10" s="15" customFormat="1" ht="18" hidden="1" customHeight="1" outlineLevel="1" x14ac:dyDescent="0.25">
      <c r="A8027" s="18">
        <v>5353</v>
      </c>
      <c r="B8027" s="4" t="s">
        <v>43</v>
      </c>
      <c r="C8027" s="38" t="s">
        <v>10506</v>
      </c>
      <c r="D8027" s="23">
        <v>2023</v>
      </c>
      <c r="E8027" s="18" t="s">
        <v>0</v>
      </c>
      <c r="F8027" s="6">
        <v>1</v>
      </c>
      <c r="G8027" s="40">
        <v>5</v>
      </c>
      <c r="H8027" s="40">
        <v>10.565329999999999</v>
      </c>
      <c r="I8027" s="212"/>
      <c r="J8027" s="212"/>
    </row>
    <row r="8028" spans="1:10" s="15" customFormat="1" ht="18" hidden="1" customHeight="1" outlineLevel="1" x14ac:dyDescent="0.25">
      <c r="A8028" s="18">
        <v>5354</v>
      </c>
      <c r="B8028" s="4" t="s">
        <v>43</v>
      </c>
      <c r="C8028" s="38" t="s">
        <v>10507</v>
      </c>
      <c r="D8028" s="23">
        <v>2023</v>
      </c>
      <c r="E8028" s="18" t="s">
        <v>0</v>
      </c>
      <c r="F8028" s="6">
        <v>1</v>
      </c>
      <c r="G8028" s="40">
        <v>5</v>
      </c>
      <c r="H8028" s="40">
        <v>10.565300000000001</v>
      </c>
      <c r="I8028" s="212"/>
      <c r="J8028" s="212"/>
    </row>
    <row r="8029" spans="1:10" s="15" customFormat="1" ht="18" hidden="1" customHeight="1" outlineLevel="1" x14ac:dyDescent="0.25">
      <c r="A8029" s="18">
        <v>5355</v>
      </c>
      <c r="B8029" s="4" t="s">
        <v>43</v>
      </c>
      <c r="C8029" s="38" t="s">
        <v>10508</v>
      </c>
      <c r="D8029" s="23">
        <v>2023</v>
      </c>
      <c r="E8029" s="18" t="s">
        <v>0</v>
      </c>
      <c r="F8029" s="6">
        <v>1</v>
      </c>
      <c r="G8029" s="40">
        <v>5</v>
      </c>
      <c r="H8029" s="40">
        <v>10.565329999999999</v>
      </c>
      <c r="I8029" s="212"/>
      <c r="J8029" s="212"/>
    </row>
    <row r="8030" spans="1:10" s="15" customFormat="1" ht="18" hidden="1" customHeight="1" outlineLevel="1" x14ac:dyDescent="0.25">
      <c r="A8030" s="18">
        <v>5356</v>
      </c>
      <c r="B8030" s="4" t="s">
        <v>43</v>
      </c>
      <c r="C8030" s="38" t="s">
        <v>10509</v>
      </c>
      <c r="D8030" s="23">
        <v>2023</v>
      </c>
      <c r="E8030" s="18" t="s">
        <v>0</v>
      </c>
      <c r="F8030" s="6">
        <v>1</v>
      </c>
      <c r="G8030" s="40">
        <v>5</v>
      </c>
      <c r="H8030" s="40">
        <v>10.565300000000001</v>
      </c>
      <c r="I8030" s="212"/>
      <c r="J8030" s="212"/>
    </row>
    <row r="8031" spans="1:10" s="15" customFormat="1" ht="18" hidden="1" customHeight="1" outlineLevel="1" x14ac:dyDescent="0.25">
      <c r="A8031" s="18">
        <v>5357</v>
      </c>
      <c r="B8031" s="4" t="s">
        <v>43</v>
      </c>
      <c r="C8031" s="38" t="s">
        <v>10510</v>
      </c>
      <c r="D8031" s="23">
        <v>2023</v>
      </c>
      <c r="E8031" s="18" t="s">
        <v>0</v>
      </c>
      <c r="F8031" s="6">
        <v>1</v>
      </c>
      <c r="G8031" s="40">
        <v>5</v>
      </c>
      <c r="H8031" s="40">
        <v>10.565329999999999</v>
      </c>
      <c r="I8031" s="212"/>
      <c r="J8031" s="212"/>
    </row>
    <row r="8032" spans="1:10" s="15" customFormat="1" ht="18" hidden="1" customHeight="1" outlineLevel="1" x14ac:dyDescent="0.25">
      <c r="A8032" s="18">
        <v>5358</v>
      </c>
      <c r="B8032" s="4" t="s">
        <v>43</v>
      </c>
      <c r="C8032" s="38" t="s">
        <v>10511</v>
      </c>
      <c r="D8032" s="23">
        <v>2023</v>
      </c>
      <c r="E8032" s="18" t="s">
        <v>0</v>
      </c>
      <c r="F8032" s="6">
        <v>1</v>
      </c>
      <c r="G8032" s="40">
        <v>5</v>
      </c>
      <c r="H8032" s="40">
        <v>10.565300000000001</v>
      </c>
      <c r="I8032" s="212"/>
      <c r="J8032" s="212"/>
    </row>
    <row r="8033" spans="1:10" s="15" customFormat="1" ht="18" hidden="1" customHeight="1" outlineLevel="1" x14ac:dyDescent="0.25">
      <c r="A8033" s="18">
        <v>5359</v>
      </c>
      <c r="B8033" s="4" t="s">
        <v>43</v>
      </c>
      <c r="C8033" s="38" t="s">
        <v>10512</v>
      </c>
      <c r="D8033" s="23">
        <v>2023</v>
      </c>
      <c r="E8033" s="18" t="s">
        <v>0</v>
      </c>
      <c r="F8033" s="6">
        <v>1</v>
      </c>
      <c r="G8033" s="40">
        <v>5</v>
      </c>
      <c r="H8033" s="40">
        <v>10.565040000000002</v>
      </c>
      <c r="I8033" s="212"/>
      <c r="J8033" s="212"/>
    </row>
    <row r="8034" spans="1:10" s="15" customFormat="1" ht="18" hidden="1" customHeight="1" outlineLevel="1" x14ac:dyDescent="0.25">
      <c r="A8034" s="18">
        <v>5360</v>
      </c>
      <c r="B8034" s="4" t="s">
        <v>43</v>
      </c>
      <c r="C8034" s="38" t="s">
        <v>10513</v>
      </c>
      <c r="D8034" s="23">
        <v>2023</v>
      </c>
      <c r="E8034" s="18" t="s">
        <v>0</v>
      </c>
      <c r="F8034" s="6">
        <v>1</v>
      </c>
      <c r="G8034" s="40">
        <v>5</v>
      </c>
      <c r="H8034" s="40">
        <v>10.565300000000001</v>
      </c>
      <c r="I8034" s="212"/>
      <c r="J8034" s="212"/>
    </row>
    <row r="8035" spans="1:10" s="15" customFormat="1" ht="18" hidden="1" customHeight="1" outlineLevel="1" x14ac:dyDescent="0.25">
      <c r="A8035" s="18">
        <v>5361</v>
      </c>
      <c r="B8035" s="4" t="s">
        <v>43</v>
      </c>
      <c r="C8035" s="38" t="s">
        <v>10514</v>
      </c>
      <c r="D8035" s="23">
        <v>2023</v>
      </c>
      <c r="E8035" s="18" t="s">
        <v>0</v>
      </c>
      <c r="F8035" s="6">
        <v>1</v>
      </c>
      <c r="G8035" s="40">
        <v>5</v>
      </c>
      <c r="H8035" s="40">
        <v>10.565339999999999</v>
      </c>
      <c r="I8035" s="212"/>
      <c r="J8035" s="212"/>
    </row>
    <row r="8036" spans="1:10" s="15" customFormat="1" ht="18" hidden="1" customHeight="1" outlineLevel="1" x14ac:dyDescent="0.25">
      <c r="A8036" s="18">
        <v>5362</v>
      </c>
      <c r="B8036" s="4" t="s">
        <v>43</v>
      </c>
      <c r="C8036" s="38" t="s">
        <v>10515</v>
      </c>
      <c r="D8036" s="23">
        <v>2023</v>
      </c>
      <c r="E8036" s="18" t="s">
        <v>0</v>
      </c>
      <c r="F8036" s="6">
        <v>1</v>
      </c>
      <c r="G8036" s="40">
        <v>5</v>
      </c>
      <c r="H8036" s="40">
        <v>10.565300000000001</v>
      </c>
      <c r="I8036" s="212"/>
      <c r="J8036" s="212"/>
    </row>
    <row r="8037" spans="1:10" s="15" customFormat="1" ht="18" hidden="1" customHeight="1" outlineLevel="1" x14ac:dyDescent="0.25">
      <c r="A8037" s="18">
        <v>5363</v>
      </c>
      <c r="B8037" s="4" t="s">
        <v>43</v>
      </c>
      <c r="C8037" s="38" t="s">
        <v>10516</v>
      </c>
      <c r="D8037" s="23">
        <v>2023</v>
      </c>
      <c r="E8037" s="18" t="s">
        <v>0</v>
      </c>
      <c r="F8037" s="6">
        <v>1</v>
      </c>
      <c r="G8037" s="40">
        <v>8</v>
      </c>
      <c r="H8037" s="40">
        <v>10.565339999999999</v>
      </c>
      <c r="I8037" s="212"/>
      <c r="J8037" s="212"/>
    </row>
    <row r="8038" spans="1:10" s="15" customFormat="1" ht="18" hidden="1" customHeight="1" outlineLevel="1" x14ac:dyDescent="0.25">
      <c r="A8038" s="18">
        <v>5364</v>
      </c>
      <c r="B8038" s="4" t="s">
        <v>43</v>
      </c>
      <c r="C8038" s="38" t="s">
        <v>10517</v>
      </c>
      <c r="D8038" s="23">
        <v>2023</v>
      </c>
      <c r="E8038" s="18" t="s">
        <v>0</v>
      </c>
      <c r="F8038" s="6">
        <v>1</v>
      </c>
      <c r="G8038" s="40">
        <v>5</v>
      </c>
      <c r="H8038" s="40">
        <v>10.565300000000001</v>
      </c>
      <c r="I8038" s="212"/>
      <c r="J8038" s="212"/>
    </row>
    <row r="8039" spans="1:10" s="15" customFormat="1" ht="18" hidden="1" customHeight="1" outlineLevel="1" x14ac:dyDescent="0.25">
      <c r="A8039" s="18">
        <v>5365</v>
      </c>
      <c r="B8039" s="4" t="s">
        <v>43</v>
      </c>
      <c r="C8039" s="38" t="s">
        <v>10518</v>
      </c>
      <c r="D8039" s="23">
        <v>2023</v>
      </c>
      <c r="E8039" s="18" t="s">
        <v>0</v>
      </c>
      <c r="F8039" s="6">
        <v>1</v>
      </c>
      <c r="G8039" s="40">
        <v>5</v>
      </c>
      <c r="H8039" s="40">
        <v>10.565339999999999</v>
      </c>
      <c r="I8039" s="212"/>
      <c r="J8039" s="212"/>
    </row>
    <row r="8040" spans="1:10" s="15" customFormat="1" ht="18" hidden="1" customHeight="1" outlineLevel="1" x14ac:dyDescent="0.25">
      <c r="A8040" s="18">
        <v>5366</v>
      </c>
      <c r="B8040" s="4" t="s">
        <v>43</v>
      </c>
      <c r="C8040" s="38" t="s">
        <v>10519</v>
      </c>
      <c r="D8040" s="23">
        <v>2023</v>
      </c>
      <c r="E8040" s="18" t="s">
        <v>0</v>
      </c>
      <c r="F8040" s="6">
        <v>1</v>
      </c>
      <c r="G8040" s="40">
        <v>8</v>
      </c>
      <c r="H8040" s="40">
        <v>10.565300000000001</v>
      </c>
      <c r="I8040" s="212"/>
      <c r="J8040" s="212"/>
    </row>
    <row r="8041" spans="1:10" s="15" customFormat="1" ht="18" hidden="1" customHeight="1" outlineLevel="1" x14ac:dyDescent="0.25">
      <c r="A8041" s="18">
        <v>5367</v>
      </c>
      <c r="B8041" s="4" t="s">
        <v>43</v>
      </c>
      <c r="C8041" s="38" t="s">
        <v>10520</v>
      </c>
      <c r="D8041" s="23">
        <v>2023</v>
      </c>
      <c r="E8041" s="18" t="s">
        <v>0</v>
      </c>
      <c r="F8041" s="6">
        <v>1</v>
      </c>
      <c r="G8041" s="40">
        <v>5</v>
      </c>
      <c r="H8041" s="40">
        <v>10.565339999999999</v>
      </c>
      <c r="I8041" s="212"/>
      <c r="J8041" s="212"/>
    </row>
    <row r="8042" spans="1:10" s="15" customFormat="1" ht="18" hidden="1" customHeight="1" outlineLevel="1" x14ac:dyDescent="0.25">
      <c r="A8042" s="18">
        <v>5368</v>
      </c>
      <c r="B8042" s="4" t="s">
        <v>43</v>
      </c>
      <c r="C8042" s="38" t="s">
        <v>10521</v>
      </c>
      <c r="D8042" s="23">
        <v>2023</v>
      </c>
      <c r="E8042" s="18" t="s">
        <v>0</v>
      </c>
      <c r="F8042" s="6">
        <v>1</v>
      </c>
      <c r="G8042" s="40">
        <v>5</v>
      </c>
      <c r="H8042" s="40">
        <v>10.565300000000001</v>
      </c>
      <c r="I8042" s="212"/>
      <c r="J8042" s="212"/>
    </row>
    <row r="8043" spans="1:10" s="15" customFormat="1" ht="18" hidden="1" customHeight="1" outlineLevel="1" x14ac:dyDescent="0.25">
      <c r="A8043" s="18">
        <v>5369</v>
      </c>
      <c r="B8043" s="4" t="s">
        <v>43</v>
      </c>
      <c r="C8043" s="38" t="s">
        <v>10522</v>
      </c>
      <c r="D8043" s="23">
        <v>2023</v>
      </c>
      <c r="E8043" s="18" t="s">
        <v>0</v>
      </c>
      <c r="F8043" s="6">
        <v>1</v>
      </c>
      <c r="G8043" s="40">
        <v>6</v>
      </c>
      <c r="H8043" s="40">
        <v>10.565339999999999</v>
      </c>
      <c r="I8043" s="212"/>
      <c r="J8043" s="212"/>
    </row>
    <row r="8044" spans="1:10" s="15" customFormat="1" ht="18" hidden="1" customHeight="1" outlineLevel="1" x14ac:dyDescent="0.25">
      <c r="A8044" s="18">
        <v>5370</v>
      </c>
      <c r="B8044" s="4" t="s">
        <v>43</v>
      </c>
      <c r="C8044" s="38" t="s">
        <v>10523</v>
      </c>
      <c r="D8044" s="23">
        <v>2023</v>
      </c>
      <c r="E8044" s="18" t="s">
        <v>0</v>
      </c>
      <c r="F8044" s="6">
        <v>1</v>
      </c>
      <c r="G8044" s="40">
        <v>5</v>
      </c>
      <c r="H8044" s="40">
        <v>10.56531</v>
      </c>
      <c r="I8044" s="212"/>
      <c r="J8044" s="212"/>
    </row>
    <row r="8045" spans="1:10" s="15" customFormat="1" ht="18" hidden="1" customHeight="1" outlineLevel="1" x14ac:dyDescent="0.25">
      <c r="A8045" s="18">
        <v>5371</v>
      </c>
      <c r="B8045" s="4" t="s">
        <v>43</v>
      </c>
      <c r="C8045" s="38" t="s">
        <v>10524</v>
      </c>
      <c r="D8045" s="23">
        <v>2023</v>
      </c>
      <c r="E8045" s="18" t="s">
        <v>0</v>
      </c>
      <c r="F8045" s="6">
        <v>1</v>
      </c>
      <c r="G8045" s="40">
        <v>5</v>
      </c>
      <c r="H8045" s="40">
        <v>10.565339999999999</v>
      </c>
      <c r="I8045" s="212"/>
      <c r="J8045" s="212"/>
    </row>
    <row r="8046" spans="1:10" s="15" customFormat="1" ht="18" hidden="1" customHeight="1" outlineLevel="1" x14ac:dyDescent="0.25">
      <c r="A8046" s="18">
        <v>5372</v>
      </c>
      <c r="B8046" s="4" t="s">
        <v>43</v>
      </c>
      <c r="C8046" s="38" t="s">
        <v>10525</v>
      </c>
      <c r="D8046" s="23">
        <v>2023</v>
      </c>
      <c r="E8046" s="18" t="s">
        <v>0</v>
      </c>
      <c r="F8046" s="6">
        <v>1</v>
      </c>
      <c r="G8046" s="40">
        <v>5</v>
      </c>
      <c r="H8046" s="40">
        <v>10.56531</v>
      </c>
      <c r="I8046" s="212"/>
      <c r="J8046" s="212"/>
    </row>
    <row r="8047" spans="1:10" s="15" customFormat="1" ht="18" hidden="1" customHeight="1" outlineLevel="1" x14ac:dyDescent="0.25">
      <c r="A8047" s="18">
        <v>1887</v>
      </c>
      <c r="B8047" s="4" t="s">
        <v>43</v>
      </c>
      <c r="C8047" s="38" t="s">
        <v>10526</v>
      </c>
      <c r="D8047" s="23">
        <v>2023</v>
      </c>
      <c r="E8047" s="18" t="s">
        <v>0</v>
      </c>
      <c r="F8047" s="6">
        <v>1</v>
      </c>
      <c r="G8047" s="40">
        <v>3</v>
      </c>
      <c r="H8047" s="40">
        <v>10.565339999999999</v>
      </c>
      <c r="I8047" s="212"/>
      <c r="J8047" s="212"/>
    </row>
    <row r="8048" spans="1:10" s="15" customFormat="1" ht="18" hidden="1" customHeight="1" outlineLevel="1" x14ac:dyDescent="0.25">
      <c r="A8048" s="18">
        <v>1100</v>
      </c>
      <c r="B8048" s="4" t="s">
        <v>43</v>
      </c>
      <c r="C8048" s="38" t="s">
        <v>10527</v>
      </c>
      <c r="D8048" s="23">
        <v>2023</v>
      </c>
      <c r="E8048" s="18" t="s">
        <v>0</v>
      </c>
      <c r="F8048" s="6">
        <v>1</v>
      </c>
      <c r="G8048" s="40">
        <v>3</v>
      </c>
      <c r="H8048" s="40">
        <v>10.56531</v>
      </c>
      <c r="I8048" s="212"/>
      <c r="J8048" s="212"/>
    </row>
    <row r="8049" spans="1:10" s="15" customFormat="1" ht="18" hidden="1" customHeight="1" outlineLevel="1" x14ac:dyDescent="0.25">
      <c r="A8049" s="18">
        <v>5373</v>
      </c>
      <c r="B8049" s="4" t="s">
        <v>43</v>
      </c>
      <c r="C8049" s="38" t="s">
        <v>10528</v>
      </c>
      <c r="D8049" s="23">
        <v>2023</v>
      </c>
      <c r="E8049" s="18" t="s">
        <v>0</v>
      </c>
      <c r="F8049" s="6">
        <v>1</v>
      </c>
      <c r="G8049" s="40">
        <v>5</v>
      </c>
      <c r="H8049" s="40">
        <v>10.565339999999999</v>
      </c>
      <c r="I8049" s="212"/>
      <c r="J8049" s="212"/>
    </row>
    <row r="8050" spans="1:10" s="15" customFormat="1" ht="18" hidden="1" customHeight="1" outlineLevel="1" x14ac:dyDescent="0.25">
      <c r="A8050" s="18">
        <v>5374</v>
      </c>
      <c r="B8050" s="4" t="s">
        <v>43</v>
      </c>
      <c r="C8050" s="38" t="s">
        <v>10529</v>
      </c>
      <c r="D8050" s="23">
        <v>2023</v>
      </c>
      <c r="E8050" s="18" t="s">
        <v>0</v>
      </c>
      <c r="F8050" s="6">
        <v>1</v>
      </c>
      <c r="G8050" s="40">
        <v>5</v>
      </c>
      <c r="H8050" s="40">
        <v>10.56531</v>
      </c>
      <c r="I8050" s="212"/>
      <c r="J8050" s="212"/>
    </row>
    <row r="8051" spans="1:10" s="15" customFormat="1" ht="18" hidden="1" customHeight="1" outlineLevel="1" x14ac:dyDescent="0.25">
      <c r="A8051" s="18">
        <v>5375</v>
      </c>
      <c r="B8051" s="4" t="s">
        <v>43</v>
      </c>
      <c r="C8051" s="38" t="s">
        <v>10530</v>
      </c>
      <c r="D8051" s="23">
        <v>2023</v>
      </c>
      <c r="E8051" s="18" t="s">
        <v>0</v>
      </c>
      <c r="F8051" s="6">
        <v>1</v>
      </c>
      <c r="G8051" s="40">
        <v>5</v>
      </c>
      <c r="H8051" s="40">
        <v>10.565339999999999</v>
      </c>
      <c r="I8051" s="212"/>
      <c r="J8051" s="212"/>
    </row>
    <row r="8052" spans="1:10" s="15" customFormat="1" ht="18" hidden="1" customHeight="1" outlineLevel="1" x14ac:dyDescent="0.25">
      <c r="A8052" s="18">
        <v>5376</v>
      </c>
      <c r="B8052" s="4" t="s">
        <v>43</v>
      </c>
      <c r="C8052" s="38" t="s">
        <v>10531</v>
      </c>
      <c r="D8052" s="23">
        <v>2023</v>
      </c>
      <c r="E8052" s="18" t="s">
        <v>0</v>
      </c>
      <c r="F8052" s="6">
        <v>1</v>
      </c>
      <c r="G8052" s="40">
        <v>5</v>
      </c>
      <c r="H8052" s="40">
        <v>10.56531</v>
      </c>
      <c r="I8052" s="212"/>
      <c r="J8052" s="212"/>
    </row>
    <row r="8053" spans="1:10" s="15" customFormat="1" ht="18" hidden="1" customHeight="1" outlineLevel="1" x14ac:dyDescent="0.25">
      <c r="A8053" s="18">
        <v>5377</v>
      </c>
      <c r="B8053" s="4" t="s">
        <v>43</v>
      </c>
      <c r="C8053" s="38" t="s">
        <v>10532</v>
      </c>
      <c r="D8053" s="23">
        <v>2023</v>
      </c>
      <c r="E8053" s="18" t="s">
        <v>0</v>
      </c>
      <c r="F8053" s="6">
        <v>1</v>
      </c>
      <c r="G8053" s="40">
        <v>10</v>
      </c>
      <c r="H8053" s="40">
        <v>10.565339999999999</v>
      </c>
      <c r="I8053" s="212"/>
      <c r="J8053" s="212"/>
    </row>
    <row r="8054" spans="1:10" s="15" customFormat="1" ht="18" hidden="1" customHeight="1" outlineLevel="1" x14ac:dyDescent="0.25">
      <c r="A8054" s="18">
        <v>5378</v>
      </c>
      <c r="B8054" s="4" t="s">
        <v>43</v>
      </c>
      <c r="C8054" s="38" t="s">
        <v>10533</v>
      </c>
      <c r="D8054" s="23">
        <v>2023</v>
      </c>
      <c r="E8054" s="18" t="s">
        <v>0</v>
      </c>
      <c r="F8054" s="6">
        <v>1</v>
      </c>
      <c r="G8054" s="40">
        <v>5</v>
      </c>
      <c r="H8054" s="40">
        <v>10.56531</v>
      </c>
      <c r="I8054" s="212"/>
      <c r="J8054" s="212"/>
    </row>
    <row r="8055" spans="1:10" s="15" customFormat="1" ht="18" hidden="1" customHeight="1" outlineLevel="1" x14ac:dyDescent="0.25">
      <c r="A8055" s="18">
        <v>1244</v>
      </c>
      <c r="B8055" s="4" t="s">
        <v>43</v>
      </c>
      <c r="C8055" s="38" t="s">
        <v>10534</v>
      </c>
      <c r="D8055" s="23">
        <v>2023</v>
      </c>
      <c r="E8055" s="18" t="s">
        <v>0</v>
      </c>
      <c r="F8055" s="6">
        <v>1</v>
      </c>
      <c r="G8055" s="40">
        <v>3</v>
      </c>
      <c r="H8055" s="40">
        <v>10.565339999999999</v>
      </c>
      <c r="I8055" s="212"/>
      <c r="J8055" s="212"/>
    </row>
    <row r="8056" spans="1:10" s="15" customFormat="1" ht="18" hidden="1" customHeight="1" outlineLevel="1" x14ac:dyDescent="0.25">
      <c r="A8056" s="18">
        <v>5379</v>
      </c>
      <c r="B8056" s="4" t="s">
        <v>43</v>
      </c>
      <c r="C8056" s="38" t="s">
        <v>10535</v>
      </c>
      <c r="D8056" s="23">
        <v>2023</v>
      </c>
      <c r="E8056" s="18" t="s">
        <v>0</v>
      </c>
      <c r="F8056" s="6">
        <v>1</v>
      </c>
      <c r="G8056" s="40">
        <v>6</v>
      </c>
      <c r="H8056" s="40">
        <v>10.56531</v>
      </c>
      <c r="I8056" s="212"/>
      <c r="J8056" s="212"/>
    </row>
    <row r="8057" spans="1:10" s="15" customFormat="1" ht="18" hidden="1" customHeight="1" outlineLevel="1" x14ac:dyDescent="0.25">
      <c r="A8057" s="18">
        <v>5380</v>
      </c>
      <c r="B8057" s="4" t="s">
        <v>43</v>
      </c>
      <c r="C8057" s="38" t="s">
        <v>10536</v>
      </c>
      <c r="D8057" s="23">
        <v>2023</v>
      </c>
      <c r="E8057" s="18" t="s">
        <v>0</v>
      </c>
      <c r="F8057" s="6">
        <v>1</v>
      </c>
      <c r="G8057" s="40">
        <v>6</v>
      </c>
      <c r="H8057" s="40">
        <v>10.565339999999999</v>
      </c>
      <c r="I8057" s="212"/>
      <c r="J8057" s="212"/>
    </row>
    <row r="8058" spans="1:10" s="15" customFormat="1" ht="18" hidden="1" customHeight="1" outlineLevel="1" x14ac:dyDescent="0.25">
      <c r="A8058" s="18">
        <v>5381</v>
      </c>
      <c r="B8058" s="4" t="s">
        <v>43</v>
      </c>
      <c r="C8058" s="38" t="s">
        <v>10537</v>
      </c>
      <c r="D8058" s="23">
        <v>2023</v>
      </c>
      <c r="E8058" s="18" t="s">
        <v>0</v>
      </c>
      <c r="F8058" s="6">
        <v>1</v>
      </c>
      <c r="G8058" s="40">
        <v>5</v>
      </c>
      <c r="H8058" s="40">
        <v>10.56531</v>
      </c>
      <c r="I8058" s="212"/>
      <c r="J8058" s="212"/>
    </row>
    <row r="8059" spans="1:10" s="15" customFormat="1" ht="18" hidden="1" customHeight="1" outlineLevel="1" x14ac:dyDescent="0.25">
      <c r="A8059" s="18">
        <v>5382</v>
      </c>
      <c r="B8059" s="4" t="s">
        <v>43</v>
      </c>
      <c r="C8059" s="38" t="s">
        <v>10538</v>
      </c>
      <c r="D8059" s="23">
        <v>2023</v>
      </c>
      <c r="E8059" s="18" t="s">
        <v>0</v>
      </c>
      <c r="F8059" s="6">
        <v>1</v>
      </c>
      <c r="G8059" s="40">
        <v>8</v>
      </c>
      <c r="H8059" s="40">
        <v>10.565339999999999</v>
      </c>
      <c r="I8059" s="212"/>
      <c r="J8059" s="212"/>
    </row>
    <row r="8060" spans="1:10" s="15" customFormat="1" ht="18" hidden="1" customHeight="1" outlineLevel="1" x14ac:dyDescent="0.25">
      <c r="A8060" s="18">
        <v>5383</v>
      </c>
      <c r="B8060" s="4" t="s">
        <v>43</v>
      </c>
      <c r="C8060" s="38" t="s">
        <v>10539</v>
      </c>
      <c r="D8060" s="23">
        <v>2023</v>
      </c>
      <c r="E8060" s="18" t="s">
        <v>0</v>
      </c>
      <c r="F8060" s="6">
        <v>1</v>
      </c>
      <c r="G8060" s="40">
        <v>7.5</v>
      </c>
      <c r="H8060" s="40">
        <v>10.56531</v>
      </c>
      <c r="I8060" s="212"/>
      <c r="J8060" s="212"/>
    </row>
    <row r="8061" spans="1:10" s="15" customFormat="1" ht="18" hidden="1" customHeight="1" outlineLevel="1" x14ac:dyDescent="0.25">
      <c r="A8061" s="18">
        <v>5384</v>
      </c>
      <c r="B8061" s="4" t="s">
        <v>43</v>
      </c>
      <c r="C8061" s="38" t="s">
        <v>10540</v>
      </c>
      <c r="D8061" s="23">
        <v>2023</v>
      </c>
      <c r="E8061" s="18" t="s">
        <v>0</v>
      </c>
      <c r="F8061" s="6">
        <v>1</v>
      </c>
      <c r="G8061" s="40">
        <v>5</v>
      </c>
      <c r="H8061" s="40">
        <v>10.565339999999999</v>
      </c>
      <c r="I8061" s="212"/>
      <c r="J8061" s="212"/>
    </row>
    <row r="8062" spans="1:10" s="15" customFormat="1" ht="18" hidden="1" customHeight="1" outlineLevel="1" x14ac:dyDescent="0.25">
      <c r="A8062" s="18">
        <v>5385</v>
      </c>
      <c r="B8062" s="4" t="s">
        <v>43</v>
      </c>
      <c r="C8062" s="38" t="s">
        <v>10541</v>
      </c>
      <c r="D8062" s="23">
        <v>2023</v>
      </c>
      <c r="E8062" s="18" t="s">
        <v>0</v>
      </c>
      <c r="F8062" s="6">
        <v>1</v>
      </c>
      <c r="G8062" s="40">
        <v>7</v>
      </c>
      <c r="H8062" s="40">
        <v>10.56531</v>
      </c>
      <c r="I8062" s="212"/>
      <c r="J8062" s="212"/>
    </row>
    <row r="8063" spans="1:10" s="15" customFormat="1" ht="18" hidden="1" customHeight="1" outlineLevel="1" x14ac:dyDescent="0.25">
      <c r="A8063" s="18">
        <v>5386</v>
      </c>
      <c r="B8063" s="4" t="s">
        <v>43</v>
      </c>
      <c r="C8063" s="38" t="s">
        <v>10542</v>
      </c>
      <c r="D8063" s="23">
        <v>2023</v>
      </c>
      <c r="E8063" s="18" t="s">
        <v>0</v>
      </c>
      <c r="F8063" s="6">
        <v>1</v>
      </c>
      <c r="G8063" s="40">
        <v>5</v>
      </c>
      <c r="H8063" s="40">
        <v>10.565339999999999</v>
      </c>
      <c r="I8063" s="212"/>
      <c r="J8063" s="212"/>
    </row>
    <row r="8064" spans="1:10" s="15" customFormat="1" ht="18" hidden="1" customHeight="1" outlineLevel="1" x14ac:dyDescent="0.25">
      <c r="A8064" s="18">
        <v>5387</v>
      </c>
      <c r="B8064" s="4" t="s">
        <v>43</v>
      </c>
      <c r="C8064" s="38" t="s">
        <v>10543</v>
      </c>
      <c r="D8064" s="23">
        <v>2023</v>
      </c>
      <c r="E8064" s="18" t="s">
        <v>0</v>
      </c>
      <c r="F8064" s="6">
        <v>1</v>
      </c>
      <c r="G8064" s="40">
        <v>5</v>
      </c>
      <c r="H8064" s="40">
        <v>10.56531</v>
      </c>
      <c r="I8064" s="212"/>
      <c r="J8064" s="212"/>
    </row>
    <row r="8065" spans="1:10" s="15" customFormat="1" ht="18" hidden="1" customHeight="1" outlineLevel="1" x14ac:dyDescent="0.25">
      <c r="A8065" s="18">
        <v>5388</v>
      </c>
      <c r="B8065" s="4" t="s">
        <v>43</v>
      </c>
      <c r="C8065" s="38" t="s">
        <v>10544</v>
      </c>
      <c r="D8065" s="23">
        <v>2023</v>
      </c>
      <c r="E8065" s="18" t="s">
        <v>0</v>
      </c>
      <c r="F8065" s="6">
        <v>1</v>
      </c>
      <c r="G8065" s="40">
        <v>5</v>
      </c>
      <c r="H8065" s="40">
        <v>10.565339999999999</v>
      </c>
      <c r="I8065" s="212"/>
      <c r="J8065" s="212"/>
    </row>
    <row r="8066" spans="1:10" s="15" customFormat="1" ht="18" hidden="1" customHeight="1" outlineLevel="1" x14ac:dyDescent="0.25">
      <c r="A8066" s="18">
        <v>5389</v>
      </c>
      <c r="B8066" s="4" t="s">
        <v>43</v>
      </c>
      <c r="C8066" s="38" t="s">
        <v>10545</v>
      </c>
      <c r="D8066" s="23">
        <v>2023</v>
      </c>
      <c r="E8066" s="18" t="s">
        <v>0</v>
      </c>
      <c r="F8066" s="6">
        <v>1</v>
      </c>
      <c r="G8066" s="40">
        <v>5</v>
      </c>
      <c r="H8066" s="40">
        <v>10.56531</v>
      </c>
      <c r="I8066" s="212"/>
      <c r="J8066" s="212"/>
    </row>
    <row r="8067" spans="1:10" s="15" customFormat="1" ht="18" hidden="1" customHeight="1" outlineLevel="1" x14ac:dyDescent="0.25">
      <c r="A8067" s="18">
        <v>5390</v>
      </c>
      <c r="B8067" s="4" t="s">
        <v>43</v>
      </c>
      <c r="C8067" s="38" t="s">
        <v>10546</v>
      </c>
      <c r="D8067" s="23">
        <v>2023</v>
      </c>
      <c r="E8067" s="18" t="s">
        <v>0</v>
      </c>
      <c r="F8067" s="6">
        <v>1</v>
      </c>
      <c r="G8067" s="40">
        <v>5</v>
      </c>
      <c r="H8067" s="40">
        <v>10.565339999999999</v>
      </c>
      <c r="I8067" s="212"/>
      <c r="J8067" s="212"/>
    </row>
    <row r="8068" spans="1:10" s="15" customFormat="1" ht="18" hidden="1" customHeight="1" outlineLevel="1" x14ac:dyDescent="0.25">
      <c r="A8068" s="18">
        <v>5391</v>
      </c>
      <c r="B8068" s="4" t="s">
        <v>43</v>
      </c>
      <c r="C8068" s="38" t="s">
        <v>10547</v>
      </c>
      <c r="D8068" s="23">
        <v>2023</v>
      </c>
      <c r="E8068" s="18" t="s">
        <v>0</v>
      </c>
      <c r="F8068" s="6">
        <v>1</v>
      </c>
      <c r="G8068" s="40">
        <v>5</v>
      </c>
      <c r="H8068" s="40">
        <v>10.56531</v>
      </c>
      <c r="I8068" s="212"/>
      <c r="J8068" s="212"/>
    </row>
    <row r="8069" spans="1:10" s="15" customFormat="1" ht="18" hidden="1" customHeight="1" outlineLevel="1" x14ac:dyDescent="0.25">
      <c r="A8069" s="18">
        <v>5392</v>
      </c>
      <c r="B8069" s="4" t="s">
        <v>43</v>
      </c>
      <c r="C8069" s="38" t="s">
        <v>10548</v>
      </c>
      <c r="D8069" s="23">
        <v>2023</v>
      </c>
      <c r="E8069" s="18" t="s">
        <v>0</v>
      </c>
      <c r="F8069" s="6">
        <v>1</v>
      </c>
      <c r="G8069" s="40">
        <v>5</v>
      </c>
      <c r="H8069" s="40">
        <v>10.565339999999999</v>
      </c>
      <c r="I8069" s="212"/>
      <c r="J8069" s="212"/>
    </row>
    <row r="8070" spans="1:10" s="15" customFormat="1" ht="18" hidden="1" customHeight="1" outlineLevel="1" x14ac:dyDescent="0.25">
      <c r="A8070" s="18">
        <v>5393</v>
      </c>
      <c r="B8070" s="4" t="s">
        <v>43</v>
      </c>
      <c r="C8070" s="38" t="s">
        <v>10549</v>
      </c>
      <c r="D8070" s="23">
        <v>2023</v>
      </c>
      <c r="E8070" s="18" t="s">
        <v>0</v>
      </c>
      <c r="F8070" s="6">
        <v>1</v>
      </c>
      <c r="G8070" s="40">
        <v>5</v>
      </c>
      <c r="H8070" s="40">
        <v>10.56531</v>
      </c>
      <c r="I8070" s="212"/>
      <c r="J8070" s="212"/>
    </row>
    <row r="8071" spans="1:10" s="15" customFormat="1" ht="18" hidden="1" customHeight="1" outlineLevel="1" x14ac:dyDescent="0.25">
      <c r="A8071" s="18">
        <v>5394</v>
      </c>
      <c r="B8071" s="4" t="s">
        <v>43</v>
      </c>
      <c r="C8071" s="38" t="s">
        <v>10550</v>
      </c>
      <c r="D8071" s="23">
        <v>2023</v>
      </c>
      <c r="E8071" s="18" t="s">
        <v>0</v>
      </c>
      <c r="F8071" s="6">
        <v>1</v>
      </c>
      <c r="G8071" s="40">
        <v>5</v>
      </c>
      <c r="H8071" s="40">
        <v>10.565339999999999</v>
      </c>
      <c r="I8071" s="212"/>
      <c r="J8071" s="212"/>
    </row>
    <row r="8072" spans="1:10" s="15" customFormat="1" ht="18" hidden="1" customHeight="1" outlineLevel="1" x14ac:dyDescent="0.25">
      <c r="A8072" s="18">
        <v>5395</v>
      </c>
      <c r="B8072" s="4" t="s">
        <v>43</v>
      </c>
      <c r="C8072" s="38" t="s">
        <v>10551</v>
      </c>
      <c r="D8072" s="23">
        <v>2023</v>
      </c>
      <c r="E8072" s="18" t="s">
        <v>0</v>
      </c>
      <c r="F8072" s="6">
        <v>1</v>
      </c>
      <c r="G8072" s="40">
        <v>5</v>
      </c>
      <c r="H8072" s="40">
        <v>10.56531</v>
      </c>
      <c r="I8072" s="212"/>
      <c r="J8072" s="212"/>
    </row>
    <row r="8073" spans="1:10" s="15" customFormat="1" ht="18" hidden="1" customHeight="1" outlineLevel="1" x14ac:dyDescent="0.25">
      <c r="A8073" s="18">
        <v>401</v>
      </c>
      <c r="B8073" s="4" t="s">
        <v>43</v>
      </c>
      <c r="C8073" s="38" t="s">
        <v>10552</v>
      </c>
      <c r="D8073" s="23">
        <v>2023</v>
      </c>
      <c r="E8073" s="18" t="s">
        <v>0</v>
      </c>
      <c r="F8073" s="6">
        <v>15</v>
      </c>
      <c r="G8073" s="40">
        <v>152</v>
      </c>
      <c r="H8073" s="40">
        <v>292.57065000000006</v>
      </c>
      <c r="I8073" s="212"/>
      <c r="J8073" s="212"/>
    </row>
    <row r="8074" spans="1:10" s="15" customFormat="1" ht="18" hidden="1" customHeight="1" outlineLevel="1" x14ac:dyDescent="0.25">
      <c r="A8074" s="18">
        <v>3960</v>
      </c>
      <c r="B8074" s="4" t="s">
        <v>43</v>
      </c>
      <c r="C8074" s="38" t="s">
        <v>10553</v>
      </c>
      <c r="D8074" s="23">
        <v>2023</v>
      </c>
      <c r="E8074" s="18" t="s">
        <v>0</v>
      </c>
      <c r="F8074" s="6">
        <v>3</v>
      </c>
      <c r="G8074" s="40">
        <v>8</v>
      </c>
      <c r="H8074" s="40">
        <v>84.18692999999999</v>
      </c>
      <c r="I8074" s="212"/>
      <c r="J8074" s="212"/>
    </row>
    <row r="8075" spans="1:10" s="15" customFormat="1" ht="18" hidden="1" customHeight="1" outlineLevel="1" x14ac:dyDescent="0.25">
      <c r="A8075" s="18">
        <v>5419</v>
      </c>
      <c r="B8075" s="4" t="s">
        <v>43</v>
      </c>
      <c r="C8075" s="38" t="s">
        <v>10554</v>
      </c>
      <c r="D8075" s="23">
        <v>2023</v>
      </c>
      <c r="E8075" s="18" t="s">
        <v>0</v>
      </c>
      <c r="F8075" s="6">
        <v>1</v>
      </c>
      <c r="G8075" s="40">
        <v>15</v>
      </c>
      <c r="H8075" s="40">
        <v>24.869909999999997</v>
      </c>
      <c r="I8075" s="212"/>
      <c r="J8075" s="212"/>
    </row>
    <row r="8076" spans="1:10" s="15" customFormat="1" ht="18" hidden="1" customHeight="1" outlineLevel="1" x14ac:dyDescent="0.25">
      <c r="A8076" s="18">
        <v>5420</v>
      </c>
      <c r="B8076" s="4" t="s">
        <v>43</v>
      </c>
      <c r="C8076" s="38" t="s">
        <v>10555</v>
      </c>
      <c r="D8076" s="23">
        <v>2023</v>
      </c>
      <c r="E8076" s="18" t="s">
        <v>0</v>
      </c>
      <c r="F8076" s="6">
        <v>1</v>
      </c>
      <c r="G8076" s="40">
        <v>4.5</v>
      </c>
      <c r="H8076" s="40">
        <v>24.869909999999997</v>
      </c>
      <c r="I8076" s="212"/>
      <c r="J8076" s="212"/>
    </row>
    <row r="8077" spans="1:10" s="15" customFormat="1" ht="18" hidden="1" customHeight="1" outlineLevel="1" x14ac:dyDescent="0.25">
      <c r="A8077" s="18">
        <v>5421</v>
      </c>
      <c r="B8077" s="4" t="s">
        <v>43</v>
      </c>
      <c r="C8077" s="38" t="s">
        <v>10556</v>
      </c>
      <c r="D8077" s="23">
        <v>2023</v>
      </c>
      <c r="E8077" s="18" t="s">
        <v>0</v>
      </c>
      <c r="F8077" s="6">
        <v>1</v>
      </c>
      <c r="G8077" s="40">
        <v>10</v>
      </c>
      <c r="H8077" s="40">
        <v>24.869909999999997</v>
      </c>
      <c r="I8077" s="212"/>
      <c r="J8077" s="212"/>
    </row>
    <row r="8078" spans="1:10" s="15" customFormat="1" ht="18" hidden="1" customHeight="1" outlineLevel="1" x14ac:dyDescent="0.25">
      <c r="A8078" s="18">
        <v>5422</v>
      </c>
      <c r="B8078" s="4" t="s">
        <v>43</v>
      </c>
      <c r="C8078" s="38" t="s">
        <v>10557</v>
      </c>
      <c r="D8078" s="23">
        <v>2023</v>
      </c>
      <c r="E8078" s="18" t="s">
        <v>0</v>
      </c>
      <c r="F8078" s="6">
        <v>1</v>
      </c>
      <c r="G8078" s="40">
        <v>5</v>
      </c>
      <c r="H8078" s="40">
        <v>24.869909999999997</v>
      </c>
      <c r="I8078" s="212"/>
      <c r="J8078" s="212"/>
    </row>
    <row r="8079" spans="1:10" s="15" customFormat="1" ht="18" hidden="1" customHeight="1" outlineLevel="1" x14ac:dyDescent="0.25">
      <c r="A8079" s="18">
        <v>5423</v>
      </c>
      <c r="B8079" s="4" t="s">
        <v>43</v>
      </c>
      <c r="C8079" s="38" t="s">
        <v>10558</v>
      </c>
      <c r="D8079" s="23">
        <v>2023</v>
      </c>
      <c r="E8079" s="18" t="s">
        <v>0</v>
      </c>
      <c r="F8079" s="6">
        <v>1</v>
      </c>
      <c r="G8079" s="40">
        <v>5</v>
      </c>
      <c r="H8079" s="40">
        <v>24.869909999999997</v>
      </c>
      <c r="I8079" s="212"/>
      <c r="J8079" s="212"/>
    </row>
    <row r="8080" spans="1:10" s="15" customFormat="1" ht="18" hidden="1" customHeight="1" outlineLevel="1" x14ac:dyDescent="0.25">
      <c r="A8080" s="18">
        <v>1261</v>
      </c>
      <c r="B8080" s="4" t="s">
        <v>43</v>
      </c>
      <c r="C8080" s="38" t="s">
        <v>10559</v>
      </c>
      <c r="D8080" s="23">
        <v>2023</v>
      </c>
      <c r="E8080" s="18" t="s">
        <v>0</v>
      </c>
      <c r="F8080" s="6">
        <v>1</v>
      </c>
      <c r="G8080" s="40">
        <v>5</v>
      </c>
      <c r="H8080" s="40">
        <v>24.869909999999997</v>
      </c>
      <c r="I8080" s="212"/>
      <c r="J8080" s="212"/>
    </row>
    <row r="8081" spans="1:10" s="15" customFormat="1" ht="18" hidden="1" customHeight="1" outlineLevel="1" x14ac:dyDescent="0.25">
      <c r="A8081" s="18">
        <v>5424</v>
      </c>
      <c r="B8081" s="4" t="s">
        <v>43</v>
      </c>
      <c r="C8081" s="38" t="s">
        <v>10560</v>
      </c>
      <c r="D8081" s="23">
        <v>2023</v>
      </c>
      <c r="E8081" s="18" t="s">
        <v>0</v>
      </c>
      <c r="F8081" s="6">
        <v>1</v>
      </c>
      <c r="G8081" s="40">
        <v>8</v>
      </c>
      <c r="H8081" s="40">
        <v>24.869909999999997</v>
      </c>
      <c r="I8081" s="212"/>
      <c r="J8081" s="212"/>
    </row>
    <row r="8082" spans="1:10" s="15" customFormat="1" ht="18" hidden="1" customHeight="1" outlineLevel="1" x14ac:dyDescent="0.25">
      <c r="A8082" s="18">
        <v>5425</v>
      </c>
      <c r="B8082" s="4" t="s">
        <v>43</v>
      </c>
      <c r="C8082" s="38" t="s">
        <v>10561</v>
      </c>
      <c r="D8082" s="23">
        <v>2023</v>
      </c>
      <c r="E8082" s="18" t="s">
        <v>0</v>
      </c>
      <c r="F8082" s="6">
        <v>1</v>
      </c>
      <c r="G8082" s="40">
        <v>7</v>
      </c>
      <c r="H8082" s="40">
        <v>24.869909999999997</v>
      </c>
      <c r="I8082" s="212"/>
      <c r="J8082" s="212"/>
    </row>
    <row r="8083" spans="1:10" s="15" customFormat="1" ht="18" hidden="1" customHeight="1" outlineLevel="1" x14ac:dyDescent="0.25">
      <c r="A8083" s="18">
        <v>5426</v>
      </c>
      <c r="B8083" s="4" t="s">
        <v>43</v>
      </c>
      <c r="C8083" s="38" t="s">
        <v>10562</v>
      </c>
      <c r="D8083" s="23">
        <v>2023</v>
      </c>
      <c r="E8083" s="18" t="s">
        <v>0</v>
      </c>
      <c r="F8083" s="6">
        <v>1</v>
      </c>
      <c r="G8083" s="40">
        <v>5</v>
      </c>
      <c r="H8083" s="40">
        <v>24.869909999999997</v>
      </c>
      <c r="I8083" s="212"/>
      <c r="J8083" s="212"/>
    </row>
    <row r="8084" spans="1:10" s="15" customFormat="1" ht="18" hidden="1" customHeight="1" outlineLevel="1" x14ac:dyDescent="0.25">
      <c r="A8084" s="18">
        <v>5427</v>
      </c>
      <c r="B8084" s="4" t="s">
        <v>43</v>
      </c>
      <c r="C8084" s="38" t="s">
        <v>10563</v>
      </c>
      <c r="D8084" s="23">
        <v>2023</v>
      </c>
      <c r="E8084" s="18" t="s">
        <v>0</v>
      </c>
      <c r="F8084" s="6">
        <v>1</v>
      </c>
      <c r="G8084" s="40">
        <v>5</v>
      </c>
      <c r="H8084" s="40">
        <v>24.869909999999997</v>
      </c>
      <c r="I8084" s="212"/>
      <c r="J8084" s="212"/>
    </row>
    <row r="8085" spans="1:10" s="15" customFormat="1" ht="18" hidden="1" customHeight="1" outlineLevel="1" x14ac:dyDescent="0.25">
      <c r="A8085" s="18">
        <v>5428</v>
      </c>
      <c r="B8085" s="4" t="s">
        <v>43</v>
      </c>
      <c r="C8085" s="38" t="s">
        <v>10564</v>
      </c>
      <c r="D8085" s="23">
        <v>2023</v>
      </c>
      <c r="E8085" s="18" t="s">
        <v>0</v>
      </c>
      <c r="F8085" s="6">
        <v>1</v>
      </c>
      <c r="G8085" s="40">
        <v>5</v>
      </c>
      <c r="H8085" s="40">
        <v>24.869909999999997</v>
      </c>
      <c r="I8085" s="212"/>
      <c r="J8085" s="212"/>
    </row>
    <row r="8086" spans="1:10" s="15" customFormat="1" ht="18" hidden="1" customHeight="1" outlineLevel="1" x14ac:dyDescent="0.25">
      <c r="A8086" s="18">
        <v>5429</v>
      </c>
      <c r="B8086" s="4" t="s">
        <v>43</v>
      </c>
      <c r="C8086" s="38" t="s">
        <v>10565</v>
      </c>
      <c r="D8086" s="23">
        <v>2023</v>
      </c>
      <c r="E8086" s="18" t="s">
        <v>0</v>
      </c>
      <c r="F8086" s="6">
        <v>1</v>
      </c>
      <c r="G8086" s="40">
        <v>5</v>
      </c>
      <c r="H8086" s="40">
        <v>24.869909999999997</v>
      </c>
      <c r="I8086" s="212"/>
      <c r="J8086" s="212"/>
    </row>
    <row r="8087" spans="1:10" s="15" customFormat="1" ht="18" hidden="1" customHeight="1" outlineLevel="1" x14ac:dyDescent="0.25">
      <c r="A8087" s="18">
        <v>5430</v>
      </c>
      <c r="B8087" s="4" t="s">
        <v>43</v>
      </c>
      <c r="C8087" s="38" t="s">
        <v>10566</v>
      </c>
      <c r="D8087" s="23">
        <v>2023</v>
      </c>
      <c r="E8087" s="18" t="s">
        <v>0</v>
      </c>
      <c r="F8087" s="6">
        <v>1</v>
      </c>
      <c r="G8087" s="40">
        <v>5</v>
      </c>
      <c r="H8087" s="40">
        <v>24.869909999999997</v>
      </c>
      <c r="I8087" s="212"/>
      <c r="J8087" s="212"/>
    </row>
    <row r="8088" spans="1:10" s="15" customFormat="1" ht="18" hidden="1" customHeight="1" outlineLevel="1" x14ac:dyDescent="0.25">
      <c r="A8088" s="18">
        <v>5431</v>
      </c>
      <c r="B8088" s="4" t="s">
        <v>43</v>
      </c>
      <c r="C8088" s="38" t="s">
        <v>10567</v>
      </c>
      <c r="D8088" s="23">
        <v>2023</v>
      </c>
      <c r="E8088" s="18" t="s">
        <v>0</v>
      </c>
      <c r="F8088" s="6">
        <v>1</v>
      </c>
      <c r="G8088" s="40">
        <v>5</v>
      </c>
      <c r="H8088" s="40">
        <v>24.869909999999997</v>
      </c>
      <c r="I8088" s="212"/>
      <c r="J8088" s="212"/>
    </row>
    <row r="8089" spans="1:10" s="15" customFormat="1" ht="18" hidden="1" customHeight="1" outlineLevel="1" x14ac:dyDescent="0.25">
      <c r="A8089" s="18">
        <v>5432</v>
      </c>
      <c r="B8089" s="4" t="s">
        <v>43</v>
      </c>
      <c r="C8089" s="38" t="s">
        <v>10568</v>
      </c>
      <c r="D8089" s="23">
        <v>2023</v>
      </c>
      <c r="E8089" s="18" t="s">
        <v>0</v>
      </c>
      <c r="F8089" s="6">
        <v>1</v>
      </c>
      <c r="G8089" s="40">
        <v>5</v>
      </c>
      <c r="H8089" s="40">
        <v>24.869909999999997</v>
      </c>
      <c r="I8089" s="212"/>
      <c r="J8089" s="212"/>
    </row>
    <row r="8090" spans="1:10" s="15" customFormat="1" ht="18" hidden="1" customHeight="1" outlineLevel="1" x14ac:dyDescent="0.25">
      <c r="A8090" s="18">
        <v>5433</v>
      </c>
      <c r="B8090" s="4" t="s">
        <v>43</v>
      </c>
      <c r="C8090" s="38" t="s">
        <v>10569</v>
      </c>
      <c r="D8090" s="23">
        <v>2023</v>
      </c>
      <c r="E8090" s="18" t="s">
        <v>0</v>
      </c>
      <c r="F8090" s="6">
        <v>1</v>
      </c>
      <c r="G8090" s="40">
        <v>5</v>
      </c>
      <c r="H8090" s="40">
        <v>24.869909999999997</v>
      </c>
      <c r="I8090" s="212"/>
      <c r="J8090" s="212"/>
    </row>
    <row r="8091" spans="1:10" s="15" customFormat="1" ht="18" hidden="1" customHeight="1" outlineLevel="1" x14ac:dyDescent="0.25">
      <c r="A8091" s="18">
        <v>1265</v>
      </c>
      <c r="B8091" s="4" t="s">
        <v>43</v>
      </c>
      <c r="C8091" s="38" t="s">
        <v>10570</v>
      </c>
      <c r="D8091" s="23">
        <v>2023</v>
      </c>
      <c r="E8091" s="18" t="s">
        <v>0</v>
      </c>
      <c r="F8091" s="6">
        <v>1</v>
      </c>
      <c r="G8091" s="40">
        <v>5</v>
      </c>
      <c r="H8091" s="40">
        <v>24.869909999999997</v>
      </c>
      <c r="I8091" s="212"/>
      <c r="J8091" s="212"/>
    </row>
    <row r="8092" spans="1:10" s="15" customFormat="1" ht="18" hidden="1" customHeight="1" outlineLevel="1" x14ac:dyDescent="0.25">
      <c r="A8092" s="18">
        <v>5434</v>
      </c>
      <c r="B8092" s="4" t="s">
        <v>43</v>
      </c>
      <c r="C8092" s="38" t="s">
        <v>10571</v>
      </c>
      <c r="D8092" s="23">
        <v>2023</v>
      </c>
      <c r="E8092" s="18" t="s">
        <v>0</v>
      </c>
      <c r="F8092" s="6">
        <v>1</v>
      </c>
      <c r="G8092" s="40">
        <v>5</v>
      </c>
      <c r="H8092" s="40">
        <v>24.869909999999997</v>
      </c>
      <c r="I8092" s="212"/>
      <c r="J8092" s="212"/>
    </row>
    <row r="8093" spans="1:10" s="15" customFormat="1" ht="18" hidden="1" customHeight="1" outlineLevel="1" x14ac:dyDescent="0.25">
      <c r="A8093" s="18">
        <v>5435</v>
      </c>
      <c r="B8093" s="4" t="s">
        <v>43</v>
      </c>
      <c r="C8093" s="38" t="s">
        <v>10572</v>
      </c>
      <c r="D8093" s="23">
        <v>2023</v>
      </c>
      <c r="E8093" s="18" t="s">
        <v>0</v>
      </c>
      <c r="F8093" s="6">
        <v>1</v>
      </c>
      <c r="G8093" s="40">
        <v>8</v>
      </c>
      <c r="H8093" s="40">
        <v>24.869909999999997</v>
      </c>
      <c r="I8093" s="212"/>
      <c r="J8093" s="212"/>
    </row>
    <row r="8094" spans="1:10" s="15" customFormat="1" ht="18" hidden="1" customHeight="1" outlineLevel="1" x14ac:dyDescent="0.25">
      <c r="A8094" s="18">
        <v>5436</v>
      </c>
      <c r="B8094" s="4" t="s">
        <v>43</v>
      </c>
      <c r="C8094" s="38" t="s">
        <v>10573</v>
      </c>
      <c r="D8094" s="23">
        <v>2023</v>
      </c>
      <c r="E8094" s="18" t="s">
        <v>0</v>
      </c>
      <c r="F8094" s="6">
        <v>1</v>
      </c>
      <c r="G8094" s="40">
        <v>5</v>
      </c>
      <c r="H8094" s="40">
        <v>24.869909999999997</v>
      </c>
      <c r="I8094" s="212"/>
      <c r="J8094" s="212"/>
    </row>
    <row r="8095" spans="1:10" s="15" customFormat="1" ht="18" hidden="1" customHeight="1" outlineLevel="1" x14ac:dyDescent="0.25">
      <c r="A8095" s="18">
        <v>5437</v>
      </c>
      <c r="B8095" s="4" t="s">
        <v>43</v>
      </c>
      <c r="C8095" s="38" t="s">
        <v>10574</v>
      </c>
      <c r="D8095" s="23">
        <v>2023</v>
      </c>
      <c r="E8095" s="18" t="s">
        <v>0</v>
      </c>
      <c r="F8095" s="6">
        <v>1</v>
      </c>
      <c r="G8095" s="40">
        <v>5</v>
      </c>
      <c r="H8095" s="40">
        <v>24.869909999999997</v>
      </c>
      <c r="I8095" s="212"/>
      <c r="J8095" s="212"/>
    </row>
    <row r="8096" spans="1:10" s="15" customFormat="1" ht="18" hidden="1" customHeight="1" outlineLevel="1" x14ac:dyDescent="0.25">
      <c r="A8096" s="18">
        <v>5438</v>
      </c>
      <c r="B8096" s="4" t="s">
        <v>43</v>
      </c>
      <c r="C8096" s="38" t="s">
        <v>10575</v>
      </c>
      <c r="D8096" s="23">
        <v>2023</v>
      </c>
      <c r="E8096" s="18" t="s">
        <v>0</v>
      </c>
      <c r="F8096" s="6">
        <v>1</v>
      </c>
      <c r="G8096" s="40">
        <v>5</v>
      </c>
      <c r="H8096" s="40">
        <v>24.869909999999997</v>
      </c>
      <c r="I8096" s="212"/>
      <c r="J8096" s="212"/>
    </row>
    <row r="8097" spans="1:10" s="15" customFormat="1" ht="18" hidden="1" customHeight="1" outlineLevel="1" x14ac:dyDescent="0.25">
      <c r="A8097" s="18">
        <v>5439</v>
      </c>
      <c r="B8097" s="4" t="s">
        <v>43</v>
      </c>
      <c r="C8097" s="38" t="s">
        <v>10576</v>
      </c>
      <c r="D8097" s="23">
        <v>2023</v>
      </c>
      <c r="E8097" s="18" t="s">
        <v>0</v>
      </c>
      <c r="F8097" s="6">
        <v>1</v>
      </c>
      <c r="G8097" s="40">
        <v>5</v>
      </c>
      <c r="H8097" s="40">
        <v>24.869900000000001</v>
      </c>
      <c r="I8097" s="212"/>
      <c r="J8097" s="212"/>
    </row>
    <row r="8098" spans="1:10" s="15" customFormat="1" ht="18" hidden="1" customHeight="1" outlineLevel="1" x14ac:dyDescent="0.25">
      <c r="A8098" s="18">
        <v>5440</v>
      </c>
      <c r="B8098" s="4" t="s">
        <v>43</v>
      </c>
      <c r="C8098" s="38" t="s">
        <v>10577</v>
      </c>
      <c r="D8098" s="23">
        <v>2023</v>
      </c>
      <c r="E8098" s="18" t="s">
        <v>0</v>
      </c>
      <c r="F8098" s="6">
        <v>1</v>
      </c>
      <c r="G8098" s="40">
        <v>10</v>
      </c>
      <c r="H8098" s="40">
        <v>24.869909999999997</v>
      </c>
      <c r="I8098" s="212"/>
      <c r="J8098" s="212"/>
    </row>
    <row r="8099" spans="1:10" s="15" customFormat="1" ht="18" hidden="1" customHeight="1" outlineLevel="1" x14ac:dyDescent="0.25">
      <c r="A8099" s="18">
        <v>5441</v>
      </c>
      <c r="B8099" s="4" t="s">
        <v>43</v>
      </c>
      <c r="C8099" s="38" t="s">
        <v>10578</v>
      </c>
      <c r="D8099" s="23">
        <v>2023</v>
      </c>
      <c r="E8099" s="18" t="s">
        <v>0</v>
      </c>
      <c r="F8099" s="6">
        <v>1</v>
      </c>
      <c r="G8099" s="40">
        <v>8</v>
      </c>
      <c r="H8099" s="40">
        <v>24.869909999999997</v>
      </c>
      <c r="I8099" s="212"/>
      <c r="J8099" s="212"/>
    </row>
    <row r="8100" spans="1:10" s="15" customFormat="1" ht="18" hidden="1" customHeight="1" outlineLevel="1" x14ac:dyDescent="0.25">
      <c r="A8100" s="18">
        <v>5442</v>
      </c>
      <c r="B8100" s="4" t="s">
        <v>43</v>
      </c>
      <c r="C8100" s="38" t="s">
        <v>10579</v>
      </c>
      <c r="D8100" s="23">
        <v>2023</v>
      </c>
      <c r="E8100" s="18" t="s">
        <v>0</v>
      </c>
      <c r="F8100" s="6">
        <v>1</v>
      </c>
      <c r="G8100" s="40">
        <v>5</v>
      </c>
      <c r="H8100" s="40">
        <v>24.869909999999997</v>
      </c>
      <c r="I8100" s="212"/>
      <c r="J8100" s="212"/>
    </row>
    <row r="8101" spans="1:10" s="15" customFormat="1" ht="18" hidden="1" customHeight="1" outlineLevel="1" x14ac:dyDescent="0.25">
      <c r="A8101" s="18">
        <v>5443</v>
      </c>
      <c r="B8101" s="4" t="s">
        <v>43</v>
      </c>
      <c r="C8101" s="38" t="s">
        <v>10580</v>
      </c>
      <c r="D8101" s="23">
        <v>2023</v>
      </c>
      <c r="E8101" s="18" t="s">
        <v>0</v>
      </c>
      <c r="F8101" s="6">
        <v>1</v>
      </c>
      <c r="G8101" s="40">
        <v>5</v>
      </c>
      <c r="H8101" s="40">
        <v>24.869909999999997</v>
      </c>
      <c r="I8101" s="212"/>
      <c r="J8101" s="212"/>
    </row>
    <row r="8102" spans="1:10" s="15" customFormat="1" ht="18" hidden="1" customHeight="1" outlineLevel="1" x14ac:dyDescent="0.25">
      <c r="A8102" s="18">
        <v>5444</v>
      </c>
      <c r="B8102" s="4" t="s">
        <v>43</v>
      </c>
      <c r="C8102" s="38" t="s">
        <v>10581</v>
      </c>
      <c r="D8102" s="23">
        <v>2023</v>
      </c>
      <c r="E8102" s="18" t="s">
        <v>0</v>
      </c>
      <c r="F8102" s="6">
        <v>1</v>
      </c>
      <c r="G8102" s="40">
        <v>10</v>
      </c>
      <c r="H8102" s="40">
        <v>24.869909999999997</v>
      </c>
      <c r="I8102" s="212"/>
      <c r="J8102" s="212"/>
    </row>
    <row r="8103" spans="1:10" s="15" customFormat="1" ht="18" hidden="1" customHeight="1" outlineLevel="1" x14ac:dyDescent="0.25">
      <c r="A8103" s="18">
        <v>5445</v>
      </c>
      <c r="B8103" s="4" t="s">
        <v>43</v>
      </c>
      <c r="C8103" s="38" t="s">
        <v>10582</v>
      </c>
      <c r="D8103" s="23">
        <v>2023</v>
      </c>
      <c r="E8103" s="18" t="s">
        <v>0</v>
      </c>
      <c r="F8103" s="6">
        <v>1</v>
      </c>
      <c r="G8103" s="40">
        <v>6</v>
      </c>
      <c r="H8103" s="40">
        <v>24.869909999999997</v>
      </c>
      <c r="I8103" s="212"/>
      <c r="J8103" s="212"/>
    </row>
    <row r="8104" spans="1:10" s="15" customFormat="1" ht="18" hidden="1" customHeight="1" outlineLevel="1" x14ac:dyDescent="0.25">
      <c r="A8104" s="18">
        <v>5446</v>
      </c>
      <c r="B8104" s="4" t="s">
        <v>43</v>
      </c>
      <c r="C8104" s="38" t="s">
        <v>10583</v>
      </c>
      <c r="D8104" s="23">
        <v>2023</v>
      </c>
      <c r="E8104" s="18" t="s">
        <v>0</v>
      </c>
      <c r="F8104" s="6">
        <v>1</v>
      </c>
      <c r="G8104" s="40">
        <v>5</v>
      </c>
      <c r="H8104" s="40">
        <v>24.869909999999997</v>
      </c>
      <c r="I8104" s="212"/>
      <c r="J8104" s="212"/>
    </row>
    <row r="8105" spans="1:10" s="15" customFormat="1" ht="18" hidden="1" customHeight="1" outlineLevel="1" x14ac:dyDescent="0.25">
      <c r="A8105" s="18">
        <v>5447</v>
      </c>
      <c r="B8105" s="4" t="s">
        <v>43</v>
      </c>
      <c r="C8105" s="38" t="s">
        <v>10584</v>
      </c>
      <c r="D8105" s="23">
        <v>2023</v>
      </c>
      <c r="E8105" s="18" t="s">
        <v>0</v>
      </c>
      <c r="F8105" s="6">
        <v>1</v>
      </c>
      <c r="G8105" s="40">
        <v>5</v>
      </c>
      <c r="H8105" s="40">
        <v>24.869909999999997</v>
      </c>
      <c r="I8105" s="212"/>
      <c r="J8105" s="212"/>
    </row>
    <row r="8106" spans="1:10" s="15" customFormat="1" ht="18" hidden="1" customHeight="1" outlineLevel="1" x14ac:dyDescent="0.25">
      <c r="A8106" s="18">
        <v>5448</v>
      </c>
      <c r="B8106" s="4" t="s">
        <v>43</v>
      </c>
      <c r="C8106" s="38" t="s">
        <v>10585</v>
      </c>
      <c r="D8106" s="23">
        <v>2023</v>
      </c>
      <c r="E8106" s="18" t="s">
        <v>0</v>
      </c>
      <c r="F8106" s="6">
        <v>1</v>
      </c>
      <c r="G8106" s="40">
        <v>8</v>
      </c>
      <c r="H8106" s="40">
        <v>24.869909999999997</v>
      </c>
      <c r="I8106" s="212"/>
      <c r="J8106" s="212"/>
    </row>
    <row r="8107" spans="1:10" s="15" customFormat="1" ht="18" hidden="1" customHeight="1" outlineLevel="1" x14ac:dyDescent="0.25">
      <c r="A8107" s="18">
        <v>1080</v>
      </c>
      <c r="B8107" s="4" t="s">
        <v>43</v>
      </c>
      <c r="C8107" s="38" t="s">
        <v>10586</v>
      </c>
      <c r="D8107" s="23">
        <v>2023</v>
      </c>
      <c r="E8107" s="18" t="s">
        <v>0</v>
      </c>
      <c r="F8107" s="6">
        <v>1</v>
      </c>
      <c r="G8107" s="40">
        <v>10</v>
      </c>
      <c r="H8107" s="40">
        <v>24.8993</v>
      </c>
      <c r="I8107" s="212"/>
      <c r="J8107" s="212"/>
    </row>
    <row r="8108" spans="1:10" s="15" customFormat="1" ht="18" hidden="1" customHeight="1" outlineLevel="1" x14ac:dyDescent="0.25">
      <c r="A8108" s="18">
        <v>5449</v>
      </c>
      <c r="B8108" s="4" t="s">
        <v>43</v>
      </c>
      <c r="C8108" s="38" t="s">
        <v>10587</v>
      </c>
      <c r="D8108" s="23">
        <v>2023</v>
      </c>
      <c r="E8108" s="18" t="s">
        <v>0</v>
      </c>
      <c r="F8108" s="6">
        <v>1</v>
      </c>
      <c r="G8108" s="40">
        <v>5</v>
      </c>
      <c r="H8108" s="40">
        <v>25.019180000000002</v>
      </c>
      <c r="I8108" s="212"/>
      <c r="J8108" s="212"/>
    </row>
    <row r="8109" spans="1:10" s="15" customFormat="1" ht="18" hidden="1" customHeight="1" outlineLevel="1" x14ac:dyDescent="0.25">
      <c r="A8109" s="18">
        <v>5450</v>
      </c>
      <c r="B8109" s="4" t="s">
        <v>43</v>
      </c>
      <c r="C8109" s="38" t="s">
        <v>10588</v>
      </c>
      <c r="D8109" s="23">
        <v>2023</v>
      </c>
      <c r="E8109" s="18" t="s">
        <v>0</v>
      </c>
      <c r="F8109" s="6">
        <v>1</v>
      </c>
      <c r="G8109" s="40">
        <v>8</v>
      </c>
      <c r="H8109" s="40">
        <v>25.019180000000002</v>
      </c>
      <c r="I8109" s="212"/>
      <c r="J8109" s="212"/>
    </row>
    <row r="8110" spans="1:10" s="15" customFormat="1" ht="18" hidden="1" customHeight="1" outlineLevel="1" x14ac:dyDescent="0.25">
      <c r="A8110" s="18">
        <v>5451</v>
      </c>
      <c r="B8110" s="4" t="s">
        <v>43</v>
      </c>
      <c r="C8110" s="38" t="s">
        <v>10589</v>
      </c>
      <c r="D8110" s="23">
        <v>2023</v>
      </c>
      <c r="E8110" s="18" t="s">
        <v>0</v>
      </c>
      <c r="F8110" s="6">
        <v>1</v>
      </c>
      <c r="G8110" s="40">
        <v>10</v>
      </c>
      <c r="H8110" s="40">
        <v>25.019180000000002</v>
      </c>
      <c r="I8110" s="212"/>
      <c r="J8110" s="212"/>
    </row>
    <row r="8111" spans="1:10" s="15" customFormat="1" ht="18" hidden="1" customHeight="1" outlineLevel="1" x14ac:dyDescent="0.25">
      <c r="A8111" s="18">
        <v>5452</v>
      </c>
      <c r="B8111" s="4" t="s">
        <v>43</v>
      </c>
      <c r="C8111" s="38" t="s">
        <v>10590</v>
      </c>
      <c r="D8111" s="23">
        <v>2023</v>
      </c>
      <c r="E8111" s="18" t="s">
        <v>0</v>
      </c>
      <c r="F8111" s="6">
        <v>1</v>
      </c>
      <c r="G8111" s="40">
        <v>8</v>
      </c>
      <c r="H8111" s="40">
        <v>25.019180000000002</v>
      </c>
      <c r="I8111" s="212"/>
      <c r="J8111" s="212"/>
    </row>
    <row r="8112" spans="1:10" s="15" customFormat="1" ht="18" hidden="1" customHeight="1" outlineLevel="1" x14ac:dyDescent="0.25">
      <c r="A8112" s="18">
        <v>5453</v>
      </c>
      <c r="B8112" s="4" t="s">
        <v>43</v>
      </c>
      <c r="C8112" s="38" t="s">
        <v>10591</v>
      </c>
      <c r="D8112" s="23">
        <v>2023</v>
      </c>
      <c r="E8112" s="18" t="s">
        <v>0</v>
      </c>
      <c r="F8112" s="6">
        <v>1</v>
      </c>
      <c r="G8112" s="40">
        <v>5</v>
      </c>
      <c r="H8112" s="40">
        <v>25.019180000000002</v>
      </c>
      <c r="I8112" s="212"/>
      <c r="J8112" s="212"/>
    </row>
    <row r="8113" spans="1:10" s="15" customFormat="1" ht="18" hidden="1" customHeight="1" outlineLevel="1" x14ac:dyDescent="0.25">
      <c r="A8113" s="18">
        <v>5454</v>
      </c>
      <c r="B8113" s="4" t="s">
        <v>43</v>
      </c>
      <c r="C8113" s="38" t="s">
        <v>10592</v>
      </c>
      <c r="D8113" s="23">
        <v>2023</v>
      </c>
      <c r="E8113" s="18" t="s">
        <v>0</v>
      </c>
      <c r="F8113" s="6">
        <v>1</v>
      </c>
      <c r="G8113" s="40">
        <v>8</v>
      </c>
      <c r="H8113" s="40">
        <v>25.019180000000002</v>
      </c>
      <c r="I8113" s="212"/>
      <c r="J8113" s="212"/>
    </row>
    <row r="8114" spans="1:10" s="15" customFormat="1" ht="18" hidden="1" customHeight="1" outlineLevel="1" x14ac:dyDescent="0.25">
      <c r="A8114" s="18">
        <v>5455</v>
      </c>
      <c r="B8114" s="4" t="s">
        <v>43</v>
      </c>
      <c r="C8114" s="38" t="s">
        <v>10593</v>
      </c>
      <c r="D8114" s="23">
        <v>2023</v>
      </c>
      <c r="E8114" s="18" t="s">
        <v>0</v>
      </c>
      <c r="F8114" s="6">
        <v>1</v>
      </c>
      <c r="G8114" s="40">
        <v>8</v>
      </c>
      <c r="H8114" s="40">
        <v>25.019180000000002</v>
      </c>
      <c r="I8114" s="212"/>
      <c r="J8114" s="212"/>
    </row>
    <row r="8115" spans="1:10" s="15" customFormat="1" ht="18" hidden="1" customHeight="1" outlineLevel="1" x14ac:dyDescent="0.25">
      <c r="A8115" s="18">
        <v>5456</v>
      </c>
      <c r="B8115" s="4" t="s">
        <v>43</v>
      </c>
      <c r="C8115" s="38" t="s">
        <v>10594</v>
      </c>
      <c r="D8115" s="23">
        <v>2023</v>
      </c>
      <c r="E8115" s="18" t="s">
        <v>0</v>
      </c>
      <c r="F8115" s="6">
        <v>1</v>
      </c>
      <c r="G8115" s="40">
        <v>7.5</v>
      </c>
      <c r="H8115" s="40">
        <v>25.019180000000002</v>
      </c>
      <c r="I8115" s="212"/>
      <c r="J8115" s="212"/>
    </row>
    <row r="8116" spans="1:10" s="15" customFormat="1" ht="18" hidden="1" customHeight="1" outlineLevel="1" x14ac:dyDescent="0.25">
      <c r="A8116" s="18">
        <v>1068</v>
      </c>
      <c r="B8116" s="4" t="s">
        <v>43</v>
      </c>
      <c r="C8116" s="38" t="s">
        <v>10595</v>
      </c>
      <c r="D8116" s="23">
        <v>2023</v>
      </c>
      <c r="E8116" s="18" t="s">
        <v>0</v>
      </c>
      <c r="F8116" s="6">
        <v>1</v>
      </c>
      <c r="G8116" s="40">
        <v>5</v>
      </c>
      <c r="H8116" s="40">
        <v>25.019180000000002</v>
      </c>
      <c r="I8116" s="212"/>
      <c r="J8116" s="212"/>
    </row>
    <row r="8117" spans="1:10" s="15" customFormat="1" ht="18" hidden="1" customHeight="1" outlineLevel="1" x14ac:dyDescent="0.25">
      <c r="A8117" s="18">
        <v>5457</v>
      </c>
      <c r="B8117" s="4" t="s">
        <v>43</v>
      </c>
      <c r="C8117" s="38" t="s">
        <v>10596</v>
      </c>
      <c r="D8117" s="23">
        <v>2023</v>
      </c>
      <c r="E8117" s="18" t="s">
        <v>0</v>
      </c>
      <c r="F8117" s="6">
        <v>1</v>
      </c>
      <c r="G8117" s="40">
        <v>10</v>
      </c>
      <c r="H8117" s="40">
        <v>25.019169999999995</v>
      </c>
      <c r="I8117" s="212"/>
      <c r="J8117" s="212"/>
    </row>
    <row r="8118" spans="1:10" s="15" customFormat="1" ht="18" hidden="1" customHeight="1" outlineLevel="1" x14ac:dyDescent="0.25">
      <c r="A8118" s="18">
        <v>1081</v>
      </c>
      <c r="B8118" s="4" t="s">
        <v>43</v>
      </c>
      <c r="C8118" s="38" t="s">
        <v>10597</v>
      </c>
      <c r="D8118" s="23">
        <v>2023</v>
      </c>
      <c r="E8118" s="18" t="s">
        <v>0</v>
      </c>
      <c r="F8118" s="6">
        <v>1</v>
      </c>
      <c r="G8118" s="40">
        <v>10</v>
      </c>
      <c r="H8118" s="40">
        <v>25.019069999999999</v>
      </c>
      <c r="I8118" s="212"/>
      <c r="J8118" s="212"/>
    </row>
    <row r="8119" spans="1:10" s="15" customFormat="1" ht="18" hidden="1" customHeight="1" outlineLevel="1" x14ac:dyDescent="0.25">
      <c r="A8119" s="18">
        <v>5458</v>
      </c>
      <c r="B8119" s="4" t="s">
        <v>43</v>
      </c>
      <c r="C8119" s="38" t="s">
        <v>10598</v>
      </c>
      <c r="D8119" s="23">
        <v>2023</v>
      </c>
      <c r="E8119" s="18" t="s">
        <v>0</v>
      </c>
      <c r="F8119" s="6">
        <v>1</v>
      </c>
      <c r="G8119" s="40">
        <v>10</v>
      </c>
      <c r="H8119" s="40">
        <v>25.138610000000003</v>
      </c>
      <c r="I8119" s="212"/>
      <c r="J8119" s="212"/>
    </row>
    <row r="8120" spans="1:10" s="15" customFormat="1" ht="18" hidden="1" customHeight="1" outlineLevel="1" x14ac:dyDescent="0.25">
      <c r="A8120" s="18">
        <v>5459</v>
      </c>
      <c r="B8120" s="4" t="s">
        <v>43</v>
      </c>
      <c r="C8120" s="38" t="s">
        <v>10599</v>
      </c>
      <c r="D8120" s="23">
        <v>2023</v>
      </c>
      <c r="E8120" s="18" t="s">
        <v>0</v>
      </c>
      <c r="F8120" s="6">
        <v>1</v>
      </c>
      <c r="G8120" s="40">
        <v>10</v>
      </c>
      <c r="H8120" s="40">
        <v>24.89978</v>
      </c>
      <c r="I8120" s="212"/>
      <c r="J8120" s="212"/>
    </row>
    <row r="8121" spans="1:10" s="15" customFormat="1" ht="18" hidden="1" customHeight="1" outlineLevel="1" x14ac:dyDescent="0.25">
      <c r="A8121" s="18">
        <v>5460</v>
      </c>
      <c r="B8121" s="4" t="s">
        <v>43</v>
      </c>
      <c r="C8121" s="38" t="s">
        <v>10600</v>
      </c>
      <c r="D8121" s="23">
        <v>2023</v>
      </c>
      <c r="E8121" s="18" t="s">
        <v>0</v>
      </c>
      <c r="F8121" s="6">
        <v>1</v>
      </c>
      <c r="G8121" s="40">
        <v>5</v>
      </c>
      <c r="H8121" s="40">
        <v>25.377459999999999</v>
      </c>
      <c r="I8121" s="212"/>
      <c r="J8121" s="212"/>
    </row>
    <row r="8122" spans="1:10" s="15" customFormat="1" ht="18" hidden="1" customHeight="1" outlineLevel="1" x14ac:dyDescent="0.25">
      <c r="A8122" s="18">
        <v>5461</v>
      </c>
      <c r="B8122" s="4" t="s">
        <v>43</v>
      </c>
      <c r="C8122" s="38" t="s">
        <v>10601</v>
      </c>
      <c r="D8122" s="23">
        <v>2023</v>
      </c>
      <c r="E8122" s="18" t="s">
        <v>0</v>
      </c>
      <c r="F8122" s="6">
        <v>1</v>
      </c>
      <c r="G8122" s="40">
        <v>8</v>
      </c>
      <c r="H8122" s="40">
        <v>24.89978</v>
      </c>
      <c r="I8122" s="212"/>
      <c r="J8122" s="212"/>
    </row>
    <row r="8123" spans="1:10" s="15" customFormat="1" ht="18" hidden="1" customHeight="1" outlineLevel="1" x14ac:dyDescent="0.25">
      <c r="A8123" s="18">
        <v>5462</v>
      </c>
      <c r="B8123" s="4" t="s">
        <v>43</v>
      </c>
      <c r="C8123" s="38" t="s">
        <v>10602</v>
      </c>
      <c r="D8123" s="23">
        <v>2023</v>
      </c>
      <c r="E8123" s="18" t="s">
        <v>0</v>
      </c>
      <c r="F8123" s="6">
        <v>1</v>
      </c>
      <c r="G8123" s="40">
        <v>10</v>
      </c>
      <c r="H8123" s="40">
        <v>25.377459999999999</v>
      </c>
      <c r="I8123" s="212"/>
      <c r="J8123" s="212"/>
    </row>
    <row r="8124" spans="1:10" s="15" customFormat="1" ht="18" hidden="1" customHeight="1" outlineLevel="1" x14ac:dyDescent="0.25">
      <c r="A8124" s="18">
        <v>5463</v>
      </c>
      <c r="B8124" s="4" t="s">
        <v>43</v>
      </c>
      <c r="C8124" s="38" t="s">
        <v>10603</v>
      </c>
      <c r="D8124" s="23">
        <v>2023</v>
      </c>
      <c r="E8124" s="18" t="s">
        <v>0</v>
      </c>
      <c r="F8124" s="6">
        <v>1</v>
      </c>
      <c r="G8124" s="40">
        <v>10</v>
      </c>
      <c r="H8124" s="40">
        <v>24.89978</v>
      </c>
      <c r="I8124" s="212"/>
      <c r="J8124" s="212"/>
    </row>
    <row r="8125" spans="1:10" s="15" customFormat="1" ht="18" hidden="1" customHeight="1" outlineLevel="1" x14ac:dyDescent="0.25">
      <c r="A8125" s="18">
        <v>5464</v>
      </c>
      <c r="B8125" s="4" t="s">
        <v>43</v>
      </c>
      <c r="C8125" s="38" t="s">
        <v>10604</v>
      </c>
      <c r="D8125" s="23">
        <v>2023</v>
      </c>
      <c r="E8125" s="18" t="s">
        <v>0</v>
      </c>
      <c r="F8125" s="6">
        <v>1</v>
      </c>
      <c r="G8125" s="40">
        <v>8</v>
      </c>
      <c r="H8125" s="40">
        <v>25.377459999999999</v>
      </c>
      <c r="I8125" s="212"/>
      <c r="J8125" s="212"/>
    </row>
    <row r="8126" spans="1:10" s="15" customFormat="1" ht="18" hidden="1" customHeight="1" outlineLevel="1" x14ac:dyDescent="0.25">
      <c r="A8126" s="18">
        <v>5465</v>
      </c>
      <c r="B8126" s="4" t="s">
        <v>43</v>
      </c>
      <c r="C8126" s="38" t="s">
        <v>10605</v>
      </c>
      <c r="D8126" s="23">
        <v>2023</v>
      </c>
      <c r="E8126" s="18" t="s">
        <v>0</v>
      </c>
      <c r="F8126" s="6">
        <v>1</v>
      </c>
      <c r="G8126" s="40">
        <v>8</v>
      </c>
      <c r="H8126" s="40">
        <v>24.89978</v>
      </c>
      <c r="I8126" s="212"/>
      <c r="J8126" s="212"/>
    </row>
    <row r="8127" spans="1:10" s="15" customFormat="1" ht="18" hidden="1" customHeight="1" outlineLevel="1" x14ac:dyDescent="0.25">
      <c r="A8127" s="18">
        <v>5466</v>
      </c>
      <c r="B8127" s="4" t="s">
        <v>43</v>
      </c>
      <c r="C8127" s="38" t="s">
        <v>10606</v>
      </c>
      <c r="D8127" s="23">
        <v>2023</v>
      </c>
      <c r="E8127" s="18" t="s">
        <v>0</v>
      </c>
      <c r="F8127" s="6">
        <v>1</v>
      </c>
      <c r="G8127" s="40">
        <v>10</v>
      </c>
      <c r="H8127" s="40">
        <v>25.078860000000002</v>
      </c>
      <c r="I8127" s="212"/>
      <c r="J8127" s="212"/>
    </row>
    <row r="8128" spans="1:10" s="15" customFormat="1" ht="18" hidden="1" customHeight="1" outlineLevel="1" x14ac:dyDescent="0.25">
      <c r="A8128" s="18">
        <v>1156</v>
      </c>
      <c r="B8128" s="4" t="s">
        <v>43</v>
      </c>
      <c r="C8128" s="38" t="s">
        <v>10607</v>
      </c>
      <c r="D8128" s="23">
        <v>2023</v>
      </c>
      <c r="E8128" s="18" t="s">
        <v>0</v>
      </c>
      <c r="F8128" s="6">
        <v>1</v>
      </c>
      <c r="G8128" s="40">
        <v>8</v>
      </c>
      <c r="H8128" s="40">
        <v>24.89978</v>
      </c>
      <c r="I8128" s="212"/>
      <c r="J8128" s="212"/>
    </row>
    <row r="8129" spans="1:10" s="15" customFormat="1" ht="18" hidden="1" customHeight="1" outlineLevel="1" x14ac:dyDescent="0.25">
      <c r="A8129" s="18">
        <v>5467</v>
      </c>
      <c r="B8129" s="4" t="s">
        <v>43</v>
      </c>
      <c r="C8129" s="38" t="s">
        <v>10608</v>
      </c>
      <c r="D8129" s="23">
        <v>2023</v>
      </c>
      <c r="E8129" s="18" t="s">
        <v>0</v>
      </c>
      <c r="F8129" s="6">
        <v>1</v>
      </c>
      <c r="G8129" s="40">
        <v>5</v>
      </c>
      <c r="H8129" s="40">
        <v>25.078849999999999</v>
      </c>
      <c r="I8129" s="212"/>
      <c r="J8129" s="212"/>
    </row>
    <row r="8130" spans="1:10" s="15" customFormat="1" ht="18" hidden="1" customHeight="1" outlineLevel="1" x14ac:dyDescent="0.25">
      <c r="A8130" s="18">
        <v>5468</v>
      </c>
      <c r="B8130" s="4" t="s">
        <v>43</v>
      </c>
      <c r="C8130" s="38" t="s">
        <v>10609</v>
      </c>
      <c r="D8130" s="23">
        <v>2023</v>
      </c>
      <c r="E8130" s="18" t="s">
        <v>0</v>
      </c>
      <c r="F8130" s="6">
        <v>1</v>
      </c>
      <c r="G8130" s="40">
        <v>8</v>
      </c>
      <c r="H8130" s="40">
        <v>25.049009999999999</v>
      </c>
      <c r="I8130" s="212"/>
      <c r="J8130" s="212"/>
    </row>
    <row r="8131" spans="1:10" s="15" customFormat="1" ht="18" hidden="1" customHeight="1" outlineLevel="1" x14ac:dyDescent="0.25">
      <c r="A8131" s="18">
        <v>5469</v>
      </c>
      <c r="B8131" s="4" t="s">
        <v>43</v>
      </c>
      <c r="C8131" s="38" t="s">
        <v>10610</v>
      </c>
      <c r="D8131" s="23">
        <v>2023</v>
      </c>
      <c r="E8131" s="18" t="s">
        <v>0</v>
      </c>
      <c r="F8131" s="6">
        <v>1</v>
      </c>
      <c r="G8131" s="40">
        <v>10</v>
      </c>
      <c r="H8131" s="40">
        <v>24.869900000000001</v>
      </c>
      <c r="I8131" s="212"/>
      <c r="J8131" s="212"/>
    </row>
    <row r="8132" spans="1:10" s="15" customFormat="1" ht="18" hidden="1" customHeight="1" outlineLevel="1" x14ac:dyDescent="0.25">
      <c r="A8132" s="18">
        <v>5470</v>
      </c>
      <c r="B8132" s="4" t="s">
        <v>43</v>
      </c>
      <c r="C8132" s="38" t="s">
        <v>10611</v>
      </c>
      <c r="D8132" s="23">
        <v>2023</v>
      </c>
      <c r="E8132" s="18" t="s">
        <v>0</v>
      </c>
      <c r="F8132" s="6">
        <v>1</v>
      </c>
      <c r="G8132" s="40">
        <v>8</v>
      </c>
      <c r="H8132" s="40">
        <v>24.869909999999997</v>
      </c>
      <c r="I8132" s="212"/>
      <c r="J8132" s="212"/>
    </row>
    <row r="8133" spans="1:10" s="15" customFormat="1" ht="18" hidden="1" customHeight="1" outlineLevel="1" x14ac:dyDescent="0.25">
      <c r="A8133" s="18">
        <v>5471</v>
      </c>
      <c r="B8133" s="4" t="s">
        <v>43</v>
      </c>
      <c r="C8133" s="38" t="s">
        <v>10612</v>
      </c>
      <c r="D8133" s="23">
        <v>2023</v>
      </c>
      <c r="E8133" s="18" t="s">
        <v>0</v>
      </c>
      <c r="F8133" s="6">
        <v>1</v>
      </c>
      <c r="G8133" s="40">
        <v>8</v>
      </c>
      <c r="H8133" s="40">
        <v>24.869900000000001</v>
      </c>
      <c r="I8133" s="212"/>
      <c r="J8133" s="212"/>
    </row>
    <row r="8134" spans="1:10" s="15" customFormat="1" ht="18" hidden="1" customHeight="1" outlineLevel="1" x14ac:dyDescent="0.25">
      <c r="A8134" s="18">
        <v>5472</v>
      </c>
      <c r="B8134" s="4" t="s">
        <v>43</v>
      </c>
      <c r="C8134" s="38" t="s">
        <v>10613</v>
      </c>
      <c r="D8134" s="23">
        <v>2023</v>
      </c>
      <c r="E8134" s="18" t="s">
        <v>0</v>
      </c>
      <c r="F8134" s="6">
        <v>1</v>
      </c>
      <c r="G8134" s="40">
        <v>10</v>
      </c>
      <c r="H8134" s="40">
        <v>24.869909999999997</v>
      </c>
      <c r="I8134" s="212"/>
      <c r="J8134" s="212"/>
    </row>
    <row r="8135" spans="1:10" s="15" customFormat="1" ht="18" hidden="1" customHeight="1" outlineLevel="1" x14ac:dyDescent="0.25">
      <c r="A8135" s="18">
        <v>5473</v>
      </c>
      <c r="B8135" s="4" t="s">
        <v>43</v>
      </c>
      <c r="C8135" s="38" t="s">
        <v>10614</v>
      </c>
      <c r="D8135" s="23">
        <v>2023</v>
      </c>
      <c r="E8135" s="18" t="s">
        <v>0</v>
      </c>
      <c r="F8135" s="6">
        <v>1</v>
      </c>
      <c r="G8135" s="40">
        <v>5</v>
      </c>
      <c r="H8135" s="40">
        <v>24.869900000000001</v>
      </c>
      <c r="I8135" s="212"/>
      <c r="J8135" s="212"/>
    </row>
    <row r="8136" spans="1:10" s="15" customFormat="1" ht="18" hidden="1" customHeight="1" outlineLevel="1" x14ac:dyDescent="0.25">
      <c r="A8136" s="18">
        <v>5474</v>
      </c>
      <c r="B8136" s="4" t="s">
        <v>43</v>
      </c>
      <c r="C8136" s="38" t="s">
        <v>10615</v>
      </c>
      <c r="D8136" s="23">
        <v>2023</v>
      </c>
      <c r="E8136" s="18" t="s">
        <v>0</v>
      </c>
      <c r="F8136" s="6">
        <v>1</v>
      </c>
      <c r="G8136" s="40">
        <v>10</v>
      </c>
      <c r="H8136" s="40">
        <v>24.869909999999997</v>
      </c>
      <c r="I8136" s="212"/>
      <c r="J8136" s="212"/>
    </row>
    <row r="8137" spans="1:10" s="15" customFormat="1" ht="18" hidden="1" customHeight="1" outlineLevel="1" x14ac:dyDescent="0.25">
      <c r="A8137" s="18">
        <v>3448</v>
      </c>
      <c r="B8137" s="4" t="s">
        <v>43</v>
      </c>
      <c r="C8137" s="38" t="s">
        <v>10616</v>
      </c>
      <c r="D8137" s="23">
        <v>2023</v>
      </c>
      <c r="E8137" s="18" t="s">
        <v>0</v>
      </c>
      <c r="F8137" s="6">
        <v>1</v>
      </c>
      <c r="G8137" s="40">
        <v>10</v>
      </c>
      <c r="H8137" s="40">
        <v>24.869909999999997</v>
      </c>
      <c r="I8137" s="212"/>
      <c r="J8137" s="212"/>
    </row>
    <row r="8138" spans="1:10" s="15" customFormat="1" ht="18" hidden="1" customHeight="1" outlineLevel="1" x14ac:dyDescent="0.25">
      <c r="A8138" s="18">
        <v>3449</v>
      </c>
      <c r="B8138" s="4" t="s">
        <v>43</v>
      </c>
      <c r="C8138" s="38" t="s">
        <v>10617</v>
      </c>
      <c r="D8138" s="23">
        <v>2023</v>
      </c>
      <c r="E8138" s="18" t="s">
        <v>0</v>
      </c>
      <c r="F8138" s="6">
        <v>1</v>
      </c>
      <c r="G8138" s="40">
        <v>5</v>
      </c>
      <c r="H8138" s="40">
        <v>24.869889999999998</v>
      </c>
      <c r="I8138" s="212"/>
      <c r="J8138" s="212"/>
    </row>
    <row r="8139" spans="1:10" s="15" customFormat="1" ht="18" hidden="1" customHeight="1" outlineLevel="1" x14ac:dyDescent="0.25">
      <c r="A8139" s="18">
        <v>3450</v>
      </c>
      <c r="B8139" s="4" t="s">
        <v>43</v>
      </c>
      <c r="C8139" s="38" t="s">
        <v>10618</v>
      </c>
      <c r="D8139" s="23">
        <v>2023</v>
      </c>
      <c r="E8139" s="18" t="s">
        <v>0</v>
      </c>
      <c r="F8139" s="6">
        <v>1</v>
      </c>
      <c r="G8139" s="40">
        <v>5</v>
      </c>
      <c r="H8139" s="40">
        <v>24.869889999999998</v>
      </c>
      <c r="I8139" s="212"/>
      <c r="J8139" s="212"/>
    </row>
    <row r="8140" spans="1:10" s="15" customFormat="1" ht="18" hidden="1" customHeight="1" outlineLevel="1" x14ac:dyDescent="0.25">
      <c r="A8140" s="18">
        <v>3451</v>
      </c>
      <c r="B8140" s="4" t="s">
        <v>43</v>
      </c>
      <c r="C8140" s="38" t="s">
        <v>10619</v>
      </c>
      <c r="D8140" s="23">
        <v>2023</v>
      </c>
      <c r="E8140" s="18" t="s">
        <v>0</v>
      </c>
      <c r="F8140" s="6">
        <v>1</v>
      </c>
      <c r="G8140" s="40">
        <v>8</v>
      </c>
      <c r="H8140" s="40">
        <v>24.869909999999997</v>
      </c>
      <c r="I8140" s="212"/>
      <c r="J8140" s="212"/>
    </row>
    <row r="8141" spans="1:10" s="15" customFormat="1" ht="18" hidden="1" customHeight="1" outlineLevel="1" x14ac:dyDescent="0.25">
      <c r="A8141" s="18">
        <v>3452</v>
      </c>
      <c r="B8141" s="4" t="s">
        <v>43</v>
      </c>
      <c r="C8141" s="38" t="s">
        <v>10620</v>
      </c>
      <c r="D8141" s="23">
        <v>2023</v>
      </c>
      <c r="E8141" s="18" t="s">
        <v>0</v>
      </c>
      <c r="F8141" s="6">
        <v>1</v>
      </c>
      <c r="G8141" s="40">
        <v>10</v>
      </c>
      <c r="H8141" s="40">
        <v>24.869909999999997</v>
      </c>
      <c r="I8141" s="212"/>
      <c r="J8141" s="212"/>
    </row>
    <row r="8142" spans="1:10" s="15" customFormat="1" ht="18" hidden="1" customHeight="1" outlineLevel="1" x14ac:dyDescent="0.25">
      <c r="A8142" s="18">
        <v>3453</v>
      </c>
      <c r="B8142" s="4" t="s">
        <v>43</v>
      </c>
      <c r="C8142" s="38" t="s">
        <v>10621</v>
      </c>
      <c r="D8142" s="23">
        <v>2023</v>
      </c>
      <c r="E8142" s="18" t="s">
        <v>0</v>
      </c>
      <c r="F8142" s="6">
        <v>1</v>
      </c>
      <c r="G8142" s="40">
        <v>5</v>
      </c>
      <c r="H8142" s="40">
        <v>24.869889999999998</v>
      </c>
      <c r="I8142" s="212"/>
      <c r="J8142" s="212"/>
    </row>
    <row r="8143" spans="1:10" s="15" customFormat="1" ht="18" hidden="1" customHeight="1" outlineLevel="1" x14ac:dyDescent="0.25">
      <c r="A8143" s="18">
        <v>3454</v>
      </c>
      <c r="B8143" s="4" t="s">
        <v>43</v>
      </c>
      <c r="C8143" s="38" t="s">
        <v>10622</v>
      </c>
      <c r="D8143" s="23">
        <v>2023</v>
      </c>
      <c r="E8143" s="18" t="s">
        <v>0</v>
      </c>
      <c r="F8143" s="6">
        <v>1</v>
      </c>
      <c r="G8143" s="40">
        <v>5</v>
      </c>
      <c r="H8143" s="40">
        <v>24.869900000000001</v>
      </c>
      <c r="I8143" s="212"/>
      <c r="J8143" s="212"/>
    </row>
    <row r="8144" spans="1:10" s="15" customFormat="1" ht="18" hidden="1" customHeight="1" outlineLevel="1" x14ac:dyDescent="0.25">
      <c r="A8144" s="18">
        <v>3455</v>
      </c>
      <c r="B8144" s="4" t="s">
        <v>43</v>
      </c>
      <c r="C8144" s="38" t="s">
        <v>10623</v>
      </c>
      <c r="D8144" s="23">
        <v>2023</v>
      </c>
      <c r="E8144" s="18" t="s">
        <v>0</v>
      </c>
      <c r="F8144" s="6">
        <v>1</v>
      </c>
      <c r="G8144" s="40">
        <v>10</v>
      </c>
      <c r="H8144" s="40">
        <v>24.869889999999998</v>
      </c>
      <c r="I8144" s="212"/>
      <c r="J8144" s="212"/>
    </row>
    <row r="8145" spans="1:10" s="15" customFormat="1" ht="18" hidden="1" customHeight="1" outlineLevel="1" x14ac:dyDescent="0.25">
      <c r="A8145" s="18">
        <v>5475</v>
      </c>
      <c r="B8145" s="4" t="s">
        <v>43</v>
      </c>
      <c r="C8145" s="38" t="s">
        <v>10624</v>
      </c>
      <c r="D8145" s="23">
        <v>2023</v>
      </c>
      <c r="E8145" s="18" t="s">
        <v>0</v>
      </c>
      <c r="F8145" s="6">
        <v>1</v>
      </c>
      <c r="G8145" s="40">
        <v>5</v>
      </c>
      <c r="H8145" s="40">
        <v>24.869900000000001</v>
      </c>
      <c r="I8145" s="212"/>
      <c r="J8145" s="212"/>
    </row>
    <row r="8146" spans="1:10" s="15" customFormat="1" ht="18" hidden="1" customHeight="1" outlineLevel="1" x14ac:dyDescent="0.25">
      <c r="A8146" s="18">
        <v>5476</v>
      </c>
      <c r="B8146" s="4" t="s">
        <v>43</v>
      </c>
      <c r="C8146" s="38" t="s">
        <v>10625</v>
      </c>
      <c r="D8146" s="23">
        <v>2023</v>
      </c>
      <c r="E8146" s="18" t="s">
        <v>0</v>
      </c>
      <c r="F8146" s="6">
        <v>1</v>
      </c>
      <c r="G8146" s="40">
        <v>8</v>
      </c>
      <c r="H8146" s="40">
        <v>24.869909999999997</v>
      </c>
      <c r="I8146" s="212"/>
      <c r="J8146" s="212"/>
    </row>
    <row r="8147" spans="1:10" s="15" customFormat="1" ht="18" hidden="1" customHeight="1" outlineLevel="1" x14ac:dyDescent="0.25">
      <c r="A8147" s="18">
        <v>3456</v>
      </c>
      <c r="B8147" s="4" t="s">
        <v>43</v>
      </c>
      <c r="C8147" s="38" t="s">
        <v>10626</v>
      </c>
      <c r="D8147" s="23">
        <v>2023</v>
      </c>
      <c r="E8147" s="18" t="s">
        <v>0</v>
      </c>
      <c r="F8147" s="6">
        <v>1</v>
      </c>
      <c r="G8147" s="40">
        <v>5</v>
      </c>
      <c r="H8147" s="40">
        <v>24.869909999999997</v>
      </c>
      <c r="I8147" s="212"/>
      <c r="J8147" s="212"/>
    </row>
    <row r="8148" spans="1:10" s="15" customFormat="1" ht="18" hidden="1" customHeight="1" outlineLevel="1" x14ac:dyDescent="0.25">
      <c r="A8148" s="18">
        <v>5477</v>
      </c>
      <c r="B8148" s="4" t="s">
        <v>43</v>
      </c>
      <c r="C8148" s="38" t="s">
        <v>10627</v>
      </c>
      <c r="D8148" s="23">
        <v>2023</v>
      </c>
      <c r="E8148" s="18" t="s">
        <v>0</v>
      </c>
      <c r="F8148" s="6">
        <v>1</v>
      </c>
      <c r="G8148" s="40">
        <v>5</v>
      </c>
      <c r="H8148" s="40">
        <v>24.869909999999997</v>
      </c>
      <c r="I8148" s="212"/>
      <c r="J8148" s="212"/>
    </row>
    <row r="8149" spans="1:10" s="15" customFormat="1" ht="18" hidden="1" customHeight="1" outlineLevel="1" x14ac:dyDescent="0.25">
      <c r="A8149" s="18">
        <v>5478</v>
      </c>
      <c r="B8149" s="4" t="s">
        <v>43</v>
      </c>
      <c r="C8149" s="38" t="s">
        <v>10628</v>
      </c>
      <c r="D8149" s="23">
        <v>2023</v>
      </c>
      <c r="E8149" s="18" t="s">
        <v>0</v>
      </c>
      <c r="F8149" s="6">
        <v>1</v>
      </c>
      <c r="G8149" s="40">
        <v>8</v>
      </c>
      <c r="H8149" s="40">
        <v>24.869909999999997</v>
      </c>
      <c r="I8149" s="212"/>
      <c r="J8149" s="212"/>
    </row>
    <row r="8150" spans="1:10" s="15" customFormat="1" ht="18" hidden="1" customHeight="1" outlineLevel="1" x14ac:dyDescent="0.25">
      <c r="A8150" s="18">
        <v>5479</v>
      </c>
      <c r="B8150" s="4" t="s">
        <v>43</v>
      </c>
      <c r="C8150" s="38" t="s">
        <v>10629</v>
      </c>
      <c r="D8150" s="23">
        <v>2023</v>
      </c>
      <c r="E8150" s="18" t="s">
        <v>0</v>
      </c>
      <c r="F8150" s="6">
        <v>1</v>
      </c>
      <c r="G8150" s="40">
        <v>10</v>
      </c>
      <c r="H8150" s="40">
        <v>24.869909999999997</v>
      </c>
      <c r="I8150" s="212"/>
      <c r="J8150" s="212"/>
    </row>
    <row r="8151" spans="1:10" s="15" customFormat="1" ht="18" hidden="1" customHeight="1" outlineLevel="1" x14ac:dyDescent="0.25">
      <c r="A8151" s="18">
        <v>5480</v>
      </c>
      <c r="B8151" s="4" t="s">
        <v>43</v>
      </c>
      <c r="C8151" s="38" t="s">
        <v>10630</v>
      </c>
      <c r="D8151" s="23">
        <v>2023</v>
      </c>
      <c r="E8151" s="18" t="s">
        <v>0</v>
      </c>
      <c r="F8151" s="6">
        <v>1</v>
      </c>
      <c r="G8151" s="40">
        <v>8</v>
      </c>
      <c r="H8151" s="40">
        <v>24.869909999999997</v>
      </c>
      <c r="I8151" s="212"/>
      <c r="J8151" s="212"/>
    </row>
    <row r="8152" spans="1:10" s="15" customFormat="1" ht="18" hidden="1" customHeight="1" outlineLevel="1" x14ac:dyDescent="0.25">
      <c r="A8152" s="18">
        <v>5481</v>
      </c>
      <c r="B8152" s="4" t="s">
        <v>43</v>
      </c>
      <c r="C8152" s="38" t="s">
        <v>10631</v>
      </c>
      <c r="D8152" s="23">
        <v>2023</v>
      </c>
      <c r="E8152" s="18" t="s">
        <v>0</v>
      </c>
      <c r="F8152" s="6">
        <v>1</v>
      </c>
      <c r="G8152" s="40">
        <v>5</v>
      </c>
      <c r="H8152" s="40">
        <v>24.869909999999997</v>
      </c>
      <c r="I8152" s="212"/>
      <c r="J8152" s="212"/>
    </row>
    <row r="8153" spans="1:10" s="15" customFormat="1" ht="18" hidden="1" customHeight="1" outlineLevel="1" x14ac:dyDescent="0.25">
      <c r="A8153" s="18">
        <v>5482</v>
      </c>
      <c r="B8153" s="4" t="s">
        <v>43</v>
      </c>
      <c r="C8153" s="38" t="s">
        <v>10632</v>
      </c>
      <c r="D8153" s="23">
        <v>2023</v>
      </c>
      <c r="E8153" s="18" t="s">
        <v>0</v>
      </c>
      <c r="F8153" s="6">
        <v>1</v>
      </c>
      <c r="G8153" s="40">
        <v>5</v>
      </c>
      <c r="H8153" s="40">
        <v>24.869909999999997</v>
      </c>
      <c r="I8153" s="212"/>
      <c r="J8153" s="212"/>
    </row>
    <row r="8154" spans="1:10" s="15" customFormat="1" ht="18" hidden="1" customHeight="1" outlineLevel="1" x14ac:dyDescent="0.25">
      <c r="A8154" s="18">
        <v>5483</v>
      </c>
      <c r="B8154" s="4" t="s">
        <v>43</v>
      </c>
      <c r="C8154" s="38" t="s">
        <v>10633</v>
      </c>
      <c r="D8154" s="23">
        <v>2023</v>
      </c>
      <c r="E8154" s="18" t="s">
        <v>0</v>
      </c>
      <c r="F8154" s="6">
        <v>1</v>
      </c>
      <c r="G8154" s="40">
        <v>5</v>
      </c>
      <c r="H8154" s="40">
        <v>24.869909999999997</v>
      </c>
      <c r="I8154" s="212"/>
      <c r="J8154" s="212"/>
    </row>
    <row r="8155" spans="1:10" s="15" customFormat="1" ht="18" hidden="1" customHeight="1" outlineLevel="1" x14ac:dyDescent="0.25">
      <c r="A8155" s="18">
        <v>5484</v>
      </c>
      <c r="B8155" s="4" t="s">
        <v>43</v>
      </c>
      <c r="C8155" s="38" t="s">
        <v>10634</v>
      </c>
      <c r="D8155" s="23">
        <v>2023</v>
      </c>
      <c r="E8155" s="18" t="s">
        <v>0</v>
      </c>
      <c r="F8155" s="6">
        <v>1</v>
      </c>
      <c r="G8155" s="40">
        <v>5</v>
      </c>
      <c r="H8155" s="40">
        <v>24.869909999999997</v>
      </c>
      <c r="I8155" s="212"/>
      <c r="J8155" s="212"/>
    </row>
    <row r="8156" spans="1:10" s="15" customFormat="1" ht="18" hidden="1" customHeight="1" outlineLevel="1" x14ac:dyDescent="0.25">
      <c r="A8156" s="18">
        <v>5485</v>
      </c>
      <c r="B8156" s="4" t="s">
        <v>43</v>
      </c>
      <c r="C8156" s="38" t="s">
        <v>10635</v>
      </c>
      <c r="D8156" s="23">
        <v>2023</v>
      </c>
      <c r="E8156" s="18" t="s">
        <v>0</v>
      </c>
      <c r="F8156" s="6">
        <v>1</v>
      </c>
      <c r="G8156" s="40">
        <v>8</v>
      </c>
      <c r="H8156" s="40">
        <v>25.257989999999999</v>
      </c>
      <c r="I8156" s="212"/>
      <c r="J8156" s="212"/>
    </row>
    <row r="8157" spans="1:10" s="15" customFormat="1" ht="18" hidden="1" customHeight="1" outlineLevel="1" x14ac:dyDescent="0.25">
      <c r="A8157" s="18">
        <v>5486</v>
      </c>
      <c r="B8157" s="4" t="s">
        <v>43</v>
      </c>
      <c r="C8157" s="38" t="s">
        <v>10636</v>
      </c>
      <c r="D8157" s="23">
        <v>2023</v>
      </c>
      <c r="E8157" s="18" t="s">
        <v>0</v>
      </c>
      <c r="F8157" s="6">
        <v>1</v>
      </c>
      <c r="G8157" s="40">
        <v>10</v>
      </c>
      <c r="H8157" s="40">
        <v>28.974470000000004</v>
      </c>
      <c r="I8157" s="212"/>
      <c r="J8157" s="212"/>
    </row>
    <row r="8158" spans="1:10" s="15" customFormat="1" ht="18" hidden="1" customHeight="1" outlineLevel="1" x14ac:dyDescent="0.25">
      <c r="A8158" s="18">
        <v>5487</v>
      </c>
      <c r="B8158" s="4" t="s">
        <v>43</v>
      </c>
      <c r="C8158" s="38" t="s">
        <v>10637</v>
      </c>
      <c r="D8158" s="23">
        <v>2023</v>
      </c>
      <c r="E8158" s="18" t="s">
        <v>0</v>
      </c>
      <c r="F8158" s="6">
        <v>1</v>
      </c>
      <c r="G8158" s="40">
        <v>10</v>
      </c>
      <c r="H8158" s="40">
        <v>25.102959999999999</v>
      </c>
      <c r="I8158" s="212"/>
      <c r="J8158" s="212"/>
    </row>
    <row r="8159" spans="1:10" s="15" customFormat="1" ht="18" hidden="1" customHeight="1" outlineLevel="1" x14ac:dyDescent="0.25">
      <c r="A8159" s="18">
        <v>5488</v>
      </c>
      <c r="B8159" s="4" t="s">
        <v>43</v>
      </c>
      <c r="C8159" s="38" t="s">
        <v>10638</v>
      </c>
      <c r="D8159" s="23">
        <v>2023</v>
      </c>
      <c r="E8159" s="18" t="s">
        <v>0</v>
      </c>
      <c r="F8159" s="6">
        <v>1</v>
      </c>
      <c r="G8159" s="40">
        <v>10</v>
      </c>
      <c r="H8159" s="40">
        <v>25.102959999999999</v>
      </c>
      <c r="I8159" s="212"/>
      <c r="J8159" s="212"/>
    </row>
    <row r="8160" spans="1:10" s="15" customFormat="1" ht="18" hidden="1" customHeight="1" outlineLevel="1" x14ac:dyDescent="0.25">
      <c r="A8160" s="18">
        <v>997</v>
      </c>
      <c r="B8160" s="4" t="s">
        <v>43</v>
      </c>
      <c r="C8160" s="38" t="s">
        <v>10639</v>
      </c>
      <c r="D8160" s="23">
        <v>2023</v>
      </c>
      <c r="E8160" s="18" t="s">
        <v>0</v>
      </c>
      <c r="F8160" s="6">
        <v>1</v>
      </c>
      <c r="G8160" s="40">
        <v>10</v>
      </c>
      <c r="H8160" s="40">
        <v>25.102959999999999</v>
      </c>
      <c r="I8160" s="212"/>
      <c r="J8160" s="212"/>
    </row>
    <row r="8161" spans="1:10" s="15" customFormat="1" ht="18" hidden="1" customHeight="1" outlineLevel="1" x14ac:dyDescent="0.25">
      <c r="A8161" s="18">
        <v>3461</v>
      </c>
      <c r="B8161" s="4" t="s">
        <v>43</v>
      </c>
      <c r="C8161" s="38" t="s">
        <v>10640</v>
      </c>
      <c r="D8161" s="23">
        <v>2023</v>
      </c>
      <c r="E8161" s="18" t="s">
        <v>0</v>
      </c>
      <c r="F8161" s="6">
        <v>1</v>
      </c>
      <c r="G8161" s="40">
        <v>10</v>
      </c>
      <c r="H8161" s="40">
        <v>25.425610000000002</v>
      </c>
      <c r="I8161" s="212"/>
      <c r="J8161" s="212"/>
    </row>
    <row r="8162" spans="1:10" s="15" customFormat="1" ht="18" hidden="1" customHeight="1" outlineLevel="1" x14ac:dyDescent="0.25">
      <c r="A8162" s="18">
        <v>3462</v>
      </c>
      <c r="B8162" s="4" t="s">
        <v>43</v>
      </c>
      <c r="C8162" s="38" t="s">
        <v>10641</v>
      </c>
      <c r="D8162" s="23">
        <v>2023</v>
      </c>
      <c r="E8162" s="18" t="s">
        <v>0</v>
      </c>
      <c r="F8162" s="6">
        <v>1</v>
      </c>
      <c r="G8162" s="40">
        <v>10</v>
      </c>
      <c r="H8162" s="40">
        <v>25.425599999999999</v>
      </c>
      <c r="I8162" s="212"/>
      <c r="J8162" s="212"/>
    </row>
    <row r="8163" spans="1:10" s="15" customFormat="1" ht="18" hidden="1" customHeight="1" outlineLevel="1" x14ac:dyDescent="0.25">
      <c r="A8163" s="18">
        <v>3463</v>
      </c>
      <c r="B8163" s="4" t="s">
        <v>43</v>
      </c>
      <c r="C8163" s="38" t="s">
        <v>10642</v>
      </c>
      <c r="D8163" s="23">
        <v>2023</v>
      </c>
      <c r="E8163" s="18" t="s">
        <v>0</v>
      </c>
      <c r="F8163" s="6">
        <v>1</v>
      </c>
      <c r="G8163" s="40">
        <v>5</v>
      </c>
      <c r="H8163" s="40">
        <v>25.425610000000002</v>
      </c>
      <c r="I8163" s="212"/>
      <c r="J8163" s="212"/>
    </row>
    <row r="8164" spans="1:10" s="15" customFormat="1" ht="18" hidden="1" customHeight="1" outlineLevel="1" x14ac:dyDescent="0.25">
      <c r="A8164" s="18">
        <v>3464</v>
      </c>
      <c r="B8164" s="4" t="s">
        <v>43</v>
      </c>
      <c r="C8164" s="38" t="s">
        <v>10643</v>
      </c>
      <c r="D8164" s="23">
        <v>2023</v>
      </c>
      <c r="E8164" s="18" t="s">
        <v>0</v>
      </c>
      <c r="F8164" s="6">
        <v>1</v>
      </c>
      <c r="G8164" s="40">
        <v>8</v>
      </c>
      <c r="H8164" s="40">
        <v>25.425610000000002</v>
      </c>
      <c r="I8164" s="212"/>
      <c r="J8164" s="212"/>
    </row>
    <row r="8165" spans="1:10" s="15" customFormat="1" ht="18" hidden="1" customHeight="1" outlineLevel="1" x14ac:dyDescent="0.25">
      <c r="A8165" s="18">
        <v>3465</v>
      </c>
      <c r="B8165" s="4" t="s">
        <v>43</v>
      </c>
      <c r="C8165" s="38" t="s">
        <v>10644</v>
      </c>
      <c r="D8165" s="23">
        <v>2023</v>
      </c>
      <c r="E8165" s="18" t="s">
        <v>0</v>
      </c>
      <c r="F8165" s="6">
        <v>1</v>
      </c>
      <c r="G8165" s="40">
        <v>10</v>
      </c>
      <c r="H8165" s="40">
        <v>25.425610000000002</v>
      </c>
      <c r="I8165" s="212"/>
      <c r="J8165" s="212"/>
    </row>
    <row r="8166" spans="1:10" s="15" customFormat="1" ht="18" hidden="1" customHeight="1" outlineLevel="1" x14ac:dyDescent="0.25">
      <c r="A8166" s="18">
        <v>3466</v>
      </c>
      <c r="B8166" s="4" t="s">
        <v>43</v>
      </c>
      <c r="C8166" s="38" t="s">
        <v>10645</v>
      </c>
      <c r="D8166" s="23">
        <v>2023</v>
      </c>
      <c r="E8166" s="18" t="s">
        <v>0</v>
      </c>
      <c r="F8166" s="6">
        <v>1</v>
      </c>
      <c r="G8166" s="40">
        <v>8</v>
      </c>
      <c r="H8166" s="40">
        <v>25.425599999999999</v>
      </c>
      <c r="I8166" s="212"/>
      <c r="J8166" s="212"/>
    </row>
    <row r="8167" spans="1:10" s="15" customFormat="1" ht="18" hidden="1" customHeight="1" outlineLevel="1" x14ac:dyDescent="0.25">
      <c r="A8167" s="18">
        <v>5489</v>
      </c>
      <c r="B8167" s="4" t="s">
        <v>43</v>
      </c>
      <c r="C8167" s="38" t="s">
        <v>10646</v>
      </c>
      <c r="D8167" s="23">
        <v>2023</v>
      </c>
      <c r="E8167" s="18" t="s">
        <v>0</v>
      </c>
      <c r="F8167" s="6">
        <v>1</v>
      </c>
      <c r="G8167" s="40">
        <v>8</v>
      </c>
      <c r="H8167" s="40">
        <v>25.425610000000002</v>
      </c>
      <c r="I8167" s="212"/>
      <c r="J8167" s="212"/>
    </row>
    <row r="8168" spans="1:10" s="15" customFormat="1" ht="18" hidden="1" customHeight="1" outlineLevel="1" x14ac:dyDescent="0.25">
      <c r="A8168" s="18">
        <v>3470</v>
      </c>
      <c r="B8168" s="4" t="s">
        <v>43</v>
      </c>
      <c r="C8168" s="38" t="s">
        <v>10647</v>
      </c>
      <c r="D8168" s="23">
        <v>2023</v>
      </c>
      <c r="E8168" s="18" t="s">
        <v>0</v>
      </c>
      <c r="F8168" s="6">
        <v>1</v>
      </c>
      <c r="G8168" s="40">
        <v>8</v>
      </c>
      <c r="H8168" s="40">
        <v>25.425610000000002</v>
      </c>
      <c r="I8168" s="212"/>
      <c r="J8168" s="212"/>
    </row>
    <row r="8169" spans="1:10" s="15" customFormat="1" ht="18" hidden="1" customHeight="1" outlineLevel="1" x14ac:dyDescent="0.25">
      <c r="A8169" s="18">
        <v>3471</v>
      </c>
      <c r="B8169" s="4" t="s">
        <v>43</v>
      </c>
      <c r="C8169" s="38" t="s">
        <v>10648</v>
      </c>
      <c r="D8169" s="23">
        <v>2023</v>
      </c>
      <c r="E8169" s="18" t="s">
        <v>0</v>
      </c>
      <c r="F8169" s="6">
        <v>1</v>
      </c>
      <c r="G8169" s="40">
        <v>8</v>
      </c>
      <c r="H8169" s="40">
        <v>25.425610000000002</v>
      </c>
      <c r="I8169" s="212"/>
      <c r="J8169" s="212"/>
    </row>
    <row r="8170" spans="1:10" s="15" customFormat="1" ht="18" hidden="1" customHeight="1" outlineLevel="1" x14ac:dyDescent="0.25">
      <c r="A8170" s="18">
        <v>3475</v>
      </c>
      <c r="B8170" s="4" t="s">
        <v>43</v>
      </c>
      <c r="C8170" s="38" t="s">
        <v>10649</v>
      </c>
      <c r="D8170" s="23">
        <v>2023</v>
      </c>
      <c r="E8170" s="18" t="s">
        <v>0</v>
      </c>
      <c r="F8170" s="6">
        <v>1</v>
      </c>
      <c r="G8170" s="40">
        <v>8</v>
      </c>
      <c r="H8170" s="40">
        <v>24.854999999999997</v>
      </c>
      <c r="I8170" s="212"/>
      <c r="J8170" s="212"/>
    </row>
    <row r="8171" spans="1:10" s="15" customFormat="1" ht="18" hidden="1" customHeight="1" outlineLevel="1" x14ac:dyDescent="0.25">
      <c r="A8171" s="18">
        <v>5490</v>
      </c>
      <c r="B8171" s="4" t="s">
        <v>43</v>
      </c>
      <c r="C8171" s="38" t="s">
        <v>10650</v>
      </c>
      <c r="D8171" s="23">
        <v>2023</v>
      </c>
      <c r="E8171" s="18" t="s">
        <v>0</v>
      </c>
      <c r="F8171" s="6">
        <v>1</v>
      </c>
      <c r="G8171" s="40">
        <v>10</v>
      </c>
      <c r="H8171" s="40">
        <v>25.102959999999999</v>
      </c>
      <c r="I8171" s="212"/>
      <c r="J8171" s="212"/>
    </row>
    <row r="8172" spans="1:10" s="15" customFormat="1" ht="18" hidden="1" customHeight="1" outlineLevel="1" x14ac:dyDescent="0.25">
      <c r="A8172" s="18">
        <v>5491</v>
      </c>
      <c r="B8172" s="4" t="s">
        <v>43</v>
      </c>
      <c r="C8172" s="38" t="s">
        <v>10651</v>
      </c>
      <c r="D8172" s="23">
        <v>2023</v>
      </c>
      <c r="E8172" s="18" t="s">
        <v>0</v>
      </c>
      <c r="F8172" s="6">
        <v>1</v>
      </c>
      <c r="G8172" s="40">
        <v>8</v>
      </c>
      <c r="H8172" s="40">
        <v>25.102959999999999</v>
      </c>
      <c r="I8172" s="212"/>
      <c r="J8172" s="212"/>
    </row>
    <row r="8173" spans="1:10" s="15" customFormat="1" ht="18" hidden="1" customHeight="1" outlineLevel="1" x14ac:dyDescent="0.25">
      <c r="A8173" s="18">
        <v>3477</v>
      </c>
      <c r="B8173" s="4" t="s">
        <v>43</v>
      </c>
      <c r="C8173" s="38" t="s">
        <v>10652</v>
      </c>
      <c r="D8173" s="23">
        <v>2023</v>
      </c>
      <c r="E8173" s="18" t="s">
        <v>0</v>
      </c>
      <c r="F8173" s="6">
        <v>1</v>
      </c>
      <c r="G8173" s="40">
        <v>8</v>
      </c>
      <c r="H8173" s="40">
        <v>28.974470000000004</v>
      </c>
      <c r="I8173" s="212"/>
      <c r="J8173" s="212"/>
    </row>
    <row r="8174" spans="1:10" s="15" customFormat="1" ht="18" hidden="1" customHeight="1" outlineLevel="1" x14ac:dyDescent="0.25">
      <c r="A8174" s="18">
        <v>3479</v>
      </c>
      <c r="B8174" s="4" t="s">
        <v>43</v>
      </c>
      <c r="C8174" s="38" t="s">
        <v>10653</v>
      </c>
      <c r="D8174" s="23">
        <v>2023</v>
      </c>
      <c r="E8174" s="18" t="s">
        <v>0</v>
      </c>
      <c r="F8174" s="6">
        <v>1</v>
      </c>
      <c r="G8174" s="40">
        <v>5</v>
      </c>
      <c r="H8174" s="40">
        <v>25.102959999999999</v>
      </c>
      <c r="I8174" s="212"/>
      <c r="J8174" s="212"/>
    </row>
    <row r="8175" spans="1:10" s="15" customFormat="1" ht="18" hidden="1" customHeight="1" outlineLevel="1" x14ac:dyDescent="0.25">
      <c r="A8175" s="18">
        <v>5492</v>
      </c>
      <c r="B8175" s="4" t="s">
        <v>43</v>
      </c>
      <c r="C8175" s="38" t="s">
        <v>10654</v>
      </c>
      <c r="D8175" s="23">
        <v>2023</v>
      </c>
      <c r="E8175" s="18" t="s">
        <v>0</v>
      </c>
      <c r="F8175" s="6">
        <v>1</v>
      </c>
      <c r="G8175" s="40">
        <v>8</v>
      </c>
      <c r="H8175" s="40">
        <v>25.102959999999999</v>
      </c>
      <c r="I8175" s="212"/>
      <c r="J8175" s="212"/>
    </row>
    <row r="8176" spans="1:10" s="15" customFormat="1" ht="18" hidden="1" customHeight="1" outlineLevel="1" x14ac:dyDescent="0.25">
      <c r="A8176" s="18">
        <v>3481</v>
      </c>
      <c r="B8176" s="4" t="s">
        <v>43</v>
      </c>
      <c r="C8176" s="38" t="s">
        <v>10655</v>
      </c>
      <c r="D8176" s="23">
        <v>2023</v>
      </c>
      <c r="E8176" s="18" t="s">
        <v>0</v>
      </c>
      <c r="F8176" s="6">
        <v>1</v>
      </c>
      <c r="G8176" s="40">
        <v>5</v>
      </c>
      <c r="H8176" s="40">
        <v>25.102959999999999</v>
      </c>
      <c r="I8176" s="212"/>
      <c r="J8176" s="212"/>
    </row>
    <row r="8177" spans="1:10" s="15" customFormat="1" ht="18" hidden="1" customHeight="1" outlineLevel="1" x14ac:dyDescent="0.25">
      <c r="A8177" s="18">
        <v>3482</v>
      </c>
      <c r="B8177" s="4" t="s">
        <v>43</v>
      </c>
      <c r="C8177" s="38" t="s">
        <v>10656</v>
      </c>
      <c r="D8177" s="23">
        <v>2023</v>
      </c>
      <c r="E8177" s="18" t="s">
        <v>0</v>
      </c>
      <c r="F8177" s="6">
        <v>1</v>
      </c>
      <c r="G8177" s="40">
        <v>8</v>
      </c>
      <c r="H8177" s="40">
        <v>25.102959999999999</v>
      </c>
      <c r="I8177" s="212"/>
      <c r="J8177" s="212"/>
    </row>
    <row r="8178" spans="1:10" s="15" customFormat="1" ht="18" hidden="1" customHeight="1" outlineLevel="1" x14ac:dyDescent="0.25">
      <c r="A8178" s="18">
        <v>3483</v>
      </c>
      <c r="B8178" s="4" t="s">
        <v>43</v>
      </c>
      <c r="C8178" s="38" t="s">
        <v>10657</v>
      </c>
      <c r="D8178" s="23">
        <v>2023</v>
      </c>
      <c r="E8178" s="18" t="s">
        <v>0</v>
      </c>
      <c r="F8178" s="6">
        <v>1</v>
      </c>
      <c r="G8178" s="40">
        <v>5</v>
      </c>
      <c r="H8178" s="40">
        <v>25.102959999999999</v>
      </c>
      <c r="I8178" s="212"/>
      <c r="J8178" s="212"/>
    </row>
    <row r="8179" spans="1:10" s="15" customFormat="1" ht="18" hidden="1" customHeight="1" outlineLevel="1" x14ac:dyDescent="0.25">
      <c r="A8179" s="18">
        <v>5493</v>
      </c>
      <c r="B8179" s="4" t="s">
        <v>43</v>
      </c>
      <c r="C8179" s="38" t="s">
        <v>10658</v>
      </c>
      <c r="D8179" s="23">
        <v>2023</v>
      </c>
      <c r="E8179" s="18" t="s">
        <v>0</v>
      </c>
      <c r="F8179" s="6">
        <v>1</v>
      </c>
      <c r="G8179" s="40">
        <v>10</v>
      </c>
      <c r="H8179" s="40">
        <v>25.102959999999999</v>
      </c>
      <c r="I8179" s="212"/>
      <c r="J8179" s="212"/>
    </row>
    <row r="8180" spans="1:10" s="15" customFormat="1" ht="18" hidden="1" customHeight="1" outlineLevel="1" x14ac:dyDescent="0.25">
      <c r="A8180" s="18">
        <v>3507</v>
      </c>
      <c r="B8180" s="4" t="s">
        <v>43</v>
      </c>
      <c r="C8180" s="38" t="s">
        <v>10659</v>
      </c>
      <c r="D8180" s="23">
        <v>2023</v>
      </c>
      <c r="E8180" s="18" t="s">
        <v>0</v>
      </c>
      <c r="F8180" s="6">
        <v>1</v>
      </c>
      <c r="G8180" s="40">
        <v>15</v>
      </c>
      <c r="H8180" s="40">
        <v>25.102959999999999</v>
      </c>
      <c r="I8180" s="212"/>
      <c r="J8180" s="212"/>
    </row>
    <row r="8181" spans="1:10" s="15" customFormat="1" ht="18" hidden="1" customHeight="1" outlineLevel="1" x14ac:dyDescent="0.25">
      <c r="A8181" s="18">
        <v>5494</v>
      </c>
      <c r="B8181" s="4" t="s">
        <v>43</v>
      </c>
      <c r="C8181" s="38" t="s">
        <v>10660</v>
      </c>
      <c r="D8181" s="23">
        <v>2023</v>
      </c>
      <c r="E8181" s="18" t="s">
        <v>0</v>
      </c>
      <c r="F8181" s="6">
        <v>1</v>
      </c>
      <c r="G8181" s="40">
        <v>5</v>
      </c>
      <c r="H8181" s="40">
        <v>25.425610000000002</v>
      </c>
      <c r="I8181" s="212"/>
      <c r="J8181" s="212"/>
    </row>
    <row r="8182" spans="1:10" s="15" customFormat="1" ht="18" hidden="1" customHeight="1" outlineLevel="1" x14ac:dyDescent="0.25">
      <c r="A8182" s="18">
        <v>3538</v>
      </c>
      <c r="B8182" s="4" t="s">
        <v>43</v>
      </c>
      <c r="C8182" s="38" t="s">
        <v>10661</v>
      </c>
      <c r="D8182" s="23">
        <v>2023</v>
      </c>
      <c r="E8182" s="18" t="s">
        <v>0</v>
      </c>
      <c r="F8182" s="6">
        <v>1</v>
      </c>
      <c r="G8182" s="40">
        <v>10</v>
      </c>
      <c r="H8182" s="40">
        <v>25.425610000000002</v>
      </c>
      <c r="I8182" s="212"/>
      <c r="J8182" s="212"/>
    </row>
    <row r="8183" spans="1:10" s="15" customFormat="1" ht="18" hidden="1" customHeight="1" outlineLevel="1" x14ac:dyDescent="0.25">
      <c r="A8183" s="18">
        <v>3539</v>
      </c>
      <c r="B8183" s="4" t="s">
        <v>43</v>
      </c>
      <c r="C8183" s="38" t="s">
        <v>10662</v>
      </c>
      <c r="D8183" s="23">
        <v>2023</v>
      </c>
      <c r="E8183" s="18" t="s">
        <v>0</v>
      </c>
      <c r="F8183" s="6">
        <v>1</v>
      </c>
      <c r="G8183" s="40">
        <v>8</v>
      </c>
      <c r="H8183" s="40">
        <v>25.425610000000002</v>
      </c>
      <c r="I8183" s="212"/>
      <c r="J8183" s="212"/>
    </row>
    <row r="8184" spans="1:10" s="15" customFormat="1" ht="18" hidden="1" customHeight="1" outlineLevel="1" x14ac:dyDescent="0.25">
      <c r="A8184" s="18">
        <v>3540</v>
      </c>
      <c r="B8184" s="4" t="s">
        <v>43</v>
      </c>
      <c r="C8184" s="38" t="s">
        <v>10663</v>
      </c>
      <c r="D8184" s="23">
        <v>2023</v>
      </c>
      <c r="E8184" s="18" t="s">
        <v>0</v>
      </c>
      <c r="F8184" s="6">
        <v>1</v>
      </c>
      <c r="G8184" s="40">
        <v>5</v>
      </c>
      <c r="H8184" s="40">
        <v>25.425610000000002</v>
      </c>
      <c r="I8184" s="212"/>
      <c r="J8184" s="212"/>
    </row>
    <row r="8185" spans="1:10" s="15" customFormat="1" ht="18" hidden="1" customHeight="1" outlineLevel="1" x14ac:dyDescent="0.25">
      <c r="A8185" s="18">
        <v>3541</v>
      </c>
      <c r="B8185" s="4" t="s">
        <v>43</v>
      </c>
      <c r="C8185" s="38" t="s">
        <v>10664</v>
      </c>
      <c r="D8185" s="23">
        <v>2023</v>
      </c>
      <c r="E8185" s="18" t="s">
        <v>0</v>
      </c>
      <c r="F8185" s="6">
        <v>1</v>
      </c>
      <c r="G8185" s="40">
        <v>5</v>
      </c>
      <c r="H8185" s="40">
        <v>25.425610000000002</v>
      </c>
      <c r="I8185" s="212"/>
      <c r="J8185" s="212"/>
    </row>
    <row r="8186" spans="1:10" s="15" customFormat="1" ht="18" hidden="1" customHeight="1" outlineLevel="1" x14ac:dyDescent="0.25">
      <c r="A8186" s="18">
        <v>3542</v>
      </c>
      <c r="B8186" s="4" t="s">
        <v>43</v>
      </c>
      <c r="C8186" s="38" t="s">
        <v>10665</v>
      </c>
      <c r="D8186" s="23">
        <v>2023</v>
      </c>
      <c r="E8186" s="18" t="s">
        <v>0</v>
      </c>
      <c r="F8186" s="6">
        <v>1</v>
      </c>
      <c r="G8186" s="40">
        <v>8</v>
      </c>
      <c r="H8186" s="40">
        <v>25.425610000000002</v>
      </c>
      <c r="I8186" s="212"/>
      <c r="J8186" s="212"/>
    </row>
    <row r="8187" spans="1:10" s="15" customFormat="1" ht="18" hidden="1" customHeight="1" outlineLevel="1" x14ac:dyDescent="0.25">
      <c r="A8187" s="18">
        <v>3543</v>
      </c>
      <c r="B8187" s="4" t="s">
        <v>43</v>
      </c>
      <c r="C8187" s="38" t="s">
        <v>10666</v>
      </c>
      <c r="D8187" s="23">
        <v>2023</v>
      </c>
      <c r="E8187" s="18" t="s">
        <v>0</v>
      </c>
      <c r="F8187" s="6">
        <v>1</v>
      </c>
      <c r="G8187" s="40">
        <v>5</v>
      </c>
      <c r="H8187" s="40">
        <v>25.425610000000002</v>
      </c>
      <c r="I8187" s="212"/>
      <c r="J8187" s="212"/>
    </row>
    <row r="8188" spans="1:10" s="15" customFormat="1" ht="18" hidden="1" customHeight="1" outlineLevel="1" x14ac:dyDescent="0.25">
      <c r="A8188" s="18">
        <v>3545</v>
      </c>
      <c r="B8188" s="4" t="s">
        <v>43</v>
      </c>
      <c r="C8188" s="38" t="s">
        <v>10667</v>
      </c>
      <c r="D8188" s="23">
        <v>2023</v>
      </c>
      <c r="E8188" s="18" t="s">
        <v>0</v>
      </c>
      <c r="F8188" s="6">
        <v>1</v>
      </c>
      <c r="G8188" s="40">
        <v>10</v>
      </c>
      <c r="H8188" s="40">
        <v>25.102959999999999</v>
      </c>
      <c r="I8188" s="212"/>
      <c r="J8188" s="212"/>
    </row>
    <row r="8189" spans="1:10" s="15" customFormat="1" ht="18" hidden="1" customHeight="1" outlineLevel="1" x14ac:dyDescent="0.25">
      <c r="A8189" s="18">
        <v>3546</v>
      </c>
      <c r="B8189" s="4" t="s">
        <v>43</v>
      </c>
      <c r="C8189" s="38" t="s">
        <v>10668</v>
      </c>
      <c r="D8189" s="23">
        <v>2023</v>
      </c>
      <c r="E8189" s="18" t="s">
        <v>0</v>
      </c>
      <c r="F8189" s="6">
        <v>1</v>
      </c>
      <c r="G8189" s="40">
        <v>10</v>
      </c>
      <c r="H8189" s="40">
        <v>25.102959999999999</v>
      </c>
      <c r="I8189" s="212"/>
      <c r="J8189" s="212"/>
    </row>
    <row r="8190" spans="1:10" s="15" customFormat="1" ht="18" hidden="1" customHeight="1" outlineLevel="1" x14ac:dyDescent="0.25">
      <c r="A8190" s="18">
        <v>3547</v>
      </c>
      <c r="B8190" s="4" t="s">
        <v>43</v>
      </c>
      <c r="C8190" s="38" t="s">
        <v>10669</v>
      </c>
      <c r="D8190" s="23">
        <v>2023</v>
      </c>
      <c r="E8190" s="18" t="s">
        <v>0</v>
      </c>
      <c r="F8190" s="6">
        <v>1</v>
      </c>
      <c r="G8190" s="40">
        <v>5</v>
      </c>
      <c r="H8190" s="40">
        <v>25.102959999999999</v>
      </c>
      <c r="I8190" s="212"/>
      <c r="J8190" s="212"/>
    </row>
    <row r="8191" spans="1:10" s="15" customFormat="1" ht="18" hidden="1" customHeight="1" outlineLevel="1" x14ac:dyDescent="0.25">
      <c r="A8191" s="18">
        <v>3548</v>
      </c>
      <c r="B8191" s="4" t="s">
        <v>43</v>
      </c>
      <c r="C8191" s="38" t="s">
        <v>10670</v>
      </c>
      <c r="D8191" s="23">
        <v>2023</v>
      </c>
      <c r="E8191" s="18" t="s">
        <v>0</v>
      </c>
      <c r="F8191" s="6">
        <v>1</v>
      </c>
      <c r="G8191" s="40">
        <v>10</v>
      </c>
      <c r="H8191" s="40">
        <v>25.102959999999999</v>
      </c>
      <c r="I8191" s="212"/>
      <c r="J8191" s="212"/>
    </row>
    <row r="8192" spans="1:10" s="15" customFormat="1" ht="18" hidden="1" customHeight="1" outlineLevel="1" x14ac:dyDescent="0.25">
      <c r="A8192" s="18">
        <v>5495</v>
      </c>
      <c r="B8192" s="4" t="s">
        <v>43</v>
      </c>
      <c r="C8192" s="38" t="s">
        <v>10671</v>
      </c>
      <c r="D8192" s="23">
        <v>2023</v>
      </c>
      <c r="E8192" s="18" t="s">
        <v>0</v>
      </c>
      <c r="F8192" s="6">
        <v>1</v>
      </c>
      <c r="G8192" s="40">
        <v>10</v>
      </c>
      <c r="H8192" s="40">
        <v>25.102939999999997</v>
      </c>
      <c r="I8192" s="212"/>
      <c r="J8192" s="212"/>
    </row>
    <row r="8193" spans="1:10" s="15" customFormat="1" ht="18" hidden="1" customHeight="1" outlineLevel="1" x14ac:dyDescent="0.25">
      <c r="A8193" s="18">
        <v>5496</v>
      </c>
      <c r="B8193" s="4" t="s">
        <v>43</v>
      </c>
      <c r="C8193" s="38" t="s">
        <v>10672</v>
      </c>
      <c r="D8193" s="23">
        <v>2023</v>
      </c>
      <c r="E8193" s="18" t="s">
        <v>0</v>
      </c>
      <c r="F8193" s="6">
        <v>1</v>
      </c>
      <c r="G8193" s="40">
        <v>10</v>
      </c>
      <c r="H8193" s="40">
        <v>25.102939999999997</v>
      </c>
      <c r="I8193" s="212"/>
      <c r="J8193" s="212"/>
    </row>
    <row r="8194" spans="1:10" s="15" customFormat="1" ht="18" hidden="1" customHeight="1" outlineLevel="1" x14ac:dyDescent="0.25">
      <c r="A8194" s="18">
        <v>5497</v>
      </c>
      <c r="B8194" s="4" t="s">
        <v>43</v>
      </c>
      <c r="C8194" s="38" t="s">
        <v>10673</v>
      </c>
      <c r="D8194" s="23">
        <v>2023</v>
      </c>
      <c r="E8194" s="18" t="s">
        <v>0</v>
      </c>
      <c r="F8194" s="6">
        <v>1</v>
      </c>
      <c r="G8194" s="40">
        <v>10</v>
      </c>
      <c r="H8194" s="40">
        <v>25.102950000000003</v>
      </c>
      <c r="I8194" s="212"/>
      <c r="J8194" s="212"/>
    </row>
    <row r="8195" spans="1:10" s="15" customFormat="1" ht="18" hidden="1" customHeight="1" outlineLevel="1" x14ac:dyDescent="0.25">
      <c r="A8195" s="18">
        <v>395</v>
      </c>
      <c r="B8195" s="4" t="s">
        <v>43</v>
      </c>
      <c r="C8195" s="38" t="s">
        <v>10674</v>
      </c>
      <c r="D8195" s="23">
        <v>2023</v>
      </c>
      <c r="E8195" s="18" t="s">
        <v>0</v>
      </c>
      <c r="F8195" s="6">
        <v>6</v>
      </c>
      <c r="G8195" s="40">
        <v>15</v>
      </c>
      <c r="H8195" s="40">
        <v>170.79229000000001</v>
      </c>
      <c r="I8195" s="212"/>
      <c r="J8195" s="212"/>
    </row>
    <row r="8196" spans="1:10" s="15" customFormat="1" ht="18" hidden="1" customHeight="1" outlineLevel="1" x14ac:dyDescent="0.25">
      <c r="A8196" s="18">
        <v>375</v>
      </c>
      <c r="B8196" s="4" t="s">
        <v>43</v>
      </c>
      <c r="C8196" s="38" t="s">
        <v>10675</v>
      </c>
      <c r="D8196" s="23">
        <v>2023</v>
      </c>
      <c r="E8196" s="18" t="s">
        <v>0</v>
      </c>
      <c r="F8196" s="6">
        <v>16</v>
      </c>
      <c r="G8196" s="40">
        <v>175</v>
      </c>
      <c r="H8196" s="40">
        <v>463.02898999999996</v>
      </c>
      <c r="I8196" s="212"/>
      <c r="J8196" s="212"/>
    </row>
    <row r="8197" spans="1:10" s="15" customFormat="1" ht="18" hidden="1" customHeight="1" outlineLevel="1" x14ac:dyDescent="0.25">
      <c r="A8197" s="18">
        <v>3985</v>
      </c>
      <c r="B8197" s="4" t="s">
        <v>43</v>
      </c>
      <c r="C8197" s="38" t="s">
        <v>10676</v>
      </c>
      <c r="D8197" s="23">
        <v>2023</v>
      </c>
      <c r="E8197" s="18" t="s">
        <v>0</v>
      </c>
      <c r="F8197" s="6">
        <v>9</v>
      </c>
      <c r="G8197" s="40">
        <v>104</v>
      </c>
      <c r="H8197" s="40">
        <v>268.10166999999996</v>
      </c>
      <c r="I8197" s="212"/>
      <c r="J8197" s="212"/>
    </row>
    <row r="8198" spans="1:10" s="15" customFormat="1" ht="18" hidden="1" customHeight="1" outlineLevel="1" x14ac:dyDescent="0.25">
      <c r="A8198" s="18">
        <v>3549</v>
      </c>
      <c r="B8198" s="4" t="s">
        <v>43</v>
      </c>
      <c r="C8198" s="38" t="s">
        <v>10677</v>
      </c>
      <c r="D8198" s="23">
        <v>2023</v>
      </c>
      <c r="E8198" s="18" t="s">
        <v>0</v>
      </c>
      <c r="F8198" s="6">
        <v>1</v>
      </c>
      <c r="G8198" s="40">
        <v>10</v>
      </c>
      <c r="H8198" s="40">
        <v>24.804179999999999</v>
      </c>
      <c r="I8198" s="212"/>
      <c r="J8198" s="212"/>
    </row>
    <row r="8199" spans="1:10" s="15" customFormat="1" ht="18" hidden="1" customHeight="1" outlineLevel="1" x14ac:dyDescent="0.25">
      <c r="A8199" s="18">
        <v>3550</v>
      </c>
      <c r="B8199" s="4" t="s">
        <v>43</v>
      </c>
      <c r="C8199" s="38" t="s">
        <v>10678</v>
      </c>
      <c r="D8199" s="23">
        <v>2023</v>
      </c>
      <c r="E8199" s="18" t="s">
        <v>0</v>
      </c>
      <c r="F8199" s="6">
        <v>1</v>
      </c>
      <c r="G8199" s="40">
        <v>8</v>
      </c>
      <c r="H8199" s="40">
        <v>25.078830000000004</v>
      </c>
      <c r="I8199" s="212"/>
      <c r="J8199" s="212"/>
    </row>
    <row r="8200" spans="1:10" s="15" customFormat="1" ht="18" hidden="1" customHeight="1" outlineLevel="1" x14ac:dyDescent="0.25">
      <c r="A8200" s="18">
        <v>3551</v>
      </c>
      <c r="B8200" s="4" t="s">
        <v>43</v>
      </c>
      <c r="C8200" s="38" t="s">
        <v>10679</v>
      </c>
      <c r="D8200" s="23">
        <v>2023</v>
      </c>
      <c r="E8200" s="18" t="s">
        <v>0</v>
      </c>
      <c r="F8200" s="6">
        <v>1</v>
      </c>
      <c r="G8200" s="40">
        <v>8</v>
      </c>
      <c r="H8200" s="40">
        <v>24.804200000000002</v>
      </c>
      <c r="I8200" s="212"/>
      <c r="J8200" s="212"/>
    </row>
    <row r="8201" spans="1:10" s="15" customFormat="1" ht="18" hidden="1" customHeight="1" outlineLevel="1" x14ac:dyDescent="0.25">
      <c r="A8201" s="18">
        <v>3552</v>
      </c>
      <c r="B8201" s="4" t="s">
        <v>43</v>
      </c>
      <c r="C8201" s="38" t="s">
        <v>10680</v>
      </c>
      <c r="D8201" s="23">
        <v>2023</v>
      </c>
      <c r="E8201" s="18" t="s">
        <v>0</v>
      </c>
      <c r="F8201" s="6">
        <v>1</v>
      </c>
      <c r="G8201" s="40">
        <v>8</v>
      </c>
      <c r="H8201" s="40">
        <v>25.078840000000003</v>
      </c>
      <c r="I8201" s="212"/>
      <c r="J8201" s="212"/>
    </row>
    <row r="8202" spans="1:10" s="15" customFormat="1" ht="18" hidden="1" customHeight="1" outlineLevel="1" x14ac:dyDescent="0.25">
      <c r="A8202" s="18">
        <v>5499</v>
      </c>
      <c r="B8202" s="4" t="s">
        <v>43</v>
      </c>
      <c r="C8202" s="38" t="s">
        <v>10681</v>
      </c>
      <c r="D8202" s="23">
        <v>2023</v>
      </c>
      <c r="E8202" s="18" t="s">
        <v>0</v>
      </c>
      <c r="F8202" s="6">
        <v>1</v>
      </c>
      <c r="G8202" s="40">
        <v>10</v>
      </c>
      <c r="H8202" s="40">
        <v>24.804200000000002</v>
      </c>
      <c r="I8202" s="212"/>
      <c r="J8202" s="212"/>
    </row>
    <row r="8203" spans="1:10" s="15" customFormat="1" ht="18" hidden="1" customHeight="1" outlineLevel="1" x14ac:dyDescent="0.25">
      <c r="A8203" s="18">
        <v>3558</v>
      </c>
      <c r="B8203" s="4" t="s">
        <v>43</v>
      </c>
      <c r="C8203" s="38" t="s">
        <v>10682</v>
      </c>
      <c r="D8203" s="23">
        <v>2023</v>
      </c>
      <c r="E8203" s="18" t="s">
        <v>0</v>
      </c>
      <c r="F8203" s="6">
        <v>1</v>
      </c>
      <c r="G8203" s="40">
        <v>8</v>
      </c>
      <c r="H8203" s="40">
        <v>25.078849999999999</v>
      </c>
      <c r="I8203" s="212"/>
      <c r="J8203" s="212"/>
    </row>
    <row r="8204" spans="1:10" s="15" customFormat="1" ht="18" hidden="1" customHeight="1" outlineLevel="1" x14ac:dyDescent="0.25">
      <c r="A8204" s="18">
        <v>3559</v>
      </c>
      <c r="B8204" s="4" t="s">
        <v>43</v>
      </c>
      <c r="C8204" s="38" t="s">
        <v>10683</v>
      </c>
      <c r="D8204" s="23">
        <v>2023</v>
      </c>
      <c r="E8204" s="18" t="s">
        <v>0</v>
      </c>
      <c r="F8204" s="6">
        <v>1</v>
      </c>
      <c r="G8204" s="40">
        <v>8</v>
      </c>
      <c r="H8204" s="40">
        <v>24.804200000000002</v>
      </c>
      <c r="I8204" s="212"/>
      <c r="J8204" s="212"/>
    </row>
    <row r="8205" spans="1:10" s="15" customFormat="1" ht="18" hidden="1" customHeight="1" outlineLevel="1" x14ac:dyDescent="0.25">
      <c r="A8205" s="18">
        <v>3561</v>
      </c>
      <c r="B8205" s="4" t="s">
        <v>43</v>
      </c>
      <c r="C8205" s="38" t="s">
        <v>10684</v>
      </c>
      <c r="D8205" s="23">
        <v>2023</v>
      </c>
      <c r="E8205" s="18" t="s">
        <v>0</v>
      </c>
      <c r="F8205" s="6">
        <v>1</v>
      </c>
      <c r="G8205" s="40">
        <v>10</v>
      </c>
      <c r="H8205" s="40">
        <v>25.078849999999999</v>
      </c>
      <c r="I8205" s="212"/>
      <c r="J8205" s="212"/>
    </row>
    <row r="8206" spans="1:10" s="15" customFormat="1" ht="18" hidden="1" customHeight="1" outlineLevel="1" x14ac:dyDescent="0.25">
      <c r="A8206" s="18">
        <v>3564</v>
      </c>
      <c r="B8206" s="4" t="s">
        <v>43</v>
      </c>
      <c r="C8206" s="38" t="s">
        <v>10685</v>
      </c>
      <c r="D8206" s="23">
        <v>2023</v>
      </c>
      <c r="E8206" s="18" t="s">
        <v>0</v>
      </c>
      <c r="F8206" s="6">
        <v>1</v>
      </c>
      <c r="G8206" s="40">
        <v>8</v>
      </c>
      <c r="H8206" s="40">
        <v>24.804210000000001</v>
      </c>
      <c r="I8206" s="212"/>
      <c r="J8206" s="212"/>
    </row>
    <row r="8207" spans="1:10" s="15" customFormat="1" ht="18" hidden="1" customHeight="1" outlineLevel="1" x14ac:dyDescent="0.25">
      <c r="A8207" s="18">
        <v>5500</v>
      </c>
      <c r="B8207" s="4" t="s">
        <v>43</v>
      </c>
      <c r="C8207" s="38" t="s">
        <v>10686</v>
      </c>
      <c r="D8207" s="23">
        <v>2023</v>
      </c>
      <c r="E8207" s="18" t="s">
        <v>0</v>
      </c>
      <c r="F8207" s="6">
        <v>1</v>
      </c>
      <c r="G8207" s="40">
        <v>8</v>
      </c>
      <c r="H8207" s="40">
        <v>25.078840000000003</v>
      </c>
      <c r="I8207" s="212"/>
      <c r="J8207" s="212"/>
    </row>
    <row r="8208" spans="1:10" s="15" customFormat="1" ht="18" hidden="1" customHeight="1" outlineLevel="1" x14ac:dyDescent="0.25">
      <c r="A8208" s="18">
        <v>5501</v>
      </c>
      <c r="B8208" s="4" t="s">
        <v>43</v>
      </c>
      <c r="C8208" s="38" t="s">
        <v>10687</v>
      </c>
      <c r="D8208" s="23">
        <v>2023</v>
      </c>
      <c r="E8208" s="18" t="s">
        <v>0</v>
      </c>
      <c r="F8208" s="6">
        <v>1</v>
      </c>
      <c r="G8208" s="40">
        <v>8</v>
      </c>
      <c r="H8208" s="40">
        <v>24.804210000000001</v>
      </c>
      <c r="I8208" s="212"/>
      <c r="J8208" s="212"/>
    </row>
    <row r="8209" spans="1:10" s="15" customFormat="1" ht="18" hidden="1" customHeight="1" outlineLevel="1" x14ac:dyDescent="0.25">
      <c r="A8209" s="18">
        <v>3571</v>
      </c>
      <c r="B8209" s="4" t="s">
        <v>43</v>
      </c>
      <c r="C8209" s="38" t="s">
        <v>10688</v>
      </c>
      <c r="D8209" s="23">
        <v>2023</v>
      </c>
      <c r="E8209" s="18" t="s">
        <v>0</v>
      </c>
      <c r="F8209" s="6">
        <v>1</v>
      </c>
      <c r="G8209" s="40">
        <v>10</v>
      </c>
      <c r="H8209" s="40">
        <v>25.078840000000003</v>
      </c>
      <c r="I8209" s="212"/>
      <c r="J8209" s="212"/>
    </row>
    <row r="8210" spans="1:10" s="15" customFormat="1" ht="18" hidden="1" customHeight="1" outlineLevel="1" x14ac:dyDescent="0.25">
      <c r="A8210" s="18">
        <v>3572</v>
      </c>
      <c r="B8210" s="4" t="s">
        <v>43</v>
      </c>
      <c r="C8210" s="38" t="s">
        <v>10689</v>
      </c>
      <c r="D8210" s="23">
        <v>2023</v>
      </c>
      <c r="E8210" s="18" t="s">
        <v>0</v>
      </c>
      <c r="F8210" s="6">
        <v>1</v>
      </c>
      <c r="G8210" s="40">
        <v>8</v>
      </c>
      <c r="H8210" s="40">
        <v>24.804220000000001</v>
      </c>
      <c r="I8210" s="212"/>
      <c r="J8210" s="212"/>
    </row>
    <row r="8211" spans="1:10" s="15" customFormat="1" ht="18" hidden="1" customHeight="1" outlineLevel="1" x14ac:dyDescent="0.25">
      <c r="A8211" s="18">
        <v>3573</v>
      </c>
      <c r="B8211" s="4" t="s">
        <v>43</v>
      </c>
      <c r="C8211" s="38" t="s">
        <v>10690</v>
      </c>
      <c r="D8211" s="23">
        <v>2023</v>
      </c>
      <c r="E8211" s="18" t="s">
        <v>0</v>
      </c>
      <c r="F8211" s="6">
        <v>1</v>
      </c>
      <c r="G8211" s="40">
        <v>8</v>
      </c>
      <c r="H8211" s="40">
        <v>24.929600000000001</v>
      </c>
      <c r="I8211" s="212"/>
      <c r="J8211" s="212"/>
    </row>
    <row r="8212" spans="1:10" s="15" customFormat="1" ht="18" hidden="1" customHeight="1" outlineLevel="1" x14ac:dyDescent="0.25">
      <c r="A8212" s="18">
        <v>3574</v>
      </c>
      <c r="B8212" s="4" t="s">
        <v>43</v>
      </c>
      <c r="C8212" s="38" t="s">
        <v>10691</v>
      </c>
      <c r="D8212" s="23">
        <v>2023</v>
      </c>
      <c r="E8212" s="18" t="s">
        <v>0</v>
      </c>
      <c r="F8212" s="6">
        <v>1</v>
      </c>
      <c r="G8212" s="40">
        <v>8</v>
      </c>
      <c r="H8212" s="40">
        <v>24.854990000000001</v>
      </c>
      <c r="I8212" s="212"/>
      <c r="J8212" s="212"/>
    </row>
    <row r="8213" spans="1:10" s="15" customFormat="1" ht="18" hidden="1" customHeight="1" outlineLevel="1" x14ac:dyDescent="0.25">
      <c r="A8213" s="18">
        <v>3575</v>
      </c>
      <c r="B8213" s="4" t="s">
        <v>43</v>
      </c>
      <c r="C8213" s="38" t="s">
        <v>10692</v>
      </c>
      <c r="D8213" s="23">
        <v>2023</v>
      </c>
      <c r="E8213" s="18" t="s">
        <v>0</v>
      </c>
      <c r="F8213" s="6">
        <v>1</v>
      </c>
      <c r="G8213" s="40">
        <v>10</v>
      </c>
      <c r="H8213" s="40">
        <v>24.80423</v>
      </c>
      <c r="I8213" s="212"/>
      <c r="J8213" s="212"/>
    </row>
    <row r="8214" spans="1:10" s="15" customFormat="1" ht="18" hidden="1" customHeight="1" outlineLevel="1" x14ac:dyDescent="0.25">
      <c r="A8214" s="18">
        <v>5502</v>
      </c>
      <c r="B8214" s="4" t="s">
        <v>43</v>
      </c>
      <c r="C8214" s="38" t="s">
        <v>10693</v>
      </c>
      <c r="D8214" s="23">
        <v>2023</v>
      </c>
      <c r="E8214" s="18" t="s">
        <v>0</v>
      </c>
      <c r="F8214" s="6">
        <v>1</v>
      </c>
      <c r="G8214" s="40">
        <v>8</v>
      </c>
      <c r="H8214" s="40">
        <v>24.92962</v>
      </c>
      <c r="I8214" s="212"/>
      <c r="J8214" s="212"/>
    </row>
    <row r="8215" spans="1:10" s="15" customFormat="1" ht="18" hidden="1" customHeight="1" outlineLevel="1" x14ac:dyDescent="0.25">
      <c r="A8215" s="18">
        <v>5503</v>
      </c>
      <c r="B8215" s="4" t="s">
        <v>43</v>
      </c>
      <c r="C8215" s="38" t="s">
        <v>10694</v>
      </c>
      <c r="D8215" s="23">
        <v>2023</v>
      </c>
      <c r="E8215" s="18" t="s">
        <v>0</v>
      </c>
      <c r="F8215" s="6">
        <v>1</v>
      </c>
      <c r="G8215" s="40">
        <v>5</v>
      </c>
      <c r="H8215" s="40">
        <v>24.804210000000001</v>
      </c>
      <c r="I8215" s="212"/>
      <c r="J8215" s="212"/>
    </row>
    <row r="8216" spans="1:10" s="15" customFormat="1" ht="18" hidden="1" customHeight="1" outlineLevel="1" x14ac:dyDescent="0.25">
      <c r="A8216" s="18">
        <v>5504</v>
      </c>
      <c r="B8216" s="4" t="s">
        <v>43</v>
      </c>
      <c r="C8216" s="38" t="s">
        <v>10695</v>
      </c>
      <c r="D8216" s="23">
        <v>2023</v>
      </c>
      <c r="E8216" s="18" t="s">
        <v>0</v>
      </c>
      <c r="F8216" s="6">
        <v>1</v>
      </c>
      <c r="G8216" s="40">
        <v>5</v>
      </c>
      <c r="H8216" s="40">
        <v>24.804210000000001</v>
      </c>
      <c r="I8216" s="212"/>
      <c r="J8216" s="212"/>
    </row>
    <row r="8217" spans="1:10" s="15" customFormat="1" ht="18" hidden="1" customHeight="1" outlineLevel="1" x14ac:dyDescent="0.25">
      <c r="A8217" s="18">
        <v>3577</v>
      </c>
      <c r="B8217" s="4" t="s">
        <v>43</v>
      </c>
      <c r="C8217" s="38" t="s">
        <v>10696</v>
      </c>
      <c r="D8217" s="23">
        <v>2023</v>
      </c>
      <c r="E8217" s="18" t="s">
        <v>0</v>
      </c>
      <c r="F8217" s="6">
        <v>1</v>
      </c>
      <c r="G8217" s="40">
        <v>5</v>
      </c>
      <c r="H8217" s="40">
        <v>24.92962</v>
      </c>
      <c r="I8217" s="212"/>
      <c r="J8217" s="212"/>
    </row>
    <row r="8218" spans="1:10" s="15" customFormat="1" ht="18" hidden="1" customHeight="1" outlineLevel="1" x14ac:dyDescent="0.25">
      <c r="A8218" s="18">
        <v>5505</v>
      </c>
      <c r="B8218" s="4" t="s">
        <v>43</v>
      </c>
      <c r="C8218" s="38" t="s">
        <v>10697</v>
      </c>
      <c r="D8218" s="23">
        <v>2023</v>
      </c>
      <c r="E8218" s="18" t="s">
        <v>0</v>
      </c>
      <c r="F8218" s="6">
        <v>1</v>
      </c>
      <c r="G8218" s="40">
        <v>8</v>
      </c>
      <c r="H8218" s="40">
        <v>24.804210000000001</v>
      </c>
      <c r="I8218" s="212"/>
      <c r="J8218" s="212"/>
    </row>
    <row r="8219" spans="1:10" s="15" customFormat="1" ht="18" hidden="1" customHeight="1" outlineLevel="1" x14ac:dyDescent="0.25">
      <c r="A8219" s="18">
        <v>3578</v>
      </c>
      <c r="B8219" s="4" t="s">
        <v>43</v>
      </c>
      <c r="C8219" s="38" t="s">
        <v>10698</v>
      </c>
      <c r="D8219" s="23">
        <v>2023</v>
      </c>
      <c r="E8219" s="18" t="s">
        <v>0</v>
      </c>
      <c r="F8219" s="6">
        <v>1</v>
      </c>
      <c r="G8219" s="40">
        <v>5</v>
      </c>
      <c r="H8219" s="40">
        <v>24.92963</v>
      </c>
      <c r="I8219" s="212"/>
      <c r="J8219" s="212"/>
    </row>
    <row r="8220" spans="1:10" s="15" customFormat="1" ht="18" hidden="1" customHeight="1" outlineLevel="1" x14ac:dyDescent="0.25">
      <c r="A8220" s="18">
        <v>3580</v>
      </c>
      <c r="B8220" s="4" t="s">
        <v>43</v>
      </c>
      <c r="C8220" s="38" t="s">
        <v>10699</v>
      </c>
      <c r="D8220" s="23">
        <v>2023</v>
      </c>
      <c r="E8220" s="18" t="s">
        <v>0</v>
      </c>
      <c r="F8220" s="6">
        <v>1</v>
      </c>
      <c r="G8220" s="40">
        <v>10</v>
      </c>
      <c r="H8220" s="40">
        <v>24.816179999999999</v>
      </c>
      <c r="I8220" s="212"/>
      <c r="J8220" s="212"/>
    </row>
    <row r="8221" spans="1:10" s="15" customFormat="1" ht="18" hidden="1" customHeight="1" outlineLevel="1" x14ac:dyDescent="0.25">
      <c r="A8221" s="18">
        <v>3583</v>
      </c>
      <c r="B8221" s="4" t="s">
        <v>43</v>
      </c>
      <c r="C8221" s="38" t="s">
        <v>10700</v>
      </c>
      <c r="D8221" s="23">
        <v>2023</v>
      </c>
      <c r="E8221" s="18" t="s">
        <v>0</v>
      </c>
      <c r="F8221" s="6">
        <v>1</v>
      </c>
      <c r="G8221" s="40">
        <v>5</v>
      </c>
      <c r="H8221" s="40">
        <v>24.92963</v>
      </c>
      <c r="I8221" s="212"/>
      <c r="J8221" s="212"/>
    </row>
    <row r="8222" spans="1:10" s="15" customFormat="1" ht="18" hidden="1" customHeight="1" outlineLevel="1" x14ac:dyDescent="0.25">
      <c r="A8222" s="18">
        <v>3584</v>
      </c>
      <c r="B8222" s="4" t="s">
        <v>43</v>
      </c>
      <c r="C8222" s="38" t="s">
        <v>10701</v>
      </c>
      <c r="D8222" s="23">
        <v>2023</v>
      </c>
      <c r="E8222" s="18" t="s">
        <v>0</v>
      </c>
      <c r="F8222" s="6">
        <v>1</v>
      </c>
      <c r="G8222" s="40">
        <v>10</v>
      </c>
      <c r="H8222" s="40">
        <v>24.854990000000001</v>
      </c>
      <c r="I8222" s="212"/>
      <c r="J8222" s="212"/>
    </row>
    <row r="8223" spans="1:10" s="15" customFormat="1" ht="18" hidden="1" customHeight="1" outlineLevel="1" x14ac:dyDescent="0.25">
      <c r="A8223" s="18">
        <v>3585</v>
      </c>
      <c r="B8223" s="4" t="s">
        <v>43</v>
      </c>
      <c r="C8223" s="38" t="s">
        <v>10702</v>
      </c>
      <c r="D8223" s="23">
        <v>2023</v>
      </c>
      <c r="E8223" s="18" t="s">
        <v>0</v>
      </c>
      <c r="F8223" s="6">
        <v>1</v>
      </c>
      <c r="G8223" s="40">
        <v>10</v>
      </c>
      <c r="H8223" s="40">
        <v>24.854999999999997</v>
      </c>
      <c r="I8223" s="212"/>
      <c r="J8223" s="212"/>
    </row>
    <row r="8224" spans="1:10" s="15" customFormat="1" ht="18" hidden="1" customHeight="1" outlineLevel="1" x14ac:dyDescent="0.25">
      <c r="A8224" s="18">
        <v>3586</v>
      </c>
      <c r="B8224" s="4" t="s">
        <v>43</v>
      </c>
      <c r="C8224" s="38" t="s">
        <v>10703</v>
      </c>
      <c r="D8224" s="23">
        <v>2023</v>
      </c>
      <c r="E8224" s="18" t="s">
        <v>0</v>
      </c>
      <c r="F8224" s="6">
        <v>1</v>
      </c>
      <c r="G8224" s="40">
        <v>5</v>
      </c>
      <c r="H8224" s="40">
        <v>24.854990000000001</v>
      </c>
      <c r="I8224" s="212"/>
      <c r="J8224" s="212"/>
    </row>
    <row r="8225" spans="1:10" s="15" customFormat="1" ht="18" hidden="1" customHeight="1" outlineLevel="1" x14ac:dyDescent="0.25">
      <c r="A8225" s="18">
        <v>3587</v>
      </c>
      <c r="B8225" s="4" t="s">
        <v>43</v>
      </c>
      <c r="C8225" s="38" t="s">
        <v>10704</v>
      </c>
      <c r="D8225" s="23">
        <v>2023</v>
      </c>
      <c r="E8225" s="18" t="s">
        <v>0</v>
      </c>
      <c r="F8225" s="6">
        <v>1</v>
      </c>
      <c r="G8225" s="40">
        <v>5</v>
      </c>
      <c r="H8225" s="40">
        <v>24.854990000000001</v>
      </c>
      <c r="I8225" s="212"/>
      <c r="J8225" s="212"/>
    </row>
    <row r="8226" spans="1:10" s="15" customFormat="1" ht="18" hidden="1" customHeight="1" outlineLevel="1" x14ac:dyDescent="0.25">
      <c r="A8226" s="18">
        <v>3590</v>
      </c>
      <c r="B8226" s="4" t="s">
        <v>43</v>
      </c>
      <c r="C8226" s="38" t="s">
        <v>10705</v>
      </c>
      <c r="D8226" s="23">
        <v>2023</v>
      </c>
      <c r="E8226" s="18" t="s">
        <v>0</v>
      </c>
      <c r="F8226" s="6">
        <v>1</v>
      </c>
      <c r="G8226" s="40">
        <v>8</v>
      </c>
      <c r="H8226" s="40">
        <v>24.854999999999997</v>
      </c>
      <c r="I8226" s="212"/>
      <c r="J8226" s="212"/>
    </row>
    <row r="8227" spans="1:10" s="15" customFormat="1" ht="18" hidden="1" customHeight="1" outlineLevel="1" x14ac:dyDescent="0.25">
      <c r="A8227" s="18">
        <v>3592</v>
      </c>
      <c r="B8227" s="4" t="s">
        <v>43</v>
      </c>
      <c r="C8227" s="38" t="s">
        <v>10706</v>
      </c>
      <c r="D8227" s="23">
        <v>2023</v>
      </c>
      <c r="E8227" s="18" t="s">
        <v>0</v>
      </c>
      <c r="F8227" s="6">
        <v>1</v>
      </c>
      <c r="G8227" s="40">
        <v>10</v>
      </c>
      <c r="H8227" s="40">
        <v>24.854990000000001</v>
      </c>
      <c r="I8227" s="212"/>
      <c r="J8227" s="212"/>
    </row>
    <row r="8228" spans="1:10" s="15" customFormat="1" ht="18" hidden="1" customHeight="1" outlineLevel="1" x14ac:dyDescent="0.25">
      <c r="A8228" s="18">
        <v>3593</v>
      </c>
      <c r="B8228" s="4" t="s">
        <v>43</v>
      </c>
      <c r="C8228" s="38" t="s">
        <v>10707</v>
      </c>
      <c r="D8228" s="23">
        <v>2023</v>
      </c>
      <c r="E8228" s="18" t="s">
        <v>0</v>
      </c>
      <c r="F8228" s="6">
        <v>1</v>
      </c>
      <c r="G8228" s="40">
        <v>8</v>
      </c>
      <c r="H8228" s="40">
        <v>24.854999999999997</v>
      </c>
      <c r="I8228" s="212"/>
      <c r="J8228" s="212"/>
    </row>
    <row r="8229" spans="1:10" s="15" customFormat="1" ht="18" hidden="1" customHeight="1" outlineLevel="1" x14ac:dyDescent="0.25">
      <c r="A8229" s="18">
        <v>3594</v>
      </c>
      <c r="B8229" s="4" t="s">
        <v>43</v>
      </c>
      <c r="C8229" s="38" t="s">
        <v>10708</v>
      </c>
      <c r="D8229" s="23">
        <v>2023</v>
      </c>
      <c r="E8229" s="18" t="s">
        <v>0</v>
      </c>
      <c r="F8229" s="6">
        <v>1</v>
      </c>
      <c r="G8229" s="40">
        <v>5</v>
      </c>
      <c r="H8229" s="40">
        <v>24.854990000000001</v>
      </c>
      <c r="I8229" s="212"/>
      <c r="J8229" s="212"/>
    </row>
    <row r="8230" spans="1:10" s="15" customFormat="1" ht="18" hidden="1" customHeight="1" outlineLevel="1" x14ac:dyDescent="0.25">
      <c r="A8230" s="18">
        <v>3599</v>
      </c>
      <c r="B8230" s="4" t="s">
        <v>43</v>
      </c>
      <c r="C8230" s="38" t="s">
        <v>10709</v>
      </c>
      <c r="D8230" s="23">
        <v>2023</v>
      </c>
      <c r="E8230" s="18" t="s">
        <v>0</v>
      </c>
      <c r="F8230" s="6">
        <v>1</v>
      </c>
      <c r="G8230" s="40">
        <v>5</v>
      </c>
      <c r="H8230" s="40">
        <v>24.854990000000001</v>
      </c>
      <c r="I8230" s="212"/>
      <c r="J8230" s="212"/>
    </row>
    <row r="8231" spans="1:10" s="15" customFormat="1" ht="18" hidden="1" customHeight="1" outlineLevel="1" x14ac:dyDescent="0.25">
      <c r="A8231" s="18">
        <v>3612</v>
      </c>
      <c r="B8231" s="4" t="s">
        <v>43</v>
      </c>
      <c r="C8231" s="38" t="s">
        <v>10710</v>
      </c>
      <c r="D8231" s="23">
        <v>2023</v>
      </c>
      <c r="E8231" s="18" t="s">
        <v>0</v>
      </c>
      <c r="F8231" s="6">
        <v>1</v>
      </c>
      <c r="G8231" s="40">
        <v>10</v>
      </c>
      <c r="H8231" s="40">
        <v>24.854999999999997</v>
      </c>
      <c r="I8231" s="212"/>
      <c r="J8231" s="212"/>
    </row>
    <row r="8232" spans="1:10" s="15" customFormat="1" ht="18" hidden="1" customHeight="1" outlineLevel="1" x14ac:dyDescent="0.25">
      <c r="A8232" s="18">
        <v>808</v>
      </c>
      <c r="B8232" s="4" t="s">
        <v>43</v>
      </c>
      <c r="C8232" s="38" t="s">
        <v>10711</v>
      </c>
      <c r="D8232" s="23">
        <v>2023</v>
      </c>
      <c r="E8232" s="18" t="s">
        <v>0</v>
      </c>
      <c r="F8232" s="6">
        <v>1</v>
      </c>
      <c r="G8232" s="40">
        <v>5</v>
      </c>
      <c r="H8232" s="40">
        <v>25.377439999999996</v>
      </c>
      <c r="I8232" s="212"/>
      <c r="J8232" s="212"/>
    </row>
    <row r="8233" spans="1:10" s="15" customFormat="1" ht="18" hidden="1" customHeight="1" outlineLevel="1" x14ac:dyDescent="0.25">
      <c r="A8233" s="18">
        <v>832</v>
      </c>
      <c r="B8233" s="4" t="s">
        <v>43</v>
      </c>
      <c r="C8233" s="38" t="s">
        <v>10712</v>
      </c>
      <c r="D8233" s="23">
        <v>2023</v>
      </c>
      <c r="E8233" s="18" t="s">
        <v>0</v>
      </c>
      <c r="F8233" s="6">
        <v>1</v>
      </c>
      <c r="G8233" s="40">
        <v>8</v>
      </c>
      <c r="H8233" s="40">
        <v>24.854990000000001</v>
      </c>
      <c r="I8233" s="212"/>
      <c r="J8233" s="212"/>
    </row>
    <row r="8234" spans="1:10" s="15" customFormat="1" ht="18" hidden="1" customHeight="1" outlineLevel="1" x14ac:dyDescent="0.25">
      <c r="A8234" s="18">
        <v>846</v>
      </c>
      <c r="B8234" s="4" t="s">
        <v>43</v>
      </c>
      <c r="C8234" s="38" t="s">
        <v>10713</v>
      </c>
      <c r="D8234" s="23">
        <v>2023</v>
      </c>
      <c r="E8234" s="18" t="s">
        <v>0</v>
      </c>
      <c r="F8234" s="6">
        <v>1</v>
      </c>
      <c r="G8234" s="40">
        <v>10</v>
      </c>
      <c r="H8234" s="40">
        <v>24.854979999999998</v>
      </c>
      <c r="I8234" s="212"/>
      <c r="J8234" s="212"/>
    </row>
    <row r="8235" spans="1:10" s="15" customFormat="1" ht="18" hidden="1" customHeight="1" outlineLevel="1" x14ac:dyDescent="0.25">
      <c r="A8235" s="18">
        <v>847</v>
      </c>
      <c r="B8235" s="4" t="s">
        <v>43</v>
      </c>
      <c r="C8235" s="38" t="s">
        <v>10714</v>
      </c>
      <c r="D8235" s="23">
        <v>2023</v>
      </c>
      <c r="E8235" s="18" t="s">
        <v>0</v>
      </c>
      <c r="F8235" s="6">
        <v>1</v>
      </c>
      <c r="G8235" s="40">
        <v>10</v>
      </c>
      <c r="H8235" s="40">
        <v>24.854999999999997</v>
      </c>
      <c r="I8235" s="212"/>
      <c r="J8235" s="212"/>
    </row>
    <row r="8236" spans="1:10" s="15" customFormat="1" ht="18" hidden="1" customHeight="1" outlineLevel="1" x14ac:dyDescent="0.25">
      <c r="A8236" s="18">
        <v>854</v>
      </c>
      <c r="B8236" s="4" t="s">
        <v>43</v>
      </c>
      <c r="C8236" s="38" t="s">
        <v>10715</v>
      </c>
      <c r="D8236" s="23">
        <v>2023</v>
      </c>
      <c r="E8236" s="18" t="s">
        <v>0</v>
      </c>
      <c r="F8236" s="6">
        <v>1</v>
      </c>
      <c r="G8236" s="40">
        <v>15</v>
      </c>
      <c r="H8236" s="40">
        <v>24.854990000000001</v>
      </c>
      <c r="I8236" s="212"/>
      <c r="J8236" s="212"/>
    </row>
    <row r="8237" spans="1:10" s="15" customFormat="1" ht="18" hidden="1" customHeight="1" outlineLevel="1" x14ac:dyDescent="0.25">
      <c r="A8237" s="18">
        <v>939</v>
      </c>
      <c r="B8237" s="4" t="s">
        <v>43</v>
      </c>
      <c r="C8237" s="38" t="s">
        <v>10716</v>
      </c>
      <c r="D8237" s="23">
        <v>2023</v>
      </c>
      <c r="E8237" s="18" t="s">
        <v>0</v>
      </c>
      <c r="F8237" s="6">
        <v>1</v>
      </c>
      <c r="G8237" s="40">
        <v>15</v>
      </c>
      <c r="H8237" s="40">
        <v>24.854999999999997</v>
      </c>
      <c r="I8237" s="212"/>
      <c r="J8237" s="212"/>
    </row>
    <row r="8238" spans="1:10" s="15" customFormat="1" ht="18" hidden="1" customHeight="1" outlineLevel="1" x14ac:dyDescent="0.25">
      <c r="A8238" s="18">
        <v>1035</v>
      </c>
      <c r="B8238" s="4" t="s">
        <v>43</v>
      </c>
      <c r="C8238" s="38" t="s">
        <v>10717</v>
      </c>
      <c r="D8238" s="23">
        <v>2023</v>
      </c>
      <c r="E8238" s="18" t="s">
        <v>0</v>
      </c>
      <c r="F8238" s="6">
        <v>1</v>
      </c>
      <c r="G8238" s="40">
        <v>5</v>
      </c>
      <c r="H8238" s="40">
        <v>24.854990000000001</v>
      </c>
      <c r="I8238" s="212"/>
      <c r="J8238" s="212"/>
    </row>
    <row r="8239" spans="1:10" s="15" customFormat="1" ht="18" hidden="1" customHeight="1" outlineLevel="1" x14ac:dyDescent="0.25">
      <c r="A8239" s="18">
        <v>864</v>
      </c>
      <c r="B8239" s="4" t="s">
        <v>43</v>
      </c>
      <c r="C8239" s="38" t="s">
        <v>10718</v>
      </c>
      <c r="D8239" s="23">
        <v>2023</v>
      </c>
      <c r="E8239" s="18" t="s">
        <v>0</v>
      </c>
      <c r="F8239" s="6">
        <v>1</v>
      </c>
      <c r="G8239" s="40">
        <v>8</v>
      </c>
      <c r="H8239" s="40">
        <v>24.85493</v>
      </c>
      <c r="I8239" s="212"/>
      <c r="J8239" s="212"/>
    </row>
    <row r="8240" spans="1:10" s="15" customFormat="1" ht="18" hidden="1" customHeight="1" outlineLevel="1" x14ac:dyDescent="0.25">
      <c r="A8240" s="18">
        <v>5506</v>
      </c>
      <c r="B8240" s="4" t="s">
        <v>43</v>
      </c>
      <c r="C8240" s="38" t="s">
        <v>10719</v>
      </c>
      <c r="D8240" s="23">
        <v>2023</v>
      </c>
      <c r="E8240" s="18" t="s">
        <v>0</v>
      </c>
      <c r="F8240" s="6">
        <v>1</v>
      </c>
      <c r="G8240" s="40">
        <v>10</v>
      </c>
      <c r="H8240" s="40">
        <v>24.854990000000001</v>
      </c>
      <c r="I8240" s="212"/>
      <c r="J8240" s="212"/>
    </row>
    <row r="8241" spans="1:10" s="15" customFormat="1" ht="18" hidden="1" customHeight="1" outlineLevel="1" x14ac:dyDescent="0.25">
      <c r="A8241" s="18">
        <v>1212</v>
      </c>
      <c r="B8241" s="4" t="s">
        <v>43</v>
      </c>
      <c r="C8241" s="38" t="s">
        <v>10720</v>
      </c>
      <c r="D8241" s="23">
        <v>2023</v>
      </c>
      <c r="E8241" s="18" t="s">
        <v>0</v>
      </c>
      <c r="F8241" s="6">
        <v>1</v>
      </c>
      <c r="G8241" s="40">
        <v>3</v>
      </c>
      <c r="H8241" s="40">
        <v>24.854999999999997</v>
      </c>
      <c r="I8241" s="212"/>
      <c r="J8241" s="212"/>
    </row>
    <row r="8242" spans="1:10" s="15" customFormat="1" ht="18" hidden="1" customHeight="1" outlineLevel="1" x14ac:dyDescent="0.25">
      <c r="A8242" s="18">
        <v>1262</v>
      </c>
      <c r="B8242" s="4" t="s">
        <v>43</v>
      </c>
      <c r="C8242" s="38" t="s">
        <v>10721</v>
      </c>
      <c r="D8242" s="23">
        <v>2023</v>
      </c>
      <c r="E8242" s="18" t="s">
        <v>0</v>
      </c>
      <c r="F8242" s="6">
        <v>1</v>
      </c>
      <c r="G8242" s="40">
        <v>5</v>
      </c>
      <c r="H8242" s="40">
        <v>24.899760000000001</v>
      </c>
      <c r="I8242" s="212"/>
      <c r="J8242" s="212"/>
    </row>
    <row r="8243" spans="1:10" s="15" customFormat="1" ht="18" hidden="1" customHeight="1" outlineLevel="1" x14ac:dyDescent="0.25">
      <c r="A8243" s="18">
        <v>1263</v>
      </c>
      <c r="B8243" s="4" t="s">
        <v>43</v>
      </c>
      <c r="C8243" s="38" t="s">
        <v>10722</v>
      </c>
      <c r="D8243" s="23">
        <v>2023</v>
      </c>
      <c r="E8243" s="18" t="s">
        <v>0</v>
      </c>
      <c r="F8243" s="6">
        <v>1</v>
      </c>
      <c r="G8243" s="40">
        <v>5</v>
      </c>
      <c r="H8243" s="40">
        <v>25.67595</v>
      </c>
      <c r="I8243" s="212"/>
      <c r="J8243" s="212"/>
    </row>
    <row r="8244" spans="1:10" s="15" customFormat="1" ht="18" hidden="1" customHeight="1" outlineLevel="1" x14ac:dyDescent="0.25">
      <c r="A8244" s="18">
        <v>339</v>
      </c>
      <c r="B8244" s="4" t="s">
        <v>43</v>
      </c>
      <c r="C8244" s="38" t="s">
        <v>10723</v>
      </c>
      <c r="D8244" s="23">
        <v>2023</v>
      </c>
      <c r="E8244" s="18" t="s">
        <v>0</v>
      </c>
      <c r="F8244" s="6">
        <v>11</v>
      </c>
      <c r="G8244" s="40">
        <v>133</v>
      </c>
      <c r="H8244" s="40">
        <v>308.78233</v>
      </c>
      <c r="I8244" s="212"/>
      <c r="J8244" s="212"/>
    </row>
    <row r="8245" spans="1:10" s="15" customFormat="1" ht="18" hidden="1" customHeight="1" outlineLevel="1" x14ac:dyDescent="0.25">
      <c r="A8245" s="18">
        <v>3433</v>
      </c>
      <c r="B8245" s="4" t="s">
        <v>43</v>
      </c>
      <c r="C8245" s="38" t="s">
        <v>10724</v>
      </c>
      <c r="D8245" s="23">
        <v>2023</v>
      </c>
      <c r="E8245" s="18" t="s">
        <v>0</v>
      </c>
      <c r="F8245" s="6">
        <v>1</v>
      </c>
      <c r="G8245" s="40">
        <v>1300</v>
      </c>
      <c r="H8245" s="40">
        <v>17.177340000000001</v>
      </c>
      <c r="I8245" s="212"/>
      <c r="J8245" s="212"/>
    </row>
    <row r="8246" spans="1:10" s="15" customFormat="1" ht="18" hidden="1" customHeight="1" outlineLevel="1" x14ac:dyDescent="0.25">
      <c r="A8246" s="18">
        <v>735</v>
      </c>
      <c r="B8246" s="4" t="s">
        <v>43</v>
      </c>
      <c r="C8246" s="38" t="s">
        <v>10725</v>
      </c>
      <c r="D8246" s="23">
        <v>2023</v>
      </c>
      <c r="E8246" s="18" t="s">
        <v>0</v>
      </c>
      <c r="F8246" s="6">
        <v>1</v>
      </c>
      <c r="G8246" s="40">
        <v>10</v>
      </c>
      <c r="H8246" s="40">
        <v>15.365930000000001</v>
      </c>
      <c r="I8246" s="212"/>
      <c r="J8246" s="212"/>
    </row>
    <row r="8247" spans="1:10" s="15" customFormat="1" ht="18" hidden="1" customHeight="1" outlineLevel="1" x14ac:dyDescent="0.25">
      <c r="A8247" s="18">
        <v>379</v>
      </c>
      <c r="B8247" s="4" t="s">
        <v>43</v>
      </c>
      <c r="C8247" s="38" t="s">
        <v>8625</v>
      </c>
      <c r="D8247" s="23">
        <v>2023</v>
      </c>
      <c r="E8247" s="18" t="s">
        <v>0</v>
      </c>
      <c r="F8247" s="6">
        <v>1</v>
      </c>
      <c r="G8247" s="40">
        <v>40</v>
      </c>
      <c r="H8247" s="40">
        <v>86.789179999999988</v>
      </c>
      <c r="I8247" s="212"/>
      <c r="J8247" s="212"/>
    </row>
    <row r="8248" spans="1:10" s="15" customFormat="1" ht="18" hidden="1" customHeight="1" outlineLevel="1" x14ac:dyDescent="0.25">
      <c r="A8248" s="18">
        <v>3961</v>
      </c>
      <c r="B8248" s="4" t="s">
        <v>43</v>
      </c>
      <c r="C8248" s="38" t="s">
        <v>8626</v>
      </c>
      <c r="D8248" s="23">
        <v>2023</v>
      </c>
      <c r="E8248" s="18" t="s">
        <v>0</v>
      </c>
      <c r="F8248" s="6">
        <v>1</v>
      </c>
      <c r="G8248" s="40">
        <v>10</v>
      </c>
      <c r="H8248" s="40">
        <v>52.83981</v>
      </c>
      <c r="I8248" s="212"/>
      <c r="J8248" s="212"/>
    </row>
    <row r="8249" spans="1:10" s="15" customFormat="1" ht="18" hidden="1" customHeight="1" outlineLevel="1" x14ac:dyDescent="0.25">
      <c r="A8249" s="18">
        <v>530</v>
      </c>
      <c r="B8249" s="4" t="s">
        <v>43</v>
      </c>
      <c r="C8249" s="38" t="s">
        <v>8630</v>
      </c>
      <c r="D8249" s="23">
        <v>2023</v>
      </c>
      <c r="E8249" s="18" t="s">
        <v>0</v>
      </c>
      <c r="F8249" s="6">
        <v>1</v>
      </c>
      <c r="G8249" s="40">
        <v>10</v>
      </c>
      <c r="H8249" s="40">
        <v>55.312899999999999</v>
      </c>
      <c r="I8249" s="212"/>
      <c r="J8249" s="212"/>
    </row>
    <row r="8250" spans="1:10" s="15" customFormat="1" ht="18" hidden="1" customHeight="1" outlineLevel="1" x14ac:dyDescent="0.25">
      <c r="A8250" s="18">
        <v>3842</v>
      </c>
      <c r="B8250" s="4" t="s">
        <v>43</v>
      </c>
      <c r="C8250" s="38" t="s">
        <v>8633</v>
      </c>
      <c r="D8250" s="23">
        <v>2023</v>
      </c>
      <c r="E8250" s="18" t="s">
        <v>0</v>
      </c>
      <c r="F8250" s="6">
        <v>1</v>
      </c>
      <c r="G8250" s="40">
        <v>10</v>
      </c>
      <c r="H8250" s="40">
        <v>43.677790000000002</v>
      </c>
      <c r="I8250" s="212"/>
      <c r="J8250" s="212"/>
    </row>
    <row r="8251" spans="1:10" s="15" customFormat="1" ht="18" hidden="1" customHeight="1" outlineLevel="1" x14ac:dyDescent="0.25">
      <c r="A8251" s="18">
        <v>894</v>
      </c>
      <c r="B8251" s="4" t="s">
        <v>43</v>
      </c>
      <c r="C8251" s="38" t="s">
        <v>10726</v>
      </c>
      <c r="D8251" s="23">
        <v>2023</v>
      </c>
      <c r="E8251" s="18" t="s">
        <v>0</v>
      </c>
      <c r="F8251" s="6">
        <v>1</v>
      </c>
      <c r="G8251" s="40">
        <v>15</v>
      </c>
      <c r="H8251" s="40">
        <v>15.32033</v>
      </c>
      <c r="I8251" s="212"/>
      <c r="J8251" s="212"/>
    </row>
    <row r="8252" spans="1:10" s="15" customFormat="1" ht="18" hidden="1" customHeight="1" outlineLevel="1" x14ac:dyDescent="0.25">
      <c r="A8252" s="18">
        <v>5514</v>
      </c>
      <c r="B8252" s="4" t="s">
        <v>43</v>
      </c>
      <c r="C8252" s="38" t="s">
        <v>10727</v>
      </c>
      <c r="D8252" s="23">
        <v>2023</v>
      </c>
      <c r="E8252" s="18" t="s">
        <v>0</v>
      </c>
      <c r="F8252" s="6">
        <v>1</v>
      </c>
      <c r="G8252" s="40">
        <v>5</v>
      </c>
      <c r="H8252" s="40">
        <v>15.32033</v>
      </c>
      <c r="I8252" s="212"/>
      <c r="J8252" s="212"/>
    </row>
    <row r="8253" spans="1:10" s="15" customFormat="1" ht="18" hidden="1" customHeight="1" outlineLevel="1" x14ac:dyDescent="0.25">
      <c r="A8253" s="18">
        <v>1234</v>
      </c>
      <c r="B8253" s="4" t="s">
        <v>43</v>
      </c>
      <c r="C8253" s="38" t="s">
        <v>10728</v>
      </c>
      <c r="D8253" s="23">
        <v>2023</v>
      </c>
      <c r="E8253" s="18" t="s">
        <v>0</v>
      </c>
      <c r="F8253" s="6">
        <v>1</v>
      </c>
      <c r="G8253" s="40">
        <v>5</v>
      </c>
      <c r="H8253" s="40">
        <v>15.32033</v>
      </c>
      <c r="I8253" s="212"/>
      <c r="J8253" s="212"/>
    </row>
    <row r="8254" spans="1:10" s="15" customFormat="1" ht="18" hidden="1" customHeight="1" outlineLevel="1" x14ac:dyDescent="0.25">
      <c r="A8254" s="18">
        <v>1238</v>
      </c>
      <c r="B8254" s="4" t="s">
        <v>43</v>
      </c>
      <c r="C8254" s="38" t="s">
        <v>10729</v>
      </c>
      <c r="D8254" s="23">
        <v>2023</v>
      </c>
      <c r="E8254" s="18" t="s">
        <v>0</v>
      </c>
      <c r="F8254" s="6">
        <v>1</v>
      </c>
      <c r="G8254" s="40">
        <v>3</v>
      </c>
      <c r="H8254" s="40">
        <v>15.32033</v>
      </c>
      <c r="I8254" s="212"/>
      <c r="J8254" s="212"/>
    </row>
    <row r="8255" spans="1:10" s="15" customFormat="1" ht="18" hidden="1" customHeight="1" outlineLevel="1" x14ac:dyDescent="0.25">
      <c r="A8255" s="18">
        <v>1245</v>
      </c>
      <c r="B8255" s="4" t="s">
        <v>43</v>
      </c>
      <c r="C8255" s="38" t="s">
        <v>10730</v>
      </c>
      <c r="D8255" s="23">
        <v>2023</v>
      </c>
      <c r="E8255" s="18" t="s">
        <v>0</v>
      </c>
      <c r="F8255" s="6">
        <v>1</v>
      </c>
      <c r="G8255" s="40">
        <v>3</v>
      </c>
      <c r="H8255" s="40">
        <v>15.32033</v>
      </c>
      <c r="I8255" s="212"/>
      <c r="J8255" s="212"/>
    </row>
    <row r="8256" spans="1:10" s="15" customFormat="1" ht="18" hidden="1" customHeight="1" outlineLevel="1" x14ac:dyDescent="0.25">
      <c r="A8256" s="18">
        <v>5515</v>
      </c>
      <c r="B8256" s="4" t="s">
        <v>43</v>
      </c>
      <c r="C8256" s="38" t="s">
        <v>10731</v>
      </c>
      <c r="D8256" s="23">
        <v>2023</v>
      </c>
      <c r="E8256" s="18" t="s">
        <v>0</v>
      </c>
      <c r="F8256" s="6">
        <v>1</v>
      </c>
      <c r="G8256" s="40">
        <v>8</v>
      </c>
      <c r="H8256" s="40">
        <v>15.32033</v>
      </c>
      <c r="I8256" s="212"/>
      <c r="J8256" s="212"/>
    </row>
    <row r="8257" spans="1:10" s="15" customFormat="1" ht="18" hidden="1" customHeight="1" outlineLevel="1" x14ac:dyDescent="0.25">
      <c r="A8257" s="18">
        <v>1236</v>
      </c>
      <c r="B8257" s="4" t="s">
        <v>43</v>
      </c>
      <c r="C8257" s="38" t="s">
        <v>10732</v>
      </c>
      <c r="D8257" s="23">
        <v>2023</v>
      </c>
      <c r="E8257" s="18" t="s">
        <v>0</v>
      </c>
      <c r="F8257" s="6">
        <v>1</v>
      </c>
      <c r="G8257" s="40">
        <v>5</v>
      </c>
      <c r="H8257" s="40">
        <v>15.32033</v>
      </c>
      <c r="I8257" s="212"/>
      <c r="J8257" s="212"/>
    </row>
    <row r="8258" spans="1:10" s="15" customFormat="1" ht="18" hidden="1" customHeight="1" outlineLevel="1" x14ac:dyDescent="0.25">
      <c r="A8258" s="18">
        <v>1249</v>
      </c>
      <c r="B8258" s="4" t="s">
        <v>43</v>
      </c>
      <c r="C8258" s="38" t="s">
        <v>10733</v>
      </c>
      <c r="D8258" s="23">
        <v>2023</v>
      </c>
      <c r="E8258" s="18" t="s">
        <v>0</v>
      </c>
      <c r="F8258" s="6">
        <v>1</v>
      </c>
      <c r="G8258" s="40">
        <v>5</v>
      </c>
      <c r="H8258" s="40">
        <v>15.32033</v>
      </c>
      <c r="I8258" s="212"/>
      <c r="J8258" s="212"/>
    </row>
    <row r="8259" spans="1:10" s="15" customFormat="1" ht="18" hidden="1" customHeight="1" outlineLevel="1" x14ac:dyDescent="0.25">
      <c r="A8259" s="18">
        <v>5516</v>
      </c>
      <c r="B8259" s="4" t="s">
        <v>43</v>
      </c>
      <c r="C8259" s="38" t="s">
        <v>10734</v>
      </c>
      <c r="D8259" s="23">
        <v>2023</v>
      </c>
      <c r="E8259" s="18" t="s">
        <v>0</v>
      </c>
      <c r="F8259" s="6">
        <v>1</v>
      </c>
      <c r="G8259" s="40">
        <v>8</v>
      </c>
      <c r="H8259" s="40">
        <v>15.32033</v>
      </c>
      <c r="I8259" s="212"/>
      <c r="J8259" s="212"/>
    </row>
    <row r="8260" spans="1:10" s="15" customFormat="1" ht="18" hidden="1" customHeight="1" outlineLevel="1" x14ac:dyDescent="0.25">
      <c r="A8260" s="18">
        <v>5517</v>
      </c>
      <c r="B8260" s="4" t="s">
        <v>43</v>
      </c>
      <c r="C8260" s="38" t="s">
        <v>10735</v>
      </c>
      <c r="D8260" s="23">
        <v>2023</v>
      </c>
      <c r="E8260" s="18" t="s">
        <v>0</v>
      </c>
      <c r="F8260" s="6">
        <v>1</v>
      </c>
      <c r="G8260" s="40">
        <v>8</v>
      </c>
      <c r="H8260" s="40">
        <v>15.32033</v>
      </c>
      <c r="I8260" s="212"/>
      <c r="J8260" s="212"/>
    </row>
    <row r="8261" spans="1:10" s="15" customFormat="1" ht="18" hidden="1" customHeight="1" outlineLevel="1" x14ac:dyDescent="0.25">
      <c r="A8261" s="18">
        <v>5518</v>
      </c>
      <c r="B8261" s="4" t="s">
        <v>43</v>
      </c>
      <c r="C8261" s="38" t="s">
        <v>10736</v>
      </c>
      <c r="D8261" s="23">
        <v>2023</v>
      </c>
      <c r="E8261" s="18" t="s">
        <v>0</v>
      </c>
      <c r="F8261" s="6">
        <v>1</v>
      </c>
      <c r="G8261" s="40">
        <v>6</v>
      </c>
      <c r="H8261" s="40">
        <v>15.32033</v>
      </c>
      <c r="I8261" s="212"/>
      <c r="J8261" s="212"/>
    </row>
    <row r="8262" spans="1:10" s="15" customFormat="1" ht="18" hidden="1" customHeight="1" outlineLevel="1" x14ac:dyDescent="0.25">
      <c r="A8262" s="18">
        <v>5519</v>
      </c>
      <c r="B8262" s="4" t="s">
        <v>43</v>
      </c>
      <c r="C8262" s="38" t="s">
        <v>10737</v>
      </c>
      <c r="D8262" s="23">
        <v>2023</v>
      </c>
      <c r="E8262" s="18" t="s">
        <v>0</v>
      </c>
      <c r="F8262" s="6">
        <v>1</v>
      </c>
      <c r="G8262" s="40">
        <v>8</v>
      </c>
      <c r="H8262" s="40">
        <v>15.32033</v>
      </c>
      <c r="I8262" s="212"/>
      <c r="J8262" s="212"/>
    </row>
    <row r="8263" spans="1:10" s="15" customFormat="1" ht="18" hidden="1" customHeight="1" outlineLevel="1" x14ac:dyDescent="0.25">
      <c r="A8263" s="18">
        <v>5520</v>
      </c>
      <c r="B8263" s="4" t="s">
        <v>43</v>
      </c>
      <c r="C8263" s="38" t="s">
        <v>10738</v>
      </c>
      <c r="D8263" s="23">
        <v>2023</v>
      </c>
      <c r="E8263" s="18" t="s">
        <v>0</v>
      </c>
      <c r="F8263" s="6">
        <v>1</v>
      </c>
      <c r="G8263" s="40">
        <v>5</v>
      </c>
      <c r="H8263" s="40">
        <v>15.32033</v>
      </c>
      <c r="I8263" s="212"/>
      <c r="J8263" s="212"/>
    </row>
    <row r="8264" spans="1:10" s="15" customFormat="1" ht="18" hidden="1" customHeight="1" outlineLevel="1" x14ac:dyDescent="0.25">
      <c r="A8264" s="18">
        <v>5521</v>
      </c>
      <c r="B8264" s="4" t="s">
        <v>43</v>
      </c>
      <c r="C8264" s="38" t="s">
        <v>10739</v>
      </c>
      <c r="D8264" s="23">
        <v>2023</v>
      </c>
      <c r="E8264" s="18" t="s">
        <v>0</v>
      </c>
      <c r="F8264" s="6">
        <v>1</v>
      </c>
      <c r="G8264" s="40">
        <v>5</v>
      </c>
      <c r="H8264" s="40">
        <v>15.32033</v>
      </c>
      <c r="I8264" s="212"/>
      <c r="J8264" s="212"/>
    </row>
    <row r="8265" spans="1:10" s="15" customFormat="1" ht="18" hidden="1" customHeight="1" outlineLevel="1" x14ac:dyDescent="0.25">
      <c r="A8265" s="18">
        <v>5522</v>
      </c>
      <c r="B8265" s="4" t="s">
        <v>43</v>
      </c>
      <c r="C8265" s="38" t="s">
        <v>10740</v>
      </c>
      <c r="D8265" s="23">
        <v>2023</v>
      </c>
      <c r="E8265" s="18" t="s">
        <v>0</v>
      </c>
      <c r="F8265" s="6">
        <v>1</v>
      </c>
      <c r="G8265" s="40">
        <v>5</v>
      </c>
      <c r="H8265" s="40">
        <v>15.32033</v>
      </c>
      <c r="I8265" s="212"/>
      <c r="J8265" s="212"/>
    </row>
    <row r="8266" spans="1:10" s="15" customFormat="1" ht="18" hidden="1" customHeight="1" outlineLevel="1" x14ac:dyDescent="0.25">
      <c r="A8266" s="18">
        <v>1297</v>
      </c>
      <c r="B8266" s="4" t="s">
        <v>43</v>
      </c>
      <c r="C8266" s="38" t="s">
        <v>10741</v>
      </c>
      <c r="D8266" s="23">
        <v>2023</v>
      </c>
      <c r="E8266" s="18" t="s">
        <v>0</v>
      </c>
      <c r="F8266" s="6">
        <v>1</v>
      </c>
      <c r="G8266" s="40">
        <v>5</v>
      </c>
      <c r="H8266" s="40">
        <v>15.32033</v>
      </c>
      <c r="I8266" s="212"/>
      <c r="J8266" s="212"/>
    </row>
    <row r="8267" spans="1:10" s="15" customFormat="1" ht="18" hidden="1" customHeight="1" outlineLevel="1" x14ac:dyDescent="0.25">
      <c r="A8267" s="18">
        <v>5523</v>
      </c>
      <c r="B8267" s="4" t="s">
        <v>43</v>
      </c>
      <c r="C8267" s="38" t="s">
        <v>10742</v>
      </c>
      <c r="D8267" s="23">
        <v>2023</v>
      </c>
      <c r="E8267" s="18" t="s">
        <v>0</v>
      </c>
      <c r="F8267" s="6">
        <v>1</v>
      </c>
      <c r="G8267" s="40">
        <v>6</v>
      </c>
      <c r="H8267" s="40">
        <v>15.32033</v>
      </c>
      <c r="I8267" s="212"/>
      <c r="J8267" s="212"/>
    </row>
    <row r="8268" spans="1:10" s="15" customFormat="1" ht="18" hidden="1" customHeight="1" outlineLevel="1" x14ac:dyDescent="0.25">
      <c r="A8268" s="18">
        <v>1294</v>
      </c>
      <c r="B8268" s="4" t="s">
        <v>43</v>
      </c>
      <c r="C8268" s="38" t="s">
        <v>10743</v>
      </c>
      <c r="D8268" s="23">
        <v>2023</v>
      </c>
      <c r="E8268" s="18" t="s">
        <v>0</v>
      </c>
      <c r="F8268" s="6">
        <v>1</v>
      </c>
      <c r="G8268" s="40">
        <v>4</v>
      </c>
      <c r="H8268" s="40">
        <v>15.32033</v>
      </c>
      <c r="I8268" s="212"/>
      <c r="J8268" s="212"/>
    </row>
    <row r="8269" spans="1:10" s="15" customFormat="1" ht="18" hidden="1" customHeight="1" outlineLevel="1" x14ac:dyDescent="0.25">
      <c r="A8269" s="18">
        <v>5524</v>
      </c>
      <c r="B8269" s="4" t="s">
        <v>43</v>
      </c>
      <c r="C8269" s="38" t="s">
        <v>10744</v>
      </c>
      <c r="D8269" s="23">
        <v>2023</v>
      </c>
      <c r="E8269" s="18" t="s">
        <v>0</v>
      </c>
      <c r="F8269" s="6">
        <v>1</v>
      </c>
      <c r="G8269" s="40">
        <v>5</v>
      </c>
      <c r="H8269" s="40">
        <v>15.32033</v>
      </c>
      <c r="I8269" s="212"/>
      <c r="J8269" s="212"/>
    </row>
    <row r="8270" spans="1:10" s="15" customFormat="1" ht="18" hidden="1" customHeight="1" outlineLevel="1" x14ac:dyDescent="0.25">
      <c r="A8270" s="18">
        <v>5525</v>
      </c>
      <c r="B8270" s="4" t="s">
        <v>43</v>
      </c>
      <c r="C8270" s="38" t="s">
        <v>10745</v>
      </c>
      <c r="D8270" s="23">
        <v>2023</v>
      </c>
      <c r="E8270" s="18" t="s">
        <v>0</v>
      </c>
      <c r="F8270" s="6">
        <v>1</v>
      </c>
      <c r="G8270" s="40">
        <v>5</v>
      </c>
      <c r="H8270" s="40">
        <v>15.32033</v>
      </c>
      <c r="I8270" s="212"/>
      <c r="J8270" s="212"/>
    </row>
    <row r="8271" spans="1:10" s="15" customFormat="1" ht="18" hidden="1" customHeight="1" outlineLevel="1" x14ac:dyDescent="0.25">
      <c r="A8271" s="18">
        <v>5526</v>
      </c>
      <c r="B8271" s="4" t="s">
        <v>43</v>
      </c>
      <c r="C8271" s="38" t="s">
        <v>10746</v>
      </c>
      <c r="D8271" s="23">
        <v>2023</v>
      </c>
      <c r="E8271" s="18" t="s">
        <v>0</v>
      </c>
      <c r="F8271" s="6">
        <v>1</v>
      </c>
      <c r="G8271" s="40">
        <v>5</v>
      </c>
      <c r="H8271" s="40">
        <v>15.32033</v>
      </c>
      <c r="I8271" s="212"/>
      <c r="J8271" s="212"/>
    </row>
    <row r="8272" spans="1:10" s="15" customFormat="1" ht="18" hidden="1" customHeight="1" outlineLevel="1" x14ac:dyDescent="0.25">
      <c r="A8272" s="18">
        <v>5527</v>
      </c>
      <c r="B8272" s="4" t="s">
        <v>43</v>
      </c>
      <c r="C8272" s="38" t="s">
        <v>10747</v>
      </c>
      <c r="D8272" s="23">
        <v>2023</v>
      </c>
      <c r="E8272" s="18" t="s">
        <v>0</v>
      </c>
      <c r="F8272" s="6">
        <v>1</v>
      </c>
      <c r="G8272" s="40">
        <v>6</v>
      </c>
      <c r="H8272" s="40">
        <v>15.32033</v>
      </c>
      <c r="I8272" s="212"/>
      <c r="J8272" s="212"/>
    </row>
    <row r="8273" spans="1:10" s="15" customFormat="1" ht="18" hidden="1" customHeight="1" outlineLevel="1" x14ac:dyDescent="0.25">
      <c r="A8273" s="18">
        <v>5528</v>
      </c>
      <c r="B8273" s="4" t="s">
        <v>43</v>
      </c>
      <c r="C8273" s="38" t="s">
        <v>10748</v>
      </c>
      <c r="D8273" s="23">
        <v>2023</v>
      </c>
      <c r="E8273" s="18" t="s">
        <v>0</v>
      </c>
      <c r="F8273" s="6">
        <v>1</v>
      </c>
      <c r="G8273" s="40">
        <v>10</v>
      </c>
      <c r="H8273" s="40">
        <v>15.32033</v>
      </c>
      <c r="I8273" s="212"/>
      <c r="J8273" s="212"/>
    </row>
    <row r="8274" spans="1:10" s="15" customFormat="1" ht="18" hidden="1" customHeight="1" outlineLevel="1" x14ac:dyDescent="0.25">
      <c r="A8274" s="18">
        <v>5529</v>
      </c>
      <c r="B8274" s="4" t="s">
        <v>43</v>
      </c>
      <c r="C8274" s="38" t="s">
        <v>10749</v>
      </c>
      <c r="D8274" s="23">
        <v>2023</v>
      </c>
      <c r="E8274" s="18" t="s">
        <v>0</v>
      </c>
      <c r="F8274" s="6">
        <v>1</v>
      </c>
      <c r="G8274" s="40">
        <v>5</v>
      </c>
      <c r="H8274" s="40">
        <v>15.32033</v>
      </c>
      <c r="I8274" s="212"/>
      <c r="J8274" s="212"/>
    </row>
    <row r="8275" spans="1:10" s="15" customFormat="1" ht="18" hidden="1" customHeight="1" outlineLevel="1" x14ac:dyDescent="0.25">
      <c r="A8275" s="18">
        <v>5530</v>
      </c>
      <c r="B8275" s="4" t="s">
        <v>43</v>
      </c>
      <c r="C8275" s="38" t="s">
        <v>10750</v>
      </c>
      <c r="D8275" s="23">
        <v>2023</v>
      </c>
      <c r="E8275" s="18" t="s">
        <v>0</v>
      </c>
      <c r="F8275" s="6">
        <v>1</v>
      </c>
      <c r="G8275" s="40">
        <v>5</v>
      </c>
      <c r="H8275" s="40">
        <v>15.32033</v>
      </c>
      <c r="I8275" s="212"/>
      <c r="J8275" s="212"/>
    </row>
    <row r="8276" spans="1:10" s="15" customFormat="1" ht="18" hidden="1" customHeight="1" outlineLevel="1" x14ac:dyDescent="0.25">
      <c r="A8276" s="18">
        <v>5531</v>
      </c>
      <c r="B8276" s="4" t="s">
        <v>43</v>
      </c>
      <c r="C8276" s="38" t="s">
        <v>10751</v>
      </c>
      <c r="D8276" s="23">
        <v>2023</v>
      </c>
      <c r="E8276" s="18" t="s">
        <v>0</v>
      </c>
      <c r="F8276" s="6">
        <v>1</v>
      </c>
      <c r="G8276" s="40">
        <v>5</v>
      </c>
      <c r="H8276" s="40">
        <v>15.32033</v>
      </c>
      <c r="I8276" s="212"/>
      <c r="J8276" s="212"/>
    </row>
    <row r="8277" spans="1:10" s="15" customFormat="1" ht="18" hidden="1" customHeight="1" outlineLevel="1" x14ac:dyDescent="0.25">
      <c r="A8277" s="18">
        <v>5532</v>
      </c>
      <c r="B8277" s="4" t="s">
        <v>43</v>
      </c>
      <c r="C8277" s="38" t="s">
        <v>10752</v>
      </c>
      <c r="D8277" s="23">
        <v>2023</v>
      </c>
      <c r="E8277" s="18" t="s">
        <v>0</v>
      </c>
      <c r="F8277" s="6">
        <v>1</v>
      </c>
      <c r="G8277" s="40">
        <v>5</v>
      </c>
      <c r="H8277" s="40">
        <v>15.32033</v>
      </c>
      <c r="I8277" s="212"/>
      <c r="J8277" s="212"/>
    </row>
    <row r="8278" spans="1:10" s="15" customFormat="1" ht="18" hidden="1" customHeight="1" outlineLevel="1" x14ac:dyDescent="0.25">
      <c r="A8278" s="18">
        <v>5533</v>
      </c>
      <c r="B8278" s="4" t="s">
        <v>43</v>
      </c>
      <c r="C8278" s="38" t="s">
        <v>10753</v>
      </c>
      <c r="D8278" s="23">
        <v>2023</v>
      </c>
      <c r="E8278" s="18" t="s">
        <v>0</v>
      </c>
      <c r="F8278" s="6">
        <v>1</v>
      </c>
      <c r="G8278" s="40">
        <v>5</v>
      </c>
      <c r="H8278" s="40">
        <v>15.32033</v>
      </c>
      <c r="I8278" s="212"/>
      <c r="J8278" s="212"/>
    </row>
    <row r="8279" spans="1:10" s="15" customFormat="1" ht="18" hidden="1" customHeight="1" outlineLevel="1" x14ac:dyDescent="0.25">
      <c r="A8279" s="18">
        <v>5534</v>
      </c>
      <c r="B8279" s="4" t="s">
        <v>43</v>
      </c>
      <c r="C8279" s="38" t="s">
        <v>10754</v>
      </c>
      <c r="D8279" s="23">
        <v>2023</v>
      </c>
      <c r="E8279" s="18" t="s">
        <v>0</v>
      </c>
      <c r="F8279" s="6">
        <v>1</v>
      </c>
      <c r="G8279" s="40">
        <v>6</v>
      </c>
      <c r="H8279" s="40">
        <v>15.32033</v>
      </c>
      <c r="I8279" s="212"/>
      <c r="J8279" s="212"/>
    </row>
    <row r="8280" spans="1:10" s="15" customFormat="1" ht="18" hidden="1" customHeight="1" outlineLevel="1" x14ac:dyDescent="0.25">
      <c r="A8280" s="18">
        <v>1340</v>
      </c>
      <c r="B8280" s="4" t="s">
        <v>43</v>
      </c>
      <c r="C8280" s="38" t="s">
        <v>10755</v>
      </c>
      <c r="D8280" s="23">
        <v>2023</v>
      </c>
      <c r="E8280" s="18" t="s">
        <v>0</v>
      </c>
      <c r="F8280" s="6">
        <v>1</v>
      </c>
      <c r="G8280" s="40">
        <v>5</v>
      </c>
      <c r="H8280" s="40">
        <v>15.32033</v>
      </c>
      <c r="I8280" s="212"/>
      <c r="J8280" s="212"/>
    </row>
    <row r="8281" spans="1:10" s="15" customFormat="1" ht="18" hidden="1" customHeight="1" outlineLevel="1" x14ac:dyDescent="0.25">
      <c r="A8281" s="18">
        <v>1339</v>
      </c>
      <c r="B8281" s="4" t="s">
        <v>43</v>
      </c>
      <c r="C8281" s="38" t="s">
        <v>10756</v>
      </c>
      <c r="D8281" s="23">
        <v>2023</v>
      </c>
      <c r="E8281" s="18" t="s">
        <v>0</v>
      </c>
      <c r="F8281" s="6">
        <v>1</v>
      </c>
      <c r="G8281" s="40">
        <v>5</v>
      </c>
      <c r="H8281" s="40">
        <v>15.32033</v>
      </c>
      <c r="I8281" s="212"/>
      <c r="J8281" s="212"/>
    </row>
    <row r="8282" spans="1:10" s="15" customFormat="1" ht="18" hidden="1" customHeight="1" outlineLevel="1" x14ac:dyDescent="0.25">
      <c r="A8282" s="18">
        <v>1344</v>
      </c>
      <c r="B8282" s="4" t="s">
        <v>43</v>
      </c>
      <c r="C8282" s="38" t="s">
        <v>10757</v>
      </c>
      <c r="D8282" s="23">
        <v>2023</v>
      </c>
      <c r="E8282" s="18" t="s">
        <v>0</v>
      </c>
      <c r="F8282" s="6">
        <v>1</v>
      </c>
      <c r="G8282" s="40">
        <v>5</v>
      </c>
      <c r="H8282" s="40">
        <v>15.32033</v>
      </c>
      <c r="I8282" s="212"/>
      <c r="J8282" s="212"/>
    </row>
    <row r="8283" spans="1:10" s="15" customFormat="1" ht="18" hidden="1" customHeight="1" outlineLevel="1" x14ac:dyDescent="0.25">
      <c r="A8283" s="18">
        <v>1345</v>
      </c>
      <c r="B8283" s="4" t="s">
        <v>43</v>
      </c>
      <c r="C8283" s="38" t="s">
        <v>10758</v>
      </c>
      <c r="D8283" s="23">
        <v>2023</v>
      </c>
      <c r="E8283" s="18" t="s">
        <v>0</v>
      </c>
      <c r="F8283" s="6">
        <v>1</v>
      </c>
      <c r="G8283" s="40">
        <v>5</v>
      </c>
      <c r="H8283" s="40">
        <v>15.32033</v>
      </c>
      <c r="I8283" s="212"/>
      <c r="J8283" s="212"/>
    </row>
    <row r="8284" spans="1:10" s="15" customFormat="1" ht="18" hidden="1" customHeight="1" outlineLevel="1" x14ac:dyDescent="0.25">
      <c r="A8284" s="18">
        <v>1346</v>
      </c>
      <c r="B8284" s="4" t="s">
        <v>43</v>
      </c>
      <c r="C8284" s="38" t="s">
        <v>10759</v>
      </c>
      <c r="D8284" s="23">
        <v>2023</v>
      </c>
      <c r="E8284" s="18" t="s">
        <v>0</v>
      </c>
      <c r="F8284" s="6">
        <v>1</v>
      </c>
      <c r="G8284" s="40">
        <v>5</v>
      </c>
      <c r="H8284" s="40">
        <v>15.32033</v>
      </c>
      <c r="I8284" s="212"/>
      <c r="J8284" s="212"/>
    </row>
    <row r="8285" spans="1:10" s="15" customFormat="1" ht="18" hidden="1" customHeight="1" outlineLevel="1" x14ac:dyDescent="0.25">
      <c r="A8285" s="18">
        <v>5535</v>
      </c>
      <c r="B8285" s="4" t="s">
        <v>43</v>
      </c>
      <c r="C8285" s="38" t="s">
        <v>10760</v>
      </c>
      <c r="D8285" s="23">
        <v>2023</v>
      </c>
      <c r="E8285" s="18" t="s">
        <v>0</v>
      </c>
      <c r="F8285" s="6">
        <v>1</v>
      </c>
      <c r="G8285" s="40">
        <v>5</v>
      </c>
      <c r="H8285" s="40">
        <v>15.32033</v>
      </c>
      <c r="I8285" s="212"/>
      <c r="J8285" s="212"/>
    </row>
    <row r="8286" spans="1:10" s="15" customFormat="1" ht="18" hidden="1" customHeight="1" outlineLevel="1" x14ac:dyDescent="0.25">
      <c r="A8286" s="18">
        <v>5536</v>
      </c>
      <c r="B8286" s="4" t="s">
        <v>43</v>
      </c>
      <c r="C8286" s="38" t="s">
        <v>10761</v>
      </c>
      <c r="D8286" s="23">
        <v>2023</v>
      </c>
      <c r="E8286" s="18" t="s">
        <v>0</v>
      </c>
      <c r="F8286" s="6">
        <v>1</v>
      </c>
      <c r="G8286" s="40">
        <v>5</v>
      </c>
      <c r="H8286" s="40">
        <v>15.32033</v>
      </c>
      <c r="I8286" s="212"/>
      <c r="J8286" s="212"/>
    </row>
    <row r="8287" spans="1:10" s="15" customFormat="1" ht="18" hidden="1" customHeight="1" outlineLevel="1" x14ac:dyDescent="0.25">
      <c r="A8287" s="18">
        <v>1347</v>
      </c>
      <c r="B8287" s="4" t="s">
        <v>43</v>
      </c>
      <c r="C8287" s="38" t="s">
        <v>10762</v>
      </c>
      <c r="D8287" s="23">
        <v>2023</v>
      </c>
      <c r="E8287" s="18" t="s">
        <v>0</v>
      </c>
      <c r="F8287" s="6">
        <v>1</v>
      </c>
      <c r="G8287" s="40">
        <v>5</v>
      </c>
      <c r="H8287" s="40">
        <v>15.32033</v>
      </c>
      <c r="I8287" s="212"/>
      <c r="J8287" s="212"/>
    </row>
    <row r="8288" spans="1:10" s="15" customFormat="1" ht="18" hidden="1" customHeight="1" outlineLevel="1" x14ac:dyDescent="0.25">
      <c r="A8288" s="18">
        <v>5537</v>
      </c>
      <c r="B8288" s="4" t="s">
        <v>43</v>
      </c>
      <c r="C8288" s="38" t="s">
        <v>10763</v>
      </c>
      <c r="D8288" s="23">
        <v>2023</v>
      </c>
      <c r="E8288" s="18" t="s">
        <v>0</v>
      </c>
      <c r="F8288" s="6">
        <v>1</v>
      </c>
      <c r="G8288" s="40">
        <v>6</v>
      </c>
      <c r="H8288" s="40">
        <v>15.32033</v>
      </c>
      <c r="I8288" s="212"/>
      <c r="J8288" s="212"/>
    </row>
    <row r="8289" spans="1:10" s="15" customFormat="1" ht="18" hidden="1" customHeight="1" outlineLevel="1" x14ac:dyDescent="0.25">
      <c r="A8289" s="18">
        <v>5538</v>
      </c>
      <c r="B8289" s="4" t="s">
        <v>43</v>
      </c>
      <c r="C8289" s="38" t="s">
        <v>10764</v>
      </c>
      <c r="D8289" s="23">
        <v>2023</v>
      </c>
      <c r="E8289" s="18" t="s">
        <v>0</v>
      </c>
      <c r="F8289" s="6">
        <v>1</v>
      </c>
      <c r="G8289" s="40">
        <v>6</v>
      </c>
      <c r="H8289" s="40">
        <v>15.32033</v>
      </c>
      <c r="I8289" s="212"/>
      <c r="J8289" s="212"/>
    </row>
    <row r="8290" spans="1:10" s="15" customFormat="1" ht="18" hidden="1" customHeight="1" outlineLevel="1" x14ac:dyDescent="0.25">
      <c r="A8290" s="18">
        <v>5539</v>
      </c>
      <c r="B8290" s="4" t="s">
        <v>43</v>
      </c>
      <c r="C8290" s="38" t="s">
        <v>10765</v>
      </c>
      <c r="D8290" s="23">
        <v>2023</v>
      </c>
      <c r="E8290" s="18" t="s">
        <v>0</v>
      </c>
      <c r="F8290" s="6">
        <v>1</v>
      </c>
      <c r="G8290" s="40">
        <v>6</v>
      </c>
      <c r="H8290" s="40">
        <v>15.32033</v>
      </c>
      <c r="I8290" s="212"/>
      <c r="J8290" s="212"/>
    </row>
    <row r="8291" spans="1:10" s="15" customFormat="1" ht="18" hidden="1" customHeight="1" outlineLevel="1" x14ac:dyDescent="0.25">
      <c r="A8291" s="18">
        <v>5540</v>
      </c>
      <c r="B8291" s="4" t="s">
        <v>43</v>
      </c>
      <c r="C8291" s="38" t="s">
        <v>10766</v>
      </c>
      <c r="D8291" s="23">
        <v>2023</v>
      </c>
      <c r="E8291" s="18" t="s">
        <v>0</v>
      </c>
      <c r="F8291" s="6">
        <v>1</v>
      </c>
      <c r="G8291" s="40">
        <v>6</v>
      </c>
      <c r="H8291" s="40">
        <v>15.32033</v>
      </c>
      <c r="I8291" s="212"/>
      <c r="J8291" s="212"/>
    </row>
    <row r="8292" spans="1:10" s="15" customFormat="1" ht="18" hidden="1" customHeight="1" outlineLevel="1" x14ac:dyDescent="0.25">
      <c r="A8292" s="18">
        <v>5541</v>
      </c>
      <c r="B8292" s="4" t="s">
        <v>43</v>
      </c>
      <c r="C8292" s="38" t="s">
        <v>10767</v>
      </c>
      <c r="D8292" s="23">
        <v>2023</v>
      </c>
      <c r="E8292" s="18" t="s">
        <v>0</v>
      </c>
      <c r="F8292" s="6">
        <v>1</v>
      </c>
      <c r="G8292" s="40">
        <v>5</v>
      </c>
      <c r="H8292" s="40">
        <v>15.32033</v>
      </c>
      <c r="I8292" s="212"/>
      <c r="J8292" s="212"/>
    </row>
    <row r="8293" spans="1:10" s="15" customFormat="1" ht="18" hidden="1" customHeight="1" outlineLevel="1" x14ac:dyDescent="0.25">
      <c r="A8293" s="18">
        <v>5542</v>
      </c>
      <c r="B8293" s="4" t="s">
        <v>43</v>
      </c>
      <c r="C8293" s="38" t="s">
        <v>10768</v>
      </c>
      <c r="D8293" s="23">
        <v>2023</v>
      </c>
      <c r="E8293" s="18" t="s">
        <v>0</v>
      </c>
      <c r="F8293" s="6">
        <v>1</v>
      </c>
      <c r="G8293" s="40">
        <v>5</v>
      </c>
      <c r="H8293" s="40">
        <v>15.32033</v>
      </c>
      <c r="I8293" s="212"/>
      <c r="J8293" s="212"/>
    </row>
    <row r="8294" spans="1:10" s="15" customFormat="1" ht="18" hidden="1" customHeight="1" outlineLevel="1" x14ac:dyDescent="0.25">
      <c r="A8294" s="18">
        <v>5543</v>
      </c>
      <c r="B8294" s="4" t="s">
        <v>43</v>
      </c>
      <c r="C8294" s="38" t="s">
        <v>10769</v>
      </c>
      <c r="D8294" s="23">
        <v>2023</v>
      </c>
      <c r="E8294" s="18" t="s">
        <v>0</v>
      </c>
      <c r="F8294" s="6">
        <v>1</v>
      </c>
      <c r="G8294" s="40">
        <v>5</v>
      </c>
      <c r="H8294" s="40">
        <v>15.32033</v>
      </c>
      <c r="I8294" s="212"/>
      <c r="J8294" s="212"/>
    </row>
    <row r="8295" spans="1:10" s="15" customFormat="1" ht="18" hidden="1" customHeight="1" outlineLevel="1" x14ac:dyDescent="0.25">
      <c r="A8295" s="18">
        <v>5544</v>
      </c>
      <c r="B8295" s="4" t="s">
        <v>43</v>
      </c>
      <c r="C8295" s="38" t="s">
        <v>10770</v>
      </c>
      <c r="D8295" s="23">
        <v>2023</v>
      </c>
      <c r="E8295" s="18" t="s">
        <v>0</v>
      </c>
      <c r="F8295" s="6">
        <v>1</v>
      </c>
      <c r="G8295" s="40">
        <v>5</v>
      </c>
      <c r="H8295" s="40">
        <v>15.32033</v>
      </c>
      <c r="I8295" s="212"/>
      <c r="J8295" s="212"/>
    </row>
    <row r="8296" spans="1:10" s="15" customFormat="1" ht="18" hidden="1" customHeight="1" outlineLevel="1" x14ac:dyDescent="0.25">
      <c r="A8296" s="18">
        <v>1369</v>
      </c>
      <c r="B8296" s="4" t="s">
        <v>43</v>
      </c>
      <c r="C8296" s="38" t="s">
        <v>10771</v>
      </c>
      <c r="D8296" s="23">
        <v>2023</v>
      </c>
      <c r="E8296" s="18" t="s">
        <v>0</v>
      </c>
      <c r="F8296" s="6">
        <v>1</v>
      </c>
      <c r="G8296" s="40">
        <v>3</v>
      </c>
      <c r="H8296" s="40">
        <v>15.32033</v>
      </c>
      <c r="I8296" s="212"/>
      <c r="J8296" s="212"/>
    </row>
    <row r="8297" spans="1:10" s="15" customFormat="1" ht="18" hidden="1" customHeight="1" outlineLevel="1" x14ac:dyDescent="0.25">
      <c r="A8297" s="18">
        <v>5545</v>
      </c>
      <c r="B8297" s="4" t="s">
        <v>43</v>
      </c>
      <c r="C8297" s="38" t="s">
        <v>10772</v>
      </c>
      <c r="D8297" s="23">
        <v>2023</v>
      </c>
      <c r="E8297" s="18" t="s">
        <v>0</v>
      </c>
      <c r="F8297" s="6">
        <v>1</v>
      </c>
      <c r="G8297" s="40">
        <v>6</v>
      </c>
      <c r="H8297" s="40">
        <v>15.32033</v>
      </c>
      <c r="I8297" s="212"/>
      <c r="J8297" s="212"/>
    </row>
    <row r="8298" spans="1:10" s="15" customFormat="1" ht="18" hidden="1" customHeight="1" outlineLevel="1" x14ac:dyDescent="0.25">
      <c r="A8298" s="18">
        <v>5546</v>
      </c>
      <c r="B8298" s="4" t="s">
        <v>43</v>
      </c>
      <c r="C8298" s="38" t="s">
        <v>10773</v>
      </c>
      <c r="D8298" s="23">
        <v>2023</v>
      </c>
      <c r="E8298" s="18" t="s">
        <v>0</v>
      </c>
      <c r="F8298" s="6">
        <v>1</v>
      </c>
      <c r="G8298" s="40">
        <v>5</v>
      </c>
      <c r="H8298" s="40">
        <v>15.32033</v>
      </c>
      <c r="I8298" s="212"/>
      <c r="J8298" s="212"/>
    </row>
    <row r="8299" spans="1:10" s="15" customFormat="1" ht="18" hidden="1" customHeight="1" outlineLevel="1" x14ac:dyDescent="0.25">
      <c r="A8299" s="18">
        <v>5547</v>
      </c>
      <c r="B8299" s="4" t="s">
        <v>43</v>
      </c>
      <c r="C8299" s="38" t="s">
        <v>10774</v>
      </c>
      <c r="D8299" s="23">
        <v>2023</v>
      </c>
      <c r="E8299" s="18" t="s">
        <v>0</v>
      </c>
      <c r="F8299" s="6">
        <v>1</v>
      </c>
      <c r="G8299" s="40">
        <v>6</v>
      </c>
      <c r="H8299" s="40">
        <v>15.32033</v>
      </c>
      <c r="I8299" s="212"/>
      <c r="J8299" s="212"/>
    </row>
    <row r="8300" spans="1:10" s="15" customFormat="1" ht="18" hidden="1" customHeight="1" outlineLevel="1" x14ac:dyDescent="0.25">
      <c r="A8300" s="18">
        <v>1336</v>
      </c>
      <c r="B8300" s="4" t="s">
        <v>43</v>
      </c>
      <c r="C8300" s="38" t="s">
        <v>10775</v>
      </c>
      <c r="D8300" s="23">
        <v>2023</v>
      </c>
      <c r="E8300" s="18" t="s">
        <v>0</v>
      </c>
      <c r="F8300" s="6">
        <v>1</v>
      </c>
      <c r="G8300" s="40">
        <v>5</v>
      </c>
      <c r="H8300" s="40">
        <v>15.32033</v>
      </c>
      <c r="I8300" s="212"/>
      <c r="J8300" s="212"/>
    </row>
    <row r="8301" spans="1:10" s="15" customFormat="1" ht="18" hidden="1" customHeight="1" outlineLevel="1" x14ac:dyDescent="0.25">
      <c r="A8301" s="18">
        <v>5548</v>
      </c>
      <c r="B8301" s="4" t="s">
        <v>43</v>
      </c>
      <c r="C8301" s="38" t="s">
        <v>10776</v>
      </c>
      <c r="D8301" s="23">
        <v>2023</v>
      </c>
      <c r="E8301" s="18" t="s">
        <v>0</v>
      </c>
      <c r="F8301" s="6">
        <v>1</v>
      </c>
      <c r="G8301" s="40">
        <v>6</v>
      </c>
      <c r="H8301" s="40">
        <v>15.32033</v>
      </c>
      <c r="I8301" s="212"/>
      <c r="J8301" s="212"/>
    </row>
    <row r="8302" spans="1:10" s="15" customFormat="1" ht="18" hidden="1" customHeight="1" outlineLevel="1" x14ac:dyDescent="0.25">
      <c r="A8302" s="18">
        <v>5549</v>
      </c>
      <c r="B8302" s="4" t="s">
        <v>43</v>
      </c>
      <c r="C8302" s="38" t="s">
        <v>10777</v>
      </c>
      <c r="D8302" s="23">
        <v>2023</v>
      </c>
      <c r="E8302" s="18" t="s">
        <v>0</v>
      </c>
      <c r="F8302" s="6">
        <v>1</v>
      </c>
      <c r="G8302" s="40">
        <v>6</v>
      </c>
      <c r="H8302" s="40">
        <v>15.32033</v>
      </c>
      <c r="I8302" s="212"/>
      <c r="J8302" s="212"/>
    </row>
    <row r="8303" spans="1:10" s="15" customFormat="1" ht="18" hidden="1" customHeight="1" outlineLevel="1" x14ac:dyDescent="0.25">
      <c r="A8303" s="18">
        <v>5550</v>
      </c>
      <c r="B8303" s="4" t="s">
        <v>43</v>
      </c>
      <c r="C8303" s="38" t="s">
        <v>10778</v>
      </c>
      <c r="D8303" s="23">
        <v>2023</v>
      </c>
      <c r="E8303" s="18" t="s">
        <v>0</v>
      </c>
      <c r="F8303" s="6">
        <v>1</v>
      </c>
      <c r="G8303" s="40">
        <v>4</v>
      </c>
      <c r="H8303" s="40">
        <v>15.32033</v>
      </c>
      <c r="I8303" s="212"/>
      <c r="J8303" s="212"/>
    </row>
    <row r="8304" spans="1:10" s="15" customFormat="1" ht="18" hidden="1" customHeight="1" outlineLevel="1" x14ac:dyDescent="0.25">
      <c r="A8304" s="18">
        <v>5551</v>
      </c>
      <c r="B8304" s="4" t="s">
        <v>43</v>
      </c>
      <c r="C8304" s="38" t="s">
        <v>10779</v>
      </c>
      <c r="D8304" s="23">
        <v>2023</v>
      </c>
      <c r="E8304" s="18" t="s">
        <v>0</v>
      </c>
      <c r="F8304" s="6">
        <v>1</v>
      </c>
      <c r="G8304" s="40">
        <v>5</v>
      </c>
      <c r="H8304" s="40">
        <v>15.32033</v>
      </c>
      <c r="I8304" s="212"/>
      <c r="J8304" s="212"/>
    </row>
    <row r="8305" spans="1:10" s="15" customFormat="1" ht="18" hidden="1" customHeight="1" outlineLevel="1" x14ac:dyDescent="0.25">
      <c r="A8305" s="18">
        <v>5552</v>
      </c>
      <c r="B8305" s="4" t="s">
        <v>43</v>
      </c>
      <c r="C8305" s="38" t="s">
        <v>10780</v>
      </c>
      <c r="D8305" s="23">
        <v>2023</v>
      </c>
      <c r="E8305" s="18" t="s">
        <v>0</v>
      </c>
      <c r="F8305" s="6">
        <v>1</v>
      </c>
      <c r="G8305" s="40">
        <v>6</v>
      </c>
      <c r="H8305" s="40">
        <v>15.32033</v>
      </c>
      <c r="I8305" s="212"/>
      <c r="J8305" s="212"/>
    </row>
    <row r="8306" spans="1:10" s="15" customFormat="1" ht="18" hidden="1" customHeight="1" outlineLevel="1" x14ac:dyDescent="0.25">
      <c r="A8306" s="18">
        <v>5553</v>
      </c>
      <c r="B8306" s="4" t="s">
        <v>43</v>
      </c>
      <c r="C8306" s="38" t="s">
        <v>10781</v>
      </c>
      <c r="D8306" s="23">
        <v>2023</v>
      </c>
      <c r="E8306" s="18" t="s">
        <v>0</v>
      </c>
      <c r="F8306" s="6">
        <v>1</v>
      </c>
      <c r="G8306" s="40">
        <v>5</v>
      </c>
      <c r="H8306" s="40">
        <v>15.32033</v>
      </c>
      <c r="I8306" s="212"/>
      <c r="J8306" s="212"/>
    </row>
    <row r="8307" spans="1:10" s="15" customFormat="1" ht="18" hidden="1" customHeight="1" outlineLevel="1" x14ac:dyDescent="0.25">
      <c r="A8307" s="18">
        <v>5554</v>
      </c>
      <c r="B8307" s="4" t="s">
        <v>43</v>
      </c>
      <c r="C8307" s="38" t="s">
        <v>10782</v>
      </c>
      <c r="D8307" s="23">
        <v>2023</v>
      </c>
      <c r="E8307" s="18" t="s">
        <v>0</v>
      </c>
      <c r="F8307" s="6">
        <v>1</v>
      </c>
      <c r="G8307" s="40">
        <v>15</v>
      </c>
      <c r="H8307" s="40">
        <v>15.32033</v>
      </c>
      <c r="I8307" s="212"/>
      <c r="J8307" s="212"/>
    </row>
    <row r="8308" spans="1:10" s="15" customFormat="1" ht="18" hidden="1" customHeight="1" outlineLevel="1" x14ac:dyDescent="0.25">
      <c r="A8308" s="18">
        <v>5555</v>
      </c>
      <c r="B8308" s="4" t="s">
        <v>43</v>
      </c>
      <c r="C8308" s="38" t="s">
        <v>10783</v>
      </c>
      <c r="D8308" s="23">
        <v>2023</v>
      </c>
      <c r="E8308" s="18" t="s">
        <v>0</v>
      </c>
      <c r="F8308" s="6">
        <v>1</v>
      </c>
      <c r="G8308" s="40">
        <v>5</v>
      </c>
      <c r="H8308" s="40">
        <v>15.32033</v>
      </c>
      <c r="I8308" s="212"/>
      <c r="J8308" s="212"/>
    </row>
    <row r="8309" spans="1:10" s="15" customFormat="1" ht="18" hidden="1" customHeight="1" outlineLevel="1" x14ac:dyDescent="0.25">
      <c r="A8309" s="18">
        <v>5556</v>
      </c>
      <c r="B8309" s="4" t="s">
        <v>43</v>
      </c>
      <c r="C8309" s="38" t="s">
        <v>10784</v>
      </c>
      <c r="D8309" s="23">
        <v>2023</v>
      </c>
      <c r="E8309" s="18" t="s">
        <v>0</v>
      </c>
      <c r="F8309" s="6">
        <v>1</v>
      </c>
      <c r="G8309" s="40">
        <v>5</v>
      </c>
      <c r="H8309" s="40">
        <v>15.32033</v>
      </c>
      <c r="I8309" s="212"/>
      <c r="J8309" s="212"/>
    </row>
    <row r="8310" spans="1:10" s="15" customFormat="1" ht="18" hidden="1" customHeight="1" outlineLevel="1" x14ac:dyDescent="0.25">
      <c r="A8310" s="18">
        <v>5557</v>
      </c>
      <c r="B8310" s="4" t="s">
        <v>43</v>
      </c>
      <c r="C8310" s="38" t="s">
        <v>10785</v>
      </c>
      <c r="D8310" s="23">
        <v>2023</v>
      </c>
      <c r="E8310" s="18" t="s">
        <v>0</v>
      </c>
      <c r="F8310" s="6">
        <v>1</v>
      </c>
      <c r="G8310" s="40">
        <v>5</v>
      </c>
      <c r="H8310" s="40">
        <v>15.32033</v>
      </c>
      <c r="I8310" s="212"/>
      <c r="J8310" s="212"/>
    </row>
    <row r="8311" spans="1:10" s="15" customFormat="1" ht="18" hidden="1" customHeight="1" outlineLevel="1" x14ac:dyDescent="0.25">
      <c r="A8311" s="18">
        <v>1407</v>
      </c>
      <c r="B8311" s="4" t="s">
        <v>43</v>
      </c>
      <c r="C8311" s="38" t="s">
        <v>10786</v>
      </c>
      <c r="D8311" s="23">
        <v>2023</v>
      </c>
      <c r="E8311" s="18" t="s">
        <v>0</v>
      </c>
      <c r="F8311" s="6">
        <v>1</v>
      </c>
      <c r="G8311" s="40">
        <v>5</v>
      </c>
      <c r="H8311" s="40">
        <v>15.32033</v>
      </c>
      <c r="I8311" s="212"/>
      <c r="J8311" s="212"/>
    </row>
    <row r="8312" spans="1:10" s="15" customFormat="1" ht="18" hidden="1" customHeight="1" outlineLevel="1" x14ac:dyDescent="0.25">
      <c r="A8312" s="18">
        <v>1489</v>
      </c>
      <c r="B8312" s="4" t="s">
        <v>43</v>
      </c>
      <c r="C8312" s="38" t="s">
        <v>10787</v>
      </c>
      <c r="D8312" s="23">
        <v>2023</v>
      </c>
      <c r="E8312" s="18" t="s">
        <v>0</v>
      </c>
      <c r="F8312" s="6">
        <v>1</v>
      </c>
      <c r="G8312" s="40">
        <v>5</v>
      </c>
      <c r="H8312" s="40">
        <v>15.32033</v>
      </c>
      <c r="I8312" s="212"/>
      <c r="J8312" s="212"/>
    </row>
    <row r="8313" spans="1:10" s="15" customFormat="1" ht="18" hidden="1" customHeight="1" outlineLevel="1" x14ac:dyDescent="0.25">
      <c r="A8313" s="18">
        <v>5558</v>
      </c>
      <c r="B8313" s="4" t="s">
        <v>43</v>
      </c>
      <c r="C8313" s="38" t="s">
        <v>10788</v>
      </c>
      <c r="D8313" s="23">
        <v>2023</v>
      </c>
      <c r="E8313" s="18" t="s">
        <v>0</v>
      </c>
      <c r="F8313" s="6">
        <v>1</v>
      </c>
      <c r="G8313" s="40">
        <v>5</v>
      </c>
      <c r="H8313" s="40">
        <v>15.32033</v>
      </c>
      <c r="I8313" s="212"/>
      <c r="J8313" s="212"/>
    </row>
    <row r="8314" spans="1:10" s="15" customFormat="1" ht="18" hidden="1" customHeight="1" outlineLevel="1" x14ac:dyDescent="0.25">
      <c r="A8314" s="18">
        <v>5559</v>
      </c>
      <c r="B8314" s="4" t="s">
        <v>43</v>
      </c>
      <c r="C8314" s="38" t="s">
        <v>10789</v>
      </c>
      <c r="D8314" s="23">
        <v>2023</v>
      </c>
      <c r="E8314" s="18" t="s">
        <v>0</v>
      </c>
      <c r="F8314" s="6">
        <v>1</v>
      </c>
      <c r="G8314" s="40">
        <v>10</v>
      </c>
      <c r="H8314" s="40">
        <v>15.32033</v>
      </c>
      <c r="I8314" s="212"/>
      <c r="J8314" s="212"/>
    </row>
    <row r="8315" spans="1:10" s="15" customFormat="1" ht="18" hidden="1" customHeight="1" outlineLevel="1" x14ac:dyDescent="0.25">
      <c r="A8315" s="18">
        <v>5560</v>
      </c>
      <c r="B8315" s="4" t="s">
        <v>43</v>
      </c>
      <c r="C8315" s="38" t="s">
        <v>10790</v>
      </c>
      <c r="D8315" s="23">
        <v>2023</v>
      </c>
      <c r="E8315" s="18" t="s">
        <v>0</v>
      </c>
      <c r="F8315" s="6">
        <v>1</v>
      </c>
      <c r="G8315" s="40">
        <v>5</v>
      </c>
      <c r="H8315" s="40">
        <v>15.32033</v>
      </c>
      <c r="I8315" s="212"/>
      <c r="J8315" s="212"/>
    </row>
    <row r="8316" spans="1:10" s="15" customFormat="1" ht="18" hidden="1" customHeight="1" outlineLevel="1" x14ac:dyDescent="0.25">
      <c r="A8316" s="18">
        <v>5561</v>
      </c>
      <c r="B8316" s="4" t="s">
        <v>43</v>
      </c>
      <c r="C8316" s="38" t="s">
        <v>10791</v>
      </c>
      <c r="D8316" s="23">
        <v>2023</v>
      </c>
      <c r="E8316" s="18" t="s">
        <v>0</v>
      </c>
      <c r="F8316" s="6">
        <v>1</v>
      </c>
      <c r="G8316" s="40">
        <v>5</v>
      </c>
      <c r="H8316" s="40">
        <v>15.32033</v>
      </c>
      <c r="I8316" s="212"/>
      <c r="J8316" s="212"/>
    </row>
    <row r="8317" spans="1:10" s="15" customFormat="1" ht="18" hidden="1" customHeight="1" outlineLevel="1" x14ac:dyDescent="0.25">
      <c r="A8317" s="18">
        <v>5562</v>
      </c>
      <c r="B8317" s="4" t="s">
        <v>43</v>
      </c>
      <c r="C8317" s="38" t="s">
        <v>10792</v>
      </c>
      <c r="D8317" s="23">
        <v>2023</v>
      </c>
      <c r="E8317" s="18" t="s">
        <v>0</v>
      </c>
      <c r="F8317" s="6">
        <v>1</v>
      </c>
      <c r="G8317" s="40">
        <v>5</v>
      </c>
      <c r="H8317" s="40">
        <v>15.32033</v>
      </c>
      <c r="I8317" s="212"/>
      <c r="J8317" s="212"/>
    </row>
    <row r="8318" spans="1:10" s="15" customFormat="1" ht="18" hidden="1" customHeight="1" outlineLevel="1" x14ac:dyDescent="0.25">
      <c r="A8318" s="18">
        <v>5563</v>
      </c>
      <c r="B8318" s="4" t="s">
        <v>43</v>
      </c>
      <c r="C8318" s="38" t="s">
        <v>10793</v>
      </c>
      <c r="D8318" s="23">
        <v>2023</v>
      </c>
      <c r="E8318" s="18" t="s">
        <v>0</v>
      </c>
      <c r="F8318" s="6">
        <v>1</v>
      </c>
      <c r="G8318" s="40">
        <v>5</v>
      </c>
      <c r="H8318" s="40">
        <v>15.32033</v>
      </c>
      <c r="I8318" s="212"/>
      <c r="J8318" s="212"/>
    </row>
    <row r="8319" spans="1:10" s="15" customFormat="1" ht="18" hidden="1" customHeight="1" outlineLevel="1" x14ac:dyDescent="0.25">
      <c r="A8319" s="18">
        <v>5564</v>
      </c>
      <c r="B8319" s="4" t="s">
        <v>43</v>
      </c>
      <c r="C8319" s="38" t="s">
        <v>10794</v>
      </c>
      <c r="D8319" s="23">
        <v>2023</v>
      </c>
      <c r="E8319" s="18" t="s">
        <v>0</v>
      </c>
      <c r="F8319" s="6">
        <v>1</v>
      </c>
      <c r="G8319" s="40">
        <v>5</v>
      </c>
      <c r="H8319" s="40">
        <v>15.32033</v>
      </c>
      <c r="I8319" s="212"/>
      <c r="J8319" s="212"/>
    </row>
    <row r="8320" spans="1:10" s="15" customFormat="1" ht="18" hidden="1" customHeight="1" outlineLevel="1" x14ac:dyDescent="0.25">
      <c r="A8320" s="18">
        <v>5565</v>
      </c>
      <c r="B8320" s="4" t="s">
        <v>43</v>
      </c>
      <c r="C8320" s="38" t="s">
        <v>10795</v>
      </c>
      <c r="D8320" s="23">
        <v>2023</v>
      </c>
      <c r="E8320" s="18" t="s">
        <v>0</v>
      </c>
      <c r="F8320" s="6">
        <v>1</v>
      </c>
      <c r="G8320" s="40">
        <v>5</v>
      </c>
      <c r="H8320" s="40">
        <v>15.32033</v>
      </c>
      <c r="I8320" s="212"/>
      <c r="J8320" s="212"/>
    </row>
    <row r="8321" spans="1:10" s="15" customFormat="1" ht="18" hidden="1" customHeight="1" outlineLevel="1" x14ac:dyDescent="0.25">
      <c r="A8321" s="18">
        <v>5566</v>
      </c>
      <c r="B8321" s="4" t="s">
        <v>43</v>
      </c>
      <c r="C8321" s="38" t="s">
        <v>10796</v>
      </c>
      <c r="D8321" s="23">
        <v>2023</v>
      </c>
      <c r="E8321" s="18" t="s">
        <v>0</v>
      </c>
      <c r="F8321" s="6">
        <v>1</v>
      </c>
      <c r="G8321" s="40">
        <v>5</v>
      </c>
      <c r="H8321" s="40">
        <v>15.32033</v>
      </c>
      <c r="I8321" s="212"/>
      <c r="J8321" s="212"/>
    </row>
    <row r="8322" spans="1:10" s="15" customFormat="1" ht="18" hidden="1" customHeight="1" outlineLevel="1" x14ac:dyDescent="0.25">
      <c r="A8322" s="18">
        <v>5567</v>
      </c>
      <c r="B8322" s="4" t="s">
        <v>43</v>
      </c>
      <c r="C8322" s="38" t="s">
        <v>10797</v>
      </c>
      <c r="D8322" s="23">
        <v>2023</v>
      </c>
      <c r="E8322" s="18" t="s">
        <v>0</v>
      </c>
      <c r="F8322" s="6">
        <v>1</v>
      </c>
      <c r="G8322" s="40">
        <v>5</v>
      </c>
      <c r="H8322" s="40">
        <v>15.32033</v>
      </c>
      <c r="I8322" s="212"/>
      <c r="J8322" s="212"/>
    </row>
    <row r="8323" spans="1:10" s="15" customFormat="1" ht="18" hidden="1" customHeight="1" outlineLevel="1" x14ac:dyDescent="0.25">
      <c r="A8323" s="18">
        <v>5568</v>
      </c>
      <c r="B8323" s="4" t="s">
        <v>43</v>
      </c>
      <c r="C8323" s="38" t="s">
        <v>10798</v>
      </c>
      <c r="D8323" s="23">
        <v>2023</v>
      </c>
      <c r="E8323" s="18" t="s">
        <v>0</v>
      </c>
      <c r="F8323" s="6">
        <v>1</v>
      </c>
      <c r="G8323" s="40">
        <v>5</v>
      </c>
      <c r="H8323" s="40">
        <v>15.32033</v>
      </c>
      <c r="I8323" s="212"/>
      <c r="J8323" s="212"/>
    </row>
    <row r="8324" spans="1:10" s="15" customFormat="1" ht="18" hidden="1" customHeight="1" outlineLevel="1" x14ac:dyDescent="0.25">
      <c r="A8324" s="18">
        <v>5569</v>
      </c>
      <c r="B8324" s="4" t="s">
        <v>43</v>
      </c>
      <c r="C8324" s="38" t="s">
        <v>10799</v>
      </c>
      <c r="D8324" s="23">
        <v>2023</v>
      </c>
      <c r="E8324" s="18" t="s">
        <v>0</v>
      </c>
      <c r="F8324" s="6">
        <v>1</v>
      </c>
      <c r="G8324" s="40">
        <v>5</v>
      </c>
      <c r="H8324" s="40">
        <v>15.32033</v>
      </c>
      <c r="I8324" s="212"/>
      <c r="J8324" s="212"/>
    </row>
    <row r="8325" spans="1:10" s="15" customFormat="1" ht="18" hidden="1" customHeight="1" outlineLevel="1" x14ac:dyDescent="0.25">
      <c r="A8325" s="18">
        <v>5570</v>
      </c>
      <c r="B8325" s="4" t="s">
        <v>43</v>
      </c>
      <c r="C8325" s="38" t="s">
        <v>10800</v>
      </c>
      <c r="D8325" s="23">
        <v>2023</v>
      </c>
      <c r="E8325" s="18" t="s">
        <v>0</v>
      </c>
      <c r="F8325" s="6">
        <v>1</v>
      </c>
      <c r="G8325" s="40">
        <v>5</v>
      </c>
      <c r="H8325" s="40">
        <v>15.32033</v>
      </c>
      <c r="I8325" s="212"/>
      <c r="J8325" s="212"/>
    </row>
    <row r="8326" spans="1:10" s="15" customFormat="1" ht="18" hidden="1" customHeight="1" outlineLevel="1" x14ac:dyDescent="0.25">
      <c r="A8326" s="18">
        <v>5571</v>
      </c>
      <c r="B8326" s="4" t="s">
        <v>43</v>
      </c>
      <c r="C8326" s="38" t="s">
        <v>10801</v>
      </c>
      <c r="D8326" s="23">
        <v>2023</v>
      </c>
      <c r="E8326" s="18" t="s">
        <v>0</v>
      </c>
      <c r="F8326" s="6">
        <v>1</v>
      </c>
      <c r="G8326" s="40">
        <v>5</v>
      </c>
      <c r="H8326" s="40">
        <v>15.32033</v>
      </c>
      <c r="I8326" s="212"/>
      <c r="J8326" s="212"/>
    </row>
    <row r="8327" spans="1:10" s="15" customFormat="1" ht="18" hidden="1" customHeight="1" outlineLevel="1" x14ac:dyDescent="0.25">
      <c r="A8327" s="18">
        <v>5572</v>
      </c>
      <c r="B8327" s="4" t="s">
        <v>43</v>
      </c>
      <c r="C8327" s="38" t="s">
        <v>10802</v>
      </c>
      <c r="D8327" s="23">
        <v>2023</v>
      </c>
      <c r="E8327" s="18" t="s">
        <v>0</v>
      </c>
      <c r="F8327" s="6">
        <v>1</v>
      </c>
      <c r="G8327" s="40">
        <v>5</v>
      </c>
      <c r="H8327" s="40">
        <v>15.32033</v>
      </c>
      <c r="I8327" s="212"/>
      <c r="J8327" s="212"/>
    </row>
    <row r="8328" spans="1:10" s="15" customFormat="1" ht="18" hidden="1" customHeight="1" outlineLevel="1" x14ac:dyDescent="0.25">
      <c r="A8328" s="18">
        <v>5573</v>
      </c>
      <c r="B8328" s="4" t="s">
        <v>43</v>
      </c>
      <c r="C8328" s="38" t="s">
        <v>10803</v>
      </c>
      <c r="D8328" s="23">
        <v>2023</v>
      </c>
      <c r="E8328" s="18" t="s">
        <v>0</v>
      </c>
      <c r="F8328" s="6">
        <v>1</v>
      </c>
      <c r="G8328" s="40">
        <v>5</v>
      </c>
      <c r="H8328" s="40">
        <v>15.32033</v>
      </c>
      <c r="I8328" s="212"/>
      <c r="J8328" s="212"/>
    </row>
    <row r="8329" spans="1:10" s="15" customFormat="1" ht="18" hidden="1" customHeight="1" outlineLevel="1" x14ac:dyDescent="0.25">
      <c r="A8329" s="18">
        <v>5574</v>
      </c>
      <c r="B8329" s="4" t="s">
        <v>43</v>
      </c>
      <c r="C8329" s="38" t="s">
        <v>10804</v>
      </c>
      <c r="D8329" s="23">
        <v>2023</v>
      </c>
      <c r="E8329" s="18" t="s">
        <v>0</v>
      </c>
      <c r="F8329" s="6">
        <v>1</v>
      </c>
      <c r="G8329" s="40">
        <v>5</v>
      </c>
      <c r="H8329" s="40">
        <v>15.32033</v>
      </c>
      <c r="I8329" s="212"/>
      <c r="J8329" s="212"/>
    </row>
    <row r="8330" spans="1:10" s="15" customFormat="1" ht="18" hidden="1" customHeight="1" outlineLevel="1" x14ac:dyDescent="0.25">
      <c r="A8330" s="18">
        <v>5575</v>
      </c>
      <c r="B8330" s="4" t="s">
        <v>43</v>
      </c>
      <c r="C8330" s="38" t="s">
        <v>10805</v>
      </c>
      <c r="D8330" s="23">
        <v>2023</v>
      </c>
      <c r="E8330" s="18" t="s">
        <v>0</v>
      </c>
      <c r="F8330" s="6">
        <v>1</v>
      </c>
      <c r="G8330" s="40">
        <v>5</v>
      </c>
      <c r="H8330" s="40">
        <v>15.32033</v>
      </c>
      <c r="I8330" s="212"/>
      <c r="J8330" s="212"/>
    </row>
    <row r="8331" spans="1:10" s="15" customFormat="1" ht="18" hidden="1" customHeight="1" outlineLevel="1" x14ac:dyDescent="0.25">
      <c r="A8331" s="18">
        <v>5576</v>
      </c>
      <c r="B8331" s="4" t="s">
        <v>43</v>
      </c>
      <c r="C8331" s="38" t="s">
        <v>10806</v>
      </c>
      <c r="D8331" s="23">
        <v>2023</v>
      </c>
      <c r="E8331" s="18" t="s">
        <v>0</v>
      </c>
      <c r="F8331" s="6">
        <v>1</v>
      </c>
      <c r="G8331" s="40">
        <v>5</v>
      </c>
      <c r="H8331" s="40">
        <v>15.32033</v>
      </c>
      <c r="I8331" s="212"/>
      <c r="J8331" s="212"/>
    </row>
    <row r="8332" spans="1:10" s="15" customFormat="1" ht="18" hidden="1" customHeight="1" outlineLevel="1" x14ac:dyDescent="0.25">
      <c r="A8332" s="18">
        <v>5577</v>
      </c>
      <c r="B8332" s="4" t="s">
        <v>43</v>
      </c>
      <c r="C8332" s="38" t="s">
        <v>10807</v>
      </c>
      <c r="D8332" s="23">
        <v>2023</v>
      </c>
      <c r="E8332" s="18" t="s">
        <v>0</v>
      </c>
      <c r="F8332" s="6">
        <v>1</v>
      </c>
      <c r="G8332" s="40">
        <v>5</v>
      </c>
      <c r="H8332" s="40">
        <v>15.32033</v>
      </c>
      <c r="I8332" s="212"/>
      <c r="J8332" s="212"/>
    </row>
    <row r="8333" spans="1:10" s="15" customFormat="1" ht="18" hidden="1" customHeight="1" outlineLevel="1" x14ac:dyDescent="0.25">
      <c r="A8333" s="18">
        <v>1431</v>
      </c>
      <c r="B8333" s="4" t="s">
        <v>43</v>
      </c>
      <c r="C8333" s="38" t="s">
        <v>10808</v>
      </c>
      <c r="D8333" s="23">
        <v>2023</v>
      </c>
      <c r="E8333" s="18" t="s">
        <v>0</v>
      </c>
      <c r="F8333" s="6">
        <v>1</v>
      </c>
      <c r="G8333" s="40">
        <v>5</v>
      </c>
      <c r="H8333" s="40">
        <v>15.32033</v>
      </c>
      <c r="I8333" s="212"/>
      <c r="J8333" s="212"/>
    </row>
    <row r="8334" spans="1:10" s="15" customFormat="1" ht="18" hidden="1" customHeight="1" outlineLevel="1" x14ac:dyDescent="0.25">
      <c r="A8334" s="18">
        <v>1501</v>
      </c>
      <c r="B8334" s="4" t="s">
        <v>43</v>
      </c>
      <c r="C8334" s="38" t="s">
        <v>10809</v>
      </c>
      <c r="D8334" s="23">
        <v>2023</v>
      </c>
      <c r="E8334" s="18" t="s">
        <v>0</v>
      </c>
      <c r="F8334" s="6">
        <v>1</v>
      </c>
      <c r="G8334" s="40">
        <v>5</v>
      </c>
      <c r="H8334" s="40">
        <v>15.32033</v>
      </c>
      <c r="I8334" s="212"/>
      <c r="J8334" s="212"/>
    </row>
    <row r="8335" spans="1:10" s="15" customFormat="1" ht="18" hidden="1" customHeight="1" outlineLevel="1" x14ac:dyDescent="0.25">
      <c r="A8335" s="18">
        <v>5578</v>
      </c>
      <c r="B8335" s="4" t="s">
        <v>43</v>
      </c>
      <c r="C8335" s="38" t="s">
        <v>10810</v>
      </c>
      <c r="D8335" s="23">
        <v>2023</v>
      </c>
      <c r="E8335" s="18" t="s">
        <v>0</v>
      </c>
      <c r="F8335" s="6">
        <v>1</v>
      </c>
      <c r="G8335" s="40">
        <v>5</v>
      </c>
      <c r="H8335" s="40">
        <v>15.32033</v>
      </c>
      <c r="I8335" s="212"/>
      <c r="J8335" s="212"/>
    </row>
    <row r="8336" spans="1:10" s="15" customFormat="1" ht="18" hidden="1" customHeight="1" outlineLevel="1" x14ac:dyDescent="0.25">
      <c r="A8336" s="18">
        <v>5579</v>
      </c>
      <c r="B8336" s="4" t="s">
        <v>43</v>
      </c>
      <c r="C8336" s="38" t="s">
        <v>10811</v>
      </c>
      <c r="D8336" s="23">
        <v>2023</v>
      </c>
      <c r="E8336" s="18" t="s">
        <v>0</v>
      </c>
      <c r="F8336" s="6">
        <v>1</v>
      </c>
      <c r="G8336" s="40">
        <v>5</v>
      </c>
      <c r="H8336" s="40">
        <v>15.32033</v>
      </c>
      <c r="I8336" s="212"/>
      <c r="J8336" s="212"/>
    </row>
    <row r="8337" spans="1:10" s="15" customFormat="1" ht="18" hidden="1" customHeight="1" outlineLevel="1" x14ac:dyDescent="0.25">
      <c r="A8337" s="18">
        <v>5580</v>
      </c>
      <c r="B8337" s="4" t="s">
        <v>43</v>
      </c>
      <c r="C8337" s="38" t="s">
        <v>10812</v>
      </c>
      <c r="D8337" s="23">
        <v>2023</v>
      </c>
      <c r="E8337" s="18" t="s">
        <v>0</v>
      </c>
      <c r="F8337" s="6">
        <v>1</v>
      </c>
      <c r="G8337" s="40">
        <v>8</v>
      </c>
      <c r="H8337" s="40">
        <v>15.32033</v>
      </c>
      <c r="I8337" s="212"/>
      <c r="J8337" s="212"/>
    </row>
    <row r="8338" spans="1:10" s="15" customFormat="1" ht="18" hidden="1" customHeight="1" outlineLevel="1" x14ac:dyDescent="0.25">
      <c r="A8338" s="18">
        <v>1493</v>
      </c>
      <c r="B8338" s="4" t="s">
        <v>43</v>
      </c>
      <c r="C8338" s="38" t="s">
        <v>10813</v>
      </c>
      <c r="D8338" s="23">
        <v>2023</v>
      </c>
      <c r="E8338" s="18" t="s">
        <v>0</v>
      </c>
      <c r="F8338" s="6">
        <v>1</v>
      </c>
      <c r="G8338" s="40">
        <v>5</v>
      </c>
      <c r="H8338" s="40">
        <v>15.32033</v>
      </c>
      <c r="I8338" s="212"/>
      <c r="J8338" s="212"/>
    </row>
    <row r="8339" spans="1:10" s="15" customFormat="1" ht="18" hidden="1" customHeight="1" outlineLevel="1" x14ac:dyDescent="0.25">
      <c r="A8339" s="18">
        <v>5581</v>
      </c>
      <c r="B8339" s="4" t="s">
        <v>43</v>
      </c>
      <c r="C8339" s="38" t="s">
        <v>10814</v>
      </c>
      <c r="D8339" s="23">
        <v>2023</v>
      </c>
      <c r="E8339" s="18" t="s">
        <v>0</v>
      </c>
      <c r="F8339" s="6">
        <v>1</v>
      </c>
      <c r="G8339" s="40">
        <v>6</v>
      </c>
      <c r="H8339" s="40">
        <v>15.32033</v>
      </c>
      <c r="I8339" s="212"/>
      <c r="J8339" s="212"/>
    </row>
    <row r="8340" spans="1:10" s="15" customFormat="1" ht="18" hidden="1" customHeight="1" outlineLevel="1" x14ac:dyDescent="0.25">
      <c r="A8340" s="18">
        <v>5582</v>
      </c>
      <c r="B8340" s="4" t="s">
        <v>43</v>
      </c>
      <c r="C8340" s="38" t="s">
        <v>10815</v>
      </c>
      <c r="D8340" s="23">
        <v>2023</v>
      </c>
      <c r="E8340" s="18" t="s">
        <v>0</v>
      </c>
      <c r="F8340" s="6">
        <v>1</v>
      </c>
      <c r="G8340" s="40">
        <v>5</v>
      </c>
      <c r="H8340" s="40">
        <v>15.32033</v>
      </c>
      <c r="I8340" s="212"/>
      <c r="J8340" s="212"/>
    </row>
    <row r="8341" spans="1:10" s="15" customFormat="1" ht="18" hidden="1" customHeight="1" outlineLevel="1" x14ac:dyDescent="0.25">
      <c r="A8341" s="18">
        <v>5583</v>
      </c>
      <c r="B8341" s="4" t="s">
        <v>43</v>
      </c>
      <c r="C8341" s="38" t="s">
        <v>10816</v>
      </c>
      <c r="D8341" s="23">
        <v>2023</v>
      </c>
      <c r="E8341" s="18" t="s">
        <v>0</v>
      </c>
      <c r="F8341" s="6">
        <v>1</v>
      </c>
      <c r="G8341" s="40">
        <v>8</v>
      </c>
      <c r="H8341" s="40">
        <v>15.32033</v>
      </c>
      <c r="I8341" s="212"/>
      <c r="J8341" s="212"/>
    </row>
    <row r="8342" spans="1:10" s="15" customFormat="1" ht="18" hidden="1" customHeight="1" outlineLevel="1" x14ac:dyDescent="0.25">
      <c r="A8342" s="18">
        <v>5584</v>
      </c>
      <c r="B8342" s="4" t="s">
        <v>43</v>
      </c>
      <c r="C8342" s="38" t="s">
        <v>10817</v>
      </c>
      <c r="D8342" s="23">
        <v>2023</v>
      </c>
      <c r="E8342" s="18" t="s">
        <v>0</v>
      </c>
      <c r="F8342" s="6">
        <v>1</v>
      </c>
      <c r="G8342" s="40">
        <v>8</v>
      </c>
      <c r="H8342" s="40">
        <v>15.32033</v>
      </c>
      <c r="I8342" s="212"/>
      <c r="J8342" s="212"/>
    </row>
    <row r="8343" spans="1:10" s="15" customFormat="1" ht="18" hidden="1" customHeight="1" outlineLevel="1" x14ac:dyDescent="0.25">
      <c r="A8343" s="18">
        <v>1503</v>
      </c>
      <c r="B8343" s="4" t="s">
        <v>43</v>
      </c>
      <c r="C8343" s="38" t="s">
        <v>10818</v>
      </c>
      <c r="D8343" s="23">
        <v>2023</v>
      </c>
      <c r="E8343" s="18" t="s">
        <v>0</v>
      </c>
      <c r="F8343" s="6">
        <v>1</v>
      </c>
      <c r="G8343" s="40">
        <v>5</v>
      </c>
      <c r="H8343" s="40">
        <v>15.32033</v>
      </c>
      <c r="I8343" s="212"/>
      <c r="J8343" s="212"/>
    </row>
    <row r="8344" spans="1:10" s="15" customFormat="1" ht="18" hidden="1" customHeight="1" outlineLevel="1" x14ac:dyDescent="0.25">
      <c r="A8344" s="18">
        <v>5585</v>
      </c>
      <c r="B8344" s="4" t="s">
        <v>43</v>
      </c>
      <c r="C8344" s="38" t="s">
        <v>10819</v>
      </c>
      <c r="D8344" s="23">
        <v>2023</v>
      </c>
      <c r="E8344" s="18" t="s">
        <v>0</v>
      </c>
      <c r="F8344" s="6">
        <v>1</v>
      </c>
      <c r="G8344" s="40">
        <v>8</v>
      </c>
      <c r="H8344" s="40">
        <v>15.32033</v>
      </c>
      <c r="I8344" s="212"/>
      <c r="J8344" s="212"/>
    </row>
    <row r="8345" spans="1:10" s="15" customFormat="1" ht="18" hidden="1" customHeight="1" outlineLevel="1" x14ac:dyDescent="0.25">
      <c r="A8345" s="18">
        <v>5586</v>
      </c>
      <c r="B8345" s="4" t="s">
        <v>43</v>
      </c>
      <c r="C8345" s="38" t="s">
        <v>10820</v>
      </c>
      <c r="D8345" s="23">
        <v>2023</v>
      </c>
      <c r="E8345" s="18" t="s">
        <v>0</v>
      </c>
      <c r="F8345" s="6">
        <v>1</v>
      </c>
      <c r="G8345" s="40">
        <v>5</v>
      </c>
      <c r="H8345" s="40">
        <v>15.32033</v>
      </c>
      <c r="I8345" s="212"/>
      <c r="J8345" s="212"/>
    </row>
    <row r="8346" spans="1:10" s="15" customFormat="1" ht="18" hidden="1" customHeight="1" outlineLevel="1" x14ac:dyDescent="0.25">
      <c r="A8346" s="18">
        <v>5587</v>
      </c>
      <c r="B8346" s="4" t="s">
        <v>43</v>
      </c>
      <c r="C8346" s="38" t="s">
        <v>10821</v>
      </c>
      <c r="D8346" s="23">
        <v>2023</v>
      </c>
      <c r="E8346" s="18" t="s">
        <v>0</v>
      </c>
      <c r="F8346" s="6">
        <v>1</v>
      </c>
      <c r="G8346" s="40">
        <v>5</v>
      </c>
      <c r="H8346" s="40">
        <v>15.32033</v>
      </c>
      <c r="I8346" s="212"/>
      <c r="J8346" s="212"/>
    </row>
    <row r="8347" spans="1:10" s="15" customFormat="1" ht="18" hidden="1" customHeight="1" outlineLevel="1" x14ac:dyDescent="0.25">
      <c r="A8347" s="18">
        <v>1436</v>
      </c>
      <c r="B8347" s="4" t="s">
        <v>43</v>
      </c>
      <c r="C8347" s="38" t="s">
        <v>10822</v>
      </c>
      <c r="D8347" s="23">
        <v>2023</v>
      </c>
      <c r="E8347" s="18" t="s">
        <v>0</v>
      </c>
      <c r="F8347" s="6">
        <v>1</v>
      </c>
      <c r="G8347" s="40">
        <v>5</v>
      </c>
      <c r="H8347" s="40">
        <v>15.32033</v>
      </c>
      <c r="I8347" s="212"/>
      <c r="J8347" s="212"/>
    </row>
    <row r="8348" spans="1:10" s="15" customFormat="1" ht="18" hidden="1" customHeight="1" outlineLevel="1" x14ac:dyDescent="0.25">
      <c r="A8348" s="18">
        <v>1497</v>
      </c>
      <c r="B8348" s="4" t="s">
        <v>43</v>
      </c>
      <c r="C8348" s="38" t="s">
        <v>10823</v>
      </c>
      <c r="D8348" s="23">
        <v>2023</v>
      </c>
      <c r="E8348" s="18" t="s">
        <v>0</v>
      </c>
      <c r="F8348" s="6">
        <v>1</v>
      </c>
      <c r="G8348" s="40">
        <v>5</v>
      </c>
      <c r="H8348" s="40">
        <v>15.32033</v>
      </c>
      <c r="I8348" s="212"/>
      <c r="J8348" s="212"/>
    </row>
    <row r="8349" spans="1:10" s="15" customFormat="1" ht="18" hidden="1" customHeight="1" outlineLevel="1" x14ac:dyDescent="0.25">
      <c r="A8349" s="18">
        <v>5588</v>
      </c>
      <c r="B8349" s="4" t="s">
        <v>43</v>
      </c>
      <c r="C8349" s="38" t="s">
        <v>10824</v>
      </c>
      <c r="D8349" s="23">
        <v>2023</v>
      </c>
      <c r="E8349" s="18" t="s">
        <v>0</v>
      </c>
      <c r="F8349" s="6">
        <v>1</v>
      </c>
      <c r="G8349" s="40">
        <v>8</v>
      </c>
      <c r="H8349" s="40">
        <v>15.32033</v>
      </c>
      <c r="I8349" s="212"/>
      <c r="J8349" s="212"/>
    </row>
    <row r="8350" spans="1:10" s="15" customFormat="1" ht="18" hidden="1" customHeight="1" outlineLevel="1" x14ac:dyDescent="0.25">
      <c r="A8350" s="18">
        <v>1540</v>
      </c>
      <c r="B8350" s="4" t="s">
        <v>43</v>
      </c>
      <c r="C8350" s="38" t="s">
        <v>10825</v>
      </c>
      <c r="D8350" s="23">
        <v>2023</v>
      </c>
      <c r="E8350" s="18" t="s">
        <v>0</v>
      </c>
      <c r="F8350" s="6">
        <v>1</v>
      </c>
      <c r="G8350" s="40">
        <v>5</v>
      </c>
      <c r="H8350" s="40">
        <v>15.32033</v>
      </c>
      <c r="I8350" s="212"/>
      <c r="J8350" s="212"/>
    </row>
    <row r="8351" spans="1:10" s="15" customFormat="1" ht="18" hidden="1" customHeight="1" outlineLevel="1" x14ac:dyDescent="0.25">
      <c r="A8351" s="18">
        <v>5589</v>
      </c>
      <c r="B8351" s="4" t="s">
        <v>43</v>
      </c>
      <c r="C8351" s="38" t="s">
        <v>10826</v>
      </c>
      <c r="D8351" s="23">
        <v>2023</v>
      </c>
      <c r="E8351" s="18" t="s">
        <v>0</v>
      </c>
      <c r="F8351" s="6">
        <v>1</v>
      </c>
      <c r="G8351" s="40">
        <v>10</v>
      </c>
      <c r="H8351" s="40">
        <v>15.32033</v>
      </c>
      <c r="I8351" s="212"/>
      <c r="J8351" s="212"/>
    </row>
    <row r="8352" spans="1:10" s="15" customFormat="1" ht="18" hidden="1" customHeight="1" outlineLevel="1" x14ac:dyDescent="0.25">
      <c r="A8352" s="18">
        <v>5590</v>
      </c>
      <c r="B8352" s="4" t="s">
        <v>43</v>
      </c>
      <c r="C8352" s="38" t="s">
        <v>10827</v>
      </c>
      <c r="D8352" s="23">
        <v>2023</v>
      </c>
      <c r="E8352" s="18" t="s">
        <v>0</v>
      </c>
      <c r="F8352" s="6">
        <v>1</v>
      </c>
      <c r="G8352" s="40">
        <v>5</v>
      </c>
      <c r="H8352" s="40">
        <v>15.32033</v>
      </c>
      <c r="I8352" s="212"/>
      <c r="J8352" s="212"/>
    </row>
    <row r="8353" spans="1:10" s="15" customFormat="1" ht="18" hidden="1" customHeight="1" outlineLevel="1" x14ac:dyDescent="0.25">
      <c r="A8353" s="18">
        <v>5591</v>
      </c>
      <c r="B8353" s="4" t="s">
        <v>43</v>
      </c>
      <c r="C8353" s="38" t="s">
        <v>10828</v>
      </c>
      <c r="D8353" s="23">
        <v>2023</v>
      </c>
      <c r="E8353" s="18" t="s">
        <v>0</v>
      </c>
      <c r="F8353" s="6">
        <v>1</v>
      </c>
      <c r="G8353" s="40">
        <v>5</v>
      </c>
      <c r="H8353" s="40">
        <v>15.32033</v>
      </c>
      <c r="I8353" s="212"/>
      <c r="J8353" s="212"/>
    </row>
    <row r="8354" spans="1:10" s="15" customFormat="1" ht="18" hidden="1" customHeight="1" outlineLevel="1" x14ac:dyDescent="0.25">
      <c r="A8354" s="18">
        <v>5592</v>
      </c>
      <c r="B8354" s="4" t="s">
        <v>43</v>
      </c>
      <c r="C8354" s="38" t="s">
        <v>10829</v>
      </c>
      <c r="D8354" s="23">
        <v>2023</v>
      </c>
      <c r="E8354" s="18" t="s">
        <v>0</v>
      </c>
      <c r="F8354" s="6">
        <v>1</v>
      </c>
      <c r="G8354" s="40">
        <v>8</v>
      </c>
      <c r="H8354" s="40">
        <v>15.32033</v>
      </c>
      <c r="I8354" s="212"/>
      <c r="J8354" s="212"/>
    </row>
    <row r="8355" spans="1:10" s="15" customFormat="1" ht="18" hidden="1" customHeight="1" outlineLevel="1" x14ac:dyDescent="0.25">
      <c r="A8355" s="18">
        <v>1611</v>
      </c>
      <c r="B8355" s="4" t="s">
        <v>43</v>
      </c>
      <c r="C8355" s="38" t="s">
        <v>10830</v>
      </c>
      <c r="D8355" s="23">
        <v>2023</v>
      </c>
      <c r="E8355" s="18" t="s">
        <v>0</v>
      </c>
      <c r="F8355" s="6">
        <v>1</v>
      </c>
      <c r="G8355" s="40">
        <v>5</v>
      </c>
      <c r="H8355" s="40">
        <v>15.32033</v>
      </c>
      <c r="I8355" s="212"/>
      <c r="J8355" s="212"/>
    </row>
    <row r="8356" spans="1:10" s="15" customFormat="1" ht="18" hidden="1" customHeight="1" outlineLevel="1" x14ac:dyDescent="0.25">
      <c r="A8356" s="18">
        <v>5593</v>
      </c>
      <c r="B8356" s="4" t="s">
        <v>43</v>
      </c>
      <c r="C8356" s="38" t="s">
        <v>10831</v>
      </c>
      <c r="D8356" s="23">
        <v>2023</v>
      </c>
      <c r="E8356" s="18" t="s">
        <v>0</v>
      </c>
      <c r="F8356" s="6">
        <v>1</v>
      </c>
      <c r="G8356" s="40">
        <v>5</v>
      </c>
      <c r="H8356" s="40">
        <v>15.32033</v>
      </c>
      <c r="I8356" s="212"/>
      <c r="J8356" s="212"/>
    </row>
    <row r="8357" spans="1:10" s="15" customFormat="1" ht="18" hidden="1" customHeight="1" outlineLevel="1" x14ac:dyDescent="0.25">
      <c r="A8357" s="18">
        <v>1516</v>
      </c>
      <c r="B8357" s="4" t="s">
        <v>43</v>
      </c>
      <c r="C8357" s="38" t="s">
        <v>10832</v>
      </c>
      <c r="D8357" s="23">
        <v>2023</v>
      </c>
      <c r="E8357" s="18" t="s">
        <v>0</v>
      </c>
      <c r="F8357" s="6">
        <v>1</v>
      </c>
      <c r="G8357" s="40">
        <v>5</v>
      </c>
      <c r="H8357" s="40">
        <v>15.32033</v>
      </c>
      <c r="I8357" s="212"/>
      <c r="J8357" s="212"/>
    </row>
    <row r="8358" spans="1:10" s="15" customFormat="1" ht="18" hidden="1" customHeight="1" outlineLevel="1" x14ac:dyDescent="0.25">
      <c r="A8358" s="18">
        <v>5594</v>
      </c>
      <c r="B8358" s="4" t="s">
        <v>43</v>
      </c>
      <c r="C8358" s="38" t="s">
        <v>10833</v>
      </c>
      <c r="D8358" s="23">
        <v>2023</v>
      </c>
      <c r="E8358" s="18" t="s">
        <v>0</v>
      </c>
      <c r="F8358" s="6">
        <v>1</v>
      </c>
      <c r="G8358" s="40">
        <v>5</v>
      </c>
      <c r="H8358" s="40">
        <v>15.32033</v>
      </c>
      <c r="I8358" s="212"/>
      <c r="J8358" s="212"/>
    </row>
    <row r="8359" spans="1:10" s="15" customFormat="1" ht="18" hidden="1" customHeight="1" outlineLevel="1" x14ac:dyDescent="0.25">
      <c r="A8359" s="18">
        <v>5595</v>
      </c>
      <c r="B8359" s="4" t="s">
        <v>43</v>
      </c>
      <c r="C8359" s="38" t="s">
        <v>10834</v>
      </c>
      <c r="D8359" s="23">
        <v>2023</v>
      </c>
      <c r="E8359" s="18" t="s">
        <v>0</v>
      </c>
      <c r="F8359" s="6">
        <v>1</v>
      </c>
      <c r="G8359" s="40">
        <v>5</v>
      </c>
      <c r="H8359" s="40">
        <v>15.32033</v>
      </c>
      <c r="I8359" s="212"/>
      <c r="J8359" s="212"/>
    </row>
    <row r="8360" spans="1:10" s="15" customFormat="1" ht="18" hidden="1" customHeight="1" outlineLevel="1" x14ac:dyDescent="0.25">
      <c r="A8360" s="18">
        <v>5596</v>
      </c>
      <c r="B8360" s="4" t="s">
        <v>43</v>
      </c>
      <c r="C8360" s="38" t="s">
        <v>10835</v>
      </c>
      <c r="D8360" s="23">
        <v>2023</v>
      </c>
      <c r="E8360" s="18" t="s">
        <v>0</v>
      </c>
      <c r="F8360" s="6">
        <v>1</v>
      </c>
      <c r="G8360" s="40">
        <v>5</v>
      </c>
      <c r="H8360" s="40">
        <v>15.32033</v>
      </c>
      <c r="I8360" s="212"/>
      <c r="J8360" s="212"/>
    </row>
    <row r="8361" spans="1:10" s="15" customFormat="1" ht="18" hidden="1" customHeight="1" outlineLevel="1" x14ac:dyDescent="0.25">
      <c r="A8361" s="18">
        <v>1537</v>
      </c>
      <c r="B8361" s="4" t="s">
        <v>43</v>
      </c>
      <c r="C8361" s="38" t="s">
        <v>10836</v>
      </c>
      <c r="D8361" s="23">
        <v>2023</v>
      </c>
      <c r="E8361" s="18" t="s">
        <v>0</v>
      </c>
      <c r="F8361" s="6">
        <v>1</v>
      </c>
      <c r="G8361" s="40">
        <v>5</v>
      </c>
      <c r="H8361" s="40">
        <v>15.32033</v>
      </c>
      <c r="I8361" s="212"/>
      <c r="J8361" s="212"/>
    </row>
    <row r="8362" spans="1:10" s="15" customFormat="1" ht="18" hidden="1" customHeight="1" outlineLevel="1" x14ac:dyDescent="0.25">
      <c r="A8362" s="18">
        <v>1521</v>
      </c>
      <c r="B8362" s="4" t="s">
        <v>43</v>
      </c>
      <c r="C8362" s="38" t="s">
        <v>10837</v>
      </c>
      <c r="D8362" s="23">
        <v>2023</v>
      </c>
      <c r="E8362" s="18" t="s">
        <v>0</v>
      </c>
      <c r="F8362" s="6">
        <v>1</v>
      </c>
      <c r="G8362" s="40">
        <v>5</v>
      </c>
      <c r="H8362" s="40">
        <v>15.32033</v>
      </c>
      <c r="I8362" s="212"/>
      <c r="J8362" s="212"/>
    </row>
    <row r="8363" spans="1:10" s="15" customFormat="1" ht="18" hidden="1" customHeight="1" outlineLevel="1" x14ac:dyDescent="0.25">
      <c r="A8363" s="18">
        <v>5597</v>
      </c>
      <c r="B8363" s="4" t="s">
        <v>43</v>
      </c>
      <c r="C8363" s="38" t="s">
        <v>10838</v>
      </c>
      <c r="D8363" s="23">
        <v>2023</v>
      </c>
      <c r="E8363" s="18" t="s">
        <v>0</v>
      </c>
      <c r="F8363" s="6">
        <v>1</v>
      </c>
      <c r="G8363" s="40">
        <v>5</v>
      </c>
      <c r="H8363" s="40">
        <v>15.32033</v>
      </c>
      <c r="I8363" s="212"/>
      <c r="J8363" s="212"/>
    </row>
    <row r="8364" spans="1:10" s="15" customFormat="1" ht="18" hidden="1" customHeight="1" outlineLevel="1" x14ac:dyDescent="0.25">
      <c r="A8364" s="18">
        <v>1622</v>
      </c>
      <c r="B8364" s="4" t="s">
        <v>43</v>
      </c>
      <c r="C8364" s="38" t="s">
        <v>10839</v>
      </c>
      <c r="D8364" s="23">
        <v>2023</v>
      </c>
      <c r="E8364" s="18" t="s">
        <v>0</v>
      </c>
      <c r="F8364" s="6">
        <v>1</v>
      </c>
      <c r="G8364" s="40">
        <v>5</v>
      </c>
      <c r="H8364" s="40">
        <v>15.32033</v>
      </c>
      <c r="I8364" s="212"/>
      <c r="J8364" s="212"/>
    </row>
    <row r="8365" spans="1:10" s="15" customFormat="1" ht="18" hidden="1" customHeight="1" outlineLevel="1" x14ac:dyDescent="0.25">
      <c r="A8365" s="18">
        <v>5598</v>
      </c>
      <c r="B8365" s="4" t="s">
        <v>43</v>
      </c>
      <c r="C8365" s="38" t="s">
        <v>10840</v>
      </c>
      <c r="D8365" s="23">
        <v>2023</v>
      </c>
      <c r="E8365" s="18" t="s">
        <v>0</v>
      </c>
      <c r="F8365" s="6">
        <v>1</v>
      </c>
      <c r="G8365" s="40">
        <v>5</v>
      </c>
      <c r="H8365" s="40">
        <v>15.32033</v>
      </c>
      <c r="I8365" s="212"/>
      <c r="J8365" s="212"/>
    </row>
    <row r="8366" spans="1:10" s="15" customFormat="1" ht="18" hidden="1" customHeight="1" outlineLevel="1" x14ac:dyDescent="0.25">
      <c r="A8366" s="18">
        <v>5599</v>
      </c>
      <c r="B8366" s="4" t="s">
        <v>43</v>
      </c>
      <c r="C8366" s="38" t="s">
        <v>10841</v>
      </c>
      <c r="D8366" s="23">
        <v>2023</v>
      </c>
      <c r="E8366" s="18" t="s">
        <v>0</v>
      </c>
      <c r="F8366" s="6">
        <v>1</v>
      </c>
      <c r="G8366" s="40">
        <v>5</v>
      </c>
      <c r="H8366" s="40">
        <v>15.32033</v>
      </c>
      <c r="I8366" s="212"/>
      <c r="J8366" s="212"/>
    </row>
    <row r="8367" spans="1:10" s="15" customFormat="1" ht="18" hidden="1" customHeight="1" outlineLevel="1" x14ac:dyDescent="0.25">
      <c r="A8367" s="18">
        <v>5600</v>
      </c>
      <c r="B8367" s="4" t="s">
        <v>43</v>
      </c>
      <c r="C8367" s="38" t="s">
        <v>10842</v>
      </c>
      <c r="D8367" s="23">
        <v>2023</v>
      </c>
      <c r="E8367" s="18" t="s">
        <v>0</v>
      </c>
      <c r="F8367" s="6">
        <v>1</v>
      </c>
      <c r="G8367" s="40">
        <v>5</v>
      </c>
      <c r="H8367" s="40">
        <v>15.32033</v>
      </c>
      <c r="I8367" s="212"/>
      <c r="J8367" s="212"/>
    </row>
    <row r="8368" spans="1:10" s="15" customFormat="1" ht="18" hidden="1" customHeight="1" outlineLevel="1" x14ac:dyDescent="0.25">
      <c r="A8368" s="18">
        <v>1491</v>
      </c>
      <c r="B8368" s="4" t="s">
        <v>43</v>
      </c>
      <c r="C8368" s="38" t="s">
        <v>10843</v>
      </c>
      <c r="D8368" s="23">
        <v>2023</v>
      </c>
      <c r="E8368" s="18" t="s">
        <v>0</v>
      </c>
      <c r="F8368" s="6">
        <v>1</v>
      </c>
      <c r="G8368" s="40">
        <v>5</v>
      </c>
      <c r="H8368" s="40">
        <v>15.32033</v>
      </c>
      <c r="I8368" s="212"/>
      <c r="J8368" s="212"/>
    </row>
    <row r="8369" spans="1:10" s="15" customFormat="1" ht="18" hidden="1" customHeight="1" outlineLevel="1" x14ac:dyDescent="0.25">
      <c r="A8369" s="18">
        <v>1333</v>
      </c>
      <c r="B8369" s="4" t="s">
        <v>43</v>
      </c>
      <c r="C8369" s="38" t="s">
        <v>10844</v>
      </c>
      <c r="D8369" s="23">
        <v>2023</v>
      </c>
      <c r="E8369" s="18" t="s">
        <v>0</v>
      </c>
      <c r="F8369" s="6">
        <v>1</v>
      </c>
      <c r="G8369" s="40">
        <v>5</v>
      </c>
      <c r="H8369" s="40">
        <v>15.32033</v>
      </c>
      <c r="I8369" s="212"/>
      <c r="J8369" s="212"/>
    </row>
    <row r="8370" spans="1:10" s="15" customFormat="1" ht="18" hidden="1" customHeight="1" outlineLevel="1" x14ac:dyDescent="0.25">
      <c r="A8370" s="18">
        <v>1330</v>
      </c>
      <c r="B8370" s="4" t="s">
        <v>43</v>
      </c>
      <c r="C8370" s="38" t="s">
        <v>10845</v>
      </c>
      <c r="D8370" s="23">
        <v>2023</v>
      </c>
      <c r="E8370" s="18" t="s">
        <v>0</v>
      </c>
      <c r="F8370" s="6">
        <v>1</v>
      </c>
      <c r="G8370" s="40">
        <v>5</v>
      </c>
      <c r="H8370" s="40">
        <v>15.32033</v>
      </c>
      <c r="I8370" s="212"/>
      <c r="J8370" s="212"/>
    </row>
    <row r="8371" spans="1:10" s="15" customFormat="1" ht="18" hidden="1" customHeight="1" outlineLevel="1" x14ac:dyDescent="0.25">
      <c r="A8371" s="18">
        <v>1332</v>
      </c>
      <c r="B8371" s="4" t="s">
        <v>43</v>
      </c>
      <c r="C8371" s="38" t="s">
        <v>10846</v>
      </c>
      <c r="D8371" s="23">
        <v>2023</v>
      </c>
      <c r="E8371" s="18" t="s">
        <v>0</v>
      </c>
      <c r="F8371" s="6">
        <v>1</v>
      </c>
      <c r="G8371" s="40">
        <v>5</v>
      </c>
      <c r="H8371" s="40">
        <v>15.32033</v>
      </c>
      <c r="I8371" s="212"/>
      <c r="J8371" s="212"/>
    </row>
    <row r="8372" spans="1:10" s="15" customFormat="1" ht="18" hidden="1" customHeight="1" outlineLevel="1" x14ac:dyDescent="0.25">
      <c r="A8372" s="18">
        <v>1334</v>
      </c>
      <c r="B8372" s="4" t="s">
        <v>43</v>
      </c>
      <c r="C8372" s="38" t="s">
        <v>10847</v>
      </c>
      <c r="D8372" s="23">
        <v>2023</v>
      </c>
      <c r="E8372" s="18" t="s">
        <v>0</v>
      </c>
      <c r="F8372" s="6">
        <v>1</v>
      </c>
      <c r="G8372" s="40">
        <v>5</v>
      </c>
      <c r="H8372" s="40">
        <v>15.32033</v>
      </c>
      <c r="I8372" s="212"/>
      <c r="J8372" s="212"/>
    </row>
    <row r="8373" spans="1:10" s="15" customFormat="1" ht="18" hidden="1" customHeight="1" outlineLevel="1" x14ac:dyDescent="0.25">
      <c r="A8373" s="18">
        <v>1629</v>
      </c>
      <c r="B8373" s="4" t="s">
        <v>43</v>
      </c>
      <c r="C8373" s="38" t="s">
        <v>10848</v>
      </c>
      <c r="D8373" s="23">
        <v>2023</v>
      </c>
      <c r="E8373" s="18" t="s">
        <v>0</v>
      </c>
      <c r="F8373" s="6">
        <v>1</v>
      </c>
      <c r="G8373" s="40">
        <v>5</v>
      </c>
      <c r="H8373" s="40">
        <v>15.32033</v>
      </c>
      <c r="I8373" s="212"/>
      <c r="J8373" s="212"/>
    </row>
    <row r="8374" spans="1:10" s="15" customFormat="1" ht="18" hidden="1" customHeight="1" outlineLevel="1" x14ac:dyDescent="0.25">
      <c r="A8374" s="18">
        <v>5601</v>
      </c>
      <c r="B8374" s="4" t="s">
        <v>43</v>
      </c>
      <c r="C8374" s="38" t="s">
        <v>10849</v>
      </c>
      <c r="D8374" s="23">
        <v>2023</v>
      </c>
      <c r="E8374" s="18" t="s">
        <v>0</v>
      </c>
      <c r="F8374" s="6">
        <v>1</v>
      </c>
      <c r="G8374" s="40">
        <v>10</v>
      </c>
      <c r="H8374" s="40">
        <v>15.32033</v>
      </c>
      <c r="I8374" s="212"/>
      <c r="J8374" s="212"/>
    </row>
    <row r="8375" spans="1:10" s="15" customFormat="1" ht="18" hidden="1" customHeight="1" outlineLevel="1" x14ac:dyDescent="0.25">
      <c r="A8375" s="18">
        <v>5602</v>
      </c>
      <c r="B8375" s="4" t="s">
        <v>43</v>
      </c>
      <c r="C8375" s="38" t="s">
        <v>10850</v>
      </c>
      <c r="D8375" s="23">
        <v>2023</v>
      </c>
      <c r="E8375" s="18" t="s">
        <v>0</v>
      </c>
      <c r="F8375" s="6">
        <v>1</v>
      </c>
      <c r="G8375" s="40">
        <v>5</v>
      </c>
      <c r="H8375" s="40">
        <v>15.32033</v>
      </c>
      <c r="I8375" s="212"/>
      <c r="J8375" s="212"/>
    </row>
    <row r="8376" spans="1:10" s="15" customFormat="1" ht="18" hidden="1" customHeight="1" outlineLevel="1" x14ac:dyDescent="0.25">
      <c r="A8376" s="18">
        <v>1538</v>
      </c>
      <c r="B8376" s="4" t="s">
        <v>43</v>
      </c>
      <c r="C8376" s="38" t="s">
        <v>10851</v>
      </c>
      <c r="D8376" s="23">
        <v>2023</v>
      </c>
      <c r="E8376" s="18" t="s">
        <v>0</v>
      </c>
      <c r="F8376" s="6">
        <v>1</v>
      </c>
      <c r="G8376" s="40">
        <v>5</v>
      </c>
      <c r="H8376" s="40">
        <v>15.32033</v>
      </c>
      <c r="I8376" s="212"/>
      <c r="J8376" s="212"/>
    </row>
    <row r="8377" spans="1:10" s="15" customFormat="1" ht="18" hidden="1" customHeight="1" outlineLevel="1" x14ac:dyDescent="0.25">
      <c r="A8377" s="18">
        <v>1714</v>
      </c>
      <c r="B8377" s="4" t="s">
        <v>43</v>
      </c>
      <c r="C8377" s="38" t="s">
        <v>10852</v>
      </c>
      <c r="D8377" s="23">
        <v>2023</v>
      </c>
      <c r="E8377" s="18" t="s">
        <v>0</v>
      </c>
      <c r="F8377" s="6">
        <v>1</v>
      </c>
      <c r="G8377" s="40">
        <v>5</v>
      </c>
      <c r="H8377" s="40">
        <v>15.32033</v>
      </c>
      <c r="I8377" s="212"/>
      <c r="J8377" s="212"/>
    </row>
    <row r="8378" spans="1:10" s="15" customFormat="1" ht="18" hidden="1" customHeight="1" outlineLevel="1" x14ac:dyDescent="0.25">
      <c r="A8378" s="18">
        <v>5603</v>
      </c>
      <c r="B8378" s="4" t="s">
        <v>43</v>
      </c>
      <c r="C8378" s="38" t="s">
        <v>10853</v>
      </c>
      <c r="D8378" s="23">
        <v>2023</v>
      </c>
      <c r="E8378" s="18" t="s">
        <v>0</v>
      </c>
      <c r="F8378" s="6">
        <v>1</v>
      </c>
      <c r="G8378" s="40">
        <v>5</v>
      </c>
      <c r="H8378" s="40">
        <v>15.32033</v>
      </c>
      <c r="I8378" s="212"/>
      <c r="J8378" s="212"/>
    </row>
    <row r="8379" spans="1:10" s="15" customFormat="1" ht="18" hidden="1" customHeight="1" outlineLevel="1" x14ac:dyDescent="0.25">
      <c r="A8379" s="18">
        <v>5604</v>
      </c>
      <c r="B8379" s="4" t="s">
        <v>43</v>
      </c>
      <c r="C8379" s="38" t="s">
        <v>10854</v>
      </c>
      <c r="D8379" s="23">
        <v>2023</v>
      </c>
      <c r="E8379" s="18" t="s">
        <v>0</v>
      </c>
      <c r="F8379" s="6">
        <v>1</v>
      </c>
      <c r="G8379" s="40">
        <v>5</v>
      </c>
      <c r="H8379" s="40">
        <v>15.32033</v>
      </c>
      <c r="I8379" s="212"/>
      <c r="J8379" s="212"/>
    </row>
    <row r="8380" spans="1:10" s="15" customFormat="1" ht="18" hidden="1" customHeight="1" outlineLevel="1" x14ac:dyDescent="0.25">
      <c r="A8380" s="18">
        <v>1640</v>
      </c>
      <c r="B8380" s="4" t="s">
        <v>43</v>
      </c>
      <c r="C8380" s="38" t="s">
        <v>10855</v>
      </c>
      <c r="D8380" s="23">
        <v>2023</v>
      </c>
      <c r="E8380" s="18" t="s">
        <v>0</v>
      </c>
      <c r="F8380" s="6">
        <v>1</v>
      </c>
      <c r="G8380" s="40">
        <v>5</v>
      </c>
      <c r="H8380" s="40">
        <v>15.32033</v>
      </c>
      <c r="I8380" s="212"/>
      <c r="J8380" s="212"/>
    </row>
    <row r="8381" spans="1:10" s="15" customFormat="1" ht="18" hidden="1" customHeight="1" outlineLevel="1" x14ac:dyDescent="0.25">
      <c r="A8381" s="18">
        <v>1719</v>
      </c>
      <c r="B8381" s="4" t="s">
        <v>43</v>
      </c>
      <c r="C8381" s="38" t="s">
        <v>10856</v>
      </c>
      <c r="D8381" s="23">
        <v>2023</v>
      </c>
      <c r="E8381" s="18" t="s">
        <v>0</v>
      </c>
      <c r="F8381" s="6">
        <v>1</v>
      </c>
      <c r="G8381" s="40">
        <v>3</v>
      </c>
      <c r="H8381" s="40">
        <v>15.32033</v>
      </c>
      <c r="I8381" s="212"/>
      <c r="J8381" s="212"/>
    </row>
    <row r="8382" spans="1:10" s="15" customFormat="1" ht="18" hidden="1" customHeight="1" outlineLevel="1" x14ac:dyDescent="0.25">
      <c r="A8382" s="18">
        <v>5605</v>
      </c>
      <c r="B8382" s="4" t="s">
        <v>43</v>
      </c>
      <c r="C8382" s="38" t="s">
        <v>10857</v>
      </c>
      <c r="D8382" s="23">
        <v>2023</v>
      </c>
      <c r="E8382" s="18" t="s">
        <v>0</v>
      </c>
      <c r="F8382" s="6">
        <v>1</v>
      </c>
      <c r="G8382" s="40">
        <v>10</v>
      </c>
      <c r="H8382" s="40">
        <v>15.32033</v>
      </c>
      <c r="I8382" s="212"/>
      <c r="J8382" s="212"/>
    </row>
    <row r="8383" spans="1:10" s="15" customFormat="1" ht="18" hidden="1" customHeight="1" outlineLevel="1" x14ac:dyDescent="0.25">
      <c r="A8383" s="18">
        <v>5606</v>
      </c>
      <c r="B8383" s="4" t="s">
        <v>43</v>
      </c>
      <c r="C8383" s="38" t="s">
        <v>10858</v>
      </c>
      <c r="D8383" s="23">
        <v>2023</v>
      </c>
      <c r="E8383" s="18" t="s">
        <v>0</v>
      </c>
      <c r="F8383" s="6">
        <v>1</v>
      </c>
      <c r="G8383" s="40">
        <v>10</v>
      </c>
      <c r="H8383" s="40">
        <v>15.32033</v>
      </c>
      <c r="I8383" s="212"/>
      <c r="J8383" s="212"/>
    </row>
    <row r="8384" spans="1:10" s="15" customFormat="1" ht="18" hidden="1" customHeight="1" outlineLevel="1" x14ac:dyDescent="0.25">
      <c r="A8384" s="18">
        <v>1650</v>
      </c>
      <c r="B8384" s="4" t="s">
        <v>43</v>
      </c>
      <c r="C8384" s="38" t="s">
        <v>10859</v>
      </c>
      <c r="D8384" s="23">
        <v>2023</v>
      </c>
      <c r="E8384" s="18" t="s">
        <v>0</v>
      </c>
      <c r="F8384" s="6">
        <v>1</v>
      </c>
      <c r="G8384" s="40">
        <v>5</v>
      </c>
      <c r="H8384" s="40">
        <v>15.32033</v>
      </c>
      <c r="I8384" s="212"/>
      <c r="J8384" s="212"/>
    </row>
    <row r="8385" spans="1:10" s="15" customFormat="1" ht="18" hidden="1" customHeight="1" outlineLevel="1" x14ac:dyDescent="0.25">
      <c r="A8385" s="18">
        <v>5607</v>
      </c>
      <c r="B8385" s="4" t="s">
        <v>43</v>
      </c>
      <c r="C8385" s="38" t="s">
        <v>10860</v>
      </c>
      <c r="D8385" s="23">
        <v>2023</v>
      </c>
      <c r="E8385" s="18" t="s">
        <v>0</v>
      </c>
      <c r="F8385" s="6">
        <v>1</v>
      </c>
      <c r="G8385" s="40">
        <v>8</v>
      </c>
      <c r="H8385" s="40">
        <v>15.32033</v>
      </c>
      <c r="I8385" s="212"/>
      <c r="J8385" s="212"/>
    </row>
    <row r="8386" spans="1:10" s="15" customFormat="1" ht="18" hidden="1" customHeight="1" outlineLevel="1" x14ac:dyDescent="0.25">
      <c r="A8386" s="18">
        <v>1700</v>
      </c>
      <c r="B8386" s="4" t="s">
        <v>43</v>
      </c>
      <c r="C8386" s="38" t="s">
        <v>10861</v>
      </c>
      <c r="D8386" s="23">
        <v>2023</v>
      </c>
      <c r="E8386" s="18" t="s">
        <v>0</v>
      </c>
      <c r="F8386" s="6">
        <v>1</v>
      </c>
      <c r="G8386" s="40">
        <v>5</v>
      </c>
      <c r="H8386" s="40">
        <v>15.32033</v>
      </c>
      <c r="I8386" s="212"/>
      <c r="J8386" s="212"/>
    </row>
    <row r="8387" spans="1:10" s="15" customFormat="1" ht="18" hidden="1" customHeight="1" outlineLevel="1" x14ac:dyDescent="0.25">
      <c r="A8387" s="18">
        <v>1701</v>
      </c>
      <c r="B8387" s="4" t="s">
        <v>43</v>
      </c>
      <c r="C8387" s="38" t="s">
        <v>10862</v>
      </c>
      <c r="D8387" s="23">
        <v>2023</v>
      </c>
      <c r="E8387" s="18" t="s">
        <v>0</v>
      </c>
      <c r="F8387" s="6">
        <v>1</v>
      </c>
      <c r="G8387" s="40">
        <v>5</v>
      </c>
      <c r="H8387" s="40">
        <v>15.32033</v>
      </c>
      <c r="I8387" s="212"/>
      <c r="J8387" s="212"/>
    </row>
    <row r="8388" spans="1:10" s="15" customFormat="1" ht="18" hidden="1" customHeight="1" outlineLevel="1" x14ac:dyDescent="0.25">
      <c r="A8388" s="18">
        <v>5608</v>
      </c>
      <c r="B8388" s="4" t="s">
        <v>43</v>
      </c>
      <c r="C8388" s="38" t="s">
        <v>10863</v>
      </c>
      <c r="D8388" s="23">
        <v>2023</v>
      </c>
      <c r="E8388" s="18" t="s">
        <v>0</v>
      </c>
      <c r="F8388" s="6">
        <v>1</v>
      </c>
      <c r="G8388" s="40">
        <v>5</v>
      </c>
      <c r="H8388" s="40">
        <v>15.32033</v>
      </c>
      <c r="I8388" s="212"/>
      <c r="J8388" s="212"/>
    </row>
    <row r="8389" spans="1:10" s="15" customFormat="1" ht="18" hidden="1" customHeight="1" outlineLevel="1" x14ac:dyDescent="0.25">
      <c r="A8389" s="18">
        <v>5622</v>
      </c>
      <c r="B8389" s="4" t="s">
        <v>43</v>
      </c>
      <c r="C8389" s="38" t="s">
        <v>10864</v>
      </c>
      <c r="D8389" s="23">
        <v>2023</v>
      </c>
      <c r="E8389" s="18" t="s">
        <v>0</v>
      </c>
      <c r="F8389" s="6">
        <v>1</v>
      </c>
      <c r="G8389" s="40">
        <v>10</v>
      </c>
      <c r="H8389" s="40">
        <v>24.817060000000001</v>
      </c>
      <c r="I8389" s="212"/>
      <c r="J8389" s="212"/>
    </row>
    <row r="8390" spans="1:10" s="15" customFormat="1" ht="18" hidden="1" customHeight="1" outlineLevel="1" x14ac:dyDescent="0.25">
      <c r="A8390" s="18">
        <v>5623</v>
      </c>
      <c r="B8390" s="4" t="s">
        <v>43</v>
      </c>
      <c r="C8390" s="38" t="s">
        <v>10865</v>
      </c>
      <c r="D8390" s="23">
        <v>2023</v>
      </c>
      <c r="E8390" s="18" t="s">
        <v>0</v>
      </c>
      <c r="F8390" s="6">
        <v>1</v>
      </c>
      <c r="G8390" s="40">
        <v>10</v>
      </c>
      <c r="H8390" s="40">
        <v>24.822679999999998</v>
      </c>
      <c r="I8390" s="212"/>
      <c r="J8390" s="212"/>
    </row>
    <row r="8391" spans="1:10" s="15" customFormat="1" ht="18" hidden="1" customHeight="1" outlineLevel="1" x14ac:dyDescent="0.25">
      <c r="A8391" s="18">
        <v>5624</v>
      </c>
      <c r="B8391" s="4" t="s">
        <v>43</v>
      </c>
      <c r="C8391" s="38" t="s">
        <v>10866</v>
      </c>
      <c r="D8391" s="23">
        <v>2023</v>
      </c>
      <c r="E8391" s="18" t="s">
        <v>0</v>
      </c>
      <c r="F8391" s="6">
        <v>1</v>
      </c>
      <c r="G8391" s="40">
        <v>10</v>
      </c>
      <c r="H8391" s="40">
        <v>24.822679999999998</v>
      </c>
      <c r="I8391" s="212"/>
      <c r="J8391" s="212"/>
    </row>
    <row r="8392" spans="1:10" s="15" customFormat="1" ht="18" hidden="1" customHeight="1" outlineLevel="1" x14ac:dyDescent="0.25">
      <c r="A8392" s="18">
        <v>5625</v>
      </c>
      <c r="B8392" s="4" t="s">
        <v>43</v>
      </c>
      <c r="C8392" s="38" t="s">
        <v>10867</v>
      </c>
      <c r="D8392" s="23">
        <v>2023</v>
      </c>
      <c r="E8392" s="18" t="s">
        <v>0</v>
      </c>
      <c r="F8392" s="6">
        <v>1</v>
      </c>
      <c r="G8392" s="40">
        <v>7</v>
      </c>
      <c r="H8392" s="40">
        <v>24.822669999999999</v>
      </c>
      <c r="I8392" s="212"/>
      <c r="J8392" s="212"/>
    </row>
    <row r="8393" spans="1:10" s="15" customFormat="1" ht="18" hidden="1" customHeight="1" outlineLevel="1" x14ac:dyDescent="0.25">
      <c r="A8393" s="18">
        <v>5627</v>
      </c>
      <c r="B8393" s="4" t="s">
        <v>43</v>
      </c>
      <c r="C8393" s="38" t="s">
        <v>10868</v>
      </c>
      <c r="D8393" s="23">
        <v>2023</v>
      </c>
      <c r="E8393" s="18" t="s">
        <v>0</v>
      </c>
      <c r="F8393" s="6">
        <v>1</v>
      </c>
      <c r="G8393" s="40">
        <v>10</v>
      </c>
      <c r="H8393" s="40">
        <v>24.822669999999999</v>
      </c>
      <c r="I8393" s="212"/>
      <c r="J8393" s="212"/>
    </row>
    <row r="8394" spans="1:10" s="15" customFormat="1" ht="18" hidden="1" customHeight="1" outlineLevel="1" x14ac:dyDescent="0.25">
      <c r="A8394" s="18">
        <v>5628</v>
      </c>
      <c r="B8394" s="4" t="s">
        <v>43</v>
      </c>
      <c r="C8394" s="38" t="s">
        <v>10869</v>
      </c>
      <c r="D8394" s="23">
        <v>2023</v>
      </c>
      <c r="E8394" s="18" t="s">
        <v>0</v>
      </c>
      <c r="F8394" s="6">
        <v>1</v>
      </c>
      <c r="G8394" s="40">
        <v>10</v>
      </c>
      <c r="H8394" s="40">
        <v>24.822679999999998</v>
      </c>
      <c r="I8394" s="212"/>
      <c r="J8394" s="212"/>
    </row>
    <row r="8395" spans="1:10" s="15" customFormat="1" ht="18" hidden="1" customHeight="1" outlineLevel="1" x14ac:dyDescent="0.25">
      <c r="A8395" s="18">
        <v>1476</v>
      </c>
      <c r="B8395" s="4" t="s">
        <v>43</v>
      </c>
      <c r="C8395" s="38" t="s">
        <v>10870</v>
      </c>
      <c r="D8395" s="23">
        <v>2023</v>
      </c>
      <c r="E8395" s="18" t="s">
        <v>0</v>
      </c>
      <c r="F8395" s="6">
        <v>1</v>
      </c>
      <c r="G8395" s="40">
        <v>5</v>
      </c>
      <c r="H8395" s="40">
        <v>24.822669999999999</v>
      </c>
      <c r="I8395" s="212"/>
      <c r="J8395" s="212"/>
    </row>
    <row r="8396" spans="1:10" s="15" customFormat="1" ht="18" hidden="1" customHeight="1" outlineLevel="1" x14ac:dyDescent="0.25">
      <c r="A8396" s="18">
        <v>886</v>
      </c>
      <c r="B8396" s="4" t="s">
        <v>43</v>
      </c>
      <c r="C8396" s="38" t="s">
        <v>10871</v>
      </c>
      <c r="D8396" s="23">
        <v>2023</v>
      </c>
      <c r="E8396" s="18" t="s">
        <v>0</v>
      </c>
      <c r="F8396" s="6">
        <v>1</v>
      </c>
      <c r="G8396" s="40">
        <v>10</v>
      </c>
      <c r="H8396" s="40">
        <v>24.822700000000001</v>
      </c>
      <c r="I8396" s="212"/>
      <c r="J8396" s="212"/>
    </row>
    <row r="8397" spans="1:10" s="15" customFormat="1" ht="18" hidden="1" customHeight="1" outlineLevel="1" x14ac:dyDescent="0.25">
      <c r="A8397" s="18">
        <v>893</v>
      </c>
      <c r="B8397" s="4" t="s">
        <v>43</v>
      </c>
      <c r="C8397" s="38" t="s">
        <v>10872</v>
      </c>
      <c r="D8397" s="23">
        <v>2023</v>
      </c>
      <c r="E8397" s="18" t="s">
        <v>0</v>
      </c>
      <c r="F8397" s="6">
        <v>1</v>
      </c>
      <c r="G8397" s="40">
        <v>11</v>
      </c>
      <c r="H8397" s="40">
        <v>24.822669999999999</v>
      </c>
      <c r="I8397" s="212"/>
      <c r="J8397" s="212"/>
    </row>
    <row r="8398" spans="1:10" s="15" customFormat="1" ht="18" hidden="1" customHeight="1" outlineLevel="1" x14ac:dyDescent="0.25">
      <c r="A8398" s="18">
        <v>946</v>
      </c>
      <c r="B8398" s="4" t="s">
        <v>43</v>
      </c>
      <c r="C8398" s="38" t="s">
        <v>10873</v>
      </c>
      <c r="D8398" s="23">
        <v>2023</v>
      </c>
      <c r="E8398" s="18" t="s">
        <v>0</v>
      </c>
      <c r="F8398" s="6">
        <v>1</v>
      </c>
      <c r="G8398" s="40">
        <v>10</v>
      </c>
      <c r="H8398" s="40">
        <v>24.822659999999999</v>
      </c>
      <c r="I8398" s="212"/>
      <c r="J8398" s="212"/>
    </row>
    <row r="8399" spans="1:10" s="15" customFormat="1" ht="18" hidden="1" customHeight="1" outlineLevel="1" x14ac:dyDescent="0.25">
      <c r="A8399" s="18">
        <v>1592</v>
      </c>
      <c r="B8399" s="4" t="s">
        <v>43</v>
      </c>
      <c r="C8399" s="38" t="s">
        <v>10874</v>
      </c>
      <c r="D8399" s="23">
        <v>2023</v>
      </c>
      <c r="E8399" s="18" t="s">
        <v>0</v>
      </c>
      <c r="F8399" s="6">
        <v>1</v>
      </c>
      <c r="G8399" s="40">
        <v>15</v>
      </c>
      <c r="H8399" s="40">
        <v>24.822659999999999</v>
      </c>
      <c r="I8399" s="212"/>
      <c r="J8399" s="212"/>
    </row>
    <row r="8400" spans="1:10" s="15" customFormat="1" ht="18" hidden="1" customHeight="1" outlineLevel="1" x14ac:dyDescent="0.25">
      <c r="A8400" s="18">
        <v>1141</v>
      </c>
      <c r="B8400" s="4" t="s">
        <v>43</v>
      </c>
      <c r="C8400" s="38" t="s">
        <v>10875</v>
      </c>
      <c r="D8400" s="23">
        <v>2023</v>
      </c>
      <c r="E8400" s="18" t="s">
        <v>0</v>
      </c>
      <c r="F8400" s="6">
        <v>1</v>
      </c>
      <c r="G8400" s="40">
        <v>7.5</v>
      </c>
      <c r="H8400" s="40">
        <v>25.055910000000001</v>
      </c>
      <c r="I8400" s="212"/>
      <c r="J8400" s="212"/>
    </row>
    <row r="8401" spans="1:10" s="15" customFormat="1" ht="18" hidden="1" customHeight="1" outlineLevel="1" x14ac:dyDescent="0.25">
      <c r="A8401" s="18">
        <v>1154</v>
      </c>
      <c r="B8401" s="4" t="s">
        <v>43</v>
      </c>
      <c r="C8401" s="38" t="s">
        <v>10876</v>
      </c>
      <c r="D8401" s="23">
        <v>2023</v>
      </c>
      <c r="E8401" s="18" t="s">
        <v>0</v>
      </c>
      <c r="F8401" s="6">
        <v>1</v>
      </c>
      <c r="G8401" s="40">
        <v>15</v>
      </c>
      <c r="H8401" s="40">
        <v>25.055910000000001</v>
      </c>
      <c r="I8401" s="212"/>
      <c r="J8401" s="212"/>
    </row>
    <row r="8402" spans="1:10" s="15" customFormat="1" ht="18" hidden="1" customHeight="1" outlineLevel="1" x14ac:dyDescent="0.25">
      <c r="A8402" s="18">
        <v>1135</v>
      </c>
      <c r="B8402" s="4" t="s">
        <v>43</v>
      </c>
      <c r="C8402" s="38" t="s">
        <v>10877</v>
      </c>
      <c r="D8402" s="23">
        <v>2023</v>
      </c>
      <c r="E8402" s="18" t="s">
        <v>0</v>
      </c>
      <c r="F8402" s="6">
        <v>1</v>
      </c>
      <c r="G8402" s="40">
        <v>10</v>
      </c>
      <c r="H8402" s="40">
        <v>25.05592</v>
      </c>
      <c r="I8402" s="212"/>
      <c r="J8402" s="212"/>
    </row>
    <row r="8403" spans="1:10" s="15" customFormat="1" ht="18" hidden="1" customHeight="1" outlineLevel="1" x14ac:dyDescent="0.25">
      <c r="A8403" s="18">
        <v>1525</v>
      </c>
      <c r="B8403" s="4" t="s">
        <v>43</v>
      </c>
      <c r="C8403" s="38" t="s">
        <v>10878</v>
      </c>
      <c r="D8403" s="23">
        <v>2023</v>
      </c>
      <c r="E8403" s="18" t="s">
        <v>0</v>
      </c>
      <c r="F8403" s="6">
        <v>1</v>
      </c>
      <c r="G8403" s="40">
        <v>3</v>
      </c>
      <c r="H8403" s="40">
        <v>25.055890000000002</v>
      </c>
      <c r="I8403" s="212"/>
      <c r="J8403" s="212"/>
    </row>
    <row r="8404" spans="1:10" s="15" customFormat="1" ht="18" hidden="1" customHeight="1" outlineLevel="1" x14ac:dyDescent="0.25">
      <c r="A8404" s="18">
        <v>5630</v>
      </c>
      <c r="B8404" s="4" t="s">
        <v>43</v>
      </c>
      <c r="C8404" s="38" t="s">
        <v>10879</v>
      </c>
      <c r="D8404" s="23">
        <v>2023</v>
      </c>
      <c r="E8404" s="18" t="s">
        <v>0</v>
      </c>
      <c r="F8404" s="6">
        <v>1</v>
      </c>
      <c r="G8404" s="40">
        <v>15</v>
      </c>
      <c r="H8404" s="40">
        <v>25.05592</v>
      </c>
      <c r="I8404" s="212"/>
      <c r="J8404" s="212"/>
    </row>
    <row r="8405" spans="1:10" s="15" customFormat="1" ht="18" hidden="1" customHeight="1" outlineLevel="1" x14ac:dyDescent="0.25">
      <c r="A8405" s="18">
        <v>5631</v>
      </c>
      <c r="B8405" s="4" t="s">
        <v>43</v>
      </c>
      <c r="C8405" s="38" t="s">
        <v>10880</v>
      </c>
      <c r="D8405" s="23">
        <v>2023</v>
      </c>
      <c r="E8405" s="18" t="s">
        <v>0</v>
      </c>
      <c r="F8405" s="6">
        <v>1</v>
      </c>
      <c r="G8405" s="40">
        <v>10</v>
      </c>
      <c r="H8405" s="40">
        <v>24.822659999999999</v>
      </c>
      <c r="I8405" s="212"/>
      <c r="J8405" s="212"/>
    </row>
    <row r="8406" spans="1:10" s="15" customFormat="1" ht="18" hidden="1" customHeight="1" outlineLevel="1" x14ac:dyDescent="0.25">
      <c r="A8406" s="18">
        <v>5632</v>
      </c>
      <c r="B8406" s="4" t="s">
        <v>43</v>
      </c>
      <c r="C8406" s="38" t="s">
        <v>10881</v>
      </c>
      <c r="D8406" s="23">
        <v>2023</v>
      </c>
      <c r="E8406" s="18" t="s">
        <v>0</v>
      </c>
      <c r="F8406" s="6">
        <v>1</v>
      </c>
      <c r="G8406" s="40">
        <v>10</v>
      </c>
      <c r="H8406" s="40">
        <v>25.05593</v>
      </c>
      <c r="I8406" s="212"/>
      <c r="J8406" s="212"/>
    </row>
    <row r="8407" spans="1:10" s="15" customFormat="1" ht="18" hidden="1" customHeight="1" outlineLevel="1" x14ac:dyDescent="0.25">
      <c r="A8407" s="18">
        <v>5633</v>
      </c>
      <c r="B8407" s="4" t="s">
        <v>43</v>
      </c>
      <c r="C8407" s="38" t="s">
        <v>10882</v>
      </c>
      <c r="D8407" s="23">
        <v>2023</v>
      </c>
      <c r="E8407" s="18" t="s">
        <v>0</v>
      </c>
      <c r="F8407" s="6">
        <v>1</v>
      </c>
      <c r="G8407" s="40">
        <v>10</v>
      </c>
      <c r="H8407" s="40">
        <v>25.05592</v>
      </c>
      <c r="I8407" s="212"/>
      <c r="J8407" s="212"/>
    </row>
    <row r="8408" spans="1:10" s="15" customFormat="1" ht="18" hidden="1" customHeight="1" outlineLevel="1" x14ac:dyDescent="0.25">
      <c r="A8408" s="18">
        <v>5634</v>
      </c>
      <c r="B8408" s="4" t="s">
        <v>43</v>
      </c>
      <c r="C8408" s="38" t="s">
        <v>10883</v>
      </c>
      <c r="D8408" s="23">
        <v>2023</v>
      </c>
      <c r="E8408" s="18" t="s">
        <v>0</v>
      </c>
      <c r="F8408" s="6">
        <v>1</v>
      </c>
      <c r="G8408" s="40">
        <v>10</v>
      </c>
      <c r="H8408" s="40">
        <v>25.055890000000002</v>
      </c>
      <c r="I8408" s="212"/>
      <c r="J8408" s="212"/>
    </row>
    <row r="8409" spans="1:10" s="15" customFormat="1" ht="18" hidden="1" customHeight="1" outlineLevel="1" x14ac:dyDescent="0.25">
      <c r="A8409" s="18">
        <v>5635</v>
      </c>
      <c r="B8409" s="4" t="s">
        <v>43</v>
      </c>
      <c r="C8409" s="38" t="s">
        <v>10884</v>
      </c>
      <c r="D8409" s="23">
        <v>2023</v>
      </c>
      <c r="E8409" s="18" t="s">
        <v>0</v>
      </c>
      <c r="F8409" s="6">
        <v>1</v>
      </c>
      <c r="G8409" s="40">
        <v>10</v>
      </c>
      <c r="H8409" s="40">
        <v>25.05592</v>
      </c>
      <c r="I8409" s="212"/>
      <c r="J8409" s="212"/>
    </row>
    <row r="8410" spans="1:10" s="15" customFormat="1" ht="18" hidden="1" customHeight="1" outlineLevel="1" x14ac:dyDescent="0.25">
      <c r="A8410" s="18">
        <v>5636</v>
      </c>
      <c r="B8410" s="4" t="s">
        <v>43</v>
      </c>
      <c r="C8410" s="38" t="s">
        <v>10885</v>
      </c>
      <c r="D8410" s="23">
        <v>2023</v>
      </c>
      <c r="E8410" s="18" t="s">
        <v>0</v>
      </c>
      <c r="F8410" s="6">
        <v>1</v>
      </c>
      <c r="G8410" s="40">
        <v>10</v>
      </c>
      <c r="H8410" s="40">
        <v>25.055880000000002</v>
      </c>
      <c r="I8410" s="212"/>
      <c r="J8410" s="212"/>
    </row>
    <row r="8411" spans="1:10" s="15" customFormat="1" ht="18" hidden="1" customHeight="1" outlineLevel="1" x14ac:dyDescent="0.25">
      <c r="A8411" s="18">
        <v>5639</v>
      </c>
      <c r="B8411" s="4" t="s">
        <v>43</v>
      </c>
      <c r="C8411" s="38" t="s">
        <v>10886</v>
      </c>
      <c r="D8411" s="23">
        <v>2023</v>
      </c>
      <c r="E8411" s="18" t="s">
        <v>0</v>
      </c>
      <c r="F8411" s="6">
        <v>1</v>
      </c>
      <c r="G8411" s="40">
        <v>10</v>
      </c>
      <c r="H8411" s="40">
        <v>25.05593</v>
      </c>
      <c r="I8411" s="212"/>
      <c r="J8411" s="212"/>
    </row>
    <row r="8412" spans="1:10" s="15" customFormat="1" ht="18" hidden="1" customHeight="1" outlineLevel="1" x14ac:dyDescent="0.25">
      <c r="A8412" s="18">
        <v>5640</v>
      </c>
      <c r="B8412" s="4" t="s">
        <v>43</v>
      </c>
      <c r="C8412" s="38" t="s">
        <v>10887</v>
      </c>
      <c r="D8412" s="23">
        <v>2023</v>
      </c>
      <c r="E8412" s="18" t="s">
        <v>0</v>
      </c>
      <c r="F8412" s="6">
        <v>1</v>
      </c>
      <c r="G8412" s="40">
        <v>15</v>
      </c>
      <c r="H8412" s="40">
        <v>25.055890000000002</v>
      </c>
      <c r="I8412" s="212"/>
      <c r="J8412" s="212"/>
    </row>
    <row r="8413" spans="1:10" s="15" customFormat="1" ht="18" hidden="1" customHeight="1" outlineLevel="1" x14ac:dyDescent="0.25">
      <c r="A8413" s="18">
        <v>1697</v>
      </c>
      <c r="B8413" s="4" t="s">
        <v>43</v>
      </c>
      <c r="C8413" s="38" t="s">
        <v>10888</v>
      </c>
      <c r="D8413" s="23">
        <v>2023</v>
      </c>
      <c r="E8413" s="18" t="s">
        <v>0</v>
      </c>
      <c r="F8413" s="6">
        <v>1</v>
      </c>
      <c r="G8413" s="40">
        <v>5</v>
      </c>
      <c r="H8413" s="40">
        <v>24.822689999999998</v>
      </c>
      <c r="I8413" s="212"/>
      <c r="J8413" s="212"/>
    </row>
    <row r="8414" spans="1:10" s="15" customFormat="1" ht="18" hidden="1" customHeight="1" outlineLevel="1" x14ac:dyDescent="0.25">
      <c r="A8414" s="18">
        <v>5642</v>
      </c>
      <c r="B8414" s="4" t="s">
        <v>43</v>
      </c>
      <c r="C8414" s="38" t="s">
        <v>10889</v>
      </c>
      <c r="D8414" s="23">
        <v>2023</v>
      </c>
      <c r="E8414" s="18" t="s">
        <v>0</v>
      </c>
      <c r="F8414" s="6">
        <v>1</v>
      </c>
      <c r="G8414" s="40">
        <v>15</v>
      </c>
      <c r="H8414" s="40">
        <v>25.05603</v>
      </c>
      <c r="I8414" s="212"/>
      <c r="J8414" s="212"/>
    </row>
    <row r="8415" spans="1:10" s="15" customFormat="1" ht="18" hidden="1" customHeight="1" outlineLevel="1" x14ac:dyDescent="0.25">
      <c r="A8415" s="18">
        <v>5643</v>
      </c>
      <c r="B8415" s="4" t="s">
        <v>43</v>
      </c>
      <c r="C8415" s="38" t="s">
        <v>10890</v>
      </c>
      <c r="D8415" s="23">
        <v>2023</v>
      </c>
      <c r="E8415" s="18" t="s">
        <v>0</v>
      </c>
      <c r="F8415" s="6">
        <v>1</v>
      </c>
      <c r="G8415" s="40">
        <v>10</v>
      </c>
      <c r="H8415" s="40">
        <v>24.822650000000003</v>
      </c>
      <c r="I8415" s="212"/>
      <c r="J8415" s="212"/>
    </row>
    <row r="8416" spans="1:10" s="15" customFormat="1" ht="18" hidden="1" customHeight="1" outlineLevel="1" x14ac:dyDescent="0.25">
      <c r="A8416" s="18">
        <v>1613</v>
      </c>
      <c r="B8416" s="4" t="s">
        <v>43</v>
      </c>
      <c r="C8416" s="38" t="s">
        <v>10891</v>
      </c>
      <c r="D8416" s="23">
        <v>2023</v>
      </c>
      <c r="E8416" s="18" t="s">
        <v>0</v>
      </c>
      <c r="F8416" s="6">
        <v>1</v>
      </c>
      <c r="G8416" s="40">
        <v>5</v>
      </c>
      <c r="H8416" s="40">
        <v>15.32033</v>
      </c>
      <c r="I8416" s="212"/>
      <c r="J8416" s="212"/>
    </row>
    <row r="8417" spans="1:10" s="15" customFormat="1" ht="18" hidden="1" customHeight="1" outlineLevel="1" x14ac:dyDescent="0.25">
      <c r="A8417" s="18">
        <v>5644</v>
      </c>
      <c r="B8417" s="4" t="s">
        <v>43</v>
      </c>
      <c r="C8417" s="38" t="s">
        <v>10892</v>
      </c>
      <c r="D8417" s="23">
        <v>2023</v>
      </c>
      <c r="E8417" s="18" t="s">
        <v>0</v>
      </c>
      <c r="F8417" s="6">
        <v>1</v>
      </c>
      <c r="G8417" s="40">
        <v>10</v>
      </c>
      <c r="H8417" s="40">
        <v>25.055890000000002</v>
      </c>
      <c r="I8417" s="212"/>
      <c r="J8417" s="212"/>
    </row>
    <row r="8418" spans="1:10" s="15" customFormat="1" ht="18" hidden="1" customHeight="1" outlineLevel="1" x14ac:dyDescent="0.25">
      <c r="A8418" s="18">
        <v>1778</v>
      </c>
      <c r="B8418" s="4" t="s">
        <v>43</v>
      </c>
      <c r="C8418" s="38" t="s">
        <v>10893</v>
      </c>
      <c r="D8418" s="23">
        <v>2023</v>
      </c>
      <c r="E8418" s="18" t="s">
        <v>0</v>
      </c>
      <c r="F8418" s="6">
        <v>1</v>
      </c>
      <c r="G8418" s="40">
        <v>5</v>
      </c>
      <c r="H8418" s="40">
        <v>25.05593</v>
      </c>
      <c r="I8418" s="212"/>
      <c r="J8418" s="212"/>
    </row>
    <row r="8419" spans="1:10" s="15" customFormat="1" ht="18" hidden="1" customHeight="1" outlineLevel="1" x14ac:dyDescent="0.25">
      <c r="A8419" s="18">
        <v>5647</v>
      </c>
      <c r="B8419" s="4" t="s">
        <v>43</v>
      </c>
      <c r="C8419" s="38" t="s">
        <v>10894</v>
      </c>
      <c r="D8419" s="23">
        <v>2023</v>
      </c>
      <c r="E8419" s="18" t="s">
        <v>0</v>
      </c>
      <c r="F8419" s="6">
        <v>1</v>
      </c>
      <c r="G8419" s="40">
        <v>10</v>
      </c>
      <c r="H8419" s="40">
        <v>25.055890000000002</v>
      </c>
      <c r="I8419" s="212"/>
      <c r="J8419" s="212"/>
    </row>
    <row r="8420" spans="1:10" s="15" customFormat="1" ht="18" hidden="1" customHeight="1" outlineLevel="1" x14ac:dyDescent="0.25">
      <c r="A8420" s="18">
        <v>1780</v>
      </c>
      <c r="B8420" s="4" t="s">
        <v>43</v>
      </c>
      <c r="C8420" s="38" t="s">
        <v>10895</v>
      </c>
      <c r="D8420" s="23">
        <v>2023</v>
      </c>
      <c r="E8420" s="18" t="s">
        <v>0</v>
      </c>
      <c r="F8420" s="6">
        <v>1</v>
      </c>
      <c r="G8420" s="40">
        <v>5</v>
      </c>
      <c r="H8420" s="40">
        <v>25.05593</v>
      </c>
      <c r="I8420" s="212"/>
      <c r="J8420" s="212"/>
    </row>
    <row r="8421" spans="1:10" s="15" customFormat="1" ht="18" hidden="1" customHeight="1" outlineLevel="1" x14ac:dyDescent="0.25">
      <c r="A8421" s="18">
        <v>1779</v>
      </c>
      <c r="B8421" s="4" t="s">
        <v>43</v>
      </c>
      <c r="C8421" s="38" t="s">
        <v>10896</v>
      </c>
      <c r="D8421" s="23">
        <v>2023</v>
      </c>
      <c r="E8421" s="18" t="s">
        <v>0</v>
      </c>
      <c r="F8421" s="6">
        <v>1</v>
      </c>
      <c r="G8421" s="40">
        <v>5</v>
      </c>
      <c r="H8421" s="40">
        <v>25.055890000000002</v>
      </c>
      <c r="I8421" s="212"/>
      <c r="J8421" s="212"/>
    </row>
    <row r="8422" spans="1:10" s="15" customFormat="1" ht="18" hidden="1" customHeight="1" outlineLevel="1" x14ac:dyDescent="0.25">
      <c r="A8422" s="18">
        <v>5648</v>
      </c>
      <c r="B8422" s="4" t="s">
        <v>43</v>
      </c>
      <c r="C8422" s="38" t="s">
        <v>10897</v>
      </c>
      <c r="D8422" s="23">
        <v>2023</v>
      </c>
      <c r="E8422" s="18" t="s">
        <v>0</v>
      </c>
      <c r="F8422" s="6">
        <v>1</v>
      </c>
      <c r="G8422" s="40">
        <v>10</v>
      </c>
      <c r="H8422" s="40">
        <v>25.05593</v>
      </c>
      <c r="I8422" s="212"/>
      <c r="J8422" s="212"/>
    </row>
    <row r="8423" spans="1:10" s="15" customFormat="1" ht="18" hidden="1" customHeight="1" outlineLevel="1" x14ac:dyDescent="0.25">
      <c r="A8423" s="18">
        <v>1441</v>
      </c>
      <c r="B8423" s="4" t="s">
        <v>43</v>
      </c>
      <c r="C8423" s="38" t="s">
        <v>10898</v>
      </c>
      <c r="D8423" s="23">
        <v>2023</v>
      </c>
      <c r="E8423" s="18" t="s">
        <v>0</v>
      </c>
      <c r="F8423" s="6">
        <v>1</v>
      </c>
      <c r="G8423" s="40">
        <v>10</v>
      </c>
      <c r="H8423" s="40">
        <v>25.055890000000002</v>
      </c>
      <c r="I8423" s="212"/>
      <c r="J8423" s="212"/>
    </row>
    <row r="8424" spans="1:10" s="15" customFormat="1" ht="18" hidden="1" customHeight="1" outlineLevel="1" x14ac:dyDescent="0.25">
      <c r="A8424" s="18">
        <v>5649</v>
      </c>
      <c r="B8424" s="4" t="s">
        <v>43</v>
      </c>
      <c r="C8424" s="38" t="s">
        <v>10899</v>
      </c>
      <c r="D8424" s="23">
        <v>2023</v>
      </c>
      <c r="E8424" s="18" t="s">
        <v>0</v>
      </c>
      <c r="F8424" s="6">
        <v>1</v>
      </c>
      <c r="G8424" s="40">
        <v>10</v>
      </c>
      <c r="H8424" s="40">
        <v>25.05592</v>
      </c>
      <c r="I8424" s="212"/>
      <c r="J8424" s="212"/>
    </row>
    <row r="8425" spans="1:10" s="15" customFormat="1" ht="18" hidden="1" customHeight="1" outlineLevel="1" x14ac:dyDescent="0.25">
      <c r="A8425" s="18">
        <v>5651</v>
      </c>
      <c r="B8425" s="4" t="s">
        <v>43</v>
      </c>
      <c r="C8425" s="38" t="s">
        <v>10900</v>
      </c>
      <c r="D8425" s="23">
        <v>2023</v>
      </c>
      <c r="E8425" s="18" t="s">
        <v>0</v>
      </c>
      <c r="F8425" s="6">
        <v>1</v>
      </c>
      <c r="G8425" s="40">
        <v>10</v>
      </c>
      <c r="H8425" s="40">
        <v>25.055890000000002</v>
      </c>
      <c r="I8425" s="212"/>
      <c r="J8425" s="212"/>
    </row>
    <row r="8426" spans="1:10" s="15" customFormat="1" ht="18" hidden="1" customHeight="1" outlineLevel="1" x14ac:dyDescent="0.25">
      <c r="A8426" s="18">
        <v>1783</v>
      </c>
      <c r="B8426" s="4" t="s">
        <v>43</v>
      </c>
      <c r="C8426" s="38" t="s">
        <v>10901</v>
      </c>
      <c r="D8426" s="23">
        <v>2023</v>
      </c>
      <c r="E8426" s="18" t="s">
        <v>0</v>
      </c>
      <c r="F8426" s="6">
        <v>1</v>
      </c>
      <c r="G8426" s="40">
        <v>5</v>
      </c>
      <c r="H8426" s="40">
        <v>25.05592</v>
      </c>
      <c r="I8426" s="212"/>
      <c r="J8426" s="212"/>
    </row>
    <row r="8427" spans="1:10" s="15" customFormat="1" ht="18" hidden="1" customHeight="1" outlineLevel="1" x14ac:dyDescent="0.25">
      <c r="A8427" s="18">
        <v>5652</v>
      </c>
      <c r="B8427" s="4" t="s">
        <v>43</v>
      </c>
      <c r="C8427" s="38" t="s">
        <v>10902</v>
      </c>
      <c r="D8427" s="23">
        <v>2023</v>
      </c>
      <c r="E8427" s="18" t="s">
        <v>0</v>
      </c>
      <c r="F8427" s="6">
        <v>1</v>
      </c>
      <c r="G8427" s="40">
        <v>10</v>
      </c>
      <c r="H8427" s="40">
        <v>25.52234</v>
      </c>
      <c r="I8427" s="212"/>
      <c r="J8427" s="212"/>
    </row>
    <row r="8428" spans="1:10" s="15" customFormat="1" ht="18" hidden="1" customHeight="1" outlineLevel="1" x14ac:dyDescent="0.25">
      <c r="A8428" s="18">
        <v>501</v>
      </c>
      <c r="B8428" s="4" t="s">
        <v>43</v>
      </c>
      <c r="C8428" s="38" t="s">
        <v>10903</v>
      </c>
      <c r="D8428" s="23">
        <v>2023</v>
      </c>
      <c r="E8428" s="18" t="s">
        <v>0</v>
      </c>
      <c r="F8428" s="6">
        <v>1</v>
      </c>
      <c r="G8428" s="40">
        <v>10</v>
      </c>
      <c r="H8428" s="40">
        <v>10.485860000000001</v>
      </c>
      <c r="I8428" s="212"/>
      <c r="J8428" s="212"/>
    </row>
    <row r="8429" spans="1:10" s="15" customFormat="1" ht="18" hidden="1" customHeight="1" outlineLevel="1" x14ac:dyDescent="0.25">
      <c r="A8429" s="18">
        <v>522</v>
      </c>
      <c r="B8429" s="4" t="s">
        <v>43</v>
      </c>
      <c r="C8429" s="38" t="s">
        <v>10904</v>
      </c>
      <c r="D8429" s="23">
        <v>2023</v>
      </c>
      <c r="E8429" s="18" t="s">
        <v>0</v>
      </c>
      <c r="F8429" s="6">
        <v>1</v>
      </c>
      <c r="G8429" s="40">
        <v>10</v>
      </c>
      <c r="H8429" s="40">
        <v>10.31461</v>
      </c>
      <c r="I8429" s="212"/>
      <c r="J8429" s="212"/>
    </row>
    <row r="8430" spans="1:10" s="15" customFormat="1" ht="18" hidden="1" customHeight="1" outlineLevel="1" x14ac:dyDescent="0.25">
      <c r="A8430" s="18">
        <v>900</v>
      </c>
      <c r="B8430" s="4" t="s">
        <v>43</v>
      </c>
      <c r="C8430" s="38" t="s">
        <v>10905</v>
      </c>
      <c r="D8430" s="23">
        <v>2023</v>
      </c>
      <c r="E8430" s="18" t="s">
        <v>0</v>
      </c>
      <c r="F8430" s="6">
        <v>1</v>
      </c>
      <c r="G8430" s="40">
        <v>10</v>
      </c>
      <c r="H8430" s="40">
        <v>10.31461</v>
      </c>
      <c r="I8430" s="212"/>
      <c r="J8430" s="212"/>
    </row>
    <row r="8431" spans="1:10" s="15" customFormat="1" ht="18" hidden="1" customHeight="1" outlineLevel="1" x14ac:dyDescent="0.25">
      <c r="A8431" s="18">
        <v>852</v>
      </c>
      <c r="B8431" s="4" t="s">
        <v>43</v>
      </c>
      <c r="C8431" s="38" t="s">
        <v>10906</v>
      </c>
      <c r="D8431" s="23">
        <v>2023</v>
      </c>
      <c r="E8431" s="18" t="s">
        <v>0</v>
      </c>
      <c r="F8431" s="6">
        <v>1</v>
      </c>
      <c r="G8431" s="40">
        <v>10</v>
      </c>
      <c r="H8431" s="40">
        <v>10.3146</v>
      </c>
      <c r="I8431" s="212"/>
      <c r="J8431" s="212"/>
    </row>
    <row r="8432" spans="1:10" s="15" customFormat="1" ht="18" hidden="1" customHeight="1" outlineLevel="1" x14ac:dyDescent="0.25">
      <c r="A8432" s="18">
        <v>1114</v>
      </c>
      <c r="B8432" s="4" t="s">
        <v>43</v>
      </c>
      <c r="C8432" s="38" t="s">
        <v>10907</v>
      </c>
      <c r="D8432" s="23">
        <v>2023</v>
      </c>
      <c r="E8432" s="18" t="s">
        <v>0</v>
      </c>
      <c r="F8432" s="6">
        <v>1</v>
      </c>
      <c r="G8432" s="40">
        <v>10</v>
      </c>
      <c r="H8432" s="40">
        <v>10.31461</v>
      </c>
      <c r="I8432" s="212"/>
      <c r="J8432" s="212"/>
    </row>
    <row r="8433" spans="1:10" s="15" customFormat="1" ht="18" hidden="1" customHeight="1" outlineLevel="1" x14ac:dyDescent="0.25">
      <c r="A8433" s="18">
        <v>1217</v>
      </c>
      <c r="B8433" s="4" t="s">
        <v>43</v>
      </c>
      <c r="C8433" s="38" t="s">
        <v>10908</v>
      </c>
      <c r="D8433" s="23">
        <v>2023</v>
      </c>
      <c r="E8433" s="18" t="s">
        <v>0</v>
      </c>
      <c r="F8433" s="6">
        <v>1</v>
      </c>
      <c r="G8433" s="40">
        <v>5</v>
      </c>
      <c r="H8433" s="40">
        <v>10.31461</v>
      </c>
      <c r="I8433" s="212"/>
      <c r="J8433" s="212"/>
    </row>
    <row r="8434" spans="1:10" s="15" customFormat="1" ht="18" hidden="1" customHeight="1" outlineLevel="1" x14ac:dyDescent="0.25">
      <c r="A8434" s="18">
        <v>1247</v>
      </c>
      <c r="B8434" s="4" t="s">
        <v>43</v>
      </c>
      <c r="C8434" s="38" t="s">
        <v>10909</v>
      </c>
      <c r="D8434" s="23">
        <v>2023</v>
      </c>
      <c r="E8434" s="18" t="s">
        <v>0</v>
      </c>
      <c r="F8434" s="6">
        <v>1</v>
      </c>
      <c r="G8434" s="40">
        <v>5</v>
      </c>
      <c r="H8434" s="40">
        <v>10.31461</v>
      </c>
      <c r="I8434" s="212"/>
      <c r="J8434" s="212"/>
    </row>
    <row r="8435" spans="1:10" s="15" customFormat="1" ht="18" hidden="1" customHeight="1" outlineLevel="1" x14ac:dyDescent="0.25">
      <c r="A8435" s="18">
        <v>5654</v>
      </c>
      <c r="B8435" s="4" t="s">
        <v>43</v>
      </c>
      <c r="C8435" s="38" t="s">
        <v>10910</v>
      </c>
      <c r="D8435" s="23">
        <v>2023</v>
      </c>
      <c r="E8435" s="18" t="s">
        <v>0</v>
      </c>
      <c r="F8435" s="6">
        <v>1</v>
      </c>
      <c r="G8435" s="40">
        <v>10</v>
      </c>
      <c r="H8435" s="40">
        <v>10.31461</v>
      </c>
      <c r="I8435" s="212"/>
      <c r="J8435" s="212"/>
    </row>
    <row r="8436" spans="1:10" s="15" customFormat="1" ht="18" hidden="1" customHeight="1" outlineLevel="1" x14ac:dyDescent="0.25">
      <c r="A8436" s="18">
        <v>5655</v>
      </c>
      <c r="B8436" s="4" t="s">
        <v>43</v>
      </c>
      <c r="C8436" s="38" t="s">
        <v>10911</v>
      </c>
      <c r="D8436" s="23">
        <v>2023</v>
      </c>
      <c r="E8436" s="18" t="s">
        <v>0</v>
      </c>
      <c r="F8436" s="6">
        <v>1</v>
      </c>
      <c r="G8436" s="40">
        <v>10</v>
      </c>
      <c r="H8436" s="40">
        <v>10.31461</v>
      </c>
      <c r="I8436" s="212"/>
      <c r="J8436" s="212"/>
    </row>
    <row r="8437" spans="1:10" s="15" customFormat="1" ht="18" hidden="1" customHeight="1" outlineLevel="1" x14ac:dyDescent="0.25">
      <c r="A8437" s="18">
        <v>1365</v>
      </c>
      <c r="B8437" s="4" t="s">
        <v>43</v>
      </c>
      <c r="C8437" s="38" t="s">
        <v>10912</v>
      </c>
      <c r="D8437" s="23">
        <v>2023</v>
      </c>
      <c r="E8437" s="18" t="s">
        <v>0</v>
      </c>
      <c r="F8437" s="6">
        <v>1</v>
      </c>
      <c r="G8437" s="40">
        <v>5</v>
      </c>
      <c r="H8437" s="40">
        <v>10.31382</v>
      </c>
      <c r="I8437" s="212"/>
      <c r="J8437" s="212"/>
    </row>
    <row r="8438" spans="1:10" s="15" customFormat="1" ht="18" hidden="1" customHeight="1" outlineLevel="1" x14ac:dyDescent="0.25">
      <c r="A8438" s="18">
        <v>1705</v>
      </c>
      <c r="B8438" s="4" t="s">
        <v>43</v>
      </c>
      <c r="C8438" s="38" t="s">
        <v>10913</v>
      </c>
      <c r="D8438" s="23">
        <v>2023</v>
      </c>
      <c r="E8438" s="18" t="s">
        <v>0</v>
      </c>
      <c r="F8438" s="6">
        <v>1</v>
      </c>
      <c r="G8438" s="40">
        <v>5</v>
      </c>
      <c r="H8438" s="40">
        <v>10.31461</v>
      </c>
      <c r="I8438" s="212"/>
      <c r="J8438" s="212"/>
    </row>
    <row r="8439" spans="1:10" s="15" customFormat="1" ht="18" hidden="1" customHeight="1" outlineLevel="1" x14ac:dyDescent="0.25">
      <c r="A8439" s="18">
        <v>5656</v>
      </c>
      <c r="B8439" s="4" t="s">
        <v>43</v>
      </c>
      <c r="C8439" s="38" t="s">
        <v>10914</v>
      </c>
      <c r="D8439" s="23">
        <v>2023</v>
      </c>
      <c r="E8439" s="18" t="s">
        <v>0</v>
      </c>
      <c r="F8439" s="6">
        <v>1</v>
      </c>
      <c r="G8439" s="40">
        <v>5</v>
      </c>
      <c r="H8439" s="40">
        <v>10.31461</v>
      </c>
      <c r="I8439" s="212"/>
      <c r="J8439" s="212"/>
    </row>
    <row r="8440" spans="1:10" s="15" customFormat="1" ht="18" hidden="1" customHeight="1" outlineLevel="1" x14ac:dyDescent="0.25">
      <c r="A8440" s="18">
        <v>1634</v>
      </c>
      <c r="B8440" s="4" t="s">
        <v>43</v>
      </c>
      <c r="C8440" s="38" t="s">
        <v>10915</v>
      </c>
      <c r="D8440" s="23">
        <v>2023</v>
      </c>
      <c r="E8440" s="18" t="s">
        <v>0</v>
      </c>
      <c r="F8440" s="6">
        <v>1</v>
      </c>
      <c r="G8440" s="40">
        <v>5</v>
      </c>
      <c r="H8440" s="40">
        <v>10.31461</v>
      </c>
      <c r="I8440" s="212"/>
      <c r="J8440" s="212"/>
    </row>
    <row r="8441" spans="1:10" s="15" customFormat="1" ht="18" hidden="1" customHeight="1" outlineLevel="1" x14ac:dyDescent="0.25">
      <c r="A8441" s="18">
        <v>1507</v>
      </c>
      <c r="B8441" s="4" t="s">
        <v>43</v>
      </c>
      <c r="C8441" s="38" t="s">
        <v>10916</v>
      </c>
      <c r="D8441" s="23">
        <v>2023</v>
      </c>
      <c r="E8441" s="18" t="s">
        <v>0</v>
      </c>
      <c r="F8441" s="6">
        <v>1</v>
      </c>
      <c r="G8441" s="40">
        <v>5</v>
      </c>
      <c r="H8441" s="40">
        <v>10.485860000000001</v>
      </c>
      <c r="I8441" s="212"/>
      <c r="J8441" s="212"/>
    </row>
    <row r="8442" spans="1:10" s="15" customFormat="1" ht="18" hidden="1" customHeight="1" outlineLevel="1" x14ac:dyDescent="0.25">
      <c r="A8442" s="18">
        <v>1530</v>
      </c>
      <c r="B8442" s="4" t="s">
        <v>43</v>
      </c>
      <c r="C8442" s="38" t="s">
        <v>10917</v>
      </c>
      <c r="D8442" s="23">
        <v>2023</v>
      </c>
      <c r="E8442" s="18" t="s">
        <v>0</v>
      </c>
      <c r="F8442" s="6">
        <v>1</v>
      </c>
      <c r="G8442" s="40">
        <v>5</v>
      </c>
      <c r="H8442" s="40">
        <v>10.485860000000001</v>
      </c>
      <c r="I8442" s="212"/>
      <c r="J8442" s="212"/>
    </row>
    <row r="8443" spans="1:10" s="15" customFormat="1" ht="18" hidden="1" customHeight="1" outlineLevel="1" x14ac:dyDescent="0.25">
      <c r="A8443" s="18">
        <v>1603</v>
      </c>
      <c r="B8443" s="4" t="s">
        <v>43</v>
      </c>
      <c r="C8443" s="38" t="s">
        <v>10918</v>
      </c>
      <c r="D8443" s="23">
        <v>2023</v>
      </c>
      <c r="E8443" s="18" t="s">
        <v>0</v>
      </c>
      <c r="F8443" s="6">
        <v>1</v>
      </c>
      <c r="G8443" s="40">
        <v>5</v>
      </c>
      <c r="H8443" s="40">
        <v>24.875920000000001</v>
      </c>
      <c r="I8443" s="212"/>
      <c r="J8443" s="212"/>
    </row>
    <row r="8444" spans="1:10" s="15" customFormat="1" ht="18" hidden="1" customHeight="1" outlineLevel="1" x14ac:dyDescent="0.25">
      <c r="A8444" s="18">
        <v>1758</v>
      </c>
      <c r="B8444" s="4" t="s">
        <v>43</v>
      </c>
      <c r="C8444" s="38" t="s">
        <v>10919</v>
      </c>
      <c r="D8444" s="23">
        <v>2023</v>
      </c>
      <c r="E8444" s="18" t="s">
        <v>0</v>
      </c>
      <c r="F8444" s="6">
        <v>1</v>
      </c>
      <c r="G8444" s="40">
        <v>5</v>
      </c>
      <c r="H8444" s="40">
        <v>24.875920000000001</v>
      </c>
      <c r="I8444" s="212"/>
      <c r="J8444" s="212"/>
    </row>
    <row r="8445" spans="1:10" s="15" customFormat="1" ht="18" hidden="1" customHeight="1" outlineLevel="1" x14ac:dyDescent="0.25">
      <c r="A8445" s="18">
        <v>5657</v>
      </c>
      <c r="B8445" s="4" t="s">
        <v>43</v>
      </c>
      <c r="C8445" s="38" t="s">
        <v>10920</v>
      </c>
      <c r="D8445" s="23">
        <v>2023</v>
      </c>
      <c r="E8445" s="18" t="s">
        <v>0</v>
      </c>
      <c r="F8445" s="6">
        <v>1</v>
      </c>
      <c r="G8445" s="40">
        <v>6</v>
      </c>
      <c r="H8445" s="40">
        <v>24.875920000000001</v>
      </c>
      <c r="I8445" s="212"/>
      <c r="J8445" s="212"/>
    </row>
    <row r="8446" spans="1:10" s="15" customFormat="1" ht="18" hidden="1" customHeight="1" outlineLevel="1" x14ac:dyDescent="0.25">
      <c r="A8446" s="18">
        <v>1907</v>
      </c>
      <c r="B8446" s="4" t="s">
        <v>43</v>
      </c>
      <c r="C8446" s="38" t="s">
        <v>10921</v>
      </c>
      <c r="D8446" s="23">
        <v>2023</v>
      </c>
      <c r="E8446" s="18" t="s">
        <v>0</v>
      </c>
      <c r="F8446" s="6">
        <v>1</v>
      </c>
      <c r="G8446" s="40">
        <v>5</v>
      </c>
      <c r="H8446" s="40">
        <v>24.875920000000001</v>
      </c>
      <c r="I8446" s="212"/>
      <c r="J8446" s="212"/>
    </row>
    <row r="8447" spans="1:10" s="15" customFormat="1" ht="18" hidden="1" customHeight="1" outlineLevel="1" x14ac:dyDescent="0.25">
      <c r="A8447" s="18">
        <v>1927</v>
      </c>
      <c r="B8447" s="4" t="s">
        <v>43</v>
      </c>
      <c r="C8447" s="38" t="s">
        <v>10922</v>
      </c>
      <c r="D8447" s="23">
        <v>2023</v>
      </c>
      <c r="E8447" s="18" t="s">
        <v>0</v>
      </c>
      <c r="F8447" s="6">
        <v>1</v>
      </c>
      <c r="G8447" s="40">
        <v>5</v>
      </c>
      <c r="H8447" s="40">
        <v>24.875920000000001</v>
      </c>
      <c r="I8447" s="212"/>
      <c r="J8447" s="212"/>
    </row>
    <row r="8448" spans="1:10" s="15" customFormat="1" ht="18" hidden="1" customHeight="1" outlineLevel="1" x14ac:dyDescent="0.25">
      <c r="A8448" s="18">
        <v>1948</v>
      </c>
      <c r="B8448" s="4" t="s">
        <v>43</v>
      </c>
      <c r="C8448" s="38" t="s">
        <v>10923</v>
      </c>
      <c r="D8448" s="23">
        <v>2023</v>
      </c>
      <c r="E8448" s="18" t="s">
        <v>0</v>
      </c>
      <c r="F8448" s="6">
        <v>1</v>
      </c>
      <c r="G8448" s="40">
        <v>5</v>
      </c>
      <c r="H8448" s="40">
        <v>24.875920000000001</v>
      </c>
      <c r="I8448" s="212"/>
      <c r="J8448" s="212"/>
    </row>
    <row r="8449" spans="1:10" s="15" customFormat="1" ht="18" hidden="1" customHeight="1" outlineLevel="1" x14ac:dyDescent="0.25">
      <c r="A8449" s="18">
        <v>5658</v>
      </c>
      <c r="B8449" s="4" t="s">
        <v>43</v>
      </c>
      <c r="C8449" s="38" t="s">
        <v>10924</v>
      </c>
      <c r="D8449" s="23">
        <v>2023</v>
      </c>
      <c r="E8449" s="18" t="s">
        <v>0</v>
      </c>
      <c r="F8449" s="6">
        <v>1</v>
      </c>
      <c r="G8449" s="40">
        <v>5</v>
      </c>
      <c r="H8449" s="40">
        <v>24.875920000000001</v>
      </c>
      <c r="I8449" s="212"/>
      <c r="J8449" s="212"/>
    </row>
    <row r="8450" spans="1:10" s="15" customFormat="1" ht="18" hidden="1" customHeight="1" outlineLevel="1" x14ac:dyDescent="0.25">
      <c r="A8450" s="18">
        <v>2004</v>
      </c>
      <c r="B8450" s="4" t="s">
        <v>43</v>
      </c>
      <c r="C8450" s="38" t="s">
        <v>10925</v>
      </c>
      <c r="D8450" s="23">
        <v>2023</v>
      </c>
      <c r="E8450" s="18" t="s">
        <v>0</v>
      </c>
      <c r="F8450" s="6">
        <v>1</v>
      </c>
      <c r="G8450" s="40">
        <v>5</v>
      </c>
      <c r="H8450" s="40">
        <v>24.875920000000001</v>
      </c>
      <c r="I8450" s="212"/>
      <c r="J8450" s="212"/>
    </row>
    <row r="8451" spans="1:10" s="15" customFormat="1" ht="18" hidden="1" customHeight="1" outlineLevel="1" x14ac:dyDescent="0.25">
      <c r="A8451" s="18">
        <v>1421</v>
      </c>
      <c r="B8451" s="4" t="s">
        <v>43</v>
      </c>
      <c r="C8451" s="38" t="s">
        <v>10926</v>
      </c>
      <c r="D8451" s="23">
        <v>2023</v>
      </c>
      <c r="E8451" s="18" t="s">
        <v>0</v>
      </c>
      <c r="F8451" s="6">
        <v>1</v>
      </c>
      <c r="G8451" s="40">
        <v>5</v>
      </c>
      <c r="H8451" s="40">
        <v>24.875920000000001</v>
      </c>
      <c r="I8451" s="212"/>
      <c r="J8451" s="212"/>
    </row>
    <row r="8452" spans="1:10" s="15" customFormat="1" ht="18" hidden="1" customHeight="1" outlineLevel="1" x14ac:dyDescent="0.25">
      <c r="A8452" s="18">
        <v>5659</v>
      </c>
      <c r="B8452" s="4" t="s">
        <v>43</v>
      </c>
      <c r="C8452" s="38" t="s">
        <v>10927</v>
      </c>
      <c r="D8452" s="23">
        <v>2023</v>
      </c>
      <c r="E8452" s="18" t="s">
        <v>0</v>
      </c>
      <c r="F8452" s="6">
        <v>1</v>
      </c>
      <c r="G8452" s="40">
        <v>8</v>
      </c>
      <c r="H8452" s="40">
        <v>24.875920000000001</v>
      </c>
      <c r="I8452" s="212"/>
      <c r="J8452" s="212"/>
    </row>
    <row r="8453" spans="1:10" s="15" customFormat="1" ht="18" hidden="1" customHeight="1" outlineLevel="1" x14ac:dyDescent="0.25">
      <c r="A8453" s="18">
        <v>5660</v>
      </c>
      <c r="B8453" s="4" t="s">
        <v>43</v>
      </c>
      <c r="C8453" s="38" t="s">
        <v>10928</v>
      </c>
      <c r="D8453" s="23">
        <v>2023</v>
      </c>
      <c r="E8453" s="18" t="s">
        <v>0</v>
      </c>
      <c r="F8453" s="6">
        <v>1</v>
      </c>
      <c r="G8453" s="40">
        <v>10</v>
      </c>
      <c r="H8453" s="40">
        <v>24.875920000000001</v>
      </c>
      <c r="I8453" s="212"/>
      <c r="J8453" s="212"/>
    </row>
    <row r="8454" spans="1:10" s="15" customFormat="1" ht="18" hidden="1" customHeight="1" outlineLevel="1" x14ac:dyDescent="0.25">
      <c r="A8454" s="18">
        <v>3654</v>
      </c>
      <c r="B8454" s="4" t="s">
        <v>43</v>
      </c>
      <c r="C8454" s="38" t="s">
        <v>10929</v>
      </c>
      <c r="D8454" s="23">
        <v>2023</v>
      </c>
      <c r="E8454" s="18" t="s">
        <v>0</v>
      </c>
      <c r="F8454" s="6">
        <v>1</v>
      </c>
      <c r="G8454" s="40">
        <v>10</v>
      </c>
      <c r="H8454" s="40">
        <v>24.875910000000001</v>
      </c>
      <c r="I8454" s="212"/>
      <c r="J8454" s="212"/>
    </row>
    <row r="8455" spans="1:10" s="15" customFormat="1" ht="18" hidden="1" customHeight="1" outlineLevel="1" x14ac:dyDescent="0.25">
      <c r="A8455" s="18">
        <v>1755</v>
      </c>
      <c r="B8455" s="4" t="s">
        <v>43</v>
      </c>
      <c r="C8455" s="38" t="s">
        <v>10930</v>
      </c>
      <c r="D8455" s="23">
        <v>2023</v>
      </c>
      <c r="E8455" s="18" t="s">
        <v>0</v>
      </c>
      <c r="F8455" s="6">
        <v>1</v>
      </c>
      <c r="G8455" s="40">
        <v>5</v>
      </c>
      <c r="H8455" s="40">
        <v>24.875920000000001</v>
      </c>
      <c r="I8455" s="212"/>
      <c r="J8455" s="212"/>
    </row>
    <row r="8456" spans="1:10" s="15" customFormat="1" ht="18" hidden="1" customHeight="1" outlineLevel="1" x14ac:dyDescent="0.25">
      <c r="A8456" s="18">
        <v>1749</v>
      </c>
      <c r="B8456" s="4" t="s">
        <v>43</v>
      </c>
      <c r="C8456" s="38" t="s">
        <v>10931</v>
      </c>
      <c r="D8456" s="23">
        <v>2023</v>
      </c>
      <c r="E8456" s="18" t="s">
        <v>0</v>
      </c>
      <c r="F8456" s="6">
        <v>1</v>
      </c>
      <c r="G8456" s="40">
        <v>5</v>
      </c>
      <c r="H8456" s="40">
        <v>24.875920000000001</v>
      </c>
      <c r="I8456" s="212"/>
      <c r="J8456" s="212"/>
    </row>
    <row r="8457" spans="1:10" s="15" customFormat="1" ht="18" hidden="1" customHeight="1" outlineLevel="1" x14ac:dyDescent="0.25">
      <c r="A8457" s="18">
        <v>1776</v>
      </c>
      <c r="B8457" s="4" t="s">
        <v>43</v>
      </c>
      <c r="C8457" s="38" t="s">
        <v>10932</v>
      </c>
      <c r="D8457" s="23">
        <v>2023</v>
      </c>
      <c r="E8457" s="18" t="s">
        <v>0</v>
      </c>
      <c r="F8457" s="6">
        <v>1</v>
      </c>
      <c r="G8457" s="40">
        <v>5</v>
      </c>
      <c r="H8457" s="40">
        <v>24.875920000000001</v>
      </c>
      <c r="I8457" s="212"/>
      <c r="J8457" s="212"/>
    </row>
    <row r="8458" spans="1:10" s="15" customFormat="1" ht="18" hidden="1" customHeight="1" outlineLevel="1" x14ac:dyDescent="0.25">
      <c r="A8458" s="18">
        <v>1721</v>
      </c>
      <c r="B8458" s="4" t="s">
        <v>43</v>
      </c>
      <c r="C8458" s="38" t="s">
        <v>10933</v>
      </c>
      <c r="D8458" s="23">
        <v>2023</v>
      </c>
      <c r="E8458" s="18" t="s">
        <v>0</v>
      </c>
      <c r="F8458" s="6">
        <v>1</v>
      </c>
      <c r="G8458" s="40">
        <v>5</v>
      </c>
      <c r="H8458" s="40">
        <v>24.875920000000001</v>
      </c>
      <c r="I8458" s="212"/>
      <c r="J8458" s="212"/>
    </row>
    <row r="8459" spans="1:10" s="15" customFormat="1" ht="18" hidden="1" customHeight="1" outlineLevel="1" x14ac:dyDescent="0.25">
      <c r="A8459" s="18">
        <v>1745</v>
      </c>
      <c r="B8459" s="4" t="s">
        <v>43</v>
      </c>
      <c r="C8459" s="38" t="s">
        <v>10934</v>
      </c>
      <c r="D8459" s="23">
        <v>2023</v>
      </c>
      <c r="E8459" s="18" t="s">
        <v>0</v>
      </c>
      <c r="F8459" s="6">
        <v>1</v>
      </c>
      <c r="G8459" s="40">
        <v>5</v>
      </c>
      <c r="H8459" s="40">
        <v>25.047159999999998</v>
      </c>
      <c r="I8459" s="212"/>
      <c r="J8459" s="212"/>
    </row>
    <row r="8460" spans="1:10" s="15" customFormat="1" ht="18" hidden="1" customHeight="1" outlineLevel="1" x14ac:dyDescent="0.25">
      <c r="A8460" s="18">
        <v>1720</v>
      </c>
      <c r="B8460" s="4" t="s">
        <v>43</v>
      </c>
      <c r="C8460" s="38" t="s">
        <v>10935</v>
      </c>
      <c r="D8460" s="23">
        <v>2023</v>
      </c>
      <c r="E8460" s="18" t="s">
        <v>0</v>
      </c>
      <c r="F8460" s="6">
        <v>1</v>
      </c>
      <c r="G8460" s="40">
        <v>3</v>
      </c>
      <c r="H8460" s="40">
        <v>25.047159999999998</v>
      </c>
      <c r="I8460" s="212"/>
      <c r="J8460" s="212"/>
    </row>
    <row r="8461" spans="1:10" s="15" customFormat="1" ht="18" hidden="1" customHeight="1" outlineLevel="1" x14ac:dyDescent="0.25">
      <c r="A8461" s="18">
        <v>1694</v>
      </c>
      <c r="B8461" s="4" t="s">
        <v>43</v>
      </c>
      <c r="C8461" s="38" t="s">
        <v>10936</v>
      </c>
      <c r="D8461" s="23">
        <v>2023</v>
      </c>
      <c r="E8461" s="18" t="s">
        <v>0</v>
      </c>
      <c r="F8461" s="6">
        <v>1</v>
      </c>
      <c r="G8461" s="40">
        <v>5</v>
      </c>
      <c r="H8461" s="40">
        <v>25.047159999999998</v>
      </c>
      <c r="I8461" s="212"/>
      <c r="J8461" s="212"/>
    </row>
    <row r="8462" spans="1:10" s="15" customFormat="1" ht="18" hidden="1" customHeight="1" outlineLevel="1" x14ac:dyDescent="0.25">
      <c r="A8462" s="18">
        <v>1682</v>
      </c>
      <c r="B8462" s="4" t="s">
        <v>43</v>
      </c>
      <c r="C8462" s="38" t="s">
        <v>10937</v>
      </c>
      <c r="D8462" s="23">
        <v>2023</v>
      </c>
      <c r="E8462" s="18" t="s">
        <v>0</v>
      </c>
      <c r="F8462" s="6">
        <v>1</v>
      </c>
      <c r="G8462" s="40">
        <v>5</v>
      </c>
      <c r="H8462" s="40">
        <v>25.047129999999999</v>
      </c>
      <c r="I8462" s="212"/>
      <c r="J8462" s="212"/>
    </row>
    <row r="8463" spans="1:10" s="15" customFormat="1" ht="18" hidden="1" customHeight="1" outlineLevel="1" x14ac:dyDescent="0.25">
      <c r="A8463" s="18">
        <v>1658</v>
      </c>
      <c r="B8463" s="4" t="s">
        <v>43</v>
      </c>
      <c r="C8463" s="38" t="s">
        <v>10938</v>
      </c>
      <c r="D8463" s="23">
        <v>2023</v>
      </c>
      <c r="E8463" s="18" t="s">
        <v>0</v>
      </c>
      <c r="F8463" s="6">
        <v>1</v>
      </c>
      <c r="G8463" s="40">
        <v>5</v>
      </c>
      <c r="H8463" s="40">
        <v>25.047159999999998</v>
      </c>
      <c r="I8463" s="212"/>
      <c r="J8463" s="212"/>
    </row>
    <row r="8464" spans="1:10" s="15" customFormat="1" ht="18" hidden="1" customHeight="1" outlineLevel="1" x14ac:dyDescent="0.25">
      <c r="A8464" s="18">
        <v>1863</v>
      </c>
      <c r="B8464" s="4" t="s">
        <v>43</v>
      </c>
      <c r="C8464" s="38" t="s">
        <v>10939</v>
      </c>
      <c r="D8464" s="23">
        <v>2023</v>
      </c>
      <c r="E8464" s="18" t="s">
        <v>0</v>
      </c>
      <c r="F8464" s="6">
        <v>1</v>
      </c>
      <c r="G8464" s="40">
        <v>5</v>
      </c>
      <c r="H8464" s="40">
        <v>24.875910000000001</v>
      </c>
      <c r="I8464" s="212"/>
      <c r="J8464" s="212"/>
    </row>
    <row r="8465" spans="1:10" s="15" customFormat="1" ht="18" hidden="1" customHeight="1" outlineLevel="1" x14ac:dyDescent="0.25">
      <c r="A8465" s="18">
        <v>1774</v>
      </c>
      <c r="B8465" s="4" t="s">
        <v>43</v>
      </c>
      <c r="C8465" s="38" t="s">
        <v>10940</v>
      </c>
      <c r="D8465" s="23">
        <v>2023</v>
      </c>
      <c r="E8465" s="18" t="s">
        <v>0</v>
      </c>
      <c r="F8465" s="6">
        <v>1</v>
      </c>
      <c r="G8465" s="40">
        <v>5</v>
      </c>
      <c r="H8465" s="40">
        <v>24.978650000000002</v>
      </c>
      <c r="I8465" s="212"/>
      <c r="J8465" s="212"/>
    </row>
    <row r="8466" spans="1:10" s="15" customFormat="1" ht="18" hidden="1" customHeight="1" outlineLevel="1" x14ac:dyDescent="0.25">
      <c r="A8466" s="18">
        <v>5662</v>
      </c>
      <c r="B8466" s="4" t="s">
        <v>43</v>
      </c>
      <c r="C8466" s="38" t="s">
        <v>10941</v>
      </c>
      <c r="D8466" s="23">
        <v>2023</v>
      </c>
      <c r="E8466" s="18" t="s">
        <v>0</v>
      </c>
      <c r="F8466" s="6">
        <v>1</v>
      </c>
      <c r="G8466" s="40">
        <v>10</v>
      </c>
      <c r="H8466" s="40">
        <v>24.773119999999999</v>
      </c>
      <c r="I8466" s="212"/>
      <c r="J8466" s="212"/>
    </row>
    <row r="8467" spans="1:10" s="15" customFormat="1" ht="18" hidden="1" customHeight="1" outlineLevel="1" x14ac:dyDescent="0.25">
      <c r="A8467" s="18">
        <v>1862</v>
      </c>
      <c r="B8467" s="4" t="s">
        <v>43</v>
      </c>
      <c r="C8467" s="38" t="s">
        <v>10942</v>
      </c>
      <c r="D8467" s="23">
        <v>2023</v>
      </c>
      <c r="E8467" s="18" t="s">
        <v>0</v>
      </c>
      <c r="F8467" s="6">
        <v>1</v>
      </c>
      <c r="G8467" s="40">
        <v>5</v>
      </c>
      <c r="H8467" s="40">
        <v>24.978650000000002</v>
      </c>
      <c r="I8467" s="212"/>
      <c r="J8467" s="212"/>
    </row>
    <row r="8468" spans="1:10" s="15" customFormat="1" ht="18" hidden="1" customHeight="1" outlineLevel="1" x14ac:dyDescent="0.25">
      <c r="A8468" s="18">
        <v>5663</v>
      </c>
      <c r="B8468" s="4" t="s">
        <v>43</v>
      </c>
      <c r="C8468" s="38" t="s">
        <v>10943</v>
      </c>
      <c r="D8468" s="23">
        <v>2023</v>
      </c>
      <c r="E8468" s="18" t="s">
        <v>0</v>
      </c>
      <c r="F8468" s="6">
        <v>1</v>
      </c>
      <c r="G8468" s="40">
        <v>10</v>
      </c>
      <c r="H8468" s="40">
        <v>24.773119999999999</v>
      </c>
      <c r="I8468" s="212"/>
      <c r="J8468" s="212"/>
    </row>
    <row r="8469" spans="1:10" s="15" customFormat="1" ht="18" hidden="1" customHeight="1" outlineLevel="1" x14ac:dyDescent="0.25">
      <c r="A8469" s="18">
        <v>1795</v>
      </c>
      <c r="B8469" s="4" t="s">
        <v>43</v>
      </c>
      <c r="C8469" s="38" t="s">
        <v>10944</v>
      </c>
      <c r="D8469" s="23">
        <v>2023</v>
      </c>
      <c r="E8469" s="18" t="s">
        <v>0</v>
      </c>
      <c r="F8469" s="6">
        <v>1</v>
      </c>
      <c r="G8469" s="40">
        <v>5</v>
      </c>
      <c r="H8469" s="40">
        <v>24.978650000000002</v>
      </c>
      <c r="I8469" s="212"/>
      <c r="J8469" s="212"/>
    </row>
    <row r="8470" spans="1:10" s="15" customFormat="1" ht="18" hidden="1" customHeight="1" outlineLevel="1" x14ac:dyDescent="0.25">
      <c r="A8470" s="18">
        <v>5664</v>
      </c>
      <c r="B8470" s="4" t="s">
        <v>43</v>
      </c>
      <c r="C8470" s="38" t="s">
        <v>10945</v>
      </c>
      <c r="D8470" s="23">
        <v>2023</v>
      </c>
      <c r="E8470" s="18" t="s">
        <v>0</v>
      </c>
      <c r="F8470" s="6">
        <v>1</v>
      </c>
      <c r="G8470" s="40">
        <v>10</v>
      </c>
      <c r="H8470" s="40">
        <v>24.773110000000003</v>
      </c>
      <c r="I8470" s="212"/>
      <c r="J8470" s="212"/>
    </row>
    <row r="8471" spans="1:10" s="15" customFormat="1" ht="18" hidden="1" customHeight="1" outlineLevel="1" x14ac:dyDescent="0.25">
      <c r="A8471" s="18">
        <v>1984</v>
      </c>
      <c r="B8471" s="4" t="s">
        <v>43</v>
      </c>
      <c r="C8471" s="38" t="s">
        <v>10946</v>
      </c>
      <c r="D8471" s="23">
        <v>2023</v>
      </c>
      <c r="E8471" s="18" t="s">
        <v>0</v>
      </c>
      <c r="F8471" s="6">
        <v>1</v>
      </c>
      <c r="G8471" s="40">
        <v>5</v>
      </c>
      <c r="H8471" s="40">
        <v>24.978650000000002</v>
      </c>
      <c r="I8471" s="212"/>
      <c r="J8471" s="212"/>
    </row>
    <row r="8472" spans="1:10" s="15" customFormat="1" ht="18" hidden="1" customHeight="1" outlineLevel="1" x14ac:dyDescent="0.25">
      <c r="A8472" s="18">
        <v>1977</v>
      </c>
      <c r="B8472" s="4" t="s">
        <v>43</v>
      </c>
      <c r="C8472" s="38" t="s">
        <v>10947</v>
      </c>
      <c r="D8472" s="23">
        <v>2023</v>
      </c>
      <c r="E8472" s="18" t="s">
        <v>0</v>
      </c>
      <c r="F8472" s="6">
        <v>1</v>
      </c>
      <c r="G8472" s="40">
        <v>5</v>
      </c>
      <c r="H8472" s="40">
        <v>24.738860000000003</v>
      </c>
      <c r="I8472" s="212"/>
      <c r="J8472" s="212"/>
    </row>
    <row r="8473" spans="1:10" s="15" customFormat="1" ht="18" hidden="1" customHeight="1" outlineLevel="1" x14ac:dyDescent="0.25">
      <c r="A8473" s="18">
        <v>1980</v>
      </c>
      <c r="B8473" s="4" t="s">
        <v>43</v>
      </c>
      <c r="C8473" s="38" t="s">
        <v>10948</v>
      </c>
      <c r="D8473" s="23">
        <v>2023</v>
      </c>
      <c r="E8473" s="18" t="s">
        <v>0</v>
      </c>
      <c r="F8473" s="6">
        <v>1</v>
      </c>
      <c r="G8473" s="40">
        <v>5</v>
      </c>
      <c r="H8473" s="40">
        <v>24.773130000000002</v>
      </c>
      <c r="I8473" s="212"/>
      <c r="J8473" s="212"/>
    </row>
    <row r="8474" spans="1:10" s="15" customFormat="1" ht="18" hidden="1" customHeight="1" outlineLevel="1" x14ac:dyDescent="0.25">
      <c r="A8474" s="18">
        <v>1955</v>
      </c>
      <c r="B8474" s="4" t="s">
        <v>43</v>
      </c>
      <c r="C8474" s="38" t="s">
        <v>10949</v>
      </c>
      <c r="D8474" s="23">
        <v>2023</v>
      </c>
      <c r="E8474" s="18" t="s">
        <v>0</v>
      </c>
      <c r="F8474" s="6">
        <v>1</v>
      </c>
      <c r="G8474" s="40">
        <v>5</v>
      </c>
      <c r="H8474" s="40">
        <v>24.978630000000003</v>
      </c>
      <c r="I8474" s="212"/>
      <c r="J8474" s="212"/>
    </row>
    <row r="8475" spans="1:10" s="15" customFormat="1" ht="18" hidden="1" customHeight="1" outlineLevel="1" x14ac:dyDescent="0.25">
      <c r="A8475" s="18">
        <v>1879</v>
      </c>
      <c r="B8475" s="4" t="s">
        <v>43</v>
      </c>
      <c r="C8475" s="38" t="s">
        <v>10950</v>
      </c>
      <c r="D8475" s="23">
        <v>2023</v>
      </c>
      <c r="E8475" s="18" t="s">
        <v>0</v>
      </c>
      <c r="F8475" s="6">
        <v>1</v>
      </c>
      <c r="G8475" s="40">
        <v>5</v>
      </c>
      <c r="H8475" s="40">
        <v>24.773130000000002</v>
      </c>
      <c r="I8475" s="212"/>
      <c r="J8475" s="212"/>
    </row>
    <row r="8476" spans="1:10" s="15" customFormat="1" ht="18" hidden="1" customHeight="1" outlineLevel="1" x14ac:dyDescent="0.25">
      <c r="A8476" s="18">
        <v>1895</v>
      </c>
      <c r="B8476" s="4" t="s">
        <v>43</v>
      </c>
      <c r="C8476" s="38" t="s">
        <v>10951</v>
      </c>
      <c r="D8476" s="23">
        <v>2023</v>
      </c>
      <c r="E8476" s="18" t="s">
        <v>0</v>
      </c>
      <c r="F8476" s="6">
        <v>1</v>
      </c>
      <c r="G8476" s="40">
        <v>5</v>
      </c>
      <c r="H8476" s="40">
        <v>24.978630000000003</v>
      </c>
      <c r="I8476" s="212"/>
      <c r="J8476" s="212"/>
    </row>
    <row r="8477" spans="1:10" s="15" customFormat="1" ht="18" hidden="1" customHeight="1" outlineLevel="1" x14ac:dyDescent="0.25">
      <c r="A8477" s="18">
        <v>1923</v>
      </c>
      <c r="B8477" s="4" t="s">
        <v>43</v>
      </c>
      <c r="C8477" s="38" t="s">
        <v>10952</v>
      </c>
      <c r="D8477" s="23">
        <v>2023</v>
      </c>
      <c r="E8477" s="18" t="s">
        <v>0</v>
      </c>
      <c r="F8477" s="6">
        <v>1</v>
      </c>
      <c r="G8477" s="40">
        <v>5</v>
      </c>
      <c r="H8477" s="40">
        <v>24.773130000000002</v>
      </c>
      <c r="I8477" s="212"/>
      <c r="J8477" s="212"/>
    </row>
    <row r="8478" spans="1:10" s="15" customFormat="1" ht="18" hidden="1" customHeight="1" outlineLevel="1" x14ac:dyDescent="0.25">
      <c r="A8478" s="18">
        <v>1750</v>
      </c>
      <c r="B8478" s="4" t="s">
        <v>43</v>
      </c>
      <c r="C8478" s="38" t="s">
        <v>10953</v>
      </c>
      <c r="D8478" s="23">
        <v>2023</v>
      </c>
      <c r="E8478" s="18" t="s">
        <v>0</v>
      </c>
      <c r="F8478" s="6">
        <v>1</v>
      </c>
      <c r="G8478" s="40">
        <v>5</v>
      </c>
      <c r="H8478" s="40">
        <v>25.047129999999999</v>
      </c>
      <c r="I8478" s="212"/>
      <c r="J8478" s="212"/>
    </row>
    <row r="8479" spans="1:10" s="15" customFormat="1" ht="18" hidden="1" customHeight="1" outlineLevel="1" x14ac:dyDescent="0.25">
      <c r="A8479" s="18">
        <v>1944</v>
      </c>
      <c r="B8479" s="4" t="s">
        <v>43</v>
      </c>
      <c r="C8479" s="38" t="s">
        <v>10954</v>
      </c>
      <c r="D8479" s="23">
        <v>2023</v>
      </c>
      <c r="E8479" s="18" t="s">
        <v>0</v>
      </c>
      <c r="F8479" s="6">
        <v>1</v>
      </c>
      <c r="G8479" s="40">
        <v>5</v>
      </c>
      <c r="H8479" s="40">
        <v>24.87593</v>
      </c>
      <c r="I8479" s="212"/>
      <c r="J8479" s="212"/>
    </row>
    <row r="8480" spans="1:10" s="15" customFormat="1" ht="18" hidden="1" customHeight="1" outlineLevel="1" x14ac:dyDescent="0.25">
      <c r="A8480" s="18">
        <v>5666</v>
      </c>
      <c r="B8480" s="4" t="s">
        <v>43</v>
      </c>
      <c r="C8480" s="38" t="s">
        <v>10955</v>
      </c>
      <c r="D8480" s="23">
        <v>2023</v>
      </c>
      <c r="E8480" s="18" t="s">
        <v>0</v>
      </c>
      <c r="F8480" s="6">
        <v>1</v>
      </c>
      <c r="G8480" s="40">
        <v>6</v>
      </c>
      <c r="H8480" s="40">
        <v>25.047129999999999</v>
      </c>
      <c r="I8480" s="212"/>
      <c r="J8480" s="212"/>
    </row>
    <row r="8481" spans="1:10" s="15" customFormat="1" ht="18" hidden="1" customHeight="1" outlineLevel="1" x14ac:dyDescent="0.25">
      <c r="A8481" s="18">
        <v>1257</v>
      </c>
      <c r="B8481" s="4" t="s">
        <v>43</v>
      </c>
      <c r="C8481" s="38" t="s">
        <v>10956</v>
      </c>
      <c r="D8481" s="23">
        <v>2023</v>
      </c>
      <c r="E8481" s="18" t="s">
        <v>0</v>
      </c>
      <c r="F8481" s="6">
        <v>1</v>
      </c>
      <c r="G8481" s="40">
        <v>5</v>
      </c>
      <c r="H8481" s="40">
        <v>24.87593</v>
      </c>
      <c r="I8481" s="212"/>
      <c r="J8481" s="212"/>
    </row>
    <row r="8482" spans="1:10" s="15" customFormat="1" ht="18" hidden="1" customHeight="1" outlineLevel="1" x14ac:dyDescent="0.25">
      <c r="A8482" s="18">
        <v>1256</v>
      </c>
      <c r="B8482" s="4" t="s">
        <v>43</v>
      </c>
      <c r="C8482" s="38" t="s">
        <v>10957</v>
      </c>
      <c r="D8482" s="23">
        <v>2023</v>
      </c>
      <c r="E8482" s="18" t="s">
        <v>0</v>
      </c>
      <c r="F8482" s="6">
        <v>1</v>
      </c>
      <c r="G8482" s="40">
        <v>5</v>
      </c>
      <c r="H8482" s="40">
        <v>25.047129999999999</v>
      </c>
      <c r="I8482" s="212"/>
      <c r="J8482" s="212"/>
    </row>
    <row r="8483" spans="1:10" s="15" customFormat="1" ht="18" hidden="1" customHeight="1" outlineLevel="1" x14ac:dyDescent="0.25">
      <c r="A8483" s="18">
        <v>2081</v>
      </c>
      <c r="B8483" s="4" t="s">
        <v>43</v>
      </c>
      <c r="C8483" s="38" t="s">
        <v>10958</v>
      </c>
      <c r="D8483" s="23">
        <v>2023</v>
      </c>
      <c r="E8483" s="18" t="s">
        <v>0</v>
      </c>
      <c r="F8483" s="6">
        <v>1</v>
      </c>
      <c r="G8483" s="40">
        <v>5</v>
      </c>
      <c r="H8483" s="40">
        <v>24.87593</v>
      </c>
      <c r="I8483" s="212"/>
      <c r="J8483" s="212"/>
    </row>
    <row r="8484" spans="1:10" s="15" customFormat="1" ht="18" hidden="1" customHeight="1" outlineLevel="1" x14ac:dyDescent="0.25">
      <c r="A8484" s="18">
        <v>2048</v>
      </c>
      <c r="B8484" s="4" t="s">
        <v>43</v>
      </c>
      <c r="C8484" s="38" t="s">
        <v>10959</v>
      </c>
      <c r="D8484" s="23">
        <v>2023</v>
      </c>
      <c r="E8484" s="18" t="s">
        <v>0</v>
      </c>
      <c r="F8484" s="6">
        <v>1</v>
      </c>
      <c r="G8484" s="40">
        <v>5</v>
      </c>
      <c r="H8484" s="40">
        <v>24.910140000000002</v>
      </c>
      <c r="I8484" s="212"/>
      <c r="J8484" s="212"/>
    </row>
    <row r="8485" spans="1:10" s="15" customFormat="1" ht="18" hidden="1" customHeight="1" outlineLevel="1" x14ac:dyDescent="0.25">
      <c r="A8485" s="18">
        <v>1975</v>
      </c>
      <c r="B8485" s="4" t="s">
        <v>43</v>
      </c>
      <c r="C8485" s="38" t="s">
        <v>10960</v>
      </c>
      <c r="D8485" s="23">
        <v>2023</v>
      </c>
      <c r="E8485" s="18" t="s">
        <v>0</v>
      </c>
      <c r="F8485" s="6">
        <v>1</v>
      </c>
      <c r="G8485" s="40">
        <v>5</v>
      </c>
      <c r="H8485" s="40">
        <v>24.910160000000001</v>
      </c>
      <c r="I8485" s="212"/>
      <c r="J8485" s="212"/>
    </row>
    <row r="8486" spans="1:10" s="15" customFormat="1" ht="18" hidden="1" customHeight="1" outlineLevel="1" x14ac:dyDescent="0.25">
      <c r="A8486" s="18">
        <v>2002</v>
      </c>
      <c r="B8486" s="4" t="s">
        <v>43</v>
      </c>
      <c r="C8486" s="38" t="s">
        <v>10961</v>
      </c>
      <c r="D8486" s="23">
        <v>2023</v>
      </c>
      <c r="E8486" s="18" t="s">
        <v>0</v>
      </c>
      <c r="F8486" s="6">
        <v>1</v>
      </c>
      <c r="G8486" s="40">
        <v>3</v>
      </c>
      <c r="H8486" s="40">
        <v>24.910140000000002</v>
      </c>
      <c r="I8486" s="212"/>
      <c r="J8486" s="212"/>
    </row>
    <row r="8487" spans="1:10" s="15" customFormat="1" ht="18" hidden="1" customHeight="1" outlineLevel="1" x14ac:dyDescent="0.25">
      <c r="A8487" s="18">
        <v>2010</v>
      </c>
      <c r="B8487" s="4" t="s">
        <v>43</v>
      </c>
      <c r="C8487" s="38" t="s">
        <v>10962</v>
      </c>
      <c r="D8487" s="23">
        <v>2023</v>
      </c>
      <c r="E8487" s="18" t="s">
        <v>0</v>
      </c>
      <c r="F8487" s="6">
        <v>1</v>
      </c>
      <c r="G8487" s="40">
        <v>5</v>
      </c>
      <c r="H8487" s="40">
        <v>24.910160000000001</v>
      </c>
      <c r="I8487" s="212"/>
      <c r="J8487" s="212"/>
    </row>
    <row r="8488" spans="1:10" s="15" customFormat="1" ht="18" hidden="1" customHeight="1" outlineLevel="1" x14ac:dyDescent="0.25">
      <c r="A8488" s="18">
        <v>2112</v>
      </c>
      <c r="B8488" s="4" t="s">
        <v>43</v>
      </c>
      <c r="C8488" s="38" t="s">
        <v>10963</v>
      </c>
      <c r="D8488" s="23">
        <v>2023</v>
      </c>
      <c r="E8488" s="18" t="s">
        <v>0</v>
      </c>
      <c r="F8488" s="6">
        <v>1</v>
      </c>
      <c r="G8488" s="40">
        <v>5</v>
      </c>
      <c r="H8488" s="40">
        <v>25.047169999999998</v>
      </c>
      <c r="I8488" s="212"/>
      <c r="J8488" s="212"/>
    </row>
    <row r="8489" spans="1:10" s="15" customFormat="1" ht="18" hidden="1" customHeight="1" outlineLevel="1" x14ac:dyDescent="0.25">
      <c r="A8489" s="18">
        <v>2097</v>
      </c>
      <c r="B8489" s="4" t="s">
        <v>43</v>
      </c>
      <c r="C8489" s="38" t="s">
        <v>10964</v>
      </c>
      <c r="D8489" s="23">
        <v>2023</v>
      </c>
      <c r="E8489" s="18" t="s">
        <v>0</v>
      </c>
      <c r="F8489" s="6">
        <v>1</v>
      </c>
      <c r="G8489" s="40">
        <v>5</v>
      </c>
      <c r="H8489" s="40">
        <v>25.047129999999999</v>
      </c>
      <c r="I8489" s="212"/>
      <c r="J8489" s="212"/>
    </row>
    <row r="8490" spans="1:10" s="15" customFormat="1" ht="18" hidden="1" customHeight="1" outlineLevel="1" x14ac:dyDescent="0.25">
      <c r="A8490" s="18">
        <v>2119</v>
      </c>
      <c r="B8490" s="4" t="s">
        <v>43</v>
      </c>
      <c r="C8490" s="38" t="s">
        <v>10965</v>
      </c>
      <c r="D8490" s="23">
        <v>2023</v>
      </c>
      <c r="E8490" s="18" t="s">
        <v>0</v>
      </c>
      <c r="F8490" s="6">
        <v>1</v>
      </c>
      <c r="G8490" s="40">
        <v>5</v>
      </c>
      <c r="H8490" s="40">
        <v>25.047169999999998</v>
      </c>
      <c r="I8490" s="212"/>
      <c r="J8490" s="212"/>
    </row>
    <row r="8491" spans="1:10" s="15" customFormat="1" ht="18" hidden="1" customHeight="1" outlineLevel="1" x14ac:dyDescent="0.25">
      <c r="A8491" s="18">
        <v>2198</v>
      </c>
      <c r="B8491" s="4" t="s">
        <v>43</v>
      </c>
      <c r="C8491" s="38" t="s">
        <v>10966</v>
      </c>
      <c r="D8491" s="23">
        <v>2023</v>
      </c>
      <c r="E8491" s="18" t="s">
        <v>0</v>
      </c>
      <c r="F8491" s="6">
        <v>1</v>
      </c>
      <c r="G8491" s="40">
        <v>5</v>
      </c>
      <c r="H8491" s="40">
        <v>25.10117</v>
      </c>
      <c r="I8491" s="212"/>
      <c r="J8491" s="212"/>
    </row>
    <row r="8492" spans="1:10" s="15" customFormat="1" ht="18" hidden="1" customHeight="1" outlineLevel="1" x14ac:dyDescent="0.25">
      <c r="A8492" s="18">
        <v>2138</v>
      </c>
      <c r="B8492" s="4" t="s">
        <v>43</v>
      </c>
      <c r="C8492" s="38" t="s">
        <v>10967</v>
      </c>
      <c r="D8492" s="23">
        <v>2023</v>
      </c>
      <c r="E8492" s="18" t="s">
        <v>0</v>
      </c>
      <c r="F8492" s="6">
        <v>1</v>
      </c>
      <c r="G8492" s="40">
        <v>5</v>
      </c>
      <c r="H8492" s="40">
        <v>24.875920000000001</v>
      </c>
      <c r="I8492" s="212"/>
      <c r="J8492" s="212"/>
    </row>
    <row r="8493" spans="1:10" s="15" customFormat="1" ht="18" hidden="1" customHeight="1" outlineLevel="1" x14ac:dyDescent="0.25">
      <c r="A8493" s="18">
        <v>2108</v>
      </c>
      <c r="B8493" s="4" t="s">
        <v>43</v>
      </c>
      <c r="C8493" s="38" t="s">
        <v>10968</v>
      </c>
      <c r="D8493" s="23">
        <v>2023</v>
      </c>
      <c r="E8493" s="18" t="s">
        <v>0</v>
      </c>
      <c r="F8493" s="6">
        <v>1</v>
      </c>
      <c r="G8493" s="40">
        <v>5</v>
      </c>
      <c r="H8493" s="40">
        <v>24.87593</v>
      </c>
      <c r="I8493" s="212"/>
      <c r="J8493" s="212"/>
    </row>
    <row r="8494" spans="1:10" s="15" customFormat="1" ht="18" hidden="1" customHeight="1" outlineLevel="1" x14ac:dyDescent="0.25">
      <c r="A8494" s="18">
        <v>2129</v>
      </c>
      <c r="B8494" s="4" t="s">
        <v>43</v>
      </c>
      <c r="C8494" s="38" t="s">
        <v>10969</v>
      </c>
      <c r="D8494" s="23">
        <v>2023</v>
      </c>
      <c r="E8494" s="18" t="s">
        <v>0</v>
      </c>
      <c r="F8494" s="6">
        <v>1</v>
      </c>
      <c r="G8494" s="40">
        <v>5</v>
      </c>
      <c r="H8494" s="40">
        <v>24.910150000000002</v>
      </c>
      <c r="I8494" s="212"/>
      <c r="J8494" s="212"/>
    </row>
    <row r="8495" spans="1:10" s="15" customFormat="1" ht="18" hidden="1" customHeight="1" outlineLevel="1" x14ac:dyDescent="0.25">
      <c r="A8495" s="18">
        <v>5673</v>
      </c>
      <c r="B8495" s="4" t="s">
        <v>43</v>
      </c>
      <c r="C8495" s="38" t="s">
        <v>10970</v>
      </c>
      <c r="D8495" s="23">
        <v>2023</v>
      </c>
      <c r="E8495" s="18" t="s">
        <v>0</v>
      </c>
      <c r="F8495" s="6">
        <v>1</v>
      </c>
      <c r="G8495" s="40">
        <v>12</v>
      </c>
      <c r="H8495" s="40">
        <v>24.87593</v>
      </c>
      <c r="I8495" s="212"/>
      <c r="J8495" s="212"/>
    </row>
    <row r="8496" spans="1:10" s="15" customFormat="1" ht="18" hidden="1" customHeight="1" outlineLevel="1" x14ac:dyDescent="0.25">
      <c r="A8496" s="18">
        <v>2102</v>
      </c>
      <c r="B8496" s="4" t="s">
        <v>43</v>
      </c>
      <c r="C8496" s="38" t="s">
        <v>10971</v>
      </c>
      <c r="D8496" s="23">
        <v>2023</v>
      </c>
      <c r="E8496" s="18" t="s">
        <v>0</v>
      </c>
      <c r="F8496" s="6">
        <v>1</v>
      </c>
      <c r="G8496" s="40">
        <v>5</v>
      </c>
      <c r="H8496" s="40">
        <v>24.875920000000001</v>
      </c>
      <c r="I8496" s="212"/>
      <c r="J8496" s="212"/>
    </row>
    <row r="8497" spans="1:10" s="15" customFormat="1" ht="18" hidden="1" customHeight="1" outlineLevel="1" x14ac:dyDescent="0.25">
      <c r="A8497" s="18">
        <v>5674</v>
      </c>
      <c r="B8497" s="4" t="s">
        <v>43</v>
      </c>
      <c r="C8497" s="38" t="s">
        <v>10972</v>
      </c>
      <c r="D8497" s="23">
        <v>2023</v>
      </c>
      <c r="E8497" s="18" t="s">
        <v>0</v>
      </c>
      <c r="F8497" s="6">
        <v>1</v>
      </c>
      <c r="G8497" s="40">
        <v>8</v>
      </c>
      <c r="H8497" s="40">
        <v>25.218380000000003</v>
      </c>
      <c r="I8497" s="212"/>
      <c r="J8497" s="212"/>
    </row>
    <row r="8498" spans="1:10" s="15" customFormat="1" ht="18" hidden="1" customHeight="1" outlineLevel="1" x14ac:dyDescent="0.25">
      <c r="A8498" s="18">
        <v>5675</v>
      </c>
      <c r="B8498" s="4" t="s">
        <v>43</v>
      </c>
      <c r="C8498" s="38" t="s">
        <v>10973</v>
      </c>
      <c r="D8498" s="23">
        <v>2023</v>
      </c>
      <c r="E8498" s="18" t="s">
        <v>0</v>
      </c>
      <c r="F8498" s="6">
        <v>1</v>
      </c>
      <c r="G8498" s="40">
        <v>5</v>
      </c>
      <c r="H8498" s="40">
        <v>24.875920000000001</v>
      </c>
      <c r="I8498" s="212"/>
      <c r="J8498" s="212"/>
    </row>
    <row r="8499" spans="1:10" s="15" customFormat="1" ht="18" hidden="1" customHeight="1" outlineLevel="1" x14ac:dyDescent="0.25">
      <c r="A8499" s="18">
        <v>5676</v>
      </c>
      <c r="B8499" s="4" t="s">
        <v>43</v>
      </c>
      <c r="C8499" s="38" t="s">
        <v>10974</v>
      </c>
      <c r="D8499" s="23">
        <v>2023</v>
      </c>
      <c r="E8499" s="18" t="s">
        <v>0</v>
      </c>
      <c r="F8499" s="6">
        <v>1</v>
      </c>
      <c r="G8499" s="40">
        <v>10</v>
      </c>
      <c r="H8499" s="40">
        <v>25.38963</v>
      </c>
      <c r="I8499" s="212"/>
      <c r="J8499" s="212"/>
    </row>
    <row r="8500" spans="1:10" s="15" customFormat="1" ht="18" hidden="1" customHeight="1" outlineLevel="1" x14ac:dyDescent="0.25">
      <c r="A8500" s="18">
        <v>5677</v>
      </c>
      <c r="B8500" s="4" t="s">
        <v>43</v>
      </c>
      <c r="C8500" s="38" t="s">
        <v>10975</v>
      </c>
      <c r="D8500" s="23">
        <v>2023</v>
      </c>
      <c r="E8500" s="18" t="s">
        <v>0</v>
      </c>
      <c r="F8500" s="6">
        <v>1</v>
      </c>
      <c r="G8500" s="40">
        <v>10</v>
      </c>
      <c r="H8500" s="40">
        <v>25.21837</v>
      </c>
      <c r="I8500" s="212"/>
      <c r="J8500" s="212"/>
    </row>
    <row r="8501" spans="1:10" s="15" customFormat="1" ht="18" hidden="1" customHeight="1" outlineLevel="1" x14ac:dyDescent="0.25">
      <c r="A8501" s="18">
        <v>5682</v>
      </c>
      <c r="B8501" s="4" t="s">
        <v>43</v>
      </c>
      <c r="C8501" s="38" t="s">
        <v>10976</v>
      </c>
      <c r="D8501" s="23">
        <v>2023</v>
      </c>
      <c r="E8501" s="18" t="s">
        <v>0</v>
      </c>
      <c r="F8501" s="6">
        <v>1</v>
      </c>
      <c r="G8501" s="40">
        <v>12</v>
      </c>
      <c r="H8501" s="40">
        <v>11.888120000000001</v>
      </c>
      <c r="I8501" s="212"/>
      <c r="J8501" s="212"/>
    </row>
    <row r="8502" spans="1:10" s="15" customFormat="1" ht="18" hidden="1" customHeight="1" outlineLevel="1" x14ac:dyDescent="0.25">
      <c r="A8502" s="18">
        <v>2172</v>
      </c>
      <c r="B8502" s="4" t="s">
        <v>43</v>
      </c>
      <c r="C8502" s="38" t="s">
        <v>10977</v>
      </c>
      <c r="D8502" s="23">
        <v>2023</v>
      </c>
      <c r="E8502" s="18" t="s">
        <v>0</v>
      </c>
      <c r="F8502" s="6">
        <v>1</v>
      </c>
      <c r="G8502" s="40">
        <v>5</v>
      </c>
      <c r="H8502" s="40">
        <v>14.230779999999999</v>
      </c>
      <c r="I8502" s="212"/>
      <c r="J8502" s="212"/>
    </row>
    <row r="8503" spans="1:10" s="15" customFormat="1" ht="18" hidden="1" customHeight="1" outlineLevel="1" x14ac:dyDescent="0.25">
      <c r="A8503" s="18">
        <v>1616</v>
      </c>
      <c r="B8503" s="4" t="s">
        <v>43</v>
      </c>
      <c r="C8503" s="38" t="s">
        <v>10978</v>
      </c>
      <c r="D8503" s="23">
        <v>2023</v>
      </c>
      <c r="E8503" s="18" t="s">
        <v>0</v>
      </c>
      <c r="F8503" s="6">
        <v>1</v>
      </c>
      <c r="G8503" s="40">
        <v>5</v>
      </c>
      <c r="H8503" s="40">
        <v>26.04569</v>
      </c>
      <c r="I8503" s="212"/>
      <c r="J8503" s="212"/>
    </row>
    <row r="8504" spans="1:10" s="15" customFormat="1" ht="18" hidden="1" customHeight="1" outlineLevel="1" x14ac:dyDescent="0.25">
      <c r="A8504" s="18">
        <v>1621</v>
      </c>
      <c r="B8504" s="4" t="s">
        <v>43</v>
      </c>
      <c r="C8504" s="38" t="s">
        <v>10979</v>
      </c>
      <c r="D8504" s="23">
        <v>2023</v>
      </c>
      <c r="E8504" s="18" t="s">
        <v>0</v>
      </c>
      <c r="F8504" s="6">
        <v>1</v>
      </c>
      <c r="G8504" s="40">
        <v>5</v>
      </c>
      <c r="H8504" s="40">
        <v>26.04569</v>
      </c>
      <c r="I8504" s="212"/>
      <c r="J8504" s="212"/>
    </row>
    <row r="8505" spans="1:10" s="15" customFormat="1" ht="18" hidden="1" customHeight="1" outlineLevel="1" x14ac:dyDescent="0.25">
      <c r="A8505" s="18">
        <v>1351</v>
      </c>
      <c r="B8505" s="4" t="s">
        <v>43</v>
      </c>
      <c r="C8505" s="38" t="s">
        <v>10980</v>
      </c>
      <c r="D8505" s="23">
        <v>2023</v>
      </c>
      <c r="E8505" s="18" t="s">
        <v>0</v>
      </c>
      <c r="F8505" s="6">
        <v>1</v>
      </c>
      <c r="G8505" s="40">
        <v>5</v>
      </c>
      <c r="H8505" s="40">
        <v>26.04561</v>
      </c>
      <c r="I8505" s="212"/>
      <c r="J8505" s="212"/>
    </row>
    <row r="8506" spans="1:10" s="15" customFormat="1" ht="18" hidden="1" customHeight="1" outlineLevel="1" x14ac:dyDescent="0.25">
      <c r="A8506" s="18">
        <v>5691</v>
      </c>
      <c r="B8506" s="4" t="s">
        <v>43</v>
      </c>
      <c r="C8506" s="38" t="s">
        <v>10981</v>
      </c>
      <c r="D8506" s="23">
        <v>2023</v>
      </c>
      <c r="E8506" s="18" t="s">
        <v>0</v>
      </c>
      <c r="F8506" s="6">
        <v>1</v>
      </c>
      <c r="G8506" s="40">
        <v>7</v>
      </c>
      <c r="H8506" s="40">
        <v>26.045740000000002</v>
      </c>
      <c r="I8506" s="212"/>
      <c r="J8506" s="212"/>
    </row>
    <row r="8507" spans="1:10" s="15" customFormat="1" ht="18" hidden="1" customHeight="1" outlineLevel="1" x14ac:dyDescent="0.25">
      <c r="A8507" s="18">
        <v>5692</v>
      </c>
      <c r="B8507" s="4" t="s">
        <v>43</v>
      </c>
      <c r="C8507" s="38" t="s">
        <v>10982</v>
      </c>
      <c r="D8507" s="23">
        <v>2023</v>
      </c>
      <c r="E8507" s="18" t="s">
        <v>0</v>
      </c>
      <c r="F8507" s="6">
        <v>1</v>
      </c>
      <c r="G8507" s="40">
        <v>10</v>
      </c>
      <c r="H8507" s="40">
        <v>24.822689999999998</v>
      </c>
      <c r="I8507" s="212"/>
      <c r="J8507" s="212"/>
    </row>
    <row r="8508" spans="1:10" s="15" customFormat="1" ht="18" hidden="1" customHeight="1" outlineLevel="1" x14ac:dyDescent="0.25">
      <c r="A8508" s="18">
        <v>1979</v>
      </c>
      <c r="B8508" s="4" t="s">
        <v>43</v>
      </c>
      <c r="C8508" s="38" t="s">
        <v>10983</v>
      </c>
      <c r="D8508" s="23">
        <v>2023</v>
      </c>
      <c r="E8508" s="18" t="s">
        <v>0</v>
      </c>
      <c r="F8508" s="6">
        <v>1</v>
      </c>
      <c r="G8508" s="40">
        <v>5</v>
      </c>
      <c r="H8508" s="40">
        <v>25.047129999999999</v>
      </c>
      <c r="I8508" s="212"/>
      <c r="J8508" s="212"/>
    </row>
    <row r="8509" spans="1:10" s="15" customFormat="1" ht="18" hidden="1" customHeight="1" outlineLevel="1" x14ac:dyDescent="0.25">
      <c r="A8509" s="18">
        <v>449</v>
      </c>
      <c r="B8509" s="4" t="s">
        <v>43</v>
      </c>
      <c r="C8509" s="38" t="s">
        <v>8642</v>
      </c>
      <c r="D8509" s="23">
        <v>2023</v>
      </c>
      <c r="E8509" s="18" t="s">
        <v>0</v>
      </c>
      <c r="F8509" s="6">
        <v>1</v>
      </c>
      <c r="G8509" s="40">
        <v>20</v>
      </c>
      <c r="H8509" s="40">
        <v>57.415710000000004</v>
      </c>
      <c r="I8509" s="212"/>
      <c r="J8509" s="212"/>
    </row>
    <row r="8510" spans="1:10" s="15" customFormat="1" ht="18" hidden="1" customHeight="1" outlineLevel="1" x14ac:dyDescent="0.25">
      <c r="A8510" s="18">
        <v>498</v>
      </c>
      <c r="B8510" s="4" t="s">
        <v>43</v>
      </c>
      <c r="C8510" s="38" t="s">
        <v>8644</v>
      </c>
      <c r="D8510" s="23">
        <v>2023</v>
      </c>
      <c r="E8510" s="18" t="s">
        <v>0</v>
      </c>
      <c r="F8510" s="6">
        <v>1</v>
      </c>
      <c r="G8510" s="40">
        <v>20</v>
      </c>
      <c r="H8510" s="40">
        <v>95.162149999999997</v>
      </c>
      <c r="I8510" s="212"/>
      <c r="J8510" s="212"/>
    </row>
    <row r="8511" spans="1:10" s="15" customFormat="1" ht="18" hidden="1" customHeight="1" outlineLevel="1" x14ac:dyDescent="0.25">
      <c r="A8511" s="18">
        <v>829</v>
      </c>
      <c r="B8511" s="4" t="s">
        <v>43</v>
      </c>
      <c r="C8511" s="38" t="s">
        <v>8645</v>
      </c>
      <c r="D8511" s="23">
        <v>2023</v>
      </c>
      <c r="E8511" s="18" t="s">
        <v>0</v>
      </c>
      <c r="F8511" s="6">
        <v>1</v>
      </c>
      <c r="G8511" s="40">
        <v>35</v>
      </c>
      <c r="H8511" s="40">
        <v>31.995589999999996</v>
      </c>
      <c r="I8511" s="212"/>
      <c r="J8511" s="212"/>
    </row>
    <row r="8512" spans="1:10" s="15" customFormat="1" ht="18" hidden="1" customHeight="1" outlineLevel="1" x14ac:dyDescent="0.25">
      <c r="A8512" s="18">
        <v>1653</v>
      </c>
      <c r="B8512" s="4" t="s">
        <v>43</v>
      </c>
      <c r="C8512" s="38" t="s">
        <v>8652</v>
      </c>
      <c r="D8512" s="23">
        <v>2023</v>
      </c>
      <c r="E8512" s="18" t="s">
        <v>0</v>
      </c>
      <c r="F8512" s="6">
        <v>1</v>
      </c>
      <c r="G8512" s="40">
        <v>31</v>
      </c>
      <c r="H8512" s="40">
        <v>149.69541999999998</v>
      </c>
      <c r="I8512" s="212"/>
      <c r="J8512" s="212"/>
    </row>
    <row r="8513" spans="1:10" s="15" customFormat="1" ht="18" hidden="1" customHeight="1" outlineLevel="1" x14ac:dyDescent="0.25">
      <c r="A8513" s="18">
        <v>524</v>
      </c>
      <c r="B8513" s="4" t="s">
        <v>43</v>
      </c>
      <c r="C8513" s="38" t="s">
        <v>8653</v>
      </c>
      <c r="D8513" s="23">
        <v>2023</v>
      </c>
      <c r="E8513" s="18" t="s">
        <v>0</v>
      </c>
      <c r="F8513" s="6">
        <v>1</v>
      </c>
      <c r="G8513" s="40">
        <v>10</v>
      </c>
      <c r="H8513" s="40">
        <v>29.7012</v>
      </c>
      <c r="I8513" s="212"/>
      <c r="J8513" s="212"/>
    </row>
    <row r="8514" spans="1:10" s="15" customFormat="1" ht="18" hidden="1" customHeight="1" outlineLevel="1" x14ac:dyDescent="0.25">
      <c r="A8514" s="18">
        <v>1449</v>
      </c>
      <c r="B8514" s="4" t="s">
        <v>43</v>
      </c>
      <c r="C8514" s="38" t="s">
        <v>9084</v>
      </c>
      <c r="D8514" s="23">
        <v>2023</v>
      </c>
      <c r="E8514" s="18" t="s">
        <v>0</v>
      </c>
      <c r="F8514" s="6">
        <v>16</v>
      </c>
      <c r="G8514" s="40">
        <v>121</v>
      </c>
      <c r="H8514" s="40">
        <v>781.14552000000003</v>
      </c>
      <c r="I8514" s="212"/>
      <c r="J8514" s="212"/>
    </row>
    <row r="8515" spans="1:10" s="15" customFormat="1" ht="18" hidden="1" customHeight="1" outlineLevel="1" x14ac:dyDescent="0.25">
      <c r="A8515" s="18">
        <v>5693</v>
      </c>
      <c r="B8515" s="4" t="s">
        <v>43</v>
      </c>
      <c r="C8515" s="38" t="s">
        <v>10984</v>
      </c>
      <c r="D8515" s="23">
        <v>2023</v>
      </c>
      <c r="E8515" s="18" t="s">
        <v>0</v>
      </c>
      <c r="F8515" s="6">
        <v>1</v>
      </c>
      <c r="G8515" s="40">
        <v>10</v>
      </c>
      <c r="H8515" s="40">
        <v>25.283200000000001</v>
      </c>
      <c r="I8515" s="212"/>
      <c r="J8515" s="212"/>
    </row>
    <row r="8516" spans="1:10" s="15" customFormat="1" ht="18" hidden="1" customHeight="1" outlineLevel="1" x14ac:dyDescent="0.25">
      <c r="A8516" s="18">
        <v>5694</v>
      </c>
      <c r="B8516" s="4" t="s">
        <v>43</v>
      </c>
      <c r="C8516" s="38" t="s">
        <v>10985</v>
      </c>
      <c r="D8516" s="23">
        <v>2023</v>
      </c>
      <c r="E8516" s="18" t="s">
        <v>0</v>
      </c>
      <c r="F8516" s="6">
        <v>1</v>
      </c>
      <c r="G8516" s="40">
        <v>15</v>
      </c>
      <c r="H8516" s="40">
        <v>25.28321</v>
      </c>
      <c r="I8516" s="212"/>
      <c r="J8516" s="212"/>
    </row>
    <row r="8517" spans="1:10" s="15" customFormat="1" ht="18" hidden="1" customHeight="1" outlineLevel="1" x14ac:dyDescent="0.25">
      <c r="A8517" s="18">
        <v>1966</v>
      </c>
      <c r="B8517" s="4" t="s">
        <v>43</v>
      </c>
      <c r="C8517" s="38" t="s">
        <v>10986</v>
      </c>
      <c r="D8517" s="23">
        <v>2023</v>
      </c>
      <c r="E8517" s="18" t="s">
        <v>0</v>
      </c>
      <c r="F8517" s="6">
        <v>1</v>
      </c>
      <c r="G8517" s="40">
        <v>5</v>
      </c>
      <c r="H8517" s="40">
        <v>25.062059999999999</v>
      </c>
      <c r="I8517" s="212"/>
      <c r="J8517" s="212"/>
    </row>
    <row r="8518" spans="1:10" s="15" customFormat="1" ht="18" hidden="1" customHeight="1" outlineLevel="1" x14ac:dyDescent="0.25">
      <c r="A8518" s="18">
        <v>1936</v>
      </c>
      <c r="B8518" s="4" t="s">
        <v>43</v>
      </c>
      <c r="C8518" s="38" t="s">
        <v>10987</v>
      </c>
      <c r="D8518" s="23">
        <v>2023</v>
      </c>
      <c r="E8518" s="18" t="s">
        <v>0</v>
      </c>
      <c r="F8518" s="6">
        <v>1</v>
      </c>
      <c r="G8518" s="40">
        <v>10</v>
      </c>
      <c r="H8518" s="40">
        <v>25.062069999999999</v>
      </c>
      <c r="I8518" s="212"/>
      <c r="J8518" s="212"/>
    </row>
    <row r="8519" spans="1:10" s="15" customFormat="1" ht="18" hidden="1" customHeight="1" outlineLevel="1" x14ac:dyDescent="0.25">
      <c r="A8519" s="18">
        <v>5695</v>
      </c>
      <c r="B8519" s="4" t="s">
        <v>43</v>
      </c>
      <c r="C8519" s="38" t="s">
        <v>10988</v>
      </c>
      <c r="D8519" s="23">
        <v>2023</v>
      </c>
      <c r="E8519" s="18" t="s">
        <v>0</v>
      </c>
      <c r="F8519" s="6">
        <v>1</v>
      </c>
      <c r="G8519" s="40">
        <v>10</v>
      </c>
      <c r="H8519" s="40">
        <v>25.062059999999999</v>
      </c>
      <c r="I8519" s="212"/>
      <c r="J8519" s="212"/>
    </row>
    <row r="8520" spans="1:10" s="15" customFormat="1" ht="18" hidden="1" customHeight="1" outlineLevel="1" x14ac:dyDescent="0.25">
      <c r="A8520" s="18">
        <v>5696</v>
      </c>
      <c r="B8520" s="4" t="s">
        <v>43</v>
      </c>
      <c r="C8520" s="38" t="s">
        <v>10989</v>
      </c>
      <c r="D8520" s="23">
        <v>2023</v>
      </c>
      <c r="E8520" s="18" t="s">
        <v>0</v>
      </c>
      <c r="F8520" s="6">
        <v>1</v>
      </c>
      <c r="G8520" s="40">
        <v>5</v>
      </c>
      <c r="H8520" s="40">
        <v>25.062069999999999</v>
      </c>
      <c r="I8520" s="212"/>
      <c r="J8520" s="212"/>
    </row>
    <row r="8521" spans="1:10" s="15" customFormat="1" ht="18" hidden="1" customHeight="1" outlineLevel="1" x14ac:dyDescent="0.25">
      <c r="A8521" s="18">
        <v>1888</v>
      </c>
      <c r="B8521" s="4" t="s">
        <v>43</v>
      </c>
      <c r="C8521" s="38" t="s">
        <v>10990</v>
      </c>
      <c r="D8521" s="23">
        <v>2023</v>
      </c>
      <c r="E8521" s="18" t="s">
        <v>0</v>
      </c>
      <c r="F8521" s="6">
        <v>1</v>
      </c>
      <c r="G8521" s="40">
        <v>5</v>
      </c>
      <c r="H8521" s="40">
        <v>25.062059999999999</v>
      </c>
      <c r="I8521" s="212"/>
      <c r="J8521" s="212"/>
    </row>
    <row r="8522" spans="1:10" s="15" customFormat="1" ht="18" hidden="1" customHeight="1" outlineLevel="1" x14ac:dyDescent="0.25">
      <c r="A8522" s="18">
        <v>5697</v>
      </c>
      <c r="B8522" s="4" t="s">
        <v>43</v>
      </c>
      <c r="C8522" s="38" t="s">
        <v>10991</v>
      </c>
      <c r="D8522" s="23">
        <v>2023</v>
      </c>
      <c r="E8522" s="18" t="s">
        <v>0</v>
      </c>
      <c r="F8522" s="6">
        <v>1</v>
      </c>
      <c r="G8522" s="40">
        <v>10</v>
      </c>
      <c r="H8522" s="40">
        <v>25.062059999999999</v>
      </c>
      <c r="I8522" s="212"/>
      <c r="J8522" s="212"/>
    </row>
    <row r="8523" spans="1:10" s="15" customFormat="1" ht="18" hidden="1" customHeight="1" outlineLevel="1" x14ac:dyDescent="0.25">
      <c r="A8523" s="18">
        <v>1884</v>
      </c>
      <c r="B8523" s="4" t="s">
        <v>43</v>
      </c>
      <c r="C8523" s="38" t="s">
        <v>10992</v>
      </c>
      <c r="D8523" s="23">
        <v>2023</v>
      </c>
      <c r="E8523" s="18" t="s">
        <v>0</v>
      </c>
      <c r="F8523" s="6">
        <v>1</v>
      </c>
      <c r="G8523" s="40">
        <v>5</v>
      </c>
      <c r="H8523" s="40">
        <v>25.062059999999999</v>
      </c>
      <c r="I8523" s="212"/>
      <c r="J8523" s="212"/>
    </row>
    <row r="8524" spans="1:10" s="15" customFormat="1" ht="18" hidden="1" customHeight="1" outlineLevel="1" x14ac:dyDescent="0.25">
      <c r="A8524" s="18">
        <v>1890</v>
      </c>
      <c r="B8524" s="4" t="s">
        <v>43</v>
      </c>
      <c r="C8524" s="38" t="s">
        <v>10993</v>
      </c>
      <c r="D8524" s="23">
        <v>2023</v>
      </c>
      <c r="E8524" s="18" t="s">
        <v>0</v>
      </c>
      <c r="F8524" s="6">
        <v>1</v>
      </c>
      <c r="G8524" s="40">
        <v>5</v>
      </c>
      <c r="H8524" s="40">
        <v>25.062069999999999</v>
      </c>
      <c r="I8524" s="212"/>
      <c r="J8524" s="212"/>
    </row>
    <row r="8525" spans="1:10" s="15" customFormat="1" ht="18" hidden="1" customHeight="1" outlineLevel="1" x14ac:dyDescent="0.25">
      <c r="A8525" s="18">
        <v>5698</v>
      </c>
      <c r="B8525" s="4" t="s">
        <v>43</v>
      </c>
      <c r="C8525" s="38" t="s">
        <v>10994</v>
      </c>
      <c r="D8525" s="23">
        <v>2023</v>
      </c>
      <c r="E8525" s="18" t="s">
        <v>0</v>
      </c>
      <c r="F8525" s="6">
        <v>1</v>
      </c>
      <c r="G8525" s="40">
        <v>10</v>
      </c>
      <c r="H8525" s="40">
        <v>25.062059999999999</v>
      </c>
      <c r="I8525" s="212"/>
      <c r="J8525" s="212"/>
    </row>
    <row r="8526" spans="1:10" s="15" customFormat="1" ht="18" hidden="1" customHeight="1" outlineLevel="1" x14ac:dyDescent="0.25">
      <c r="A8526" s="18">
        <v>5699</v>
      </c>
      <c r="B8526" s="4" t="s">
        <v>43</v>
      </c>
      <c r="C8526" s="38" t="s">
        <v>10995</v>
      </c>
      <c r="D8526" s="23">
        <v>2023</v>
      </c>
      <c r="E8526" s="18" t="s">
        <v>0</v>
      </c>
      <c r="F8526" s="6">
        <v>1</v>
      </c>
      <c r="G8526" s="40">
        <v>10</v>
      </c>
      <c r="H8526" s="40">
        <v>25.062069999999999</v>
      </c>
      <c r="I8526" s="212"/>
      <c r="J8526" s="212"/>
    </row>
    <row r="8527" spans="1:10" s="15" customFormat="1" ht="18" hidden="1" customHeight="1" outlineLevel="1" x14ac:dyDescent="0.25">
      <c r="A8527" s="18">
        <v>1802</v>
      </c>
      <c r="B8527" s="4" t="s">
        <v>43</v>
      </c>
      <c r="C8527" s="38" t="s">
        <v>10996</v>
      </c>
      <c r="D8527" s="23">
        <v>2023</v>
      </c>
      <c r="E8527" s="18" t="s">
        <v>0</v>
      </c>
      <c r="F8527" s="6">
        <v>1</v>
      </c>
      <c r="G8527" s="40">
        <v>5</v>
      </c>
      <c r="H8527" s="40">
        <v>25.062059999999999</v>
      </c>
      <c r="I8527" s="212"/>
      <c r="J8527" s="212"/>
    </row>
    <row r="8528" spans="1:10" s="15" customFormat="1" ht="18" hidden="1" customHeight="1" outlineLevel="1" x14ac:dyDescent="0.25">
      <c r="A8528" s="18">
        <v>5700</v>
      </c>
      <c r="B8528" s="4" t="s">
        <v>43</v>
      </c>
      <c r="C8528" s="38" t="s">
        <v>10997</v>
      </c>
      <c r="D8528" s="23">
        <v>2023</v>
      </c>
      <c r="E8528" s="18" t="s">
        <v>0</v>
      </c>
      <c r="F8528" s="6">
        <v>1</v>
      </c>
      <c r="G8528" s="40">
        <v>15</v>
      </c>
      <c r="H8528" s="40">
        <v>25.062059999999999</v>
      </c>
      <c r="I8528" s="212"/>
      <c r="J8528" s="212"/>
    </row>
    <row r="8529" spans="1:10" s="15" customFormat="1" ht="18" hidden="1" customHeight="1" outlineLevel="1" x14ac:dyDescent="0.25">
      <c r="A8529" s="18">
        <v>5701</v>
      </c>
      <c r="B8529" s="4" t="s">
        <v>43</v>
      </c>
      <c r="C8529" s="38" t="s">
        <v>10998</v>
      </c>
      <c r="D8529" s="23">
        <v>2023</v>
      </c>
      <c r="E8529" s="18" t="s">
        <v>0</v>
      </c>
      <c r="F8529" s="6">
        <v>1</v>
      </c>
      <c r="G8529" s="40">
        <v>10</v>
      </c>
      <c r="H8529" s="40">
        <v>25.051900000000003</v>
      </c>
      <c r="I8529" s="212"/>
      <c r="J8529" s="212"/>
    </row>
    <row r="8530" spans="1:10" s="15" customFormat="1" ht="18" hidden="1" customHeight="1" outlineLevel="1" x14ac:dyDescent="0.25">
      <c r="A8530" s="18">
        <v>5702</v>
      </c>
      <c r="B8530" s="4" t="s">
        <v>43</v>
      </c>
      <c r="C8530" s="38" t="s">
        <v>10999</v>
      </c>
      <c r="D8530" s="23">
        <v>2023</v>
      </c>
      <c r="E8530" s="18" t="s">
        <v>0</v>
      </c>
      <c r="F8530" s="6">
        <v>1</v>
      </c>
      <c r="G8530" s="40">
        <v>15</v>
      </c>
      <c r="H8530" s="40">
        <v>25.051909999999999</v>
      </c>
      <c r="I8530" s="212"/>
      <c r="J8530" s="212"/>
    </row>
    <row r="8531" spans="1:10" s="15" customFormat="1" ht="18" hidden="1" customHeight="1" outlineLevel="1" x14ac:dyDescent="0.25">
      <c r="A8531" s="18">
        <v>5703</v>
      </c>
      <c r="B8531" s="4" t="s">
        <v>43</v>
      </c>
      <c r="C8531" s="38" t="s">
        <v>11000</v>
      </c>
      <c r="D8531" s="23">
        <v>2023</v>
      </c>
      <c r="E8531" s="18" t="s">
        <v>0</v>
      </c>
      <c r="F8531" s="6">
        <v>1</v>
      </c>
      <c r="G8531" s="40">
        <v>10</v>
      </c>
      <c r="H8531" s="40">
        <v>24.919200000000004</v>
      </c>
      <c r="I8531" s="212"/>
      <c r="J8531" s="212"/>
    </row>
    <row r="8532" spans="1:10" s="15" customFormat="1" ht="18" hidden="1" customHeight="1" outlineLevel="1" x14ac:dyDescent="0.25">
      <c r="A8532" s="18">
        <v>5704</v>
      </c>
      <c r="B8532" s="4" t="s">
        <v>43</v>
      </c>
      <c r="C8532" s="38" t="s">
        <v>11001</v>
      </c>
      <c r="D8532" s="23">
        <v>2023</v>
      </c>
      <c r="E8532" s="18" t="s">
        <v>0</v>
      </c>
      <c r="F8532" s="6">
        <v>1</v>
      </c>
      <c r="G8532" s="40">
        <v>5</v>
      </c>
      <c r="H8532" s="40">
        <v>24.919220000000003</v>
      </c>
      <c r="I8532" s="212"/>
      <c r="J8532" s="212"/>
    </row>
    <row r="8533" spans="1:10" s="15" customFormat="1" ht="18" hidden="1" customHeight="1" outlineLevel="1" x14ac:dyDescent="0.25">
      <c r="A8533" s="18">
        <v>1361</v>
      </c>
      <c r="B8533" s="4" t="s">
        <v>43</v>
      </c>
      <c r="C8533" s="38" t="s">
        <v>11002</v>
      </c>
      <c r="D8533" s="23">
        <v>2023</v>
      </c>
      <c r="E8533" s="18" t="s">
        <v>0</v>
      </c>
      <c r="F8533" s="6">
        <v>1</v>
      </c>
      <c r="G8533" s="40">
        <v>8</v>
      </c>
      <c r="H8533" s="40">
        <v>25.273049999999998</v>
      </c>
      <c r="I8533" s="212"/>
      <c r="J8533" s="212"/>
    </row>
    <row r="8534" spans="1:10" s="15" customFormat="1" ht="18" hidden="1" customHeight="1" outlineLevel="1" x14ac:dyDescent="0.25">
      <c r="A8534" s="18">
        <v>5705</v>
      </c>
      <c r="B8534" s="4" t="s">
        <v>43</v>
      </c>
      <c r="C8534" s="38" t="s">
        <v>11003</v>
      </c>
      <c r="D8534" s="23">
        <v>2023</v>
      </c>
      <c r="E8534" s="18" t="s">
        <v>0</v>
      </c>
      <c r="F8534" s="6">
        <v>1</v>
      </c>
      <c r="G8534" s="40">
        <v>10</v>
      </c>
      <c r="H8534" s="40">
        <v>25.273049999999998</v>
      </c>
      <c r="I8534" s="212"/>
      <c r="J8534" s="212"/>
    </row>
    <row r="8535" spans="1:10" s="15" customFormat="1" ht="18" hidden="1" customHeight="1" outlineLevel="1" x14ac:dyDescent="0.25">
      <c r="A8535" s="18">
        <v>5706</v>
      </c>
      <c r="B8535" s="4" t="s">
        <v>43</v>
      </c>
      <c r="C8535" s="38" t="s">
        <v>11004</v>
      </c>
      <c r="D8535" s="23">
        <v>2023</v>
      </c>
      <c r="E8535" s="18" t="s">
        <v>0</v>
      </c>
      <c r="F8535" s="6">
        <v>1</v>
      </c>
      <c r="G8535" s="40">
        <v>5</v>
      </c>
      <c r="H8535" s="40">
        <v>25.029789999999998</v>
      </c>
      <c r="I8535" s="212"/>
      <c r="J8535" s="212"/>
    </row>
    <row r="8536" spans="1:10" s="15" customFormat="1" ht="18" hidden="1" customHeight="1" outlineLevel="1" x14ac:dyDescent="0.25">
      <c r="A8536" s="18">
        <v>5707</v>
      </c>
      <c r="B8536" s="4" t="s">
        <v>43</v>
      </c>
      <c r="C8536" s="38" t="s">
        <v>11005</v>
      </c>
      <c r="D8536" s="23">
        <v>2023</v>
      </c>
      <c r="E8536" s="18" t="s">
        <v>0</v>
      </c>
      <c r="F8536" s="6">
        <v>1</v>
      </c>
      <c r="G8536" s="40">
        <v>10</v>
      </c>
      <c r="H8536" s="40">
        <v>24.985529999999997</v>
      </c>
      <c r="I8536" s="212"/>
      <c r="J8536" s="212"/>
    </row>
    <row r="8537" spans="1:10" s="15" customFormat="1" ht="18" hidden="1" customHeight="1" outlineLevel="1" x14ac:dyDescent="0.25">
      <c r="A8537" s="18">
        <v>5708</v>
      </c>
      <c r="B8537" s="4" t="s">
        <v>43</v>
      </c>
      <c r="C8537" s="38" t="s">
        <v>11006</v>
      </c>
      <c r="D8537" s="23">
        <v>2023</v>
      </c>
      <c r="E8537" s="18" t="s">
        <v>0</v>
      </c>
      <c r="F8537" s="6">
        <v>1</v>
      </c>
      <c r="G8537" s="40">
        <v>10</v>
      </c>
      <c r="H8537" s="40">
        <v>25.273049999999998</v>
      </c>
      <c r="I8537" s="212"/>
      <c r="J8537" s="212"/>
    </row>
    <row r="8538" spans="1:10" s="15" customFormat="1" ht="18" hidden="1" customHeight="1" outlineLevel="1" x14ac:dyDescent="0.25">
      <c r="A8538" s="18">
        <v>5709</v>
      </c>
      <c r="B8538" s="4" t="s">
        <v>43</v>
      </c>
      <c r="C8538" s="38" t="s">
        <v>11007</v>
      </c>
      <c r="D8538" s="23">
        <v>2023</v>
      </c>
      <c r="E8538" s="18" t="s">
        <v>0</v>
      </c>
      <c r="F8538" s="6">
        <v>1</v>
      </c>
      <c r="G8538" s="40">
        <v>10</v>
      </c>
      <c r="H8538" s="40">
        <v>25.273060000000001</v>
      </c>
      <c r="I8538" s="212"/>
      <c r="J8538" s="212"/>
    </row>
    <row r="8539" spans="1:10" s="15" customFormat="1" ht="18" hidden="1" customHeight="1" outlineLevel="1" x14ac:dyDescent="0.25">
      <c r="A8539" s="18">
        <v>1428</v>
      </c>
      <c r="B8539" s="4" t="s">
        <v>43</v>
      </c>
      <c r="C8539" s="38" t="s">
        <v>11008</v>
      </c>
      <c r="D8539" s="23">
        <v>2023</v>
      </c>
      <c r="E8539" s="18" t="s">
        <v>0</v>
      </c>
      <c r="F8539" s="6">
        <v>1</v>
      </c>
      <c r="G8539" s="40">
        <v>5</v>
      </c>
      <c r="H8539" s="40">
        <v>24.91921</v>
      </c>
      <c r="I8539" s="212"/>
      <c r="J8539" s="212"/>
    </row>
    <row r="8540" spans="1:10" s="15" customFormat="1" ht="18" hidden="1" customHeight="1" outlineLevel="1" x14ac:dyDescent="0.25">
      <c r="A8540" s="18">
        <v>5710</v>
      </c>
      <c r="B8540" s="4" t="s">
        <v>43</v>
      </c>
      <c r="C8540" s="38" t="s">
        <v>11009</v>
      </c>
      <c r="D8540" s="23">
        <v>2023</v>
      </c>
      <c r="E8540" s="18" t="s">
        <v>0</v>
      </c>
      <c r="F8540" s="6">
        <v>1</v>
      </c>
      <c r="G8540" s="40">
        <v>10</v>
      </c>
      <c r="H8540" s="40">
        <v>24.91921</v>
      </c>
      <c r="I8540" s="212"/>
      <c r="J8540" s="212"/>
    </row>
    <row r="8541" spans="1:10" s="15" customFormat="1" ht="18" hidden="1" customHeight="1" outlineLevel="1" x14ac:dyDescent="0.25">
      <c r="A8541" s="18">
        <v>1328</v>
      </c>
      <c r="B8541" s="4" t="s">
        <v>43</v>
      </c>
      <c r="C8541" s="38" t="s">
        <v>11010</v>
      </c>
      <c r="D8541" s="23">
        <v>2023</v>
      </c>
      <c r="E8541" s="18" t="s">
        <v>0</v>
      </c>
      <c r="F8541" s="6">
        <v>1</v>
      </c>
      <c r="G8541" s="40">
        <v>5</v>
      </c>
      <c r="H8541" s="40">
        <v>25.272389999999998</v>
      </c>
      <c r="I8541" s="212"/>
      <c r="J8541" s="212"/>
    </row>
    <row r="8542" spans="1:10" s="15" customFormat="1" ht="18" hidden="1" customHeight="1" outlineLevel="1" x14ac:dyDescent="0.25">
      <c r="A8542" s="18">
        <v>5711</v>
      </c>
      <c r="B8542" s="4" t="s">
        <v>43</v>
      </c>
      <c r="C8542" s="38" t="s">
        <v>11011</v>
      </c>
      <c r="D8542" s="23">
        <v>2023</v>
      </c>
      <c r="E8542" s="18" t="s">
        <v>0</v>
      </c>
      <c r="F8542" s="6">
        <v>1</v>
      </c>
      <c r="G8542" s="40">
        <v>10</v>
      </c>
      <c r="H8542" s="40">
        <v>24.963450000000002</v>
      </c>
      <c r="I8542" s="212"/>
      <c r="J8542" s="212"/>
    </row>
    <row r="8543" spans="1:10" s="15" customFormat="1" ht="18" hidden="1" customHeight="1" outlineLevel="1" x14ac:dyDescent="0.25">
      <c r="A8543" s="18">
        <v>5712</v>
      </c>
      <c r="B8543" s="4" t="s">
        <v>43</v>
      </c>
      <c r="C8543" s="38" t="s">
        <v>11012</v>
      </c>
      <c r="D8543" s="23">
        <v>2023</v>
      </c>
      <c r="E8543" s="18" t="s">
        <v>0</v>
      </c>
      <c r="F8543" s="6">
        <v>1</v>
      </c>
      <c r="G8543" s="40">
        <v>10</v>
      </c>
      <c r="H8543" s="40">
        <v>24.963450000000002</v>
      </c>
      <c r="I8543" s="212"/>
      <c r="J8543" s="212"/>
    </row>
    <row r="8544" spans="1:10" s="15" customFormat="1" ht="18" hidden="1" customHeight="1" outlineLevel="1" x14ac:dyDescent="0.25">
      <c r="A8544" s="18">
        <v>5713</v>
      </c>
      <c r="B8544" s="4" t="s">
        <v>43</v>
      </c>
      <c r="C8544" s="38" t="s">
        <v>11013</v>
      </c>
      <c r="D8544" s="23">
        <v>2023</v>
      </c>
      <c r="E8544" s="18" t="s">
        <v>0</v>
      </c>
      <c r="F8544" s="6">
        <v>1</v>
      </c>
      <c r="G8544" s="40">
        <v>10</v>
      </c>
      <c r="H8544" s="40">
        <v>24.963460000000001</v>
      </c>
      <c r="I8544" s="212"/>
      <c r="J8544" s="212"/>
    </row>
    <row r="8545" spans="1:10" s="15" customFormat="1" ht="18" hidden="1" customHeight="1" outlineLevel="1" x14ac:dyDescent="0.25">
      <c r="A8545" s="18">
        <v>5714</v>
      </c>
      <c r="B8545" s="4" t="s">
        <v>43</v>
      </c>
      <c r="C8545" s="38" t="s">
        <v>11014</v>
      </c>
      <c r="D8545" s="23">
        <v>2023</v>
      </c>
      <c r="E8545" s="18" t="s">
        <v>0</v>
      </c>
      <c r="F8545" s="6">
        <v>1</v>
      </c>
      <c r="G8545" s="40">
        <v>10</v>
      </c>
      <c r="H8545" s="40">
        <v>24.963439999999999</v>
      </c>
      <c r="I8545" s="212"/>
      <c r="J8545" s="212"/>
    </row>
    <row r="8546" spans="1:10" s="15" customFormat="1" ht="18" hidden="1" customHeight="1" outlineLevel="1" x14ac:dyDescent="0.25">
      <c r="A8546" s="18">
        <v>5715</v>
      </c>
      <c r="B8546" s="4" t="s">
        <v>43</v>
      </c>
      <c r="C8546" s="38" t="s">
        <v>11015</v>
      </c>
      <c r="D8546" s="23">
        <v>2023</v>
      </c>
      <c r="E8546" s="18" t="s">
        <v>0</v>
      </c>
      <c r="F8546" s="6">
        <v>1</v>
      </c>
      <c r="G8546" s="40">
        <v>10</v>
      </c>
      <c r="H8546" s="40">
        <v>24.963450000000002</v>
      </c>
      <c r="I8546" s="212"/>
      <c r="J8546" s="212"/>
    </row>
    <row r="8547" spans="1:10" s="15" customFormat="1" ht="18" hidden="1" customHeight="1" outlineLevel="1" x14ac:dyDescent="0.25">
      <c r="A8547" s="18">
        <v>5716</v>
      </c>
      <c r="B8547" s="4" t="s">
        <v>43</v>
      </c>
      <c r="C8547" s="38" t="s">
        <v>11016</v>
      </c>
      <c r="D8547" s="23">
        <v>2023</v>
      </c>
      <c r="E8547" s="18" t="s">
        <v>0</v>
      </c>
      <c r="F8547" s="6">
        <v>1</v>
      </c>
      <c r="G8547" s="40">
        <v>10</v>
      </c>
      <c r="H8547" s="40">
        <v>25.273049999999998</v>
      </c>
      <c r="I8547" s="212"/>
      <c r="J8547" s="212"/>
    </row>
    <row r="8548" spans="1:10" s="15" customFormat="1" ht="18" hidden="1" customHeight="1" outlineLevel="1" x14ac:dyDescent="0.25">
      <c r="A8548" s="18">
        <v>5717</v>
      </c>
      <c r="B8548" s="4" t="s">
        <v>43</v>
      </c>
      <c r="C8548" s="38" t="s">
        <v>11017</v>
      </c>
      <c r="D8548" s="23">
        <v>2023</v>
      </c>
      <c r="E8548" s="18" t="s">
        <v>0</v>
      </c>
      <c r="F8548" s="6">
        <v>1</v>
      </c>
      <c r="G8548" s="40">
        <v>10</v>
      </c>
      <c r="H8548" s="40">
        <v>24.963460000000001</v>
      </c>
      <c r="I8548" s="212"/>
      <c r="J8548" s="212"/>
    </row>
    <row r="8549" spans="1:10" s="15" customFormat="1" ht="18" hidden="1" customHeight="1" outlineLevel="1" x14ac:dyDescent="0.25">
      <c r="A8549" s="18">
        <v>5718</v>
      </c>
      <c r="B8549" s="4" t="s">
        <v>43</v>
      </c>
      <c r="C8549" s="38" t="s">
        <v>11018</v>
      </c>
      <c r="D8549" s="23">
        <v>2023</v>
      </c>
      <c r="E8549" s="18" t="s">
        <v>0</v>
      </c>
      <c r="F8549" s="6">
        <v>1</v>
      </c>
      <c r="G8549" s="40">
        <v>10</v>
      </c>
      <c r="H8549" s="40">
        <v>24.963450000000002</v>
      </c>
      <c r="I8549" s="212"/>
      <c r="J8549" s="212"/>
    </row>
    <row r="8550" spans="1:10" s="15" customFormat="1" ht="18" hidden="1" customHeight="1" outlineLevel="1" x14ac:dyDescent="0.25">
      <c r="A8550" s="18">
        <v>5719</v>
      </c>
      <c r="B8550" s="4" t="s">
        <v>43</v>
      </c>
      <c r="C8550" s="38" t="s">
        <v>11019</v>
      </c>
      <c r="D8550" s="23">
        <v>2023</v>
      </c>
      <c r="E8550" s="18" t="s">
        <v>0</v>
      </c>
      <c r="F8550" s="6">
        <v>1</v>
      </c>
      <c r="G8550" s="40">
        <v>5</v>
      </c>
      <c r="H8550" s="40">
        <v>24.963460000000001</v>
      </c>
      <c r="I8550" s="212"/>
      <c r="J8550" s="212"/>
    </row>
    <row r="8551" spans="1:10" s="15" customFormat="1" ht="18" hidden="1" customHeight="1" outlineLevel="1" x14ac:dyDescent="0.25">
      <c r="A8551" s="18">
        <v>958</v>
      </c>
      <c r="B8551" s="4" t="s">
        <v>43</v>
      </c>
      <c r="C8551" s="38" t="s">
        <v>11020</v>
      </c>
      <c r="D8551" s="23">
        <v>2023</v>
      </c>
      <c r="E8551" s="18" t="s">
        <v>0</v>
      </c>
      <c r="F8551" s="6">
        <v>1</v>
      </c>
      <c r="G8551" s="40">
        <v>10</v>
      </c>
      <c r="H8551" s="40">
        <v>25.273049999999998</v>
      </c>
      <c r="I8551" s="212"/>
      <c r="J8551" s="212"/>
    </row>
    <row r="8552" spans="1:10" s="15" customFormat="1" ht="18" hidden="1" customHeight="1" outlineLevel="1" x14ac:dyDescent="0.25">
      <c r="A8552" s="18">
        <v>945</v>
      </c>
      <c r="B8552" s="4" t="s">
        <v>43</v>
      </c>
      <c r="C8552" s="38" t="s">
        <v>11021</v>
      </c>
      <c r="D8552" s="23">
        <v>2023</v>
      </c>
      <c r="E8552" s="18" t="s">
        <v>0</v>
      </c>
      <c r="F8552" s="6">
        <v>1</v>
      </c>
      <c r="G8552" s="40">
        <v>10</v>
      </c>
      <c r="H8552" s="40">
        <v>25.051909999999999</v>
      </c>
      <c r="I8552" s="212"/>
      <c r="J8552" s="212"/>
    </row>
    <row r="8553" spans="1:10" s="15" customFormat="1" ht="18" hidden="1" customHeight="1" outlineLevel="1" x14ac:dyDescent="0.25">
      <c r="A8553" s="18">
        <v>1066</v>
      </c>
      <c r="B8553" s="4" t="s">
        <v>43</v>
      </c>
      <c r="C8553" s="38" t="s">
        <v>11022</v>
      </c>
      <c r="D8553" s="23">
        <v>2023</v>
      </c>
      <c r="E8553" s="18" t="s">
        <v>0</v>
      </c>
      <c r="F8553" s="6">
        <v>1</v>
      </c>
      <c r="G8553" s="40">
        <v>10</v>
      </c>
      <c r="H8553" s="40">
        <v>25.273049999999998</v>
      </c>
      <c r="I8553" s="212"/>
      <c r="J8553" s="212"/>
    </row>
    <row r="8554" spans="1:10" s="15" customFormat="1" ht="18" hidden="1" customHeight="1" outlineLevel="1" x14ac:dyDescent="0.25">
      <c r="A8554" s="18">
        <v>896</v>
      </c>
      <c r="B8554" s="4" t="s">
        <v>43</v>
      </c>
      <c r="C8554" s="38" t="s">
        <v>11023</v>
      </c>
      <c r="D8554" s="23">
        <v>2023</v>
      </c>
      <c r="E8554" s="18" t="s">
        <v>0</v>
      </c>
      <c r="F8554" s="6">
        <v>1</v>
      </c>
      <c r="G8554" s="40">
        <v>15</v>
      </c>
      <c r="H8554" s="40">
        <v>25.273060000000001</v>
      </c>
      <c r="I8554" s="212"/>
      <c r="J8554" s="212"/>
    </row>
    <row r="8555" spans="1:10" s="15" customFormat="1" ht="18" hidden="1" customHeight="1" outlineLevel="1" x14ac:dyDescent="0.25">
      <c r="A8555" s="18">
        <v>841</v>
      </c>
      <c r="B8555" s="4" t="s">
        <v>43</v>
      </c>
      <c r="C8555" s="38" t="s">
        <v>11024</v>
      </c>
      <c r="D8555" s="23">
        <v>2023</v>
      </c>
      <c r="E8555" s="18" t="s">
        <v>0</v>
      </c>
      <c r="F8555" s="6">
        <v>1</v>
      </c>
      <c r="G8555" s="40">
        <v>10</v>
      </c>
      <c r="H8555" s="40">
        <v>25.051900000000003</v>
      </c>
      <c r="I8555" s="212"/>
      <c r="J8555" s="212"/>
    </row>
    <row r="8556" spans="1:10" s="15" customFormat="1" ht="18" hidden="1" customHeight="1" outlineLevel="1" x14ac:dyDescent="0.25">
      <c r="A8556" s="18">
        <v>751</v>
      </c>
      <c r="B8556" s="4" t="s">
        <v>43</v>
      </c>
      <c r="C8556" s="38" t="s">
        <v>11025</v>
      </c>
      <c r="D8556" s="23">
        <v>2023</v>
      </c>
      <c r="E8556" s="18" t="s">
        <v>0</v>
      </c>
      <c r="F8556" s="6">
        <v>1</v>
      </c>
      <c r="G8556" s="40">
        <v>10</v>
      </c>
      <c r="H8556" s="40">
        <v>25.273019999999999</v>
      </c>
      <c r="I8556" s="212"/>
      <c r="J8556" s="212"/>
    </row>
    <row r="8557" spans="1:10" s="15" customFormat="1" ht="18" hidden="1" customHeight="1" outlineLevel="1" x14ac:dyDescent="0.25">
      <c r="A8557" s="18">
        <v>5720</v>
      </c>
      <c r="B8557" s="4" t="s">
        <v>43</v>
      </c>
      <c r="C8557" s="38" t="s">
        <v>11026</v>
      </c>
      <c r="D8557" s="23">
        <v>2023</v>
      </c>
      <c r="E8557" s="18" t="s">
        <v>0</v>
      </c>
      <c r="F8557" s="6">
        <v>1</v>
      </c>
      <c r="G8557" s="40">
        <v>11</v>
      </c>
      <c r="H8557" s="40">
        <v>27.586770000000001</v>
      </c>
      <c r="I8557" s="212"/>
      <c r="J8557" s="212"/>
    </row>
    <row r="8558" spans="1:10" s="15" customFormat="1" ht="18" hidden="1" customHeight="1" outlineLevel="1" x14ac:dyDescent="0.25">
      <c r="A8558" s="18">
        <v>5721</v>
      </c>
      <c r="B8558" s="4" t="s">
        <v>43</v>
      </c>
      <c r="C8558" s="38" t="s">
        <v>11027</v>
      </c>
      <c r="D8558" s="23">
        <v>2023</v>
      </c>
      <c r="E8558" s="18" t="s">
        <v>0</v>
      </c>
      <c r="F8558" s="6">
        <v>1</v>
      </c>
      <c r="G8558" s="40">
        <v>10</v>
      </c>
      <c r="H8558" s="40">
        <v>27.042099999999998</v>
      </c>
      <c r="I8558" s="212"/>
      <c r="J8558" s="212"/>
    </row>
    <row r="8559" spans="1:10" s="15" customFormat="1" ht="18" hidden="1" customHeight="1" outlineLevel="1" x14ac:dyDescent="0.25">
      <c r="A8559" s="18">
        <v>5722</v>
      </c>
      <c r="B8559" s="4" t="s">
        <v>43</v>
      </c>
      <c r="C8559" s="38" t="s">
        <v>11028</v>
      </c>
      <c r="D8559" s="23">
        <v>2023</v>
      </c>
      <c r="E8559" s="18" t="s">
        <v>0</v>
      </c>
      <c r="F8559" s="6">
        <v>1</v>
      </c>
      <c r="G8559" s="40">
        <v>2</v>
      </c>
      <c r="H8559" s="40">
        <v>27.042220000000004</v>
      </c>
      <c r="I8559" s="212"/>
      <c r="J8559" s="212"/>
    </row>
    <row r="8560" spans="1:10" s="15" customFormat="1" ht="18" hidden="1" customHeight="1" outlineLevel="1" x14ac:dyDescent="0.25">
      <c r="A8560" s="18">
        <v>5723</v>
      </c>
      <c r="B8560" s="4" t="s">
        <v>43</v>
      </c>
      <c r="C8560" s="38" t="s">
        <v>11029</v>
      </c>
      <c r="D8560" s="23">
        <v>2023</v>
      </c>
      <c r="E8560" s="18" t="s">
        <v>0</v>
      </c>
      <c r="F8560" s="6">
        <v>1</v>
      </c>
      <c r="G8560" s="40">
        <v>5</v>
      </c>
      <c r="H8560" s="40">
        <v>27.042220000000004</v>
      </c>
      <c r="I8560" s="212"/>
      <c r="J8560" s="212"/>
    </row>
    <row r="8561" spans="1:10" s="15" customFormat="1" ht="18" hidden="1" customHeight="1" outlineLevel="1" x14ac:dyDescent="0.25">
      <c r="A8561" s="18">
        <v>2240</v>
      </c>
      <c r="B8561" s="4" t="s">
        <v>43</v>
      </c>
      <c r="C8561" s="38" t="s">
        <v>11030</v>
      </c>
      <c r="D8561" s="23">
        <v>2023</v>
      </c>
      <c r="E8561" s="18" t="s">
        <v>0</v>
      </c>
      <c r="F8561" s="6">
        <v>1</v>
      </c>
      <c r="G8561" s="40">
        <v>12</v>
      </c>
      <c r="H8561" s="40">
        <v>26.548509999999997</v>
      </c>
      <c r="I8561" s="212"/>
      <c r="J8561" s="212"/>
    </row>
    <row r="8562" spans="1:10" s="15" customFormat="1" ht="18" hidden="1" customHeight="1" outlineLevel="1" x14ac:dyDescent="0.25">
      <c r="A8562" s="18">
        <v>5724</v>
      </c>
      <c r="B8562" s="4" t="s">
        <v>43</v>
      </c>
      <c r="C8562" s="38" t="s">
        <v>11031</v>
      </c>
      <c r="D8562" s="23">
        <v>2023</v>
      </c>
      <c r="E8562" s="18" t="s">
        <v>0</v>
      </c>
      <c r="F8562" s="6">
        <v>1</v>
      </c>
      <c r="G8562" s="40">
        <v>8</v>
      </c>
      <c r="H8562" s="40">
        <v>26.54852</v>
      </c>
      <c r="I8562" s="212"/>
      <c r="J8562" s="212"/>
    </row>
    <row r="8563" spans="1:10" s="15" customFormat="1" ht="18" hidden="1" customHeight="1" outlineLevel="1" x14ac:dyDescent="0.25">
      <c r="A8563" s="18">
        <v>5725</v>
      </c>
      <c r="B8563" s="4" t="s">
        <v>43</v>
      </c>
      <c r="C8563" s="38" t="s">
        <v>11032</v>
      </c>
      <c r="D8563" s="23">
        <v>2023</v>
      </c>
      <c r="E8563" s="18" t="s">
        <v>0</v>
      </c>
      <c r="F8563" s="6">
        <v>1</v>
      </c>
      <c r="G8563" s="40">
        <v>10</v>
      </c>
      <c r="H8563" s="40">
        <v>26.548509999999997</v>
      </c>
      <c r="I8563" s="212"/>
      <c r="J8563" s="212"/>
    </row>
    <row r="8564" spans="1:10" s="15" customFormat="1" ht="18" hidden="1" customHeight="1" outlineLevel="1" x14ac:dyDescent="0.25">
      <c r="A8564" s="18">
        <v>5726</v>
      </c>
      <c r="B8564" s="4" t="s">
        <v>43</v>
      </c>
      <c r="C8564" s="38" t="s">
        <v>11033</v>
      </c>
      <c r="D8564" s="23">
        <v>2023</v>
      </c>
      <c r="E8564" s="18" t="s">
        <v>0</v>
      </c>
      <c r="F8564" s="6">
        <v>1</v>
      </c>
      <c r="G8564" s="40">
        <v>13</v>
      </c>
      <c r="H8564" s="40">
        <v>26.54852</v>
      </c>
      <c r="I8564" s="212"/>
      <c r="J8564" s="212"/>
    </row>
    <row r="8565" spans="1:10" s="15" customFormat="1" ht="18" hidden="1" customHeight="1" outlineLevel="1" x14ac:dyDescent="0.25">
      <c r="A8565" s="18">
        <v>2072</v>
      </c>
      <c r="B8565" s="4" t="s">
        <v>43</v>
      </c>
      <c r="C8565" s="38" t="s">
        <v>11034</v>
      </c>
      <c r="D8565" s="23">
        <v>2023</v>
      </c>
      <c r="E8565" s="18" t="s">
        <v>0</v>
      </c>
      <c r="F8565" s="6">
        <v>1</v>
      </c>
      <c r="G8565" s="40">
        <v>3</v>
      </c>
      <c r="H8565" s="40">
        <v>29.017099999999996</v>
      </c>
      <c r="I8565" s="212"/>
      <c r="J8565" s="212"/>
    </row>
    <row r="8566" spans="1:10" s="15" customFormat="1" ht="18" hidden="1" customHeight="1" outlineLevel="1" x14ac:dyDescent="0.25">
      <c r="A8566" s="18">
        <v>2060</v>
      </c>
      <c r="B8566" s="4" t="s">
        <v>43</v>
      </c>
      <c r="C8566" s="38" t="s">
        <v>11035</v>
      </c>
      <c r="D8566" s="23">
        <v>2023</v>
      </c>
      <c r="E8566" s="18" t="s">
        <v>0</v>
      </c>
      <c r="F8566" s="6">
        <v>1</v>
      </c>
      <c r="G8566" s="40">
        <v>5</v>
      </c>
      <c r="H8566" s="40">
        <v>26.647279999999999</v>
      </c>
      <c r="I8566" s="212"/>
      <c r="J8566" s="212"/>
    </row>
    <row r="8567" spans="1:10" s="15" customFormat="1" ht="18" hidden="1" customHeight="1" outlineLevel="1" x14ac:dyDescent="0.25">
      <c r="A8567" s="18">
        <v>5727</v>
      </c>
      <c r="B8567" s="4" t="s">
        <v>43</v>
      </c>
      <c r="C8567" s="38" t="s">
        <v>11036</v>
      </c>
      <c r="D8567" s="23">
        <v>2023</v>
      </c>
      <c r="E8567" s="18" t="s">
        <v>0</v>
      </c>
      <c r="F8567" s="6">
        <v>1</v>
      </c>
      <c r="G8567" s="40">
        <v>13</v>
      </c>
      <c r="H8567" s="40">
        <v>26.35107</v>
      </c>
      <c r="I8567" s="212"/>
      <c r="J8567" s="212"/>
    </row>
    <row r="8568" spans="1:10" s="15" customFormat="1" ht="18" hidden="1" customHeight="1" outlineLevel="1" x14ac:dyDescent="0.25">
      <c r="A8568" s="18">
        <v>5728</v>
      </c>
      <c r="B8568" s="4" t="s">
        <v>43</v>
      </c>
      <c r="C8568" s="38" t="s">
        <v>11037</v>
      </c>
      <c r="D8568" s="23">
        <v>2023</v>
      </c>
      <c r="E8568" s="18" t="s">
        <v>0</v>
      </c>
      <c r="F8568" s="6">
        <v>1</v>
      </c>
      <c r="G8568" s="40">
        <v>7</v>
      </c>
      <c r="H8568" s="40">
        <v>26.351080000000003</v>
      </c>
      <c r="I8568" s="212"/>
      <c r="J8568" s="212"/>
    </row>
    <row r="8569" spans="1:10" s="15" customFormat="1" ht="18" hidden="1" customHeight="1" outlineLevel="1" x14ac:dyDescent="0.25">
      <c r="A8569" s="18">
        <v>5729</v>
      </c>
      <c r="B8569" s="4" t="s">
        <v>43</v>
      </c>
      <c r="C8569" s="38" t="s">
        <v>11038</v>
      </c>
      <c r="D8569" s="23">
        <v>2023</v>
      </c>
      <c r="E8569" s="18" t="s">
        <v>0</v>
      </c>
      <c r="F8569" s="6">
        <v>1</v>
      </c>
      <c r="G8569" s="40">
        <v>10</v>
      </c>
      <c r="H8569" s="40">
        <v>26.35107</v>
      </c>
      <c r="I8569" s="212"/>
      <c r="J8569" s="212"/>
    </row>
    <row r="8570" spans="1:10" s="15" customFormat="1" ht="18" hidden="1" customHeight="1" outlineLevel="1" x14ac:dyDescent="0.25">
      <c r="A8570" s="18">
        <v>1990</v>
      </c>
      <c r="B8570" s="4" t="s">
        <v>43</v>
      </c>
      <c r="C8570" s="38" t="s">
        <v>11039</v>
      </c>
      <c r="D8570" s="23">
        <v>2023</v>
      </c>
      <c r="E8570" s="18" t="s">
        <v>0</v>
      </c>
      <c r="F8570" s="6">
        <v>1</v>
      </c>
      <c r="G8570" s="40">
        <v>3</v>
      </c>
      <c r="H8570" s="40">
        <v>26.351080000000003</v>
      </c>
      <c r="I8570" s="212"/>
      <c r="J8570" s="212"/>
    </row>
    <row r="8571" spans="1:10" s="15" customFormat="1" ht="18" hidden="1" customHeight="1" outlineLevel="1" x14ac:dyDescent="0.25">
      <c r="A8571" s="18">
        <v>5730</v>
      </c>
      <c r="B8571" s="4" t="s">
        <v>43</v>
      </c>
      <c r="C8571" s="38" t="s">
        <v>11040</v>
      </c>
      <c r="D8571" s="23">
        <v>2023</v>
      </c>
      <c r="E8571" s="18" t="s">
        <v>0</v>
      </c>
      <c r="F8571" s="6">
        <v>1</v>
      </c>
      <c r="G8571" s="40">
        <v>12</v>
      </c>
      <c r="H8571" s="40">
        <v>26.35107</v>
      </c>
      <c r="I8571" s="212"/>
      <c r="J8571" s="212"/>
    </row>
    <row r="8572" spans="1:10" s="15" customFormat="1" ht="18" hidden="1" customHeight="1" outlineLevel="1" x14ac:dyDescent="0.25">
      <c r="A8572" s="18">
        <v>5731</v>
      </c>
      <c r="B8572" s="4" t="s">
        <v>43</v>
      </c>
      <c r="C8572" s="38" t="s">
        <v>11041</v>
      </c>
      <c r="D8572" s="23">
        <v>2023</v>
      </c>
      <c r="E8572" s="18" t="s">
        <v>0</v>
      </c>
      <c r="F8572" s="6">
        <v>1</v>
      </c>
      <c r="G8572" s="40">
        <v>15</v>
      </c>
      <c r="H8572" s="40">
        <v>29.313379999999999</v>
      </c>
      <c r="I8572" s="212"/>
      <c r="J8572" s="212"/>
    </row>
    <row r="8573" spans="1:10" s="15" customFormat="1" ht="18" hidden="1" customHeight="1" outlineLevel="1" x14ac:dyDescent="0.25">
      <c r="A8573" s="18">
        <v>5732</v>
      </c>
      <c r="B8573" s="4" t="s">
        <v>43</v>
      </c>
      <c r="C8573" s="38" t="s">
        <v>11042</v>
      </c>
      <c r="D8573" s="23">
        <v>2023</v>
      </c>
      <c r="E8573" s="18" t="s">
        <v>0</v>
      </c>
      <c r="F8573" s="6">
        <v>1</v>
      </c>
      <c r="G8573" s="40">
        <v>2</v>
      </c>
      <c r="H8573" s="40">
        <v>26.35107</v>
      </c>
      <c r="I8573" s="212"/>
      <c r="J8573" s="212"/>
    </row>
    <row r="8574" spans="1:10" s="15" customFormat="1" ht="18" hidden="1" customHeight="1" outlineLevel="1" x14ac:dyDescent="0.25">
      <c r="A8574" s="18">
        <v>5733</v>
      </c>
      <c r="B8574" s="4" t="s">
        <v>43</v>
      </c>
      <c r="C8574" s="38" t="s">
        <v>11043</v>
      </c>
      <c r="D8574" s="23">
        <v>2023</v>
      </c>
      <c r="E8574" s="18" t="s">
        <v>0</v>
      </c>
      <c r="F8574" s="6">
        <v>1</v>
      </c>
      <c r="G8574" s="40">
        <v>5</v>
      </c>
      <c r="H8574" s="40">
        <v>26.351080000000003</v>
      </c>
      <c r="I8574" s="212"/>
      <c r="J8574" s="212"/>
    </row>
    <row r="8575" spans="1:10" s="15" customFormat="1" ht="18" hidden="1" customHeight="1" outlineLevel="1" x14ac:dyDescent="0.25">
      <c r="A8575" s="18">
        <v>5734</v>
      </c>
      <c r="B8575" s="4" t="s">
        <v>43</v>
      </c>
      <c r="C8575" s="38" t="s">
        <v>11044</v>
      </c>
      <c r="D8575" s="23">
        <v>2023</v>
      </c>
      <c r="E8575" s="18" t="s">
        <v>0</v>
      </c>
      <c r="F8575" s="6">
        <v>1</v>
      </c>
      <c r="G8575" s="40">
        <v>1.5</v>
      </c>
      <c r="H8575" s="40">
        <v>26.35107</v>
      </c>
      <c r="I8575" s="212"/>
      <c r="J8575" s="212"/>
    </row>
    <row r="8576" spans="1:10" s="15" customFormat="1" ht="18" hidden="1" customHeight="1" outlineLevel="1" x14ac:dyDescent="0.25">
      <c r="A8576" s="18">
        <v>1893</v>
      </c>
      <c r="B8576" s="4" t="s">
        <v>43</v>
      </c>
      <c r="C8576" s="38" t="s">
        <v>11045</v>
      </c>
      <c r="D8576" s="23">
        <v>2023</v>
      </c>
      <c r="E8576" s="18" t="s">
        <v>0</v>
      </c>
      <c r="F8576" s="6">
        <v>1</v>
      </c>
      <c r="G8576" s="40">
        <v>10</v>
      </c>
      <c r="H8576" s="40">
        <v>26.351080000000003</v>
      </c>
      <c r="I8576" s="212"/>
      <c r="J8576" s="212"/>
    </row>
    <row r="8577" spans="1:10" s="15" customFormat="1" ht="18" hidden="1" customHeight="1" outlineLevel="1" x14ac:dyDescent="0.25">
      <c r="A8577" s="18">
        <v>5735</v>
      </c>
      <c r="B8577" s="4" t="s">
        <v>43</v>
      </c>
      <c r="C8577" s="38" t="s">
        <v>11046</v>
      </c>
      <c r="D8577" s="23">
        <v>2023</v>
      </c>
      <c r="E8577" s="18" t="s">
        <v>0</v>
      </c>
      <c r="F8577" s="6">
        <v>1</v>
      </c>
      <c r="G8577" s="40">
        <v>7</v>
      </c>
      <c r="H8577" s="40">
        <v>26.35107</v>
      </c>
      <c r="I8577" s="212"/>
      <c r="J8577" s="212"/>
    </row>
    <row r="8578" spans="1:10" s="15" customFormat="1" ht="18" hidden="1" customHeight="1" outlineLevel="1" x14ac:dyDescent="0.25">
      <c r="A8578" s="18">
        <v>5736</v>
      </c>
      <c r="B8578" s="4" t="s">
        <v>43</v>
      </c>
      <c r="C8578" s="38" t="s">
        <v>11047</v>
      </c>
      <c r="D8578" s="23">
        <v>2023</v>
      </c>
      <c r="E8578" s="18" t="s">
        <v>0</v>
      </c>
      <c r="F8578" s="6">
        <v>1</v>
      </c>
      <c r="G8578" s="40">
        <v>3.5</v>
      </c>
      <c r="H8578" s="40">
        <v>26.351080000000003</v>
      </c>
      <c r="I8578" s="212"/>
      <c r="J8578" s="212"/>
    </row>
    <row r="8579" spans="1:10" s="15" customFormat="1" ht="18" hidden="1" customHeight="1" outlineLevel="1" x14ac:dyDescent="0.25">
      <c r="A8579" s="18">
        <v>5737</v>
      </c>
      <c r="B8579" s="4" t="s">
        <v>43</v>
      </c>
      <c r="C8579" s="38" t="s">
        <v>11048</v>
      </c>
      <c r="D8579" s="23">
        <v>2023</v>
      </c>
      <c r="E8579" s="18" t="s">
        <v>0</v>
      </c>
      <c r="F8579" s="6">
        <v>1</v>
      </c>
      <c r="G8579" s="40">
        <v>5</v>
      </c>
      <c r="H8579" s="40">
        <v>26.35107</v>
      </c>
      <c r="I8579" s="212"/>
      <c r="J8579" s="212"/>
    </row>
    <row r="8580" spans="1:10" s="15" customFormat="1" ht="18" hidden="1" customHeight="1" outlineLevel="1" x14ac:dyDescent="0.25">
      <c r="A8580" s="18">
        <v>5738</v>
      </c>
      <c r="B8580" s="4" t="s">
        <v>43</v>
      </c>
      <c r="C8580" s="38" t="s">
        <v>11049</v>
      </c>
      <c r="D8580" s="23">
        <v>2023</v>
      </c>
      <c r="E8580" s="18" t="s">
        <v>0</v>
      </c>
      <c r="F8580" s="6">
        <v>1</v>
      </c>
      <c r="G8580" s="40">
        <v>5</v>
      </c>
      <c r="H8580" s="40">
        <v>26.35107</v>
      </c>
      <c r="I8580" s="212"/>
      <c r="J8580" s="212"/>
    </row>
    <row r="8581" spans="1:10" s="15" customFormat="1" ht="18" hidden="1" customHeight="1" outlineLevel="1" x14ac:dyDescent="0.25">
      <c r="A8581" s="18">
        <v>1370</v>
      </c>
      <c r="B8581" s="4" t="s">
        <v>43</v>
      </c>
      <c r="C8581" s="38" t="s">
        <v>11050</v>
      </c>
      <c r="D8581" s="23">
        <v>2023</v>
      </c>
      <c r="E8581" s="18" t="s">
        <v>0</v>
      </c>
      <c r="F8581" s="6">
        <v>1</v>
      </c>
      <c r="G8581" s="40">
        <v>1</v>
      </c>
      <c r="H8581" s="40">
        <v>26.35107</v>
      </c>
      <c r="I8581" s="212"/>
      <c r="J8581" s="212"/>
    </row>
    <row r="8582" spans="1:10" s="15" customFormat="1" ht="18" hidden="1" customHeight="1" outlineLevel="1" x14ac:dyDescent="0.25">
      <c r="A8582" s="18">
        <v>5739</v>
      </c>
      <c r="B8582" s="4" t="s">
        <v>43</v>
      </c>
      <c r="C8582" s="38" t="s">
        <v>11051</v>
      </c>
      <c r="D8582" s="23">
        <v>2023</v>
      </c>
      <c r="E8582" s="18" t="s">
        <v>0</v>
      </c>
      <c r="F8582" s="6">
        <v>1</v>
      </c>
      <c r="G8582" s="40">
        <v>2</v>
      </c>
      <c r="H8582" s="40">
        <v>26.456860000000002</v>
      </c>
      <c r="I8582" s="212"/>
      <c r="J8582" s="212"/>
    </row>
    <row r="8583" spans="1:10" s="15" customFormat="1" ht="18" hidden="1" customHeight="1" outlineLevel="1" x14ac:dyDescent="0.25">
      <c r="A8583" s="18">
        <v>5740</v>
      </c>
      <c r="B8583" s="4" t="s">
        <v>43</v>
      </c>
      <c r="C8583" s="38" t="s">
        <v>11052</v>
      </c>
      <c r="D8583" s="23">
        <v>2023</v>
      </c>
      <c r="E8583" s="18" t="s">
        <v>0</v>
      </c>
      <c r="F8583" s="6">
        <v>1</v>
      </c>
      <c r="G8583" s="40">
        <v>2</v>
      </c>
      <c r="H8583" s="40">
        <v>26.456880000000002</v>
      </c>
      <c r="I8583" s="212"/>
      <c r="J8583" s="212"/>
    </row>
    <row r="8584" spans="1:10" s="15" customFormat="1" ht="18" hidden="1" customHeight="1" outlineLevel="1" x14ac:dyDescent="0.25">
      <c r="A8584" s="18">
        <v>5741</v>
      </c>
      <c r="B8584" s="4" t="s">
        <v>43</v>
      </c>
      <c r="C8584" s="38" t="s">
        <v>11053</v>
      </c>
      <c r="D8584" s="23">
        <v>2023</v>
      </c>
      <c r="E8584" s="18" t="s">
        <v>0</v>
      </c>
      <c r="F8584" s="6">
        <v>1</v>
      </c>
      <c r="G8584" s="40">
        <v>2</v>
      </c>
      <c r="H8584" s="40">
        <v>26.426220000000001</v>
      </c>
      <c r="I8584" s="212"/>
      <c r="J8584" s="212"/>
    </row>
    <row r="8585" spans="1:10" s="15" customFormat="1" ht="18" hidden="1" customHeight="1" outlineLevel="1" x14ac:dyDescent="0.25">
      <c r="A8585" s="18">
        <v>3376</v>
      </c>
      <c r="B8585" s="4" t="s">
        <v>43</v>
      </c>
      <c r="C8585" s="38" t="s">
        <v>8661</v>
      </c>
      <c r="D8585" s="23">
        <v>2023</v>
      </c>
      <c r="E8585" s="18" t="s">
        <v>0</v>
      </c>
      <c r="F8585" s="6">
        <v>1</v>
      </c>
      <c r="G8585" s="40">
        <v>30</v>
      </c>
      <c r="H8585" s="40">
        <v>129.71458999999999</v>
      </c>
      <c r="I8585" s="212"/>
      <c r="J8585" s="212"/>
    </row>
    <row r="8586" spans="1:10" s="15" customFormat="1" ht="18" hidden="1" customHeight="1" outlineLevel="1" x14ac:dyDescent="0.25">
      <c r="A8586" s="18">
        <v>3262</v>
      </c>
      <c r="B8586" s="4" t="s">
        <v>43</v>
      </c>
      <c r="C8586" s="38" t="s">
        <v>8664</v>
      </c>
      <c r="D8586" s="23">
        <v>2023</v>
      </c>
      <c r="E8586" s="18" t="s">
        <v>0</v>
      </c>
      <c r="F8586" s="6">
        <v>1</v>
      </c>
      <c r="G8586" s="40">
        <v>10</v>
      </c>
      <c r="H8586" s="40">
        <v>56.657230000000006</v>
      </c>
      <c r="I8586" s="212"/>
      <c r="J8586" s="212"/>
    </row>
    <row r="8587" spans="1:10" s="15" customFormat="1" ht="18" hidden="1" customHeight="1" outlineLevel="1" x14ac:dyDescent="0.25">
      <c r="A8587" s="18">
        <v>5752</v>
      </c>
      <c r="B8587" s="4" t="s">
        <v>43</v>
      </c>
      <c r="C8587" s="38" t="s">
        <v>11054</v>
      </c>
      <c r="D8587" s="23">
        <v>2023</v>
      </c>
      <c r="E8587" s="18" t="s">
        <v>0</v>
      </c>
      <c r="F8587" s="6">
        <v>1</v>
      </c>
      <c r="G8587" s="40">
        <v>3</v>
      </c>
      <c r="H8587" s="40">
        <v>26.587220000000002</v>
      </c>
      <c r="I8587" s="212"/>
      <c r="J8587" s="212"/>
    </row>
    <row r="8588" spans="1:10" s="15" customFormat="1" ht="18" hidden="1" customHeight="1" outlineLevel="1" x14ac:dyDescent="0.25">
      <c r="A8588" s="18">
        <v>5754</v>
      </c>
      <c r="B8588" s="4" t="s">
        <v>43</v>
      </c>
      <c r="C8588" s="38" t="s">
        <v>11055</v>
      </c>
      <c r="D8588" s="23">
        <v>2023</v>
      </c>
      <c r="E8588" s="18" t="s">
        <v>0</v>
      </c>
      <c r="F8588" s="6">
        <v>1</v>
      </c>
      <c r="G8588" s="40">
        <v>13</v>
      </c>
      <c r="H8588" s="40">
        <v>26.587209999999999</v>
      </c>
      <c r="I8588" s="212"/>
      <c r="J8588" s="212"/>
    </row>
    <row r="8589" spans="1:10" s="15" customFormat="1" ht="18" hidden="1" customHeight="1" outlineLevel="1" x14ac:dyDescent="0.25">
      <c r="A8589" s="18">
        <v>5755</v>
      </c>
      <c r="B8589" s="4" t="s">
        <v>43</v>
      </c>
      <c r="C8589" s="38" t="s">
        <v>11056</v>
      </c>
      <c r="D8589" s="23">
        <v>2023</v>
      </c>
      <c r="E8589" s="18" t="s">
        <v>0</v>
      </c>
      <c r="F8589" s="6">
        <v>1</v>
      </c>
      <c r="G8589" s="40">
        <v>10</v>
      </c>
      <c r="H8589" s="40">
        <v>26.587220000000002</v>
      </c>
      <c r="I8589" s="212"/>
      <c r="J8589" s="212"/>
    </row>
    <row r="8590" spans="1:10" s="15" customFormat="1" ht="18" hidden="1" customHeight="1" outlineLevel="1" x14ac:dyDescent="0.25">
      <c r="A8590" s="18">
        <v>2575</v>
      </c>
      <c r="B8590" s="4" t="s">
        <v>43</v>
      </c>
      <c r="C8590" s="38" t="s">
        <v>11057</v>
      </c>
      <c r="D8590" s="23">
        <v>2023</v>
      </c>
      <c r="E8590" s="18" t="s">
        <v>0</v>
      </c>
      <c r="F8590" s="6">
        <v>1</v>
      </c>
      <c r="G8590" s="40">
        <v>3</v>
      </c>
      <c r="H8590" s="40">
        <v>26.587220000000002</v>
      </c>
      <c r="I8590" s="212"/>
      <c r="J8590" s="212"/>
    </row>
    <row r="8591" spans="1:10" s="15" customFormat="1" ht="18" hidden="1" customHeight="1" outlineLevel="1" x14ac:dyDescent="0.25">
      <c r="A8591" s="18">
        <v>2528</v>
      </c>
      <c r="B8591" s="4" t="s">
        <v>43</v>
      </c>
      <c r="C8591" s="38" t="s">
        <v>11058</v>
      </c>
      <c r="D8591" s="23">
        <v>2023</v>
      </c>
      <c r="E8591" s="18" t="s">
        <v>0</v>
      </c>
      <c r="F8591" s="6">
        <v>1</v>
      </c>
      <c r="G8591" s="40">
        <v>3</v>
      </c>
      <c r="H8591" s="40">
        <v>26.587220000000002</v>
      </c>
      <c r="I8591" s="212"/>
      <c r="J8591" s="212"/>
    </row>
    <row r="8592" spans="1:10" s="15" customFormat="1" ht="18" hidden="1" customHeight="1" outlineLevel="1" x14ac:dyDescent="0.25">
      <c r="A8592" s="18">
        <v>2545</v>
      </c>
      <c r="B8592" s="4" t="s">
        <v>43</v>
      </c>
      <c r="C8592" s="38" t="s">
        <v>11059</v>
      </c>
      <c r="D8592" s="23">
        <v>2023</v>
      </c>
      <c r="E8592" s="18" t="s">
        <v>0</v>
      </c>
      <c r="F8592" s="6">
        <v>1</v>
      </c>
      <c r="G8592" s="40">
        <v>10</v>
      </c>
      <c r="H8592" s="40">
        <v>26.587220000000002</v>
      </c>
      <c r="I8592" s="212"/>
      <c r="J8592" s="212"/>
    </row>
    <row r="8593" spans="1:10" s="15" customFormat="1" ht="18" hidden="1" customHeight="1" outlineLevel="1" x14ac:dyDescent="0.25">
      <c r="A8593" s="18">
        <v>5758</v>
      </c>
      <c r="B8593" s="4" t="s">
        <v>43</v>
      </c>
      <c r="C8593" s="38" t="s">
        <v>11060</v>
      </c>
      <c r="D8593" s="23">
        <v>2023</v>
      </c>
      <c r="E8593" s="18" t="s">
        <v>0</v>
      </c>
      <c r="F8593" s="6">
        <v>1</v>
      </c>
      <c r="G8593" s="40">
        <v>3</v>
      </c>
      <c r="H8593" s="40">
        <v>28.044610000000002</v>
      </c>
      <c r="I8593" s="212"/>
      <c r="J8593" s="212"/>
    </row>
    <row r="8594" spans="1:10" s="15" customFormat="1" ht="18" hidden="1" customHeight="1" outlineLevel="1" x14ac:dyDescent="0.25">
      <c r="A8594" s="18">
        <v>5760</v>
      </c>
      <c r="B8594" s="4" t="s">
        <v>43</v>
      </c>
      <c r="C8594" s="38" t="s">
        <v>11061</v>
      </c>
      <c r="D8594" s="23">
        <v>2023</v>
      </c>
      <c r="E8594" s="18" t="s">
        <v>0</v>
      </c>
      <c r="F8594" s="6">
        <v>1</v>
      </c>
      <c r="G8594" s="40">
        <v>7</v>
      </c>
      <c r="H8594" s="40">
        <v>26.344360000000002</v>
      </c>
      <c r="I8594" s="212"/>
      <c r="J8594" s="212"/>
    </row>
    <row r="8595" spans="1:10" s="15" customFormat="1" ht="18" hidden="1" customHeight="1" outlineLevel="1" x14ac:dyDescent="0.25">
      <c r="A8595" s="18">
        <v>5761</v>
      </c>
      <c r="B8595" s="4" t="s">
        <v>43</v>
      </c>
      <c r="C8595" s="38" t="s">
        <v>11062</v>
      </c>
      <c r="D8595" s="23">
        <v>2023</v>
      </c>
      <c r="E8595" s="18" t="s">
        <v>0</v>
      </c>
      <c r="F8595" s="6">
        <v>1</v>
      </c>
      <c r="G8595" s="40">
        <v>3</v>
      </c>
      <c r="H8595" s="40">
        <v>26.587220000000002</v>
      </c>
      <c r="I8595" s="212"/>
      <c r="J8595" s="212"/>
    </row>
    <row r="8596" spans="1:10" s="15" customFormat="1" ht="18" hidden="1" customHeight="1" outlineLevel="1" x14ac:dyDescent="0.25">
      <c r="A8596" s="18">
        <v>5762</v>
      </c>
      <c r="B8596" s="4" t="s">
        <v>43</v>
      </c>
      <c r="C8596" s="38" t="s">
        <v>11063</v>
      </c>
      <c r="D8596" s="23">
        <v>2023</v>
      </c>
      <c r="E8596" s="18" t="s">
        <v>0</v>
      </c>
      <c r="F8596" s="6">
        <v>1</v>
      </c>
      <c r="G8596" s="40">
        <v>5</v>
      </c>
      <c r="H8596" s="40">
        <v>26.587220000000002</v>
      </c>
      <c r="I8596" s="212"/>
      <c r="J8596" s="212"/>
    </row>
    <row r="8597" spans="1:10" s="15" customFormat="1" ht="18" hidden="1" customHeight="1" outlineLevel="1" x14ac:dyDescent="0.25">
      <c r="A8597" s="18">
        <v>2471</v>
      </c>
      <c r="B8597" s="4" t="s">
        <v>43</v>
      </c>
      <c r="C8597" s="38" t="s">
        <v>11064</v>
      </c>
      <c r="D8597" s="23">
        <v>2023</v>
      </c>
      <c r="E8597" s="18" t="s">
        <v>0</v>
      </c>
      <c r="F8597" s="6">
        <v>1</v>
      </c>
      <c r="G8597" s="40">
        <v>5</v>
      </c>
      <c r="H8597" s="40">
        <v>26.587220000000002</v>
      </c>
      <c r="I8597" s="212"/>
      <c r="J8597" s="212"/>
    </row>
    <row r="8598" spans="1:10" s="15" customFormat="1" ht="18" hidden="1" customHeight="1" outlineLevel="1" x14ac:dyDescent="0.25">
      <c r="A8598" s="18">
        <v>5764</v>
      </c>
      <c r="B8598" s="4" t="s">
        <v>43</v>
      </c>
      <c r="C8598" s="38" t="s">
        <v>11065</v>
      </c>
      <c r="D8598" s="23">
        <v>2023</v>
      </c>
      <c r="E8598" s="18" t="s">
        <v>0</v>
      </c>
      <c r="F8598" s="6">
        <v>1</v>
      </c>
      <c r="G8598" s="40">
        <v>3</v>
      </c>
      <c r="H8598" s="40">
        <v>26.587220000000002</v>
      </c>
      <c r="I8598" s="212"/>
      <c r="J8598" s="212"/>
    </row>
    <row r="8599" spans="1:10" s="15" customFormat="1" ht="18" hidden="1" customHeight="1" outlineLevel="1" x14ac:dyDescent="0.25">
      <c r="A8599" s="18">
        <v>5765</v>
      </c>
      <c r="B8599" s="4" t="s">
        <v>43</v>
      </c>
      <c r="C8599" s="38" t="s">
        <v>11066</v>
      </c>
      <c r="D8599" s="23">
        <v>2023</v>
      </c>
      <c r="E8599" s="18" t="s">
        <v>0</v>
      </c>
      <c r="F8599" s="6">
        <v>1</v>
      </c>
      <c r="G8599" s="40">
        <v>3</v>
      </c>
      <c r="H8599" s="40">
        <v>26.587220000000002</v>
      </c>
      <c r="I8599" s="212"/>
      <c r="J8599" s="212"/>
    </row>
    <row r="8600" spans="1:10" s="15" customFormat="1" ht="18" hidden="1" customHeight="1" outlineLevel="1" x14ac:dyDescent="0.25">
      <c r="A8600" s="18">
        <v>2601</v>
      </c>
      <c r="B8600" s="4" t="s">
        <v>43</v>
      </c>
      <c r="C8600" s="38" t="s">
        <v>11067</v>
      </c>
      <c r="D8600" s="23">
        <v>2023</v>
      </c>
      <c r="E8600" s="18" t="s">
        <v>0</v>
      </c>
      <c r="F8600" s="6">
        <v>1</v>
      </c>
      <c r="G8600" s="40">
        <v>4</v>
      </c>
      <c r="H8600" s="40">
        <v>28.530369999999998</v>
      </c>
      <c r="I8600" s="212"/>
      <c r="J8600" s="212"/>
    </row>
    <row r="8601" spans="1:10" s="15" customFormat="1" ht="18" hidden="1" customHeight="1" outlineLevel="1" x14ac:dyDescent="0.25">
      <c r="A8601" s="18">
        <v>5767</v>
      </c>
      <c r="B8601" s="4" t="s">
        <v>43</v>
      </c>
      <c r="C8601" s="38" t="s">
        <v>11068</v>
      </c>
      <c r="D8601" s="23">
        <v>2023</v>
      </c>
      <c r="E8601" s="18" t="s">
        <v>0</v>
      </c>
      <c r="F8601" s="6">
        <v>1</v>
      </c>
      <c r="G8601" s="40">
        <v>3</v>
      </c>
      <c r="H8601" s="40">
        <v>26.587220000000002</v>
      </c>
      <c r="I8601" s="212"/>
      <c r="J8601" s="212"/>
    </row>
    <row r="8602" spans="1:10" s="15" customFormat="1" ht="18" hidden="1" customHeight="1" outlineLevel="1" x14ac:dyDescent="0.25">
      <c r="A8602" s="18">
        <v>5768</v>
      </c>
      <c r="B8602" s="4" t="s">
        <v>43</v>
      </c>
      <c r="C8602" s="38" t="s">
        <v>11069</v>
      </c>
      <c r="D8602" s="23">
        <v>2023</v>
      </c>
      <c r="E8602" s="18" t="s">
        <v>0</v>
      </c>
      <c r="F8602" s="6">
        <v>1</v>
      </c>
      <c r="G8602" s="40">
        <v>7</v>
      </c>
      <c r="H8602" s="40">
        <v>28.530369999999998</v>
      </c>
      <c r="I8602" s="212"/>
      <c r="J8602" s="212"/>
    </row>
    <row r="8603" spans="1:10" s="15" customFormat="1" ht="18" hidden="1" customHeight="1" outlineLevel="1" x14ac:dyDescent="0.25">
      <c r="A8603" s="18">
        <v>5769</v>
      </c>
      <c r="B8603" s="4" t="s">
        <v>43</v>
      </c>
      <c r="C8603" s="38" t="s">
        <v>11070</v>
      </c>
      <c r="D8603" s="23">
        <v>2023</v>
      </c>
      <c r="E8603" s="18" t="s">
        <v>0</v>
      </c>
      <c r="F8603" s="6">
        <v>1</v>
      </c>
      <c r="G8603" s="40">
        <v>10</v>
      </c>
      <c r="H8603" s="40">
        <v>25.470880000000001</v>
      </c>
      <c r="I8603" s="212"/>
      <c r="J8603" s="212"/>
    </row>
    <row r="8604" spans="1:10" s="15" customFormat="1" ht="18" hidden="1" customHeight="1" outlineLevel="1" x14ac:dyDescent="0.25">
      <c r="A8604" s="18">
        <v>5770</v>
      </c>
      <c r="B8604" s="4" t="s">
        <v>43</v>
      </c>
      <c r="C8604" s="38" t="s">
        <v>11071</v>
      </c>
      <c r="D8604" s="23">
        <v>2023</v>
      </c>
      <c r="E8604" s="18" t="s">
        <v>0</v>
      </c>
      <c r="F8604" s="6">
        <v>1</v>
      </c>
      <c r="G8604" s="40">
        <v>10</v>
      </c>
      <c r="H8604" s="40">
        <v>25.470880000000001</v>
      </c>
      <c r="I8604" s="212"/>
      <c r="J8604" s="212"/>
    </row>
    <row r="8605" spans="1:10" s="15" customFormat="1" ht="18" hidden="1" customHeight="1" outlineLevel="1" x14ac:dyDescent="0.25">
      <c r="A8605" s="18">
        <v>5771</v>
      </c>
      <c r="B8605" s="4" t="s">
        <v>43</v>
      </c>
      <c r="C8605" s="38" t="s">
        <v>11072</v>
      </c>
      <c r="D8605" s="23">
        <v>2023</v>
      </c>
      <c r="E8605" s="18" t="s">
        <v>0</v>
      </c>
      <c r="F8605" s="6">
        <v>1</v>
      </c>
      <c r="G8605" s="40">
        <v>10</v>
      </c>
      <c r="H8605" s="40">
        <v>25.470880000000001</v>
      </c>
      <c r="I8605" s="212"/>
      <c r="J8605" s="212"/>
    </row>
    <row r="8606" spans="1:10" s="15" customFormat="1" ht="18" hidden="1" customHeight="1" outlineLevel="1" x14ac:dyDescent="0.25">
      <c r="A8606" s="18">
        <v>5772</v>
      </c>
      <c r="B8606" s="4" t="s">
        <v>43</v>
      </c>
      <c r="C8606" s="38" t="s">
        <v>11073</v>
      </c>
      <c r="D8606" s="23">
        <v>2023</v>
      </c>
      <c r="E8606" s="18" t="s">
        <v>0</v>
      </c>
      <c r="F8606" s="6">
        <v>1</v>
      </c>
      <c r="G8606" s="40">
        <v>10</v>
      </c>
      <c r="H8606" s="40">
        <v>25.470880000000001</v>
      </c>
      <c r="I8606" s="212"/>
      <c r="J8606" s="212"/>
    </row>
    <row r="8607" spans="1:10" s="15" customFormat="1" ht="18" hidden="1" customHeight="1" outlineLevel="1" x14ac:dyDescent="0.25">
      <c r="A8607" s="18">
        <v>5774</v>
      </c>
      <c r="B8607" s="4" t="s">
        <v>43</v>
      </c>
      <c r="C8607" s="38" t="s">
        <v>11074</v>
      </c>
      <c r="D8607" s="23">
        <v>2023</v>
      </c>
      <c r="E8607" s="18" t="s">
        <v>0</v>
      </c>
      <c r="F8607" s="6">
        <v>1</v>
      </c>
      <c r="G8607" s="40">
        <v>10</v>
      </c>
      <c r="H8607" s="40">
        <v>25.470880000000001</v>
      </c>
      <c r="I8607" s="212"/>
      <c r="J8607" s="212"/>
    </row>
    <row r="8608" spans="1:10" s="15" customFormat="1" ht="18" hidden="1" customHeight="1" outlineLevel="1" x14ac:dyDescent="0.25">
      <c r="A8608" s="18">
        <v>5775</v>
      </c>
      <c r="B8608" s="4" t="s">
        <v>43</v>
      </c>
      <c r="C8608" s="38" t="s">
        <v>11075</v>
      </c>
      <c r="D8608" s="23">
        <v>2023</v>
      </c>
      <c r="E8608" s="18" t="s">
        <v>0</v>
      </c>
      <c r="F8608" s="6">
        <v>1</v>
      </c>
      <c r="G8608" s="40">
        <v>10</v>
      </c>
      <c r="H8608" s="40">
        <v>25.470880000000001</v>
      </c>
      <c r="I8608" s="212"/>
      <c r="J8608" s="212"/>
    </row>
    <row r="8609" spans="1:10" s="15" customFormat="1" ht="18" hidden="1" customHeight="1" outlineLevel="1" x14ac:dyDescent="0.25">
      <c r="A8609" s="18">
        <v>5776</v>
      </c>
      <c r="B8609" s="4" t="s">
        <v>43</v>
      </c>
      <c r="C8609" s="38" t="s">
        <v>11076</v>
      </c>
      <c r="D8609" s="23">
        <v>2023</v>
      </c>
      <c r="E8609" s="18" t="s">
        <v>0</v>
      </c>
      <c r="F8609" s="6">
        <v>1</v>
      </c>
      <c r="G8609" s="40">
        <v>10</v>
      </c>
      <c r="H8609" s="40">
        <v>25.470880000000001</v>
      </c>
      <c r="I8609" s="212"/>
      <c r="J8609" s="212"/>
    </row>
    <row r="8610" spans="1:10" s="15" customFormat="1" ht="18" hidden="1" customHeight="1" outlineLevel="1" x14ac:dyDescent="0.25">
      <c r="A8610" s="18">
        <v>5777</v>
      </c>
      <c r="B8610" s="4" t="s">
        <v>43</v>
      </c>
      <c r="C8610" s="38" t="s">
        <v>11077</v>
      </c>
      <c r="D8610" s="23">
        <v>2023</v>
      </c>
      <c r="E8610" s="18" t="s">
        <v>0</v>
      </c>
      <c r="F8610" s="6">
        <v>1</v>
      </c>
      <c r="G8610" s="40">
        <v>15</v>
      </c>
      <c r="H8610" s="40">
        <v>26.468519999999998</v>
      </c>
      <c r="I8610" s="212"/>
      <c r="J8610" s="212"/>
    </row>
    <row r="8611" spans="1:10" s="15" customFormat="1" ht="18" hidden="1" customHeight="1" outlineLevel="1" x14ac:dyDescent="0.25">
      <c r="A8611" s="18">
        <v>1971</v>
      </c>
      <c r="B8611" s="4" t="s">
        <v>43</v>
      </c>
      <c r="C8611" s="38" t="s">
        <v>11078</v>
      </c>
      <c r="D8611" s="23">
        <v>2023</v>
      </c>
      <c r="E8611" s="18" t="s">
        <v>0</v>
      </c>
      <c r="F8611" s="6">
        <v>1</v>
      </c>
      <c r="G8611" s="40">
        <v>5</v>
      </c>
      <c r="H8611" s="40">
        <v>26.679729999999999</v>
      </c>
      <c r="I8611" s="212"/>
      <c r="J8611" s="212"/>
    </row>
    <row r="8612" spans="1:10" s="15" customFormat="1" ht="18" hidden="1" customHeight="1" outlineLevel="1" x14ac:dyDescent="0.25">
      <c r="A8612" s="18">
        <v>5778</v>
      </c>
      <c r="B8612" s="4" t="s">
        <v>43</v>
      </c>
      <c r="C8612" s="38" t="s">
        <v>11079</v>
      </c>
      <c r="D8612" s="23">
        <v>2023</v>
      </c>
      <c r="E8612" s="18" t="s">
        <v>0</v>
      </c>
      <c r="F8612" s="6">
        <v>1</v>
      </c>
      <c r="G8612" s="40">
        <v>15</v>
      </c>
      <c r="H8612" s="40">
        <v>26.679729999999999</v>
      </c>
      <c r="I8612" s="212"/>
      <c r="J8612" s="212"/>
    </row>
    <row r="8613" spans="1:10" s="15" customFormat="1" ht="18" hidden="1" customHeight="1" outlineLevel="1" x14ac:dyDescent="0.25">
      <c r="A8613" s="18">
        <v>5779</v>
      </c>
      <c r="B8613" s="4" t="s">
        <v>43</v>
      </c>
      <c r="C8613" s="38" t="s">
        <v>11080</v>
      </c>
      <c r="D8613" s="23">
        <v>2023</v>
      </c>
      <c r="E8613" s="18" t="s">
        <v>0</v>
      </c>
      <c r="F8613" s="6">
        <v>1</v>
      </c>
      <c r="G8613" s="40">
        <v>6</v>
      </c>
      <c r="H8613" s="40">
        <v>26.424960000000002</v>
      </c>
      <c r="I8613" s="212"/>
      <c r="J8613" s="212"/>
    </row>
    <row r="8614" spans="1:10" s="15" customFormat="1" ht="18" hidden="1" customHeight="1" outlineLevel="1" x14ac:dyDescent="0.25">
      <c r="A8614" s="18">
        <v>5780</v>
      </c>
      <c r="B8614" s="4" t="s">
        <v>43</v>
      </c>
      <c r="C8614" s="38" t="s">
        <v>11081</v>
      </c>
      <c r="D8614" s="23">
        <v>2023</v>
      </c>
      <c r="E8614" s="18" t="s">
        <v>0</v>
      </c>
      <c r="F8614" s="6">
        <v>1</v>
      </c>
      <c r="G8614" s="40">
        <v>5</v>
      </c>
      <c r="H8614" s="40">
        <v>25.892060000000001</v>
      </c>
      <c r="I8614" s="212"/>
      <c r="J8614" s="212"/>
    </row>
    <row r="8615" spans="1:10" s="15" customFormat="1" ht="18" hidden="1" customHeight="1" outlineLevel="1" x14ac:dyDescent="0.25">
      <c r="A8615" s="18">
        <v>5781</v>
      </c>
      <c r="B8615" s="4" t="s">
        <v>43</v>
      </c>
      <c r="C8615" s="38" t="s">
        <v>11082</v>
      </c>
      <c r="D8615" s="23">
        <v>2023</v>
      </c>
      <c r="E8615" s="18" t="s">
        <v>0</v>
      </c>
      <c r="F8615" s="6">
        <v>1</v>
      </c>
      <c r="G8615" s="40">
        <v>7</v>
      </c>
      <c r="H8615" s="40">
        <v>25.763400000000001</v>
      </c>
      <c r="I8615" s="212"/>
      <c r="J8615" s="212"/>
    </row>
    <row r="8616" spans="1:10" s="15" customFormat="1" ht="18" hidden="1" customHeight="1" outlineLevel="1" x14ac:dyDescent="0.25">
      <c r="A8616" s="18">
        <v>5782</v>
      </c>
      <c r="B8616" s="4" t="s">
        <v>43</v>
      </c>
      <c r="C8616" s="38" t="s">
        <v>11083</v>
      </c>
      <c r="D8616" s="23">
        <v>2023</v>
      </c>
      <c r="E8616" s="18" t="s">
        <v>0</v>
      </c>
      <c r="F8616" s="6">
        <v>1</v>
      </c>
      <c r="G8616" s="40">
        <v>7</v>
      </c>
      <c r="H8616" s="40">
        <v>25.591759999999997</v>
      </c>
      <c r="I8616" s="212"/>
      <c r="J8616" s="212"/>
    </row>
    <row r="8617" spans="1:10" s="15" customFormat="1" ht="18" hidden="1" customHeight="1" outlineLevel="1" x14ac:dyDescent="0.25">
      <c r="A8617" s="18">
        <v>2415</v>
      </c>
      <c r="B8617" s="4" t="s">
        <v>43</v>
      </c>
      <c r="C8617" s="38" t="s">
        <v>11084</v>
      </c>
      <c r="D8617" s="23">
        <v>2023</v>
      </c>
      <c r="E8617" s="18" t="s">
        <v>0</v>
      </c>
      <c r="F8617" s="6">
        <v>1</v>
      </c>
      <c r="G8617" s="40">
        <v>5</v>
      </c>
      <c r="H8617" s="40">
        <v>25.591759999999997</v>
      </c>
      <c r="I8617" s="212"/>
      <c r="J8617" s="212"/>
    </row>
    <row r="8618" spans="1:10" s="15" customFormat="1" ht="18" hidden="1" customHeight="1" outlineLevel="1" x14ac:dyDescent="0.25">
      <c r="A8618" s="18">
        <v>2415</v>
      </c>
      <c r="B8618" s="4" t="s">
        <v>43</v>
      </c>
      <c r="C8618" s="38" t="s">
        <v>11085</v>
      </c>
      <c r="D8618" s="23">
        <v>2023</v>
      </c>
      <c r="E8618" s="18" t="s">
        <v>0</v>
      </c>
      <c r="F8618" s="6">
        <v>1</v>
      </c>
      <c r="G8618" s="40">
        <v>5</v>
      </c>
      <c r="H8618" s="40">
        <v>25.591759999999997</v>
      </c>
      <c r="I8618" s="212"/>
      <c r="J8618" s="212"/>
    </row>
    <row r="8619" spans="1:10" s="15" customFormat="1" ht="18" hidden="1" customHeight="1" outlineLevel="1" x14ac:dyDescent="0.25">
      <c r="A8619" s="18">
        <v>2360</v>
      </c>
      <c r="B8619" s="4" t="s">
        <v>43</v>
      </c>
      <c r="C8619" s="38" t="s">
        <v>11086</v>
      </c>
      <c r="D8619" s="23">
        <v>2023</v>
      </c>
      <c r="E8619" s="18" t="s">
        <v>0</v>
      </c>
      <c r="F8619" s="6">
        <v>1</v>
      </c>
      <c r="G8619" s="40">
        <v>15</v>
      </c>
      <c r="H8619" s="40">
        <v>25.591759999999997</v>
      </c>
      <c r="I8619" s="212"/>
      <c r="J8619" s="212"/>
    </row>
    <row r="8620" spans="1:10" s="15" customFormat="1" ht="18" hidden="1" customHeight="1" outlineLevel="1" x14ac:dyDescent="0.25">
      <c r="A8620" s="18">
        <v>5786</v>
      </c>
      <c r="B8620" s="4" t="s">
        <v>43</v>
      </c>
      <c r="C8620" s="38" t="s">
        <v>11087</v>
      </c>
      <c r="D8620" s="23">
        <v>2023</v>
      </c>
      <c r="E8620" s="18" t="s">
        <v>0</v>
      </c>
      <c r="F8620" s="6">
        <v>1</v>
      </c>
      <c r="G8620" s="40">
        <v>5</v>
      </c>
      <c r="H8620" s="40">
        <v>25.591759999999997</v>
      </c>
      <c r="I8620" s="212"/>
      <c r="J8620" s="212"/>
    </row>
    <row r="8621" spans="1:10" s="15" customFormat="1" ht="18" hidden="1" customHeight="1" outlineLevel="1" x14ac:dyDescent="0.25">
      <c r="A8621" s="18">
        <v>5787</v>
      </c>
      <c r="B8621" s="4" t="s">
        <v>43</v>
      </c>
      <c r="C8621" s="38" t="s">
        <v>11088</v>
      </c>
      <c r="D8621" s="23">
        <v>2023</v>
      </c>
      <c r="E8621" s="18" t="s">
        <v>0</v>
      </c>
      <c r="F8621" s="6">
        <v>1</v>
      </c>
      <c r="G8621" s="40">
        <v>5</v>
      </c>
      <c r="H8621" s="40">
        <v>25.591759999999997</v>
      </c>
      <c r="I8621" s="212"/>
      <c r="J8621" s="212"/>
    </row>
    <row r="8622" spans="1:10" s="15" customFormat="1" ht="18" hidden="1" customHeight="1" outlineLevel="1" x14ac:dyDescent="0.25">
      <c r="A8622" s="18">
        <v>5788</v>
      </c>
      <c r="B8622" s="4" t="s">
        <v>43</v>
      </c>
      <c r="C8622" s="38" t="s">
        <v>11089</v>
      </c>
      <c r="D8622" s="23">
        <v>2023</v>
      </c>
      <c r="E8622" s="18" t="s">
        <v>0</v>
      </c>
      <c r="F8622" s="6">
        <v>1</v>
      </c>
      <c r="G8622" s="40">
        <v>5</v>
      </c>
      <c r="H8622" s="40">
        <v>25.591759999999997</v>
      </c>
      <c r="I8622" s="212"/>
      <c r="J8622" s="212"/>
    </row>
    <row r="8623" spans="1:10" s="15" customFormat="1" ht="18" hidden="1" customHeight="1" outlineLevel="1" x14ac:dyDescent="0.25">
      <c r="A8623" s="18">
        <v>5789</v>
      </c>
      <c r="B8623" s="4" t="s">
        <v>43</v>
      </c>
      <c r="C8623" s="38" t="s">
        <v>11090</v>
      </c>
      <c r="D8623" s="23">
        <v>2023</v>
      </c>
      <c r="E8623" s="18" t="s">
        <v>0</v>
      </c>
      <c r="F8623" s="6">
        <v>1</v>
      </c>
      <c r="G8623" s="40">
        <v>5</v>
      </c>
      <c r="H8623" s="40">
        <v>25.591759999999997</v>
      </c>
      <c r="I8623" s="212"/>
      <c r="J8623" s="212"/>
    </row>
    <row r="8624" spans="1:10" s="15" customFormat="1" ht="18" hidden="1" customHeight="1" outlineLevel="1" x14ac:dyDescent="0.25">
      <c r="A8624" s="18">
        <v>5790</v>
      </c>
      <c r="B8624" s="4" t="s">
        <v>43</v>
      </c>
      <c r="C8624" s="38" t="s">
        <v>11091</v>
      </c>
      <c r="D8624" s="23">
        <v>2023</v>
      </c>
      <c r="E8624" s="18" t="s">
        <v>0</v>
      </c>
      <c r="F8624" s="6">
        <v>1</v>
      </c>
      <c r="G8624" s="40">
        <v>5</v>
      </c>
      <c r="H8624" s="40">
        <v>25.629389999999997</v>
      </c>
      <c r="I8624" s="212"/>
      <c r="J8624" s="212"/>
    </row>
    <row r="8625" spans="1:10" s="15" customFormat="1" ht="18" hidden="1" customHeight="1" outlineLevel="1" x14ac:dyDescent="0.25">
      <c r="A8625" s="18">
        <v>5791</v>
      </c>
      <c r="B8625" s="4" t="s">
        <v>43</v>
      </c>
      <c r="C8625" s="38" t="s">
        <v>11092</v>
      </c>
      <c r="D8625" s="23">
        <v>2023</v>
      </c>
      <c r="E8625" s="18" t="s">
        <v>0</v>
      </c>
      <c r="F8625" s="6">
        <v>1</v>
      </c>
      <c r="G8625" s="40">
        <v>5</v>
      </c>
      <c r="H8625" s="40">
        <v>25.629389999999997</v>
      </c>
      <c r="I8625" s="212"/>
      <c r="J8625" s="212"/>
    </row>
    <row r="8626" spans="1:10" s="15" customFormat="1" ht="18" hidden="1" customHeight="1" outlineLevel="1" x14ac:dyDescent="0.25">
      <c r="A8626" s="18">
        <v>5792</v>
      </c>
      <c r="B8626" s="4" t="s">
        <v>43</v>
      </c>
      <c r="C8626" s="38" t="s">
        <v>11093</v>
      </c>
      <c r="D8626" s="23">
        <v>2023</v>
      </c>
      <c r="E8626" s="18" t="s">
        <v>0</v>
      </c>
      <c r="F8626" s="6">
        <v>1</v>
      </c>
      <c r="G8626" s="40">
        <v>6</v>
      </c>
      <c r="H8626" s="40">
        <v>25.629389999999997</v>
      </c>
      <c r="I8626" s="212"/>
      <c r="J8626" s="212"/>
    </row>
    <row r="8627" spans="1:10" s="15" customFormat="1" ht="18" hidden="1" customHeight="1" outlineLevel="1" x14ac:dyDescent="0.25">
      <c r="A8627" s="18">
        <v>5793</v>
      </c>
      <c r="B8627" s="4" t="s">
        <v>43</v>
      </c>
      <c r="C8627" s="38" t="s">
        <v>11094</v>
      </c>
      <c r="D8627" s="23">
        <v>2023</v>
      </c>
      <c r="E8627" s="18" t="s">
        <v>0</v>
      </c>
      <c r="F8627" s="6">
        <v>1</v>
      </c>
      <c r="G8627" s="40">
        <v>5</v>
      </c>
      <c r="H8627" s="40">
        <v>25.629389999999997</v>
      </c>
      <c r="I8627" s="212"/>
      <c r="J8627" s="212"/>
    </row>
    <row r="8628" spans="1:10" s="15" customFormat="1" ht="18" hidden="1" customHeight="1" outlineLevel="1" x14ac:dyDescent="0.25">
      <c r="A8628" s="18">
        <v>1898</v>
      </c>
      <c r="B8628" s="4" t="s">
        <v>43</v>
      </c>
      <c r="C8628" s="38" t="s">
        <v>11095</v>
      </c>
      <c r="D8628" s="23">
        <v>2023</v>
      </c>
      <c r="E8628" s="18" t="s">
        <v>0</v>
      </c>
      <c r="F8628" s="6">
        <v>1</v>
      </c>
      <c r="G8628" s="40">
        <v>5</v>
      </c>
      <c r="H8628" s="40">
        <v>25.629389999999997</v>
      </c>
      <c r="I8628" s="212"/>
      <c r="J8628" s="212"/>
    </row>
    <row r="8629" spans="1:10" s="15" customFormat="1" ht="18" hidden="1" customHeight="1" outlineLevel="1" x14ac:dyDescent="0.25">
      <c r="A8629" s="18">
        <v>5794</v>
      </c>
      <c r="B8629" s="4" t="s">
        <v>43</v>
      </c>
      <c r="C8629" s="38" t="s">
        <v>11096</v>
      </c>
      <c r="D8629" s="23">
        <v>2023</v>
      </c>
      <c r="E8629" s="18" t="s">
        <v>0</v>
      </c>
      <c r="F8629" s="6">
        <v>1</v>
      </c>
      <c r="G8629" s="40">
        <v>10</v>
      </c>
      <c r="H8629" s="40">
        <v>25.629389999999997</v>
      </c>
      <c r="I8629" s="212"/>
      <c r="J8629" s="212"/>
    </row>
    <row r="8630" spans="1:10" s="15" customFormat="1" ht="18" hidden="1" customHeight="1" outlineLevel="1" x14ac:dyDescent="0.25">
      <c r="A8630" s="18">
        <v>1911</v>
      </c>
      <c r="B8630" s="4" t="s">
        <v>43</v>
      </c>
      <c r="C8630" s="38" t="s">
        <v>11097</v>
      </c>
      <c r="D8630" s="23">
        <v>2023</v>
      </c>
      <c r="E8630" s="18" t="s">
        <v>0</v>
      </c>
      <c r="F8630" s="6">
        <v>1</v>
      </c>
      <c r="G8630" s="40">
        <v>5</v>
      </c>
      <c r="H8630" s="40">
        <v>25.629389999999997</v>
      </c>
      <c r="I8630" s="212"/>
      <c r="J8630" s="212"/>
    </row>
    <row r="8631" spans="1:10" s="15" customFormat="1" ht="18" hidden="1" customHeight="1" outlineLevel="1" x14ac:dyDescent="0.25">
      <c r="A8631" s="18">
        <v>5795</v>
      </c>
      <c r="B8631" s="4" t="s">
        <v>43</v>
      </c>
      <c r="C8631" s="38" t="s">
        <v>11098</v>
      </c>
      <c r="D8631" s="23">
        <v>2023</v>
      </c>
      <c r="E8631" s="18" t="s">
        <v>0</v>
      </c>
      <c r="F8631" s="6">
        <v>1</v>
      </c>
      <c r="G8631" s="40">
        <v>5</v>
      </c>
      <c r="H8631" s="40">
        <v>25.629389999999997</v>
      </c>
      <c r="I8631" s="212"/>
      <c r="J8631" s="212"/>
    </row>
    <row r="8632" spans="1:10" s="15" customFormat="1" ht="18" hidden="1" customHeight="1" outlineLevel="1" x14ac:dyDescent="0.25">
      <c r="A8632" s="18">
        <v>1829</v>
      </c>
      <c r="B8632" s="4" t="s">
        <v>43</v>
      </c>
      <c r="C8632" s="38" t="s">
        <v>11099</v>
      </c>
      <c r="D8632" s="23">
        <v>2023</v>
      </c>
      <c r="E8632" s="18" t="s">
        <v>0</v>
      </c>
      <c r="F8632" s="6">
        <v>1</v>
      </c>
      <c r="G8632" s="40">
        <v>5</v>
      </c>
      <c r="H8632" s="40">
        <v>27.774370000000001</v>
      </c>
      <c r="I8632" s="212"/>
      <c r="J8632" s="212"/>
    </row>
    <row r="8633" spans="1:10" s="15" customFormat="1" ht="18" hidden="1" customHeight="1" outlineLevel="1" x14ac:dyDescent="0.25">
      <c r="A8633" s="18">
        <v>5796</v>
      </c>
      <c r="B8633" s="4" t="s">
        <v>43</v>
      </c>
      <c r="C8633" s="38" t="s">
        <v>11100</v>
      </c>
      <c r="D8633" s="23">
        <v>2023</v>
      </c>
      <c r="E8633" s="18" t="s">
        <v>0</v>
      </c>
      <c r="F8633" s="6">
        <v>1</v>
      </c>
      <c r="G8633" s="40">
        <v>3</v>
      </c>
      <c r="H8633" s="40">
        <v>26.927849999999999</v>
      </c>
      <c r="I8633" s="212"/>
      <c r="J8633" s="212"/>
    </row>
    <row r="8634" spans="1:10" s="15" customFormat="1" ht="18" hidden="1" customHeight="1" outlineLevel="1" x14ac:dyDescent="0.25">
      <c r="A8634" s="18">
        <v>5802</v>
      </c>
      <c r="B8634" s="4" t="s">
        <v>43</v>
      </c>
      <c r="C8634" s="38" t="s">
        <v>11101</v>
      </c>
      <c r="D8634" s="23">
        <v>2023</v>
      </c>
      <c r="E8634" s="18" t="s">
        <v>0</v>
      </c>
      <c r="F8634" s="6">
        <v>1</v>
      </c>
      <c r="G8634" s="40">
        <v>5</v>
      </c>
      <c r="H8634" s="40">
        <v>12.620509999999999</v>
      </c>
      <c r="I8634" s="212"/>
      <c r="J8634" s="212"/>
    </row>
    <row r="8635" spans="1:10" s="15" customFormat="1" ht="18" hidden="1" customHeight="1" outlineLevel="1" x14ac:dyDescent="0.25">
      <c r="A8635" s="18">
        <v>2622</v>
      </c>
      <c r="B8635" s="4" t="s">
        <v>43</v>
      </c>
      <c r="C8635" s="38" t="s">
        <v>11102</v>
      </c>
      <c r="D8635" s="23">
        <v>2023</v>
      </c>
      <c r="E8635" s="18" t="s">
        <v>0</v>
      </c>
      <c r="F8635" s="6">
        <v>1</v>
      </c>
      <c r="G8635" s="40">
        <v>2</v>
      </c>
      <c r="H8635" s="40">
        <v>19.21369</v>
      </c>
      <c r="I8635" s="212"/>
      <c r="J8635" s="212"/>
    </row>
    <row r="8636" spans="1:10" s="15" customFormat="1" ht="18" hidden="1" customHeight="1" outlineLevel="1" x14ac:dyDescent="0.25">
      <c r="A8636" s="18">
        <v>5807</v>
      </c>
      <c r="B8636" s="4" t="s">
        <v>43</v>
      </c>
      <c r="C8636" s="38" t="s">
        <v>11103</v>
      </c>
      <c r="D8636" s="23">
        <v>2023</v>
      </c>
      <c r="E8636" s="18" t="s">
        <v>0</v>
      </c>
      <c r="F8636" s="6">
        <v>1</v>
      </c>
      <c r="G8636" s="40">
        <v>10</v>
      </c>
      <c r="H8636" s="40">
        <v>18.035589999999999</v>
      </c>
      <c r="I8636" s="212"/>
      <c r="J8636" s="212"/>
    </row>
    <row r="8637" spans="1:10" s="15" customFormat="1" ht="18" hidden="1" customHeight="1" outlineLevel="1" x14ac:dyDescent="0.25">
      <c r="A8637" s="18">
        <v>2006</v>
      </c>
      <c r="B8637" s="4" t="s">
        <v>43</v>
      </c>
      <c r="C8637" s="38" t="s">
        <v>11104</v>
      </c>
      <c r="D8637" s="23">
        <v>2023</v>
      </c>
      <c r="E8637" s="18" t="s">
        <v>0</v>
      </c>
      <c r="F8637" s="6">
        <v>1</v>
      </c>
      <c r="G8637" s="40">
        <v>5</v>
      </c>
      <c r="H8637" s="40">
        <v>17.982400000000002</v>
      </c>
      <c r="I8637" s="212"/>
      <c r="J8637" s="212"/>
    </row>
    <row r="8638" spans="1:10" s="15" customFormat="1" ht="18" hidden="1" customHeight="1" outlineLevel="1" x14ac:dyDescent="0.25">
      <c r="A8638" s="18">
        <v>5808</v>
      </c>
      <c r="B8638" s="4" t="s">
        <v>43</v>
      </c>
      <c r="C8638" s="38" t="s">
        <v>11105</v>
      </c>
      <c r="D8638" s="23">
        <v>2023</v>
      </c>
      <c r="E8638" s="18" t="s">
        <v>0</v>
      </c>
      <c r="F8638" s="6">
        <v>1</v>
      </c>
      <c r="G8638" s="40">
        <v>15</v>
      </c>
      <c r="H8638" s="40">
        <v>18.237299999999998</v>
      </c>
      <c r="I8638" s="212"/>
      <c r="J8638" s="212"/>
    </row>
    <row r="8639" spans="1:10" s="15" customFormat="1" ht="18" hidden="1" customHeight="1" outlineLevel="1" x14ac:dyDescent="0.25">
      <c r="A8639" s="18">
        <v>1986</v>
      </c>
      <c r="B8639" s="4" t="s">
        <v>43</v>
      </c>
      <c r="C8639" s="38" t="s">
        <v>11106</v>
      </c>
      <c r="D8639" s="23">
        <v>2023</v>
      </c>
      <c r="E8639" s="18" t="s">
        <v>0</v>
      </c>
      <c r="F8639" s="6">
        <v>1</v>
      </c>
      <c r="G8639" s="40">
        <v>7</v>
      </c>
      <c r="H8639" s="40">
        <v>18.237289999999998</v>
      </c>
      <c r="I8639" s="212"/>
      <c r="J8639" s="212"/>
    </row>
    <row r="8640" spans="1:10" s="15" customFormat="1" ht="18" hidden="1" customHeight="1" outlineLevel="1" x14ac:dyDescent="0.25">
      <c r="A8640" s="18">
        <v>5809</v>
      </c>
      <c r="B8640" s="4" t="s">
        <v>43</v>
      </c>
      <c r="C8640" s="38" t="s">
        <v>11107</v>
      </c>
      <c r="D8640" s="23">
        <v>2023</v>
      </c>
      <c r="E8640" s="18" t="s">
        <v>0</v>
      </c>
      <c r="F8640" s="6">
        <v>1</v>
      </c>
      <c r="G8640" s="40">
        <v>10</v>
      </c>
      <c r="H8640" s="40">
        <v>17.982410000000002</v>
      </c>
      <c r="I8640" s="212"/>
      <c r="J8640" s="212"/>
    </row>
    <row r="8641" spans="1:10" s="15" customFormat="1" ht="18" hidden="1" customHeight="1" outlineLevel="1" x14ac:dyDescent="0.25">
      <c r="A8641" s="18">
        <v>5810</v>
      </c>
      <c r="B8641" s="4" t="s">
        <v>43</v>
      </c>
      <c r="C8641" s="38" t="s">
        <v>11108</v>
      </c>
      <c r="D8641" s="23">
        <v>2023</v>
      </c>
      <c r="E8641" s="18" t="s">
        <v>0</v>
      </c>
      <c r="F8641" s="6">
        <v>1</v>
      </c>
      <c r="G8641" s="40">
        <v>5</v>
      </c>
      <c r="H8641" s="40">
        <v>17.982400000000002</v>
      </c>
      <c r="I8641" s="212"/>
      <c r="J8641" s="212"/>
    </row>
    <row r="8642" spans="1:10" s="15" customFormat="1" ht="18" hidden="1" customHeight="1" outlineLevel="1" x14ac:dyDescent="0.25">
      <c r="A8642" s="18">
        <v>5811</v>
      </c>
      <c r="B8642" s="4" t="s">
        <v>43</v>
      </c>
      <c r="C8642" s="38" t="s">
        <v>11109</v>
      </c>
      <c r="D8642" s="23">
        <v>2023</v>
      </c>
      <c r="E8642" s="18" t="s">
        <v>0</v>
      </c>
      <c r="F8642" s="6">
        <v>1</v>
      </c>
      <c r="G8642" s="40">
        <v>10</v>
      </c>
      <c r="H8642" s="40">
        <v>17.982410000000002</v>
      </c>
      <c r="I8642" s="212"/>
      <c r="J8642" s="212"/>
    </row>
    <row r="8643" spans="1:10" s="15" customFormat="1" ht="18" hidden="1" customHeight="1" outlineLevel="1" x14ac:dyDescent="0.25">
      <c r="A8643" s="18">
        <v>5812</v>
      </c>
      <c r="B8643" s="4" t="s">
        <v>43</v>
      </c>
      <c r="C8643" s="38" t="s">
        <v>11110</v>
      </c>
      <c r="D8643" s="23">
        <v>2023</v>
      </c>
      <c r="E8643" s="18" t="s">
        <v>0</v>
      </c>
      <c r="F8643" s="6">
        <v>1</v>
      </c>
      <c r="G8643" s="40">
        <v>10</v>
      </c>
      <c r="H8643" s="40">
        <v>17.982400000000002</v>
      </c>
      <c r="I8643" s="212"/>
      <c r="J8643" s="212"/>
    </row>
    <row r="8644" spans="1:10" s="15" customFormat="1" ht="18" hidden="1" customHeight="1" outlineLevel="1" x14ac:dyDescent="0.25">
      <c r="A8644" s="18">
        <v>5813</v>
      </c>
      <c r="B8644" s="4" t="s">
        <v>43</v>
      </c>
      <c r="C8644" s="38" t="s">
        <v>11111</v>
      </c>
      <c r="D8644" s="23">
        <v>2023</v>
      </c>
      <c r="E8644" s="18" t="s">
        <v>0</v>
      </c>
      <c r="F8644" s="6">
        <v>1</v>
      </c>
      <c r="G8644" s="40">
        <v>10</v>
      </c>
      <c r="H8644" s="40">
        <v>17.982410000000002</v>
      </c>
      <c r="I8644" s="212"/>
      <c r="J8644" s="212"/>
    </row>
    <row r="8645" spans="1:10" s="15" customFormat="1" ht="18" hidden="1" customHeight="1" outlineLevel="1" x14ac:dyDescent="0.25">
      <c r="A8645" s="18">
        <v>5814</v>
      </c>
      <c r="B8645" s="4" t="s">
        <v>43</v>
      </c>
      <c r="C8645" s="38" t="s">
        <v>11112</v>
      </c>
      <c r="D8645" s="23">
        <v>2023</v>
      </c>
      <c r="E8645" s="18" t="s">
        <v>0</v>
      </c>
      <c r="F8645" s="6">
        <v>1</v>
      </c>
      <c r="G8645" s="40">
        <v>10</v>
      </c>
      <c r="H8645" s="40">
        <v>17.982400000000002</v>
      </c>
      <c r="I8645" s="212"/>
      <c r="J8645" s="212"/>
    </row>
    <row r="8646" spans="1:10" s="15" customFormat="1" ht="18" hidden="1" customHeight="1" outlineLevel="1" x14ac:dyDescent="0.25">
      <c r="A8646" s="18">
        <v>5815</v>
      </c>
      <c r="B8646" s="4" t="s">
        <v>43</v>
      </c>
      <c r="C8646" s="38" t="s">
        <v>11113</v>
      </c>
      <c r="D8646" s="23">
        <v>2023</v>
      </c>
      <c r="E8646" s="18" t="s">
        <v>0</v>
      </c>
      <c r="F8646" s="6">
        <v>1</v>
      </c>
      <c r="G8646" s="40">
        <v>10</v>
      </c>
      <c r="H8646" s="40">
        <v>17.53755</v>
      </c>
      <c r="I8646" s="212"/>
      <c r="J8646" s="212"/>
    </row>
    <row r="8647" spans="1:10" s="15" customFormat="1" ht="18" hidden="1" customHeight="1" outlineLevel="1" x14ac:dyDescent="0.25">
      <c r="A8647" s="18">
        <v>5816</v>
      </c>
      <c r="B8647" s="4" t="s">
        <v>43</v>
      </c>
      <c r="C8647" s="38" t="s">
        <v>11114</v>
      </c>
      <c r="D8647" s="23">
        <v>2023</v>
      </c>
      <c r="E8647" s="18" t="s">
        <v>0</v>
      </c>
      <c r="F8647" s="6">
        <v>1</v>
      </c>
      <c r="G8647" s="40">
        <v>10</v>
      </c>
      <c r="H8647" s="40">
        <v>17.79241</v>
      </c>
      <c r="I8647" s="212"/>
      <c r="J8647" s="212"/>
    </row>
    <row r="8648" spans="1:10" s="15" customFormat="1" ht="18" hidden="1" customHeight="1" outlineLevel="1" x14ac:dyDescent="0.25">
      <c r="A8648" s="18">
        <v>5817</v>
      </c>
      <c r="B8648" s="4" t="s">
        <v>43</v>
      </c>
      <c r="C8648" s="38" t="s">
        <v>11115</v>
      </c>
      <c r="D8648" s="23">
        <v>2023</v>
      </c>
      <c r="E8648" s="18" t="s">
        <v>0</v>
      </c>
      <c r="F8648" s="6">
        <v>1</v>
      </c>
      <c r="G8648" s="40">
        <v>10</v>
      </c>
      <c r="H8648" s="40">
        <v>17.79241</v>
      </c>
      <c r="I8648" s="212"/>
      <c r="J8648" s="212"/>
    </row>
    <row r="8649" spans="1:10" s="15" customFormat="1" ht="18" hidden="1" customHeight="1" outlineLevel="1" x14ac:dyDescent="0.25">
      <c r="A8649" s="18">
        <v>5818</v>
      </c>
      <c r="B8649" s="4" t="s">
        <v>43</v>
      </c>
      <c r="C8649" s="38" t="s">
        <v>11116</v>
      </c>
      <c r="D8649" s="23">
        <v>2023</v>
      </c>
      <c r="E8649" s="18" t="s">
        <v>0</v>
      </c>
      <c r="F8649" s="6">
        <v>1</v>
      </c>
      <c r="G8649" s="40">
        <v>10</v>
      </c>
      <c r="H8649" s="40">
        <v>17.79241</v>
      </c>
      <c r="I8649" s="212"/>
      <c r="J8649" s="212"/>
    </row>
    <row r="8650" spans="1:10" s="15" customFormat="1" ht="18" hidden="1" customHeight="1" outlineLevel="1" x14ac:dyDescent="0.25">
      <c r="A8650" s="18">
        <v>5819</v>
      </c>
      <c r="B8650" s="4" t="s">
        <v>43</v>
      </c>
      <c r="C8650" s="38" t="s">
        <v>11117</v>
      </c>
      <c r="D8650" s="23">
        <v>2023</v>
      </c>
      <c r="E8650" s="18" t="s">
        <v>0</v>
      </c>
      <c r="F8650" s="6">
        <v>1</v>
      </c>
      <c r="G8650" s="40">
        <v>10</v>
      </c>
      <c r="H8650" s="40">
        <v>17.79241</v>
      </c>
      <c r="I8650" s="212"/>
      <c r="J8650" s="212"/>
    </row>
    <row r="8651" spans="1:10" s="15" customFormat="1" ht="18" hidden="1" customHeight="1" outlineLevel="1" x14ac:dyDescent="0.25">
      <c r="A8651" s="18">
        <v>5823</v>
      </c>
      <c r="B8651" s="4" t="s">
        <v>43</v>
      </c>
      <c r="C8651" s="38" t="s">
        <v>11118</v>
      </c>
      <c r="D8651" s="23">
        <v>2023</v>
      </c>
      <c r="E8651" s="18" t="s">
        <v>0</v>
      </c>
      <c r="F8651" s="6">
        <v>1</v>
      </c>
      <c r="G8651" s="40">
        <v>8</v>
      </c>
      <c r="H8651" s="40">
        <v>16.524810000000002</v>
      </c>
      <c r="I8651" s="212"/>
      <c r="J8651" s="212"/>
    </row>
    <row r="8652" spans="1:10" s="15" customFormat="1" ht="18" hidden="1" customHeight="1" outlineLevel="1" x14ac:dyDescent="0.25">
      <c r="A8652" s="18">
        <v>5824</v>
      </c>
      <c r="B8652" s="4" t="s">
        <v>43</v>
      </c>
      <c r="C8652" s="38" t="s">
        <v>11119</v>
      </c>
      <c r="D8652" s="23">
        <v>2023</v>
      </c>
      <c r="E8652" s="18" t="s">
        <v>0</v>
      </c>
      <c r="F8652" s="6">
        <v>1</v>
      </c>
      <c r="G8652" s="40">
        <v>5</v>
      </c>
      <c r="H8652" s="40">
        <v>16.524810000000002</v>
      </c>
      <c r="I8652" s="212"/>
      <c r="J8652" s="212"/>
    </row>
    <row r="8653" spans="1:10" s="15" customFormat="1" ht="18" hidden="1" customHeight="1" outlineLevel="1" x14ac:dyDescent="0.25">
      <c r="A8653" s="18">
        <v>2036</v>
      </c>
      <c r="B8653" s="4" t="s">
        <v>43</v>
      </c>
      <c r="C8653" s="38" t="s">
        <v>11120</v>
      </c>
      <c r="D8653" s="23">
        <v>2023</v>
      </c>
      <c r="E8653" s="18" t="s">
        <v>0</v>
      </c>
      <c r="F8653" s="6">
        <v>1</v>
      </c>
      <c r="G8653" s="40">
        <v>5</v>
      </c>
      <c r="H8653" s="40">
        <v>16.524810000000002</v>
      </c>
      <c r="I8653" s="212"/>
      <c r="J8653" s="212"/>
    </row>
    <row r="8654" spans="1:10" s="15" customFormat="1" ht="18" hidden="1" customHeight="1" outlineLevel="1" x14ac:dyDescent="0.25">
      <c r="A8654" s="18">
        <v>5825</v>
      </c>
      <c r="B8654" s="4" t="s">
        <v>43</v>
      </c>
      <c r="C8654" s="38" t="s">
        <v>11121</v>
      </c>
      <c r="D8654" s="23">
        <v>2023</v>
      </c>
      <c r="E8654" s="18" t="s">
        <v>0</v>
      </c>
      <c r="F8654" s="6">
        <v>1</v>
      </c>
      <c r="G8654" s="40">
        <v>10</v>
      </c>
      <c r="H8654" s="40">
        <v>16.767220000000002</v>
      </c>
      <c r="I8654" s="212"/>
      <c r="J8654" s="212"/>
    </row>
    <row r="8655" spans="1:10" s="15" customFormat="1" ht="18" hidden="1" customHeight="1" outlineLevel="1" x14ac:dyDescent="0.25">
      <c r="A8655" s="18">
        <v>2088</v>
      </c>
      <c r="B8655" s="4" t="s">
        <v>43</v>
      </c>
      <c r="C8655" s="38" t="s">
        <v>11122</v>
      </c>
      <c r="D8655" s="23">
        <v>2023</v>
      </c>
      <c r="E8655" s="18" t="s">
        <v>0</v>
      </c>
      <c r="F8655" s="6">
        <v>1</v>
      </c>
      <c r="G8655" s="40">
        <v>5</v>
      </c>
      <c r="H8655" s="40">
        <v>16.767220000000002</v>
      </c>
      <c r="I8655" s="212"/>
      <c r="J8655" s="212"/>
    </row>
    <row r="8656" spans="1:10" s="15" customFormat="1" ht="18" hidden="1" customHeight="1" outlineLevel="1" x14ac:dyDescent="0.25">
      <c r="A8656" s="18">
        <v>2078</v>
      </c>
      <c r="B8656" s="4" t="s">
        <v>43</v>
      </c>
      <c r="C8656" s="38" t="s">
        <v>11123</v>
      </c>
      <c r="D8656" s="23">
        <v>2023</v>
      </c>
      <c r="E8656" s="18" t="s">
        <v>0</v>
      </c>
      <c r="F8656" s="6">
        <v>1</v>
      </c>
      <c r="G8656" s="40">
        <v>5</v>
      </c>
      <c r="H8656" s="40">
        <v>16.767220000000002</v>
      </c>
      <c r="I8656" s="212"/>
      <c r="J8656" s="212"/>
    </row>
    <row r="8657" spans="1:10" s="15" customFormat="1" ht="18" hidden="1" customHeight="1" outlineLevel="1" x14ac:dyDescent="0.25">
      <c r="A8657" s="18">
        <v>2095</v>
      </c>
      <c r="B8657" s="4" t="s">
        <v>43</v>
      </c>
      <c r="C8657" s="38" t="s">
        <v>11124</v>
      </c>
      <c r="D8657" s="23">
        <v>2023</v>
      </c>
      <c r="E8657" s="18" t="s">
        <v>0</v>
      </c>
      <c r="F8657" s="6">
        <v>1</v>
      </c>
      <c r="G8657" s="40">
        <v>5</v>
      </c>
      <c r="H8657" s="40">
        <v>16.767209999999999</v>
      </c>
      <c r="I8657" s="212"/>
      <c r="J8657" s="212"/>
    </row>
    <row r="8658" spans="1:10" s="15" customFormat="1" ht="18" hidden="1" customHeight="1" outlineLevel="1" x14ac:dyDescent="0.25">
      <c r="A8658" s="18">
        <v>2076</v>
      </c>
      <c r="B8658" s="4" t="s">
        <v>43</v>
      </c>
      <c r="C8658" s="38" t="s">
        <v>11125</v>
      </c>
      <c r="D8658" s="23">
        <v>2023</v>
      </c>
      <c r="E8658" s="18" t="s">
        <v>0</v>
      </c>
      <c r="F8658" s="6">
        <v>1</v>
      </c>
      <c r="G8658" s="40">
        <v>5</v>
      </c>
      <c r="H8658" s="40">
        <v>16.767220000000002</v>
      </c>
      <c r="I8658" s="212"/>
      <c r="J8658" s="212"/>
    </row>
    <row r="8659" spans="1:10" s="15" customFormat="1" ht="18" hidden="1" customHeight="1" outlineLevel="1" x14ac:dyDescent="0.25">
      <c r="A8659" s="18">
        <v>1926</v>
      </c>
      <c r="B8659" s="4" t="s">
        <v>43</v>
      </c>
      <c r="C8659" s="38" t="s">
        <v>11126</v>
      </c>
      <c r="D8659" s="23">
        <v>2023</v>
      </c>
      <c r="E8659" s="18" t="s">
        <v>0</v>
      </c>
      <c r="F8659" s="6">
        <v>1</v>
      </c>
      <c r="G8659" s="40">
        <v>5</v>
      </c>
      <c r="H8659" s="40">
        <v>16.767220000000002</v>
      </c>
      <c r="I8659" s="212"/>
      <c r="J8659" s="212"/>
    </row>
    <row r="8660" spans="1:10" s="15" customFormat="1" ht="18" hidden="1" customHeight="1" outlineLevel="1" x14ac:dyDescent="0.25">
      <c r="A8660" s="18">
        <v>5826</v>
      </c>
      <c r="B8660" s="4" t="s">
        <v>43</v>
      </c>
      <c r="C8660" s="38" t="s">
        <v>11127</v>
      </c>
      <c r="D8660" s="23">
        <v>2023</v>
      </c>
      <c r="E8660" s="18" t="s">
        <v>0</v>
      </c>
      <c r="F8660" s="6">
        <v>1</v>
      </c>
      <c r="G8660" s="40">
        <v>5</v>
      </c>
      <c r="H8660" s="40">
        <v>16.767220000000002</v>
      </c>
      <c r="I8660" s="212"/>
      <c r="J8660" s="212"/>
    </row>
    <row r="8661" spans="1:10" s="15" customFormat="1" ht="18" hidden="1" customHeight="1" outlineLevel="1" x14ac:dyDescent="0.25">
      <c r="A8661" s="18">
        <v>5827</v>
      </c>
      <c r="B8661" s="4" t="s">
        <v>43</v>
      </c>
      <c r="C8661" s="38" t="s">
        <v>11128</v>
      </c>
      <c r="D8661" s="23">
        <v>2023</v>
      </c>
      <c r="E8661" s="18" t="s">
        <v>0</v>
      </c>
      <c r="F8661" s="6">
        <v>1</v>
      </c>
      <c r="G8661" s="40">
        <v>5</v>
      </c>
      <c r="H8661" s="40">
        <v>16.767220000000002</v>
      </c>
      <c r="I8661" s="212"/>
      <c r="J8661" s="212"/>
    </row>
    <row r="8662" spans="1:10" s="15" customFormat="1" ht="18" hidden="1" customHeight="1" outlineLevel="1" x14ac:dyDescent="0.25">
      <c r="A8662" s="18">
        <v>5828</v>
      </c>
      <c r="B8662" s="4" t="s">
        <v>43</v>
      </c>
      <c r="C8662" s="38" t="s">
        <v>11129</v>
      </c>
      <c r="D8662" s="23">
        <v>2023</v>
      </c>
      <c r="E8662" s="18" t="s">
        <v>0</v>
      </c>
      <c r="F8662" s="6">
        <v>1</v>
      </c>
      <c r="G8662" s="40">
        <v>5</v>
      </c>
      <c r="H8662" s="40">
        <v>16.767220000000002</v>
      </c>
      <c r="I8662" s="212"/>
      <c r="J8662" s="212"/>
    </row>
    <row r="8663" spans="1:10" s="15" customFormat="1" ht="18" hidden="1" customHeight="1" outlineLevel="1" x14ac:dyDescent="0.25">
      <c r="A8663" s="18">
        <v>5829</v>
      </c>
      <c r="B8663" s="4" t="s">
        <v>43</v>
      </c>
      <c r="C8663" s="38" t="s">
        <v>11130</v>
      </c>
      <c r="D8663" s="23">
        <v>2023</v>
      </c>
      <c r="E8663" s="18" t="s">
        <v>0</v>
      </c>
      <c r="F8663" s="6">
        <v>1</v>
      </c>
      <c r="G8663" s="40">
        <v>5</v>
      </c>
      <c r="H8663" s="40">
        <v>16.79346</v>
      </c>
      <c r="I8663" s="212"/>
      <c r="J8663" s="212"/>
    </row>
    <row r="8664" spans="1:10" s="15" customFormat="1" ht="18" hidden="1" customHeight="1" outlineLevel="1" x14ac:dyDescent="0.25">
      <c r="A8664" s="18">
        <v>5830</v>
      </c>
      <c r="B8664" s="4" t="s">
        <v>43</v>
      </c>
      <c r="C8664" s="38" t="s">
        <v>11131</v>
      </c>
      <c r="D8664" s="23">
        <v>2023</v>
      </c>
      <c r="E8664" s="18" t="s">
        <v>0</v>
      </c>
      <c r="F8664" s="6">
        <v>1</v>
      </c>
      <c r="G8664" s="40">
        <v>5</v>
      </c>
      <c r="H8664" s="40">
        <v>16.79346</v>
      </c>
      <c r="I8664" s="212"/>
      <c r="J8664" s="212"/>
    </row>
    <row r="8665" spans="1:10" s="15" customFormat="1" ht="18" hidden="1" customHeight="1" outlineLevel="1" x14ac:dyDescent="0.25">
      <c r="A8665" s="18">
        <v>5831</v>
      </c>
      <c r="B8665" s="4" t="s">
        <v>43</v>
      </c>
      <c r="C8665" s="38" t="s">
        <v>11132</v>
      </c>
      <c r="D8665" s="23">
        <v>2023</v>
      </c>
      <c r="E8665" s="18" t="s">
        <v>0</v>
      </c>
      <c r="F8665" s="6">
        <v>1</v>
      </c>
      <c r="G8665" s="40">
        <v>5</v>
      </c>
      <c r="H8665" s="40">
        <v>16.924709999999997</v>
      </c>
      <c r="I8665" s="212"/>
      <c r="J8665" s="212"/>
    </row>
    <row r="8666" spans="1:10" s="15" customFormat="1" ht="18" hidden="1" customHeight="1" outlineLevel="1" x14ac:dyDescent="0.25">
      <c r="A8666" s="18">
        <v>5832</v>
      </c>
      <c r="B8666" s="4" t="s">
        <v>43</v>
      </c>
      <c r="C8666" s="38" t="s">
        <v>11133</v>
      </c>
      <c r="D8666" s="23">
        <v>2023</v>
      </c>
      <c r="E8666" s="18" t="s">
        <v>0</v>
      </c>
      <c r="F8666" s="6">
        <v>1</v>
      </c>
      <c r="G8666" s="40">
        <v>10</v>
      </c>
      <c r="H8666" s="40">
        <v>16.68845</v>
      </c>
      <c r="I8666" s="212"/>
      <c r="J8666" s="212"/>
    </row>
    <row r="8667" spans="1:10" s="15" customFormat="1" ht="18" hidden="1" customHeight="1" outlineLevel="1" x14ac:dyDescent="0.25">
      <c r="A8667" s="18">
        <v>5833</v>
      </c>
      <c r="B8667" s="4" t="s">
        <v>43</v>
      </c>
      <c r="C8667" s="38" t="s">
        <v>11134</v>
      </c>
      <c r="D8667" s="23">
        <v>2023</v>
      </c>
      <c r="E8667" s="18" t="s">
        <v>0</v>
      </c>
      <c r="F8667" s="6">
        <v>1</v>
      </c>
      <c r="G8667" s="40">
        <v>5</v>
      </c>
      <c r="H8667" s="40">
        <v>24.5716</v>
      </c>
      <c r="I8667" s="212"/>
      <c r="J8667" s="212"/>
    </row>
    <row r="8668" spans="1:10" s="15" customFormat="1" ht="18" hidden="1" customHeight="1" outlineLevel="1" x14ac:dyDescent="0.25">
      <c r="A8668" s="18">
        <v>5834</v>
      </c>
      <c r="B8668" s="4" t="s">
        <v>43</v>
      </c>
      <c r="C8668" s="38" t="s">
        <v>11135</v>
      </c>
      <c r="D8668" s="23">
        <v>2023</v>
      </c>
      <c r="E8668" s="18" t="s">
        <v>0</v>
      </c>
      <c r="F8668" s="6">
        <v>1</v>
      </c>
      <c r="G8668" s="40">
        <v>5</v>
      </c>
      <c r="H8668" s="40">
        <v>24.414089999999998</v>
      </c>
      <c r="I8668" s="212"/>
      <c r="J8668" s="212"/>
    </row>
    <row r="8669" spans="1:10" s="15" customFormat="1" ht="18" hidden="1" customHeight="1" outlineLevel="1" x14ac:dyDescent="0.25">
      <c r="A8669" s="18">
        <v>2055</v>
      </c>
      <c r="B8669" s="4" t="s">
        <v>43</v>
      </c>
      <c r="C8669" s="38" t="s">
        <v>11136</v>
      </c>
      <c r="D8669" s="23">
        <v>2023</v>
      </c>
      <c r="E8669" s="18" t="s">
        <v>0</v>
      </c>
      <c r="F8669" s="6">
        <v>1</v>
      </c>
      <c r="G8669" s="40">
        <v>5</v>
      </c>
      <c r="H8669" s="40">
        <v>16.68844</v>
      </c>
      <c r="I8669" s="212"/>
      <c r="J8669" s="212"/>
    </row>
    <row r="8670" spans="1:10" s="15" customFormat="1" ht="18" hidden="1" customHeight="1" outlineLevel="1" x14ac:dyDescent="0.25">
      <c r="A8670" s="18">
        <v>5836</v>
      </c>
      <c r="B8670" s="4" t="s">
        <v>43</v>
      </c>
      <c r="C8670" s="38" t="s">
        <v>11137</v>
      </c>
      <c r="D8670" s="23">
        <v>2023</v>
      </c>
      <c r="E8670" s="18" t="s">
        <v>0</v>
      </c>
      <c r="F8670" s="6">
        <v>1</v>
      </c>
      <c r="G8670" s="40">
        <v>10</v>
      </c>
      <c r="H8670" s="40">
        <v>16.668349999999997</v>
      </c>
      <c r="I8670" s="212"/>
      <c r="J8670" s="212"/>
    </row>
    <row r="8671" spans="1:10" s="15" customFormat="1" ht="18" hidden="1" customHeight="1" outlineLevel="1" x14ac:dyDescent="0.25">
      <c r="A8671" s="18">
        <v>5837</v>
      </c>
      <c r="B8671" s="4" t="s">
        <v>43</v>
      </c>
      <c r="C8671" s="38" t="s">
        <v>11138</v>
      </c>
      <c r="D8671" s="23">
        <v>2023</v>
      </c>
      <c r="E8671" s="18" t="s">
        <v>0</v>
      </c>
      <c r="F8671" s="6">
        <v>1</v>
      </c>
      <c r="G8671" s="40">
        <v>10</v>
      </c>
      <c r="H8671" s="40">
        <v>16.510830000000002</v>
      </c>
      <c r="I8671" s="212"/>
      <c r="J8671" s="212"/>
    </row>
    <row r="8672" spans="1:10" s="15" customFormat="1" ht="18" hidden="1" customHeight="1" outlineLevel="1" x14ac:dyDescent="0.25">
      <c r="A8672" s="18">
        <v>5838</v>
      </c>
      <c r="B8672" s="4" t="s">
        <v>43</v>
      </c>
      <c r="C8672" s="38" t="s">
        <v>11139</v>
      </c>
      <c r="D8672" s="23">
        <v>2023</v>
      </c>
      <c r="E8672" s="18" t="s">
        <v>0</v>
      </c>
      <c r="F8672" s="6">
        <v>1</v>
      </c>
      <c r="G8672" s="40">
        <v>8</v>
      </c>
      <c r="H8672" s="40">
        <v>16.668349999999997</v>
      </c>
      <c r="I8672" s="212"/>
      <c r="J8672" s="212"/>
    </row>
    <row r="8673" spans="1:10" s="15" customFormat="1" ht="18" hidden="1" customHeight="1" outlineLevel="1" x14ac:dyDescent="0.25">
      <c r="A8673" s="18">
        <v>5839</v>
      </c>
      <c r="B8673" s="4" t="s">
        <v>43</v>
      </c>
      <c r="C8673" s="38" t="s">
        <v>11140</v>
      </c>
      <c r="D8673" s="23">
        <v>2023</v>
      </c>
      <c r="E8673" s="18" t="s">
        <v>0</v>
      </c>
      <c r="F8673" s="6">
        <v>1</v>
      </c>
      <c r="G8673" s="40">
        <v>5</v>
      </c>
      <c r="H8673" s="40">
        <v>16.510830000000002</v>
      </c>
      <c r="I8673" s="212"/>
      <c r="J8673" s="212"/>
    </row>
    <row r="8674" spans="1:10" s="15" customFormat="1" ht="18" hidden="1" customHeight="1" outlineLevel="1" x14ac:dyDescent="0.25">
      <c r="A8674" s="18">
        <v>5840</v>
      </c>
      <c r="B8674" s="4" t="s">
        <v>43</v>
      </c>
      <c r="C8674" s="38" t="s">
        <v>11141</v>
      </c>
      <c r="D8674" s="23">
        <v>2023</v>
      </c>
      <c r="E8674" s="18" t="s">
        <v>0</v>
      </c>
      <c r="F8674" s="6">
        <v>1</v>
      </c>
      <c r="G8674" s="40">
        <v>5</v>
      </c>
      <c r="H8674" s="40">
        <v>16.668349999999997</v>
      </c>
      <c r="I8674" s="212"/>
      <c r="J8674" s="212"/>
    </row>
    <row r="8675" spans="1:10" s="15" customFormat="1" ht="18" hidden="1" customHeight="1" outlineLevel="1" x14ac:dyDescent="0.25">
      <c r="A8675" s="18">
        <v>2034</v>
      </c>
      <c r="B8675" s="4" t="s">
        <v>43</v>
      </c>
      <c r="C8675" s="38" t="s">
        <v>11142</v>
      </c>
      <c r="D8675" s="23">
        <v>2023</v>
      </c>
      <c r="E8675" s="18" t="s">
        <v>0</v>
      </c>
      <c r="F8675" s="6">
        <v>1</v>
      </c>
      <c r="G8675" s="40">
        <v>5</v>
      </c>
      <c r="H8675" s="40">
        <v>24.236470000000001</v>
      </c>
      <c r="I8675" s="212"/>
      <c r="J8675" s="212"/>
    </row>
    <row r="8676" spans="1:10" s="15" customFormat="1" ht="18" hidden="1" customHeight="1" outlineLevel="1" x14ac:dyDescent="0.25">
      <c r="A8676" s="18">
        <v>2064</v>
      </c>
      <c r="B8676" s="4" t="s">
        <v>43</v>
      </c>
      <c r="C8676" s="38" t="s">
        <v>11143</v>
      </c>
      <c r="D8676" s="23">
        <v>2023</v>
      </c>
      <c r="E8676" s="18" t="s">
        <v>0</v>
      </c>
      <c r="F8676" s="6">
        <v>1</v>
      </c>
      <c r="G8676" s="40">
        <v>5</v>
      </c>
      <c r="H8676" s="40">
        <v>16.668340000000001</v>
      </c>
      <c r="I8676" s="212"/>
      <c r="J8676" s="212"/>
    </row>
    <row r="8677" spans="1:10" s="15" customFormat="1" ht="18" hidden="1" customHeight="1" outlineLevel="1" x14ac:dyDescent="0.25">
      <c r="A8677" s="18">
        <v>2000</v>
      </c>
      <c r="B8677" s="4" t="s">
        <v>43</v>
      </c>
      <c r="C8677" s="38" t="s">
        <v>11144</v>
      </c>
      <c r="D8677" s="23">
        <v>2023</v>
      </c>
      <c r="E8677" s="18" t="s">
        <v>0</v>
      </c>
      <c r="F8677" s="6">
        <v>1</v>
      </c>
      <c r="G8677" s="40">
        <v>5</v>
      </c>
      <c r="H8677" s="40">
        <v>16.668340000000001</v>
      </c>
      <c r="I8677" s="212"/>
      <c r="J8677" s="212"/>
    </row>
    <row r="8678" spans="1:10" s="15" customFormat="1" ht="18" hidden="1" customHeight="1" outlineLevel="1" x14ac:dyDescent="0.25">
      <c r="A8678" s="18">
        <v>5842</v>
      </c>
      <c r="B8678" s="4" t="s">
        <v>43</v>
      </c>
      <c r="C8678" s="38" t="s">
        <v>11145</v>
      </c>
      <c r="D8678" s="23">
        <v>2023</v>
      </c>
      <c r="E8678" s="18" t="s">
        <v>0</v>
      </c>
      <c r="F8678" s="6">
        <v>1</v>
      </c>
      <c r="G8678" s="40">
        <v>5</v>
      </c>
      <c r="H8678" s="40">
        <v>16.446020000000001</v>
      </c>
      <c r="I8678" s="212"/>
      <c r="J8678" s="212"/>
    </row>
    <row r="8679" spans="1:10" s="15" customFormat="1" ht="18" hidden="1" customHeight="1" outlineLevel="1" x14ac:dyDescent="0.25">
      <c r="A8679" s="18">
        <v>2099</v>
      </c>
      <c r="B8679" s="4" t="s">
        <v>43</v>
      </c>
      <c r="C8679" s="38" t="s">
        <v>11146</v>
      </c>
      <c r="D8679" s="23">
        <v>2023</v>
      </c>
      <c r="E8679" s="18" t="s">
        <v>0</v>
      </c>
      <c r="F8679" s="6">
        <v>1</v>
      </c>
      <c r="G8679" s="40">
        <v>5</v>
      </c>
      <c r="H8679" s="40">
        <v>16.87219</v>
      </c>
      <c r="I8679" s="212"/>
      <c r="J8679" s="212"/>
    </row>
    <row r="8680" spans="1:10" s="15" customFormat="1" ht="18" hidden="1" customHeight="1" outlineLevel="1" x14ac:dyDescent="0.25">
      <c r="A8680" s="18">
        <v>2588</v>
      </c>
      <c r="B8680" s="4" t="s">
        <v>43</v>
      </c>
      <c r="C8680" s="38" t="s">
        <v>11147</v>
      </c>
      <c r="D8680" s="23">
        <v>2023</v>
      </c>
      <c r="E8680" s="18" t="s">
        <v>0</v>
      </c>
      <c r="F8680" s="6">
        <v>1</v>
      </c>
      <c r="G8680" s="40">
        <v>5</v>
      </c>
      <c r="H8680" s="40">
        <v>24.538139999999999</v>
      </c>
      <c r="I8680" s="212"/>
      <c r="J8680" s="212"/>
    </row>
    <row r="8681" spans="1:10" s="15" customFormat="1" ht="18" hidden="1" customHeight="1" outlineLevel="1" x14ac:dyDescent="0.25">
      <c r="A8681" s="18">
        <v>2621</v>
      </c>
      <c r="B8681" s="4" t="s">
        <v>43</v>
      </c>
      <c r="C8681" s="38" t="s">
        <v>11148</v>
      </c>
      <c r="D8681" s="23">
        <v>2023</v>
      </c>
      <c r="E8681" s="18" t="s">
        <v>0</v>
      </c>
      <c r="F8681" s="6">
        <v>1</v>
      </c>
      <c r="G8681" s="40">
        <v>5</v>
      </c>
      <c r="H8681" s="40">
        <v>17.029689999999999</v>
      </c>
      <c r="I8681" s="212"/>
      <c r="J8681" s="212"/>
    </row>
    <row r="8682" spans="1:10" s="15" customFormat="1" ht="18" hidden="1" customHeight="1" outlineLevel="1" x14ac:dyDescent="0.25">
      <c r="A8682" s="18">
        <v>1918</v>
      </c>
      <c r="B8682" s="4" t="s">
        <v>43</v>
      </c>
      <c r="C8682" s="38" t="s">
        <v>11149</v>
      </c>
      <c r="D8682" s="23">
        <v>2023</v>
      </c>
      <c r="E8682" s="18" t="s">
        <v>0</v>
      </c>
      <c r="F8682" s="6">
        <v>1</v>
      </c>
      <c r="G8682" s="40">
        <v>5</v>
      </c>
      <c r="H8682" s="40">
        <v>24.341919999999998</v>
      </c>
      <c r="I8682" s="212"/>
      <c r="J8682" s="212"/>
    </row>
    <row r="8683" spans="1:10" s="15" customFormat="1" ht="18" hidden="1" customHeight="1" outlineLevel="1" x14ac:dyDescent="0.25">
      <c r="A8683" s="18">
        <v>5843</v>
      </c>
      <c r="B8683" s="4" t="s">
        <v>43</v>
      </c>
      <c r="C8683" s="38" t="s">
        <v>11150</v>
      </c>
      <c r="D8683" s="23">
        <v>2023</v>
      </c>
      <c r="E8683" s="18" t="s">
        <v>0</v>
      </c>
      <c r="F8683" s="6">
        <v>1</v>
      </c>
      <c r="G8683" s="40">
        <v>5</v>
      </c>
      <c r="H8683" s="40">
        <v>24.341919999999998</v>
      </c>
      <c r="I8683" s="212"/>
      <c r="J8683" s="212"/>
    </row>
    <row r="8684" spans="1:10" s="15" customFormat="1" ht="18" hidden="1" customHeight="1" outlineLevel="1" x14ac:dyDescent="0.25">
      <c r="A8684" s="18">
        <v>1976</v>
      </c>
      <c r="B8684" s="4" t="s">
        <v>43</v>
      </c>
      <c r="C8684" s="38" t="s">
        <v>11151</v>
      </c>
      <c r="D8684" s="23">
        <v>2023</v>
      </c>
      <c r="E8684" s="18" t="s">
        <v>0</v>
      </c>
      <c r="F8684" s="6">
        <v>1</v>
      </c>
      <c r="G8684" s="40">
        <v>5</v>
      </c>
      <c r="H8684" s="40">
        <v>24.341919999999998</v>
      </c>
      <c r="I8684" s="212"/>
      <c r="J8684" s="212"/>
    </row>
    <row r="8685" spans="1:10" s="15" customFormat="1" ht="18" hidden="1" customHeight="1" outlineLevel="1" x14ac:dyDescent="0.25">
      <c r="A8685" s="18">
        <v>1968</v>
      </c>
      <c r="B8685" s="4" t="s">
        <v>43</v>
      </c>
      <c r="C8685" s="38" t="s">
        <v>11152</v>
      </c>
      <c r="D8685" s="23">
        <v>2023</v>
      </c>
      <c r="E8685" s="18" t="s">
        <v>0</v>
      </c>
      <c r="F8685" s="6">
        <v>1</v>
      </c>
      <c r="G8685" s="40">
        <v>5</v>
      </c>
      <c r="H8685" s="40">
        <v>24.341930000000001</v>
      </c>
      <c r="I8685" s="212"/>
      <c r="J8685" s="212"/>
    </row>
    <row r="8686" spans="1:10" s="15" customFormat="1" ht="18" hidden="1" customHeight="1" outlineLevel="1" x14ac:dyDescent="0.25">
      <c r="A8686" s="18">
        <v>1901</v>
      </c>
      <c r="B8686" s="4" t="s">
        <v>43</v>
      </c>
      <c r="C8686" s="38" t="s">
        <v>11153</v>
      </c>
      <c r="D8686" s="23">
        <v>2023</v>
      </c>
      <c r="E8686" s="18" t="s">
        <v>0</v>
      </c>
      <c r="F8686" s="6">
        <v>1</v>
      </c>
      <c r="G8686" s="40">
        <v>5</v>
      </c>
      <c r="H8686" s="40">
        <v>24.341910000000002</v>
      </c>
      <c r="I8686" s="212"/>
      <c r="J8686" s="212"/>
    </row>
    <row r="8687" spans="1:10" s="15" customFormat="1" ht="18" hidden="1" customHeight="1" outlineLevel="1" x14ac:dyDescent="0.25">
      <c r="A8687" s="18">
        <v>5844</v>
      </c>
      <c r="B8687" s="4" t="s">
        <v>43</v>
      </c>
      <c r="C8687" s="38" t="s">
        <v>11154</v>
      </c>
      <c r="D8687" s="23">
        <v>2023</v>
      </c>
      <c r="E8687" s="18" t="s">
        <v>0</v>
      </c>
      <c r="F8687" s="6">
        <v>1</v>
      </c>
      <c r="G8687" s="40">
        <v>5</v>
      </c>
      <c r="H8687" s="40">
        <v>24.341930000000001</v>
      </c>
      <c r="I8687" s="212"/>
      <c r="J8687" s="212"/>
    </row>
    <row r="8688" spans="1:10" s="15" customFormat="1" ht="18" hidden="1" customHeight="1" outlineLevel="1" x14ac:dyDescent="0.25">
      <c r="A8688" s="18">
        <v>5845</v>
      </c>
      <c r="B8688" s="4" t="s">
        <v>43</v>
      </c>
      <c r="C8688" s="38" t="s">
        <v>11155</v>
      </c>
      <c r="D8688" s="23">
        <v>2023</v>
      </c>
      <c r="E8688" s="18" t="s">
        <v>0</v>
      </c>
      <c r="F8688" s="6">
        <v>1</v>
      </c>
      <c r="G8688" s="40">
        <v>5</v>
      </c>
      <c r="H8688" s="40">
        <v>24.341919999999998</v>
      </c>
      <c r="I8688" s="212"/>
      <c r="J8688" s="212"/>
    </row>
    <row r="8689" spans="1:10" s="15" customFormat="1" ht="18" hidden="1" customHeight="1" outlineLevel="1" x14ac:dyDescent="0.25">
      <c r="A8689" s="18">
        <v>5846</v>
      </c>
      <c r="B8689" s="4" t="s">
        <v>43</v>
      </c>
      <c r="C8689" s="38" t="s">
        <v>11156</v>
      </c>
      <c r="D8689" s="23">
        <v>2023</v>
      </c>
      <c r="E8689" s="18" t="s">
        <v>0</v>
      </c>
      <c r="F8689" s="6">
        <v>1</v>
      </c>
      <c r="G8689" s="40">
        <v>5</v>
      </c>
      <c r="H8689" s="40">
        <v>24.341930000000001</v>
      </c>
      <c r="I8689" s="212"/>
      <c r="J8689" s="212"/>
    </row>
    <row r="8690" spans="1:10" s="15" customFormat="1" ht="18" hidden="1" customHeight="1" outlineLevel="1" x14ac:dyDescent="0.25">
      <c r="A8690" s="18">
        <v>1945</v>
      </c>
      <c r="B8690" s="4" t="s">
        <v>43</v>
      </c>
      <c r="C8690" s="38" t="s">
        <v>11157</v>
      </c>
      <c r="D8690" s="23">
        <v>2023</v>
      </c>
      <c r="E8690" s="18" t="s">
        <v>0</v>
      </c>
      <c r="F8690" s="6">
        <v>1</v>
      </c>
      <c r="G8690" s="40">
        <v>5</v>
      </c>
      <c r="H8690" s="40">
        <v>24.341910000000002</v>
      </c>
      <c r="I8690" s="212"/>
      <c r="J8690" s="212"/>
    </row>
    <row r="8691" spans="1:10" s="15" customFormat="1" ht="18" hidden="1" customHeight="1" outlineLevel="1" x14ac:dyDescent="0.25">
      <c r="A8691" s="18">
        <v>1940</v>
      </c>
      <c r="B8691" s="4" t="s">
        <v>43</v>
      </c>
      <c r="C8691" s="38" t="s">
        <v>11158</v>
      </c>
      <c r="D8691" s="23">
        <v>2023</v>
      </c>
      <c r="E8691" s="18" t="s">
        <v>0</v>
      </c>
      <c r="F8691" s="6">
        <v>1</v>
      </c>
      <c r="G8691" s="40">
        <v>5</v>
      </c>
      <c r="H8691" s="40">
        <v>24.341930000000001</v>
      </c>
      <c r="I8691" s="212"/>
      <c r="J8691" s="212"/>
    </row>
    <row r="8692" spans="1:10" s="15" customFormat="1" ht="18" hidden="1" customHeight="1" outlineLevel="1" x14ac:dyDescent="0.25">
      <c r="A8692" s="18">
        <v>5847</v>
      </c>
      <c r="B8692" s="4" t="s">
        <v>43</v>
      </c>
      <c r="C8692" s="38" t="s">
        <v>11159</v>
      </c>
      <c r="D8692" s="23">
        <v>2023</v>
      </c>
      <c r="E8692" s="18" t="s">
        <v>0</v>
      </c>
      <c r="F8692" s="6">
        <v>1</v>
      </c>
      <c r="G8692" s="40">
        <v>10</v>
      </c>
      <c r="H8692" s="40">
        <v>24.341889999999999</v>
      </c>
      <c r="I8692" s="212"/>
      <c r="J8692" s="212"/>
    </row>
    <row r="8693" spans="1:10" s="15" customFormat="1" ht="18" hidden="1" customHeight="1" outlineLevel="1" x14ac:dyDescent="0.25">
      <c r="A8693" s="18">
        <v>1925</v>
      </c>
      <c r="B8693" s="4" t="s">
        <v>43</v>
      </c>
      <c r="C8693" s="38" t="s">
        <v>11160</v>
      </c>
      <c r="D8693" s="23">
        <v>2023</v>
      </c>
      <c r="E8693" s="18" t="s">
        <v>0</v>
      </c>
      <c r="F8693" s="6">
        <v>1</v>
      </c>
      <c r="G8693" s="40">
        <v>5</v>
      </c>
      <c r="H8693" s="40">
        <v>24.341930000000001</v>
      </c>
      <c r="I8693" s="212"/>
      <c r="J8693" s="212"/>
    </row>
    <row r="8694" spans="1:10" s="15" customFormat="1" ht="18" hidden="1" customHeight="1" outlineLevel="1" x14ac:dyDescent="0.25">
      <c r="A8694" s="18">
        <v>2007</v>
      </c>
      <c r="B8694" s="4" t="s">
        <v>43</v>
      </c>
      <c r="C8694" s="38" t="s">
        <v>11161</v>
      </c>
      <c r="D8694" s="23">
        <v>2023</v>
      </c>
      <c r="E8694" s="18" t="s">
        <v>0</v>
      </c>
      <c r="F8694" s="6">
        <v>1</v>
      </c>
      <c r="G8694" s="40">
        <v>5</v>
      </c>
      <c r="H8694" s="40">
        <v>24.341919999999998</v>
      </c>
      <c r="I8694" s="212"/>
      <c r="J8694" s="212"/>
    </row>
    <row r="8695" spans="1:10" s="15" customFormat="1" ht="18" hidden="1" customHeight="1" outlineLevel="1" x14ac:dyDescent="0.25">
      <c r="A8695" s="18">
        <v>5848</v>
      </c>
      <c r="B8695" s="4" t="s">
        <v>43</v>
      </c>
      <c r="C8695" s="38" t="s">
        <v>11162</v>
      </c>
      <c r="D8695" s="23">
        <v>2023</v>
      </c>
      <c r="E8695" s="18" t="s">
        <v>0</v>
      </c>
      <c r="F8695" s="6">
        <v>1</v>
      </c>
      <c r="G8695" s="40">
        <v>10</v>
      </c>
      <c r="H8695" s="40">
        <v>24.341930000000001</v>
      </c>
      <c r="I8695" s="212"/>
      <c r="J8695" s="212"/>
    </row>
    <row r="8696" spans="1:10" s="15" customFormat="1" ht="18" hidden="1" customHeight="1" outlineLevel="1" x14ac:dyDescent="0.25">
      <c r="A8696" s="18">
        <v>5849</v>
      </c>
      <c r="B8696" s="4" t="s">
        <v>43</v>
      </c>
      <c r="C8696" s="38" t="s">
        <v>11163</v>
      </c>
      <c r="D8696" s="23">
        <v>2023</v>
      </c>
      <c r="E8696" s="18" t="s">
        <v>0</v>
      </c>
      <c r="F8696" s="6">
        <v>1</v>
      </c>
      <c r="G8696" s="40">
        <v>5</v>
      </c>
      <c r="H8696" s="40">
        <v>24.341919999999998</v>
      </c>
      <c r="I8696" s="212"/>
      <c r="J8696" s="212"/>
    </row>
    <row r="8697" spans="1:10" s="15" customFormat="1" ht="18" hidden="1" customHeight="1" outlineLevel="1" x14ac:dyDescent="0.25">
      <c r="A8697" s="18">
        <v>5850</v>
      </c>
      <c r="B8697" s="4" t="s">
        <v>43</v>
      </c>
      <c r="C8697" s="38" t="s">
        <v>11164</v>
      </c>
      <c r="D8697" s="23">
        <v>2023</v>
      </c>
      <c r="E8697" s="18" t="s">
        <v>0</v>
      </c>
      <c r="F8697" s="6">
        <v>1</v>
      </c>
      <c r="G8697" s="40">
        <v>5</v>
      </c>
      <c r="H8697" s="40">
        <v>24.289450000000002</v>
      </c>
      <c r="I8697" s="212"/>
      <c r="J8697" s="212"/>
    </row>
    <row r="8698" spans="1:10" s="15" customFormat="1" ht="18" hidden="1" customHeight="1" outlineLevel="1" x14ac:dyDescent="0.25">
      <c r="A8698" s="18">
        <v>2620</v>
      </c>
      <c r="B8698" s="4" t="s">
        <v>43</v>
      </c>
      <c r="C8698" s="38" t="s">
        <v>11165</v>
      </c>
      <c r="D8698" s="23">
        <v>2023</v>
      </c>
      <c r="E8698" s="18" t="s">
        <v>0</v>
      </c>
      <c r="F8698" s="6">
        <v>1</v>
      </c>
      <c r="G8698" s="40">
        <v>5</v>
      </c>
      <c r="H8698" s="40">
        <v>16.537520000000001</v>
      </c>
      <c r="I8698" s="212"/>
      <c r="J8698" s="212"/>
    </row>
    <row r="8699" spans="1:10" s="15" customFormat="1" ht="18" hidden="1" customHeight="1" outlineLevel="1" x14ac:dyDescent="0.25">
      <c r="A8699" s="18">
        <v>1919</v>
      </c>
      <c r="B8699" s="4" t="s">
        <v>43</v>
      </c>
      <c r="C8699" s="38" t="s">
        <v>11166</v>
      </c>
      <c r="D8699" s="23">
        <v>2023</v>
      </c>
      <c r="E8699" s="18" t="s">
        <v>0</v>
      </c>
      <c r="F8699" s="6">
        <v>1</v>
      </c>
      <c r="G8699" s="40">
        <v>5</v>
      </c>
      <c r="H8699" s="40">
        <v>24.341919999999998</v>
      </c>
      <c r="I8699" s="212"/>
      <c r="J8699" s="212"/>
    </row>
    <row r="8700" spans="1:10" s="15" customFormat="1" ht="18" hidden="1" customHeight="1" outlineLevel="1" x14ac:dyDescent="0.25">
      <c r="A8700" s="18">
        <v>1964</v>
      </c>
      <c r="B8700" s="4" t="s">
        <v>43</v>
      </c>
      <c r="C8700" s="38" t="s">
        <v>11167</v>
      </c>
      <c r="D8700" s="23">
        <v>2023</v>
      </c>
      <c r="E8700" s="18" t="s">
        <v>0</v>
      </c>
      <c r="F8700" s="6">
        <v>1</v>
      </c>
      <c r="G8700" s="40">
        <v>5</v>
      </c>
      <c r="H8700" s="40">
        <v>16.616310000000002</v>
      </c>
      <c r="I8700" s="212"/>
      <c r="J8700" s="212"/>
    </row>
    <row r="8701" spans="1:10" s="15" customFormat="1" ht="18" hidden="1" customHeight="1" outlineLevel="1" x14ac:dyDescent="0.25">
      <c r="A8701" s="18">
        <v>1973</v>
      </c>
      <c r="B8701" s="4" t="s">
        <v>43</v>
      </c>
      <c r="C8701" s="38" t="s">
        <v>11168</v>
      </c>
      <c r="D8701" s="23">
        <v>2023</v>
      </c>
      <c r="E8701" s="18" t="s">
        <v>0</v>
      </c>
      <c r="F8701" s="6">
        <v>1</v>
      </c>
      <c r="G8701" s="40">
        <v>5</v>
      </c>
      <c r="H8701" s="40">
        <v>24.341930000000001</v>
      </c>
      <c r="I8701" s="212"/>
      <c r="J8701" s="212"/>
    </row>
    <row r="8702" spans="1:10" s="15" customFormat="1" ht="18" hidden="1" customHeight="1" outlineLevel="1" x14ac:dyDescent="0.25">
      <c r="A8702" s="18">
        <v>1904</v>
      </c>
      <c r="B8702" s="4" t="s">
        <v>43</v>
      </c>
      <c r="C8702" s="38" t="s">
        <v>11169</v>
      </c>
      <c r="D8702" s="23">
        <v>2023</v>
      </c>
      <c r="E8702" s="18" t="s">
        <v>0</v>
      </c>
      <c r="F8702" s="6">
        <v>1</v>
      </c>
      <c r="G8702" s="40">
        <v>5</v>
      </c>
      <c r="H8702" s="40">
        <v>24.341919999999998</v>
      </c>
      <c r="I8702" s="212"/>
      <c r="J8702" s="212"/>
    </row>
    <row r="8703" spans="1:10" s="15" customFormat="1" ht="18" hidden="1" customHeight="1" outlineLevel="1" x14ac:dyDescent="0.25">
      <c r="A8703" s="18">
        <v>5851</v>
      </c>
      <c r="B8703" s="4" t="s">
        <v>43</v>
      </c>
      <c r="C8703" s="38" t="s">
        <v>11170</v>
      </c>
      <c r="D8703" s="23">
        <v>2023</v>
      </c>
      <c r="E8703" s="18" t="s">
        <v>0</v>
      </c>
      <c r="F8703" s="6">
        <v>1</v>
      </c>
      <c r="G8703" s="40">
        <v>10</v>
      </c>
      <c r="H8703" s="40">
        <v>16.616299999999999</v>
      </c>
      <c r="I8703" s="212"/>
      <c r="J8703" s="212"/>
    </row>
    <row r="8704" spans="1:10" s="15" customFormat="1" ht="18" hidden="1" customHeight="1" outlineLevel="1" x14ac:dyDescent="0.25">
      <c r="A8704" s="18">
        <v>1970</v>
      </c>
      <c r="B8704" s="4" t="s">
        <v>43</v>
      </c>
      <c r="C8704" s="38" t="s">
        <v>11171</v>
      </c>
      <c r="D8704" s="23">
        <v>2023</v>
      </c>
      <c r="E8704" s="18" t="s">
        <v>0</v>
      </c>
      <c r="F8704" s="6">
        <v>1</v>
      </c>
      <c r="G8704" s="40">
        <v>5</v>
      </c>
      <c r="H8704" s="40">
        <v>16.616310000000002</v>
      </c>
      <c r="I8704" s="212"/>
      <c r="J8704" s="212"/>
    </row>
    <row r="8705" spans="1:10" s="15" customFormat="1" ht="18" hidden="1" customHeight="1" outlineLevel="1" x14ac:dyDescent="0.25">
      <c r="A8705" s="18">
        <v>1996</v>
      </c>
      <c r="B8705" s="4" t="s">
        <v>43</v>
      </c>
      <c r="C8705" s="38" t="s">
        <v>11172</v>
      </c>
      <c r="D8705" s="23">
        <v>2023</v>
      </c>
      <c r="E8705" s="18" t="s">
        <v>0</v>
      </c>
      <c r="F8705" s="6">
        <v>1</v>
      </c>
      <c r="G8705" s="40">
        <v>5</v>
      </c>
      <c r="H8705" s="40">
        <v>24.341930000000001</v>
      </c>
      <c r="I8705" s="212"/>
      <c r="J8705" s="212"/>
    </row>
    <row r="8706" spans="1:10" s="15" customFormat="1" ht="18" hidden="1" customHeight="1" outlineLevel="1" x14ac:dyDescent="0.25">
      <c r="A8706" s="18">
        <v>5852</v>
      </c>
      <c r="B8706" s="4" t="s">
        <v>43</v>
      </c>
      <c r="C8706" s="38" t="s">
        <v>11173</v>
      </c>
      <c r="D8706" s="23">
        <v>2023</v>
      </c>
      <c r="E8706" s="18" t="s">
        <v>0</v>
      </c>
      <c r="F8706" s="6">
        <v>1</v>
      </c>
      <c r="G8706" s="40">
        <v>5</v>
      </c>
      <c r="H8706" s="40">
        <v>16.616299999999999</v>
      </c>
      <c r="I8706" s="212"/>
      <c r="J8706" s="212"/>
    </row>
    <row r="8707" spans="1:10" s="15" customFormat="1" ht="18" hidden="1" customHeight="1" outlineLevel="1" x14ac:dyDescent="0.25">
      <c r="A8707" s="18">
        <v>1962</v>
      </c>
      <c r="B8707" s="4" t="s">
        <v>43</v>
      </c>
      <c r="C8707" s="38" t="s">
        <v>11174</v>
      </c>
      <c r="D8707" s="23">
        <v>2023</v>
      </c>
      <c r="E8707" s="18" t="s">
        <v>0</v>
      </c>
      <c r="F8707" s="6">
        <v>1</v>
      </c>
      <c r="G8707" s="40">
        <v>5</v>
      </c>
      <c r="H8707" s="40">
        <v>24.341919999999998</v>
      </c>
      <c r="I8707" s="212"/>
      <c r="J8707" s="212"/>
    </row>
    <row r="8708" spans="1:10" s="15" customFormat="1" ht="18" hidden="1" customHeight="1" outlineLevel="1" x14ac:dyDescent="0.25">
      <c r="A8708" s="18">
        <v>1963</v>
      </c>
      <c r="B8708" s="4" t="s">
        <v>43</v>
      </c>
      <c r="C8708" s="38" t="s">
        <v>11175</v>
      </c>
      <c r="D8708" s="23">
        <v>2023</v>
      </c>
      <c r="E8708" s="18" t="s">
        <v>0</v>
      </c>
      <c r="F8708" s="6">
        <v>1</v>
      </c>
      <c r="G8708" s="40">
        <v>15</v>
      </c>
      <c r="H8708" s="40">
        <v>24.341930000000001</v>
      </c>
      <c r="I8708" s="212"/>
      <c r="J8708" s="212"/>
    </row>
    <row r="8709" spans="1:10" s="15" customFormat="1" ht="18" hidden="1" customHeight="1" outlineLevel="1" x14ac:dyDescent="0.25">
      <c r="A8709" s="18">
        <v>1937</v>
      </c>
      <c r="B8709" s="4" t="s">
        <v>43</v>
      </c>
      <c r="C8709" s="38" t="s">
        <v>11176</v>
      </c>
      <c r="D8709" s="23">
        <v>2023</v>
      </c>
      <c r="E8709" s="18" t="s">
        <v>0</v>
      </c>
      <c r="F8709" s="6">
        <v>1</v>
      </c>
      <c r="G8709" s="40">
        <v>5</v>
      </c>
      <c r="H8709" s="40">
        <v>24.341919999999998</v>
      </c>
      <c r="I8709" s="212"/>
      <c r="J8709" s="212"/>
    </row>
    <row r="8710" spans="1:10" s="15" customFormat="1" ht="18" hidden="1" customHeight="1" outlineLevel="1" x14ac:dyDescent="0.25">
      <c r="A8710" s="18">
        <v>2019</v>
      </c>
      <c r="B8710" s="4" t="s">
        <v>43</v>
      </c>
      <c r="C8710" s="38" t="s">
        <v>11177</v>
      </c>
      <c r="D8710" s="23">
        <v>2023</v>
      </c>
      <c r="E8710" s="18" t="s">
        <v>0</v>
      </c>
      <c r="F8710" s="6">
        <v>1</v>
      </c>
      <c r="G8710" s="40">
        <v>5</v>
      </c>
      <c r="H8710" s="40">
        <v>24.341930000000001</v>
      </c>
      <c r="I8710" s="212"/>
      <c r="J8710" s="212"/>
    </row>
    <row r="8711" spans="1:10" s="15" customFormat="1" ht="18" hidden="1" customHeight="1" outlineLevel="1" x14ac:dyDescent="0.25">
      <c r="A8711" s="18">
        <v>2033</v>
      </c>
      <c r="B8711" s="4" t="s">
        <v>43</v>
      </c>
      <c r="C8711" s="38" t="s">
        <v>11178</v>
      </c>
      <c r="D8711" s="23">
        <v>2023</v>
      </c>
      <c r="E8711" s="18" t="s">
        <v>0</v>
      </c>
      <c r="F8711" s="6">
        <v>1</v>
      </c>
      <c r="G8711" s="40">
        <v>5</v>
      </c>
      <c r="H8711" s="40">
        <v>24.341919999999998</v>
      </c>
      <c r="I8711" s="212"/>
      <c r="J8711" s="212"/>
    </row>
    <row r="8712" spans="1:10" s="15" customFormat="1" ht="18" hidden="1" customHeight="1" outlineLevel="1" x14ac:dyDescent="0.25">
      <c r="A8712" s="18">
        <v>1941</v>
      </c>
      <c r="B8712" s="4" t="s">
        <v>43</v>
      </c>
      <c r="C8712" s="38" t="s">
        <v>11179</v>
      </c>
      <c r="D8712" s="23">
        <v>2023</v>
      </c>
      <c r="E8712" s="18" t="s">
        <v>0</v>
      </c>
      <c r="F8712" s="6">
        <v>1</v>
      </c>
      <c r="G8712" s="40">
        <v>5</v>
      </c>
      <c r="H8712" s="40">
        <v>24.341930000000001</v>
      </c>
      <c r="I8712" s="212"/>
      <c r="J8712" s="212"/>
    </row>
    <row r="8713" spans="1:10" s="15" customFormat="1" ht="18" hidden="1" customHeight="1" outlineLevel="1" x14ac:dyDescent="0.25">
      <c r="A8713" s="18">
        <v>2493</v>
      </c>
      <c r="B8713" s="4" t="s">
        <v>43</v>
      </c>
      <c r="C8713" s="38" t="s">
        <v>11180</v>
      </c>
      <c r="D8713" s="23">
        <v>2023</v>
      </c>
      <c r="E8713" s="18" t="s">
        <v>0</v>
      </c>
      <c r="F8713" s="6">
        <v>1</v>
      </c>
      <c r="G8713" s="40">
        <v>5</v>
      </c>
      <c r="H8713" s="40">
        <v>16.616310000000002</v>
      </c>
      <c r="I8713" s="212"/>
      <c r="J8713" s="212"/>
    </row>
    <row r="8714" spans="1:10" s="15" customFormat="1" ht="18" hidden="1" customHeight="1" outlineLevel="1" x14ac:dyDescent="0.25">
      <c r="A8714" s="18">
        <v>2501</v>
      </c>
      <c r="B8714" s="4" t="s">
        <v>43</v>
      </c>
      <c r="C8714" s="38" t="s">
        <v>11181</v>
      </c>
      <c r="D8714" s="23">
        <v>2023</v>
      </c>
      <c r="E8714" s="18" t="s">
        <v>0</v>
      </c>
      <c r="F8714" s="6">
        <v>1</v>
      </c>
      <c r="G8714" s="40">
        <v>5</v>
      </c>
      <c r="H8714" s="40">
        <v>16.537520000000001</v>
      </c>
      <c r="I8714" s="212"/>
      <c r="J8714" s="212"/>
    </row>
    <row r="8715" spans="1:10" s="15" customFormat="1" ht="18" hidden="1" customHeight="1" outlineLevel="1" x14ac:dyDescent="0.25">
      <c r="A8715" s="18">
        <v>2502</v>
      </c>
      <c r="B8715" s="4" t="s">
        <v>43</v>
      </c>
      <c r="C8715" s="38" t="s">
        <v>11182</v>
      </c>
      <c r="D8715" s="23">
        <v>2023</v>
      </c>
      <c r="E8715" s="18" t="s">
        <v>0</v>
      </c>
      <c r="F8715" s="6">
        <v>1</v>
      </c>
      <c r="G8715" s="40">
        <v>5</v>
      </c>
      <c r="H8715" s="40">
        <v>16.537529999999997</v>
      </c>
      <c r="I8715" s="212"/>
      <c r="J8715" s="212"/>
    </row>
    <row r="8716" spans="1:10" s="15" customFormat="1" ht="18" hidden="1" customHeight="1" outlineLevel="1" x14ac:dyDescent="0.25">
      <c r="A8716" s="18">
        <v>5853</v>
      </c>
      <c r="B8716" s="4" t="s">
        <v>43</v>
      </c>
      <c r="C8716" s="38" t="s">
        <v>11183</v>
      </c>
      <c r="D8716" s="23">
        <v>2023</v>
      </c>
      <c r="E8716" s="18" t="s">
        <v>0</v>
      </c>
      <c r="F8716" s="6">
        <v>1</v>
      </c>
      <c r="G8716" s="40">
        <v>5</v>
      </c>
      <c r="H8716" s="40">
        <v>16.511270000000003</v>
      </c>
      <c r="I8716" s="212"/>
      <c r="J8716" s="212"/>
    </row>
    <row r="8717" spans="1:10" s="15" customFormat="1" ht="18" hidden="1" customHeight="1" outlineLevel="1" x14ac:dyDescent="0.25">
      <c r="A8717" s="18">
        <v>458</v>
      </c>
      <c r="B8717" s="4" t="s">
        <v>43</v>
      </c>
      <c r="C8717" s="38" t="s">
        <v>8692</v>
      </c>
      <c r="D8717" s="23">
        <v>2023</v>
      </c>
      <c r="E8717" s="18" t="s">
        <v>0</v>
      </c>
      <c r="F8717" s="6">
        <v>1</v>
      </c>
      <c r="G8717" s="40">
        <v>10</v>
      </c>
      <c r="H8717" s="40">
        <v>48.764000000000003</v>
      </c>
      <c r="I8717" s="212"/>
      <c r="J8717" s="212"/>
    </row>
    <row r="8718" spans="1:10" s="15" customFormat="1" ht="18" hidden="1" customHeight="1" outlineLevel="1" x14ac:dyDescent="0.25">
      <c r="A8718" s="18">
        <v>483</v>
      </c>
      <c r="B8718" s="4" t="s">
        <v>43</v>
      </c>
      <c r="C8718" s="38" t="s">
        <v>8694</v>
      </c>
      <c r="D8718" s="23">
        <v>2023</v>
      </c>
      <c r="E8718" s="18" t="s">
        <v>0</v>
      </c>
      <c r="F8718" s="6">
        <v>1</v>
      </c>
      <c r="G8718" s="40">
        <v>10</v>
      </c>
      <c r="H8718" s="40">
        <v>45.657000000000004</v>
      </c>
      <c r="I8718" s="212"/>
      <c r="J8718" s="212"/>
    </row>
    <row r="8719" spans="1:10" s="15" customFormat="1" ht="18" hidden="1" customHeight="1" outlineLevel="1" x14ac:dyDescent="0.25">
      <c r="A8719" s="18">
        <v>1218</v>
      </c>
      <c r="B8719" s="4" t="s">
        <v>43</v>
      </c>
      <c r="C8719" s="38" t="s">
        <v>8698</v>
      </c>
      <c r="D8719" s="23">
        <v>2023</v>
      </c>
      <c r="E8719" s="18" t="s">
        <v>0</v>
      </c>
      <c r="F8719" s="6">
        <v>1</v>
      </c>
      <c r="G8719" s="40">
        <v>55</v>
      </c>
      <c r="H8719" s="40">
        <v>47.376000000000005</v>
      </c>
      <c r="I8719" s="212"/>
      <c r="J8719" s="212"/>
    </row>
    <row r="8720" spans="1:10" s="15" customFormat="1" ht="18" hidden="1" customHeight="1" outlineLevel="1" x14ac:dyDescent="0.25">
      <c r="A8720" s="18">
        <v>816</v>
      </c>
      <c r="B8720" s="4" t="s">
        <v>43</v>
      </c>
      <c r="C8720" s="38" t="s">
        <v>8699</v>
      </c>
      <c r="D8720" s="23">
        <v>2023</v>
      </c>
      <c r="E8720" s="18" t="s">
        <v>0</v>
      </c>
      <c r="F8720" s="6">
        <v>1</v>
      </c>
      <c r="G8720" s="40">
        <v>50</v>
      </c>
      <c r="H8720" s="40">
        <v>47.822000000000003</v>
      </c>
      <c r="I8720" s="212"/>
      <c r="J8720" s="212"/>
    </row>
    <row r="8721" spans="1:10" s="15" customFormat="1" ht="18" hidden="1" customHeight="1" outlineLevel="1" x14ac:dyDescent="0.25">
      <c r="A8721" s="18">
        <v>715</v>
      </c>
      <c r="B8721" s="4" t="s">
        <v>43</v>
      </c>
      <c r="C8721" s="38" t="s">
        <v>8701</v>
      </c>
      <c r="D8721" s="23">
        <v>2023</v>
      </c>
      <c r="E8721" s="18" t="s">
        <v>0</v>
      </c>
      <c r="F8721" s="6">
        <v>1</v>
      </c>
      <c r="G8721" s="40">
        <v>10</v>
      </c>
      <c r="H8721" s="40">
        <v>30.684000000000001</v>
      </c>
      <c r="I8721" s="212"/>
      <c r="J8721" s="212"/>
    </row>
    <row r="8722" spans="1:10" s="15" customFormat="1" ht="18" hidden="1" customHeight="1" outlineLevel="1" x14ac:dyDescent="0.25">
      <c r="A8722" s="18">
        <v>3240</v>
      </c>
      <c r="B8722" s="4" t="s">
        <v>43</v>
      </c>
      <c r="C8722" s="38" t="s">
        <v>8708</v>
      </c>
      <c r="D8722" s="23">
        <v>2023</v>
      </c>
      <c r="E8722" s="18" t="s">
        <v>0</v>
      </c>
      <c r="F8722" s="6">
        <v>1</v>
      </c>
      <c r="G8722" s="40">
        <v>10</v>
      </c>
      <c r="H8722" s="40">
        <v>50.712000000000003</v>
      </c>
      <c r="I8722" s="212"/>
      <c r="J8722" s="212"/>
    </row>
    <row r="8723" spans="1:10" s="15" customFormat="1" ht="18" hidden="1" customHeight="1" outlineLevel="1" x14ac:dyDescent="0.25">
      <c r="A8723" s="18">
        <v>1299</v>
      </c>
      <c r="B8723" s="4" t="s">
        <v>43</v>
      </c>
      <c r="C8723" s="38" t="s">
        <v>8720</v>
      </c>
      <c r="D8723" s="23">
        <v>2023</v>
      </c>
      <c r="E8723" s="18" t="s">
        <v>0</v>
      </c>
      <c r="F8723" s="6">
        <v>1</v>
      </c>
      <c r="G8723" s="40">
        <v>10</v>
      </c>
      <c r="H8723" s="40">
        <v>40.826000000000001</v>
      </c>
      <c r="I8723" s="212"/>
      <c r="J8723" s="212"/>
    </row>
    <row r="8724" spans="1:10" s="15" customFormat="1" ht="18" hidden="1" customHeight="1" outlineLevel="1" x14ac:dyDescent="0.25">
      <c r="A8724" s="18">
        <v>1312</v>
      </c>
      <c r="B8724" s="4" t="s">
        <v>43</v>
      </c>
      <c r="C8724" s="38" t="s">
        <v>8721</v>
      </c>
      <c r="D8724" s="23">
        <v>2023</v>
      </c>
      <c r="E8724" s="18" t="s">
        <v>0</v>
      </c>
      <c r="F8724" s="6">
        <v>1</v>
      </c>
      <c r="G8724" s="40">
        <v>5</v>
      </c>
      <c r="H8724" s="40">
        <v>39.574999999999996</v>
      </c>
      <c r="I8724" s="212"/>
      <c r="J8724" s="212"/>
    </row>
    <row r="8725" spans="1:10" s="15" customFormat="1" ht="18" hidden="1" customHeight="1" outlineLevel="1" x14ac:dyDescent="0.25">
      <c r="A8725" s="18">
        <v>1313</v>
      </c>
      <c r="B8725" s="4" t="s">
        <v>43</v>
      </c>
      <c r="C8725" s="38" t="s">
        <v>8723</v>
      </c>
      <c r="D8725" s="23">
        <v>2023</v>
      </c>
      <c r="E8725" s="18" t="s">
        <v>0</v>
      </c>
      <c r="F8725" s="6">
        <v>1</v>
      </c>
      <c r="G8725" s="40">
        <v>10</v>
      </c>
      <c r="H8725" s="40">
        <v>46.073610000000002</v>
      </c>
      <c r="I8725" s="212"/>
      <c r="J8725" s="212"/>
    </row>
    <row r="8726" spans="1:10" s="15" customFormat="1" ht="18" hidden="1" customHeight="1" outlineLevel="1" x14ac:dyDescent="0.25">
      <c r="A8726" s="18">
        <v>1429</v>
      </c>
      <c r="B8726" s="4" t="s">
        <v>43</v>
      </c>
      <c r="C8726" s="38" t="s">
        <v>8724</v>
      </c>
      <c r="D8726" s="23">
        <v>2023</v>
      </c>
      <c r="E8726" s="18" t="s">
        <v>0</v>
      </c>
      <c r="F8726" s="6">
        <v>1</v>
      </c>
      <c r="G8726" s="40">
        <v>15</v>
      </c>
      <c r="H8726" s="40">
        <v>47.973099999999995</v>
      </c>
      <c r="I8726" s="212"/>
      <c r="J8726" s="212"/>
    </row>
    <row r="8727" spans="1:10" s="15" customFormat="1" ht="18" hidden="1" customHeight="1" outlineLevel="1" x14ac:dyDescent="0.25">
      <c r="A8727" s="18">
        <v>1410</v>
      </c>
      <c r="B8727" s="4" t="s">
        <v>43</v>
      </c>
      <c r="C8727" s="38" t="s">
        <v>8725</v>
      </c>
      <c r="D8727" s="23">
        <v>2023</v>
      </c>
      <c r="E8727" s="18" t="s">
        <v>0</v>
      </c>
      <c r="F8727" s="6">
        <v>1</v>
      </c>
      <c r="G8727" s="40">
        <v>14</v>
      </c>
      <c r="H8727" s="40">
        <v>45.021000000000001</v>
      </c>
      <c r="I8727" s="212"/>
      <c r="J8727" s="212"/>
    </row>
    <row r="8728" spans="1:10" s="15" customFormat="1" ht="18" hidden="1" customHeight="1" outlineLevel="1" x14ac:dyDescent="0.25">
      <c r="A8728" s="18">
        <v>5856</v>
      </c>
      <c r="B8728" s="4" t="s">
        <v>43</v>
      </c>
      <c r="C8728" s="38" t="s">
        <v>11184</v>
      </c>
      <c r="D8728" s="23">
        <v>2023</v>
      </c>
      <c r="E8728" s="18" t="s">
        <v>0</v>
      </c>
      <c r="F8728" s="6">
        <v>1</v>
      </c>
      <c r="G8728" s="40">
        <v>6</v>
      </c>
      <c r="H8728" s="40">
        <v>18.673830000000002</v>
      </c>
      <c r="I8728" s="212"/>
      <c r="J8728" s="212"/>
    </row>
    <row r="8729" spans="1:10" s="15" customFormat="1" ht="18" hidden="1" customHeight="1" outlineLevel="1" x14ac:dyDescent="0.25">
      <c r="A8729" s="18">
        <v>2674</v>
      </c>
      <c r="B8729" s="4" t="s">
        <v>43</v>
      </c>
      <c r="C8729" s="38" t="s">
        <v>11185</v>
      </c>
      <c r="D8729" s="23">
        <v>2023</v>
      </c>
      <c r="E8729" s="18" t="s">
        <v>0</v>
      </c>
      <c r="F8729" s="6">
        <v>1</v>
      </c>
      <c r="G8729" s="40">
        <v>10</v>
      </c>
      <c r="H8729" s="40">
        <v>19.425790000000003</v>
      </c>
      <c r="I8729" s="212"/>
      <c r="J8729" s="212"/>
    </row>
    <row r="8730" spans="1:10" s="15" customFormat="1" ht="18" hidden="1" customHeight="1" outlineLevel="1" x14ac:dyDescent="0.25">
      <c r="A8730" s="18">
        <v>2593</v>
      </c>
      <c r="B8730" s="4" t="s">
        <v>43</v>
      </c>
      <c r="C8730" s="38" t="s">
        <v>11186</v>
      </c>
      <c r="D8730" s="23">
        <v>2023</v>
      </c>
      <c r="E8730" s="18" t="s">
        <v>0</v>
      </c>
      <c r="F8730" s="6">
        <v>1</v>
      </c>
      <c r="G8730" s="40">
        <v>15</v>
      </c>
      <c r="H8730" s="40">
        <v>18.907869999999999</v>
      </c>
      <c r="I8730" s="212"/>
      <c r="J8730" s="212"/>
    </row>
    <row r="8731" spans="1:10" s="15" customFormat="1" ht="18" hidden="1" customHeight="1" outlineLevel="1" x14ac:dyDescent="0.25">
      <c r="A8731" s="18">
        <v>5857</v>
      </c>
      <c r="B8731" s="4" t="s">
        <v>43</v>
      </c>
      <c r="C8731" s="38" t="s">
        <v>11187</v>
      </c>
      <c r="D8731" s="23">
        <v>2023</v>
      </c>
      <c r="E8731" s="18" t="s">
        <v>0</v>
      </c>
      <c r="F8731" s="6">
        <v>1</v>
      </c>
      <c r="G8731" s="40">
        <v>10</v>
      </c>
      <c r="H8731" s="40">
        <v>18.907890000000002</v>
      </c>
      <c r="I8731" s="212"/>
      <c r="J8731" s="212"/>
    </row>
    <row r="8732" spans="1:10" s="15" customFormat="1" ht="18" hidden="1" customHeight="1" outlineLevel="1" x14ac:dyDescent="0.25">
      <c r="A8732" s="18">
        <v>5861</v>
      </c>
      <c r="B8732" s="4" t="s">
        <v>43</v>
      </c>
      <c r="C8732" s="38" t="s">
        <v>11188</v>
      </c>
      <c r="D8732" s="23">
        <v>2023</v>
      </c>
      <c r="E8732" s="18" t="s">
        <v>0</v>
      </c>
      <c r="F8732" s="6">
        <v>1</v>
      </c>
      <c r="G8732" s="40">
        <v>10</v>
      </c>
      <c r="H8732" s="40">
        <v>18.518809999999998</v>
      </c>
      <c r="I8732" s="212"/>
      <c r="J8732" s="212"/>
    </row>
    <row r="8733" spans="1:10" s="15" customFormat="1" ht="18" hidden="1" customHeight="1" outlineLevel="1" x14ac:dyDescent="0.25">
      <c r="A8733" s="18">
        <v>5862</v>
      </c>
      <c r="B8733" s="4" t="s">
        <v>43</v>
      </c>
      <c r="C8733" s="38" t="s">
        <v>11189</v>
      </c>
      <c r="D8733" s="23">
        <v>2023</v>
      </c>
      <c r="E8733" s="18" t="s">
        <v>0</v>
      </c>
      <c r="F8733" s="6">
        <v>1</v>
      </c>
      <c r="G8733" s="40">
        <v>15</v>
      </c>
      <c r="H8733" s="40">
        <v>18.518819999999998</v>
      </c>
      <c r="I8733" s="212"/>
      <c r="J8733" s="212"/>
    </row>
    <row r="8734" spans="1:10" s="15" customFormat="1" ht="18" hidden="1" customHeight="1" outlineLevel="1" x14ac:dyDescent="0.25">
      <c r="A8734" s="18">
        <v>5863</v>
      </c>
      <c r="B8734" s="4" t="s">
        <v>43</v>
      </c>
      <c r="C8734" s="38" t="s">
        <v>11190</v>
      </c>
      <c r="D8734" s="23">
        <v>2023</v>
      </c>
      <c r="E8734" s="18" t="s">
        <v>0</v>
      </c>
      <c r="F8734" s="6">
        <v>1</v>
      </c>
      <c r="G8734" s="40">
        <v>15</v>
      </c>
      <c r="H8734" s="40">
        <v>18.821449999999999</v>
      </c>
      <c r="I8734" s="212"/>
      <c r="J8734" s="212"/>
    </row>
    <row r="8735" spans="1:10" s="15" customFormat="1" ht="18" hidden="1" customHeight="1" outlineLevel="1" x14ac:dyDescent="0.25">
      <c r="A8735" s="18">
        <v>2128</v>
      </c>
      <c r="B8735" s="4" t="s">
        <v>43</v>
      </c>
      <c r="C8735" s="38" t="s">
        <v>11191</v>
      </c>
      <c r="D8735" s="23">
        <v>2023</v>
      </c>
      <c r="E8735" s="18" t="s">
        <v>0</v>
      </c>
      <c r="F8735" s="6">
        <v>1</v>
      </c>
      <c r="G8735" s="40">
        <v>2</v>
      </c>
      <c r="H8735" s="40">
        <v>18.821459999999998</v>
      </c>
      <c r="I8735" s="212"/>
      <c r="J8735" s="212"/>
    </row>
    <row r="8736" spans="1:10" s="15" customFormat="1" ht="18" hidden="1" customHeight="1" outlineLevel="1" x14ac:dyDescent="0.25">
      <c r="A8736" s="18">
        <v>5866</v>
      </c>
      <c r="B8736" s="4" t="s">
        <v>43</v>
      </c>
      <c r="C8736" s="38" t="s">
        <v>11192</v>
      </c>
      <c r="D8736" s="23">
        <v>2023</v>
      </c>
      <c r="E8736" s="18" t="s">
        <v>0</v>
      </c>
      <c r="F8736" s="6">
        <v>1</v>
      </c>
      <c r="G8736" s="40">
        <v>10</v>
      </c>
      <c r="H8736" s="40">
        <v>18.821449999999999</v>
      </c>
      <c r="I8736" s="212"/>
      <c r="J8736" s="212"/>
    </row>
    <row r="8737" spans="1:10" s="15" customFormat="1" ht="18" hidden="1" customHeight="1" outlineLevel="1" x14ac:dyDescent="0.25">
      <c r="A8737" s="18">
        <v>2289</v>
      </c>
      <c r="B8737" s="4" t="s">
        <v>43</v>
      </c>
      <c r="C8737" s="38" t="s">
        <v>11193</v>
      </c>
      <c r="D8737" s="23">
        <v>2023</v>
      </c>
      <c r="E8737" s="18" t="s">
        <v>0</v>
      </c>
      <c r="F8737" s="6">
        <v>1</v>
      </c>
      <c r="G8737" s="40">
        <v>5</v>
      </c>
      <c r="H8737" s="40">
        <v>18.518819999999998</v>
      </c>
      <c r="I8737" s="212"/>
      <c r="J8737" s="212"/>
    </row>
    <row r="8738" spans="1:10" s="15" customFormat="1" ht="18" hidden="1" customHeight="1" outlineLevel="1" x14ac:dyDescent="0.25">
      <c r="A8738" s="18">
        <v>5869</v>
      </c>
      <c r="B8738" s="4" t="s">
        <v>43</v>
      </c>
      <c r="C8738" s="38" t="s">
        <v>11194</v>
      </c>
      <c r="D8738" s="23">
        <v>2023</v>
      </c>
      <c r="E8738" s="18" t="s">
        <v>0</v>
      </c>
      <c r="F8738" s="6">
        <v>1</v>
      </c>
      <c r="G8738" s="40">
        <v>10</v>
      </c>
      <c r="H8738" s="40">
        <v>18.821449999999999</v>
      </c>
      <c r="I8738" s="212"/>
      <c r="J8738" s="212"/>
    </row>
    <row r="8739" spans="1:10" s="15" customFormat="1" ht="18" hidden="1" customHeight="1" outlineLevel="1" x14ac:dyDescent="0.25">
      <c r="A8739" s="18">
        <v>5871</v>
      </c>
      <c r="B8739" s="4" t="s">
        <v>43</v>
      </c>
      <c r="C8739" s="38" t="s">
        <v>11195</v>
      </c>
      <c r="D8739" s="23">
        <v>2023</v>
      </c>
      <c r="E8739" s="18" t="s">
        <v>0</v>
      </c>
      <c r="F8739" s="6">
        <v>1</v>
      </c>
      <c r="G8739" s="40">
        <v>10</v>
      </c>
      <c r="H8739" s="40">
        <v>18.821459999999998</v>
      </c>
      <c r="I8739" s="212"/>
      <c r="J8739" s="212"/>
    </row>
    <row r="8740" spans="1:10" s="15" customFormat="1" ht="18" hidden="1" customHeight="1" outlineLevel="1" x14ac:dyDescent="0.25">
      <c r="A8740" s="18">
        <v>5872</v>
      </c>
      <c r="B8740" s="4" t="s">
        <v>43</v>
      </c>
      <c r="C8740" s="38" t="s">
        <v>11196</v>
      </c>
      <c r="D8740" s="23">
        <v>2023</v>
      </c>
      <c r="E8740" s="18" t="s">
        <v>0</v>
      </c>
      <c r="F8740" s="6">
        <v>1</v>
      </c>
      <c r="G8740" s="40">
        <v>10</v>
      </c>
      <c r="H8740" s="40">
        <v>18.821449999999999</v>
      </c>
      <c r="I8740" s="212"/>
      <c r="J8740" s="212"/>
    </row>
    <row r="8741" spans="1:10" s="15" customFormat="1" ht="18" hidden="1" customHeight="1" outlineLevel="1" x14ac:dyDescent="0.25">
      <c r="A8741" s="18">
        <v>5873</v>
      </c>
      <c r="B8741" s="4" t="s">
        <v>43</v>
      </c>
      <c r="C8741" s="38" t="s">
        <v>11197</v>
      </c>
      <c r="D8741" s="23">
        <v>2023</v>
      </c>
      <c r="E8741" s="18" t="s">
        <v>0</v>
      </c>
      <c r="F8741" s="6">
        <v>1</v>
      </c>
      <c r="G8741" s="40">
        <v>10</v>
      </c>
      <c r="H8741" s="40">
        <v>18.430509999999998</v>
      </c>
      <c r="I8741" s="212"/>
      <c r="J8741" s="212"/>
    </row>
    <row r="8742" spans="1:10" s="15" customFormat="1" ht="18" hidden="1" customHeight="1" outlineLevel="1" x14ac:dyDescent="0.25">
      <c r="A8742" s="18">
        <v>5874</v>
      </c>
      <c r="B8742" s="4" t="s">
        <v>43</v>
      </c>
      <c r="C8742" s="38" t="s">
        <v>11198</v>
      </c>
      <c r="D8742" s="23">
        <v>2023</v>
      </c>
      <c r="E8742" s="18" t="s">
        <v>0</v>
      </c>
      <c r="F8742" s="6">
        <v>1</v>
      </c>
      <c r="G8742" s="40">
        <v>10</v>
      </c>
      <c r="H8742" s="40">
        <v>18.430499999999999</v>
      </c>
      <c r="I8742" s="212"/>
      <c r="J8742" s="212"/>
    </row>
    <row r="8743" spans="1:10" s="15" customFormat="1" ht="18" hidden="1" customHeight="1" outlineLevel="1" x14ac:dyDescent="0.25">
      <c r="A8743" s="18">
        <v>5876</v>
      </c>
      <c r="B8743" s="4" t="s">
        <v>43</v>
      </c>
      <c r="C8743" s="38" t="s">
        <v>11199</v>
      </c>
      <c r="D8743" s="23">
        <v>2023</v>
      </c>
      <c r="E8743" s="18" t="s">
        <v>0</v>
      </c>
      <c r="F8743" s="6">
        <v>1</v>
      </c>
      <c r="G8743" s="40">
        <v>10</v>
      </c>
      <c r="H8743" s="40">
        <v>18.733169999999998</v>
      </c>
      <c r="I8743" s="212"/>
      <c r="J8743" s="212"/>
    </row>
    <row r="8744" spans="1:10" s="15" customFormat="1" ht="18" hidden="1" customHeight="1" outlineLevel="1" x14ac:dyDescent="0.25">
      <c r="A8744" s="18">
        <v>2197</v>
      </c>
      <c r="B8744" s="4" t="s">
        <v>43</v>
      </c>
      <c r="C8744" s="38" t="s">
        <v>11200</v>
      </c>
      <c r="D8744" s="23">
        <v>2023</v>
      </c>
      <c r="E8744" s="18" t="s">
        <v>0</v>
      </c>
      <c r="F8744" s="6">
        <v>1</v>
      </c>
      <c r="G8744" s="40">
        <v>15</v>
      </c>
      <c r="H8744" s="40">
        <v>19.338529999999999</v>
      </c>
      <c r="I8744" s="212"/>
      <c r="J8744" s="212"/>
    </row>
    <row r="8745" spans="1:10" s="15" customFormat="1" ht="18" hidden="1" customHeight="1" outlineLevel="1" x14ac:dyDescent="0.25">
      <c r="A8745" s="18">
        <v>5882</v>
      </c>
      <c r="B8745" s="4" t="s">
        <v>43</v>
      </c>
      <c r="C8745" s="38" t="s">
        <v>11201</v>
      </c>
      <c r="D8745" s="23">
        <v>2023</v>
      </c>
      <c r="E8745" s="18" t="s">
        <v>0</v>
      </c>
      <c r="F8745" s="6">
        <v>1</v>
      </c>
      <c r="G8745" s="40">
        <v>10</v>
      </c>
      <c r="H8745" s="40">
        <v>18.430509999999998</v>
      </c>
      <c r="I8745" s="212"/>
      <c r="J8745" s="212"/>
    </row>
    <row r="8746" spans="1:10" s="15" customFormat="1" ht="18" hidden="1" customHeight="1" outlineLevel="1" x14ac:dyDescent="0.25">
      <c r="A8746" s="18">
        <v>2157</v>
      </c>
      <c r="B8746" s="4" t="s">
        <v>43</v>
      </c>
      <c r="C8746" s="38" t="s">
        <v>11202</v>
      </c>
      <c r="D8746" s="23">
        <v>2023</v>
      </c>
      <c r="E8746" s="18" t="s">
        <v>0</v>
      </c>
      <c r="F8746" s="6">
        <v>1</v>
      </c>
      <c r="G8746" s="40">
        <v>5</v>
      </c>
      <c r="H8746" s="40">
        <v>18.733159999999998</v>
      </c>
      <c r="I8746" s="212"/>
      <c r="J8746" s="212"/>
    </row>
    <row r="8747" spans="1:10" s="15" customFormat="1" ht="18" hidden="1" customHeight="1" outlineLevel="1" x14ac:dyDescent="0.25">
      <c r="A8747" s="18">
        <v>5883</v>
      </c>
      <c r="B8747" s="4" t="s">
        <v>43</v>
      </c>
      <c r="C8747" s="38" t="s">
        <v>11203</v>
      </c>
      <c r="D8747" s="23">
        <v>2023</v>
      </c>
      <c r="E8747" s="18" t="s">
        <v>0</v>
      </c>
      <c r="F8747" s="6">
        <v>1</v>
      </c>
      <c r="G8747" s="40">
        <v>10</v>
      </c>
      <c r="H8747" s="40">
        <v>18.430509999999998</v>
      </c>
      <c r="I8747" s="212"/>
      <c r="J8747" s="212"/>
    </row>
    <row r="8748" spans="1:10" s="15" customFormat="1" ht="18" hidden="1" customHeight="1" outlineLevel="1" x14ac:dyDescent="0.25">
      <c r="A8748" s="18">
        <v>2156</v>
      </c>
      <c r="B8748" s="4" t="s">
        <v>43</v>
      </c>
      <c r="C8748" s="38" t="s">
        <v>11204</v>
      </c>
      <c r="D8748" s="23">
        <v>2023</v>
      </c>
      <c r="E8748" s="18" t="s">
        <v>0</v>
      </c>
      <c r="F8748" s="6">
        <v>1</v>
      </c>
      <c r="G8748" s="40">
        <v>5</v>
      </c>
      <c r="H8748" s="40">
        <v>18.430499999999999</v>
      </c>
      <c r="I8748" s="212"/>
      <c r="J8748" s="212"/>
    </row>
    <row r="8749" spans="1:10" s="15" customFormat="1" ht="18" hidden="1" customHeight="1" outlineLevel="1" x14ac:dyDescent="0.25">
      <c r="A8749" s="18">
        <v>5884</v>
      </c>
      <c r="B8749" s="4" t="s">
        <v>43</v>
      </c>
      <c r="C8749" s="38" t="s">
        <v>11205</v>
      </c>
      <c r="D8749" s="23">
        <v>2023</v>
      </c>
      <c r="E8749" s="18" t="s">
        <v>0</v>
      </c>
      <c r="F8749" s="6">
        <v>1</v>
      </c>
      <c r="G8749" s="40">
        <v>5</v>
      </c>
      <c r="H8749" s="40">
        <v>18.733169999999998</v>
      </c>
      <c r="I8749" s="212"/>
      <c r="J8749" s="212"/>
    </row>
    <row r="8750" spans="1:10" s="15" customFormat="1" ht="18" hidden="1" customHeight="1" outlineLevel="1" x14ac:dyDescent="0.25">
      <c r="A8750" s="18">
        <v>5886</v>
      </c>
      <c r="B8750" s="4" t="s">
        <v>43</v>
      </c>
      <c r="C8750" s="38" t="s">
        <v>11206</v>
      </c>
      <c r="D8750" s="23">
        <v>2023</v>
      </c>
      <c r="E8750" s="18" t="s">
        <v>0</v>
      </c>
      <c r="F8750" s="6">
        <v>1</v>
      </c>
      <c r="G8750" s="40">
        <v>5</v>
      </c>
      <c r="H8750" s="40">
        <v>18.733159999999998</v>
      </c>
      <c r="I8750" s="212"/>
      <c r="J8750" s="212"/>
    </row>
    <row r="8751" spans="1:10" s="15" customFormat="1" ht="18" hidden="1" customHeight="1" outlineLevel="1" x14ac:dyDescent="0.25">
      <c r="A8751" s="18">
        <v>5887</v>
      </c>
      <c r="B8751" s="4" t="s">
        <v>43</v>
      </c>
      <c r="C8751" s="38" t="s">
        <v>11207</v>
      </c>
      <c r="D8751" s="23">
        <v>2023</v>
      </c>
      <c r="E8751" s="18" t="s">
        <v>0</v>
      </c>
      <c r="F8751" s="6">
        <v>1</v>
      </c>
      <c r="G8751" s="40">
        <v>15</v>
      </c>
      <c r="H8751" s="40">
        <v>18.430509999999998</v>
      </c>
      <c r="I8751" s="212"/>
      <c r="J8751" s="212"/>
    </row>
    <row r="8752" spans="1:10" s="15" customFormat="1" ht="18" hidden="1" customHeight="1" outlineLevel="1" x14ac:dyDescent="0.25">
      <c r="A8752" s="18">
        <v>5888</v>
      </c>
      <c r="B8752" s="4" t="s">
        <v>43</v>
      </c>
      <c r="C8752" s="38" t="s">
        <v>11208</v>
      </c>
      <c r="D8752" s="23">
        <v>2023</v>
      </c>
      <c r="E8752" s="18" t="s">
        <v>0</v>
      </c>
      <c r="F8752" s="6">
        <v>1</v>
      </c>
      <c r="G8752" s="40">
        <v>10</v>
      </c>
      <c r="H8752" s="40">
        <v>18.430499999999999</v>
      </c>
      <c r="I8752" s="212"/>
      <c r="J8752" s="212"/>
    </row>
    <row r="8753" spans="1:10" s="15" customFormat="1" ht="18" hidden="1" customHeight="1" outlineLevel="1" x14ac:dyDescent="0.25">
      <c r="A8753" s="18">
        <v>2713</v>
      </c>
      <c r="B8753" s="4" t="s">
        <v>43</v>
      </c>
      <c r="C8753" s="38" t="s">
        <v>11209</v>
      </c>
      <c r="D8753" s="23">
        <v>2023</v>
      </c>
      <c r="E8753" s="18" t="s">
        <v>0</v>
      </c>
      <c r="F8753" s="6">
        <v>1</v>
      </c>
      <c r="G8753" s="40">
        <v>10</v>
      </c>
      <c r="H8753" s="40">
        <v>18.682319999999997</v>
      </c>
      <c r="I8753" s="212"/>
      <c r="J8753" s="212"/>
    </row>
    <row r="8754" spans="1:10" s="15" customFormat="1" ht="18" hidden="1" customHeight="1" outlineLevel="1" x14ac:dyDescent="0.25">
      <c r="A8754" s="18">
        <v>2721</v>
      </c>
      <c r="B8754" s="4" t="s">
        <v>43</v>
      </c>
      <c r="C8754" s="38" t="s">
        <v>11210</v>
      </c>
      <c r="D8754" s="23">
        <v>2023</v>
      </c>
      <c r="E8754" s="18" t="s">
        <v>0</v>
      </c>
      <c r="F8754" s="6">
        <v>1</v>
      </c>
      <c r="G8754" s="40">
        <v>5</v>
      </c>
      <c r="H8754" s="40">
        <v>18.682319999999997</v>
      </c>
      <c r="I8754" s="212"/>
      <c r="J8754" s="212"/>
    </row>
    <row r="8755" spans="1:10" s="15" customFormat="1" ht="18" hidden="1" customHeight="1" outlineLevel="1" x14ac:dyDescent="0.25">
      <c r="A8755" s="18">
        <v>5890</v>
      </c>
      <c r="B8755" s="4" t="s">
        <v>43</v>
      </c>
      <c r="C8755" s="38" t="s">
        <v>11211</v>
      </c>
      <c r="D8755" s="23">
        <v>2023</v>
      </c>
      <c r="E8755" s="18" t="s">
        <v>0</v>
      </c>
      <c r="F8755" s="6">
        <v>1</v>
      </c>
      <c r="G8755" s="40">
        <v>5</v>
      </c>
      <c r="H8755" s="40">
        <v>18.682310000000001</v>
      </c>
      <c r="I8755" s="212"/>
      <c r="J8755" s="212"/>
    </row>
    <row r="8756" spans="1:10" s="15" customFormat="1" ht="18" hidden="1" customHeight="1" outlineLevel="1" x14ac:dyDescent="0.25">
      <c r="A8756" s="18">
        <v>5891</v>
      </c>
      <c r="B8756" s="4" t="s">
        <v>43</v>
      </c>
      <c r="C8756" s="38" t="s">
        <v>11212</v>
      </c>
      <c r="D8756" s="23">
        <v>2023</v>
      </c>
      <c r="E8756" s="18" t="s">
        <v>0</v>
      </c>
      <c r="F8756" s="6">
        <v>1</v>
      </c>
      <c r="G8756" s="40">
        <v>5</v>
      </c>
      <c r="H8756" s="40">
        <v>18.682319999999997</v>
      </c>
      <c r="I8756" s="212"/>
      <c r="J8756" s="212"/>
    </row>
    <row r="8757" spans="1:10" s="15" customFormat="1" ht="18" hidden="1" customHeight="1" outlineLevel="1" x14ac:dyDescent="0.25">
      <c r="A8757" s="18">
        <v>5893</v>
      </c>
      <c r="B8757" s="4" t="s">
        <v>43</v>
      </c>
      <c r="C8757" s="38" t="s">
        <v>11213</v>
      </c>
      <c r="D8757" s="23">
        <v>2023</v>
      </c>
      <c r="E8757" s="18" t="s">
        <v>0</v>
      </c>
      <c r="F8757" s="6">
        <v>1</v>
      </c>
      <c r="G8757" s="40">
        <v>10</v>
      </c>
      <c r="H8757" s="40">
        <v>18.682319999999997</v>
      </c>
      <c r="I8757" s="212"/>
      <c r="J8757" s="212"/>
    </row>
    <row r="8758" spans="1:10" s="15" customFormat="1" ht="18" hidden="1" customHeight="1" outlineLevel="1" x14ac:dyDescent="0.25">
      <c r="A8758" s="18">
        <v>5894</v>
      </c>
      <c r="B8758" s="4" t="s">
        <v>43</v>
      </c>
      <c r="C8758" s="38" t="s">
        <v>11214</v>
      </c>
      <c r="D8758" s="23">
        <v>2023</v>
      </c>
      <c r="E8758" s="18" t="s">
        <v>0</v>
      </c>
      <c r="F8758" s="6">
        <v>1</v>
      </c>
      <c r="G8758" s="40">
        <v>5</v>
      </c>
      <c r="H8758" s="40">
        <v>18.682319999999997</v>
      </c>
      <c r="I8758" s="212"/>
      <c r="J8758" s="212"/>
    </row>
    <row r="8759" spans="1:10" s="15" customFormat="1" ht="18" hidden="1" customHeight="1" outlineLevel="1" x14ac:dyDescent="0.25">
      <c r="A8759" s="18">
        <v>5895</v>
      </c>
      <c r="B8759" s="4" t="s">
        <v>43</v>
      </c>
      <c r="C8759" s="38" t="s">
        <v>11215</v>
      </c>
      <c r="D8759" s="23">
        <v>2023</v>
      </c>
      <c r="E8759" s="18" t="s">
        <v>0</v>
      </c>
      <c r="F8759" s="6">
        <v>1</v>
      </c>
      <c r="G8759" s="40">
        <v>5</v>
      </c>
      <c r="H8759" s="40">
        <v>18.682310000000001</v>
      </c>
      <c r="I8759" s="212"/>
      <c r="J8759" s="212"/>
    </row>
    <row r="8760" spans="1:10" s="15" customFormat="1" ht="18" hidden="1" customHeight="1" outlineLevel="1" x14ac:dyDescent="0.25">
      <c r="A8760" s="18">
        <v>5896</v>
      </c>
      <c r="B8760" s="4" t="s">
        <v>43</v>
      </c>
      <c r="C8760" s="38" t="s">
        <v>11216</v>
      </c>
      <c r="D8760" s="23">
        <v>2023</v>
      </c>
      <c r="E8760" s="18" t="s">
        <v>0</v>
      </c>
      <c r="F8760" s="6">
        <v>1</v>
      </c>
      <c r="G8760" s="40">
        <v>5</v>
      </c>
      <c r="H8760" s="40">
        <v>18.682319999999997</v>
      </c>
      <c r="I8760" s="212"/>
      <c r="J8760" s="212"/>
    </row>
    <row r="8761" spans="1:10" s="15" customFormat="1" ht="18" hidden="1" customHeight="1" outlineLevel="1" x14ac:dyDescent="0.25">
      <c r="A8761" s="18">
        <v>5897</v>
      </c>
      <c r="B8761" s="4" t="s">
        <v>43</v>
      </c>
      <c r="C8761" s="38" t="s">
        <v>11217</v>
      </c>
      <c r="D8761" s="23">
        <v>2023</v>
      </c>
      <c r="E8761" s="18" t="s">
        <v>0</v>
      </c>
      <c r="F8761" s="6">
        <v>1</v>
      </c>
      <c r="G8761" s="40">
        <v>5</v>
      </c>
      <c r="H8761" s="40">
        <v>18.682310000000001</v>
      </c>
      <c r="I8761" s="212"/>
      <c r="J8761" s="212"/>
    </row>
    <row r="8762" spans="1:10" s="15" customFormat="1" ht="18" hidden="1" customHeight="1" outlineLevel="1" x14ac:dyDescent="0.25">
      <c r="A8762" s="18">
        <v>5898</v>
      </c>
      <c r="B8762" s="4" t="s">
        <v>43</v>
      </c>
      <c r="C8762" s="38" t="s">
        <v>11218</v>
      </c>
      <c r="D8762" s="23">
        <v>2023</v>
      </c>
      <c r="E8762" s="18" t="s">
        <v>0</v>
      </c>
      <c r="F8762" s="6">
        <v>1</v>
      </c>
      <c r="G8762" s="40">
        <v>5</v>
      </c>
      <c r="H8762" s="40">
        <v>18.682319999999997</v>
      </c>
      <c r="I8762" s="212"/>
      <c r="J8762" s="212"/>
    </row>
    <row r="8763" spans="1:10" s="15" customFormat="1" ht="18" hidden="1" customHeight="1" outlineLevel="1" x14ac:dyDescent="0.25">
      <c r="A8763" s="18">
        <v>2549</v>
      </c>
      <c r="B8763" s="4" t="s">
        <v>43</v>
      </c>
      <c r="C8763" s="38" t="s">
        <v>11219</v>
      </c>
      <c r="D8763" s="23">
        <v>2023</v>
      </c>
      <c r="E8763" s="18" t="s">
        <v>0</v>
      </c>
      <c r="F8763" s="6">
        <v>1</v>
      </c>
      <c r="G8763" s="40">
        <v>5</v>
      </c>
      <c r="H8763" s="40">
        <v>18.682310000000001</v>
      </c>
      <c r="I8763" s="212"/>
      <c r="J8763" s="212"/>
    </row>
    <row r="8764" spans="1:10" s="15" customFormat="1" ht="18" hidden="1" customHeight="1" outlineLevel="1" x14ac:dyDescent="0.25">
      <c r="A8764" s="18">
        <v>5899</v>
      </c>
      <c r="B8764" s="4" t="s">
        <v>43</v>
      </c>
      <c r="C8764" s="38" t="s">
        <v>11220</v>
      </c>
      <c r="D8764" s="23">
        <v>2023</v>
      </c>
      <c r="E8764" s="18" t="s">
        <v>0</v>
      </c>
      <c r="F8764" s="6">
        <v>1</v>
      </c>
      <c r="G8764" s="40">
        <v>5</v>
      </c>
      <c r="H8764" s="40">
        <v>18.682319999999997</v>
      </c>
      <c r="I8764" s="212"/>
      <c r="J8764" s="212"/>
    </row>
    <row r="8765" spans="1:10" s="15" customFormat="1" ht="18" hidden="1" customHeight="1" outlineLevel="1" x14ac:dyDescent="0.25">
      <c r="A8765" s="18">
        <v>5900</v>
      </c>
      <c r="B8765" s="4" t="s">
        <v>43</v>
      </c>
      <c r="C8765" s="38" t="s">
        <v>11221</v>
      </c>
      <c r="D8765" s="23">
        <v>2023</v>
      </c>
      <c r="E8765" s="18" t="s">
        <v>0</v>
      </c>
      <c r="F8765" s="6">
        <v>1</v>
      </c>
      <c r="G8765" s="40">
        <v>5</v>
      </c>
      <c r="H8765" s="40">
        <v>18.682310000000001</v>
      </c>
      <c r="I8765" s="212"/>
      <c r="J8765" s="212"/>
    </row>
    <row r="8766" spans="1:10" s="15" customFormat="1" ht="18" hidden="1" customHeight="1" outlineLevel="1" x14ac:dyDescent="0.25">
      <c r="A8766" s="18">
        <v>5901</v>
      </c>
      <c r="B8766" s="4" t="s">
        <v>43</v>
      </c>
      <c r="C8766" s="38" t="s">
        <v>11222</v>
      </c>
      <c r="D8766" s="23">
        <v>2023</v>
      </c>
      <c r="E8766" s="18" t="s">
        <v>0</v>
      </c>
      <c r="F8766" s="6">
        <v>1</v>
      </c>
      <c r="G8766" s="40">
        <v>5</v>
      </c>
      <c r="H8766" s="40">
        <v>18.682319999999997</v>
      </c>
      <c r="I8766" s="212"/>
      <c r="J8766" s="212"/>
    </row>
    <row r="8767" spans="1:10" s="15" customFormat="1" ht="18" hidden="1" customHeight="1" outlineLevel="1" x14ac:dyDescent="0.25">
      <c r="A8767" s="18">
        <v>5902</v>
      </c>
      <c r="B8767" s="4" t="s">
        <v>43</v>
      </c>
      <c r="C8767" s="38" t="s">
        <v>11223</v>
      </c>
      <c r="D8767" s="23">
        <v>2023</v>
      </c>
      <c r="E8767" s="18" t="s">
        <v>0</v>
      </c>
      <c r="F8767" s="6">
        <v>1</v>
      </c>
      <c r="G8767" s="40">
        <v>5</v>
      </c>
      <c r="H8767" s="40">
        <v>18.682310000000001</v>
      </c>
      <c r="I8767" s="212"/>
      <c r="J8767" s="212"/>
    </row>
    <row r="8768" spans="1:10" s="15" customFormat="1" ht="18" hidden="1" customHeight="1" outlineLevel="1" x14ac:dyDescent="0.25">
      <c r="A8768" s="18">
        <v>5903</v>
      </c>
      <c r="B8768" s="4" t="s">
        <v>43</v>
      </c>
      <c r="C8768" s="38" t="s">
        <v>11224</v>
      </c>
      <c r="D8768" s="23">
        <v>2023</v>
      </c>
      <c r="E8768" s="18" t="s">
        <v>0</v>
      </c>
      <c r="F8768" s="6">
        <v>1</v>
      </c>
      <c r="G8768" s="40">
        <v>5</v>
      </c>
      <c r="H8768" s="40">
        <v>18.682319999999997</v>
      </c>
      <c r="I8768" s="212"/>
      <c r="J8768" s="212"/>
    </row>
    <row r="8769" spans="1:10" s="15" customFormat="1" ht="18" hidden="1" customHeight="1" outlineLevel="1" x14ac:dyDescent="0.25">
      <c r="A8769" s="18">
        <v>5904</v>
      </c>
      <c r="B8769" s="4" t="s">
        <v>43</v>
      </c>
      <c r="C8769" s="38" t="s">
        <v>11225</v>
      </c>
      <c r="D8769" s="23">
        <v>2023</v>
      </c>
      <c r="E8769" s="18" t="s">
        <v>0</v>
      </c>
      <c r="F8769" s="6">
        <v>1</v>
      </c>
      <c r="G8769" s="40">
        <v>5</v>
      </c>
      <c r="H8769" s="40">
        <v>18.682310000000001</v>
      </c>
      <c r="I8769" s="212"/>
      <c r="J8769" s="212"/>
    </row>
    <row r="8770" spans="1:10" s="15" customFormat="1" ht="18" hidden="1" customHeight="1" outlineLevel="1" x14ac:dyDescent="0.25">
      <c r="A8770" s="18">
        <v>5905</v>
      </c>
      <c r="B8770" s="4" t="s">
        <v>43</v>
      </c>
      <c r="C8770" s="38" t="s">
        <v>11226</v>
      </c>
      <c r="D8770" s="23">
        <v>2023</v>
      </c>
      <c r="E8770" s="18" t="s">
        <v>0</v>
      </c>
      <c r="F8770" s="6">
        <v>1</v>
      </c>
      <c r="G8770" s="40">
        <v>10</v>
      </c>
      <c r="H8770" s="40">
        <v>18.682319999999997</v>
      </c>
      <c r="I8770" s="212"/>
      <c r="J8770" s="212"/>
    </row>
    <row r="8771" spans="1:10" s="15" customFormat="1" ht="18" hidden="1" customHeight="1" outlineLevel="1" x14ac:dyDescent="0.25">
      <c r="A8771" s="18">
        <v>5906</v>
      </c>
      <c r="B8771" s="4" t="s">
        <v>43</v>
      </c>
      <c r="C8771" s="38" t="s">
        <v>11227</v>
      </c>
      <c r="D8771" s="23">
        <v>2023</v>
      </c>
      <c r="E8771" s="18" t="s">
        <v>0</v>
      </c>
      <c r="F8771" s="6">
        <v>1</v>
      </c>
      <c r="G8771" s="40">
        <v>10</v>
      </c>
      <c r="H8771" s="40">
        <v>18.682319999999997</v>
      </c>
      <c r="I8771" s="212"/>
      <c r="J8771" s="212"/>
    </row>
    <row r="8772" spans="1:10" s="15" customFormat="1" ht="18" hidden="1" customHeight="1" outlineLevel="1" x14ac:dyDescent="0.25">
      <c r="A8772" s="18">
        <v>2234</v>
      </c>
      <c r="B8772" s="4" t="s">
        <v>43</v>
      </c>
      <c r="C8772" s="38" t="s">
        <v>11228</v>
      </c>
      <c r="D8772" s="23">
        <v>2023</v>
      </c>
      <c r="E8772" s="18" t="s">
        <v>0</v>
      </c>
      <c r="F8772" s="6">
        <v>1</v>
      </c>
      <c r="G8772" s="40">
        <v>5</v>
      </c>
      <c r="H8772" s="40">
        <v>18.682310000000001</v>
      </c>
      <c r="I8772" s="212"/>
      <c r="J8772" s="212"/>
    </row>
    <row r="8773" spans="1:10" s="15" customFormat="1" ht="18" hidden="1" customHeight="1" outlineLevel="1" x14ac:dyDescent="0.25">
      <c r="A8773" s="18">
        <v>5908</v>
      </c>
      <c r="B8773" s="4" t="s">
        <v>43</v>
      </c>
      <c r="C8773" s="38" t="s">
        <v>11229</v>
      </c>
      <c r="D8773" s="23">
        <v>2023</v>
      </c>
      <c r="E8773" s="18" t="s">
        <v>0</v>
      </c>
      <c r="F8773" s="6">
        <v>1</v>
      </c>
      <c r="G8773" s="40">
        <v>5</v>
      </c>
      <c r="H8773" s="40">
        <v>18.682319999999997</v>
      </c>
      <c r="I8773" s="212"/>
      <c r="J8773" s="212"/>
    </row>
    <row r="8774" spans="1:10" s="15" customFormat="1" ht="18" hidden="1" customHeight="1" outlineLevel="1" x14ac:dyDescent="0.25">
      <c r="A8774" s="18">
        <v>5909</v>
      </c>
      <c r="B8774" s="4" t="s">
        <v>43</v>
      </c>
      <c r="C8774" s="38" t="s">
        <v>11230</v>
      </c>
      <c r="D8774" s="23">
        <v>2023</v>
      </c>
      <c r="E8774" s="18" t="s">
        <v>0</v>
      </c>
      <c r="F8774" s="6">
        <v>1</v>
      </c>
      <c r="G8774" s="40">
        <v>5</v>
      </c>
      <c r="H8774" s="40">
        <v>18.682310000000001</v>
      </c>
      <c r="I8774" s="212"/>
      <c r="J8774" s="212"/>
    </row>
    <row r="8775" spans="1:10" s="15" customFormat="1" ht="18" hidden="1" customHeight="1" outlineLevel="1" x14ac:dyDescent="0.25">
      <c r="A8775" s="18">
        <v>5910</v>
      </c>
      <c r="B8775" s="4" t="s">
        <v>43</v>
      </c>
      <c r="C8775" s="38" t="s">
        <v>11231</v>
      </c>
      <c r="D8775" s="23">
        <v>2023</v>
      </c>
      <c r="E8775" s="18" t="s">
        <v>0</v>
      </c>
      <c r="F8775" s="6">
        <v>1</v>
      </c>
      <c r="G8775" s="40">
        <v>10</v>
      </c>
      <c r="H8775" s="40">
        <v>18.682319999999997</v>
      </c>
      <c r="I8775" s="212"/>
      <c r="J8775" s="212"/>
    </row>
    <row r="8776" spans="1:10" s="15" customFormat="1" ht="18" hidden="1" customHeight="1" outlineLevel="1" x14ac:dyDescent="0.25">
      <c r="A8776" s="18">
        <v>2237</v>
      </c>
      <c r="B8776" s="4" t="s">
        <v>43</v>
      </c>
      <c r="C8776" s="38" t="s">
        <v>11232</v>
      </c>
      <c r="D8776" s="23">
        <v>2023</v>
      </c>
      <c r="E8776" s="18" t="s">
        <v>0</v>
      </c>
      <c r="F8776" s="6">
        <v>1</v>
      </c>
      <c r="G8776" s="40">
        <v>5</v>
      </c>
      <c r="H8776" s="40">
        <v>18.682310000000001</v>
      </c>
      <c r="I8776" s="212"/>
      <c r="J8776" s="212"/>
    </row>
    <row r="8777" spans="1:10" s="15" customFormat="1" ht="18" hidden="1" customHeight="1" outlineLevel="1" x14ac:dyDescent="0.25">
      <c r="A8777" s="18">
        <v>5911</v>
      </c>
      <c r="B8777" s="4" t="s">
        <v>43</v>
      </c>
      <c r="C8777" s="38" t="s">
        <v>11233</v>
      </c>
      <c r="D8777" s="23">
        <v>2023</v>
      </c>
      <c r="E8777" s="18" t="s">
        <v>0</v>
      </c>
      <c r="F8777" s="6">
        <v>1</v>
      </c>
      <c r="G8777" s="40">
        <v>5</v>
      </c>
      <c r="H8777" s="40">
        <v>18.682319999999997</v>
      </c>
      <c r="I8777" s="212"/>
      <c r="J8777" s="212"/>
    </row>
    <row r="8778" spans="1:10" s="15" customFormat="1" ht="18" hidden="1" customHeight="1" outlineLevel="1" x14ac:dyDescent="0.25">
      <c r="A8778" s="18">
        <v>2239</v>
      </c>
      <c r="B8778" s="4" t="s">
        <v>43</v>
      </c>
      <c r="C8778" s="38" t="s">
        <v>11234</v>
      </c>
      <c r="D8778" s="23">
        <v>2023</v>
      </c>
      <c r="E8778" s="18" t="s">
        <v>0</v>
      </c>
      <c r="F8778" s="6">
        <v>1</v>
      </c>
      <c r="G8778" s="40">
        <v>5</v>
      </c>
      <c r="H8778" s="40">
        <v>18.682319999999997</v>
      </c>
      <c r="I8778" s="212"/>
      <c r="J8778" s="212"/>
    </row>
    <row r="8779" spans="1:10" s="15" customFormat="1" ht="18" hidden="1" customHeight="1" outlineLevel="1" x14ac:dyDescent="0.25">
      <c r="A8779" s="18">
        <v>5912</v>
      </c>
      <c r="B8779" s="4" t="s">
        <v>43</v>
      </c>
      <c r="C8779" s="38" t="s">
        <v>11235</v>
      </c>
      <c r="D8779" s="23">
        <v>2023</v>
      </c>
      <c r="E8779" s="18" t="s">
        <v>0</v>
      </c>
      <c r="F8779" s="6">
        <v>1</v>
      </c>
      <c r="G8779" s="40">
        <v>5</v>
      </c>
      <c r="H8779" s="40">
        <v>18.682310000000001</v>
      </c>
      <c r="I8779" s="212"/>
      <c r="J8779" s="212"/>
    </row>
    <row r="8780" spans="1:10" s="15" customFormat="1" ht="18" hidden="1" customHeight="1" outlineLevel="1" x14ac:dyDescent="0.25">
      <c r="A8780" s="18">
        <v>5913</v>
      </c>
      <c r="B8780" s="4" t="s">
        <v>43</v>
      </c>
      <c r="C8780" s="38" t="s">
        <v>11236</v>
      </c>
      <c r="D8780" s="23">
        <v>2023</v>
      </c>
      <c r="E8780" s="18" t="s">
        <v>0</v>
      </c>
      <c r="F8780" s="6">
        <v>1</v>
      </c>
      <c r="G8780" s="40">
        <v>5</v>
      </c>
      <c r="H8780" s="40">
        <v>18.682310000000001</v>
      </c>
      <c r="I8780" s="212"/>
      <c r="J8780" s="212"/>
    </row>
    <row r="8781" spans="1:10" s="15" customFormat="1" ht="18" hidden="1" customHeight="1" outlineLevel="1" x14ac:dyDescent="0.25">
      <c r="A8781" s="18">
        <v>5914</v>
      </c>
      <c r="B8781" s="4" t="s">
        <v>43</v>
      </c>
      <c r="C8781" s="38" t="s">
        <v>11237</v>
      </c>
      <c r="D8781" s="23">
        <v>2023</v>
      </c>
      <c r="E8781" s="18" t="s">
        <v>0</v>
      </c>
      <c r="F8781" s="6">
        <v>1</v>
      </c>
      <c r="G8781" s="40">
        <v>5</v>
      </c>
      <c r="H8781" s="40">
        <v>18.682319999999997</v>
      </c>
      <c r="I8781" s="212"/>
      <c r="J8781" s="212"/>
    </row>
    <row r="8782" spans="1:10" s="15" customFormat="1" ht="18" hidden="1" customHeight="1" outlineLevel="1" x14ac:dyDescent="0.25">
      <c r="A8782" s="18">
        <v>2227</v>
      </c>
      <c r="B8782" s="4" t="s">
        <v>43</v>
      </c>
      <c r="C8782" s="38" t="s">
        <v>11238</v>
      </c>
      <c r="D8782" s="23">
        <v>2023</v>
      </c>
      <c r="E8782" s="18" t="s">
        <v>0</v>
      </c>
      <c r="F8782" s="6">
        <v>1</v>
      </c>
      <c r="G8782" s="40">
        <v>5</v>
      </c>
      <c r="H8782" s="40">
        <v>18.682319999999997</v>
      </c>
      <c r="I8782" s="212"/>
      <c r="J8782" s="212"/>
    </row>
    <row r="8783" spans="1:10" s="15" customFormat="1" ht="18" hidden="1" customHeight="1" outlineLevel="1" x14ac:dyDescent="0.25">
      <c r="A8783" s="18">
        <v>2217</v>
      </c>
      <c r="B8783" s="4" t="s">
        <v>43</v>
      </c>
      <c r="C8783" s="38" t="s">
        <v>11239</v>
      </c>
      <c r="D8783" s="23">
        <v>2023</v>
      </c>
      <c r="E8783" s="18" t="s">
        <v>0</v>
      </c>
      <c r="F8783" s="6">
        <v>1</v>
      </c>
      <c r="G8783" s="40">
        <v>5</v>
      </c>
      <c r="H8783" s="40">
        <v>18.682310000000001</v>
      </c>
      <c r="I8783" s="212"/>
      <c r="J8783" s="212"/>
    </row>
    <row r="8784" spans="1:10" s="15" customFormat="1" ht="18" hidden="1" customHeight="1" outlineLevel="1" x14ac:dyDescent="0.25">
      <c r="A8784" s="18">
        <v>2242</v>
      </c>
      <c r="B8784" s="4" t="s">
        <v>43</v>
      </c>
      <c r="C8784" s="38" t="s">
        <v>11240</v>
      </c>
      <c r="D8784" s="23">
        <v>2023</v>
      </c>
      <c r="E8784" s="18" t="s">
        <v>0</v>
      </c>
      <c r="F8784" s="6">
        <v>1</v>
      </c>
      <c r="G8784" s="40">
        <v>5</v>
      </c>
      <c r="H8784" s="40">
        <v>18.682319999999997</v>
      </c>
      <c r="I8784" s="212"/>
      <c r="J8784" s="212"/>
    </row>
    <row r="8785" spans="1:10" s="15" customFormat="1" ht="18" hidden="1" customHeight="1" outlineLevel="1" x14ac:dyDescent="0.25">
      <c r="A8785" s="18">
        <v>5915</v>
      </c>
      <c r="B8785" s="4" t="s">
        <v>43</v>
      </c>
      <c r="C8785" s="38" t="s">
        <v>11241</v>
      </c>
      <c r="D8785" s="23">
        <v>2023</v>
      </c>
      <c r="E8785" s="18" t="s">
        <v>0</v>
      </c>
      <c r="F8785" s="6">
        <v>1</v>
      </c>
      <c r="G8785" s="40">
        <v>5</v>
      </c>
      <c r="H8785" s="40">
        <v>18.682310000000001</v>
      </c>
      <c r="I8785" s="212"/>
      <c r="J8785" s="212"/>
    </row>
    <row r="8786" spans="1:10" s="15" customFormat="1" ht="18" hidden="1" customHeight="1" outlineLevel="1" x14ac:dyDescent="0.25">
      <c r="A8786" s="18">
        <v>5916</v>
      </c>
      <c r="B8786" s="4" t="s">
        <v>43</v>
      </c>
      <c r="C8786" s="38" t="s">
        <v>11242</v>
      </c>
      <c r="D8786" s="23">
        <v>2023</v>
      </c>
      <c r="E8786" s="18" t="s">
        <v>0</v>
      </c>
      <c r="F8786" s="6">
        <v>1</v>
      </c>
      <c r="G8786" s="40">
        <v>5</v>
      </c>
      <c r="H8786" s="40">
        <v>18.682319999999997</v>
      </c>
      <c r="I8786" s="212"/>
      <c r="J8786" s="212"/>
    </row>
    <row r="8787" spans="1:10" s="15" customFormat="1" ht="18" hidden="1" customHeight="1" outlineLevel="1" x14ac:dyDescent="0.25">
      <c r="A8787" s="18">
        <v>2220</v>
      </c>
      <c r="B8787" s="4" t="s">
        <v>43</v>
      </c>
      <c r="C8787" s="38" t="s">
        <v>11243</v>
      </c>
      <c r="D8787" s="23">
        <v>2023</v>
      </c>
      <c r="E8787" s="18" t="s">
        <v>0</v>
      </c>
      <c r="F8787" s="6">
        <v>1</v>
      </c>
      <c r="G8787" s="40">
        <v>5</v>
      </c>
      <c r="H8787" s="40">
        <v>18.523310000000002</v>
      </c>
      <c r="I8787" s="212"/>
      <c r="J8787" s="212"/>
    </row>
    <row r="8788" spans="1:10" s="15" customFormat="1" ht="18" hidden="1" customHeight="1" outlineLevel="1" x14ac:dyDescent="0.25">
      <c r="A8788" s="18">
        <v>5917</v>
      </c>
      <c r="B8788" s="4" t="s">
        <v>43</v>
      </c>
      <c r="C8788" s="38" t="s">
        <v>11244</v>
      </c>
      <c r="D8788" s="23">
        <v>2023</v>
      </c>
      <c r="E8788" s="18" t="s">
        <v>0</v>
      </c>
      <c r="F8788" s="6">
        <v>1</v>
      </c>
      <c r="G8788" s="40">
        <v>5</v>
      </c>
      <c r="H8788" s="40">
        <v>18.56503</v>
      </c>
      <c r="I8788" s="212"/>
      <c r="J8788" s="212"/>
    </row>
    <row r="8789" spans="1:10" s="15" customFormat="1" ht="18" hidden="1" customHeight="1" outlineLevel="1" x14ac:dyDescent="0.25">
      <c r="A8789" s="18">
        <v>2215</v>
      </c>
      <c r="B8789" s="4" t="s">
        <v>43</v>
      </c>
      <c r="C8789" s="38" t="s">
        <v>11245</v>
      </c>
      <c r="D8789" s="23">
        <v>2023</v>
      </c>
      <c r="E8789" s="18" t="s">
        <v>0</v>
      </c>
      <c r="F8789" s="6">
        <v>1</v>
      </c>
      <c r="G8789" s="40">
        <v>5</v>
      </c>
      <c r="H8789" s="40">
        <v>18.523310000000002</v>
      </c>
      <c r="I8789" s="212"/>
      <c r="J8789" s="212"/>
    </row>
    <row r="8790" spans="1:10" s="15" customFormat="1" ht="18" hidden="1" customHeight="1" outlineLevel="1" x14ac:dyDescent="0.25">
      <c r="A8790" s="18">
        <v>2193</v>
      </c>
      <c r="B8790" s="4" t="s">
        <v>43</v>
      </c>
      <c r="C8790" s="38" t="s">
        <v>11246</v>
      </c>
      <c r="D8790" s="23">
        <v>2023</v>
      </c>
      <c r="E8790" s="18" t="s">
        <v>0</v>
      </c>
      <c r="F8790" s="6">
        <v>1</v>
      </c>
      <c r="G8790" s="40">
        <v>5</v>
      </c>
      <c r="H8790" s="40">
        <v>18.523310000000002</v>
      </c>
      <c r="I8790" s="212"/>
      <c r="J8790" s="212"/>
    </row>
    <row r="8791" spans="1:10" s="15" customFormat="1" ht="18" hidden="1" customHeight="1" outlineLevel="1" x14ac:dyDescent="0.25">
      <c r="A8791" s="18">
        <v>2219</v>
      </c>
      <c r="B8791" s="4" t="s">
        <v>43</v>
      </c>
      <c r="C8791" s="38" t="s">
        <v>11247</v>
      </c>
      <c r="D8791" s="23">
        <v>2023</v>
      </c>
      <c r="E8791" s="18" t="s">
        <v>0</v>
      </c>
      <c r="F8791" s="6">
        <v>1</v>
      </c>
      <c r="G8791" s="40">
        <v>5</v>
      </c>
      <c r="H8791" s="40">
        <v>18.523310000000002</v>
      </c>
      <c r="I8791" s="212"/>
      <c r="J8791" s="212"/>
    </row>
    <row r="8792" spans="1:10" s="15" customFormat="1" ht="18" hidden="1" customHeight="1" outlineLevel="1" x14ac:dyDescent="0.25">
      <c r="A8792" s="18">
        <v>2208</v>
      </c>
      <c r="B8792" s="4" t="s">
        <v>43</v>
      </c>
      <c r="C8792" s="38" t="s">
        <v>11248</v>
      </c>
      <c r="D8792" s="23">
        <v>2023</v>
      </c>
      <c r="E8792" s="18" t="s">
        <v>0</v>
      </c>
      <c r="F8792" s="6">
        <v>1</v>
      </c>
      <c r="G8792" s="40">
        <v>5</v>
      </c>
      <c r="H8792" s="40">
        <v>18.523310000000002</v>
      </c>
      <c r="I8792" s="212"/>
      <c r="J8792" s="212"/>
    </row>
    <row r="8793" spans="1:10" s="15" customFormat="1" ht="18" hidden="1" customHeight="1" outlineLevel="1" x14ac:dyDescent="0.25">
      <c r="A8793" s="18">
        <v>5919</v>
      </c>
      <c r="B8793" s="4" t="s">
        <v>43</v>
      </c>
      <c r="C8793" s="38" t="s">
        <v>11249</v>
      </c>
      <c r="D8793" s="23">
        <v>2023</v>
      </c>
      <c r="E8793" s="18" t="s">
        <v>0</v>
      </c>
      <c r="F8793" s="6">
        <v>1</v>
      </c>
      <c r="G8793" s="40">
        <v>5</v>
      </c>
      <c r="H8793" s="40">
        <v>18.439910000000001</v>
      </c>
      <c r="I8793" s="212"/>
      <c r="J8793" s="212"/>
    </row>
    <row r="8794" spans="1:10" s="15" customFormat="1" ht="18" hidden="1" customHeight="1" outlineLevel="1" x14ac:dyDescent="0.25">
      <c r="A8794" s="18">
        <v>5920</v>
      </c>
      <c r="B8794" s="4" t="s">
        <v>43</v>
      </c>
      <c r="C8794" s="38" t="s">
        <v>11250</v>
      </c>
      <c r="D8794" s="23">
        <v>2023</v>
      </c>
      <c r="E8794" s="18" t="s">
        <v>0</v>
      </c>
      <c r="F8794" s="6">
        <v>1</v>
      </c>
      <c r="G8794" s="40">
        <v>5</v>
      </c>
      <c r="H8794" s="40">
        <v>18.773560000000003</v>
      </c>
      <c r="I8794" s="212"/>
      <c r="J8794" s="212"/>
    </row>
    <row r="8795" spans="1:10" s="15" customFormat="1" ht="18" hidden="1" customHeight="1" outlineLevel="1" x14ac:dyDescent="0.25">
      <c r="A8795" s="18">
        <v>5921</v>
      </c>
      <c r="B8795" s="4" t="s">
        <v>43</v>
      </c>
      <c r="C8795" s="38" t="s">
        <v>11251</v>
      </c>
      <c r="D8795" s="23">
        <v>2023</v>
      </c>
      <c r="E8795" s="18" t="s">
        <v>0</v>
      </c>
      <c r="F8795" s="6">
        <v>1</v>
      </c>
      <c r="G8795" s="40">
        <v>5</v>
      </c>
      <c r="H8795" s="40">
        <v>18.439910000000001</v>
      </c>
      <c r="I8795" s="212"/>
      <c r="J8795" s="212"/>
    </row>
    <row r="8796" spans="1:10" s="15" customFormat="1" ht="18" hidden="1" customHeight="1" outlineLevel="1" x14ac:dyDescent="0.25">
      <c r="A8796" s="18">
        <v>5922</v>
      </c>
      <c r="B8796" s="4" t="s">
        <v>43</v>
      </c>
      <c r="C8796" s="38" t="s">
        <v>11252</v>
      </c>
      <c r="D8796" s="23">
        <v>2023</v>
      </c>
      <c r="E8796" s="18" t="s">
        <v>0</v>
      </c>
      <c r="F8796" s="6">
        <v>1</v>
      </c>
      <c r="G8796" s="40">
        <v>5</v>
      </c>
      <c r="H8796" s="40">
        <v>18.773560000000003</v>
      </c>
      <c r="I8796" s="212"/>
      <c r="J8796" s="212"/>
    </row>
    <row r="8797" spans="1:10" s="15" customFormat="1" ht="18" hidden="1" customHeight="1" outlineLevel="1" x14ac:dyDescent="0.25">
      <c r="A8797" s="18">
        <v>5923</v>
      </c>
      <c r="B8797" s="4" t="s">
        <v>43</v>
      </c>
      <c r="C8797" s="38" t="s">
        <v>11253</v>
      </c>
      <c r="D8797" s="23">
        <v>2023</v>
      </c>
      <c r="E8797" s="18" t="s">
        <v>0</v>
      </c>
      <c r="F8797" s="6">
        <v>1</v>
      </c>
      <c r="G8797" s="40">
        <v>5</v>
      </c>
      <c r="H8797" s="40">
        <v>18.439910000000001</v>
      </c>
      <c r="I8797" s="212"/>
      <c r="J8797" s="212"/>
    </row>
    <row r="8798" spans="1:10" s="15" customFormat="1" ht="18" hidden="1" customHeight="1" outlineLevel="1" x14ac:dyDescent="0.25">
      <c r="A8798" s="18">
        <v>5924</v>
      </c>
      <c r="B8798" s="4" t="s">
        <v>43</v>
      </c>
      <c r="C8798" s="38" t="s">
        <v>11254</v>
      </c>
      <c r="D8798" s="23">
        <v>2023</v>
      </c>
      <c r="E8798" s="18" t="s">
        <v>0</v>
      </c>
      <c r="F8798" s="6">
        <v>1</v>
      </c>
      <c r="G8798" s="40">
        <v>5</v>
      </c>
      <c r="H8798" s="40">
        <v>18.773560000000003</v>
      </c>
      <c r="I8798" s="212"/>
      <c r="J8798" s="212"/>
    </row>
    <row r="8799" spans="1:10" s="15" customFormat="1" ht="18" hidden="1" customHeight="1" outlineLevel="1" x14ac:dyDescent="0.25">
      <c r="A8799" s="18">
        <v>5925</v>
      </c>
      <c r="B8799" s="4" t="s">
        <v>43</v>
      </c>
      <c r="C8799" s="38" t="s">
        <v>11255</v>
      </c>
      <c r="D8799" s="23">
        <v>2023</v>
      </c>
      <c r="E8799" s="18" t="s">
        <v>0</v>
      </c>
      <c r="F8799" s="6">
        <v>1</v>
      </c>
      <c r="G8799" s="40">
        <v>5</v>
      </c>
      <c r="H8799" s="40">
        <v>18.773560000000003</v>
      </c>
      <c r="I8799" s="212"/>
      <c r="J8799" s="212"/>
    </row>
    <row r="8800" spans="1:10" s="15" customFormat="1" ht="18" hidden="1" customHeight="1" outlineLevel="1" x14ac:dyDescent="0.25">
      <c r="A8800" s="18">
        <v>5926</v>
      </c>
      <c r="B8800" s="4" t="s">
        <v>43</v>
      </c>
      <c r="C8800" s="38" t="s">
        <v>11256</v>
      </c>
      <c r="D8800" s="23">
        <v>2023</v>
      </c>
      <c r="E8800" s="18" t="s">
        <v>0</v>
      </c>
      <c r="F8800" s="6">
        <v>1</v>
      </c>
      <c r="G8800" s="40">
        <v>5</v>
      </c>
      <c r="H8800" s="40">
        <v>18.598870000000002</v>
      </c>
      <c r="I8800" s="212"/>
      <c r="J8800" s="212"/>
    </row>
    <row r="8801" spans="1:10" s="15" customFormat="1" ht="18" hidden="1" customHeight="1" outlineLevel="1" x14ac:dyDescent="0.25">
      <c r="A8801" s="18">
        <v>5927</v>
      </c>
      <c r="B8801" s="4" t="s">
        <v>43</v>
      </c>
      <c r="C8801" s="38" t="s">
        <v>11257</v>
      </c>
      <c r="D8801" s="23">
        <v>2023</v>
      </c>
      <c r="E8801" s="18" t="s">
        <v>0</v>
      </c>
      <c r="F8801" s="6">
        <v>1</v>
      </c>
      <c r="G8801" s="40">
        <v>5</v>
      </c>
      <c r="H8801" s="40">
        <v>18.93252</v>
      </c>
      <c r="I8801" s="212"/>
      <c r="J8801" s="212"/>
    </row>
    <row r="8802" spans="1:10" s="15" customFormat="1" ht="18" hidden="1" customHeight="1" outlineLevel="1" x14ac:dyDescent="0.25">
      <c r="A8802" s="18">
        <v>5928</v>
      </c>
      <c r="B8802" s="4" t="s">
        <v>43</v>
      </c>
      <c r="C8802" s="38" t="s">
        <v>11258</v>
      </c>
      <c r="D8802" s="23">
        <v>2023</v>
      </c>
      <c r="E8802" s="18" t="s">
        <v>0</v>
      </c>
      <c r="F8802" s="6">
        <v>1</v>
      </c>
      <c r="G8802" s="40">
        <v>5</v>
      </c>
      <c r="H8802" s="40">
        <v>19.057669999999998</v>
      </c>
      <c r="I8802" s="212"/>
      <c r="J8802" s="212"/>
    </row>
    <row r="8803" spans="1:10" s="15" customFormat="1" ht="18" hidden="1" customHeight="1" outlineLevel="1" x14ac:dyDescent="0.25">
      <c r="A8803" s="18">
        <v>5929</v>
      </c>
      <c r="B8803" s="4" t="s">
        <v>43</v>
      </c>
      <c r="C8803" s="38" t="s">
        <v>11259</v>
      </c>
      <c r="D8803" s="23">
        <v>2023</v>
      </c>
      <c r="E8803" s="18" t="s">
        <v>0</v>
      </c>
      <c r="F8803" s="6">
        <v>1</v>
      </c>
      <c r="G8803" s="40">
        <v>5</v>
      </c>
      <c r="H8803" s="40">
        <v>18.598870000000002</v>
      </c>
      <c r="I8803" s="212"/>
      <c r="J8803" s="212"/>
    </row>
    <row r="8804" spans="1:10" s="15" customFormat="1" ht="18" hidden="1" customHeight="1" outlineLevel="1" x14ac:dyDescent="0.25">
      <c r="A8804" s="18">
        <v>5930</v>
      </c>
      <c r="B8804" s="4" t="s">
        <v>43</v>
      </c>
      <c r="C8804" s="38" t="s">
        <v>11260</v>
      </c>
      <c r="D8804" s="23">
        <v>2023</v>
      </c>
      <c r="E8804" s="18" t="s">
        <v>0</v>
      </c>
      <c r="F8804" s="6">
        <v>1</v>
      </c>
      <c r="G8804" s="40">
        <v>5</v>
      </c>
      <c r="H8804" s="40">
        <v>18.93252</v>
      </c>
      <c r="I8804" s="212"/>
      <c r="J8804" s="212"/>
    </row>
    <row r="8805" spans="1:10" s="15" customFormat="1" ht="18" hidden="1" customHeight="1" outlineLevel="1" x14ac:dyDescent="0.25">
      <c r="A8805" s="18">
        <v>5931</v>
      </c>
      <c r="B8805" s="4" t="s">
        <v>43</v>
      </c>
      <c r="C8805" s="38" t="s">
        <v>11261</v>
      </c>
      <c r="D8805" s="23">
        <v>2023</v>
      </c>
      <c r="E8805" s="18" t="s">
        <v>0</v>
      </c>
      <c r="F8805" s="6">
        <v>1</v>
      </c>
      <c r="G8805" s="40">
        <v>6</v>
      </c>
      <c r="H8805" s="40">
        <v>18.598870000000002</v>
      </c>
      <c r="I8805" s="212"/>
      <c r="J8805" s="212"/>
    </row>
    <row r="8806" spans="1:10" s="15" customFormat="1" ht="18" hidden="1" customHeight="1" outlineLevel="1" x14ac:dyDescent="0.25">
      <c r="A8806" s="18">
        <v>5932</v>
      </c>
      <c r="B8806" s="4" t="s">
        <v>43</v>
      </c>
      <c r="C8806" s="38" t="s">
        <v>11262</v>
      </c>
      <c r="D8806" s="23">
        <v>2023</v>
      </c>
      <c r="E8806" s="18" t="s">
        <v>0</v>
      </c>
      <c r="F8806" s="6">
        <v>1</v>
      </c>
      <c r="G8806" s="40">
        <v>10</v>
      </c>
      <c r="H8806" s="40">
        <v>18.93252</v>
      </c>
      <c r="I8806" s="212"/>
      <c r="J8806" s="212"/>
    </row>
    <row r="8807" spans="1:10" s="15" customFormat="1" ht="18" hidden="1" customHeight="1" outlineLevel="1" x14ac:dyDescent="0.25">
      <c r="A8807" s="18">
        <v>5933</v>
      </c>
      <c r="B8807" s="4" t="s">
        <v>43</v>
      </c>
      <c r="C8807" s="38" t="s">
        <v>11263</v>
      </c>
      <c r="D8807" s="23">
        <v>2023</v>
      </c>
      <c r="E8807" s="18" t="s">
        <v>0</v>
      </c>
      <c r="F8807" s="6">
        <v>1</v>
      </c>
      <c r="G8807" s="40">
        <v>10</v>
      </c>
      <c r="H8807" s="40">
        <v>18.598870000000002</v>
      </c>
      <c r="I8807" s="212"/>
      <c r="J8807" s="212"/>
    </row>
    <row r="8808" spans="1:10" s="15" customFormat="1" ht="18" hidden="1" customHeight="1" outlineLevel="1" x14ac:dyDescent="0.25">
      <c r="A8808" s="18">
        <v>5934</v>
      </c>
      <c r="B8808" s="4" t="s">
        <v>43</v>
      </c>
      <c r="C8808" s="38" t="s">
        <v>11264</v>
      </c>
      <c r="D8808" s="23">
        <v>2023</v>
      </c>
      <c r="E8808" s="18" t="s">
        <v>0</v>
      </c>
      <c r="F8808" s="6">
        <v>1</v>
      </c>
      <c r="G8808" s="40">
        <v>10</v>
      </c>
      <c r="H8808" s="40">
        <v>18.974250000000001</v>
      </c>
      <c r="I8808" s="212"/>
      <c r="J8808" s="212"/>
    </row>
    <row r="8809" spans="1:10" s="15" customFormat="1" ht="18" hidden="1" customHeight="1" outlineLevel="1" x14ac:dyDescent="0.25">
      <c r="A8809" s="18">
        <v>2146</v>
      </c>
      <c r="B8809" s="4" t="s">
        <v>43</v>
      </c>
      <c r="C8809" s="38" t="s">
        <v>11265</v>
      </c>
      <c r="D8809" s="23">
        <v>2023</v>
      </c>
      <c r="E8809" s="18" t="s">
        <v>0</v>
      </c>
      <c r="F8809" s="6">
        <v>1</v>
      </c>
      <c r="G8809" s="40">
        <v>5</v>
      </c>
      <c r="H8809" s="40">
        <v>18.84909</v>
      </c>
      <c r="I8809" s="212"/>
      <c r="J8809" s="212"/>
    </row>
    <row r="8810" spans="1:10" s="15" customFormat="1" ht="18" hidden="1" customHeight="1" outlineLevel="1" x14ac:dyDescent="0.25">
      <c r="A8810" s="18">
        <v>5935</v>
      </c>
      <c r="B8810" s="4" t="s">
        <v>43</v>
      </c>
      <c r="C8810" s="38" t="s">
        <v>11266</v>
      </c>
      <c r="D8810" s="23">
        <v>2023</v>
      </c>
      <c r="E8810" s="18" t="s">
        <v>0</v>
      </c>
      <c r="F8810" s="6">
        <v>1</v>
      </c>
      <c r="G8810" s="40">
        <v>8</v>
      </c>
      <c r="H8810" s="40">
        <v>18.682319999999997</v>
      </c>
      <c r="I8810" s="212"/>
      <c r="J8810" s="212"/>
    </row>
    <row r="8811" spans="1:10" s="15" customFormat="1" ht="18" hidden="1" customHeight="1" outlineLevel="1" x14ac:dyDescent="0.25">
      <c r="A8811" s="18">
        <v>5936</v>
      </c>
      <c r="B8811" s="4" t="s">
        <v>43</v>
      </c>
      <c r="C8811" s="38" t="s">
        <v>11267</v>
      </c>
      <c r="D8811" s="23">
        <v>2023</v>
      </c>
      <c r="E8811" s="18" t="s">
        <v>0</v>
      </c>
      <c r="F8811" s="6">
        <v>1</v>
      </c>
      <c r="G8811" s="40">
        <v>8</v>
      </c>
      <c r="H8811" s="40">
        <v>18.682319999999997</v>
      </c>
      <c r="I8811" s="212"/>
      <c r="J8811" s="212"/>
    </row>
    <row r="8812" spans="1:10" s="15" customFormat="1" ht="18" hidden="1" customHeight="1" outlineLevel="1" x14ac:dyDescent="0.25">
      <c r="A8812" s="18">
        <v>5937</v>
      </c>
      <c r="B8812" s="4" t="s">
        <v>43</v>
      </c>
      <c r="C8812" s="38" t="s">
        <v>11268</v>
      </c>
      <c r="D8812" s="23">
        <v>2023</v>
      </c>
      <c r="E8812" s="18" t="s">
        <v>0</v>
      </c>
      <c r="F8812" s="6">
        <v>1</v>
      </c>
      <c r="G8812" s="40">
        <v>8</v>
      </c>
      <c r="H8812" s="40">
        <v>18.682319999999997</v>
      </c>
      <c r="I8812" s="212"/>
      <c r="J8812" s="212"/>
    </row>
    <row r="8813" spans="1:10" s="15" customFormat="1" ht="18" hidden="1" customHeight="1" outlineLevel="1" x14ac:dyDescent="0.25">
      <c r="A8813" s="18">
        <v>5940</v>
      </c>
      <c r="B8813" s="4" t="s">
        <v>43</v>
      </c>
      <c r="C8813" s="38" t="s">
        <v>11269</v>
      </c>
      <c r="D8813" s="23">
        <v>2023</v>
      </c>
      <c r="E8813" s="18" t="s">
        <v>0</v>
      </c>
      <c r="F8813" s="6">
        <v>1</v>
      </c>
      <c r="G8813" s="40">
        <v>5</v>
      </c>
      <c r="H8813" s="40">
        <v>18.682319999999997</v>
      </c>
      <c r="I8813" s="212"/>
      <c r="J8813" s="212"/>
    </row>
    <row r="8814" spans="1:10" s="15" customFormat="1" ht="18" hidden="1" customHeight="1" outlineLevel="1" x14ac:dyDescent="0.25">
      <c r="A8814" s="18">
        <v>5942</v>
      </c>
      <c r="B8814" s="4" t="s">
        <v>43</v>
      </c>
      <c r="C8814" s="38" t="s">
        <v>11270</v>
      </c>
      <c r="D8814" s="23">
        <v>2023</v>
      </c>
      <c r="E8814" s="18" t="s">
        <v>0</v>
      </c>
      <c r="F8814" s="6">
        <v>1</v>
      </c>
      <c r="G8814" s="40">
        <v>10</v>
      </c>
      <c r="H8814" s="40">
        <v>18.682319999999997</v>
      </c>
      <c r="I8814" s="212"/>
      <c r="J8814" s="212"/>
    </row>
    <row r="8815" spans="1:10" s="15" customFormat="1" ht="18" hidden="1" customHeight="1" outlineLevel="1" x14ac:dyDescent="0.25">
      <c r="A8815" s="18">
        <v>2159</v>
      </c>
      <c r="B8815" s="4" t="s">
        <v>43</v>
      </c>
      <c r="C8815" s="38" t="s">
        <v>11271</v>
      </c>
      <c r="D8815" s="23">
        <v>2023</v>
      </c>
      <c r="E8815" s="18" t="s">
        <v>0</v>
      </c>
      <c r="F8815" s="6">
        <v>1</v>
      </c>
      <c r="G8815" s="40">
        <v>5</v>
      </c>
      <c r="H8815" s="40">
        <v>18.682319999999997</v>
      </c>
      <c r="I8815" s="212"/>
      <c r="J8815" s="212"/>
    </row>
    <row r="8816" spans="1:10" s="15" customFormat="1" ht="18" hidden="1" customHeight="1" outlineLevel="1" x14ac:dyDescent="0.25">
      <c r="A8816" s="18">
        <v>5943</v>
      </c>
      <c r="B8816" s="4" t="s">
        <v>43</v>
      </c>
      <c r="C8816" s="38" t="s">
        <v>11272</v>
      </c>
      <c r="D8816" s="23">
        <v>2023</v>
      </c>
      <c r="E8816" s="18" t="s">
        <v>0</v>
      </c>
      <c r="F8816" s="6">
        <v>1</v>
      </c>
      <c r="G8816" s="40">
        <v>5</v>
      </c>
      <c r="H8816" s="40">
        <v>18.682319999999997</v>
      </c>
      <c r="I8816" s="212"/>
      <c r="J8816" s="212"/>
    </row>
    <row r="8817" spans="1:10" s="15" customFormat="1" ht="18" hidden="1" customHeight="1" outlineLevel="1" x14ac:dyDescent="0.25">
      <c r="A8817" s="18">
        <v>5944</v>
      </c>
      <c r="B8817" s="4" t="s">
        <v>43</v>
      </c>
      <c r="C8817" s="38" t="s">
        <v>11273</v>
      </c>
      <c r="D8817" s="23">
        <v>2023</v>
      </c>
      <c r="E8817" s="18" t="s">
        <v>0</v>
      </c>
      <c r="F8817" s="6">
        <v>1</v>
      </c>
      <c r="G8817" s="40">
        <v>5</v>
      </c>
      <c r="H8817" s="40">
        <v>18.682319999999997</v>
      </c>
      <c r="I8817" s="212"/>
      <c r="J8817" s="212"/>
    </row>
    <row r="8818" spans="1:10" s="15" customFormat="1" ht="18" hidden="1" customHeight="1" outlineLevel="1" x14ac:dyDescent="0.25">
      <c r="A8818" s="18">
        <v>5945</v>
      </c>
      <c r="B8818" s="4" t="s">
        <v>43</v>
      </c>
      <c r="C8818" s="38" t="s">
        <v>11274</v>
      </c>
      <c r="D8818" s="23">
        <v>2023</v>
      </c>
      <c r="E8818" s="18" t="s">
        <v>0</v>
      </c>
      <c r="F8818" s="6">
        <v>1</v>
      </c>
      <c r="G8818" s="40">
        <v>10</v>
      </c>
      <c r="H8818" s="40">
        <v>18.682319999999997</v>
      </c>
      <c r="I8818" s="212"/>
      <c r="J8818" s="212"/>
    </row>
    <row r="8819" spans="1:10" s="15" customFormat="1" ht="18" hidden="1" customHeight="1" outlineLevel="1" x14ac:dyDescent="0.25">
      <c r="A8819" s="18">
        <v>2114</v>
      </c>
      <c r="B8819" s="4" t="s">
        <v>43</v>
      </c>
      <c r="C8819" s="38" t="s">
        <v>11275</v>
      </c>
      <c r="D8819" s="23">
        <v>2023</v>
      </c>
      <c r="E8819" s="18" t="s">
        <v>0</v>
      </c>
      <c r="F8819" s="6">
        <v>1</v>
      </c>
      <c r="G8819" s="40">
        <v>5</v>
      </c>
      <c r="H8819" s="40">
        <v>18.682319999999997</v>
      </c>
      <c r="I8819" s="212"/>
      <c r="J8819" s="212"/>
    </row>
    <row r="8820" spans="1:10" s="15" customFormat="1" ht="18" hidden="1" customHeight="1" outlineLevel="1" x14ac:dyDescent="0.25">
      <c r="A8820" s="18">
        <v>5946</v>
      </c>
      <c r="B8820" s="4" t="s">
        <v>43</v>
      </c>
      <c r="C8820" s="38" t="s">
        <v>11276</v>
      </c>
      <c r="D8820" s="23">
        <v>2023</v>
      </c>
      <c r="E8820" s="18" t="s">
        <v>0</v>
      </c>
      <c r="F8820" s="6">
        <v>1</v>
      </c>
      <c r="G8820" s="40">
        <v>10</v>
      </c>
      <c r="H8820" s="40">
        <v>18.682319999999997</v>
      </c>
      <c r="I8820" s="212"/>
      <c r="J8820" s="212"/>
    </row>
    <row r="8821" spans="1:10" s="15" customFormat="1" ht="18" hidden="1" customHeight="1" outlineLevel="1" x14ac:dyDescent="0.25">
      <c r="A8821" s="18">
        <v>5947</v>
      </c>
      <c r="B8821" s="4" t="s">
        <v>43</v>
      </c>
      <c r="C8821" s="38" t="s">
        <v>11277</v>
      </c>
      <c r="D8821" s="23">
        <v>2023</v>
      </c>
      <c r="E8821" s="18" t="s">
        <v>0</v>
      </c>
      <c r="F8821" s="6">
        <v>1</v>
      </c>
      <c r="G8821" s="40">
        <v>5</v>
      </c>
      <c r="H8821" s="40">
        <v>18.682319999999997</v>
      </c>
      <c r="I8821" s="212"/>
      <c r="J8821" s="212"/>
    </row>
    <row r="8822" spans="1:10" s="15" customFormat="1" ht="18" hidden="1" customHeight="1" outlineLevel="1" x14ac:dyDescent="0.25">
      <c r="A8822" s="18">
        <v>5948</v>
      </c>
      <c r="B8822" s="4" t="s">
        <v>43</v>
      </c>
      <c r="C8822" s="38" t="s">
        <v>11278</v>
      </c>
      <c r="D8822" s="23">
        <v>2023</v>
      </c>
      <c r="E8822" s="18" t="s">
        <v>0</v>
      </c>
      <c r="F8822" s="6">
        <v>1</v>
      </c>
      <c r="G8822" s="40">
        <v>5</v>
      </c>
      <c r="H8822" s="40">
        <v>18.682319999999997</v>
      </c>
      <c r="I8822" s="212"/>
      <c r="J8822" s="212"/>
    </row>
    <row r="8823" spans="1:10" s="15" customFormat="1" ht="18" hidden="1" customHeight="1" outlineLevel="1" x14ac:dyDescent="0.25">
      <c r="A8823" s="18">
        <v>2147</v>
      </c>
      <c r="B8823" s="4" t="s">
        <v>43</v>
      </c>
      <c r="C8823" s="38" t="s">
        <v>11279</v>
      </c>
      <c r="D8823" s="23">
        <v>2023</v>
      </c>
      <c r="E8823" s="18" t="s">
        <v>0</v>
      </c>
      <c r="F8823" s="6">
        <v>1</v>
      </c>
      <c r="G8823" s="40">
        <v>5</v>
      </c>
      <c r="H8823" s="40">
        <v>18.682319999999997</v>
      </c>
      <c r="I8823" s="212"/>
      <c r="J8823" s="212"/>
    </row>
    <row r="8824" spans="1:10" s="15" customFormat="1" ht="18" hidden="1" customHeight="1" outlineLevel="1" x14ac:dyDescent="0.25">
      <c r="A8824" s="18">
        <v>2139</v>
      </c>
      <c r="B8824" s="4" t="s">
        <v>43</v>
      </c>
      <c r="C8824" s="38" t="s">
        <v>11280</v>
      </c>
      <c r="D8824" s="23">
        <v>2023</v>
      </c>
      <c r="E8824" s="18" t="s">
        <v>0</v>
      </c>
      <c r="F8824" s="6">
        <v>1</v>
      </c>
      <c r="G8824" s="40">
        <v>5</v>
      </c>
      <c r="H8824" s="40">
        <v>18.682319999999997</v>
      </c>
      <c r="I8824" s="212"/>
      <c r="J8824" s="212"/>
    </row>
    <row r="8825" spans="1:10" s="15" customFormat="1" ht="18" hidden="1" customHeight="1" outlineLevel="1" x14ac:dyDescent="0.25">
      <c r="A8825" s="18">
        <v>2143</v>
      </c>
      <c r="B8825" s="4" t="s">
        <v>43</v>
      </c>
      <c r="C8825" s="38" t="s">
        <v>11281</v>
      </c>
      <c r="D8825" s="23">
        <v>2023</v>
      </c>
      <c r="E8825" s="18" t="s">
        <v>0</v>
      </c>
      <c r="F8825" s="6">
        <v>1</v>
      </c>
      <c r="G8825" s="40">
        <v>5</v>
      </c>
      <c r="H8825" s="40">
        <v>18.723980000000001</v>
      </c>
      <c r="I8825" s="212"/>
      <c r="J8825" s="212"/>
    </row>
    <row r="8826" spans="1:10" s="15" customFormat="1" ht="18" hidden="1" customHeight="1" outlineLevel="1" x14ac:dyDescent="0.25">
      <c r="A8826" s="18">
        <v>5950</v>
      </c>
      <c r="B8826" s="4" t="s">
        <v>43</v>
      </c>
      <c r="C8826" s="38" t="s">
        <v>11282</v>
      </c>
      <c r="D8826" s="23">
        <v>2023</v>
      </c>
      <c r="E8826" s="18" t="s">
        <v>0</v>
      </c>
      <c r="F8826" s="6">
        <v>1</v>
      </c>
      <c r="G8826" s="40">
        <v>5</v>
      </c>
      <c r="H8826" s="40">
        <v>18.723980000000001</v>
      </c>
      <c r="I8826" s="212"/>
      <c r="J8826" s="212"/>
    </row>
    <row r="8827" spans="1:10" s="15" customFormat="1" ht="18" hidden="1" customHeight="1" outlineLevel="1" x14ac:dyDescent="0.25">
      <c r="A8827" s="18">
        <v>2134</v>
      </c>
      <c r="B8827" s="4" t="s">
        <v>43</v>
      </c>
      <c r="C8827" s="38" t="s">
        <v>11283</v>
      </c>
      <c r="D8827" s="23">
        <v>2023</v>
      </c>
      <c r="E8827" s="18" t="s">
        <v>0</v>
      </c>
      <c r="F8827" s="6">
        <v>1</v>
      </c>
      <c r="G8827" s="40">
        <v>5</v>
      </c>
      <c r="H8827" s="40">
        <v>18.723980000000001</v>
      </c>
      <c r="I8827" s="212"/>
      <c r="J8827" s="212"/>
    </row>
    <row r="8828" spans="1:10" s="15" customFormat="1" ht="18" hidden="1" customHeight="1" outlineLevel="1" x14ac:dyDescent="0.25">
      <c r="A8828" s="18">
        <v>5951</v>
      </c>
      <c r="B8828" s="4" t="s">
        <v>43</v>
      </c>
      <c r="C8828" s="38" t="s">
        <v>11284</v>
      </c>
      <c r="D8828" s="23">
        <v>2023</v>
      </c>
      <c r="E8828" s="18" t="s">
        <v>0</v>
      </c>
      <c r="F8828" s="6">
        <v>1</v>
      </c>
      <c r="G8828" s="40">
        <v>5</v>
      </c>
      <c r="H8828" s="40">
        <v>18.723980000000001</v>
      </c>
      <c r="I8828" s="212"/>
      <c r="J8828" s="212"/>
    </row>
    <row r="8829" spans="1:10" s="15" customFormat="1" ht="18" hidden="1" customHeight="1" outlineLevel="1" x14ac:dyDescent="0.25">
      <c r="A8829" s="18">
        <v>2135</v>
      </c>
      <c r="B8829" s="4" t="s">
        <v>43</v>
      </c>
      <c r="C8829" s="38" t="s">
        <v>11285</v>
      </c>
      <c r="D8829" s="23">
        <v>2023</v>
      </c>
      <c r="E8829" s="18" t="s">
        <v>0</v>
      </c>
      <c r="F8829" s="6">
        <v>1</v>
      </c>
      <c r="G8829" s="40">
        <v>5</v>
      </c>
      <c r="H8829" s="40">
        <v>18.723980000000001</v>
      </c>
      <c r="I8829" s="212"/>
      <c r="J8829" s="212"/>
    </row>
    <row r="8830" spans="1:10" s="15" customFormat="1" ht="18" hidden="1" customHeight="1" outlineLevel="1" x14ac:dyDescent="0.25">
      <c r="A8830" s="18">
        <v>5952</v>
      </c>
      <c r="B8830" s="4" t="s">
        <v>43</v>
      </c>
      <c r="C8830" s="38" t="s">
        <v>11286</v>
      </c>
      <c r="D8830" s="23">
        <v>2023</v>
      </c>
      <c r="E8830" s="18" t="s">
        <v>0</v>
      </c>
      <c r="F8830" s="6">
        <v>1</v>
      </c>
      <c r="G8830" s="40">
        <v>5</v>
      </c>
      <c r="H8830" s="40">
        <v>18.723980000000001</v>
      </c>
      <c r="I8830" s="212"/>
      <c r="J8830" s="212"/>
    </row>
    <row r="8831" spans="1:10" s="15" customFormat="1" ht="18" hidden="1" customHeight="1" outlineLevel="1" x14ac:dyDescent="0.25">
      <c r="A8831" s="18">
        <v>5953</v>
      </c>
      <c r="B8831" s="4" t="s">
        <v>43</v>
      </c>
      <c r="C8831" s="38" t="s">
        <v>11287</v>
      </c>
      <c r="D8831" s="23">
        <v>2023</v>
      </c>
      <c r="E8831" s="18" t="s">
        <v>0</v>
      </c>
      <c r="F8831" s="6">
        <v>1</v>
      </c>
      <c r="G8831" s="40">
        <v>5</v>
      </c>
      <c r="H8831" s="40">
        <v>18.723980000000001</v>
      </c>
      <c r="I8831" s="212"/>
      <c r="J8831" s="212"/>
    </row>
    <row r="8832" spans="1:10" s="15" customFormat="1" ht="18" hidden="1" customHeight="1" outlineLevel="1" x14ac:dyDescent="0.25">
      <c r="A8832" s="18">
        <v>2111</v>
      </c>
      <c r="B8832" s="4" t="s">
        <v>43</v>
      </c>
      <c r="C8832" s="38" t="s">
        <v>11288</v>
      </c>
      <c r="D8832" s="23">
        <v>2023</v>
      </c>
      <c r="E8832" s="18" t="s">
        <v>0</v>
      </c>
      <c r="F8832" s="6">
        <v>1</v>
      </c>
      <c r="G8832" s="40">
        <v>5</v>
      </c>
      <c r="H8832" s="40">
        <v>18.723980000000001</v>
      </c>
      <c r="I8832" s="212"/>
      <c r="J8832" s="212"/>
    </row>
    <row r="8833" spans="1:10" s="15" customFormat="1" ht="18" hidden="1" customHeight="1" outlineLevel="1" x14ac:dyDescent="0.25">
      <c r="A8833" s="18">
        <v>5954</v>
      </c>
      <c r="B8833" s="4" t="s">
        <v>43</v>
      </c>
      <c r="C8833" s="38" t="s">
        <v>11289</v>
      </c>
      <c r="D8833" s="23">
        <v>2023</v>
      </c>
      <c r="E8833" s="18" t="s">
        <v>0</v>
      </c>
      <c r="F8833" s="6">
        <v>1</v>
      </c>
      <c r="G8833" s="40">
        <v>7</v>
      </c>
      <c r="H8833" s="40">
        <v>18.723980000000001</v>
      </c>
      <c r="I8833" s="212"/>
      <c r="J8833" s="212"/>
    </row>
    <row r="8834" spans="1:10" s="15" customFormat="1" ht="18" hidden="1" customHeight="1" outlineLevel="1" x14ac:dyDescent="0.25">
      <c r="A8834" s="18">
        <v>5955</v>
      </c>
      <c r="B8834" s="4" t="s">
        <v>43</v>
      </c>
      <c r="C8834" s="38" t="s">
        <v>11290</v>
      </c>
      <c r="D8834" s="23">
        <v>2023</v>
      </c>
      <c r="E8834" s="18" t="s">
        <v>0</v>
      </c>
      <c r="F8834" s="6">
        <v>1</v>
      </c>
      <c r="G8834" s="40">
        <v>10</v>
      </c>
      <c r="H8834" s="40">
        <v>18.682319999999997</v>
      </c>
      <c r="I8834" s="212"/>
      <c r="J8834" s="212"/>
    </row>
    <row r="8835" spans="1:10" s="15" customFormat="1" ht="18" hidden="1" customHeight="1" outlineLevel="1" x14ac:dyDescent="0.25">
      <c r="A8835" s="18">
        <v>2121</v>
      </c>
      <c r="B8835" s="4" t="s">
        <v>43</v>
      </c>
      <c r="C8835" s="38" t="s">
        <v>11291</v>
      </c>
      <c r="D8835" s="23">
        <v>2023</v>
      </c>
      <c r="E8835" s="18" t="s">
        <v>0</v>
      </c>
      <c r="F8835" s="6">
        <v>1</v>
      </c>
      <c r="G8835" s="40">
        <v>5</v>
      </c>
      <c r="H8835" s="40">
        <v>18.723980000000001</v>
      </c>
      <c r="I8835" s="212"/>
      <c r="J8835" s="212"/>
    </row>
    <row r="8836" spans="1:10" s="15" customFormat="1" ht="18" hidden="1" customHeight="1" outlineLevel="1" x14ac:dyDescent="0.25">
      <c r="A8836" s="18">
        <v>2107</v>
      </c>
      <c r="B8836" s="4" t="s">
        <v>43</v>
      </c>
      <c r="C8836" s="38" t="s">
        <v>11292</v>
      </c>
      <c r="D8836" s="23">
        <v>2023</v>
      </c>
      <c r="E8836" s="18" t="s">
        <v>0</v>
      </c>
      <c r="F8836" s="6">
        <v>1</v>
      </c>
      <c r="G8836" s="40">
        <v>5</v>
      </c>
      <c r="H8836" s="40">
        <v>18.682319999999997</v>
      </c>
      <c r="I8836" s="212"/>
      <c r="J8836" s="212"/>
    </row>
    <row r="8837" spans="1:10" s="15" customFormat="1" ht="18" hidden="1" customHeight="1" outlineLevel="1" x14ac:dyDescent="0.25">
      <c r="A8837" s="18">
        <v>5956</v>
      </c>
      <c r="B8837" s="4" t="s">
        <v>43</v>
      </c>
      <c r="C8837" s="38" t="s">
        <v>11293</v>
      </c>
      <c r="D8837" s="23">
        <v>2023</v>
      </c>
      <c r="E8837" s="18" t="s">
        <v>0</v>
      </c>
      <c r="F8837" s="6">
        <v>1</v>
      </c>
      <c r="G8837" s="40">
        <v>5</v>
      </c>
      <c r="H8837" s="40">
        <v>18.682319999999997</v>
      </c>
      <c r="I8837" s="212"/>
      <c r="J8837" s="212"/>
    </row>
    <row r="8838" spans="1:10" s="15" customFormat="1" ht="18" hidden="1" customHeight="1" outlineLevel="1" x14ac:dyDescent="0.25">
      <c r="A8838" s="18">
        <v>2077</v>
      </c>
      <c r="B8838" s="4" t="s">
        <v>43</v>
      </c>
      <c r="C8838" s="38" t="s">
        <v>11294</v>
      </c>
      <c r="D8838" s="23">
        <v>2023</v>
      </c>
      <c r="E8838" s="18" t="s">
        <v>0</v>
      </c>
      <c r="F8838" s="6">
        <v>1</v>
      </c>
      <c r="G8838" s="40">
        <v>5</v>
      </c>
      <c r="H8838" s="40">
        <v>18.682319999999997</v>
      </c>
      <c r="I8838" s="212"/>
      <c r="J8838" s="212"/>
    </row>
    <row r="8839" spans="1:10" s="15" customFormat="1" ht="18" hidden="1" customHeight="1" outlineLevel="1" x14ac:dyDescent="0.25">
      <c r="A8839" s="18">
        <v>5957</v>
      </c>
      <c r="B8839" s="4" t="s">
        <v>43</v>
      </c>
      <c r="C8839" s="38" t="s">
        <v>11295</v>
      </c>
      <c r="D8839" s="23">
        <v>2023</v>
      </c>
      <c r="E8839" s="18" t="s">
        <v>0</v>
      </c>
      <c r="F8839" s="6">
        <v>1</v>
      </c>
      <c r="G8839" s="40">
        <v>5</v>
      </c>
      <c r="H8839" s="40">
        <v>26.574279999999998</v>
      </c>
      <c r="I8839" s="212"/>
      <c r="J8839" s="212"/>
    </row>
    <row r="8840" spans="1:10" s="15" customFormat="1" ht="18" hidden="1" customHeight="1" outlineLevel="1" x14ac:dyDescent="0.25">
      <c r="A8840" s="18">
        <v>2167</v>
      </c>
      <c r="B8840" s="4" t="s">
        <v>43</v>
      </c>
      <c r="C8840" s="38" t="s">
        <v>11296</v>
      </c>
      <c r="D8840" s="23">
        <v>2023</v>
      </c>
      <c r="E8840" s="18" t="s">
        <v>0</v>
      </c>
      <c r="F8840" s="6">
        <v>1</v>
      </c>
      <c r="G8840" s="40">
        <v>5</v>
      </c>
      <c r="H8840" s="40">
        <v>18.682319999999997</v>
      </c>
      <c r="I8840" s="212"/>
      <c r="J8840" s="212"/>
    </row>
    <row r="8841" spans="1:10" s="15" customFormat="1" ht="18" hidden="1" customHeight="1" outlineLevel="1" x14ac:dyDescent="0.25">
      <c r="A8841" s="18">
        <v>2089</v>
      </c>
      <c r="B8841" s="4" t="s">
        <v>43</v>
      </c>
      <c r="C8841" s="38" t="s">
        <v>11297</v>
      </c>
      <c r="D8841" s="23">
        <v>2023</v>
      </c>
      <c r="E8841" s="18" t="s">
        <v>0</v>
      </c>
      <c r="F8841" s="6">
        <v>1</v>
      </c>
      <c r="G8841" s="40">
        <v>5</v>
      </c>
      <c r="H8841" s="40">
        <v>18.682319999999997</v>
      </c>
      <c r="I8841" s="212"/>
      <c r="J8841" s="212"/>
    </row>
    <row r="8842" spans="1:10" s="15" customFormat="1" ht="18" hidden="1" customHeight="1" outlineLevel="1" x14ac:dyDescent="0.25">
      <c r="A8842" s="18">
        <v>2086</v>
      </c>
      <c r="B8842" s="4" t="s">
        <v>43</v>
      </c>
      <c r="C8842" s="38" t="s">
        <v>11298</v>
      </c>
      <c r="D8842" s="23">
        <v>2023</v>
      </c>
      <c r="E8842" s="18" t="s">
        <v>0</v>
      </c>
      <c r="F8842" s="6">
        <v>1</v>
      </c>
      <c r="G8842" s="40">
        <v>5</v>
      </c>
      <c r="H8842" s="40">
        <v>18.682319999999997</v>
      </c>
      <c r="I8842" s="212"/>
      <c r="J8842" s="212"/>
    </row>
    <row r="8843" spans="1:10" s="15" customFormat="1" ht="18" hidden="1" customHeight="1" outlineLevel="1" x14ac:dyDescent="0.25">
      <c r="A8843" s="18">
        <v>2083</v>
      </c>
      <c r="B8843" s="4" t="s">
        <v>43</v>
      </c>
      <c r="C8843" s="38" t="s">
        <v>11299</v>
      </c>
      <c r="D8843" s="23">
        <v>2023</v>
      </c>
      <c r="E8843" s="18" t="s">
        <v>0</v>
      </c>
      <c r="F8843" s="6">
        <v>1</v>
      </c>
      <c r="G8843" s="40">
        <v>5</v>
      </c>
      <c r="H8843" s="40">
        <v>18.682319999999997</v>
      </c>
      <c r="I8843" s="212"/>
      <c r="J8843" s="212"/>
    </row>
    <row r="8844" spans="1:10" s="15" customFormat="1" ht="18" hidden="1" customHeight="1" outlineLevel="1" x14ac:dyDescent="0.25">
      <c r="A8844" s="18">
        <v>2557</v>
      </c>
      <c r="B8844" s="4" t="s">
        <v>43</v>
      </c>
      <c r="C8844" s="38" t="s">
        <v>11300</v>
      </c>
      <c r="D8844" s="23">
        <v>2023</v>
      </c>
      <c r="E8844" s="18" t="s">
        <v>0</v>
      </c>
      <c r="F8844" s="6">
        <v>1</v>
      </c>
      <c r="G8844" s="40">
        <v>5</v>
      </c>
      <c r="H8844" s="40">
        <v>17.891849999999998</v>
      </c>
      <c r="I8844" s="212"/>
      <c r="J8844" s="212"/>
    </row>
    <row r="8845" spans="1:10" s="15" customFormat="1" ht="18" hidden="1" customHeight="1" outlineLevel="1" x14ac:dyDescent="0.25">
      <c r="A8845" s="18">
        <v>5967</v>
      </c>
      <c r="B8845" s="4" t="s">
        <v>43</v>
      </c>
      <c r="C8845" s="38" t="s">
        <v>11301</v>
      </c>
      <c r="D8845" s="23">
        <v>2023</v>
      </c>
      <c r="E8845" s="18" t="s">
        <v>0</v>
      </c>
      <c r="F8845" s="6">
        <v>1</v>
      </c>
      <c r="G8845" s="40">
        <v>5</v>
      </c>
      <c r="H8845" s="40">
        <v>19.580449999999999</v>
      </c>
      <c r="I8845" s="212"/>
      <c r="J8845" s="212"/>
    </row>
    <row r="8846" spans="1:10" s="15" customFormat="1" ht="18" hidden="1" customHeight="1" outlineLevel="1" x14ac:dyDescent="0.25">
      <c r="A8846" s="18">
        <v>5970</v>
      </c>
      <c r="B8846" s="4" t="s">
        <v>43</v>
      </c>
      <c r="C8846" s="38" t="s">
        <v>11302</v>
      </c>
      <c r="D8846" s="23">
        <v>2023</v>
      </c>
      <c r="E8846" s="18" t="s">
        <v>0</v>
      </c>
      <c r="F8846" s="6">
        <v>1</v>
      </c>
      <c r="G8846" s="40">
        <v>6</v>
      </c>
      <c r="H8846" s="40">
        <v>19.580449999999999</v>
      </c>
      <c r="I8846" s="212"/>
      <c r="J8846" s="212"/>
    </row>
    <row r="8847" spans="1:10" s="15" customFormat="1" ht="18" hidden="1" customHeight="1" outlineLevel="1" x14ac:dyDescent="0.25">
      <c r="A8847" s="18">
        <v>5974</v>
      </c>
      <c r="B8847" s="4" t="s">
        <v>43</v>
      </c>
      <c r="C8847" s="38" t="s">
        <v>11303</v>
      </c>
      <c r="D8847" s="23">
        <v>2023</v>
      </c>
      <c r="E8847" s="18" t="s">
        <v>0</v>
      </c>
      <c r="F8847" s="6">
        <v>1</v>
      </c>
      <c r="G8847" s="40">
        <v>13</v>
      </c>
      <c r="H8847" s="40">
        <v>19.580459999999999</v>
      </c>
      <c r="I8847" s="212"/>
      <c r="J8847" s="212"/>
    </row>
    <row r="8848" spans="1:10" s="15" customFormat="1" ht="18" hidden="1" customHeight="1" outlineLevel="1" x14ac:dyDescent="0.25">
      <c r="A8848" s="18">
        <v>2433</v>
      </c>
      <c r="B8848" s="4" t="s">
        <v>43</v>
      </c>
      <c r="C8848" s="38" t="s">
        <v>11304</v>
      </c>
      <c r="D8848" s="23">
        <v>2023</v>
      </c>
      <c r="E8848" s="18" t="s">
        <v>0</v>
      </c>
      <c r="F8848" s="6">
        <v>1</v>
      </c>
      <c r="G8848" s="40">
        <v>5</v>
      </c>
      <c r="H8848" s="40">
        <v>19.580449999999999</v>
      </c>
      <c r="I8848" s="212"/>
      <c r="J8848" s="212"/>
    </row>
    <row r="8849" spans="1:10" s="15" customFormat="1" ht="18" hidden="1" customHeight="1" outlineLevel="1" x14ac:dyDescent="0.25">
      <c r="A8849" s="18">
        <v>5976</v>
      </c>
      <c r="B8849" s="4" t="s">
        <v>43</v>
      </c>
      <c r="C8849" s="38" t="s">
        <v>11305</v>
      </c>
      <c r="D8849" s="23">
        <v>2023</v>
      </c>
      <c r="E8849" s="18" t="s">
        <v>0</v>
      </c>
      <c r="F8849" s="6">
        <v>1</v>
      </c>
      <c r="G8849" s="40">
        <v>5</v>
      </c>
      <c r="H8849" s="40">
        <v>19.596080000000001</v>
      </c>
      <c r="I8849" s="212"/>
      <c r="J8849" s="212"/>
    </row>
    <row r="8850" spans="1:10" s="15" customFormat="1" ht="18" hidden="1" customHeight="1" outlineLevel="1" x14ac:dyDescent="0.25">
      <c r="A8850" s="18">
        <v>5977</v>
      </c>
      <c r="B8850" s="4" t="s">
        <v>43</v>
      </c>
      <c r="C8850" s="38" t="s">
        <v>11306</v>
      </c>
      <c r="D8850" s="23">
        <v>2023</v>
      </c>
      <c r="E8850" s="18" t="s">
        <v>0</v>
      </c>
      <c r="F8850" s="6">
        <v>1</v>
      </c>
      <c r="G8850" s="40">
        <v>5</v>
      </c>
      <c r="H8850" s="40">
        <v>19.596070000000001</v>
      </c>
      <c r="I8850" s="212"/>
      <c r="J8850" s="212"/>
    </row>
    <row r="8851" spans="1:10" s="15" customFormat="1" ht="18" hidden="1" customHeight="1" outlineLevel="1" x14ac:dyDescent="0.25">
      <c r="A8851" s="18">
        <v>5978</v>
      </c>
      <c r="B8851" s="4" t="s">
        <v>43</v>
      </c>
      <c r="C8851" s="38" t="s">
        <v>11307</v>
      </c>
      <c r="D8851" s="23">
        <v>2023</v>
      </c>
      <c r="E8851" s="18" t="s">
        <v>0</v>
      </c>
      <c r="F8851" s="6">
        <v>1</v>
      </c>
      <c r="G8851" s="40">
        <v>10</v>
      </c>
      <c r="H8851" s="40">
        <v>18.875610000000002</v>
      </c>
      <c r="I8851" s="212"/>
      <c r="J8851" s="212"/>
    </row>
    <row r="8852" spans="1:10" s="15" customFormat="1" ht="18" hidden="1" customHeight="1" outlineLevel="1" x14ac:dyDescent="0.25">
      <c r="A8852" s="18">
        <v>2351</v>
      </c>
      <c r="B8852" s="4" t="s">
        <v>43</v>
      </c>
      <c r="C8852" s="38" t="s">
        <v>11308</v>
      </c>
      <c r="D8852" s="23">
        <v>2023</v>
      </c>
      <c r="E8852" s="18" t="s">
        <v>0</v>
      </c>
      <c r="F8852" s="6">
        <v>1</v>
      </c>
      <c r="G8852" s="40">
        <v>3</v>
      </c>
      <c r="H8852" s="40">
        <v>19.17831</v>
      </c>
      <c r="I8852" s="212"/>
      <c r="J8852" s="212"/>
    </row>
    <row r="8853" spans="1:10" s="15" customFormat="1" ht="18" hidden="1" customHeight="1" outlineLevel="1" x14ac:dyDescent="0.25">
      <c r="A8853" s="18">
        <v>5980</v>
      </c>
      <c r="B8853" s="4" t="s">
        <v>43</v>
      </c>
      <c r="C8853" s="38" t="s">
        <v>11309</v>
      </c>
      <c r="D8853" s="23">
        <v>2023</v>
      </c>
      <c r="E8853" s="18" t="s">
        <v>0</v>
      </c>
      <c r="F8853" s="6">
        <v>1</v>
      </c>
      <c r="G8853" s="40">
        <v>10</v>
      </c>
      <c r="H8853" s="40">
        <v>18.202080000000002</v>
      </c>
      <c r="I8853" s="212"/>
      <c r="J8853" s="212"/>
    </row>
    <row r="8854" spans="1:10" s="15" customFormat="1" ht="18" hidden="1" customHeight="1" outlineLevel="1" x14ac:dyDescent="0.25">
      <c r="A8854" s="18">
        <v>5982</v>
      </c>
      <c r="B8854" s="4" t="s">
        <v>43</v>
      </c>
      <c r="C8854" s="38" t="s">
        <v>11310</v>
      </c>
      <c r="D8854" s="23">
        <v>2023</v>
      </c>
      <c r="E8854" s="18" t="s">
        <v>0</v>
      </c>
      <c r="F8854" s="6">
        <v>1</v>
      </c>
      <c r="G8854" s="40">
        <v>10</v>
      </c>
      <c r="H8854" s="40">
        <v>18.530660000000001</v>
      </c>
      <c r="I8854" s="212"/>
      <c r="J8854" s="212"/>
    </row>
    <row r="8855" spans="1:10" s="15" customFormat="1" ht="18" hidden="1" customHeight="1" outlineLevel="1" x14ac:dyDescent="0.25">
      <c r="A8855" s="18">
        <v>5983</v>
      </c>
      <c r="B8855" s="4" t="s">
        <v>43</v>
      </c>
      <c r="C8855" s="38" t="s">
        <v>11311</v>
      </c>
      <c r="D8855" s="23">
        <v>2023</v>
      </c>
      <c r="E8855" s="18" t="s">
        <v>0</v>
      </c>
      <c r="F8855" s="6">
        <v>1</v>
      </c>
      <c r="G8855" s="40">
        <v>10</v>
      </c>
      <c r="H8855" s="40">
        <v>18.043080000000003</v>
      </c>
      <c r="I8855" s="212"/>
      <c r="J8855" s="212"/>
    </row>
    <row r="8856" spans="1:10" s="15" customFormat="1" ht="18" hidden="1" customHeight="1" outlineLevel="1" x14ac:dyDescent="0.25">
      <c r="A8856" s="18">
        <v>5984</v>
      </c>
      <c r="B8856" s="4" t="s">
        <v>43</v>
      </c>
      <c r="C8856" s="38" t="s">
        <v>11312</v>
      </c>
      <c r="D8856" s="23">
        <v>2023</v>
      </c>
      <c r="E8856" s="18" t="s">
        <v>0</v>
      </c>
      <c r="F8856" s="6">
        <v>1</v>
      </c>
      <c r="G8856" s="40">
        <v>10</v>
      </c>
      <c r="H8856" s="40">
        <v>18.043090000000003</v>
      </c>
      <c r="I8856" s="212"/>
      <c r="J8856" s="212"/>
    </row>
    <row r="8857" spans="1:10" s="15" customFormat="1" ht="18" hidden="1" customHeight="1" outlineLevel="1" x14ac:dyDescent="0.25">
      <c r="A8857" s="18">
        <v>5985</v>
      </c>
      <c r="B8857" s="4" t="s">
        <v>43</v>
      </c>
      <c r="C8857" s="38" t="s">
        <v>11313</v>
      </c>
      <c r="D8857" s="23">
        <v>2023</v>
      </c>
      <c r="E8857" s="18" t="s">
        <v>0</v>
      </c>
      <c r="F8857" s="6">
        <v>1</v>
      </c>
      <c r="G8857" s="40">
        <v>10</v>
      </c>
      <c r="H8857" s="40">
        <v>18.043080000000003</v>
      </c>
      <c r="I8857" s="212"/>
      <c r="J8857" s="212"/>
    </row>
    <row r="8858" spans="1:10" s="15" customFormat="1" ht="18" hidden="1" customHeight="1" outlineLevel="1" x14ac:dyDescent="0.25">
      <c r="A8858" s="18">
        <v>2109</v>
      </c>
      <c r="B8858" s="4" t="s">
        <v>43</v>
      </c>
      <c r="C8858" s="38" t="s">
        <v>11314</v>
      </c>
      <c r="D8858" s="23">
        <v>2023</v>
      </c>
      <c r="E8858" s="18" t="s">
        <v>0</v>
      </c>
      <c r="F8858" s="6">
        <v>1</v>
      </c>
      <c r="G8858" s="40">
        <v>10</v>
      </c>
      <c r="H8858" s="40">
        <v>18.043090000000003</v>
      </c>
      <c r="I8858" s="212"/>
      <c r="J8858" s="212"/>
    </row>
    <row r="8859" spans="1:10" s="15" customFormat="1" ht="18" hidden="1" customHeight="1" outlineLevel="1" x14ac:dyDescent="0.25">
      <c r="A8859" s="18">
        <v>5986</v>
      </c>
      <c r="B8859" s="4" t="s">
        <v>43</v>
      </c>
      <c r="C8859" s="38" t="s">
        <v>11315</v>
      </c>
      <c r="D8859" s="23">
        <v>2023</v>
      </c>
      <c r="E8859" s="18" t="s">
        <v>0</v>
      </c>
      <c r="F8859" s="6">
        <v>1</v>
      </c>
      <c r="G8859" s="40">
        <v>15</v>
      </c>
      <c r="H8859" s="40">
        <v>18.043090000000003</v>
      </c>
      <c r="I8859" s="212"/>
      <c r="J8859" s="212"/>
    </row>
    <row r="8860" spans="1:10" s="15" customFormat="1" ht="18" hidden="1" customHeight="1" outlineLevel="1" x14ac:dyDescent="0.25">
      <c r="A8860" s="18">
        <v>5987</v>
      </c>
      <c r="B8860" s="4" t="s">
        <v>43</v>
      </c>
      <c r="C8860" s="38" t="s">
        <v>11316</v>
      </c>
      <c r="D8860" s="23">
        <v>2023</v>
      </c>
      <c r="E8860" s="18" t="s">
        <v>0</v>
      </c>
      <c r="F8860" s="6">
        <v>1</v>
      </c>
      <c r="G8860" s="40">
        <v>15</v>
      </c>
      <c r="H8860" s="40">
        <v>18.043090000000003</v>
      </c>
      <c r="I8860" s="212"/>
      <c r="J8860" s="212"/>
    </row>
    <row r="8861" spans="1:10" s="15" customFormat="1" ht="18" hidden="1" customHeight="1" outlineLevel="1" x14ac:dyDescent="0.25">
      <c r="A8861" s="18">
        <v>2059</v>
      </c>
      <c r="B8861" s="4" t="s">
        <v>43</v>
      </c>
      <c r="C8861" s="38" t="s">
        <v>11317</v>
      </c>
      <c r="D8861" s="23">
        <v>2023</v>
      </c>
      <c r="E8861" s="18" t="s">
        <v>0</v>
      </c>
      <c r="F8861" s="6">
        <v>1</v>
      </c>
      <c r="G8861" s="40">
        <v>10</v>
      </c>
      <c r="H8861" s="40">
        <v>10.899930000000001</v>
      </c>
      <c r="I8861" s="212"/>
      <c r="J8861" s="212"/>
    </row>
    <row r="8862" spans="1:10" s="15" customFormat="1" ht="18" hidden="1" customHeight="1" outlineLevel="1" x14ac:dyDescent="0.25">
      <c r="A8862" s="18">
        <v>5990</v>
      </c>
      <c r="B8862" s="4" t="s">
        <v>43</v>
      </c>
      <c r="C8862" s="38" t="s">
        <v>11318</v>
      </c>
      <c r="D8862" s="23">
        <v>2023</v>
      </c>
      <c r="E8862" s="18" t="s">
        <v>0</v>
      </c>
      <c r="F8862" s="6">
        <v>1</v>
      </c>
      <c r="G8862" s="40">
        <v>5</v>
      </c>
      <c r="H8862" s="40">
        <v>10.899930000000001</v>
      </c>
      <c r="I8862" s="212"/>
      <c r="J8862" s="212"/>
    </row>
    <row r="8863" spans="1:10" s="15" customFormat="1" ht="18" hidden="1" customHeight="1" outlineLevel="1" x14ac:dyDescent="0.25">
      <c r="A8863" s="18">
        <v>2628</v>
      </c>
      <c r="B8863" s="4" t="s">
        <v>43</v>
      </c>
      <c r="C8863" s="38" t="s">
        <v>11319</v>
      </c>
      <c r="D8863" s="23">
        <v>2023</v>
      </c>
      <c r="E8863" s="18" t="s">
        <v>0</v>
      </c>
      <c r="F8863" s="6">
        <v>1</v>
      </c>
      <c r="G8863" s="40">
        <v>5</v>
      </c>
      <c r="H8863" s="40">
        <v>18.570139999999999</v>
      </c>
      <c r="I8863" s="212"/>
      <c r="J8863" s="212"/>
    </row>
    <row r="8864" spans="1:10" s="15" customFormat="1" ht="18" hidden="1" customHeight="1" outlineLevel="1" x14ac:dyDescent="0.25">
      <c r="A8864" s="18">
        <v>2570</v>
      </c>
      <c r="B8864" s="4" t="s">
        <v>43</v>
      </c>
      <c r="C8864" s="38" t="s">
        <v>11320</v>
      </c>
      <c r="D8864" s="23">
        <v>2023</v>
      </c>
      <c r="E8864" s="18" t="s">
        <v>0</v>
      </c>
      <c r="F8864" s="6">
        <v>1</v>
      </c>
      <c r="G8864" s="40">
        <v>5</v>
      </c>
      <c r="H8864" s="40">
        <v>26.415299999999998</v>
      </c>
      <c r="I8864" s="212"/>
      <c r="J8864" s="212"/>
    </row>
    <row r="8865" spans="1:10" s="15" customFormat="1" ht="18" hidden="1" customHeight="1" outlineLevel="1" x14ac:dyDescent="0.25">
      <c r="A8865" s="18">
        <v>5993</v>
      </c>
      <c r="B8865" s="4" t="s">
        <v>43</v>
      </c>
      <c r="C8865" s="38" t="s">
        <v>11321</v>
      </c>
      <c r="D8865" s="23">
        <v>2023</v>
      </c>
      <c r="E8865" s="18" t="s">
        <v>0</v>
      </c>
      <c r="F8865" s="6">
        <v>1</v>
      </c>
      <c r="G8865" s="40">
        <v>5</v>
      </c>
      <c r="H8865" s="40">
        <v>18.730159999999998</v>
      </c>
      <c r="I8865" s="212"/>
      <c r="J8865" s="212"/>
    </row>
    <row r="8866" spans="1:10" s="15" customFormat="1" ht="18" hidden="1" customHeight="1" outlineLevel="1" x14ac:dyDescent="0.25">
      <c r="A8866" s="18">
        <v>2183</v>
      </c>
      <c r="B8866" s="4" t="s">
        <v>43</v>
      </c>
      <c r="C8866" s="38" t="s">
        <v>11322</v>
      </c>
      <c r="D8866" s="23">
        <v>2023</v>
      </c>
      <c r="E8866" s="18" t="s">
        <v>0</v>
      </c>
      <c r="F8866" s="6">
        <v>1</v>
      </c>
      <c r="G8866" s="40">
        <v>5</v>
      </c>
      <c r="H8866" s="40">
        <v>26.574279999999998</v>
      </c>
      <c r="I8866" s="212"/>
      <c r="J8866" s="212"/>
    </row>
    <row r="8867" spans="1:10" s="15" customFormat="1" ht="18" hidden="1" customHeight="1" outlineLevel="1" x14ac:dyDescent="0.25">
      <c r="A8867" s="18">
        <v>5994</v>
      </c>
      <c r="B8867" s="4" t="s">
        <v>43</v>
      </c>
      <c r="C8867" s="38" t="s">
        <v>11323</v>
      </c>
      <c r="D8867" s="23">
        <v>2023</v>
      </c>
      <c r="E8867" s="18" t="s">
        <v>0</v>
      </c>
      <c r="F8867" s="6">
        <v>1</v>
      </c>
      <c r="G8867" s="40">
        <v>5</v>
      </c>
      <c r="H8867" s="40">
        <v>18.730159999999998</v>
      </c>
      <c r="I8867" s="212"/>
      <c r="J8867" s="212"/>
    </row>
    <row r="8868" spans="1:10" s="15" customFormat="1" ht="18" hidden="1" customHeight="1" outlineLevel="1" x14ac:dyDescent="0.25">
      <c r="A8868" s="18">
        <v>5995</v>
      </c>
      <c r="B8868" s="4" t="s">
        <v>43</v>
      </c>
      <c r="C8868" s="38" t="s">
        <v>11324</v>
      </c>
      <c r="D8868" s="23">
        <v>2023</v>
      </c>
      <c r="E8868" s="18" t="s">
        <v>0</v>
      </c>
      <c r="F8868" s="6">
        <v>1</v>
      </c>
      <c r="G8868" s="40">
        <v>5</v>
      </c>
      <c r="H8868" s="40">
        <v>18.730159999999998</v>
      </c>
      <c r="I8868" s="212"/>
      <c r="J8868" s="212"/>
    </row>
    <row r="8869" spans="1:10" s="15" customFormat="1" ht="18" hidden="1" customHeight="1" outlineLevel="1" x14ac:dyDescent="0.25">
      <c r="A8869" s="18">
        <v>5996</v>
      </c>
      <c r="B8869" s="4" t="s">
        <v>43</v>
      </c>
      <c r="C8869" s="38" t="s">
        <v>11325</v>
      </c>
      <c r="D8869" s="23">
        <v>2023</v>
      </c>
      <c r="E8869" s="18" t="s">
        <v>0</v>
      </c>
      <c r="F8869" s="6">
        <v>1</v>
      </c>
      <c r="G8869" s="40">
        <v>5</v>
      </c>
      <c r="H8869" s="40">
        <v>26.574270000000002</v>
      </c>
      <c r="I8869" s="212"/>
      <c r="J8869" s="212"/>
    </row>
    <row r="8870" spans="1:10" s="15" customFormat="1" ht="18" hidden="1" customHeight="1" outlineLevel="1" x14ac:dyDescent="0.25">
      <c r="A8870" s="18">
        <v>5997</v>
      </c>
      <c r="B8870" s="4" t="s">
        <v>43</v>
      </c>
      <c r="C8870" s="38" t="s">
        <v>11326</v>
      </c>
      <c r="D8870" s="23">
        <v>2023</v>
      </c>
      <c r="E8870" s="18" t="s">
        <v>0</v>
      </c>
      <c r="F8870" s="6">
        <v>1</v>
      </c>
      <c r="G8870" s="40">
        <v>5</v>
      </c>
      <c r="H8870" s="40">
        <v>18.730159999999998</v>
      </c>
      <c r="I8870" s="212"/>
      <c r="J8870" s="212"/>
    </row>
    <row r="8871" spans="1:10" s="15" customFormat="1" ht="18" hidden="1" customHeight="1" outlineLevel="1" x14ac:dyDescent="0.25">
      <c r="A8871" s="18">
        <v>2186</v>
      </c>
      <c r="B8871" s="4" t="s">
        <v>43</v>
      </c>
      <c r="C8871" s="38" t="s">
        <v>11327</v>
      </c>
      <c r="D8871" s="23">
        <v>2023</v>
      </c>
      <c r="E8871" s="18" t="s">
        <v>0</v>
      </c>
      <c r="F8871" s="6">
        <v>1</v>
      </c>
      <c r="G8871" s="40">
        <v>5</v>
      </c>
      <c r="H8871" s="40">
        <v>18.730159999999998</v>
      </c>
      <c r="I8871" s="212"/>
      <c r="J8871" s="212"/>
    </row>
    <row r="8872" spans="1:10" s="15" customFormat="1" ht="18" hidden="1" customHeight="1" outlineLevel="1" x14ac:dyDescent="0.25">
      <c r="A8872" s="18">
        <v>5998</v>
      </c>
      <c r="B8872" s="4" t="s">
        <v>43</v>
      </c>
      <c r="C8872" s="38" t="s">
        <v>11328</v>
      </c>
      <c r="D8872" s="23">
        <v>2023</v>
      </c>
      <c r="E8872" s="18" t="s">
        <v>0</v>
      </c>
      <c r="F8872" s="6">
        <v>1</v>
      </c>
      <c r="G8872" s="40">
        <v>5</v>
      </c>
      <c r="H8872" s="40">
        <v>18.730159999999998</v>
      </c>
      <c r="I8872" s="212"/>
      <c r="J8872" s="212"/>
    </row>
    <row r="8873" spans="1:10" s="15" customFormat="1" ht="18" hidden="1" customHeight="1" outlineLevel="1" x14ac:dyDescent="0.25">
      <c r="A8873" s="18">
        <v>5999</v>
      </c>
      <c r="B8873" s="4" t="s">
        <v>43</v>
      </c>
      <c r="C8873" s="38" t="s">
        <v>11329</v>
      </c>
      <c r="D8873" s="23">
        <v>2023</v>
      </c>
      <c r="E8873" s="18" t="s">
        <v>0</v>
      </c>
      <c r="F8873" s="6">
        <v>1</v>
      </c>
      <c r="G8873" s="40">
        <v>8</v>
      </c>
      <c r="H8873" s="40">
        <v>18.729109999999999</v>
      </c>
      <c r="I8873" s="212"/>
      <c r="J8873" s="212"/>
    </row>
    <row r="8874" spans="1:10" s="15" customFormat="1" ht="18" hidden="1" customHeight="1" outlineLevel="1" x14ac:dyDescent="0.25">
      <c r="A8874" s="18">
        <v>6000</v>
      </c>
      <c r="B8874" s="4" t="s">
        <v>43</v>
      </c>
      <c r="C8874" s="38" t="s">
        <v>11330</v>
      </c>
      <c r="D8874" s="23">
        <v>2023</v>
      </c>
      <c r="E8874" s="18" t="s">
        <v>0</v>
      </c>
      <c r="F8874" s="6">
        <v>1</v>
      </c>
      <c r="G8874" s="40">
        <v>8</v>
      </c>
      <c r="H8874" s="40">
        <v>18.729109999999999</v>
      </c>
      <c r="I8874" s="212"/>
      <c r="J8874" s="212"/>
    </row>
    <row r="8875" spans="1:10" s="15" customFormat="1" ht="18" hidden="1" customHeight="1" outlineLevel="1" x14ac:dyDescent="0.25">
      <c r="A8875" s="18">
        <v>6002</v>
      </c>
      <c r="B8875" s="4" t="s">
        <v>43</v>
      </c>
      <c r="C8875" s="38" t="s">
        <v>11331</v>
      </c>
      <c r="D8875" s="23">
        <v>2023</v>
      </c>
      <c r="E8875" s="18" t="s">
        <v>0</v>
      </c>
      <c r="F8875" s="6">
        <v>1</v>
      </c>
      <c r="G8875" s="40">
        <v>5</v>
      </c>
      <c r="H8875" s="40">
        <v>18.729109999999999</v>
      </c>
      <c r="I8875" s="212"/>
      <c r="J8875" s="212"/>
    </row>
    <row r="8876" spans="1:10" s="15" customFormat="1" ht="18" hidden="1" customHeight="1" outlineLevel="1" x14ac:dyDescent="0.25">
      <c r="A8876" s="18">
        <v>6003</v>
      </c>
      <c r="B8876" s="4" t="s">
        <v>43</v>
      </c>
      <c r="C8876" s="38" t="s">
        <v>11332</v>
      </c>
      <c r="D8876" s="23">
        <v>2023</v>
      </c>
      <c r="E8876" s="18" t="s">
        <v>0</v>
      </c>
      <c r="F8876" s="6">
        <v>1</v>
      </c>
      <c r="G8876" s="40">
        <v>5</v>
      </c>
      <c r="H8876" s="40">
        <v>18.729109999999999</v>
      </c>
      <c r="I8876" s="212"/>
      <c r="J8876" s="212"/>
    </row>
    <row r="8877" spans="1:10" s="15" customFormat="1" ht="18" hidden="1" customHeight="1" outlineLevel="1" x14ac:dyDescent="0.25">
      <c r="A8877" s="18">
        <v>6004</v>
      </c>
      <c r="B8877" s="4" t="s">
        <v>43</v>
      </c>
      <c r="C8877" s="38" t="s">
        <v>11333</v>
      </c>
      <c r="D8877" s="23">
        <v>2023</v>
      </c>
      <c r="E8877" s="18" t="s">
        <v>0</v>
      </c>
      <c r="F8877" s="6">
        <v>1</v>
      </c>
      <c r="G8877" s="40">
        <v>5</v>
      </c>
      <c r="H8877" s="40">
        <v>18.729109999999999</v>
      </c>
      <c r="I8877" s="212"/>
      <c r="J8877" s="212"/>
    </row>
    <row r="8878" spans="1:10" s="15" customFormat="1" ht="18" hidden="1" customHeight="1" outlineLevel="1" x14ac:dyDescent="0.25">
      <c r="A8878" s="18">
        <v>6005</v>
      </c>
      <c r="B8878" s="4" t="s">
        <v>43</v>
      </c>
      <c r="C8878" s="38" t="s">
        <v>11334</v>
      </c>
      <c r="D8878" s="23">
        <v>2023</v>
      </c>
      <c r="E8878" s="18" t="s">
        <v>0</v>
      </c>
      <c r="F8878" s="6">
        <v>1</v>
      </c>
      <c r="G8878" s="40">
        <v>5</v>
      </c>
      <c r="H8878" s="40">
        <v>18.730159999999998</v>
      </c>
      <c r="I8878" s="212"/>
      <c r="J8878" s="212"/>
    </row>
    <row r="8879" spans="1:10" s="15" customFormat="1" ht="18" hidden="1" customHeight="1" outlineLevel="1" x14ac:dyDescent="0.25">
      <c r="A8879" s="18">
        <v>6006</v>
      </c>
      <c r="B8879" s="4" t="s">
        <v>43</v>
      </c>
      <c r="C8879" s="38" t="s">
        <v>11335</v>
      </c>
      <c r="D8879" s="23">
        <v>2023</v>
      </c>
      <c r="E8879" s="18" t="s">
        <v>0</v>
      </c>
      <c r="F8879" s="6">
        <v>1</v>
      </c>
      <c r="G8879" s="40">
        <v>5</v>
      </c>
      <c r="H8879" s="40">
        <v>18.730159999999998</v>
      </c>
      <c r="I8879" s="212"/>
      <c r="J8879" s="212"/>
    </row>
    <row r="8880" spans="1:10" s="15" customFormat="1" ht="18" hidden="1" customHeight="1" outlineLevel="1" x14ac:dyDescent="0.25">
      <c r="A8880" s="18">
        <v>6007</v>
      </c>
      <c r="B8880" s="4" t="s">
        <v>43</v>
      </c>
      <c r="C8880" s="38" t="s">
        <v>11336</v>
      </c>
      <c r="D8880" s="23">
        <v>2023</v>
      </c>
      <c r="E8880" s="18" t="s">
        <v>0</v>
      </c>
      <c r="F8880" s="6">
        <v>1</v>
      </c>
      <c r="G8880" s="40">
        <v>5</v>
      </c>
      <c r="H8880" s="40">
        <v>18.730159999999998</v>
      </c>
      <c r="I8880" s="212"/>
      <c r="J8880" s="212"/>
    </row>
    <row r="8881" spans="1:10" s="15" customFormat="1" ht="18" hidden="1" customHeight="1" outlineLevel="1" x14ac:dyDescent="0.25">
      <c r="A8881" s="18">
        <v>6008</v>
      </c>
      <c r="B8881" s="4" t="s">
        <v>43</v>
      </c>
      <c r="C8881" s="38" t="s">
        <v>11337</v>
      </c>
      <c r="D8881" s="23">
        <v>2023</v>
      </c>
      <c r="E8881" s="18" t="s">
        <v>0</v>
      </c>
      <c r="F8881" s="6">
        <v>1</v>
      </c>
      <c r="G8881" s="40">
        <v>5</v>
      </c>
      <c r="H8881" s="40">
        <v>18.730159999999998</v>
      </c>
      <c r="I8881" s="212"/>
      <c r="J8881" s="212"/>
    </row>
    <row r="8882" spans="1:10" s="15" customFormat="1" ht="18" hidden="1" customHeight="1" outlineLevel="1" x14ac:dyDescent="0.25">
      <c r="A8882" s="18">
        <v>6009</v>
      </c>
      <c r="B8882" s="4" t="s">
        <v>43</v>
      </c>
      <c r="C8882" s="38" t="s">
        <v>11338</v>
      </c>
      <c r="D8882" s="23">
        <v>2023</v>
      </c>
      <c r="E8882" s="18" t="s">
        <v>0</v>
      </c>
      <c r="F8882" s="6">
        <v>1</v>
      </c>
      <c r="G8882" s="40">
        <v>6</v>
      </c>
      <c r="H8882" s="40">
        <v>19.022110000000001</v>
      </c>
      <c r="I8882" s="212"/>
      <c r="J8882" s="212"/>
    </row>
    <row r="8883" spans="1:10" s="15" customFormat="1" ht="18" hidden="1" customHeight="1" outlineLevel="1" x14ac:dyDescent="0.25">
      <c r="A8883" s="18">
        <v>6011</v>
      </c>
      <c r="B8883" s="4" t="s">
        <v>43</v>
      </c>
      <c r="C8883" s="38" t="s">
        <v>11339</v>
      </c>
      <c r="D8883" s="23">
        <v>2023</v>
      </c>
      <c r="E8883" s="18" t="s">
        <v>0</v>
      </c>
      <c r="F8883" s="6">
        <v>1</v>
      </c>
      <c r="G8883" s="40">
        <v>8</v>
      </c>
      <c r="H8883" s="40">
        <v>18.730159999999998</v>
      </c>
      <c r="I8883" s="212"/>
      <c r="J8883" s="212"/>
    </row>
    <row r="8884" spans="1:10" s="15" customFormat="1" ht="18" hidden="1" customHeight="1" outlineLevel="1" x14ac:dyDescent="0.25">
      <c r="A8884" s="18">
        <v>2127</v>
      </c>
      <c r="B8884" s="4" t="s">
        <v>43</v>
      </c>
      <c r="C8884" s="38" t="s">
        <v>11340</v>
      </c>
      <c r="D8884" s="23">
        <v>2023</v>
      </c>
      <c r="E8884" s="18" t="s">
        <v>0</v>
      </c>
      <c r="F8884" s="6">
        <v>1</v>
      </c>
      <c r="G8884" s="40">
        <v>5</v>
      </c>
      <c r="H8884" s="40">
        <v>18.730159999999998</v>
      </c>
      <c r="I8884" s="212"/>
      <c r="J8884" s="212"/>
    </row>
    <row r="8885" spans="1:10" s="15" customFormat="1" ht="18" hidden="1" customHeight="1" outlineLevel="1" x14ac:dyDescent="0.25">
      <c r="A8885" s="18">
        <v>6012</v>
      </c>
      <c r="B8885" s="4" t="s">
        <v>43</v>
      </c>
      <c r="C8885" s="38" t="s">
        <v>11341</v>
      </c>
      <c r="D8885" s="23">
        <v>2023</v>
      </c>
      <c r="E8885" s="18" t="s">
        <v>0</v>
      </c>
      <c r="F8885" s="6">
        <v>1</v>
      </c>
      <c r="G8885" s="40">
        <v>5</v>
      </c>
      <c r="H8885" s="40">
        <v>26.574270000000002</v>
      </c>
      <c r="I8885" s="212"/>
      <c r="J8885" s="212"/>
    </row>
    <row r="8886" spans="1:10" s="15" customFormat="1" ht="18" hidden="1" customHeight="1" outlineLevel="1" x14ac:dyDescent="0.25">
      <c r="A8886" s="18">
        <v>6013</v>
      </c>
      <c r="B8886" s="4" t="s">
        <v>43</v>
      </c>
      <c r="C8886" s="38" t="s">
        <v>11342</v>
      </c>
      <c r="D8886" s="23">
        <v>2023</v>
      </c>
      <c r="E8886" s="18" t="s">
        <v>0</v>
      </c>
      <c r="F8886" s="6">
        <v>1</v>
      </c>
      <c r="G8886" s="40">
        <v>5</v>
      </c>
      <c r="H8886" s="40">
        <v>26.574270000000002</v>
      </c>
      <c r="I8886" s="212"/>
      <c r="J8886" s="212"/>
    </row>
    <row r="8887" spans="1:10" s="15" customFormat="1" ht="18" hidden="1" customHeight="1" outlineLevel="1" x14ac:dyDescent="0.25">
      <c r="A8887" s="18">
        <v>6014</v>
      </c>
      <c r="B8887" s="4" t="s">
        <v>43</v>
      </c>
      <c r="C8887" s="38" t="s">
        <v>11343</v>
      </c>
      <c r="D8887" s="23">
        <v>2023</v>
      </c>
      <c r="E8887" s="18" t="s">
        <v>0</v>
      </c>
      <c r="F8887" s="6">
        <v>1</v>
      </c>
      <c r="G8887" s="40">
        <v>5</v>
      </c>
      <c r="H8887" s="40">
        <v>18.730159999999998</v>
      </c>
      <c r="I8887" s="212"/>
      <c r="J8887" s="212"/>
    </row>
    <row r="8888" spans="1:10" s="15" customFormat="1" ht="18" hidden="1" customHeight="1" outlineLevel="1" x14ac:dyDescent="0.25">
      <c r="A8888" s="18">
        <v>6015</v>
      </c>
      <c r="B8888" s="4" t="s">
        <v>43</v>
      </c>
      <c r="C8888" s="38" t="s">
        <v>11344</v>
      </c>
      <c r="D8888" s="23">
        <v>2023</v>
      </c>
      <c r="E8888" s="18" t="s">
        <v>0</v>
      </c>
      <c r="F8888" s="6">
        <v>1</v>
      </c>
      <c r="G8888" s="40">
        <v>5</v>
      </c>
      <c r="H8888" s="40">
        <v>26.574279999999998</v>
      </c>
      <c r="I8888" s="212"/>
      <c r="J8888" s="212"/>
    </row>
    <row r="8889" spans="1:10" s="15" customFormat="1" ht="18" hidden="1" customHeight="1" outlineLevel="1" x14ac:dyDescent="0.25">
      <c r="A8889" s="18">
        <v>2113</v>
      </c>
      <c r="B8889" s="4" t="s">
        <v>43</v>
      </c>
      <c r="C8889" s="38" t="s">
        <v>11345</v>
      </c>
      <c r="D8889" s="23">
        <v>2023</v>
      </c>
      <c r="E8889" s="18" t="s">
        <v>0</v>
      </c>
      <c r="F8889" s="6">
        <v>1</v>
      </c>
      <c r="G8889" s="40">
        <v>5</v>
      </c>
      <c r="H8889" s="40">
        <v>18.730159999999998</v>
      </c>
      <c r="I8889" s="212"/>
      <c r="J8889" s="212"/>
    </row>
    <row r="8890" spans="1:10" s="15" customFormat="1" ht="18" hidden="1" customHeight="1" outlineLevel="1" x14ac:dyDescent="0.25">
      <c r="A8890" s="18">
        <v>6017</v>
      </c>
      <c r="B8890" s="4" t="s">
        <v>43</v>
      </c>
      <c r="C8890" s="38" t="s">
        <v>11346</v>
      </c>
      <c r="D8890" s="23">
        <v>2023</v>
      </c>
      <c r="E8890" s="18" t="s">
        <v>0</v>
      </c>
      <c r="F8890" s="6">
        <v>1</v>
      </c>
      <c r="G8890" s="40">
        <v>5</v>
      </c>
      <c r="H8890" s="40">
        <v>18.730150000000002</v>
      </c>
      <c r="I8890" s="212"/>
      <c r="J8890" s="212"/>
    </row>
    <row r="8891" spans="1:10" s="15" customFormat="1" ht="18" hidden="1" customHeight="1" outlineLevel="1" x14ac:dyDescent="0.25">
      <c r="A8891" s="18">
        <v>6018</v>
      </c>
      <c r="B8891" s="4" t="s">
        <v>43</v>
      </c>
      <c r="C8891" s="38" t="s">
        <v>11347</v>
      </c>
      <c r="D8891" s="23">
        <v>2023</v>
      </c>
      <c r="E8891" s="18" t="s">
        <v>0</v>
      </c>
      <c r="F8891" s="6">
        <v>1</v>
      </c>
      <c r="G8891" s="40">
        <v>5</v>
      </c>
      <c r="H8891" s="40">
        <v>18.730159999999998</v>
      </c>
      <c r="I8891" s="212"/>
      <c r="J8891" s="212"/>
    </row>
    <row r="8892" spans="1:10" s="15" customFormat="1" ht="18" hidden="1" customHeight="1" outlineLevel="1" x14ac:dyDescent="0.25">
      <c r="A8892" s="18">
        <v>6019</v>
      </c>
      <c r="B8892" s="4" t="s">
        <v>43</v>
      </c>
      <c r="C8892" s="38" t="s">
        <v>11348</v>
      </c>
      <c r="D8892" s="23">
        <v>2023</v>
      </c>
      <c r="E8892" s="18" t="s">
        <v>0</v>
      </c>
      <c r="F8892" s="6">
        <v>1</v>
      </c>
      <c r="G8892" s="40">
        <v>5</v>
      </c>
      <c r="H8892" s="40">
        <v>18.730150000000002</v>
      </c>
      <c r="I8892" s="212"/>
      <c r="J8892" s="212"/>
    </row>
    <row r="8893" spans="1:10" s="15" customFormat="1" ht="18" hidden="1" customHeight="1" outlineLevel="1" x14ac:dyDescent="0.25">
      <c r="A8893" s="18">
        <v>6020</v>
      </c>
      <c r="B8893" s="4" t="s">
        <v>43</v>
      </c>
      <c r="C8893" s="38" t="s">
        <v>11349</v>
      </c>
      <c r="D8893" s="23">
        <v>2023</v>
      </c>
      <c r="E8893" s="18" t="s">
        <v>0</v>
      </c>
      <c r="F8893" s="6">
        <v>1</v>
      </c>
      <c r="G8893" s="40">
        <v>5</v>
      </c>
      <c r="H8893" s="40">
        <v>18.730159999999998</v>
      </c>
      <c r="I8893" s="212"/>
      <c r="J8893" s="212"/>
    </row>
    <row r="8894" spans="1:10" s="15" customFormat="1" ht="18" hidden="1" customHeight="1" outlineLevel="1" x14ac:dyDescent="0.25">
      <c r="A8894" s="18">
        <v>6021</v>
      </c>
      <c r="B8894" s="4" t="s">
        <v>43</v>
      </c>
      <c r="C8894" s="38" t="s">
        <v>11350</v>
      </c>
      <c r="D8894" s="23">
        <v>2023</v>
      </c>
      <c r="E8894" s="18" t="s">
        <v>0</v>
      </c>
      <c r="F8894" s="6">
        <v>1</v>
      </c>
      <c r="G8894" s="40">
        <v>5</v>
      </c>
      <c r="H8894" s="40">
        <v>18.730150000000002</v>
      </c>
      <c r="I8894" s="212"/>
      <c r="J8894" s="212"/>
    </row>
    <row r="8895" spans="1:10" s="15" customFormat="1" ht="18" hidden="1" customHeight="1" outlineLevel="1" x14ac:dyDescent="0.25">
      <c r="A8895" s="18">
        <v>6022</v>
      </c>
      <c r="B8895" s="4" t="s">
        <v>43</v>
      </c>
      <c r="C8895" s="38" t="s">
        <v>11351</v>
      </c>
      <c r="D8895" s="23">
        <v>2023</v>
      </c>
      <c r="E8895" s="18" t="s">
        <v>0</v>
      </c>
      <c r="F8895" s="6">
        <v>1</v>
      </c>
      <c r="G8895" s="40">
        <v>5</v>
      </c>
      <c r="H8895" s="40">
        <v>18.730159999999998</v>
      </c>
      <c r="I8895" s="212"/>
      <c r="J8895" s="212"/>
    </row>
    <row r="8896" spans="1:10" s="15" customFormat="1" ht="18" hidden="1" customHeight="1" outlineLevel="1" x14ac:dyDescent="0.25">
      <c r="A8896" s="18">
        <v>6023</v>
      </c>
      <c r="B8896" s="4" t="s">
        <v>43</v>
      </c>
      <c r="C8896" s="38" t="s">
        <v>11352</v>
      </c>
      <c r="D8896" s="23">
        <v>2023</v>
      </c>
      <c r="E8896" s="18" t="s">
        <v>0</v>
      </c>
      <c r="F8896" s="6">
        <v>1</v>
      </c>
      <c r="G8896" s="40">
        <v>5</v>
      </c>
      <c r="H8896" s="40">
        <v>18.771879999999999</v>
      </c>
      <c r="I8896" s="212"/>
      <c r="J8896" s="212"/>
    </row>
    <row r="8897" spans="1:10" s="15" customFormat="1" ht="18" hidden="1" customHeight="1" outlineLevel="1" x14ac:dyDescent="0.25">
      <c r="A8897" s="18">
        <v>6024</v>
      </c>
      <c r="B8897" s="4" t="s">
        <v>43</v>
      </c>
      <c r="C8897" s="38" t="s">
        <v>11353</v>
      </c>
      <c r="D8897" s="23">
        <v>2023</v>
      </c>
      <c r="E8897" s="18" t="s">
        <v>0</v>
      </c>
      <c r="F8897" s="6">
        <v>1</v>
      </c>
      <c r="G8897" s="40">
        <v>5</v>
      </c>
      <c r="H8897" s="40">
        <v>19.188929999999999</v>
      </c>
      <c r="I8897" s="212"/>
      <c r="J8897" s="212"/>
    </row>
    <row r="8898" spans="1:10" s="15" customFormat="1" ht="18" hidden="1" customHeight="1" outlineLevel="1" x14ac:dyDescent="0.25">
      <c r="A8898" s="18">
        <v>6025</v>
      </c>
      <c r="B8898" s="4" t="s">
        <v>43</v>
      </c>
      <c r="C8898" s="38" t="s">
        <v>11354</v>
      </c>
      <c r="D8898" s="23">
        <v>2023</v>
      </c>
      <c r="E8898" s="18" t="s">
        <v>0</v>
      </c>
      <c r="F8898" s="6">
        <v>1</v>
      </c>
      <c r="G8898" s="40">
        <v>5</v>
      </c>
      <c r="H8898" s="40">
        <v>18.730150000000002</v>
      </c>
      <c r="I8898" s="212"/>
      <c r="J8898" s="212"/>
    </row>
    <row r="8899" spans="1:10" s="15" customFormat="1" ht="18" hidden="1" customHeight="1" outlineLevel="1" x14ac:dyDescent="0.25">
      <c r="A8899" s="18">
        <v>1939</v>
      </c>
      <c r="B8899" s="4" t="s">
        <v>43</v>
      </c>
      <c r="C8899" s="38" t="s">
        <v>11355</v>
      </c>
      <c r="D8899" s="23">
        <v>2023</v>
      </c>
      <c r="E8899" s="18" t="s">
        <v>0</v>
      </c>
      <c r="F8899" s="6">
        <v>1</v>
      </c>
      <c r="G8899" s="40">
        <v>5</v>
      </c>
      <c r="H8899" s="40">
        <v>26.574270000000002</v>
      </c>
      <c r="I8899" s="212"/>
      <c r="J8899" s="212"/>
    </row>
    <row r="8900" spans="1:10" s="15" customFormat="1" ht="18" hidden="1" customHeight="1" outlineLevel="1" x14ac:dyDescent="0.25">
      <c r="A8900" s="18">
        <v>6161</v>
      </c>
      <c r="B8900" s="4" t="s">
        <v>43</v>
      </c>
      <c r="C8900" s="38" t="s">
        <v>11356</v>
      </c>
      <c r="D8900" s="23">
        <v>2023</v>
      </c>
      <c r="E8900" s="18" t="s">
        <v>0</v>
      </c>
      <c r="F8900" s="6">
        <v>1</v>
      </c>
      <c r="G8900" s="40">
        <v>5</v>
      </c>
      <c r="H8900" s="40">
        <v>18.682319999999997</v>
      </c>
      <c r="I8900" s="212"/>
      <c r="J8900" s="212"/>
    </row>
    <row r="8901" spans="1:10" s="15" customFormat="1" ht="18" hidden="1" customHeight="1" outlineLevel="1" x14ac:dyDescent="0.25">
      <c r="A8901" s="18">
        <v>319</v>
      </c>
      <c r="B8901" s="4" t="s">
        <v>43</v>
      </c>
      <c r="C8901" s="38" t="s">
        <v>8732</v>
      </c>
      <c r="D8901" s="23">
        <v>2023</v>
      </c>
      <c r="E8901" s="18" t="s">
        <v>0</v>
      </c>
      <c r="F8901" s="6">
        <v>1</v>
      </c>
      <c r="G8901" s="40">
        <v>35</v>
      </c>
      <c r="H8901" s="40">
        <v>69.306640000000002</v>
      </c>
      <c r="I8901" s="212"/>
      <c r="J8901" s="212"/>
    </row>
    <row r="8902" spans="1:10" s="15" customFormat="1" ht="18" hidden="1" customHeight="1" outlineLevel="1" x14ac:dyDescent="0.25">
      <c r="A8902" s="18">
        <v>5046</v>
      </c>
      <c r="B8902" s="4" t="s">
        <v>43</v>
      </c>
      <c r="C8902" s="38" t="s">
        <v>8733</v>
      </c>
      <c r="D8902" s="23">
        <v>2023</v>
      </c>
      <c r="E8902" s="18" t="s">
        <v>0</v>
      </c>
      <c r="F8902" s="6">
        <v>1</v>
      </c>
      <c r="G8902" s="40">
        <v>25</v>
      </c>
      <c r="H8902" s="40">
        <v>44.720459999999996</v>
      </c>
      <c r="I8902" s="212"/>
      <c r="J8902" s="212"/>
    </row>
    <row r="8903" spans="1:10" s="15" customFormat="1" ht="18" hidden="1" customHeight="1" outlineLevel="1" x14ac:dyDescent="0.25">
      <c r="A8903" s="18">
        <v>540</v>
      </c>
      <c r="B8903" s="4" t="s">
        <v>43</v>
      </c>
      <c r="C8903" s="38" t="s">
        <v>8740</v>
      </c>
      <c r="D8903" s="23">
        <v>2023</v>
      </c>
      <c r="E8903" s="18" t="s">
        <v>0</v>
      </c>
      <c r="F8903" s="6">
        <v>1</v>
      </c>
      <c r="G8903" s="40">
        <v>40</v>
      </c>
      <c r="H8903" s="40">
        <v>115.78397</v>
      </c>
      <c r="I8903" s="212"/>
      <c r="J8903" s="212"/>
    </row>
    <row r="8904" spans="1:10" s="15" customFormat="1" ht="18" hidden="1" customHeight="1" outlineLevel="1" x14ac:dyDescent="0.25">
      <c r="A8904" s="18">
        <v>710</v>
      </c>
      <c r="B8904" s="4" t="s">
        <v>43</v>
      </c>
      <c r="C8904" s="38" t="s">
        <v>8744</v>
      </c>
      <c r="D8904" s="23">
        <v>2023</v>
      </c>
      <c r="E8904" s="18" t="s">
        <v>0</v>
      </c>
      <c r="F8904" s="6">
        <v>1</v>
      </c>
      <c r="G8904" s="40">
        <v>10</v>
      </c>
      <c r="H8904" s="40">
        <v>31.356599999999997</v>
      </c>
      <c r="I8904" s="212"/>
      <c r="J8904" s="212"/>
    </row>
    <row r="8905" spans="1:10" s="15" customFormat="1" ht="18" hidden="1" customHeight="1" outlineLevel="1" x14ac:dyDescent="0.25">
      <c r="A8905" s="18">
        <v>3873</v>
      </c>
      <c r="B8905" s="4" t="s">
        <v>43</v>
      </c>
      <c r="C8905" s="38" t="s">
        <v>8745</v>
      </c>
      <c r="D8905" s="23">
        <v>2023</v>
      </c>
      <c r="E8905" s="18" t="s">
        <v>0</v>
      </c>
      <c r="F8905" s="6">
        <v>1</v>
      </c>
      <c r="G8905" s="40">
        <v>5</v>
      </c>
      <c r="H8905" s="40">
        <v>45.36054</v>
      </c>
      <c r="I8905" s="212"/>
      <c r="J8905" s="212"/>
    </row>
    <row r="8906" spans="1:10" s="15" customFormat="1" ht="18" hidden="1" customHeight="1" outlineLevel="1" x14ac:dyDescent="0.25">
      <c r="A8906" s="18">
        <v>1290</v>
      </c>
      <c r="B8906" s="4" t="s">
        <v>43</v>
      </c>
      <c r="C8906" s="38" t="s">
        <v>8748</v>
      </c>
      <c r="D8906" s="23">
        <v>2023</v>
      </c>
      <c r="E8906" s="18" t="s">
        <v>0</v>
      </c>
      <c r="F8906" s="6">
        <v>1</v>
      </c>
      <c r="G8906" s="40">
        <v>5</v>
      </c>
      <c r="H8906" s="40">
        <v>42.97392</v>
      </c>
      <c r="I8906" s="212"/>
      <c r="J8906" s="212"/>
    </row>
    <row r="8907" spans="1:10" s="15" customFormat="1" ht="18" hidden="1" customHeight="1" outlineLevel="1" x14ac:dyDescent="0.25">
      <c r="A8907" s="18">
        <v>1209</v>
      </c>
      <c r="B8907" s="4" t="s">
        <v>43</v>
      </c>
      <c r="C8907" s="38" t="s">
        <v>8750</v>
      </c>
      <c r="D8907" s="23">
        <v>2023</v>
      </c>
      <c r="E8907" s="18" t="s">
        <v>0</v>
      </c>
      <c r="F8907" s="6">
        <v>1</v>
      </c>
      <c r="G8907" s="40">
        <v>15</v>
      </c>
      <c r="H8907" s="40">
        <v>50.124119999999998</v>
      </c>
      <c r="I8907" s="212"/>
      <c r="J8907" s="212"/>
    </row>
    <row r="8908" spans="1:10" s="15" customFormat="1" ht="18" hidden="1" customHeight="1" outlineLevel="1" x14ac:dyDescent="0.25">
      <c r="A8908" s="18">
        <v>1275</v>
      </c>
      <c r="B8908" s="4" t="s">
        <v>43</v>
      </c>
      <c r="C8908" s="38" t="s">
        <v>8753</v>
      </c>
      <c r="D8908" s="23">
        <v>2023</v>
      </c>
      <c r="E8908" s="18" t="s">
        <v>0</v>
      </c>
      <c r="F8908" s="6">
        <v>1</v>
      </c>
      <c r="G8908" s="40">
        <v>10</v>
      </c>
      <c r="H8908" s="40">
        <v>71.622259999999997</v>
      </c>
      <c r="I8908" s="212"/>
      <c r="J8908" s="212"/>
    </row>
    <row r="8909" spans="1:10" s="15" customFormat="1" ht="18" hidden="1" customHeight="1" outlineLevel="1" x14ac:dyDescent="0.25">
      <c r="A8909" s="18">
        <v>1315</v>
      </c>
      <c r="B8909" s="4" t="s">
        <v>43</v>
      </c>
      <c r="C8909" s="38" t="s">
        <v>8754</v>
      </c>
      <c r="D8909" s="23">
        <v>2023</v>
      </c>
      <c r="E8909" s="18" t="s">
        <v>0</v>
      </c>
      <c r="F8909" s="6">
        <v>1</v>
      </c>
      <c r="G8909" s="40">
        <v>30</v>
      </c>
      <c r="H8909" s="40">
        <v>79.359679999999997</v>
      </c>
      <c r="I8909" s="212"/>
      <c r="J8909" s="212"/>
    </row>
    <row r="8910" spans="1:10" s="15" customFormat="1" ht="18" hidden="1" customHeight="1" outlineLevel="1" x14ac:dyDescent="0.25">
      <c r="A8910" s="18">
        <v>1457</v>
      </c>
      <c r="B8910" s="4" t="s">
        <v>43</v>
      </c>
      <c r="C8910" s="38" t="s">
        <v>8755</v>
      </c>
      <c r="D8910" s="23">
        <v>2023</v>
      </c>
      <c r="E8910" s="18" t="s">
        <v>0</v>
      </c>
      <c r="F8910" s="6">
        <v>1</v>
      </c>
      <c r="G8910" s="40">
        <v>10</v>
      </c>
      <c r="H8910" s="40">
        <v>46.589110000000005</v>
      </c>
      <c r="I8910" s="212"/>
      <c r="J8910" s="212"/>
    </row>
    <row r="8911" spans="1:10" s="15" customFormat="1" ht="18" hidden="1" customHeight="1" outlineLevel="1" x14ac:dyDescent="0.25">
      <c r="A8911" s="18">
        <v>3248</v>
      </c>
      <c r="B8911" s="4" t="s">
        <v>43</v>
      </c>
      <c r="C8911" s="38" t="s">
        <v>8762</v>
      </c>
      <c r="D8911" s="23">
        <v>2023</v>
      </c>
      <c r="E8911" s="18" t="s">
        <v>0</v>
      </c>
      <c r="F8911" s="6">
        <v>3</v>
      </c>
      <c r="G8911" s="40">
        <v>30</v>
      </c>
      <c r="H8911" s="40">
        <v>267.71123</v>
      </c>
      <c r="I8911" s="212"/>
      <c r="J8911" s="212"/>
    </row>
    <row r="8912" spans="1:10" s="15" customFormat="1" ht="18" hidden="1" customHeight="1" outlineLevel="1" x14ac:dyDescent="0.25">
      <c r="A8912" s="18">
        <v>1427</v>
      </c>
      <c r="B8912" s="4" t="s">
        <v>43</v>
      </c>
      <c r="C8912" s="38" t="s">
        <v>8763</v>
      </c>
      <c r="D8912" s="23">
        <v>2023</v>
      </c>
      <c r="E8912" s="18" t="s">
        <v>0</v>
      </c>
      <c r="F8912" s="6">
        <v>1</v>
      </c>
      <c r="G8912" s="40">
        <v>15</v>
      </c>
      <c r="H8912" s="40">
        <v>45.143769999999996</v>
      </c>
      <c r="I8912" s="212"/>
      <c r="J8912" s="212"/>
    </row>
    <row r="8913" spans="1:10" s="15" customFormat="1" ht="18" hidden="1" customHeight="1" outlineLevel="1" x14ac:dyDescent="0.25">
      <c r="A8913" s="18">
        <v>1563</v>
      </c>
      <c r="B8913" s="4" t="s">
        <v>43</v>
      </c>
      <c r="C8913" s="38" t="s">
        <v>8764</v>
      </c>
      <c r="D8913" s="23">
        <v>2023</v>
      </c>
      <c r="E8913" s="18" t="s">
        <v>0</v>
      </c>
      <c r="F8913" s="6">
        <v>1</v>
      </c>
      <c r="G8913" s="40">
        <v>2</v>
      </c>
      <c r="H8913" s="40">
        <v>44.917619999999999</v>
      </c>
      <c r="I8913" s="212"/>
      <c r="J8913" s="212"/>
    </row>
    <row r="8914" spans="1:10" s="15" customFormat="1" ht="18" hidden="1" customHeight="1" outlineLevel="1" x14ac:dyDescent="0.25">
      <c r="A8914" s="18">
        <v>6037</v>
      </c>
      <c r="B8914" s="4" t="s">
        <v>43</v>
      </c>
      <c r="C8914" s="38" t="s">
        <v>11357</v>
      </c>
      <c r="D8914" s="23">
        <v>2023</v>
      </c>
      <c r="E8914" s="18" t="s">
        <v>0</v>
      </c>
      <c r="F8914" s="6">
        <v>1</v>
      </c>
      <c r="G8914" s="40">
        <v>5</v>
      </c>
      <c r="H8914" s="40">
        <v>18.631910000000001</v>
      </c>
      <c r="I8914" s="212"/>
      <c r="J8914" s="212"/>
    </row>
    <row r="8915" spans="1:10" s="15" customFormat="1" ht="18" hidden="1" customHeight="1" outlineLevel="1" x14ac:dyDescent="0.25">
      <c r="A8915" s="18">
        <v>2637</v>
      </c>
      <c r="B8915" s="4" t="s">
        <v>43</v>
      </c>
      <c r="C8915" s="38" t="s">
        <v>11358</v>
      </c>
      <c r="D8915" s="23">
        <v>2023</v>
      </c>
      <c r="E8915" s="18" t="s">
        <v>0</v>
      </c>
      <c r="F8915" s="6">
        <v>1</v>
      </c>
      <c r="G8915" s="40">
        <v>5</v>
      </c>
      <c r="H8915" s="40">
        <v>18.631910000000001</v>
      </c>
      <c r="I8915" s="212"/>
      <c r="J8915" s="212"/>
    </row>
    <row r="8916" spans="1:10" s="15" customFormat="1" ht="18" hidden="1" customHeight="1" outlineLevel="1" x14ac:dyDescent="0.25">
      <c r="A8916" s="18">
        <v>2380</v>
      </c>
      <c r="B8916" s="4" t="s">
        <v>43</v>
      </c>
      <c r="C8916" s="38" t="s">
        <v>11359</v>
      </c>
      <c r="D8916" s="23">
        <v>2023</v>
      </c>
      <c r="E8916" s="18" t="s">
        <v>0</v>
      </c>
      <c r="F8916" s="6">
        <v>1</v>
      </c>
      <c r="G8916" s="40">
        <v>3</v>
      </c>
      <c r="H8916" s="40">
        <v>18.631910000000001</v>
      </c>
      <c r="I8916" s="212"/>
      <c r="J8916" s="212"/>
    </row>
    <row r="8917" spans="1:10" s="15" customFormat="1" ht="18" hidden="1" customHeight="1" outlineLevel="1" x14ac:dyDescent="0.25">
      <c r="A8917" s="18">
        <v>6038</v>
      </c>
      <c r="B8917" s="4" t="s">
        <v>43</v>
      </c>
      <c r="C8917" s="38" t="s">
        <v>11360</v>
      </c>
      <c r="D8917" s="23">
        <v>2023</v>
      </c>
      <c r="E8917" s="18" t="s">
        <v>0</v>
      </c>
      <c r="F8917" s="6">
        <v>1</v>
      </c>
      <c r="G8917" s="40">
        <v>10</v>
      </c>
      <c r="H8917" s="40">
        <v>19.441200000000002</v>
      </c>
      <c r="I8917" s="212"/>
      <c r="J8917" s="212"/>
    </row>
    <row r="8918" spans="1:10" s="15" customFormat="1" ht="18" hidden="1" customHeight="1" outlineLevel="1" x14ac:dyDescent="0.25">
      <c r="A8918" s="18">
        <v>6040</v>
      </c>
      <c r="B8918" s="4" t="s">
        <v>43</v>
      </c>
      <c r="C8918" s="38" t="s">
        <v>11361</v>
      </c>
      <c r="D8918" s="23">
        <v>2023</v>
      </c>
      <c r="E8918" s="18" t="s">
        <v>0</v>
      </c>
      <c r="F8918" s="6">
        <v>1</v>
      </c>
      <c r="G8918" s="40">
        <v>10</v>
      </c>
      <c r="H8918" s="40">
        <v>18.631899999999998</v>
      </c>
      <c r="I8918" s="212"/>
      <c r="J8918" s="212"/>
    </row>
    <row r="8919" spans="1:10" s="15" customFormat="1" ht="18" hidden="1" customHeight="1" outlineLevel="1" x14ac:dyDescent="0.25">
      <c r="A8919" s="18">
        <v>6041</v>
      </c>
      <c r="B8919" s="4" t="s">
        <v>43</v>
      </c>
      <c r="C8919" s="38" t="s">
        <v>11362</v>
      </c>
      <c r="D8919" s="23">
        <v>2023</v>
      </c>
      <c r="E8919" s="18" t="s">
        <v>0</v>
      </c>
      <c r="F8919" s="6">
        <v>1</v>
      </c>
      <c r="G8919" s="40">
        <v>10</v>
      </c>
      <c r="H8919" s="40">
        <v>18.631910000000001</v>
      </c>
      <c r="I8919" s="212"/>
      <c r="J8919" s="212"/>
    </row>
    <row r="8920" spans="1:10" s="15" customFormat="1" ht="18" hidden="1" customHeight="1" outlineLevel="1" x14ac:dyDescent="0.25">
      <c r="A8920" s="18">
        <v>6042</v>
      </c>
      <c r="B8920" s="4" t="s">
        <v>43</v>
      </c>
      <c r="C8920" s="38" t="s">
        <v>11363</v>
      </c>
      <c r="D8920" s="23">
        <v>2023</v>
      </c>
      <c r="E8920" s="18" t="s">
        <v>0</v>
      </c>
      <c r="F8920" s="6">
        <v>1</v>
      </c>
      <c r="G8920" s="40">
        <v>10</v>
      </c>
      <c r="H8920" s="40">
        <v>18.631910000000001</v>
      </c>
      <c r="I8920" s="212"/>
      <c r="J8920" s="212"/>
    </row>
    <row r="8921" spans="1:10" s="15" customFormat="1" ht="18" hidden="1" customHeight="1" outlineLevel="1" x14ac:dyDescent="0.25">
      <c r="A8921" s="18">
        <v>2400</v>
      </c>
      <c r="B8921" s="4" t="s">
        <v>43</v>
      </c>
      <c r="C8921" s="38" t="s">
        <v>11364</v>
      </c>
      <c r="D8921" s="23">
        <v>2023</v>
      </c>
      <c r="E8921" s="18" t="s">
        <v>0</v>
      </c>
      <c r="F8921" s="6">
        <v>1</v>
      </c>
      <c r="G8921" s="40">
        <v>10</v>
      </c>
      <c r="H8921" s="40">
        <v>18.631910000000001</v>
      </c>
      <c r="I8921" s="212"/>
      <c r="J8921" s="212"/>
    </row>
    <row r="8922" spans="1:10" s="15" customFormat="1" ht="18" hidden="1" customHeight="1" outlineLevel="1" x14ac:dyDescent="0.25">
      <c r="A8922" s="18">
        <v>6044</v>
      </c>
      <c r="B8922" s="4" t="s">
        <v>43</v>
      </c>
      <c r="C8922" s="38" t="s">
        <v>11365</v>
      </c>
      <c r="D8922" s="23">
        <v>2023</v>
      </c>
      <c r="E8922" s="18" t="s">
        <v>0</v>
      </c>
      <c r="F8922" s="6">
        <v>1</v>
      </c>
      <c r="G8922" s="40">
        <v>5.4</v>
      </c>
      <c r="H8922" s="40">
        <v>18.631910000000001</v>
      </c>
      <c r="I8922" s="212"/>
      <c r="J8922" s="212"/>
    </row>
    <row r="8923" spans="1:10" s="15" customFormat="1" ht="18" hidden="1" customHeight="1" outlineLevel="1" x14ac:dyDescent="0.25">
      <c r="A8923" s="18">
        <v>6048</v>
      </c>
      <c r="B8923" s="4" t="s">
        <v>43</v>
      </c>
      <c r="C8923" s="38" t="s">
        <v>11366</v>
      </c>
      <c r="D8923" s="23">
        <v>2023</v>
      </c>
      <c r="E8923" s="18" t="s">
        <v>0</v>
      </c>
      <c r="F8923" s="6">
        <v>1</v>
      </c>
      <c r="G8923" s="40">
        <v>10</v>
      </c>
      <c r="H8923" s="40">
        <v>18.631910000000001</v>
      </c>
      <c r="I8923" s="212"/>
      <c r="J8923" s="212"/>
    </row>
    <row r="8924" spans="1:10" s="15" customFormat="1" ht="18" hidden="1" customHeight="1" outlineLevel="1" x14ac:dyDescent="0.25">
      <c r="A8924" s="18">
        <v>6049</v>
      </c>
      <c r="B8924" s="4" t="s">
        <v>43</v>
      </c>
      <c r="C8924" s="38" t="s">
        <v>11367</v>
      </c>
      <c r="D8924" s="23">
        <v>2023</v>
      </c>
      <c r="E8924" s="18" t="s">
        <v>0</v>
      </c>
      <c r="F8924" s="6">
        <v>1</v>
      </c>
      <c r="G8924" s="40">
        <v>5</v>
      </c>
      <c r="H8924" s="40">
        <v>18.631910000000001</v>
      </c>
      <c r="I8924" s="212"/>
      <c r="J8924" s="212"/>
    </row>
    <row r="8925" spans="1:10" s="15" customFormat="1" ht="18" hidden="1" customHeight="1" outlineLevel="1" x14ac:dyDescent="0.25">
      <c r="A8925" s="18">
        <v>6050</v>
      </c>
      <c r="B8925" s="4" t="s">
        <v>43</v>
      </c>
      <c r="C8925" s="38" t="s">
        <v>11368</v>
      </c>
      <c r="D8925" s="23">
        <v>2023</v>
      </c>
      <c r="E8925" s="18" t="s">
        <v>0</v>
      </c>
      <c r="F8925" s="6">
        <v>1</v>
      </c>
      <c r="G8925" s="40">
        <v>10</v>
      </c>
      <c r="H8925" s="40">
        <v>18.631910000000001</v>
      </c>
      <c r="I8925" s="212"/>
      <c r="J8925" s="212"/>
    </row>
    <row r="8926" spans="1:10" s="15" customFormat="1" ht="18" hidden="1" customHeight="1" outlineLevel="1" x14ac:dyDescent="0.25">
      <c r="A8926" s="18">
        <v>6051</v>
      </c>
      <c r="B8926" s="4" t="s">
        <v>43</v>
      </c>
      <c r="C8926" s="38" t="s">
        <v>11369</v>
      </c>
      <c r="D8926" s="23">
        <v>2023</v>
      </c>
      <c r="E8926" s="18" t="s">
        <v>0</v>
      </c>
      <c r="F8926" s="6">
        <v>1</v>
      </c>
      <c r="G8926" s="40">
        <v>10</v>
      </c>
      <c r="H8926" s="40">
        <v>19.441200000000002</v>
      </c>
      <c r="I8926" s="212"/>
      <c r="J8926" s="212"/>
    </row>
    <row r="8927" spans="1:10" s="15" customFormat="1" ht="18" hidden="1" customHeight="1" outlineLevel="1" x14ac:dyDescent="0.25">
      <c r="A8927" s="18">
        <v>6052</v>
      </c>
      <c r="B8927" s="4" t="s">
        <v>43</v>
      </c>
      <c r="C8927" s="38" t="s">
        <v>11370</v>
      </c>
      <c r="D8927" s="23">
        <v>2023</v>
      </c>
      <c r="E8927" s="18" t="s">
        <v>0</v>
      </c>
      <c r="F8927" s="6">
        <v>1</v>
      </c>
      <c r="G8927" s="40">
        <v>11</v>
      </c>
      <c r="H8927" s="40">
        <v>18.631910000000001</v>
      </c>
      <c r="I8927" s="212"/>
      <c r="J8927" s="212"/>
    </row>
    <row r="8928" spans="1:10" s="15" customFormat="1" ht="18" hidden="1" customHeight="1" outlineLevel="1" x14ac:dyDescent="0.25">
      <c r="A8928" s="18">
        <v>6053</v>
      </c>
      <c r="B8928" s="4" t="s">
        <v>43</v>
      </c>
      <c r="C8928" s="38" t="s">
        <v>11371</v>
      </c>
      <c r="D8928" s="23">
        <v>2023</v>
      </c>
      <c r="E8928" s="18" t="s">
        <v>0</v>
      </c>
      <c r="F8928" s="6">
        <v>1</v>
      </c>
      <c r="G8928" s="40">
        <v>10</v>
      </c>
      <c r="H8928" s="40">
        <v>18.242229999999999</v>
      </c>
      <c r="I8928" s="212"/>
      <c r="J8928" s="212"/>
    </row>
    <row r="8929" spans="1:10" s="15" customFormat="1" ht="18" hidden="1" customHeight="1" outlineLevel="1" x14ac:dyDescent="0.25">
      <c r="A8929" s="18">
        <v>6054</v>
      </c>
      <c r="B8929" s="4" t="s">
        <v>43</v>
      </c>
      <c r="C8929" s="38" t="s">
        <v>11372</v>
      </c>
      <c r="D8929" s="23">
        <v>2023</v>
      </c>
      <c r="E8929" s="18" t="s">
        <v>0</v>
      </c>
      <c r="F8929" s="6">
        <v>1</v>
      </c>
      <c r="G8929" s="40">
        <v>5</v>
      </c>
      <c r="H8929" s="40">
        <v>18.242229999999999</v>
      </c>
      <c r="I8929" s="212"/>
      <c r="J8929" s="212"/>
    </row>
    <row r="8930" spans="1:10" s="15" customFormat="1" ht="18" hidden="1" customHeight="1" outlineLevel="1" x14ac:dyDescent="0.25">
      <c r="A8930" s="18">
        <v>6055</v>
      </c>
      <c r="B8930" s="4" t="s">
        <v>43</v>
      </c>
      <c r="C8930" s="38" t="s">
        <v>11373</v>
      </c>
      <c r="D8930" s="23">
        <v>2023</v>
      </c>
      <c r="E8930" s="18" t="s">
        <v>0</v>
      </c>
      <c r="F8930" s="6">
        <v>1</v>
      </c>
      <c r="G8930" s="40">
        <v>5</v>
      </c>
      <c r="H8930" s="40">
        <v>18.242229999999999</v>
      </c>
      <c r="I8930" s="212"/>
      <c r="J8930" s="212"/>
    </row>
    <row r="8931" spans="1:10" s="15" customFormat="1" ht="18" hidden="1" customHeight="1" outlineLevel="1" x14ac:dyDescent="0.25">
      <c r="A8931" s="18">
        <v>6056</v>
      </c>
      <c r="B8931" s="4" t="s">
        <v>43</v>
      </c>
      <c r="C8931" s="38" t="s">
        <v>11374</v>
      </c>
      <c r="D8931" s="23">
        <v>2023</v>
      </c>
      <c r="E8931" s="18" t="s">
        <v>0</v>
      </c>
      <c r="F8931" s="6">
        <v>1</v>
      </c>
      <c r="G8931" s="40">
        <v>5</v>
      </c>
      <c r="H8931" s="40">
        <v>18.242229999999999</v>
      </c>
      <c r="I8931" s="212"/>
      <c r="J8931" s="212"/>
    </row>
    <row r="8932" spans="1:10" s="15" customFormat="1" ht="18" hidden="1" customHeight="1" outlineLevel="1" x14ac:dyDescent="0.25">
      <c r="A8932" s="18">
        <v>6058</v>
      </c>
      <c r="B8932" s="4" t="s">
        <v>43</v>
      </c>
      <c r="C8932" s="38" t="s">
        <v>11375</v>
      </c>
      <c r="D8932" s="23">
        <v>2023</v>
      </c>
      <c r="E8932" s="18" t="s">
        <v>0</v>
      </c>
      <c r="F8932" s="6">
        <v>1</v>
      </c>
      <c r="G8932" s="40">
        <v>10</v>
      </c>
      <c r="H8932" s="40">
        <v>19.051470000000002</v>
      </c>
      <c r="I8932" s="212"/>
      <c r="J8932" s="212"/>
    </row>
    <row r="8933" spans="1:10" s="15" customFormat="1" ht="18" hidden="1" customHeight="1" outlineLevel="1" x14ac:dyDescent="0.25">
      <c r="A8933" s="18">
        <v>2311</v>
      </c>
      <c r="B8933" s="4" t="s">
        <v>43</v>
      </c>
      <c r="C8933" s="38" t="s">
        <v>11376</v>
      </c>
      <c r="D8933" s="23">
        <v>2023</v>
      </c>
      <c r="E8933" s="18" t="s">
        <v>0</v>
      </c>
      <c r="F8933" s="6">
        <v>1</v>
      </c>
      <c r="G8933" s="40">
        <v>7</v>
      </c>
      <c r="H8933" s="40">
        <v>19.051479999999998</v>
      </c>
      <c r="I8933" s="212"/>
      <c r="J8933" s="212"/>
    </row>
    <row r="8934" spans="1:10" s="15" customFormat="1" ht="18" hidden="1" customHeight="1" outlineLevel="1" x14ac:dyDescent="0.25">
      <c r="A8934" s="18">
        <v>6059</v>
      </c>
      <c r="B8934" s="4" t="s">
        <v>43</v>
      </c>
      <c r="C8934" s="38" t="s">
        <v>11377</v>
      </c>
      <c r="D8934" s="23">
        <v>2023</v>
      </c>
      <c r="E8934" s="18" t="s">
        <v>0</v>
      </c>
      <c r="F8934" s="6">
        <v>1</v>
      </c>
      <c r="G8934" s="40">
        <v>10</v>
      </c>
      <c r="H8934" s="40">
        <v>19.051479999999998</v>
      </c>
      <c r="I8934" s="212"/>
      <c r="J8934" s="212"/>
    </row>
    <row r="8935" spans="1:10" s="15" customFormat="1" ht="18" hidden="1" customHeight="1" outlineLevel="1" x14ac:dyDescent="0.25">
      <c r="A8935" s="18">
        <v>6060</v>
      </c>
      <c r="B8935" s="4" t="s">
        <v>43</v>
      </c>
      <c r="C8935" s="38" t="s">
        <v>11378</v>
      </c>
      <c r="D8935" s="23">
        <v>2023</v>
      </c>
      <c r="E8935" s="18" t="s">
        <v>0</v>
      </c>
      <c r="F8935" s="6">
        <v>1</v>
      </c>
      <c r="G8935" s="40">
        <v>6</v>
      </c>
      <c r="H8935" s="40">
        <v>21.654029999999999</v>
      </c>
      <c r="I8935" s="212"/>
      <c r="J8935" s="212"/>
    </row>
    <row r="8936" spans="1:10" s="15" customFormat="1" ht="18" hidden="1" customHeight="1" outlineLevel="1" x14ac:dyDescent="0.25">
      <c r="A8936" s="18">
        <v>2623</v>
      </c>
      <c r="B8936" s="4" t="s">
        <v>43</v>
      </c>
      <c r="C8936" s="38" t="s">
        <v>11379</v>
      </c>
      <c r="D8936" s="23">
        <v>2023</v>
      </c>
      <c r="E8936" s="18" t="s">
        <v>0</v>
      </c>
      <c r="F8936" s="6">
        <v>1</v>
      </c>
      <c r="G8936" s="40">
        <v>5</v>
      </c>
      <c r="H8936" s="40">
        <v>24.285779999999999</v>
      </c>
      <c r="I8936" s="212"/>
      <c r="J8936" s="212"/>
    </row>
    <row r="8937" spans="1:10" s="15" customFormat="1" ht="18" hidden="1" customHeight="1" outlineLevel="1" x14ac:dyDescent="0.25">
      <c r="A8937" s="18">
        <v>2318</v>
      </c>
      <c r="B8937" s="4" t="s">
        <v>43</v>
      </c>
      <c r="C8937" s="38" t="s">
        <v>11380</v>
      </c>
      <c r="D8937" s="23">
        <v>2023</v>
      </c>
      <c r="E8937" s="18" t="s">
        <v>0</v>
      </c>
      <c r="F8937" s="6">
        <v>1</v>
      </c>
      <c r="G8937" s="40">
        <v>5</v>
      </c>
      <c r="H8937" s="40">
        <v>24.285779999999999</v>
      </c>
      <c r="I8937" s="212"/>
      <c r="J8937" s="212"/>
    </row>
    <row r="8938" spans="1:10" s="15" customFormat="1" ht="18" hidden="1" customHeight="1" outlineLevel="1" x14ac:dyDescent="0.25">
      <c r="A8938" s="18">
        <v>2281</v>
      </c>
      <c r="B8938" s="4" t="s">
        <v>43</v>
      </c>
      <c r="C8938" s="38" t="s">
        <v>11381</v>
      </c>
      <c r="D8938" s="23">
        <v>2023</v>
      </c>
      <c r="E8938" s="18" t="s">
        <v>0</v>
      </c>
      <c r="F8938" s="6">
        <v>1</v>
      </c>
      <c r="G8938" s="40">
        <v>5</v>
      </c>
      <c r="H8938" s="40">
        <v>24.28576</v>
      </c>
      <c r="I8938" s="212"/>
      <c r="J8938" s="212"/>
    </row>
    <row r="8939" spans="1:10" s="15" customFormat="1" ht="18" hidden="1" customHeight="1" outlineLevel="1" x14ac:dyDescent="0.25">
      <c r="A8939" s="18">
        <v>2328</v>
      </c>
      <c r="B8939" s="4" t="s">
        <v>43</v>
      </c>
      <c r="C8939" s="38" t="s">
        <v>11382</v>
      </c>
      <c r="D8939" s="23">
        <v>2023</v>
      </c>
      <c r="E8939" s="18" t="s">
        <v>0</v>
      </c>
      <c r="F8939" s="6">
        <v>1</v>
      </c>
      <c r="G8939" s="40">
        <v>5</v>
      </c>
      <c r="H8939" s="40">
        <v>24.285779999999999</v>
      </c>
      <c r="I8939" s="212"/>
      <c r="J8939" s="212"/>
    </row>
    <row r="8940" spans="1:10" s="15" customFormat="1" ht="18" hidden="1" customHeight="1" outlineLevel="1" x14ac:dyDescent="0.25">
      <c r="A8940" s="18">
        <v>6064</v>
      </c>
      <c r="B8940" s="4" t="s">
        <v>43</v>
      </c>
      <c r="C8940" s="38" t="s">
        <v>11383</v>
      </c>
      <c r="D8940" s="23">
        <v>2023</v>
      </c>
      <c r="E8940" s="18" t="s">
        <v>0</v>
      </c>
      <c r="F8940" s="6">
        <v>1</v>
      </c>
      <c r="G8940" s="40">
        <v>10</v>
      </c>
      <c r="H8940" s="40">
        <v>18.560419999999997</v>
      </c>
      <c r="I8940" s="212"/>
      <c r="J8940" s="212"/>
    </row>
    <row r="8941" spans="1:10" s="15" customFormat="1" ht="18" hidden="1" customHeight="1" outlineLevel="1" x14ac:dyDescent="0.25">
      <c r="A8941" s="18">
        <v>6065</v>
      </c>
      <c r="B8941" s="4" t="s">
        <v>43</v>
      </c>
      <c r="C8941" s="38" t="s">
        <v>11384</v>
      </c>
      <c r="D8941" s="23">
        <v>2023</v>
      </c>
      <c r="E8941" s="18" t="s">
        <v>0</v>
      </c>
      <c r="F8941" s="6">
        <v>1</v>
      </c>
      <c r="G8941" s="40">
        <v>6</v>
      </c>
      <c r="H8941" s="40">
        <v>18.560419999999997</v>
      </c>
      <c r="I8941" s="212"/>
      <c r="J8941" s="212"/>
    </row>
    <row r="8942" spans="1:10" s="15" customFormat="1" ht="18" hidden="1" customHeight="1" outlineLevel="1" x14ac:dyDescent="0.25">
      <c r="A8942" s="18">
        <v>6066</v>
      </c>
      <c r="B8942" s="4" t="s">
        <v>43</v>
      </c>
      <c r="C8942" s="38" t="s">
        <v>11385</v>
      </c>
      <c r="D8942" s="23">
        <v>2023</v>
      </c>
      <c r="E8942" s="18" t="s">
        <v>0</v>
      </c>
      <c r="F8942" s="6">
        <v>1</v>
      </c>
      <c r="G8942" s="40">
        <v>5</v>
      </c>
      <c r="H8942" s="40">
        <v>18.381889999999999</v>
      </c>
      <c r="I8942" s="212"/>
      <c r="J8942" s="212"/>
    </row>
    <row r="8943" spans="1:10" s="15" customFormat="1" ht="18" hidden="1" customHeight="1" outlineLevel="1" x14ac:dyDescent="0.25">
      <c r="A8943" s="18">
        <v>6067</v>
      </c>
      <c r="B8943" s="4" t="s">
        <v>43</v>
      </c>
      <c r="C8943" s="38" t="s">
        <v>11386</v>
      </c>
      <c r="D8943" s="23">
        <v>2023</v>
      </c>
      <c r="E8943" s="18" t="s">
        <v>0</v>
      </c>
      <c r="F8943" s="6">
        <v>1</v>
      </c>
      <c r="G8943" s="40">
        <v>5</v>
      </c>
      <c r="H8943" s="40">
        <v>18.381889999999999</v>
      </c>
      <c r="I8943" s="212"/>
      <c r="J8943" s="212"/>
    </row>
    <row r="8944" spans="1:10" s="15" customFormat="1" ht="18" hidden="1" customHeight="1" outlineLevel="1" x14ac:dyDescent="0.25">
      <c r="A8944" s="18">
        <v>6068</v>
      </c>
      <c r="B8944" s="4" t="s">
        <v>43</v>
      </c>
      <c r="C8944" s="38" t="s">
        <v>11387</v>
      </c>
      <c r="D8944" s="23">
        <v>2023</v>
      </c>
      <c r="E8944" s="18" t="s">
        <v>0</v>
      </c>
      <c r="F8944" s="6">
        <v>1</v>
      </c>
      <c r="G8944" s="40">
        <v>5</v>
      </c>
      <c r="H8944" s="40">
        <v>19.967420000000001</v>
      </c>
      <c r="I8944" s="212"/>
      <c r="J8944" s="212"/>
    </row>
    <row r="8945" spans="1:10" s="15" customFormat="1" ht="18" hidden="1" customHeight="1" outlineLevel="1" x14ac:dyDescent="0.25">
      <c r="A8945" s="18">
        <v>6069</v>
      </c>
      <c r="B8945" s="4" t="s">
        <v>43</v>
      </c>
      <c r="C8945" s="38" t="s">
        <v>11388</v>
      </c>
      <c r="D8945" s="23">
        <v>2023</v>
      </c>
      <c r="E8945" s="18" t="s">
        <v>0</v>
      </c>
      <c r="F8945" s="6">
        <v>1</v>
      </c>
      <c r="G8945" s="40">
        <v>5</v>
      </c>
      <c r="H8945" s="40">
        <v>18.345929999999999</v>
      </c>
      <c r="I8945" s="212"/>
      <c r="J8945" s="212"/>
    </row>
    <row r="8946" spans="1:10" s="15" customFormat="1" ht="18" hidden="1" customHeight="1" outlineLevel="1" x14ac:dyDescent="0.25">
      <c r="A8946" s="18">
        <v>6070</v>
      </c>
      <c r="B8946" s="4" t="s">
        <v>43</v>
      </c>
      <c r="C8946" s="38" t="s">
        <v>11389</v>
      </c>
      <c r="D8946" s="23">
        <v>2023</v>
      </c>
      <c r="E8946" s="18" t="s">
        <v>0</v>
      </c>
      <c r="F8946" s="6">
        <v>1</v>
      </c>
      <c r="G8946" s="40">
        <v>5</v>
      </c>
      <c r="H8946" s="40">
        <v>18.345929999999999</v>
      </c>
      <c r="I8946" s="212"/>
      <c r="J8946" s="212"/>
    </row>
    <row r="8947" spans="1:10" s="15" customFormat="1" ht="18" hidden="1" customHeight="1" outlineLevel="1" x14ac:dyDescent="0.25">
      <c r="A8947" s="18">
        <v>6071</v>
      </c>
      <c r="B8947" s="4" t="s">
        <v>43</v>
      </c>
      <c r="C8947" s="38" t="s">
        <v>11390</v>
      </c>
      <c r="D8947" s="23">
        <v>2023</v>
      </c>
      <c r="E8947" s="18" t="s">
        <v>0</v>
      </c>
      <c r="F8947" s="6">
        <v>1</v>
      </c>
      <c r="G8947" s="40">
        <v>5</v>
      </c>
      <c r="H8947" s="40">
        <v>18.345929999999999</v>
      </c>
      <c r="I8947" s="212"/>
      <c r="J8947" s="212"/>
    </row>
    <row r="8948" spans="1:10" s="15" customFormat="1" ht="18" hidden="1" customHeight="1" outlineLevel="1" x14ac:dyDescent="0.25">
      <c r="A8948" s="18">
        <v>6072</v>
      </c>
      <c r="B8948" s="4" t="s">
        <v>43</v>
      </c>
      <c r="C8948" s="38" t="s">
        <v>11391</v>
      </c>
      <c r="D8948" s="23">
        <v>2023</v>
      </c>
      <c r="E8948" s="18" t="s">
        <v>0</v>
      </c>
      <c r="F8948" s="6">
        <v>1</v>
      </c>
      <c r="G8948" s="40">
        <v>5</v>
      </c>
      <c r="H8948" s="40">
        <v>18.438580000000002</v>
      </c>
      <c r="I8948" s="212"/>
      <c r="J8948" s="212"/>
    </row>
    <row r="8949" spans="1:10" s="15" customFormat="1" ht="18" hidden="1" customHeight="1" outlineLevel="1" x14ac:dyDescent="0.25">
      <c r="A8949" s="18">
        <v>6073</v>
      </c>
      <c r="B8949" s="4" t="s">
        <v>43</v>
      </c>
      <c r="C8949" s="38" t="s">
        <v>11392</v>
      </c>
      <c r="D8949" s="23">
        <v>2023</v>
      </c>
      <c r="E8949" s="18" t="s">
        <v>0</v>
      </c>
      <c r="F8949" s="6">
        <v>1</v>
      </c>
      <c r="G8949" s="40">
        <v>5</v>
      </c>
      <c r="H8949" s="40">
        <v>18.438580000000002</v>
      </c>
      <c r="I8949" s="212"/>
      <c r="J8949" s="212"/>
    </row>
    <row r="8950" spans="1:10" s="15" customFormat="1" ht="18" hidden="1" customHeight="1" outlineLevel="1" x14ac:dyDescent="0.25">
      <c r="A8950" s="18">
        <v>6074</v>
      </c>
      <c r="B8950" s="4" t="s">
        <v>43</v>
      </c>
      <c r="C8950" s="38" t="s">
        <v>11393</v>
      </c>
      <c r="D8950" s="23">
        <v>2023</v>
      </c>
      <c r="E8950" s="18" t="s">
        <v>0</v>
      </c>
      <c r="F8950" s="6">
        <v>1</v>
      </c>
      <c r="G8950" s="40">
        <v>5</v>
      </c>
      <c r="H8950" s="40">
        <v>18.438580000000002</v>
      </c>
      <c r="I8950" s="212"/>
      <c r="J8950" s="212"/>
    </row>
    <row r="8951" spans="1:10" s="15" customFormat="1" ht="18" hidden="1" customHeight="1" outlineLevel="1" x14ac:dyDescent="0.25">
      <c r="A8951" s="18">
        <v>6075</v>
      </c>
      <c r="B8951" s="4" t="s">
        <v>43</v>
      </c>
      <c r="C8951" s="38" t="s">
        <v>11394</v>
      </c>
      <c r="D8951" s="23">
        <v>2023</v>
      </c>
      <c r="E8951" s="18" t="s">
        <v>0</v>
      </c>
      <c r="F8951" s="6">
        <v>1</v>
      </c>
      <c r="G8951" s="40">
        <v>5</v>
      </c>
      <c r="H8951" s="40">
        <v>18.438580000000002</v>
      </c>
      <c r="I8951" s="212"/>
      <c r="J8951" s="212"/>
    </row>
    <row r="8952" spans="1:10" s="15" customFormat="1" ht="18" hidden="1" customHeight="1" outlineLevel="1" x14ac:dyDescent="0.25">
      <c r="A8952" s="18">
        <v>6076</v>
      </c>
      <c r="B8952" s="4" t="s">
        <v>43</v>
      </c>
      <c r="C8952" s="38" t="s">
        <v>11395</v>
      </c>
      <c r="D8952" s="23">
        <v>2023</v>
      </c>
      <c r="E8952" s="18" t="s">
        <v>0</v>
      </c>
      <c r="F8952" s="6">
        <v>1</v>
      </c>
      <c r="G8952" s="40">
        <v>5</v>
      </c>
      <c r="H8952" s="40">
        <v>18.438580000000002</v>
      </c>
      <c r="I8952" s="212"/>
      <c r="J8952" s="212"/>
    </row>
    <row r="8953" spans="1:10" s="15" customFormat="1" ht="18" hidden="1" customHeight="1" outlineLevel="1" x14ac:dyDescent="0.25">
      <c r="A8953" s="18">
        <v>6077</v>
      </c>
      <c r="B8953" s="4" t="s">
        <v>43</v>
      </c>
      <c r="C8953" s="38" t="s">
        <v>11396</v>
      </c>
      <c r="D8953" s="23">
        <v>2023</v>
      </c>
      <c r="E8953" s="18" t="s">
        <v>0</v>
      </c>
      <c r="F8953" s="6">
        <v>1</v>
      </c>
      <c r="G8953" s="40">
        <v>5</v>
      </c>
      <c r="H8953" s="40">
        <v>18.438580000000002</v>
      </c>
      <c r="I8953" s="212"/>
      <c r="J8953" s="212"/>
    </row>
    <row r="8954" spans="1:10" s="15" customFormat="1" ht="18" hidden="1" customHeight="1" outlineLevel="1" x14ac:dyDescent="0.25">
      <c r="A8954" s="18">
        <v>6078</v>
      </c>
      <c r="B8954" s="4" t="s">
        <v>43</v>
      </c>
      <c r="C8954" s="38" t="s">
        <v>11397</v>
      </c>
      <c r="D8954" s="23">
        <v>2023</v>
      </c>
      <c r="E8954" s="18" t="s">
        <v>0</v>
      </c>
      <c r="F8954" s="6">
        <v>1</v>
      </c>
      <c r="G8954" s="40">
        <v>5</v>
      </c>
      <c r="H8954" s="40">
        <v>18.438580000000002</v>
      </c>
      <c r="I8954" s="212"/>
      <c r="J8954" s="212"/>
    </row>
    <row r="8955" spans="1:10" s="15" customFormat="1" ht="18" hidden="1" customHeight="1" outlineLevel="1" x14ac:dyDescent="0.25">
      <c r="A8955" s="18">
        <v>6079</v>
      </c>
      <c r="B8955" s="4" t="s">
        <v>43</v>
      </c>
      <c r="C8955" s="38" t="s">
        <v>11398</v>
      </c>
      <c r="D8955" s="23">
        <v>2023</v>
      </c>
      <c r="E8955" s="18" t="s">
        <v>0</v>
      </c>
      <c r="F8955" s="6">
        <v>1</v>
      </c>
      <c r="G8955" s="40">
        <v>5</v>
      </c>
      <c r="H8955" s="40">
        <v>11.54698</v>
      </c>
      <c r="I8955" s="212"/>
      <c r="J8955" s="212"/>
    </row>
    <row r="8956" spans="1:10" s="15" customFormat="1" ht="18" hidden="1" customHeight="1" outlineLevel="1" x14ac:dyDescent="0.25">
      <c r="A8956" s="18">
        <v>2320</v>
      </c>
      <c r="B8956" s="4" t="s">
        <v>43</v>
      </c>
      <c r="C8956" s="38" t="s">
        <v>11399</v>
      </c>
      <c r="D8956" s="23">
        <v>2023</v>
      </c>
      <c r="E8956" s="18" t="s">
        <v>0</v>
      </c>
      <c r="F8956" s="6">
        <v>1</v>
      </c>
      <c r="G8956" s="40">
        <v>5</v>
      </c>
      <c r="H8956" s="40">
        <v>11.54698</v>
      </c>
      <c r="I8956" s="212"/>
      <c r="J8956" s="212"/>
    </row>
    <row r="8957" spans="1:10" s="15" customFormat="1" ht="18" hidden="1" customHeight="1" outlineLevel="1" x14ac:dyDescent="0.25">
      <c r="A8957" s="18">
        <v>2317</v>
      </c>
      <c r="B8957" s="4" t="s">
        <v>43</v>
      </c>
      <c r="C8957" s="38" t="s">
        <v>11400</v>
      </c>
      <c r="D8957" s="23">
        <v>2023</v>
      </c>
      <c r="E8957" s="18" t="s">
        <v>0</v>
      </c>
      <c r="F8957" s="6">
        <v>1</v>
      </c>
      <c r="G8957" s="40">
        <v>5</v>
      </c>
      <c r="H8957" s="40">
        <v>11.54698</v>
      </c>
      <c r="I8957" s="212"/>
      <c r="J8957" s="212"/>
    </row>
    <row r="8958" spans="1:10" s="15" customFormat="1" ht="18" hidden="1" customHeight="1" outlineLevel="1" x14ac:dyDescent="0.25">
      <c r="A8958" s="18">
        <v>6080</v>
      </c>
      <c r="B8958" s="4" t="s">
        <v>43</v>
      </c>
      <c r="C8958" s="38" t="s">
        <v>11401</v>
      </c>
      <c r="D8958" s="23">
        <v>2023</v>
      </c>
      <c r="E8958" s="18" t="s">
        <v>0</v>
      </c>
      <c r="F8958" s="6">
        <v>1</v>
      </c>
      <c r="G8958" s="40">
        <v>8</v>
      </c>
      <c r="H8958" s="40">
        <v>11.685959999999998</v>
      </c>
      <c r="I8958" s="212"/>
      <c r="J8958" s="212"/>
    </row>
    <row r="8959" spans="1:10" s="15" customFormat="1" ht="18" hidden="1" customHeight="1" outlineLevel="1" x14ac:dyDescent="0.25">
      <c r="A8959" s="18">
        <v>2333</v>
      </c>
      <c r="B8959" s="4" t="s">
        <v>43</v>
      </c>
      <c r="C8959" s="38" t="s">
        <v>11402</v>
      </c>
      <c r="D8959" s="23">
        <v>2023</v>
      </c>
      <c r="E8959" s="18" t="s">
        <v>0</v>
      </c>
      <c r="F8959" s="6">
        <v>1</v>
      </c>
      <c r="G8959" s="40">
        <v>5</v>
      </c>
      <c r="H8959" s="40">
        <v>11.361700000000001</v>
      </c>
      <c r="I8959" s="212"/>
      <c r="J8959" s="212"/>
    </row>
    <row r="8960" spans="1:10" s="15" customFormat="1" ht="18" hidden="1" customHeight="1" outlineLevel="1" x14ac:dyDescent="0.25">
      <c r="A8960" s="18">
        <v>2315</v>
      </c>
      <c r="B8960" s="4" t="s">
        <v>43</v>
      </c>
      <c r="C8960" s="38" t="s">
        <v>11403</v>
      </c>
      <c r="D8960" s="23">
        <v>2023</v>
      </c>
      <c r="E8960" s="18" t="s">
        <v>0</v>
      </c>
      <c r="F8960" s="6">
        <v>1</v>
      </c>
      <c r="G8960" s="40">
        <v>5</v>
      </c>
      <c r="H8960" s="40">
        <v>11.361700000000001</v>
      </c>
      <c r="I8960" s="212"/>
      <c r="J8960" s="212"/>
    </row>
    <row r="8961" spans="1:10" s="15" customFormat="1" ht="18" hidden="1" customHeight="1" outlineLevel="1" x14ac:dyDescent="0.25">
      <c r="A8961" s="18">
        <v>2307</v>
      </c>
      <c r="B8961" s="4" t="s">
        <v>43</v>
      </c>
      <c r="C8961" s="38" t="s">
        <v>11404</v>
      </c>
      <c r="D8961" s="23">
        <v>2023</v>
      </c>
      <c r="E8961" s="18" t="s">
        <v>0</v>
      </c>
      <c r="F8961" s="6">
        <v>1</v>
      </c>
      <c r="G8961" s="40">
        <v>5</v>
      </c>
      <c r="H8961" s="40">
        <v>11.361700000000001</v>
      </c>
      <c r="I8961" s="212"/>
      <c r="J8961" s="212"/>
    </row>
    <row r="8962" spans="1:10" s="15" customFormat="1" ht="18" hidden="1" customHeight="1" outlineLevel="1" x14ac:dyDescent="0.25">
      <c r="A8962" s="18">
        <v>2321</v>
      </c>
      <c r="B8962" s="4" t="s">
        <v>43</v>
      </c>
      <c r="C8962" s="38" t="s">
        <v>11405</v>
      </c>
      <c r="D8962" s="23">
        <v>2023</v>
      </c>
      <c r="E8962" s="18" t="s">
        <v>0</v>
      </c>
      <c r="F8962" s="6">
        <v>1</v>
      </c>
      <c r="G8962" s="40">
        <v>5</v>
      </c>
      <c r="H8962" s="40">
        <v>11.361700000000001</v>
      </c>
      <c r="I8962" s="212"/>
      <c r="J8962" s="212"/>
    </row>
    <row r="8963" spans="1:10" s="15" customFormat="1" ht="18" hidden="1" customHeight="1" outlineLevel="1" x14ac:dyDescent="0.25">
      <c r="A8963" s="18">
        <v>2321</v>
      </c>
      <c r="B8963" s="4" t="s">
        <v>43</v>
      </c>
      <c r="C8963" s="38" t="s">
        <v>11406</v>
      </c>
      <c r="D8963" s="23">
        <v>2023</v>
      </c>
      <c r="E8963" s="18" t="s">
        <v>0</v>
      </c>
      <c r="F8963" s="6">
        <v>1</v>
      </c>
      <c r="G8963" s="40">
        <v>5</v>
      </c>
      <c r="H8963" s="40">
        <v>11.361700000000001</v>
      </c>
      <c r="I8963" s="212"/>
      <c r="J8963" s="212"/>
    </row>
    <row r="8964" spans="1:10" s="15" customFormat="1" ht="18" hidden="1" customHeight="1" outlineLevel="1" x14ac:dyDescent="0.25">
      <c r="A8964" s="18">
        <v>2327</v>
      </c>
      <c r="B8964" s="4" t="s">
        <v>43</v>
      </c>
      <c r="C8964" s="38" t="s">
        <v>11407</v>
      </c>
      <c r="D8964" s="23">
        <v>2023</v>
      </c>
      <c r="E8964" s="18" t="s">
        <v>0</v>
      </c>
      <c r="F8964" s="6">
        <v>1</v>
      </c>
      <c r="G8964" s="40">
        <v>5</v>
      </c>
      <c r="H8964" s="40">
        <v>11.361700000000001</v>
      </c>
      <c r="I8964" s="212"/>
      <c r="J8964" s="212"/>
    </row>
    <row r="8965" spans="1:10" s="15" customFormat="1" ht="18" hidden="1" customHeight="1" outlineLevel="1" x14ac:dyDescent="0.25">
      <c r="A8965" s="18">
        <v>6081</v>
      </c>
      <c r="B8965" s="4" t="s">
        <v>43</v>
      </c>
      <c r="C8965" s="38" t="s">
        <v>11408</v>
      </c>
      <c r="D8965" s="23">
        <v>2023</v>
      </c>
      <c r="E8965" s="18" t="s">
        <v>0</v>
      </c>
      <c r="F8965" s="6">
        <v>1</v>
      </c>
      <c r="G8965" s="40">
        <v>10</v>
      </c>
      <c r="H8965" s="40">
        <v>11.361700000000001</v>
      </c>
      <c r="I8965" s="212"/>
      <c r="J8965" s="212"/>
    </row>
    <row r="8966" spans="1:10" s="15" customFormat="1" ht="18" hidden="1" customHeight="1" outlineLevel="1" x14ac:dyDescent="0.25">
      <c r="A8966" s="18">
        <v>2326</v>
      </c>
      <c r="B8966" s="4" t="s">
        <v>43</v>
      </c>
      <c r="C8966" s="38" t="s">
        <v>11409</v>
      </c>
      <c r="D8966" s="23">
        <v>2023</v>
      </c>
      <c r="E8966" s="18" t="s">
        <v>0</v>
      </c>
      <c r="F8966" s="6">
        <v>1</v>
      </c>
      <c r="G8966" s="40">
        <v>5</v>
      </c>
      <c r="H8966" s="40">
        <v>11.361700000000001</v>
      </c>
      <c r="I8966" s="212"/>
      <c r="J8966" s="212"/>
    </row>
    <row r="8967" spans="1:10" s="15" customFormat="1" ht="18" hidden="1" customHeight="1" outlineLevel="1" x14ac:dyDescent="0.25">
      <c r="A8967" s="18">
        <v>2277</v>
      </c>
      <c r="B8967" s="4" t="s">
        <v>43</v>
      </c>
      <c r="C8967" s="38" t="s">
        <v>11410</v>
      </c>
      <c r="D8967" s="23">
        <v>2023</v>
      </c>
      <c r="E8967" s="18" t="s">
        <v>0</v>
      </c>
      <c r="F8967" s="6">
        <v>1</v>
      </c>
      <c r="G8967" s="40">
        <v>5</v>
      </c>
      <c r="H8967" s="40">
        <v>11.361700000000001</v>
      </c>
      <c r="I8967" s="212"/>
      <c r="J8967" s="212"/>
    </row>
    <row r="8968" spans="1:10" s="15" customFormat="1" ht="18" hidden="1" customHeight="1" outlineLevel="1" x14ac:dyDescent="0.25">
      <c r="A8968" s="18">
        <v>2279</v>
      </c>
      <c r="B8968" s="4" t="s">
        <v>43</v>
      </c>
      <c r="C8968" s="38" t="s">
        <v>11411</v>
      </c>
      <c r="D8968" s="23">
        <v>2023</v>
      </c>
      <c r="E8968" s="18" t="s">
        <v>0</v>
      </c>
      <c r="F8968" s="6">
        <v>1</v>
      </c>
      <c r="G8968" s="40">
        <v>5</v>
      </c>
      <c r="H8968" s="40">
        <v>11.361700000000001</v>
      </c>
      <c r="I8968" s="212"/>
      <c r="J8968" s="212"/>
    </row>
    <row r="8969" spans="1:10" s="15" customFormat="1" ht="18" hidden="1" customHeight="1" outlineLevel="1" x14ac:dyDescent="0.25">
      <c r="A8969" s="18">
        <v>2305</v>
      </c>
      <c r="B8969" s="4" t="s">
        <v>43</v>
      </c>
      <c r="C8969" s="38" t="s">
        <v>11412</v>
      </c>
      <c r="D8969" s="23">
        <v>2023</v>
      </c>
      <c r="E8969" s="18" t="s">
        <v>0</v>
      </c>
      <c r="F8969" s="6">
        <v>1</v>
      </c>
      <c r="G8969" s="40">
        <v>5</v>
      </c>
      <c r="H8969" s="40">
        <v>11.361700000000001</v>
      </c>
      <c r="I8969" s="212"/>
      <c r="J8969" s="212"/>
    </row>
    <row r="8970" spans="1:10" s="15" customFormat="1" ht="18" hidden="1" customHeight="1" outlineLevel="1" x14ac:dyDescent="0.25">
      <c r="A8970" s="18">
        <v>6082</v>
      </c>
      <c r="B8970" s="4" t="s">
        <v>43</v>
      </c>
      <c r="C8970" s="38" t="s">
        <v>11413</v>
      </c>
      <c r="D8970" s="23">
        <v>2023</v>
      </c>
      <c r="E8970" s="18" t="s">
        <v>0</v>
      </c>
      <c r="F8970" s="6">
        <v>1</v>
      </c>
      <c r="G8970" s="40">
        <v>5</v>
      </c>
      <c r="H8970" s="40">
        <v>11.366059999999999</v>
      </c>
      <c r="I8970" s="212"/>
      <c r="J8970" s="212"/>
    </row>
    <row r="8971" spans="1:10" s="15" customFormat="1" ht="18" hidden="1" customHeight="1" outlineLevel="1" x14ac:dyDescent="0.25">
      <c r="A8971" s="18">
        <v>6083</v>
      </c>
      <c r="B8971" s="4" t="s">
        <v>43</v>
      </c>
      <c r="C8971" s="38" t="s">
        <v>11414</v>
      </c>
      <c r="D8971" s="23">
        <v>2023</v>
      </c>
      <c r="E8971" s="18" t="s">
        <v>0</v>
      </c>
      <c r="F8971" s="6">
        <v>1</v>
      </c>
      <c r="G8971" s="40">
        <v>5</v>
      </c>
      <c r="H8971" s="40">
        <v>11.366059999999999</v>
      </c>
      <c r="I8971" s="212"/>
      <c r="J8971" s="212"/>
    </row>
    <row r="8972" spans="1:10" s="15" customFormat="1" ht="18" hidden="1" customHeight="1" outlineLevel="1" x14ac:dyDescent="0.25">
      <c r="A8972" s="18">
        <v>6084</v>
      </c>
      <c r="B8972" s="4" t="s">
        <v>43</v>
      </c>
      <c r="C8972" s="38" t="s">
        <v>11415</v>
      </c>
      <c r="D8972" s="23">
        <v>2023</v>
      </c>
      <c r="E8972" s="18" t="s">
        <v>0</v>
      </c>
      <c r="F8972" s="6">
        <v>1</v>
      </c>
      <c r="G8972" s="40">
        <v>5</v>
      </c>
      <c r="H8972" s="40">
        <v>11.366059999999999</v>
      </c>
      <c r="I8972" s="212"/>
      <c r="J8972" s="212"/>
    </row>
    <row r="8973" spans="1:10" s="15" customFormat="1" ht="18" hidden="1" customHeight="1" outlineLevel="1" x14ac:dyDescent="0.25">
      <c r="A8973" s="18">
        <v>6085</v>
      </c>
      <c r="B8973" s="4" t="s">
        <v>43</v>
      </c>
      <c r="C8973" s="38" t="s">
        <v>11416</v>
      </c>
      <c r="D8973" s="23">
        <v>2023</v>
      </c>
      <c r="E8973" s="18" t="s">
        <v>0</v>
      </c>
      <c r="F8973" s="6">
        <v>1</v>
      </c>
      <c r="G8973" s="40">
        <v>5</v>
      </c>
      <c r="H8973" s="40">
        <v>11.366059999999999</v>
      </c>
      <c r="I8973" s="212"/>
      <c r="J8973" s="212"/>
    </row>
    <row r="8974" spans="1:10" s="15" customFormat="1" ht="18" hidden="1" customHeight="1" outlineLevel="1" x14ac:dyDescent="0.25">
      <c r="A8974" s="18">
        <v>6086</v>
      </c>
      <c r="B8974" s="4" t="s">
        <v>43</v>
      </c>
      <c r="C8974" s="38" t="s">
        <v>11417</v>
      </c>
      <c r="D8974" s="23">
        <v>2023</v>
      </c>
      <c r="E8974" s="18" t="s">
        <v>0</v>
      </c>
      <c r="F8974" s="6">
        <v>1</v>
      </c>
      <c r="G8974" s="40">
        <v>5</v>
      </c>
      <c r="H8974" s="40">
        <v>11.41236</v>
      </c>
      <c r="I8974" s="212"/>
      <c r="J8974" s="212"/>
    </row>
    <row r="8975" spans="1:10" s="15" customFormat="1" ht="18" hidden="1" customHeight="1" outlineLevel="1" x14ac:dyDescent="0.25">
      <c r="A8975" s="18">
        <v>6087</v>
      </c>
      <c r="B8975" s="4" t="s">
        <v>43</v>
      </c>
      <c r="C8975" s="38" t="s">
        <v>11418</v>
      </c>
      <c r="D8975" s="23">
        <v>2023</v>
      </c>
      <c r="E8975" s="18" t="s">
        <v>0</v>
      </c>
      <c r="F8975" s="6">
        <v>1</v>
      </c>
      <c r="G8975" s="40">
        <v>5</v>
      </c>
      <c r="H8975" s="40">
        <v>11.366059999999999</v>
      </c>
      <c r="I8975" s="212"/>
      <c r="J8975" s="212"/>
    </row>
    <row r="8976" spans="1:10" s="15" customFormat="1" ht="18" hidden="1" customHeight="1" outlineLevel="1" x14ac:dyDescent="0.25">
      <c r="A8976" s="18">
        <v>6089</v>
      </c>
      <c r="B8976" s="4" t="s">
        <v>43</v>
      </c>
      <c r="C8976" s="38" t="s">
        <v>11419</v>
      </c>
      <c r="D8976" s="23">
        <v>2023</v>
      </c>
      <c r="E8976" s="18" t="s">
        <v>0</v>
      </c>
      <c r="F8976" s="6">
        <v>1</v>
      </c>
      <c r="G8976" s="40">
        <v>5</v>
      </c>
      <c r="H8976" s="40">
        <v>11.366059999999999</v>
      </c>
      <c r="I8976" s="212"/>
      <c r="J8976" s="212"/>
    </row>
    <row r="8977" spans="1:10" s="15" customFormat="1" ht="18" hidden="1" customHeight="1" outlineLevel="1" x14ac:dyDescent="0.25">
      <c r="A8977" s="18">
        <v>6090</v>
      </c>
      <c r="B8977" s="4" t="s">
        <v>43</v>
      </c>
      <c r="C8977" s="38" t="s">
        <v>11420</v>
      </c>
      <c r="D8977" s="23">
        <v>2023</v>
      </c>
      <c r="E8977" s="18" t="s">
        <v>0</v>
      </c>
      <c r="F8977" s="6">
        <v>1</v>
      </c>
      <c r="G8977" s="40">
        <v>5</v>
      </c>
      <c r="H8977" s="40">
        <v>11.366059999999999</v>
      </c>
      <c r="I8977" s="212"/>
      <c r="J8977" s="212"/>
    </row>
    <row r="8978" spans="1:10" s="15" customFormat="1" ht="18" hidden="1" customHeight="1" outlineLevel="1" x14ac:dyDescent="0.25">
      <c r="A8978" s="18">
        <v>6091</v>
      </c>
      <c r="B8978" s="4" t="s">
        <v>43</v>
      </c>
      <c r="C8978" s="38" t="s">
        <v>11421</v>
      </c>
      <c r="D8978" s="23">
        <v>2023</v>
      </c>
      <c r="E8978" s="18" t="s">
        <v>0</v>
      </c>
      <c r="F8978" s="6">
        <v>1</v>
      </c>
      <c r="G8978" s="40">
        <v>5</v>
      </c>
      <c r="H8978" s="40">
        <v>12.01464</v>
      </c>
      <c r="I8978" s="212"/>
      <c r="J8978" s="212"/>
    </row>
    <row r="8979" spans="1:10" s="15" customFormat="1" ht="18" hidden="1" customHeight="1" outlineLevel="1" x14ac:dyDescent="0.25">
      <c r="A8979" s="18">
        <v>6092</v>
      </c>
      <c r="B8979" s="4" t="s">
        <v>43</v>
      </c>
      <c r="C8979" s="38" t="s">
        <v>11422</v>
      </c>
      <c r="D8979" s="23">
        <v>2023</v>
      </c>
      <c r="E8979" s="18" t="s">
        <v>0</v>
      </c>
      <c r="F8979" s="6">
        <v>1</v>
      </c>
      <c r="G8979" s="40">
        <v>5</v>
      </c>
      <c r="H8979" s="40">
        <v>11.366059999999999</v>
      </c>
      <c r="I8979" s="212"/>
      <c r="J8979" s="212"/>
    </row>
    <row r="8980" spans="1:10" s="15" customFormat="1" ht="18" hidden="1" customHeight="1" outlineLevel="1" x14ac:dyDescent="0.25">
      <c r="A8980" s="18">
        <v>6093</v>
      </c>
      <c r="B8980" s="4" t="s">
        <v>43</v>
      </c>
      <c r="C8980" s="38" t="s">
        <v>11423</v>
      </c>
      <c r="D8980" s="23">
        <v>2023</v>
      </c>
      <c r="E8980" s="18" t="s">
        <v>0</v>
      </c>
      <c r="F8980" s="6">
        <v>1</v>
      </c>
      <c r="G8980" s="40">
        <v>10</v>
      </c>
      <c r="H8980" s="40">
        <v>11.69036</v>
      </c>
      <c r="I8980" s="212"/>
      <c r="J8980" s="212"/>
    </row>
    <row r="8981" spans="1:10" s="15" customFormat="1" ht="18" hidden="1" customHeight="1" outlineLevel="1" x14ac:dyDescent="0.25">
      <c r="A8981" s="18">
        <v>6094</v>
      </c>
      <c r="B8981" s="4" t="s">
        <v>43</v>
      </c>
      <c r="C8981" s="38" t="s">
        <v>11424</v>
      </c>
      <c r="D8981" s="23">
        <v>2023</v>
      </c>
      <c r="E8981" s="18" t="s">
        <v>0</v>
      </c>
      <c r="F8981" s="6">
        <v>1</v>
      </c>
      <c r="G8981" s="40">
        <v>8</v>
      </c>
      <c r="H8981" s="40">
        <v>11.366059999999999</v>
      </c>
      <c r="I8981" s="212"/>
      <c r="J8981" s="212"/>
    </row>
    <row r="8982" spans="1:10" s="15" customFormat="1" ht="18" hidden="1" customHeight="1" outlineLevel="1" x14ac:dyDescent="0.25">
      <c r="A8982" s="18">
        <v>6095</v>
      </c>
      <c r="B8982" s="4" t="s">
        <v>43</v>
      </c>
      <c r="C8982" s="38" t="s">
        <v>11425</v>
      </c>
      <c r="D8982" s="23">
        <v>2023</v>
      </c>
      <c r="E8982" s="18" t="s">
        <v>0</v>
      </c>
      <c r="F8982" s="6">
        <v>1</v>
      </c>
      <c r="G8982" s="40">
        <v>10</v>
      </c>
      <c r="H8982" s="40">
        <v>11.366059999999999</v>
      </c>
      <c r="I8982" s="212"/>
      <c r="J8982" s="212"/>
    </row>
    <row r="8983" spans="1:10" s="15" customFormat="1" ht="18" hidden="1" customHeight="1" outlineLevel="1" x14ac:dyDescent="0.25">
      <c r="A8983" s="18">
        <v>6096</v>
      </c>
      <c r="B8983" s="4" t="s">
        <v>43</v>
      </c>
      <c r="C8983" s="38" t="s">
        <v>11426</v>
      </c>
      <c r="D8983" s="23">
        <v>2023</v>
      </c>
      <c r="E8983" s="18" t="s">
        <v>0</v>
      </c>
      <c r="F8983" s="6">
        <v>1</v>
      </c>
      <c r="G8983" s="40">
        <v>10</v>
      </c>
      <c r="H8983" s="40">
        <v>11.366059999999999</v>
      </c>
      <c r="I8983" s="212"/>
      <c r="J8983" s="212"/>
    </row>
    <row r="8984" spans="1:10" s="15" customFormat="1" ht="18" hidden="1" customHeight="1" outlineLevel="1" x14ac:dyDescent="0.25">
      <c r="A8984" s="18">
        <v>6097</v>
      </c>
      <c r="B8984" s="4" t="s">
        <v>43</v>
      </c>
      <c r="C8984" s="38" t="s">
        <v>11427</v>
      </c>
      <c r="D8984" s="23">
        <v>2023</v>
      </c>
      <c r="E8984" s="18" t="s">
        <v>0</v>
      </c>
      <c r="F8984" s="6">
        <v>1</v>
      </c>
      <c r="G8984" s="40">
        <v>5</v>
      </c>
      <c r="H8984" s="40">
        <v>11.366059999999999</v>
      </c>
      <c r="I8984" s="212"/>
      <c r="J8984" s="212"/>
    </row>
    <row r="8985" spans="1:10" s="15" customFormat="1" ht="18" hidden="1" customHeight="1" outlineLevel="1" x14ac:dyDescent="0.25">
      <c r="A8985" s="18">
        <v>6098</v>
      </c>
      <c r="B8985" s="4" t="s">
        <v>43</v>
      </c>
      <c r="C8985" s="38" t="s">
        <v>11428</v>
      </c>
      <c r="D8985" s="23">
        <v>2023</v>
      </c>
      <c r="E8985" s="18" t="s">
        <v>0</v>
      </c>
      <c r="F8985" s="6">
        <v>1</v>
      </c>
      <c r="G8985" s="40">
        <v>5</v>
      </c>
      <c r="H8985" s="40">
        <v>11.366059999999999</v>
      </c>
      <c r="I8985" s="212"/>
      <c r="J8985" s="212"/>
    </row>
    <row r="8986" spans="1:10" s="15" customFormat="1" ht="18" hidden="1" customHeight="1" outlineLevel="1" x14ac:dyDescent="0.25">
      <c r="A8986" s="18">
        <v>6099</v>
      </c>
      <c r="B8986" s="4" t="s">
        <v>43</v>
      </c>
      <c r="C8986" s="38" t="s">
        <v>11429</v>
      </c>
      <c r="D8986" s="23">
        <v>2023</v>
      </c>
      <c r="E8986" s="18" t="s">
        <v>0</v>
      </c>
      <c r="F8986" s="6">
        <v>1</v>
      </c>
      <c r="G8986" s="40">
        <v>5</v>
      </c>
      <c r="H8986" s="40">
        <v>11.366059999999999</v>
      </c>
      <c r="I8986" s="212"/>
      <c r="J8986" s="212"/>
    </row>
    <row r="8987" spans="1:10" s="15" customFormat="1" ht="18" hidden="1" customHeight="1" outlineLevel="1" x14ac:dyDescent="0.25">
      <c r="A8987" s="18">
        <v>6100</v>
      </c>
      <c r="B8987" s="4" t="s">
        <v>43</v>
      </c>
      <c r="C8987" s="38" t="s">
        <v>11430</v>
      </c>
      <c r="D8987" s="23">
        <v>2023</v>
      </c>
      <c r="E8987" s="18" t="s">
        <v>0</v>
      </c>
      <c r="F8987" s="6">
        <v>1</v>
      </c>
      <c r="G8987" s="40">
        <v>5</v>
      </c>
      <c r="H8987" s="40">
        <v>11.366059999999999</v>
      </c>
      <c r="I8987" s="212"/>
      <c r="J8987" s="212"/>
    </row>
    <row r="8988" spans="1:10" s="15" customFormat="1" ht="18" hidden="1" customHeight="1" outlineLevel="1" x14ac:dyDescent="0.25">
      <c r="A8988" s="18">
        <v>2293</v>
      </c>
      <c r="B8988" s="4" t="s">
        <v>43</v>
      </c>
      <c r="C8988" s="38" t="s">
        <v>11431</v>
      </c>
      <c r="D8988" s="23">
        <v>2023</v>
      </c>
      <c r="E8988" s="18" t="s">
        <v>0</v>
      </c>
      <c r="F8988" s="6">
        <v>1</v>
      </c>
      <c r="G8988" s="40">
        <v>5</v>
      </c>
      <c r="H8988" s="40">
        <v>11.366059999999999</v>
      </c>
      <c r="I8988" s="212"/>
      <c r="J8988" s="212"/>
    </row>
    <row r="8989" spans="1:10" s="15" customFormat="1" ht="18" hidden="1" customHeight="1" outlineLevel="1" x14ac:dyDescent="0.25">
      <c r="A8989" s="18">
        <v>2259</v>
      </c>
      <c r="B8989" s="4" t="s">
        <v>43</v>
      </c>
      <c r="C8989" s="38" t="s">
        <v>11432</v>
      </c>
      <c r="D8989" s="23">
        <v>2023</v>
      </c>
      <c r="E8989" s="18" t="s">
        <v>0</v>
      </c>
      <c r="F8989" s="6">
        <v>1</v>
      </c>
      <c r="G8989" s="40">
        <v>5</v>
      </c>
      <c r="H8989" s="40">
        <v>11.69036</v>
      </c>
      <c r="I8989" s="212"/>
      <c r="J8989" s="212"/>
    </row>
    <row r="8990" spans="1:10" s="15" customFormat="1" ht="18" hidden="1" customHeight="1" outlineLevel="1" x14ac:dyDescent="0.25">
      <c r="A8990" s="18">
        <v>6101</v>
      </c>
      <c r="B8990" s="4" t="s">
        <v>43</v>
      </c>
      <c r="C8990" s="38" t="s">
        <v>11433</v>
      </c>
      <c r="D8990" s="23">
        <v>2023</v>
      </c>
      <c r="E8990" s="18" t="s">
        <v>0</v>
      </c>
      <c r="F8990" s="6">
        <v>1</v>
      </c>
      <c r="G8990" s="40">
        <v>6</v>
      </c>
      <c r="H8990" s="40">
        <v>11.69036</v>
      </c>
      <c r="I8990" s="212"/>
      <c r="J8990" s="212"/>
    </row>
    <row r="8991" spans="1:10" s="15" customFormat="1" ht="18" hidden="1" customHeight="1" outlineLevel="1" x14ac:dyDescent="0.25">
      <c r="A8991" s="18">
        <v>6102</v>
      </c>
      <c r="B8991" s="4" t="s">
        <v>43</v>
      </c>
      <c r="C8991" s="38" t="s">
        <v>11434</v>
      </c>
      <c r="D8991" s="23">
        <v>2023</v>
      </c>
      <c r="E8991" s="18" t="s">
        <v>0</v>
      </c>
      <c r="F8991" s="6">
        <v>1</v>
      </c>
      <c r="G8991" s="40">
        <v>5</v>
      </c>
      <c r="H8991" s="40">
        <v>11.392799999999999</v>
      </c>
      <c r="I8991" s="212"/>
      <c r="J8991" s="212"/>
    </row>
    <row r="8992" spans="1:10" s="15" customFormat="1" ht="18" hidden="1" customHeight="1" outlineLevel="1" x14ac:dyDescent="0.25">
      <c r="A8992" s="18">
        <v>6103</v>
      </c>
      <c r="B8992" s="4" t="s">
        <v>43</v>
      </c>
      <c r="C8992" s="38" t="s">
        <v>11435</v>
      </c>
      <c r="D8992" s="23">
        <v>2023</v>
      </c>
      <c r="E8992" s="18" t="s">
        <v>0</v>
      </c>
      <c r="F8992" s="6">
        <v>1</v>
      </c>
      <c r="G8992" s="40">
        <v>5</v>
      </c>
      <c r="H8992" s="40">
        <v>11.392799999999999</v>
      </c>
      <c r="I8992" s="212"/>
      <c r="J8992" s="212"/>
    </row>
    <row r="8993" spans="1:10" s="15" customFormat="1" ht="18" hidden="1" customHeight="1" outlineLevel="1" x14ac:dyDescent="0.25">
      <c r="A8993" s="18">
        <v>6104</v>
      </c>
      <c r="B8993" s="4" t="s">
        <v>43</v>
      </c>
      <c r="C8993" s="38" t="s">
        <v>11436</v>
      </c>
      <c r="D8993" s="23">
        <v>2023</v>
      </c>
      <c r="E8993" s="18" t="s">
        <v>0</v>
      </c>
      <c r="F8993" s="6">
        <v>1</v>
      </c>
      <c r="G8993" s="40">
        <v>5</v>
      </c>
      <c r="H8993" s="40">
        <v>11.392799999999999</v>
      </c>
      <c r="I8993" s="212"/>
      <c r="J8993" s="212"/>
    </row>
    <row r="8994" spans="1:10" s="15" customFormat="1" ht="18" hidden="1" customHeight="1" outlineLevel="1" x14ac:dyDescent="0.25">
      <c r="A8994" s="18">
        <v>6105</v>
      </c>
      <c r="B8994" s="4" t="s">
        <v>43</v>
      </c>
      <c r="C8994" s="38" t="s">
        <v>11437</v>
      </c>
      <c r="D8994" s="23">
        <v>2023</v>
      </c>
      <c r="E8994" s="18" t="s">
        <v>0</v>
      </c>
      <c r="F8994" s="6">
        <v>1</v>
      </c>
      <c r="G8994" s="40">
        <v>5</v>
      </c>
      <c r="H8994" s="40">
        <v>11.392799999999999</v>
      </c>
      <c r="I8994" s="212"/>
      <c r="J8994" s="212"/>
    </row>
    <row r="8995" spans="1:10" s="15" customFormat="1" ht="18" hidden="1" customHeight="1" outlineLevel="1" x14ac:dyDescent="0.25">
      <c r="A8995" s="18">
        <v>2266</v>
      </c>
      <c r="B8995" s="4" t="s">
        <v>43</v>
      </c>
      <c r="C8995" s="38" t="s">
        <v>11438</v>
      </c>
      <c r="D8995" s="23">
        <v>2023</v>
      </c>
      <c r="E8995" s="18" t="s">
        <v>0</v>
      </c>
      <c r="F8995" s="6">
        <v>1</v>
      </c>
      <c r="G8995" s="40">
        <v>5</v>
      </c>
      <c r="H8995" s="40">
        <v>11.392799999999999</v>
      </c>
      <c r="I8995" s="212"/>
      <c r="J8995" s="212"/>
    </row>
    <row r="8996" spans="1:10" s="15" customFormat="1" ht="18" hidden="1" customHeight="1" outlineLevel="1" x14ac:dyDescent="0.25">
      <c r="A8996" s="18">
        <v>2269</v>
      </c>
      <c r="B8996" s="4" t="s">
        <v>43</v>
      </c>
      <c r="C8996" s="38" t="s">
        <v>11439</v>
      </c>
      <c r="D8996" s="23">
        <v>2023</v>
      </c>
      <c r="E8996" s="18" t="s">
        <v>0</v>
      </c>
      <c r="F8996" s="6">
        <v>1</v>
      </c>
      <c r="G8996" s="40">
        <v>5</v>
      </c>
      <c r="H8996" s="40">
        <v>11.392799999999999</v>
      </c>
      <c r="I8996" s="212"/>
      <c r="J8996" s="212"/>
    </row>
    <row r="8997" spans="1:10" s="15" customFormat="1" ht="18" hidden="1" customHeight="1" outlineLevel="1" x14ac:dyDescent="0.25">
      <c r="A8997" s="18">
        <v>2245</v>
      </c>
      <c r="B8997" s="4" t="s">
        <v>43</v>
      </c>
      <c r="C8997" s="38" t="s">
        <v>11440</v>
      </c>
      <c r="D8997" s="23">
        <v>2023</v>
      </c>
      <c r="E8997" s="18" t="s">
        <v>0</v>
      </c>
      <c r="F8997" s="6">
        <v>1</v>
      </c>
      <c r="G8997" s="40">
        <v>5</v>
      </c>
      <c r="H8997" s="40">
        <v>11.392799999999999</v>
      </c>
      <c r="I8997" s="212"/>
      <c r="J8997" s="212"/>
    </row>
    <row r="8998" spans="1:10" s="15" customFormat="1" ht="18" hidden="1" customHeight="1" outlineLevel="1" x14ac:dyDescent="0.25">
      <c r="A8998" s="18">
        <v>6106</v>
      </c>
      <c r="B8998" s="4" t="s">
        <v>43</v>
      </c>
      <c r="C8998" s="38" t="s">
        <v>11441</v>
      </c>
      <c r="D8998" s="23">
        <v>2023</v>
      </c>
      <c r="E8998" s="18" t="s">
        <v>0</v>
      </c>
      <c r="F8998" s="6">
        <v>1</v>
      </c>
      <c r="G8998" s="40">
        <v>5</v>
      </c>
      <c r="H8998" s="40">
        <v>11.392799999999999</v>
      </c>
      <c r="I8998" s="212"/>
      <c r="J8998" s="212"/>
    </row>
    <row r="8999" spans="1:10" s="15" customFormat="1" ht="18" hidden="1" customHeight="1" outlineLevel="1" x14ac:dyDescent="0.25">
      <c r="A8999" s="18">
        <v>6107</v>
      </c>
      <c r="B8999" s="4" t="s">
        <v>43</v>
      </c>
      <c r="C8999" s="38" t="s">
        <v>11442</v>
      </c>
      <c r="D8999" s="23">
        <v>2023</v>
      </c>
      <c r="E8999" s="18" t="s">
        <v>0</v>
      </c>
      <c r="F8999" s="6">
        <v>1</v>
      </c>
      <c r="G8999" s="40">
        <v>5</v>
      </c>
      <c r="H8999" s="40">
        <v>11.392799999999999</v>
      </c>
      <c r="I8999" s="212"/>
      <c r="J8999" s="212"/>
    </row>
    <row r="9000" spans="1:10" s="15" customFormat="1" ht="18" hidden="1" customHeight="1" outlineLevel="1" x14ac:dyDescent="0.25">
      <c r="A9000" s="18">
        <v>6108</v>
      </c>
      <c r="B9000" s="4" t="s">
        <v>43</v>
      </c>
      <c r="C9000" s="38" t="s">
        <v>11443</v>
      </c>
      <c r="D9000" s="23">
        <v>2023</v>
      </c>
      <c r="E9000" s="18" t="s">
        <v>0</v>
      </c>
      <c r="F9000" s="6">
        <v>1</v>
      </c>
      <c r="G9000" s="40">
        <v>5</v>
      </c>
      <c r="H9000" s="40">
        <v>11.392799999999999</v>
      </c>
      <c r="I9000" s="212"/>
      <c r="J9000" s="212"/>
    </row>
    <row r="9001" spans="1:10" s="15" customFormat="1" ht="18" hidden="1" customHeight="1" outlineLevel="1" x14ac:dyDescent="0.25">
      <c r="A9001" s="18">
        <v>6109</v>
      </c>
      <c r="B9001" s="4" t="s">
        <v>43</v>
      </c>
      <c r="C9001" s="38" t="s">
        <v>11444</v>
      </c>
      <c r="D9001" s="23">
        <v>2023</v>
      </c>
      <c r="E9001" s="18" t="s">
        <v>0</v>
      </c>
      <c r="F9001" s="6">
        <v>1</v>
      </c>
      <c r="G9001" s="40">
        <v>5</v>
      </c>
      <c r="H9001" s="40">
        <v>11.392799999999999</v>
      </c>
      <c r="I9001" s="212"/>
      <c r="J9001" s="212"/>
    </row>
    <row r="9002" spans="1:10" s="15" customFormat="1" ht="18" hidden="1" customHeight="1" outlineLevel="1" x14ac:dyDescent="0.25">
      <c r="A9002" s="18">
        <v>2267</v>
      </c>
      <c r="B9002" s="4" t="s">
        <v>43</v>
      </c>
      <c r="C9002" s="38" t="s">
        <v>11445</v>
      </c>
      <c r="D9002" s="23">
        <v>2023</v>
      </c>
      <c r="E9002" s="18" t="s">
        <v>0</v>
      </c>
      <c r="F9002" s="6">
        <v>1</v>
      </c>
      <c r="G9002" s="40">
        <v>5</v>
      </c>
      <c r="H9002" s="40">
        <v>11.392790000000002</v>
      </c>
      <c r="I9002" s="212"/>
      <c r="J9002" s="212"/>
    </row>
    <row r="9003" spans="1:10" s="15" customFormat="1" ht="18" hidden="1" customHeight="1" outlineLevel="1" x14ac:dyDescent="0.25">
      <c r="A9003" s="18">
        <v>2196</v>
      </c>
      <c r="B9003" s="4" t="s">
        <v>43</v>
      </c>
      <c r="C9003" s="38" t="s">
        <v>11446</v>
      </c>
      <c r="D9003" s="23">
        <v>2023</v>
      </c>
      <c r="E9003" s="18" t="s">
        <v>0</v>
      </c>
      <c r="F9003" s="6">
        <v>1</v>
      </c>
      <c r="G9003" s="40">
        <v>5</v>
      </c>
      <c r="H9003" s="40">
        <v>11.392799999999999</v>
      </c>
      <c r="I9003" s="212"/>
      <c r="J9003" s="212"/>
    </row>
    <row r="9004" spans="1:10" s="15" customFormat="1" ht="18" hidden="1" customHeight="1" outlineLevel="1" x14ac:dyDescent="0.25">
      <c r="A9004" s="18">
        <v>2299</v>
      </c>
      <c r="B9004" s="4" t="s">
        <v>43</v>
      </c>
      <c r="C9004" s="38" t="s">
        <v>11447</v>
      </c>
      <c r="D9004" s="23">
        <v>2023</v>
      </c>
      <c r="E9004" s="18" t="s">
        <v>0</v>
      </c>
      <c r="F9004" s="6">
        <v>1</v>
      </c>
      <c r="G9004" s="40">
        <v>5</v>
      </c>
      <c r="H9004" s="40">
        <v>11.392790000000002</v>
      </c>
      <c r="I9004" s="212"/>
      <c r="J9004" s="212"/>
    </row>
    <row r="9005" spans="1:10" s="15" customFormat="1" ht="18" hidden="1" customHeight="1" outlineLevel="1" x14ac:dyDescent="0.25">
      <c r="A9005" s="18">
        <v>2189</v>
      </c>
      <c r="B9005" s="4" t="s">
        <v>43</v>
      </c>
      <c r="C9005" s="38" t="s">
        <v>11448</v>
      </c>
      <c r="D9005" s="23">
        <v>2023</v>
      </c>
      <c r="E9005" s="18" t="s">
        <v>0</v>
      </c>
      <c r="F9005" s="6">
        <v>1</v>
      </c>
      <c r="G9005" s="40">
        <v>5</v>
      </c>
      <c r="H9005" s="40">
        <v>11.392799999999999</v>
      </c>
      <c r="I9005" s="212"/>
      <c r="J9005" s="212"/>
    </row>
    <row r="9006" spans="1:10" s="15" customFormat="1" ht="18" hidden="1" customHeight="1" outlineLevel="1" x14ac:dyDescent="0.25">
      <c r="A9006" s="18">
        <v>2262</v>
      </c>
      <c r="B9006" s="4" t="s">
        <v>43</v>
      </c>
      <c r="C9006" s="38" t="s">
        <v>11449</v>
      </c>
      <c r="D9006" s="23">
        <v>2023</v>
      </c>
      <c r="E9006" s="18" t="s">
        <v>0</v>
      </c>
      <c r="F9006" s="6">
        <v>1</v>
      </c>
      <c r="G9006" s="40">
        <v>5</v>
      </c>
      <c r="H9006" s="40">
        <v>11.392790000000002</v>
      </c>
      <c r="I9006" s="212"/>
      <c r="J9006" s="212"/>
    </row>
    <row r="9007" spans="1:10" s="15" customFormat="1" ht="18" hidden="1" customHeight="1" outlineLevel="1" x14ac:dyDescent="0.25">
      <c r="A9007" s="18">
        <v>6111</v>
      </c>
      <c r="B9007" s="4" t="s">
        <v>43</v>
      </c>
      <c r="C9007" s="38" t="s">
        <v>11450</v>
      </c>
      <c r="D9007" s="23">
        <v>2023</v>
      </c>
      <c r="E9007" s="18" t="s">
        <v>0</v>
      </c>
      <c r="F9007" s="6">
        <v>1</v>
      </c>
      <c r="G9007" s="40">
        <v>10</v>
      </c>
      <c r="H9007" s="40">
        <v>11.392799999999999</v>
      </c>
      <c r="I9007" s="212"/>
      <c r="J9007" s="212"/>
    </row>
    <row r="9008" spans="1:10" s="15" customFormat="1" ht="18" hidden="1" customHeight="1" outlineLevel="1" x14ac:dyDescent="0.25">
      <c r="A9008" s="18">
        <v>6112</v>
      </c>
      <c r="B9008" s="4" t="s">
        <v>43</v>
      </c>
      <c r="C9008" s="38" t="s">
        <v>11451</v>
      </c>
      <c r="D9008" s="23">
        <v>2023</v>
      </c>
      <c r="E9008" s="18" t="s">
        <v>0</v>
      </c>
      <c r="F9008" s="6">
        <v>1</v>
      </c>
      <c r="G9008" s="40">
        <v>10</v>
      </c>
      <c r="H9008" s="40">
        <v>11.392790000000002</v>
      </c>
      <c r="I9008" s="212"/>
      <c r="J9008" s="212"/>
    </row>
    <row r="9009" spans="1:10" s="15" customFormat="1" ht="18" hidden="1" customHeight="1" outlineLevel="1" x14ac:dyDescent="0.25">
      <c r="A9009" s="18">
        <v>6114</v>
      </c>
      <c r="B9009" s="4" t="s">
        <v>43</v>
      </c>
      <c r="C9009" s="38" t="s">
        <v>11452</v>
      </c>
      <c r="D9009" s="23">
        <v>2023</v>
      </c>
      <c r="E9009" s="18" t="s">
        <v>0</v>
      </c>
      <c r="F9009" s="6">
        <v>1</v>
      </c>
      <c r="G9009" s="40">
        <v>6</v>
      </c>
      <c r="H9009" s="40">
        <v>11.392799999999999</v>
      </c>
      <c r="I9009" s="212"/>
      <c r="J9009" s="212"/>
    </row>
    <row r="9010" spans="1:10" s="15" customFormat="1" ht="18" hidden="1" customHeight="1" outlineLevel="1" x14ac:dyDescent="0.25">
      <c r="A9010" s="18">
        <v>2235</v>
      </c>
      <c r="B9010" s="4" t="s">
        <v>43</v>
      </c>
      <c r="C9010" s="38" t="s">
        <v>11453</v>
      </c>
      <c r="D9010" s="23">
        <v>2023</v>
      </c>
      <c r="E9010" s="18" t="s">
        <v>0</v>
      </c>
      <c r="F9010" s="6">
        <v>1</v>
      </c>
      <c r="G9010" s="40">
        <v>5</v>
      </c>
      <c r="H9010" s="40">
        <v>11.439069999999999</v>
      </c>
      <c r="I9010" s="212"/>
      <c r="J9010" s="212"/>
    </row>
    <row r="9011" spans="1:10" s="15" customFormat="1" ht="18" hidden="1" customHeight="1" outlineLevel="1" x14ac:dyDescent="0.25">
      <c r="A9011" s="18">
        <v>6116</v>
      </c>
      <c r="B9011" s="4" t="s">
        <v>43</v>
      </c>
      <c r="C9011" s="38" t="s">
        <v>11454</v>
      </c>
      <c r="D9011" s="23">
        <v>2023</v>
      </c>
      <c r="E9011" s="18" t="s">
        <v>0</v>
      </c>
      <c r="F9011" s="6">
        <v>1</v>
      </c>
      <c r="G9011" s="40">
        <v>10</v>
      </c>
      <c r="H9011" s="40">
        <v>11.4391</v>
      </c>
      <c r="I9011" s="212"/>
      <c r="J9011" s="212"/>
    </row>
    <row r="9012" spans="1:10" s="15" customFormat="1" ht="18" hidden="1" customHeight="1" outlineLevel="1" x14ac:dyDescent="0.25">
      <c r="A9012" s="18">
        <v>2264</v>
      </c>
      <c r="B9012" s="4" t="s">
        <v>43</v>
      </c>
      <c r="C9012" s="38" t="s">
        <v>11455</v>
      </c>
      <c r="D9012" s="23">
        <v>2023</v>
      </c>
      <c r="E9012" s="18" t="s">
        <v>0</v>
      </c>
      <c r="F9012" s="6">
        <v>1</v>
      </c>
      <c r="G9012" s="40">
        <v>5</v>
      </c>
      <c r="H9012" s="40">
        <v>11.439069999999999</v>
      </c>
      <c r="I9012" s="212"/>
      <c r="J9012" s="212"/>
    </row>
    <row r="9013" spans="1:10" s="15" customFormat="1" ht="18" hidden="1" customHeight="1" outlineLevel="1" x14ac:dyDescent="0.25">
      <c r="A9013" s="18">
        <v>2238</v>
      </c>
      <c r="B9013" s="4" t="s">
        <v>43</v>
      </c>
      <c r="C9013" s="38" t="s">
        <v>11456</v>
      </c>
      <c r="D9013" s="23">
        <v>2023</v>
      </c>
      <c r="E9013" s="18" t="s">
        <v>0</v>
      </c>
      <c r="F9013" s="6">
        <v>1</v>
      </c>
      <c r="G9013" s="40">
        <v>5</v>
      </c>
      <c r="H9013" s="40">
        <v>11.4391</v>
      </c>
      <c r="I9013" s="212"/>
      <c r="J9013" s="212"/>
    </row>
    <row r="9014" spans="1:10" s="15" customFormat="1" ht="18" hidden="1" customHeight="1" outlineLevel="1" x14ac:dyDescent="0.25">
      <c r="A9014" s="18">
        <v>2190</v>
      </c>
      <c r="B9014" s="4" t="s">
        <v>43</v>
      </c>
      <c r="C9014" s="38" t="s">
        <v>11457</v>
      </c>
      <c r="D9014" s="23">
        <v>2023</v>
      </c>
      <c r="E9014" s="18" t="s">
        <v>0</v>
      </c>
      <c r="F9014" s="6">
        <v>1</v>
      </c>
      <c r="G9014" s="40">
        <v>5</v>
      </c>
      <c r="H9014" s="40">
        <v>11.439069999999999</v>
      </c>
      <c r="I9014" s="212"/>
      <c r="J9014" s="212"/>
    </row>
    <row r="9015" spans="1:10" s="15" customFormat="1" ht="18" hidden="1" customHeight="1" outlineLevel="1" x14ac:dyDescent="0.25">
      <c r="A9015" s="18">
        <v>2244</v>
      </c>
      <c r="B9015" s="4" t="s">
        <v>43</v>
      </c>
      <c r="C9015" s="38" t="s">
        <v>11458</v>
      </c>
      <c r="D9015" s="23">
        <v>2023</v>
      </c>
      <c r="E9015" s="18" t="s">
        <v>0</v>
      </c>
      <c r="F9015" s="6">
        <v>1</v>
      </c>
      <c r="G9015" s="40">
        <v>5</v>
      </c>
      <c r="H9015" s="40">
        <v>11.4391</v>
      </c>
      <c r="I9015" s="212"/>
      <c r="J9015" s="212"/>
    </row>
    <row r="9016" spans="1:10" s="15" customFormat="1" ht="18" hidden="1" customHeight="1" outlineLevel="1" x14ac:dyDescent="0.25">
      <c r="A9016" s="18">
        <v>2241</v>
      </c>
      <c r="B9016" s="4" t="s">
        <v>43</v>
      </c>
      <c r="C9016" s="38" t="s">
        <v>11459</v>
      </c>
      <c r="D9016" s="23">
        <v>2023</v>
      </c>
      <c r="E9016" s="18" t="s">
        <v>0</v>
      </c>
      <c r="F9016" s="6">
        <v>1</v>
      </c>
      <c r="G9016" s="40">
        <v>5</v>
      </c>
      <c r="H9016" s="40">
        <v>11.439069999999999</v>
      </c>
      <c r="I9016" s="212"/>
      <c r="J9016" s="212"/>
    </row>
    <row r="9017" spans="1:10" s="15" customFormat="1" ht="18" hidden="1" customHeight="1" outlineLevel="1" x14ac:dyDescent="0.25">
      <c r="A9017" s="18">
        <v>1448</v>
      </c>
      <c r="B9017" s="4" t="s">
        <v>43</v>
      </c>
      <c r="C9017" s="38" t="s">
        <v>11460</v>
      </c>
      <c r="D9017" s="23">
        <v>2023</v>
      </c>
      <c r="E9017" s="18" t="s">
        <v>0</v>
      </c>
      <c r="F9017" s="6">
        <v>1</v>
      </c>
      <c r="G9017" s="40">
        <v>6</v>
      </c>
      <c r="H9017" s="40">
        <v>11.392799999999999</v>
      </c>
      <c r="I9017" s="212"/>
      <c r="J9017" s="212"/>
    </row>
    <row r="9018" spans="1:10" s="15" customFormat="1" ht="18" hidden="1" customHeight="1" outlineLevel="1" x14ac:dyDescent="0.25">
      <c r="A9018" s="18">
        <v>6119</v>
      </c>
      <c r="B9018" s="4" t="s">
        <v>43</v>
      </c>
      <c r="C9018" s="38" t="s">
        <v>11461</v>
      </c>
      <c r="D9018" s="23">
        <v>2023</v>
      </c>
      <c r="E9018" s="18" t="s">
        <v>0</v>
      </c>
      <c r="F9018" s="6">
        <v>1</v>
      </c>
      <c r="G9018" s="40">
        <v>15</v>
      </c>
      <c r="H9018" s="40">
        <v>18.467029999999998</v>
      </c>
      <c r="I9018" s="212"/>
      <c r="J9018" s="212"/>
    </row>
    <row r="9019" spans="1:10" s="15" customFormat="1" ht="18" hidden="1" customHeight="1" outlineLevel="1" x14ac:dyDescent="0.25">
      <c r="A9019" s="18">
        <v>6120</v>
      </c>
      <c r="B9019" s="4" t="s">
        <v>43</v>
      </c>
      <c r="C9019" s="38" t="s">
        <v>11462</v>
      </c>
      <c r="D9019" s="23">
        <v>2023</v>
      </c>
      <c r="E9019" s="18" t="s">
        <v>0</v>
      </c>
      <c r="F9019" s="6">
        <v>1</v>
      </c>
      <c r="G9019" s="40">
        <v>15</v>
      </c>
      <c r="H9019" s="40">
        <v>18.467029999999998</v>
      </c>
      <c r="I9019" s="212"/>
      <c r="J9019" s="212"/>
    </row>
    <row r="9020" spans="1:10" s="15" customFormat="1" ht="18" hidden="1" customHeight="1" outlineLevel="1" x14ac:dyDescent="0.25">
      <c r="A9020" s="18">
        <v>6122</v>
      </c>
      <c r="B9020" s="4" t="s">
        <v>43</v>
      </c>
      <c r="C9020" s="38" t="s">
        <v>11463</v>
      </c>
      <c r="D9020" s="23">
        <v>2023</v>
      </c>
      <c r="E9020" s="18" t="s">
        <v>0</v>
      </c>
      <c r="F9020" s="6">
        <v>1</v>
      </c>
      <c r="G9020" s="40">
        <v>10</v>
      </c>
      <c r="H9020" s="40">
        <v>17.860060000000001</v>
      </c>
      <c r="I9020" s="212"/>
      <c r="J9020" s="212"/>
    </row>
    <row r="9021" spans="1:10" s="15" customFormat="1" ht="18" hidden="1" customHeight="1" outlineLevel="1" x14ac:dyDescent="0.25">
      <c r="A9021" s="18">
        <v>6123</v>
      </c>
      <c r="B9021" s="4" t="s">
        <v>43</v>
      </c>
      <c r="C9021" s="38" t="s">
        <v>11464</v>
      </c>
      <c r="D9021" s="23">
        <v>2023</v>
      </c>
      <c r="E9021" s="18" t="s">
        <v>0</v>
      </c>
      <c r="F9021" s="6">
        <v>1</v>
      </c>
      <c r="G9021" s="40">
        <v>10</v>
      </c>
      <c r="H9021" s="40">
        <v>17.860060000000001</v>
      </c>
      <c r="I9021" s="212"/>
      <c r="J9021" s="212"/>
    </row>
    <row r="9022" spans="1:10" s="15" customFormat="1" ht="18" hidden="1" customHeight="1" outlineLevel="1" x14ac:dyDescent="0.25">
      <c r="A9022" s="18">
        <v>6124</v>
      </c>
      <c r="B9022" s="4" t="s">
        <v>43</v>
      </c>
      <c r="C9022" s="38" t="s">
        <v>11465</v>
      </c>
      <c r="D9022" s="23">
        <v>2023</v>
      </c>
      <c r="E9022" s="18" t="s">
        <v>0</v>
      </c>
      <c r="F9022" s="6">
        <v>1</v>
      </c>
      <c r="G9022" s="40">
        <v>10</v>
      </c>
      <c r="H9022" s="40">
        <v>17.860060000000001</v>
      </c>
      <c r="I9022" s="212"/>
      <c r="J9022" s="212"/>
    </row>
    <row r="9023" spans="1:10" s="15" customFormat="1" ht="18" hidden="1" customHeight="1" outlineLevel="1" x14ac:dyDescent="0.25">
      <c r="A9023" s="18">
        <v>6125</v>
      </c>
      <c r="B9023" s="4" t="s">
        <v>43</v>
      </c>
      <c r="C9023" s="38" t="s">
        <v>11466</v>
      </c>
      <c r="D9023" s="23">
        <v>2023</v>
      </c>
      <c r="E9023" s="18" t="s">
        <v>0</v>
      </c>
      <c r="F9023" s="6">
        <v>1</v>
      </c>
      <c r="G9023" s="40">
        <v>10</v>
      </c>
      <c r="H9023" s="40">
        <v>17.860060000000001</v>
      </c>
      <c r="I9023" s="212"/>
      <c r="J9023" s="212"/>
    </row>
    <row r="9024" spans="1:10" s="15" customFormat="1" ht="18" hidden="1" customHeight="1" outlineLevel="1" x14ac:dyDescent="0.25">
      <c r="A9024" s="18">
        <v>6126</v>
      </c>
      <c r="B9024" s="4" t="s">
        <v>43</v>
      </c>
      <c r="C9024" s="38" t="s">
        <v>11467</v>
      </c>
      <c r="D9024" s="23">
        <v>2023</v>
      </c>
      <c r="E9024" s="18" t="s">
        <v>0</v>
      </c>
      <c r="F9024" s="6">
        <v>1</v>
      </c>
      <c r="G9024" s="40">
        <v>10</v>
      </c>
      <c r="H9024" s="40">
        <v>17.860060000000001</v>
      </c>
      <c r="I9024" s="212"/>
      <c r="J9024" s="212"/>
    </row>
    <row r="9025" spans="1:10" s="15" customFormat="1" ht="18" hidden="1" customHeight="1" outlineLevel="1" x14ac:dyDescent="0.25">
      <c r="A9025" s="18">
        <v>6127</v>
      </c>
      <c r="B9025" s="4" t="s">
        <v>43</v>
      </c>
      <c r="C9025" s="38" t="s">
        <v>11468</v>
      </c>
      <c r="D9025" s="23">
        <v>2023</v>
      </c>
      <c r="E9025" s="18" t="s">
        <v>0</v>
      </c>
      <c r="F9025" s="6">
        <v>1</v>
      </c>
      <c r="G9025" s="40">
        <v>10</v>
      </c>
      <c r="H9025" s="40">
        <v>18.264749999999999</v>
      </c>
      <c r="I9025" s="212"/>
      <c r="J9025" s="212"/>
    </row>
    <row r="9026" spans="1:10" s="15" customFormat="1" ht="18" hidden="1" customHeight="1" outlineLevel="1" x14ac:dyDescent="0.25">
      <c r="A9026" s="18">
        <v>6128</v>
      </c>
      <c r="B9026" s="4" t="s">
        <v>43</v>
      </c>
      <c r="C9026" s="38" t="s">
        <v>11469</v>
      </c>
      <c r="D9026" s="23">
        <v>2023</v>
      </c>
      <c r="E9026" s="18" t="s">
        <v>0</v>
      </c>
      <c r="F9026" s="6">
        <v>1</v>
      </c>
      <c r="G9026" s="40">
        <v>5</v>
      </c>
      <c r="H9026" s="40">
        <v>18.943259999999999</v>
      </c>
      <c r="I9026" s="212"/>
      <c r="J9026" s="212"/>
    </row>
    <row r="9027" spans="1:10" s="15" customFormat="1" ht="18" hidden="1" customHeight="1" outlineLevel="1" x14ac:dyDescent="0.25">
      <c r="A9027" s="18">
        <v>2787</v>
      </c>
      <c r="B9027" s="4" t="s">
        <v>43</v>
      </c>
      <c r="C9027" s="38" t="s">
        <v>11470</v>
      </c>
      <c r="D9027" s="23">
        <v>2023</v>
      </c>
      <c r="E9027" s="18" t="s">
        <v>0</v>
      </c>
      <c r="F9027" s="6">
        <v>1</v>
      </c>
      <c r="G9027" s="40">
        <v>5</v>
      </c>
      <c r="H9027" s="40">
        <v>18.943259999999999</v>
      </c>
      <c r="I9027" s="212"/>
      <c r="J9027" s="212"/>
    </row>
    <row r="9028" spans="1:10" s="15" customFormat="1" ht="18" hidden="1" customHeight="1" outlineLevel="1" x14ac:dyDescent="0.25">
      <c r="A9028" s="18">
        <v>6130</v>
      </c>
      <c r="B9028" s="4" t="s">
        <v>43</v>
      </c>
      <c r="C9028" s="38" t="s">
        <v>11471</v>
      </c>
      <c r="D9028" s="23">
        <v>2023</v>
      </c>
      <c r="E9028" s="18" t="s">
        <v>0</v>
      </c>
      <c r="F9028" s="6">
        <v>1</v>
      </c>
      <c r="G9028" s="40">
        <v>10</v>
      </c>
      <c r="H9028" s="40">
        <v>18.943259999999999</v>
      </c>
      <c r="I9028" s="212"/>
      <c r="J9028" s="212"/>
    </row>
    <row r="9029" spans="1:10" s="15" customFormat="1" ht="18" hidden="1" customHeight="1" outlineLevel="1" x14ac:dyDescent="0.25">
      <c r="A9029" s="18">
        <v>6133</v>
      </c>
      <c r="B9029" s="4" t="s">
        <v>43</v>
      </c>
      <c r="C9029" s="38" t="s">
        <v>11472</v>
      </c>
      <c r="D9029" s="23">
        <v>2023</v>
      </c>
      <c r="E9029" s="18" t="s">
        <v>0</v>
      </c>
      <c r="F9029" s="6">
        <v>1</v>
      </c>
      <c r="G9029" s="40">
        <v>3</v>
      </c>
      <c r="H9029" s="40">
        <v>19.568670000000001</v>
      </c>
      <c r="I9029" s="212"/>
      <c r="J9029" s="212"/>
    </row>
    <row r="9030" spans="1:10" s="15" customFormat="1" ht="18" hidden="1" customHeight="1" outlineLevel="1" x14ac:dyDescent="0.25">
      <c r="A9030" s="18">
        <v>6134</v>
      </c>
      <c r="B9030" s="4" t="s">
        <v>43</v>
      </c>
      <c r="C9030" s="38" t="s">
        <v>11473</v>
      </c>
      <c r="D9030" s="23">
        <v>2023</v>
      </c>
      <c r="E9030" s="18" t="s">
        <v>0</v>
      </c>
      <c r="F9030" s="6">
        <v>1</v>
      </c>
      <c r="G9030" s="40">
        <v>5</v>
      </c>
      <c r="H9030" s="40">
        <v>17.93149</v>
      </c>
      <c r="I9030" s="212"/>
      <c r="J9030" s="212"/>
    </row>
    <row r="9031" spans="1:10" s="15" customFormat="1" ht="18" hidden="1" customHeight="1" outlineLevel="1" x14ac:dyDescent="0.25">
      <c r="A9031" s="18">
        <v>6135</v>
      </c>
      <c r="B9031" s="4" t="s">
        <v>43</v>
      </c>
      <c r="C9031" s="38" t="s">
        <v>11474</v>
      </c>
      <c r="D9031" s="23">
        <v>2023</v>
      </c>
      <c r="E9031" s="18" t="s">
        <v>0</v>
      </c>
      <c r="F9031" s="6">
        <v>1</v>
      </c>
      <c r="G9031" s="40">
        <v>5</v>
      </c>
      <c r="H9031" s="40">
        <v>18.20945</v>
      </c>
      <c r="I9031" s="212"/>
      <c r="J9031" s="212"/>
    </row>
    <row r="9032" spans="1:10" s="15" customFormat="1" ht="18" hidden="1" customHeight="1" outlineLevel="1" x14ac:dyDescent="0.25">
      <c r="A9032" s="18">
        <v>6136</v>
      </c>
      <c r="B9032" s="4" t="s">
        <v>43</v>
      </c>
      <c r="C9032" s="38" t="s">
        <v>11475</v>
      </c>
      <c r="D9032" s="23">
        <v>2023</v>
      </c>
      <c r="E9032" s="18" t="s">
        <v>0</v>
      </c>
      <c r="F9032" s="6">
        <v>1</v>
      </c>
      <c r="G9032" s="40">
        <v>5</v>
      </c>
      <c r="H9032" s="40">
        <v>17.93149</v>
      </c>
      <c r="I9032" s="212"/>
      <c r="J9032" s="212"/>
    </row>
    <row r="9033" spans="1:10" s="15" customFormat="1" ht="18" hidden="1" customHeight="1" outlineLevel="1" x14ac:dyDescent="0.25">
      <c r="A9033" s="18">
        <v>6137</v>
      </c>
      <c r="B9033" s="4" t="s">
        <v>43</v>
      </c>
      <c r="C9033" s="38" t="s">
        <v>11476</v>
      </c>
      <c r="D9033" s="23">
        <v>2023</v>
      </c>
      <c r="E9033" s="18" t="s">
        <v>0</v>
      </c>
      <c r="F9033" s="6">
        <v>1</v>
      </c>
      <c r="G9033" s="40">
        <v>5</v>
      </c>
      <c r="H9033" s="40">
        <v>18.20945</v>
      </c>
      <c r="I9033" s="212"/>
      <c r="J9033" s="212"/>
    </row>
    <row r="9034" spans="1:10" s="15" customFormat="1" ht="18" hidden="1" customHeight="1" outlineLevel="1" x14ac:dyDescent="0.25">
      <c r="A9034" s="18">
        <v>6138</v>
      </c>
      <c r="B9034" s="4" t="s">
        <v>43</v>
      </c>
      <c r="C9034" s="38" t="s">
        <v>11477</v>
      </c>
      <c r="D9034" s="23">
        <v>2023</v>
      </c>
      <c r="E9034" s="18" t="s">
        <v>0</v>
      </c>
      <c r="F9034" s="6">
        <v>1</v>
      </c>
      <c r="G9034" s="40">
        <v>5</v>
      </c>
      <c r="H9034" s="40">
        <v>17.93149</v>
      </c>
      <c r="I9034" s="212"/>
      <c r="J9034" s="212"/>
    </row>
    <row r="9035" spans="1:10" s="15" customFormat="1" ht="18" hidden="1" customHeight="1" outlineLevel="1" x14ac:dyDescent="0.25">
      <c r="A9035" s="18">
        <v>2390</v>
      </c>
      <c r="B9035" s="4" t="s">
        <v>43</v>
      </c>
      <c r="C9035" s="38" t="s">
        <v>11478</v>
      </c>
      <c r="D9035" s="23">
        <v>2023</v>
      </c>
      <c r="E9035" s="18" t="s">
        <v>0</v>
      </c>
      <c r="F9035" s="6">
        <v>1</v>
      </c>
      <c r="G9035" s="40">
        <v>5</v>
      </c>
      <c r="H9035" s="40">
        <v>18.20945</v>
      </c>
      <c r="I9035" s="212"/>
      <c r="J9035" s="212"/>
    </row>
    <row r="9036" spans="1:10" s="15" customFormat="1" ht="18" hidden="1" customHeight="1" outlineLevel="1" x14ac:dyDescent="0.25">
      <c r="A9036" s="18">
        <v>2372</v>
      </c>
      <c r="B9036" s="4" t="s">
        <v>43</v>
      </c>
      <c r="C9036" s="38" t="s">
        <v>11479</v>
      </c>
      <c r="D9036" s="23">
        <v>2023</v>
      </c>
      <c r="E9036" s="18" t="s">
        <v>0</v>
      </c>
      <c r="F9036" s="6">
        <v>1</v>
      </c>
      <c r="G9036" s="40">
        <v>5</v>
      </c>
      <c r="H9036" s="40">
        <v>17.93149</v>
      </c>
      <c r="I9036" s="212"/>
      <c r="J9036" s="212"/>
    </row>
    <row r="9037" spans="1:10" s="15" customFormat="1" ht="18" hidden="1" customHeight="1" outlineLevel="1" x14ac:dyDescent="0.25">
      <c r="A9037" s="18">
        <v>2340</v>
      </c>
      <c r="B9037" s="4" t="s">
        <v>43</v>
      </c>
      <c r="C9037" s="38" t="s">
        <v>11480</v>
      </c>
      <c r="D9037" s="23">
        <v>2023</v>
      </c>
      <c r="E9037" s="18" t="s">
        <v>0</v>
      </c>
      <c r="F9037" s="6">
        <v>1</v>
      </c>
      <c r="G9037" s="40">
        <v>5</v>
      </c>
      <c r="H9037" s="40">
        <v>18.20945</v>
      </c>
      <c r="I9037" s="212"/>
      <c r="J9037" s="212"/>
    </row>
    <row r="9038" spans="1:10" s="15" customFormat="1" ht="18" hidden="1" customHeight="1" outlineLevel="1" x14ac:dyDescent="0.25">
      <c r="A9038" s="18">
        <v>2131</v>
      </c>
      <c r="B9038" s="4" t="s">
        <v>43</v>
      </c>
      <c r="C9038" s="38" t="s">
        <v>11481</v>
      </c>
      <c r="D9038" s="23">
        <v>2023</v>
      </c>
      <c r="E9038" s="18" t="s">
        <v>0</v>
      </c>
      <c r="F9038" s="6">
        <v>1</v>
      </c>
      <c r="G9038" s="40">
        <v>5</v>
      </c>
      <c r="H9038" s="40">
        <v>17.93149</v>
      </c>
      <c r="I9038" s="212"/>
      <c r="J9038" s="212"/>
    </row>
    <row r="9039" spans="1:10" s="15" customFormat="1" ht="18" hidden="1" customHeight="1" outlineLevel="1" x14ac:dyDescent="0.25">
      <c r="A9039" s="18">
        <v>2402</v>
      </c>
      <c r="B9039" s="4" t="s">
        <v>43</v>
      </c>
      <c r="C9039" s="38" t="s">
        <v>11482</v>
      </c>
      <c r="D9039" s="23">
        <v>2023</v>
      </c>
      <c r="E9039" s="18" t="s">
        <v>0</v>
      </c>
      <c r="F9039" s="6">
        <v>1</v>
      </c>
      <c r="G9039" s="40">
        <v>5</v>
      </c>
      <c r="H9039" s="40">
        <v>18.356849999999998</v>
      </c>
      <c r="I9039" s="212"/>
      <c r="J9039" s="212"/>
    </row>
    <row r="9040" spans="1:10" s="15" customFormat="1" ht="18" hidden="1" customHeight="1" outlineLevel="1" x14ac:dyDescent="0.25">
      <c r="A9040" s="18">
        <v>2371</v>
      </c>
      <c r="B9040" s="4" t="s">
        <v>43</v>
      </c>
      <c r="C9040" s="38" t="s">
        <v>11483</v>
      </c>
      <c r="D9040" s="23">
        <v>2023</v>
      </c>
      <c r="E9040" s="18" t="s">
        <v>0</v>
      </c>
      <c r="F9040" s="6">
        <v>1</v>
      </c>
      <c r="G9040" s="40">
        <v>5</v>
      </c>
      <c r="H9040" s="40">
        <v>18.078890000000001</v>
      </c>
      <c r="I9040" s="212"/>
      <c r="J9040" s="212"/>
    </row>
    <row r="9041" spans="1:10" s="15" customFormat="1" ht="18" hidden="1" customHeight="1" outlineLevel="1" x14ac:dyDescent="0.25">
      <c r="A9041" s="18">
        <v>2378</v>
      </c>
      <c r="B9041" s="4" t="s">
        <v>43</v>
      </c>
      <c r="C9041" s="38" t="s">
        <v>11484</v>
      </c>
      <c r="D9041" s="23">
        <v>2023</v>
      </c>
      <c r="E9041" s="18" t="s">
        <v>0</v>
      </c>
      <c r="F9041" s="6">
        <v>1</v>
      </c>
      <c r="G9041" s="40">
        <v>5</v>
      </c>
      <c r="H9041" s="40">
        <v>18.356849999999998</v>
      </c>
      <c r="I9041" s="212"/>
      <c r="J9041" s="212"/>
    </row>
    <row r="9042" spans="1:10" s="15" customFormat="1" ht="18" hidden="1" customHeight="1" outlineLevel="1" x14ac:dyDescent="0.25">
      <c r="A9042" s="18">
        <v>2418</v>
      </c>
      <c r="B9042" s="4" t="s">
        <v>43</v>
      </c>
      <c r="C9042" s="38" t="s">
        <v>11485</v>
      </c>
      <c r="D9042" s="23">
        <v>2023</v>
      </c>
      <c r="E9042" s="18" t="s">
        <v>0</v>
      </c>
      <c r="F9042" s="6">
        <v>1</v>
      </c>
      <c r="G9042" s="40">
        <v>5.2</v>
      </c>
      <c r="H9042" s="40">
        <v>18.078890000000001</v>
      </c>
      <c r="I9042" s="212"/>
      <c r="J9042" s="212"/>
    </row>
    <row r="9043" spans="1:10" s="15" customFormat="1" ht="18" hidden="1" customHeight="1" outlineLevel="1" x14ac:dyDescent="0.25">
      <c r="A9043" s="18">
        <v>6141</v>
      </c>
      <c r="B9043" s="4" t="s">
        <v>43</v>
      </c>
      <c r="C9043" s="38" t="s">
        <v>11486</v>
      </c>
      <c r="D9043" s="23">
        <v>2023</v>
      </c>
      <c r="E9043" s="18" t="s">
        <v>0</v>
      </c>
      <c r="F9043" s="6">
        <v>1</v>
      </c>
      <c r="G9043" s="40">
        <v>10</v>
      </c>
      <c r="H9043" s="40">
        <v>18.078880000000002</v>
      </c>
      <c r="I9043" s="212"/>
      <c r="J9043" s="212"/>
    </row>
    <row r="9044" spans="1:10" s="15" customFormat="1" ht="18" hidden="1" customHeight="1" outlineLevel="1" x14ac:dyDescent="0.25">
      <c r="A9044" s="18">
        <v>6142</v>
      </c>
      <c r="B9044" s="4" t="s">
        <v>43</v>
      </c>
      <c r="C9044" s="38" t="s">
        <v>11487</v>
      </c>
      <c r="D9044" s="23">
        <v>2023</v>
      </c>
      <c r="E9044" s="18" t="s">
        <v>0</v>
      </c>
      <c r="F9044" s="6">
        <v>1</v>
      </c>
      <c r="G9044" s="40">
        <v>5</v>
      </c>
      <c r="H9044" s="40">
        <v>18.681139999999999</v>
      </c>
      <c r="I9044" s="212"/>
      <c r="J9044" s="212"/>
    </row>
    <row r="9045" spans="1:10" s="15" customFormat="1" ht="18" hidden="1" customHeight="1" outlineLevel="1" x14ac:dyDescent="0.25">
      <c r="A9045" s="18">
        <v>6143</v>
      </c>
      <c r="B9045" s="4" t="s">
        <v>43</v>
      </c>
      <c r="C9045" s="38" t="s">
        <v>11488</v>
      </c>
      <c r="D9045" s="23">
        <v>2023</v>
      </c>
      <c r="E9045" s="18" t="s">
        <v>0</v>
      </c>
      <c r="F9045" s="6">
        <v>1</v>
      </c>
      <c r="G9045" s="40">
        <v>5</v>
      </c>
      <c r="H9045" s="40">
        <v>18.148410000000002</v>
      </c>
      <c r="I9045" s="212"/>
      <c r="J9045" s="212"/>
    </row>
    <row r="9046" spans="1:10" s="15" customFormat="1" ht="18" hidden="1" customHeight="1" outlineLevel="1" x14ac:dyDescent="0.25">
      <c r="A9046" s="18">
        <v>2346</v>
      </c>
      <c r="B9046" s="4" t="s">
        <v>43</v>
      </c>
      <c r="C9046" s="38" t="s">
        <v>11489</v>
      </c>
      <c r="D9046" s="23">
        <v>2023</v>
      </c>
      <c r="E9046" s="18" t="s">
        <v>0</v>
      </c>
      <c r="F9046" s="6">
        <v>1</v>
      </c>
      <c r="G9046" s="40">
        <v>5</v>
      </c>
      <c r="H9046" s="40">
        <v>18.148400000000002</v>
      </c>
      <c r="I9046" s="212"/>
      <c r="J9046" s="212"/>
    </row>
    <row r="9047" spans="1:10" s="15" customFormat="1" ht="18" hidden="1" customHeight="1" outlineLevel="1" x14ac:dyDescent="0.25">
      <c r="A9047" s="18">
        <v>2343</v>
      </c>
      <c r="B9047" s="4" t="s">
        <v>43</v>
      </c>
      <c r="C9047" s="38" t="s">
        <v>11490</v>
      </c>
      <c r="D9047" s="23">
        <v>2023</v>
      </c>
      <c r="E9047" s="18" t="s">
        <v>0</v>
      </c>
      <c r="F9047" s="6">
        <v>1</v>
      </c>
      <c r="G9047" s="40">
        <v>5</v>
      </c>
      <c r="H9047" s="40">
        <v>18.148410000000002</v>
      </c>
      <c r="I9047" s="212"/>
      <c r="J9047" s="212"/>
    </row>
    <row r="9048" spans="1:10" s="15" customFormat="1" ht="18" hidden="1" customHeight="1" outlineLevel="1" x14ac:dyDescent="0.25">
      <c r="A9048" s="18">
        <v>6144</v>
      </c>
      <c r="B9048" s="4" t="s">
        <v>43</v>
      </c>
      <c r="C9048" s="38" t="s">
        <v>11491</v>
      </c>
      <c r="D9048" s="23">
        <v>2023</v>
      </c>
      <c r="E9048" s="18" t="s">
        <v>0</v>
      </c>
      <c r="F9048" s="6">
        <v>1</v>
      </c>
      <c r="G9048" s="40">
        <v>5</v>
      </c>
      <c r="H9048" s="40">
        <v>18.152790000000003</v>
      </c>
      <c r="I9048" s="212"/>
      <c r="J9048" s="212"/>
    </row>
    <row r="9049" spans="1:10" s="15" customFormat="1" ht="18" hidden="1" customHeight="1" outlineLevel="1" x14ac:dyDescent="0.25">
      <c r="A9049" s="18">
        <v>6145</v>
      </c>
      <c r="B9049" s="4" t="s">
        <v>43</v>
      </c>
      <c r="C9049" s="38" t="s">
        <v>11492</v>
      </c>
      <c r="D9049" s="23">
        <v>2023</v>
      </c>
      <c r="E9049" s="18" t="s">
        <v>0</v>
      </c>
      <c r="F9049" s="6">
        <v>1</v>
      </c>
      <c r="G9049" s="40">
        <v>5</v>
      </c>
      <c r="H9049" s="40">
        <v>18.15278</v>
      </c>
      <c r="I9049" s="212"/>
      <c r="J9049" s="212"/>
    </row>
    <row r="9050" spans="1:10" s="15" customFormat="1" ht="18" hidden="1" customHeight="1" outlineLevel="1" x14ac:dyDescent="0.25">
      <c r="A9050" s="18">
        <v>6146</v>
      </c>
      <c r="B9050" s="4" t="s">
        <v>43</v>
      </c>
      <c r="C9050" s="38" t="s">
        <v>11493</v>
      </c>
      <c r="D9050" s="23">
        <v>2023</v>
      </c>
      <c r="E9050" s="18" t="s">
        <v>0</v>
      </c>
      <c r="F9050" s="6">
        <v>1</v>
      </c>
      <c r="G9050" s="40">
        <v>5</v>
      </c>
      <c r="H9050" s="40">
        <v>18.152790000000003</v>
      </c>
      <c r="I9050" s="212"/>
      <c r="J9050" s="212"/>
    </row>
    <row r="9051" spans="1:10" s="15" customFormat="1" ht="18" hidden="1" customHeight="1" outlineLevel="1" x14ac:dyDescent="0.25">
      <c r="A9051" s="18">
        <v>2323</v>
      </c>
      <c r="B9051" s="4" t="s">
        <v>43</v>
      </c>
      <c r="C9051" s="38" t="s">
        <v>11494</v>
      </c>
      <c r="D9051" s="23">
        <v>2023</v>
      </c>
      <c r="E9051" s="18" t="s">
        <v>0</v>
      </c>
      <c r="F9051" s="6">
        <v>1</v>
      </c>
      <c r="G9051" s="40">
        <v>5</v>
      </c>
      <c r="H9051" s="40">
        <v>18.15278</v>
      </c>
      <c r="I9051" s="212"/>
      <c r="J9051" s="212"/>
    </row>
    <row r="9052" spans="1:10" s="15" customFormat="1" ht="18" hidden="1" customHeight="1" outlineLevel="1" x14ac:dyDescent="0.25">
      <c r="A9052" s="18">
        <v>2332</v>
      </c>
      <c r="B9052" s="4" t="s">
        <v>43</v>
      </c>
      <c r="C9052" s="38" t="s">
        <v>11495</v>
      </c>
      <c r="D9052" s="23">
        <v>2023</v>
      </c>
      <c r="E9052" s="18" t="s">
        <v>0</v>
      </c>
      <c r="F9052" s="6">
        <v>1</v>
      </c>
      <c r="G9052" s="40">
        <v>5</v>
      </c>
      <c r="H9052" s="40">
        <v>18.152790000000003</v>
      </c>
      <c r="I9052" s="212"/>
      <c r="J9052" s="212"/>
    </row>
    <row r="9053" spans="1:10" s="15" customFormat="1" ht="18" hidden="1" customHeight="1" outlineLevel="1" x14ac:dyDescent="0.25">
      <c r="A9053" s="18">
        <v>2347</v>
      </c>
      <c r="B9053" s="4" t="s">
        <v>43</v>
      </c>
      <c r="C9053" s="38" t="s">
        <v>11496</v>
      </c>
      <c r="D9053" s="23">
        <v>2023</v>
      </c>
      <c r="E9053" s="18" t="s">
        <v>0</v>
      </c>
      <c r="F9053" s="6">
        <v>1</v>
      </c>
      <c r="G9053" s="40">
        <v>5</v>
      </c>
      <c r="H9053" s="40">
        <v>18.15278</v>
      </c>
      <c r="I9053" s="212"/>
      <c r="J9053" s="212"/>
    </row>
    <row r="9054" spans="1:10" s="15" customFormat="1" ht="18" hidden="1" customHeight="1" outlineLevel="1" x14ac:dyDescent="0.25">
      <c r="A9054" s="18">
        <v>6147</v>
      </c>
      <c r="B9054" s="4" t="s">
        <v>43</v>
      </c>
      <c r="C9054" s="38" t="s">
        <v>11497</v>
      </c>
      <c r="D9054" s="23">
        <v>2023</v>
      </c>
      <c r="E9054" s="18" t="s">
        <v>0</v>
      </c>
      <c r="F9054" s="6">
        <v>1</v>
      </c>
      <c r="G9054" s="40">
        <v>10</v>
      </c>
      <c r="H9054" s="40">
        <v>18.152790000000003</v>
      </c>
      <c r="I9054" s="212"/>
      <c r="J9054" s="212"/>
    </row>
    <row r="9055" spans="1:10" s="15" customFormat="1" ht="18" hidden="1" customHeight="1" outlineLevel="1" x14ac:dyDescent="0.25">
      <c r="A9055" s="18">
        <v>6148</v>
      </c>
      <c r="B9055" s="4" t="s">
        <v>43</v>
      </c>
      <c r="C9055" s="38" t="s">
        <v>11498</v>
      </c>
      <c r="D9055" s="23">
        <v>2023</v>
      </c>
      <c r="E9055" s="18" t="s">
        <v>0</v>
      </c>
      <c r="F9055" s="6">
        <v>1</v>
      </c>
      <c r="G9055" s="40">
        <v>5</v>
      </c>
      <c r="H9055" s="40">
        <v>18.152790000000003</v>
      </c>
      <c r="I9055" s="212"/>
      <c r="J9055" s="212"/>
    </row>
    <row r="9056" spans="1:10" s="15" customFormat="1" ht="18" hidden="1" customHeight="1" outlineLevel="1" x14ac:dyDescent="0.25">
      <c r="A9056" s="18">
        <v>6149</v>
      </c>
      <c r="B9056" s="4" t="s">
        <v>43</v>
      </c>
      <c r="C9056" s="38" t="s">
        <v>11499</v>
      </c>
      <c r="D9056" s="23">
        <v>2023</v>
      </c>
      <c r="E9056" s="18" t="s">
        <v>0</v>
      </c>
      <c r="F9056" s="6">
        <v>1</v>
      </c>
      <c r="G9056" s="40">
        <v>5</v>
      </c>
      <c r="H9056" s="40">
        <v>18.15278</v>
      </c>
      <c r="I9056" s="212"/>
      <c r="J9056" s="212"/>
    </row>
    <row r="9057" spans="1:10" s="15" customFormat="1" ht="18" hidden="1" customHeight="1" outlineLevel="1" x14ac:dyDescent="0.25">
      <c r="A9057" s="18">
        <v>6150</v>
      </c>
      <c r="B9057" s="4" t="s">
        <v>43</v>
      </c>
      <c r="C9057" s="38" t="s">
        <v>11500</v>
      </c>
      <c r="D9057" s="23">
        <v>2023</v>
      </c>
      <c r="E9057" s="18" t="s">
        <v>0</v>
      </c>
      <c r="F9057" s="6">
        <v>1</v>
      </c>
      <c r="G9057" s="40">
        <v>5</v>
      </c>
      <c r="H9057" s="40">
        <v>18.152790000000003</v>
      </c>
      <c r="I9057" s="212"/>
      <c r="J9057" s="212"/>
    </row>
    <row r="9058" spans="1:10" s="15" customFormat="1" ht="18" hidden="1" customHeight="1" outlineLevel="1" x14ac:dyDescent="0.25">
      <c r="A9058" s="18">
        <v>6151</v>
      </c>
      <c r="B9058" s="4" t="s">
        <v>43</v>
      </c>
      <c r="C9058" s="38" t="s">
        <v>11501</v>
      </c>
      <c r="D9058" s="23">
        <v>2023</v>
      </c>
      <c r="E9058" s="18" t="s">
        <v>0</v>
      </c>
      <c r="F9058" s="6">
        <v>1</v>
      </c>
      <c r="G9058" s="40">
        <v>5</v>
      </c>
      <c r="H9058" s="40">
        <v>18.15278</v>
      </c>
      <c r="I9058" s="212"/>
      <c r="J9058" s="212"/>
    </row>
    <row r="9059" spans="1:10" s="15" customFormat="1" ht="18" hidden="1" customHeight="1" outlineLevel="1" x14ac:dyDescent="0.25">
      <c r="A9059" s="18">
        <v>6152</v>
      </c>
      <c r="B9059" s="4" t="s">
        <v>43</v>
      </c>
      <c r="C9059" s="38" t="s">
        <v>11502</v>
      </c>
      <c r="D9059" s="23">
        <v>2023</v>
      </c>
      <c r="E9059" s="18" t="s">
        <v>0</v>
      </c>
      <c r="F9059" s="6">
        <v>1</v>
      </c>
      <c r="G9059" s="40">
        <v>5</v>
      </c>
      <c r="H9059" s="40">
        <v>18.152790000000003</v>
      </c>
      <c r="I9059" s="212"/>
      <c r="J9059" s="212"/>
    </row>
    <row r="9060" spans="1:10" s="15" customFormat="1" ht="18" hidden="1" customHeight="1" outlineLevel="1" x14ac:dyDescent="0.25">
      <c r="A9060" s="18">
        <v>6153</v>
      </c>
      <c r="B9060" s="4" t="s">
        <v>43</v>
      </c>
      <c r="C9060" s="38" t="s">
        <v>11503</v>
      </c>
      <c r="D9060" s="23">
        <v>2023</v>
      </c>
      <c r="E9060" s="18" t="s">
        <v>0</v>
      </c>
      <c r="F9060" s="6">
        <v>1</v>
      </c>
      <c r="G9060" s="40">
        <v>5</v>
      </c>
      <c r="H9060" s="40">
        <v>18.15278</v>
      </c>
      <c r="I9060" s="212"/>
      <c r="J9060" s="212"/>
    </row>
    <row r="9061" spans="1:10" s="15" customFormat="1" ht="18" hidden="1" customHeight="1" outlineLevel="1" x14ac:dyDescent="0.25">
      <c r="A9061" s="18">
        <v>6154</v>
      </c>
      <c r="B9061" s="4" t="s">
        <v>43</v>
      </c>
      <c r="C9061" s="38" t="s">
        <v>11504</v>
      </c>
      <c r="D9061" s="23">
        <v>2023</v>
      </c>
      <c r="E9061" s="18" t="s">
        <v>0</v>
      </c>
      <c r="F9061" s="6">
        <v>1</v>
      </c>
      <c r="G9061" s="40">
        <v>5</v>
      </c>
      <c r="H9061" s="40">
        <v>18.152790000000003</v>
      </c>
      <c r="I9061" s="212"/>
      <c r="J9061" s="212"/>
    </row>
    <row r="9062" spans="1:10" s="15" customFormat="1" ht="18" hidden="1" customHeight="1" outlineLevel="1" x14ac:dyDescent="0.25">
      <c r="A9062" s="18">
        <v>2344</v>
      </c>
      <c r="B9062" s="4" t="s">
        <v>43</v>
      </c>
      <c r="C9062" s="38" t="s">
        <v>11505</v>
      </c>
      <c r="D9062" s="23">
        <v>2023</v>
      </c>
      <c r="E9062" s="18" t="s">
        <v>0</v>
      </c>
      <c r="F9062" s="6">
        <v>1</v>
      </c>
      <c r="G9062" s="40">
        <v>5</v>
      </c>
      <c r="H9062" s="40">
        <v>18.15278</v>
      </c>
      <c r="I9062" s="212"/>
      <c r="J9062" s="212"/>
    </row>
    <row r="9063" spans="1:10" s="15" customFormat="1" ht="18" hidden="1" customHeight="1" outlineLevel="1" x14ac:dyDescent="0.25">
      <c r="A9063" s="18">
        <v>2308</v>
      </c>
      <c r="B9063" s="4" t="s">
        <v>43</v>
      </c>
      <c r="C9063" s="38" t="s">
        <v>11506</v>
      </c>
      <c r="D9063" s="23">
        <v>2023</v>
      </c>
      <c r="E9063" s="18" t="s">
        <v>0</v>
      </c>
      <c r="F9063" s="6">
        <v>1</v>
      </c>
      <c r="G9063" s="40">
        <v>5</v>
      </c>
      <c r="H9063" s="40">
        <v>18.152790000000003</v>
      </c>
      <c r="I9063" s="212"/>
      <c r="J9063" s="212"/>
    </row>
    <row r="9064" spans="1:10" s="15" customFormat="1" ht="18" hidden="1" customHeight="1" outlineLevel="1" x14ac:dyDescent="0.25">
      <c r="A9064" s="18">
        <v>6155</v>
      </c>
      <c r="B9064" s="4" t="s">
        <v>43</v>
      </c>
      <c r="C9064" s="38" t="s">
        <v>11507</v>
      </c>
      <c r="D9064" s="23">
        <v>2023</v>
      </c>
      <c r="E9064" s="18" t="s">
        <v>0</v>
      </c>
      <c r="F9064" s="6">
        <v>1</v>
      </c>
      <c r="G9064" s="40">
        <v>15</v>
      </c>
      <c r="H9064" s="40">
        <v>18.15278</v>
      </c>
      <c r="I9064" s="212"/>
      <c r="J9064" s="212"/>
    </row>
    <row r="9065" spans="1:10" s="15" customFormat="1" ht="18" hidden="1" customHeight="1" outlineLevel="1" x14ac:dyDescent="0.25">
      <c r="A9065" s="18">
        <v>3869</v>
      </c>
      <c r="B9065" s="4" t="s">
        <v>43</v>
      </c>
      <c r="C9065" s="38" t="s">
        <v>11508</v>
      </c>
      <c r="D9065" s="23">
        <v>2023</v>
      </c>
      <c r="E9065" s="18" t="s">
        <v>0</v>
      </c>
      <c r="F9065" s="6">
        <v>1</v>
      </c>
      <c r="G9065" s="40">
        <v>8</v>
      </c>
      <c r="H9065" s="40">
        <v>18.152790000000003</v>
      </c>
      <c r="I9065" s="212"/>
      <c r="J9065" s="212"/>
    </row>
    <row r="9066" spans="1:10" s="15" customFormat="1" ht="18" hidden="1" customHeight="1" outlineLevel="1" x14ac:dyDescent="0.25">
      <c r="A9066" s="18">
        <v>6158</v>
      </c>
      <c r="B9066" s="4" t="s">
        <v>43</v>
      </c>
      <c r="C9066" s="38" t="s">
        <v>11509</v>
      </c>
      <c r="D9066" s="23">
        <v>2023</v>
      </c>
      <c r="E9066" s="18" t="s">
        <v>0</v>
      </c>
      <c r="F9066" s="6">
        <v>1</v>
      </c>
      <c r="G9066" s="40">
        <v>3</v>
      </c>
      <c r="H9066" s="40">
        <v>18.17953</v>
      </c>
      <c r="I9066" s="212"/>
      <c r="J9066" s="212"/>
    </row>
    <row r="9067" spans="1:10" s="15" customFormat="1" ht="18" hidden="1" customHeight="1" outlineLevel="1" x14ac:dyDescent="0.25">
      <c r="A9067" s="18">
        <v>6159</v>
      </c>
      <c r="B9067" s="4" t="s">
        <v>43</v>
      </c>
      <c r="C9067" s="38" t="s">
        <v>11510</v>
      </c>
      <c r="D9067" s="23">
        <v>2023</v>
      </c>
      <c r="E9067" s="18" t="s">
        <v>0</v>
      </c>
      <c r="F9067" s="6">
        <v>1</v>
      </c>
      <c r="G9067" s="40">
        <v>5</v>
      </c>
      <c r="H9067" s="40">
        <v>18.17952</v>
      </c>
      <c r="I9067" s="212"/>
      <c r="J9067" s="212"/>
    </row>
    <row r="9068" spans="1:10" s="15" customFormat="1" ht="18" hidden="1" customHeight="1" outlineLevel="1" x14ac:dyDescent="0.25">
      <c r="A9068" s="18">
        <v>2499</v>
      </c>
      <c r="B9068" s="4" t="s">
        <v>43</v>
      </c>
      <c r="C9068" s="38" t="s">
        <v>11511</v>
      </c>
      <c r="D9068" s="23">
        <v>2023</v>
      </c>
      <c r="E9068" s="18" t="s">
        <v>0</v>
      </c>
      <c r="F9068" s="6">
        <v>1</v>
      </c>
      <c r="G9068" s="40">
        <v>15</v>
      </c>
      <c r="H9068" s="40">
        <v>18.41112</v>
      </c>
      <c r="I9068" s="212"/>
      <c r="J9068" s="212"/>
    </row>
    <row r="9069" spans="1:10" s="15" customFormat="1" ht="18" hidden="1" customHeight="1" outlineLevel="1" x14ac:dyDescent="0.25">
      <c r="A9069" s="18">
        <v>414</v>
      </c>
      <c r="B9069" s="4" t="s">
        <v>43</v>
      </c>
      <c r="C9069" s="38" t="s">
        <v>8602</v>
      </c>
      <c r="D9069" s="23">
        <v>2023</v>
      </c>
      <c r="E9069" s="18" t="s">
        <v>0</v>
      </c>
      <c r="F9069" s="6">
        <v>2</v>
      </c>
      <c r="G9069" s="40">
        <v>20</v>
      </c>
      <c r="H9069" s="40">
        <v>62</v>
      </c>
      <c r="I9069" s="212"/>
      <c r="J9069" s="212"/>
    </row>
    <row r="9070" spans="1:10" s="15" customFormat="1" ht="18" hidden="1" customHeight="1" outlineLevel="1" x14ac:dyDescent="0.25">
      <c r="A9070" s="18">
        <v>950</v>
      </c>
      <c r="B9070" s="4" t="s">
        <v>43</v>
      </c>
      <c r="C9070" s="38" t="s">
        <v>11512</v>
      </c>
      <c r="D9070" s="23">
        <v>2023</v>
      </c>
      <c r="E9070" s="18" t="s">
        <v>0</v>
      </c>
      <c r="F9070" s="6">
        <v>1</v>
      </c>
      <c r="G9070" s="40">
        <v>15</v>
      </c>
      <c r="H9070" s="40">
        <v>25.379439999999999</v>
      </c>
      <c r="I9070" s="212"/>
      <c r="J9070" s="212"/>
    </row>
    <row r="9071" spans="1:10" s="15" customFormat="1" ht="18" hidden="1" customHeight="1" outlineLevel="1" x14ac:dyDescent="0.25">
      <c r="A9071" s="18">
        <v>850</v>
      </c>
      <c r="B9071" s="4" t="s">
        <v>43</v>
      </c>
      <c r="C9071" s="38" t="s">
        <v>11513</v>
      </c>
      <c r="D9071" s="23">
        <v>2023</v>
      </c>
      <c r="E9071" s="18" t="s">
        <v>0</v>
      </c>
      <c r="F9071" s="6">
        <v>1</v>
      </c>
      <c r="G9071" s="40">
        <v>2</v>
      </c>
      <c r="H9071" s="40">
        <v>34.553800000000003</v>
      </c>
      <c r="I9071" s="212"/>
      <c r="J9071" s="212"/>
    </row>
    <row r="9072" spans="1:10" s="15" customFormat="1" ht="18" hidden="1" customHeight="1" outlineLevel="1" x14ac:dyDescent="0.25">
      <c r="A9072" s="18">
        <v>573</v>
      </c>
      <c r="B9072" s="4" t="s">
        <v>43</v>
      </c>
      <c r="C9072" s="38" t="s">
        <v>11514</v>
      </c>
      <c r="D9072" s="23">
        <v>2023</v>
      </c>
      <c r="E9072" s="18" t="s">
        <v>0</v>
      </c>
      <c r="F9072" s="6">
        <v>1</v>
      </c>
      <c r="G9072" s="40">
        <v>7</v>
      </c>
      <c r="H9072" s="40">
        <v>25.029060000000001</v>
      </c>
      <c r="I9072" s="212"/>
      <c r="J9072" s="212"/>
    </row>
    <row r="9073" spans="1:10" s="15" customFormat="1" ht="18" hidden="1" customHeight="1" outlineLevel="1" x14ac:dyDescent="0.25">
      <c r="A9073" s="18">
        <v>1138</v>
      </c>
      <c r="B9073" s="4" t="s">
        <v>43</v>
      </c>
      <c r="C9073" s="38" t="s">
        <v>11515</v>
      </c>
      <c r="D9073" s="23">
        <v>2023</v>
      </c>
      <c r="E9073" s="18" t="s">
        <v>0</v>
      </c>
      <c r="F9073" s="6">
        <v>1</v>
      </c>
      <c r="G9073" s="40">
        <v>4.5</v>
      </c>
      <c r="H9073" s="40">
        <v>28.009070000000001</v>
      </c>
      <c r="I9073" s="212"/>
      <c r="J9073" s="212"/>
    </row>
    <row r="9074" spans="1:10" s="15" customFormat="1" ht="18" hidden="1" customHeight="1" outlineLevel="1" x14ac:dyDescent="0.25">
      <c r="A9074" s="18">
        <v>4925</v>
      </c>
      <c r="B9074" s="4" t="s">
        <v>43</v>
      </c>
      <c r="C9074" s="38" t="s">
        <v>11516</v>
      </c>
      <c r="D9074" s="23">
        <v>2023</v>
      </c>
      <c r="E9074" s="18" t="s">
        <v>0</v>
      </c>
      <c r="F9074" s="6">
        <v>1</v>
      </c>
      <c r="G9074" s="40">
        <v>2</v>
      </c>
      <c r="H9074" s="40">
        <v>13.51704</v>
      </c>
      <c r="I9074" s="212"/>
      <c r="J9074" s="212"/>
    </row>
    <row r="9075" spans="1:10" s="15" customFormat="1" ht="18" hidden="1" customHeight="1" outlineLevel="1" x14ac:dyDescent="0.25">
      <c r="A9075" s="18">
        <v>4926</v>
      </c>
      <c r="B9075" s="4" t="s">
        <v>43</v>
      </c>
      <c r="C9075" s="38" t="s">
        <v>11517</v>
      </c>
      <c r="D9075" s="23">
        <v>2023</v>
      </c>
      <c r="E9075" s="18" t="s">
        <v>0</v>
      </c>
      <c r="F9075" s="6">
        <v>1</v>
      </c>
      <c r="G9075" s="40">
        <v>1</v>
      </c>
      <c r="H9075" s="40">
        <v>13.501530000000001</v>
      </c>
      <c r="I9075" s="212"/>
      <c r="J9075" s="212"/>
    </row>
    <row r="9076" spans="1:10" s="15" customFormat="1" ht="18" hidden="1" customHeight="1" outlineLevel="1" x14ac:dyDescent="0.25">
      <c r="A9076" s="18">
        <v>4927</v>
      </c>
      <c r="B9076" s="4" t="s">
        <v>43</v>
      </c>
      <c r="C9076" s="38" t="s">
        <v>11518</v>
      </c>
      <c r="D9076" s="23">
        <v>2023</v>
      </c>
      <c r="E9076" s="18" t="s">
        <v>0</v>
      </c>
      <c r="F9076" s="6">
        <v>1</v>
      </c>
      <c r="G9076" s="40">
        <v>4.5</v>
      </c>
      <c r="H9076" s="40">
        <v>14.39842</v>
      </c>
      <c r="I9076" s="212"/>
      <c r="J9076" s="212"/>
    </row>
    <row r="9077" spans="1:10" s="15" customFormat="1" ht="18" hidden="1" customHeight="1" outlineLevel="1" x14ac:dyDescent="0.25">
      <c r="A9077" s="18">
        <v>1243</v>
      </c>
      <c r="B9077" s="4" t="s">
        <v>43</v>
      </c>
      <c r="C9077" s="38" t="s">
        <v>11519</v>
      </c>
      <c r="D9077" s="23">
        <v>2023</v>
      </c>
      <c r="E9077" s="18" t="s">
        <v>0</v>
      </c>
      <c r="F9077" s="6">
        <v>1</v>
      </c>
      <c r="G9077" s="40">
        <v>14</v>
      </c>
      <c r="H9077" s="40">
        <v>14.41427</v>
      </c>
      <c r="I9077" s="212"/>
      <c r="J9077" s="212"/>
    </row>
    <row r="9078" spans="1:10" s="15" customFormat="1" ht="18" hidden="1" customHeight="1" outlineLevel="1" x14ac:dyDescent="0.25">
      <c r="A9078" s="18">
        <v>1224</v>
      </c>
      <c r="B9078" s="4" t="s">
        <v>43</v>
      </c>
      <c r="C9078" s="38" t="s">
        <v>11520</v>
      </c>
      <c r="D9078" s="23">
        <v>2023</v>
      </c>
      <c r="E9078" s="18" t="s">
        <v>0</v>
      </c>
      <c r="F9078" s="6">
        <v>1</v>
      </c>
      <c r="G9078" s="40">
        <v>5</v>
      </c>
      <c r="H9078" s="40">
        <v>30</v>
      </c>
      <c r="I9078" s="212"/>
      <c r="J9078" s="212"/>
    </row>
    <row r="9079" spans="1:10" s="15" customFormat="1" ht="18" hidden="1" customHeight="1" outlineLevel="1" x14ac:dyDescent="0.25">
      <c r="A9079" s="18">
        <v>4930</v>
      </c>
      <c r="B9079" s="4" t="s">
        <v>43</v>
      </c>
      <c r="C9079" s="38" t="s">
        <v>11521</v>
      </c>
      <c r="D9079" s="23">
        <v>2023</v>
      </c>
      <c r="E9079" s="18" t="s">
        <v>0</v>
      </c>
      <c r="F9079" s="6">
        <v>1</v>
      </c>
      <c r="G9079" s="40">
        <v>9</v>
      </c>
      <c r="H9079" s="40">
        <v>25</v>
      </c>
      <c r="I9079" s="212"/>
      <c r="J9079" s="212"/>
    </row>
    <row r="9080" spans="1:10" s="15" customFormat="1" ht="18" hidden="1" customHeight="1" outlineLevel="1" x14ac:dyDescent="0.25">
      <c r="A9080" s="18">
        <v>4931</v>
      </c>
      <c r="B9080" s="4" t="s">
        <v>43</v>
      </c>
      <c r="C9080" s="38" t="s">
        <v>11522</v>
      </c>
      <c r="D9080" s="23">
        <v>2023</v>
      </c>
      <c r="E9080" s="18" t="s">
        <v>0</v>
      </c>
      <c r="F9080" s="6">
        <v>1</v>
      </c>
      <c r="G9080" s="40">
        <v>8</v>
      </c>
      <c r="H9080" s="40">
        <v>26</v>
      </c>
      <c r="I9080" s="212"/>
      <c r="J9080" s="212"/>
    </row>
    <row r="9081" spans="1:10" s="15" customFormat="1" ht="18" hidden="1" customHeight="1" outlineLevel="1" x14ac:dyDescent="0.25">
      <c r="A9081" s="18">
        <v>1360</v>
      </c>
      <c r="B9081" s="4" t="s">
        <v>43</v>
      </c>
      <c r="C9081" s="38" t="s">
        <v>11523</v>
      </c>
      <c r="D9081" s="23">
        <v>2023</v>
      </c>
      <c r="E9081" s="18" t="s">
        <v>0</v>
      </c>
      <c r="F9081" s="6">
        <v>1</v>
      </c>
      <c r="G9081" s="40">
        <v>1</v>
      </c>
      <c r="H9081" s="40">
        <v>26</v>
      </c>
      <c r="I9081" s="212"/>
      <c r="J9081" s="212"/>
    </row>
    <row r="9082" spans="1:10" s="15" customFormat="1" ht="18" hidden="1" customHeight="1" outlineLevel="1" x14ac:dyDescent="0.25">
      <c r="A9082" s="18">
        <v>4955</v>
      </c>
      <c r="B9082" s="4" t="s">
        <v>43</v>
      </c>
      <c r="C9082" s="38" t="s">
        <v>11524</v>
      </c>
      <c r="D9082" s="23">
        <v>2023</v>
      </c>
      <c r="E9082" s="18" t="s">
        <v>0</v>
      </c>
      <c r="F9082" s="6">
        <v>1</v>
      </c>
      <c r="G9082" s="40">
        <v>1</v>
      </c>
      <c r="H9082" s="40">
        <v>26</v>
      </c>
      <c r="I9082" s="212"/>
      <c r="J9082" s="212"/>
    </row>
    <row r="9083" spans="1:10" s="15" customFormat="1" ht="18" hidden="1" customHeight="1" outlineLevel="1" x14ac:dyDescent="0.25">
      <c r="A9083" s="18">
        <v>1599</v>
      </c>
      <c r="B9083" s="4" t="s">
        <v>43</v>
      </c>
      <c r="C9083" s="38" t="s">
        <v>11525</v>
      </c>
      <c r="D9083" s="23">
        <v>2023</v>
      </c>
      <c r="E9083" s="18" t="s">
        <v>0</v>
      </c>
      <c r="F9083" s="6">
        <v>1</v>
      </c>
      <c r="G9083" s="40">
        <v>5</v>
      </c>
      <c r="H9083" s="40">
        <v>30</v>
      </c>
      <c r="I9083" s="212"/>
      <c r="J9083" s="212"/>
    </row>
    <row r="9084" spans="1:10" s="15" customFormat="1" ht="18" hidden="1" customHeight="1" outlineLevel="1" x14ac:dyDescent="0.25">
      <c r="A9084" s="18">
        <v>2040</v>
      </c>
      <c r="B9084" s="4" t="s">
        <v>43</v>
      </c>
      <c r="C9084" s="38" t="s">
        <v>11526</v>
      </c>
      <c r="D9084" s="23">
        <v>2023</v>
      </c>
      <c r="E9084" s="18" t="s">
        <v>0</v>
      </c>
      <c r="F9084" s="6">
        <v>1</v>
      </c>
      <c r="G9084" s="40">
        <v>5</v>
      </c>
      <c r="H9084" s="40">
        <v>26</v>
      </c>
      <c r="I9084" s="212"/>
      <c r="J9084" s="212"/>
    </row>
    <row r="9085" spans="1:10" s="15" customFormat="1" ht="18" hidden="1" customHeight="1" outlineLevel="1" x14ac:dyDescent="0.25">
      <c r="A9085" s="18">
        <v>1496</v>
      </c>
      <c r="B9085" s="4" t="s">
        <v>43</v>
      </c>
      <c r="C9085" s="38" t="s">
        <v>11527</v>
      </c>
      <c r="D9085" s="23">
        <v>2023</v>
      </c>
      <c r="E9085" s="18" t="s">
        <v>0</v>
      </c>
      <c r="F9085" s="6">
        <v>1</v>
      </c>
      <c r="G9085" s="40">
        <v>6</v>
      </c>
      <c r="H9085" s="40">
        <v>28</v>
      </c>
      <c r="I9085" s="212"/>
      <c r="J9085" s="212"/>
    </row>
    <row r="9086" spans="1:10" s="15" customFormat="1" ht="18" hidden="1" customHeight="1" outlineLevel="1" x14ac:dyDescent="0.25">
      <c r="A9086" s="18">
        <v>2058</v>
      </c>
      <c r="B9086" s="4" t="s">
        <v>43</v>
      </c>
      <c r="C9086" s="38" t="s">
        <v>11528</v>
      </c>
      <c r="D9086" s="23">
        <v>2023</v>
      </c>
      <c r="E9086" s="18" t="s">
        <v>0</v>
      </c>
      <c r="F9086" s="6">
        <v>1</v>
      </c>
      <c r="G9086" s="40">
        <v>3</v>
      </c>
      <c r="H9086" s="40">
        <v>27</v>
      </c>
      <c r="I9086" s="212"/>
      <c r="J9086" s="212"/>
    </row>
    <row r="9087" spans="1:10" s="15" customFormat="1" ht="18" hidden="1" customHeight="1" outlineLevel="1" x14ac:dyDescent="0.25">
      <c r="A9087" s="18">
        <v>914</v>
      </c>
      <c r="B9087" s="4" t="s">
        <v>43</v>
      </c>
      <c r="C9087" s="38" t="s">
        <v>11529</v>
      </c>
      <c r="D9087" s="23">
        <v>2023</v>
      </c>
      <c r="E9087" s="18" t="s">
        <v>0</v>
      </c>
      <c r="F9087" s="6">
        <v>1</v>
      </c>
      <c r="G9087" s="40">
        <v>7</v>
      </c>
      <c r="H9087" s="40">
        <v>27</v>
      </c>
      <c r="I9087" s="212"/>
      <c r="J9087" s="212"/>
    </row>
    <row r="9088" spans="1:10" s="15" customFormat="1" ht="18" hidden="1" customHeight="1" outlineLevel="1" x14ac:dyDescent="0.25">
      <c r="A9088" s="18">
        <v>1740</v>
      </c>
      <c r="B9088" s="4" t="s">
        <v>43</v>
      </c>
      <c r="C9088" s="38" t="s">
        <v>11530</v>
      </c>
      <c r="D9088" s="23">
        <v>2023</v>
      </c>
      <c r="E9088" s="18" t="s">
        <v>0</v>
      </c>
      <c r="F9088" s="6">
        <v>1</v>
      </c>
      <c r="G9088" s="40">
        <v>1</v>
      </c>
      <c r="H9088" s="40">
        <v>25</v>
      </c>
      <c r="I9088" s="212"/>
      <c r="J9088" s="212"/>
    </row>
    <row r="9089" spans="1:10" s="15" customFormat="1" ht="18" hidden="1" customHeight="1" outlineLevel="1" x14ac:dyDescent="0.25">
      <c r="A9089" s="18">
        <v>1605</v>
      </c>
      <c r="B9089" s="4" t="s">
        <v>43</v>
      </c>
      <c r="C9089" s="38" t="s">
        <v>11531</v>
      </c>
      <c r="D9089" s="23">
        <v>2023</v>
      </c>
      <c r="E9089" s="18" t="s">
        <v>0</v>
      </c>
      <c r="F9089" s="6">
        <v>1</v>
      </c>
      <c r="G9089" s="40">
        <v>5</v>
      </c>
      <c r="H9089" s="40">
        <v>25</v>
      </c>
      <c r="I9089" s="212"/>
      <c r="J9089" s="212"/>
    </row>
    <row r="9090" spans="1:10" s="15" customFormat="1" ht="18" hidden="1" customHeight="1" outlineLevel="1" x14ac:dyDescent="0.25">
      <c r="A9090" s="18">
        <v>1604</v>
      </c>
      <c r="B9090" s="4" t="s">
        <v>43</v>
      </c>
      <c r="C9090" s="38" t="s">
        <v>11532</v>
      </c>
      <c r="D9090" s="23">
        <v>2023</v>
      </c>
      <c r="E9090" s="18" t="s">
        <v>0</v>
      </c>
      <c r="F9090" s="6">
        <v>1</v>
      </c>
      <c r="G9090" s="40">
        <v>1</v>
      </c>
      <c r="H9090" s="40">
        <v>25</v>
      </c>
      <c r="I9090" s="212"/>
      <c r="J9090" s="212"/>
    </row>
    <row r="9091" spans="1:10" s="15" customFormat="1" ht="18" hidden="1" customHeight="1" outlineLevel="1" x14ac:dyDescent="0.25">
      <c r="A9091" s="18">
        <v>4949</v>
      </c>
      <c r="B9091" s="4" t="s">
        <v>43</v>
      </c>
      <c r="C9091" s="38" t="s">
        <v>11533</v>
      </c>
      <c r="D9091" s="23">
        <v>2023</v>
      </c>
      <c r="E9091" s="18" t="s">
        <v>0</v>
      </c>
      <c r="F9091" s="6">
        <v>1</v>
      </c>
      <c r="G9091" s="40">
        <v>5</v>
      </c>
      <c r="H9091" s="40">
        <v>25</v>
      </c>
      <c r="I9091" s="212"/>
      <c r="J9091" s="212"/>
    </row>
    <row r="9092" spans="1:10" s="15" customFormat="1" ht="18" hidden="1" customHeight="1" outlineLevel="1" x14ac:dyDescent="0.25">
      <c r="A9092" s="18">
        <v>4950</v>
      </c>
      <c r="B9092" s="4" t="s">
        <v>43</v>
      </c>
      <c r="C9092" s="38" t="s">
        <v>11534</v>
      </c>
      <c r="D9092" s="23">
        <v>2023</v>
      </c>
      <c r="E9092" s="18" t="s">
        <v>0</v>
      </c>
      <c r="F9092" s="6">
        <v>1</v>
      </c>
      <c r="G9092" s="40">
        <v>5</v>
      </c>
      <c r="H9092" s="40">
        <v>25</v>
      </c>
      <c r="I9092" s="212"/>
      <c r="J9092" s="212"/>
    </row>
    <row r="9093" spans="1:10" s="15" customFormat="1" ht="18" hidden="1" customHeight="1" outlineLevel="1" x14ac:dyDescent="0.25">
      <c r="A9093" s="18">
        <v>2514</v>
      </c>
      <c r="B9093" s="4" t="s">
        <v>43</v>
      </c>
      <c r="C9093" s="38" t="s">
        <v>11535</v>
      </c>
      <c r="D9093" s="23">
        <v>2023</v>
      </c>
      <c r="E9093" s="18" t="s">
        <v>0</v>
      </c>
      <c r="F9093" s="6">
        <v>1</v>
      </c>
      <c r="G9093" s="40">
        <v>3</v>
      </c>
      <c r="H9093" s="40">
        <v>27</v>
      </c>
      <c r="I9093" s="212"/>
      <c r="J9093" s="212"/>
    </row>
    <row r="9094" spans="1:10" s="15" customFormat="1" ht="18" hidden="1" customHeight="1" outlineLevel="1" x14ac:dyDescent="0.25">
      <c r="A9094" s="18">
        <v>4962</v>
      </c>
      <c r="B9094" s="4" t="s">
        <v>43</v>
      </c>
      <c r="C9094" s="38" t="s">
        <v>11536</v>
      </c>
      <c r="D9094" s="23">
        <v>2023</v>
      </c>
      <c r="E9094" s="18" t="s">
        <v>0</v>
      </c>
      <c r="F9094" s="6">
        <v>1</v>
      </c>
      <c r="G9094" s="40">
        <v>6</v>
      </c>
      <c r="H9094" s="40">
        <v>25</v>
      </c>
      <c r="I9094" s="212"/>
      <c r="J9094" s="212"/>
    </row>
    <row r="9095" spans="1:10" s="15" customFormat="1" ht="18" hidden="1" customHeight="1" outlineLevel="1" x14ac:dyDescent="0.25">
      <c r="A9095" s="18">
        <v>4975</v>
      </c>
      <c r="B9095" s="4" t="s">
        <v>43</v>
      </c>
      <c r="C9095" s="38" t="s">
        <v>11537</v>
      </c>
      <c r="D9095" s="23">
        <v>2023</v>
      </c>
      <c r="E9095" s="18" t="s">
        <v>0</v>
      </c>
      <c r="F9095" s="6">
        <v>1</v>
      </c>
      <c r="G9095" s="40">
        <v>10</v>
      </c>
      <c r="H9095" s="40">
        <v>20</v>
      </c>
      <c r="I9095" s="212"/>
      <c r="J9095" s="212"/>
    </row>
    <row r="9096" spans="1:10" s="15" customFormat="1" ht="18" hidden="1" customHeight="1" outlineLevel="1" x14ac:dyDescent="0.25">
      <c r="A9096" s="18">
        <v>4976</v>
      </c>
      <c r="B9096" s="4" t="s">
        <v>43</v>
      </c>
      <c r="C9096" s="38" t="s">
        <v>11538</v>
      </c>
      <c r="D9096" s="23">
        <v>2023</v>
      </c>
      <c r="E9096" s="18" t="s">
        <v>0</v>
      </c>
      <c r="F9096" s="6">
        <v>1</v>
      </c>
      <c r="G9096" s="40">
        <v>15</v>
      </c>
      <c r="H9096" s="40">
        <v>37</v>
      </c>
      <c r="I9096" s="212"/>
      <c r="J9096" s="212"/>
    </row>
    <row r="9097" spans="1:10" s="15" customFormat="1" ht="18" hidden="1" customHeight="1" outlineLevel="1" x14ac:dyDescent="0.25">
      <c r="A9097" s="18">
        <v>4977</v>
      </c>
      <c r="B9097" s="4" t="s">
        <v>43</v>
      </c>
      <c r="C9097" s="38" t="s">
        <v>11539</v>
      </c>
      <c r="D9097" s="23">
        <v>2023</v>
      </c>
      <c r="E9097" s="18" t="s">
        <v>0</v>
      </c>
      <c r="F9097" s="6">
        <v>1</v>
      </c>
      <c r="G9097" s="40">
        <v>6</v>
      </c>
      <c r="H9097" s="40">
        <v>28</v>
      </c>
      <c r="I9097" s="212"/>
      <c r="J9097" s="212"/>
    </row>
    <row r="9098" spans="1:10" s="15" customFormat="1" ht="18" hidden="1" customHeight="1" outlineLevel="1" x14ac:dyDescent="0.25">
      <c r="A9098" s="18">
        <v>2216</v>
      </c>
      <c r="B9098" s="4" t="s">
        <v>43</v>
      </c>
      <c r="C9098" s="38" t="s">
        <v>11540</v>
      </c>
      <c r="D9098" s="23">
        <v>2023</v>
      </c>
      <c r="E9098" s="18" t="s">
        <v>0</v>
      </c>
      <c r="F9098" s="6">
        <v>1</v>
      </c>
      <c r="G9098" s="40"/>
      <c r="H9098" s="40"/>
      <c r="I9098" s="212"/>
      <c r="J9098" s="212"/>
    </row>
    <row r="9099" spans="1:10" s="15" customFormat="1" ht="18" hidden="1" customHeight="1" outlineLevel="1" x14ac:dyDescent="0.25">
      <c r="A9099" s="18">
        <v>4978</v>
      </c>
      <c r="B9099" s="4" t="s">
        <v>43</v>
      </c>
      <c r="C9099" s="38" t="s">
        <v>11541</v>
      </c>
      <c r="D9099" s="23">
        <v>2023</v>
      </c>
      <c r="E9099" s="18" t="s">
        <v>0</v>
      </c>
      <c r="F9099" s="6">
        <v>1</v>
      </c>
      <c r="G9099" s="40">
        <v>7</v>
      </c>
      <c r="H9099" s="40">
        <v>19</v>
      </c>
      <c r="I9099" s="212"/>
      <c r="J9099" s="212"/>
    </row>
    <row r="9100" spans="1:10" s="15" customFormat="1" ht="18" hidden="1" customHeight="1" outlineLevel="1" x14ac:dyDescent="0.25">
      <c r="A9100" s="18">
        <v>4981</v>
      </c>
      <c r="B9100" s="4" t="s">
        <v>43</v>
      </c>
      <c r="C9100" s="38" t="s">
        <v>11542</v>
      </c>
      <c r="D9100" s="23">
        <v>2023</v>
      </c>
      <c r="E9100" s="18" t="s">
        <v>0</v>
      </c>
      <c r="F9100" s="6">
        <v>1</v>
      </c>
      <c r="G9100" s="40">
        <v>5</v>
      </c>
      <c r="H9100" s="40">
        <v>22</v>
      </c>
      <c r="I9100" s="212"/>
      <c r="J9100" s="212"/>
    </row>
    <row r="9101" spans="1:10" s="15" customFormat="1" ht="18" hidden="1" customHeight="1" outlineLevel="1" x14ac:dyDescent="0.25">
      <c r="A9101" s="18">
        <v>4963</v>
      </c>
      <c r="B9101" s="4" t="s">
        <v>43</v>
      </c>
      <c r="C9101" s="38" t="s">
        <v>11543</v>
      </c>
      <c r="D9101" s="23">
        <v>2023</v>
      </c>
      <c r="E9101" s="18" t="s">
        <v>0</v>
      </c>
      <c r="F9101" s="6">
        <v>1</v>
      </c>
      <c r="G9101" s="40">
        <v>5</v>
      </c>
      <c r="H9101" s="40">
        <v>20</v>
      </c>
      <c r="I9101" s="212"/>
      <c r="J9101" s="212"/>
    </row>
    <row r="9102" spans="1:10" s="15" customFormat="1" ht="18" hidden="1" customHeight="1" outlineLevel="1" x14ac:dyDescent="0.25">
      <c r="A9102" s="18">
        <v>2699</v>
      </c>
      <c r="B9102" s="4" t="s">
        <v>43</v>
      </c>
      <c r="C9102" s="38" t="s">
        <v>11544</v>
      </c>
      <c r="D9102" s="23">
        <v>2023</v>
      </c>
      <c r="E9102" s="18" t="s">
        <v>0</v>
      </c>
      <c r="F9102" s="6">
        <v>1</v>
      </c>
      <c r="G9102" s="40">
        <v>5</v>
      </c>
      <c r="H9102" s="40">
        <v>20</v>
      </c>
      <c r="I9102" s="212"/>
      <c r="J9102" s="212"/>
    </row>
    <row r="9103" spans="1:10" s="15" customFormat="1" ht="18" hidden="1" customHeight="1" outlineLevel="1" x14ac:dyDescent="0.25">
      <c r="A9103" s="18">
        <v>2272</v>
      </c>
      <c r="B9103" s="4" t="s">
        <v>43</v>
      </c>
      <c r="C9103" s="38" t="s">
        <v>11545</v>
      </c>
      <c r="D9103" s="23">
        <v>2023</v>
      </c>
      <c r="E9103" s="18" t="s">
        <v>0</v>
      </c>
      <c r="F9103" s="6">
        <v>1</v>
      </c>
      <c r="G9103" s="40">
        <v>5</v>
      </c>
      <c r="H9103" s="40">
        <v>20</v>
      </c>
      <c r="I9103" s="212"/>
      <c r="J9103" s="212"/>
    </row>
    <row r="9104" spans="1:10" s="15" customFormat="1" ht="18" hidden="1" customHeight="1" outlineLevel="1" x14ac:dyDescent="0.25">
      <c r="A9104" s="18">
        <v>4987</v>
      </c>
      <c r="B9104" s="4" t="s">
        <v>43</v>
      </c>
      <c r="C9104" s="38" t="s">
        <v>11546</v>
      </c>
      <c r="D9104" s="23">
        <v>2023</v>
      </c>
      <c r="E9104" s="18" t="s">
        <v>0</v>
      </c>
      <c r="F9104" s="6">
        <v>1</v>
      </c>
      <c r="G9104" s="40">
        <v>1</v>
      </c>
      <c r="H9104" s="40">
        <v>20</v>
      </c>
      <c r="I9104" s="212"/>
      <c r="J9104" s="212"/>
    </row>
    <row r="9105" spans="1:10" s="15" customFormat="1" ht="18" hidden="1" customHeight="1" outlineLevel="1" x14ac:dyDescent="0.25">
      <c r="A9105" s="18">
        <v>2286</v>
      </c>
      <c r="B9105" s="4" t="s">
        <v>43</v>
      </c>
      <c r="C9105" s="38" t="s">
        <v>11547</v>
      </c>
      <c r="D9105" s="23">
        <v>2023</v>
      </c>
      <c r="E9105" s="18" t="s">
        <v>0</v>
      </c>
      <c r="F9105" s="6">
        <v>1</v>
      </c>
      <c r="G9105" s="40">
        <v>2</v>
      </c>
      <c r="H9105" s="40">
        <v>18</v>
      </c>
      <c r="I9105" s="212"/>
      <c r="J9105" s="212"/>
    </row>
    <row r="9106" spans="1:10" s="15" customFormat="1" ht="18" hidden="1" customHeight="1" outlineLevel="1" x14ac:dyDescent="0.25">
      <c r="A9106" s="18">
        <v>2469</v>
      </c>
      <c r="B9106" s="4" t="s">
        <v>43</v>
      </c>
      <c r="C9106" s="38" t="s">
        <v>11548</v>
      </c>
      <c r="D9106" s="23">
        <v>2023</v>
      </c>
      <c r="E9106" s="18" t="s">
        <v>0</v>
      </c>
      <c r="F9106" s="6">
        <v>1</v>
      </c>
      <c r="G9106" s="40">
        <v>10</v>
      </c>
      <c r="H9106" s="40">
        <v>41</v>
      </c>
      <c r="I9106" s="212"/>
      <c r="J9106" s="212"/>
    </row>
    <row r="9107" spans="1:10" s="15" customFormat="1" ht="18" hidden="1" customHeight="1" outlineLevel="1" x14ac:dyDescent="0.25">
      <c r="A9107" s="18">
        <v>2537</v>
      </c>
      <c r="B9107" s="4" t="s">
        <v>43</v>
      </c>
      <c r="C9107" s="38" t="s">
        <v>11549</v>
      </c>
      <c r="D9107" s="23">
        <v>2023</v>
      </c>
      <c r="E9107" s="18" t="s">
        <v>0</v>
      </c>
      <c r="F9107" s="6">
        <v>1</v>
      </c>
      <c r="G9107" s="40">
        <v>1</v>
      </c>
      <c r="H9107" s="40">
        <v>20</v>
      </c>
      <c r="I9107" s="212"/>
      <c r="J9107" s="212"/>
    </row>
    <row r="9108" spans="1:10" s="15" customFormat="1" ht="18" hidden="1" customHeight="1" outlineLevel="1" x14ac:dyDescent="0.25">
      <c r="A9108" s="18">
        <v>2564</v>
      </c>
      <c r="B9108" s="4" t="s">
        <v>43</v>
      </c>
      <c r="C9108" s="38" t="s">
        <v>11550</v>
      </c>
      <c r="D9108" s="23">
        <v>2023</v>
      </c>
      <c r="E9108" s="18" t="s">
        <v>0</v>
      </c>
      <c r="F9108" s="6">
        <v>1</v>
      </c>
      <c r="G9108" s="40">
        <v>5</v>
      </c>
      <c r="H9108" s="40">
        <v>20</v>
      </c>
      <c r="I9108" s="212"/>
      <c r="J9108" s="212"/>
    </row>
    <row r="9109" spans="1:10" s="15" customFormat="1" ht="18" hidden="1" customHeight="1" outlineLevel="1" x14ac:dyDescent="0.25">
      <c r="A9109" s="18">
        <v>2475</v>
      </c>
      <c r="B9109" s="4" t="s">
        <v>43</v>
      </c>
      <c r="C9109" s="38" t="s">
        <v>11551</v>
      </c>
      <c r="D9109" s="23">
        <v>2023</v>
      </c>
      <c r="E9109" s="18" t="s">
        <v>0</v>
      </c>
      <c r="F9109" s="6">
        <v>1</v>
      </c>
      <c r="G9109" s="40">
        <v>1</v>
      </c>
      <c r="H9109" s="40">
        <v>23</v>
      </c>
      <c r="I9109" s="212"/>
      <c r="J9109" s="212"/>
    </row>
    <row r="9110" spans="1:10" s="15" customFormat="1" ht="18" hidden="1" customHeight="1" outlineLevel="1" x14ac:dyDescent="0.25">
      <c r="A9110" s="18">
        <v>3278</v>
      </c>
      <c r="B9110" s="4" t="s">
        <v>43</v>
      </c>
      <c r="C9110" s="38" t="s">
        <v>8777</v>
      </c>
      <c r="D9110" s="23">
        <v>2023</v>
      </c>
      <c r="E9110" s="18" t="s">
        <v>0</v>
      </c>
      <c r="F9110" s="6">
        <v>1</v>
      </c>
      <c r="G9110" s="40">
        <v>8</v>
      </c>
      <c r="H9110" s="40">
        <v>36.5</v>
      </c>
      <c r="I9110" s="212"/>
      <c r="J9110" s="212"/>
    </row>
    <row r="9111" spans="1:10" s="15" customFormat="1" ht="18" hidden="1" customHeight="1" outlineLevel="1" x14ac:dyDescent="0.25">
      <c r="A9111" s="18">
        <v>3281</v>
      </c>
      <c r="B9111" s="4" t="s">
        <v>43</v>
      </c>
      <c r="C9111" s="38" t="s">
        <v>8784</v>
      </c>
      <c r="D9111" s="23">
        <v>2023</v>
      </c>
      <c r="E9111" s="18" t="s">
        <v>0</v>
      </c>
      <c r="F9111" s="6">
        <v>1</v>
      </c>
      <c r="G9111" s="40">
        <v>7</v>
      </c>
      <c r="H9111" s="40">
        <v>36.836350000000003</v>
      </c>
      <c r="I9111" s="212"/>
      <c r="J9111" s="212"/>
    </row>
    <row r="9112" spans="1:10" s="15" customFormat="1" ht="18" hidden="1" customHeight="1" outlineLevel="1" x14ac:dyDescent="0.25">
      <c r="A9112" s="18">
        <v>3294</v>
      </c>
      <c r="B9112" s="4" t="s">
        <v>43</v>
      </c>
      <c r="C9112" s="38" t="s">
        <v>11552</v>
      </c>
      <c r="D9112" s="23">
        <v>2023</v>
      </c>
      <c r="E9112" s="18" t="s">
        <v>0</v>
      </c>
      <c r="F9112" s="6">
        <v>1</v>
      </c>
      <c r="G9112" s="40">
        <v>10</v>
      </c>
      <c r="H9112" s="40">
        <v>21.9664</v>
      </c>
      <c r="I9112" s="212"/>
      <c r="J9112" s="212"/>
    </row>
    <row r="9113" spans="1:10" s="15" customFormat="1" ht="18" hidden="1" customHeight="1" outlineLevel="1" x14ac:dyDescent="0.25">
      <c r="A9113" s="18">
        <v>1739</v>
      </c>
      <c r="B9113" s="4" t="s">
        <v>43</v>
      </c>
      <c r="C9113" s="38" t="s">
        <v>8793</v>
      </c>
      <c r="D9113" s="23">
        <v>2023</v>
      </c>
      <c r="E9113" s="18" t="s">
        <v>0</v>
      </c>
      <c r="F9113" s="6">
        <v>1</v>
      </c>
      <c r="G9113" s="40">
        <v>10</v>
      </c>
      <c r="H9113" s="40">
        <v>27.838000000000001</v>
      </c>
      <c r="I9113" s="212"/>
      <c r="J9113" s="212"/>
    </row>
    <row r="9114" spans="1:10" s="15" customFormat="1" ht="18" hidden="1" customHeight="1" outlineLevel="1" x14ac:dyDescent="0.25">
      <c r="A9114" s="18">
        <v>3348</v>
      </c>
      <c r="B9114" s="4" t="s">
        <v>43</v>
      </c>
      <c r="C9114" s="38" t="s">
        <v>8821</v>
      </c>
      <c r="D9114" s="23">
        <v>2023</v>
      </c>
      <c r="E9114" s="18" t="s">
        <v>0</v>
      </c>
      <c r="F9114" s="6">
        <v>1</v>
      </c>
      <c r="G9114" s="40">
        <v>5</v>
      </c>
      <c r="H9114" s="40">
        <v>20</v>
      </c>
      <c r="I9114" s="212"/>
      <c r="J9114" s="212"/>
    </row>
    <row r="9115" spans="1:10" s="15" customFormat="1" ht="18" hidden="1" customHeight="1" outlineLevel="1" x14ac:dyDescent="0.25">
      <c r="A9115" s="18">
        <v>451</v>
      </c>
      <c r="B9115" s="4" t="s">
        <v>43</v>
      </c>
      <c r="C9115" s="38" t="s">
        <v>8828</v>
      </c>
      <c r="D9115" s="23">
        <v>2023</v>
      </c>
      <c r="E9115" s="18" t="s">
        <v>0</v>
      </c>
      <c r="F9115" s="6">
        <v>1</v>
      </c>
      <c r="G9115" s="40">
        <v>5</v>
      </c>
      <c r="H9115" s="40">
        <v>56</v>
      </c>
      <c r="I9115" s="212"/>
      <c r="J9115" s="212"/>
    </row>
    <row r="9116" spans="1:10" s="15" customFormat="1" ht="18" hidden="1" customHeight="1" outlineLevel="1" x14ac:dyDescent="0.25">
      <c r="A9116" s="18">
        <v>3335</v>
      </c>
      <c r="B9116" s="4" t="s">
        <v>43</v>
      </c>
      <c r="C9116" s="38" t="s">
        <v>8837</v>
      </c>
      <c r="D9116" s="23">
        <v>2023</v>
      </c>
      <c r="E9116" s="18" t="s">
        <v>0</v>
      </c>
      <c r="F9116" s="6">
        <v>1</v>
      </c>
      <c r="G9116" s="40">
        <v>5</v>
      </c>
      <c r="H9116" s="40">
        <v>16</v>
      </c>
      <c r="I9116" s="212"/>
      <c r="J9116" s="212"/>
    </row>
    <row r="9117" spans="1:10" s="15" customFormat="1" ht="18" hidden="1" customHeight="1" outlineLevel="1" x14ac:dyDescent="0.25">
      <c r="A9117" s="18">
        <v>406</v>
      </c>
      <c r="B9117" s="4" t="s">
        <v>43</v>
      </c>
      <c r="C9117" s="38" t="s">
        <v>8842</v>
      </c>
      <c r="D9117" s="23">
        <v>2023</v>
      </c>
      <c r="E9117" s="18" t="s">
        <v>0</v>
      </c>
      <c r="F9117" s="6">
        <v>1</v>
      </c>
      <c r="G9117" s="40">
        <v>5</v>
      </c>
      <c r="H9117" s="40">
        <v>51</v>
      </c>
      <c r="I9117" s="212"/>
      <c r="J9117" s="212"/>
    </row>
    <row r="9118" spans="1:10" s="15" customFormat="1" ht="18" hidden="1" customHeight="1" outlineLevel="1" x14ac:dyDescent="0.25">
      <c r="A9118" s="18">
        <v>3269</v>
      </c>
      <c r="B9118" s="4" t="s">
        <v>43</v>
      </c>
      <c r="C9118" s="38" t="s">
        <v>8853</v>
      </c>
      <c r="D9118" s="23">
        <v>2023</v>
      </c>
      <c r="E9118" s="18" t="s">
        <v>0</v>
      </c>
      <c r="F9118" s="6">
        <v>1</v>
      </c>
      <c r="G9118" s="40">
        <v>5</v>
      </c>
      <c r="H9118" s="40">
        <v>34</v>
      </c>
      <c r="I9118" s="212"/>
      <c r="J9118" s="212"/>
    </row>
    <row r="9119" spans="1:10" s="15" customFormat="1" ht="18" hidden="1" customHeight="1" outlineLevel="1" x14ac:dyDescent="0.25">
      <c r="A9119" s="18">
        <v>1314</v>
      </c>
      <c r="B9119" s="4" t="s">
        <v>43</v>
      </c>
      <c r="C9119" s="38" t="s">
        <v>8854</v>
      </c>
      <c r="D9119" s="23">
        <v>2023</v>
      </c>
      <c r="E9119" s="18" t="s">
        <v>0</v>
      </c>
      <c r="F9119" s="6">
        <v>1</v>
      </c>
      <c r="G9119" s="40">
        <v>5</v>
      </c>
      <c r="H9119" s="40">
        <v>32</v>
      </c>
      <c r="I9119" s="212"/>
      <c r="J9119" s="212"/>
    </row>
    <row r="9120" spans="1:10" s="15" customFormat="1" ht="18" hidden="1" customHeight="1" outlineLevel="1" x14ac:dyDescent="0.25">
      <c r="A9120" s="18">
        <v>1570</v>
      </c>
      <c r="B9120" s="4" t="s">
        <v>43</v>
      </c>
      <c r="C9120" s="38" t="s">
        <v>8874</v>
      </c>
      <c r="D9120" s="23">
        <v>2023</v>
      </c>
      <c r="E9120" s="18" t="s">
        <v>0</v>
      </c>
      <c r="F9120" s="6">
        <v>1</v>
      </c>
      <c r="G9120" s="40">
        <v>5</v>
      </c>
      <c r="H9120" s="40">
        <v>32</v>
      </c>
      <c r="I9120" s="212"/>
      <c r="J9120" s="212"/>
    </row>
    <row r="9121" spans="1:10" s="15" customFormat="1" ht="18" hidden="1" customHeight="1" outlineLevel="1" x14ac:dyDescent="0.25">
      <c r="A9121" s="18">
        <v>1849</v>
      </c>
      <c r="B9121" s="4" t="s">
        <v>43</v>
      </c>
      <c r="C9121" s="38" t="s">
        <v>8885</v>
      </c>
      <c r="D9121" s="23">
        <v>2023</v>
      </c>
      <c r="E9121" s="18" t="s">
        <v>0</v>
      </c>
      <c r="F9121" s="6">
        <v>1</v>
      </c>
      <c r="G9121" s="40">
        <v>3</v>
      </c>
      <c r="H9121" s="40">
        <v>34</v>
      </c>
      <c r="I9121" s="212"/>
      <c r="J9121" s="212"/>
    </row>
    <row r="9122" spans="1:10" s="15" customFormat="1" ht="18" hidden="1" customHeight="1" outlineLevel="1" x14ac:dyDescent="0.25">
      <c r="A9122" s="18">
        <v>2052</v>
      </c>
      <c r="B9122" s="4" t="s">
        <v>43</v>
      </c>
      <c r="C9122" s="38" t="s">
        <v>8903</v>
      </c>
      <c r="D9122" s="23">
        <v>2023</v>
      </c>
      <c r="E9122" s="18" t="s">
        <v>0</v>
      </c>
      <c r="F9122" s="6">
        <v>1</v>
      </c>
      <c r="G9122" s="40">
        <v>5</v>
      </c>
      <c r="H9122" s="40">
        <v>32</v>
      </c>
      <c r="I9122" s="212"/>
      <c r="J9122" s="212"/>
    </row>
    <row r="9123" spans="1:10" s="15" customFormat="1" ht="18" hidden="1" customHeight="1" outlineLevel="1" x14ac:dyDescent="0.25">
      <c r="A9123" s="18">
        <v>1681</v>
      </c>
      <c r="B9123" s="4" t="s">
        <v>43</v>
      </c>
      <c r="C9123" s="38" t="s">
        <v>8906</v>
      </c>
      <c r="D9123" s="23">
        <v>2023</v>
      </c>
      <c r="E9123" s="18" t="s">
        <v>0</v>
      </c>
      <c r="F9123" s="6">
        <v>1</v>
      </c>
      <c r="G9123" s="40">
        <v>5</v>
      </c>
      <c r="H9123" s="40">
        <v>29</v>
      </c>
      <c r="I9123" s="212"/>
      <c r="J9123" s="212"/>
    </row>
    <row r="9124" spans="1:10" s="15" customFormat="1" ht="18" hidden="1" customHeight="1" outlineLevel="1" x14ac:dyDescent="0.25">
      <c r="A9124" s="18">
        <v>1987</v>
      </c>
      <c r="B9124" s="4" t="s">
        <v>43</v>
      </c>
      <c r="C9124" s="38" t="s">
        <v>8908</v>
      </c>
      <c r="D9124" s="23">
        <v>2023</v>
      </c>
      <c r="E9124" s="18" t="s">
        <v>0</v>
      </c>
      <c r="F9124" s="6">
        <v>1</v>
      </c>
      <c r="G9124" s="40">
        <v>5</v>
      </c>
      <c r="H9124" s="40">
        <v>29</v>
      </c>
      <c r="I9124" s="212"/>
      <c r="J9124" s="212"/>
    </row>
    <row r="9125" spans="1:10" s="15" customFormat="1" ht="18" hidden="1" customHeight="1" outlineLevel="1" x14ac:dyDescent="0.25">
      <c r="A9125" s="18">
        <v>2067</v>
      </c>
      <c r="B9125" s="4" t="s">
        <v>43</v>
      </c>
      <c r="C9125" s="38" t="s">
        <v>8919</v>
      </c>
      <c r="D9125" s="23">
        <v>2023</v>
      </c>
      <c r="E9125" s="18" t="s">
        <v>0</v>
      </c>
      <c r="F9125" s="6">
        <v>1</v>
      </c>
      <c r="G9125" s="40">
        <v>5</v>
      </c>
      <c r="H9125" s="40">
        <v>30</v>
      </c>
      <c r="I9125" s="212"/>
      <c r="J9125" s="212"/>
    </row>
    <row r="9126" spans="1:10" s="15" customFormat="1" ht="18" hidden="1" customHeight="1" outlineLevel="1" x14ac:dyDescent="0.25">
      <c r="A9126" s="18">
        <v>2350</v>
      </c>
      <c r="B9126" s="4" t="s">
        <v>43</v>
      </c>
      <c r="C9126" s="38" t="s">
        <v>8927</v>
      </c>
      <c r="D9126" s="23">
        <v>2023</v>
      </c>
      <c r="E9126" s="18" t="s">
        <v>0</v>
      </c>
      <c r="F9126" s="6">
        <v>1</v>
      </c>
      <c r="G9126" s="40">
        <v>5</v>
      </c>
      <c r="H9126" s="40">
        <v>29</v>
      </c>
      <c r="I9126" s="212"/>
      <c r="J9126" s="212"/>
    </row>
    <row r="9127" spans="1:10" s="15" customFormat="1" ht="18" hidden="1" customHeight="1" outlineLevel="1" x14ac:dyDescent="0.25">
      <c r="A9127" s="18">
        <v>2069</v>
      </c>
      <c r="B9127" s="4" t="s">
        <v>43</v>
      </c>
      <c r="C9127" s="38" t="s">
        <v>8932</v>
      </c>
      <c r="D9127" s="23">
        <v>2023</v>
      </c>
      <c r="E9127" s="18" t="s">
        <v>0</v>
      </c>
      <c r="F9127" s="6">
        <v>1</v>
      </c>
      <c r="G9127" s="40">
        <v>5</v>
      </c>
      <c r="H9127" s="40">
        <v>29</v>
      </c>
      <c r="I9127" s="212"/>
      <c r="J9127" s="212"/>
    </row>
    <row r="9128" spans="1:10" s="15" customFormat="1" ht="18" hidden="1" customHeight="1" outlineLevel="1" x14ac:dyDescent="0.25">
      <c r="A9128" s="18">
        <v>1664</v>
      </c>
      <c r="B9128" s="4" t="s">
        <v>43</v>
      </c>
      <c r="C9128" s="38" t="s">
        <v>8935</v>
      </c>
      <c r="D9128" s="23">
        <v>2023</v>
      </c>
      <c r="E9128" s="18" t="s">
        <v>0</v>
      </c>
      <c r="F9128" s="6">
        <v>1</v>
      </c>
      <c r="G9128" s="40">
        <v>5</v>
      </c>
      <c r="H9128" s="40">
        <v>32</v>
      </c>
      <c r="I9128" s="212"/>
      <c r="J9128" s="212"/>
    </row>
    <row r="9129" spans="1:10" s="15" customFormat="1" ht="18" hidden="1" customHeight="1" outlineLevel="1" x14ac:dyDescent="0.25">
      <c r="A9129" s="18">
        <v>2408</v>
      </c>
      <c r="B9129" s="4" t="s">
        <v>43</v>
      </c>
      <c r="C9129" s="38" t="s">
        <v>8950</v>
      </c>
      <c r="D9129" s="23">
        <v>2023</v>
      </c>
      <c r="E9129" s="18" t="s">
        <v>0</v>
      </c>
      <c r="F9129" s="6">
        <v>1</v>
      </c>
      <c r="G9129" s="40">
        <v>5</v>
      </c>
      <c r="H9129" s="40">
        <v>30</v>
      </c>
      <c r="I9129" s="212"/>
      <c r="J9129" s="212"/>
    </row>
    <row r="9130" spans="1:10" s="15" customFormat="1" ht="18" hidden="1" customHeight="1" outlineLevel="1" x14ac:dyDescent="0.25">
      <c r="A9130" s="18">
        <v>2092</v>
      </c>
      <c r="B9130" s="4" t="s">
        <v>43</v>
      </c>
      <c r="C9130" s="38" t="s">
        <v>8953</v>
      </c>
      <c r="D9130" s="23">
        <v>2023</v>
      </c>
      <c r="E9130" s="18" t="s">
        <v>0</v>
      </c>
      <c r="F9130" s="6">
        <v>1</v>
      </c>
      <c r="G9130" s="40">
        <v>16</v>
      </c>
      <c r="H9130" s="40">
        <v>29</v>
      </c>
      <c r="I9130" s="212"/>
      <c r="J9130" s="212"/>
    </row>
    <row r="9131" spans="1:10" s="15" customFormat="1" ht="18" hidden="1" customHeight="1" outlineLevel="1" x14ac:dyDescent="0.25">
      <c r="A9131" s="18">
        <v>2544</v>
      </c>
      <c r="B9131" s="4" t="s">
        <v>43</v>
      </c>
      <c r="C9131" s="38" t="s">
        <v>8964</v>
      </c>
      <c r="D9131" s="23">
        <v>2023</v>
      </c>
      <c r="E9131" s="18" t="s">
        <v>0</v>
      </c>
      <c r="F9131" s="6">
        <v>1</v>
      </c>
      <c r="G9131" s="40">
        <v>10</v>
      </c>
      <c r="H9131" s="40">
        <v>27</v>
      </c>
      <c r="I9131" s="212"/>
      <c r="J9131" s="212"/>
    </row>
    <row r="9132" spans="1:10" s="15" customFormat="1" ht="18" hidden="1" customHeight="1" outlineLevel="1" x14ac:dyDescent="0.25">
      <c r="A9132" s="18">
        <v>2325</v>
      </c>
      <c r="B9132" s="4" t="s">
        <v>43</v>
      </c>
      <c r="C9132" s="38" t="s">
        <v>8987</v>
      </c>
      <c r="D9132" s="23">
        <v>2023</v>
      </c>
      <c r="E9132" s="18" t="s">
        <v>0</v>
      </c>
      <c r="F9132" s="6">
        <v>1</v>
      </c>
      <c r="G9132" s="40">
        <v>9</v>
      </c>
      <c r="H9132" s="40">
        <v>22</v>
      </c>
      <c r="I9132" s="212"/>
      <c r="J9132" s="212"/>
    </row>
    <row r="9133" spans="1:10" s="15" customFormat="1" ht="18" hidden="1" customHeight="1" outlineLevel="1" x14ac:dyDescent="0.25">
      <c r="A9133" s="18">
        <v>4538</v>
      </c>
      <c r="B9133" s="4" t="s">
        <v>43</v>
      </c>
      <c r="C9133" s="38" t="s">
        <v>8992</v>
      </c>
      <c r="D9133" s="23">
        <v>2023</v>
      </c>
      <c r="E9133" s="18" t="s">
        <v>0</v>
      </c>
      <c r="F9133" s="6">
        <v>1</v>
      </c>
      <c r="G9133" s="40">
        <v>15</v>
      </c>
      <c r="H9133" s="40">
        <v>30</v>
      </c>
      <c r="I9133" s="212"/>
      <c r="J9133" s="212"/>
    </row>
    <row r="9134" spans="1:10" s="15" customFormat="1" ht="18" hidden="1" customHeight="1" outlineLevel="1" x14ac:dyDescent="0.25">
      <c r="A9134" s="18">
        <v>3311</v>
      </c>
      <c r="B9134" s="4" t="s">
        <v>43</v>
      </c>
      <c r="C9134" s="38" t="s">
        <v>8995</v>
      </c>
      <c r="D9134" s="23">
        <v>2023</v>
      </c>
      <c r="E9134" s="18" t="s">
        <v>0</v>
      </c>
      <c r="F9134" s="6">
        <v>1</v>
      </c>
      <c r="G9134" s="40">
        <v>15</v>
      </c>
      <c r="H9134" s="40">
        <v>20</v>
      </c>
      <c r="I9134" s="212"/>
      <c r="J9134" s="212"/>
    </row>
    <row r="9135" spans="1:10" s="15" customFormat="1" ht="18" hidden="1" customHeight="1" outlineLevel="1" x14ac:dyDescent="0.25">
      <c r="A9135" s="18">
        <v>2206</v>
      </c>
      <c r="B9135" s="4" t="s">
        <v>43</v>
      </c>
      <c r="C9135" s="38" t="s">
        <v>8998</v>
      </c>
      <c r="D9135" s="23">
        <v>2023</v>
      </c>
      <c r="E9135" s="18" t="s">
        <v>0</v>
      </c>
      <c r="F9135" s="6">
        <v>1</v>
      </c>
      <c r="G9135" s="40">
        <v>5</v>
      </c>
      <c r="H9135" s="40">
        <v>20</v>
      </c>
      <c r="I9135" s="212"/>
      <c r="J9135" s="212"/>
    </row>
    <row r="9136" spans="1:10" s="15" customFormat="1" ht="18" hidden="1" customHeight="1" outlineLevel="1" x14ac:dyDescent="0.25">
      <c r="A9136" s="18">
        <v>2845</v>
      </c>
      <c r="B9136" s="4" t="s">
        <v>43</v>
      </c>
      <c r="C9136" s="38" t="s">
        <v>9011</v>
      </c>
      <c r="D9136" s="23">
        <v>2023</v>
      </c>
      <c r="E9136" s="18" t="s">
        <v>0</v>
      </c>
      <c r="F9136" s="6">
        <v>1</v>
      </c>
      <c r="G9136" s="40">
        <v>15</v>
      </c>
      <c r="H9136" s="40">
        <v>62</v>
      </c>
      <c r="I9136" s="212"/>
      <c r="J9136" s="212"/>
    </row>
    <row r="9137" spans="1:10" s="15" customFormat="1" ht="18" hidden="1" customHeight="1" outlineLevel="1" x14ac:dyDescent="0.25">
      <c r="A9137" s="18">
        <v>3233</v>
      </c>
      <c r="B9137" s="4" t="s">
        <v>43</v>
      </c>
      <c r="C9137" s="38" t="s">
        <v>9185</v>
      </c>
      <c r="D9137" s="23">
        <v>2023</v>
      </c>
      <c r="E9137" s="18" t="s">
        <v>0</v>
      </c>
      <c r="F9137" s="6">
        <v>4</v>
      </c>
      <c r="G9137" s="40">
        <v>32</v>
      </c>
      <c r="H9137" s="40">
        <v>212</v>
      </c>
      <c r="I9137" s="212"/>
      <c r="J9137" s="212"/>
    </row>
    <row r="9138" spans="1:10" s="15" customFormat="1" ht="18" hidden="1" customHeight="1" outlineLevel="1" x14ac:dyDescent="0.25">
      <c r="A9138" s="18">
        <v>1633</v>
      </c>
      <c r="B9138" s="4" t="s">
        <v>43</v>
      </c>
      <c r="C9138" s="38" t="s">
        <v>11553</v>
      </c>
      <c r="D9138" s="23">
        <v>2023</v>
      </c>
      <c r="E9138" s="18" t="s">
        <v>0</v>
      </c>
      <c r="F9138" s="6">
        <v>26</v>
      </c>
      <c r="G9138" s="40">
        <v>80</v>
      </c>
      <c r="H9138" s="40">
        <v>413.21284000000003</v>
      </c>
      <c r="I9138" s="212"/>
      <c r="J9138" s="212"/>
    </row>
    <row r="9139" spans="1:10" s="15" customFormat="1" ht="18" hidden="1" customHeight="1" outlineLevel="1" x14ac:dyDescent="0.25">
      <c r="A9139" s="18">
        <v>1641</v>
      </c>
      <c r="B9139" s="4" t="s">
        <v>43</v>
      </c>
      <c r="C9139" s="38" t="s">
        <v>11554</v>
      </c>
      <c r="D9139" s="23">
        <v>2023</v>
      </c>
      <c r="E9139" s="18" t="s">
        <v>0</v>
      </c>
      <c r="F9139" s="6">
        <v>8</v>
      </c>
      <c r="G9139" s="40">
        <v>40</v>
      </c>
      <c r="H9139" s="40">
        <v>196.04061999999999</v>
      </c>
      <c r="I9139" s="212"/>
      <c r="J9139" s="212"/>
    </row>
    <row r="9140" spans="1:10" s="15" customFormat="1" ht="18" hidden="1" customHeight="1" outlineLevel="1" x14ac:dyDescent="0.25">
      <c r="A9140" s="18">
        <v>1770</v>
      </c>
      <c r="B9140" s="4" t="s">
        <v>43</v>
      </c>
      <c r="C9140" s="38" t="s">
        <v>11555</v>
      </c>
      <c r="D9140" s="23">
        <v>2023</v>
      </c>
      <c r="E9140" s="18" t="s">
        <v>0</v>
      </c>
      <c r="F9140" s="6">
        <v>4</v>
      </c>
      <c r="G9140" s="40">
        <v>20</v>
      </c>
      <c r="H9140" s="40">
        <v>102.04744000000001</v>
      </c>
      <c r="I9140" s="212"/>
      <c r="J9140" s="212"/>
    </row>
    <row r="9141" spans="1:10" s="15" customFormat="1" ht="18" hidden="1" customHeight="1" outlineLevel="1" x14ac:dyDescent="0.25">
      <c r="A9141" s="18">
        <v>1765</v>
      </c>
      <c r="B9141" s="4" t="s">
        <v>43</v>
      </c>
      <c r="C9141" s="38" t="s">
        <v>11556</v>
      </c>
      <c r="D9141" s="23">
        <v>2023</v>
      </c>
      <c r="E9141" s="18" t="s">
        <v>0</v>
      </c>
      <c r="F9141" s="6">
        <v>8</v>
      </c>
      <c r="G9141" s="40">
        <v>55</v>
      </c>
      <c r="H9141" s="40">
        <v>200.69693999999998</v>
      </c>
      <c r="I9141" s="212"/>
      <c r="J9141" s="212"/>
    </row>
    <row r="9142" spans="1:10" s="15" customFormat="1" ht="18" hidden="1" customHeight="1" outlineLevel="1" x14ac:dyDescent="0.25">
      <c r="A9142" s="18">
        <v>1649</v>
      </c>
      <c r="B9142" s="4" t="s">
        <v>43</v>
      </c>
      <c r="C9142" s="38" t="s">
        <v>11557</v>
      </c>
      <c r="D9142" s="23">
        <v>2023</v>
      </c>
      <c r="E9142" s="18" t="s">
        <v>0</v>
      </c>
      <c r="F9142" s="6">
        <v>1</v>
      </c>
      <c r="G9142" s="40">
        <v>3</v>
      </c>
      <c r="H9142" s="40">
        <v>24.90448</v>
      </c>
      <c r="I9142" s="212"/>
      <c r="J9142" s="212"/>
    </row>
    <row r="9143" spans="1:10" s="15" customFormat="1" ht="18" hidden="1" customHeight="1" outlineLevel="1" x14ac:dyDescent="0.25">
      <c r="A9143" s="18">
        <v>1997</v>
      </c>
      <c r="B9143" s="4" t="s">
        <v>43</v>
      </c>
      <c r="C9143" s="38" t="s">
        <v>11558</v>
      </c>
      <c r="D9143" s="23">
        <v>2023</v>
      </c>
      <c r="E9143" s="18" t="s">
        <v>0</v>
      </c>
      <c r="F9143" s="6">
        <v>1</v>
      </c>
      <c r="G9143" s="40">
        <v>5</v>
      </c>
      <c r="H9143" s="40">
        <v>25.177820000000001</v>
      </c>
      <c r="I9143" s="212"/>
      <c r="J9143" s="212"/>
    </row>
    <row r="9144" spans="1:10" s="15" customFormat="1" ht="18" hidden="1" customHeight="1" outlineLevel="1" x14ac:dyDescent="0.25">
      <c r="A9144" s="18">
        <v>2003</v>
      </c>
      <c r="B9144" s="4" t="s">
        <v>43</v>
      </c>
      <c r="C9144" s="38" t="s">
        <v>11559</v>
      </c>
      <c r="D9144" s="23">
        <v>2023</v>
      </c>
      <c r="E9144" s="18" t="s">
        <v>0</v>
      </c>
      <c r="F9144" s="6">
        <v>3</v>
      </c>
      <c r="G9144" s="40">
        <v>15</v>
      </c>
      <c r="H9144" s="40">
        <v>72.978219999999993</v>
      </c>
      <c r="I9144" s="212"/>
      <c r="J9144" s="212"/>
    </row>
    <row r="9145" spans="1:10" s="15" customFormat="1" ht="18" hidden="1" customHeight="1" outlineLevel="1" x14ac:dyDescent="0.25">
      <c r="A9145" s="18">
        <v>4443</v>
      </c>
      <c r="B9145" s="4" t="s">
        <v>43</v>
      </c>
      <c r="C9145" s="38" t="s">
        <v>11560</v>
      </c>
      <c r="D9145" s="23">
        <v>2023</v>
      </c>
      <c r="E9145" s="18" t="s">
        <v>0</v>
      </c>
      <c r="F9145" s="6">
        <v>2</v>
      </c>
      <c r="G9145" s="40">
        <v>30</v>
      </c>
      <c r="H9145" s="40">
        <v>19.068450000000002</v>
      </c>
      <c r="I9145" s="212"/>
      <c r="J9145" s="212"/>
    </row>
    <row r="9146" spans="1:10" s="15" customFormat="1" ht="18" hidden="1" customHeight="1" outlineLevel="1" x14ac:dyDescent="0.25">
      <c r="A9146" s="18">
        <v>2022</v>
      </c>
      <c r="B9146" s="4" t="s">
        <v>43</v>
      </c>
      <c r="C9146" s="38" t="s">
        <v>11561</v>
      </c>
      <c r="D9146" s="23">
        <v>2023</v>
      </c>
      <c r="E9146" s="18" t="s">
        <v>0</v>
      </c>
      <c r="F9146" s="6">
        <v>7</v>
      </c>
      <c r="G9146" s="40">
        <v>51</v>
      </c>
      <c r="H9146" s="40">
        <v>169.42155</v>
      </c>
      <c r="I9146" s="212"/>
      <c r="J9146" s="212"/>
    </row>
    <row r="9147" spans="1:10" s="15" customFormat="1" ht="18" hidden="1" customHeight="1" outlineLevel="1" x14ac:dyDescent="0.25">
      <c r="A9147" s="18">
        <v>1106</v>
      </c>
      <c r="B9147" s="4" t="s">
        <v>43</v>
      </c>
      <c r="C9147" s="38" t="s">
        <v>11562</v>
      </c>
      <c r="D9147" s="23">
        <v>2023</v>
      </c>
      <c r="E9147" s="18" t="s">
        <v>0</v>
      </c>
      <c r="F9147" s="6">
        <v>3</v>
      </c>
      <c r="G9147" s="40">
        <v>5</v>
      </c>
      <c r="H9147" s="40">
        <v>73.386960000000002</v>
      </c>
      <c r="I9147" s="212"/>
      <c r="J9147" s="212"/>
    </row>
    <row r="9148" spans="1:10" s="15" customFormat="1" ht="18" hidden="1" customHeight="1" outlineLevel="1" x14ac:dyDescent="0.25">
      <c r="A9148" s="18">
        <v>1259</v>
      </c>
      <c r="B9148" s="4" t="s">
        <v>43</v>
      </c>
      <c r="C9148" s="38" t="s">
        <v>11563</v>
      </c>
      <c r="D9148" s="23">
        <v>2023</v>
      </c>
      <c r="E9148" s="18" t="s">
        <v>0</v>
      </c>
      <c r="F9148" s="6">
        <v>1</v>
      </c>
      <c r="G9148" s="40">
        <v>5</v>
      </c>
      <c r="H9148" s="40">
        <v>25.395509999999998</v>
      </c>
      <c r="I9148" s="212"/>
      <c r="J9148" s="212"/>
    </row>
    <row r="9149" spans="1:10" s="15" customFormat="1" ht="18" hidden="1" customHeight="1" outlineLevel="1" x14ac:dyDescent="0.25">
      <c r="A9149" s="18">
        <v>4459</v>
      </c>
      <c r="B9149" s="4" t="s">
        <v>43</v>
      </c>
      <c r="C9149" s="38" t="s">
        <v>11564</v>
      </c>
      <c r="D9149" s="23">
        <v>2023</v>
      </c>
      <c r="E9149" s="18" t="s">
        <v>0</v>
      </c>
      <c r="F9149" s="6">
        <v>1</v>
      </c>
      <c r="G9149" s="40">
        <v>15</v>
      </c>
      <c r="H9149" s="40">
        <v>24.772160000000003</v>
      </c>
      <c r="I9149" s="212"/>
      <c r="J9149" s="212"/>
    </row>
    <row r="9150" spans="1:10" s="15" customFormat="1" ht="18" hidden="1" customHeight="1" outlineLevel="1" x14ac:dyDescent="0.25">
      <c r="A9150" s="18">
        <v>2049</v>
      </c>
      <c r="B9150" s="4" t="s">
        <v>43</v>
      </c>
      <c r="C9150" s="38" t="s">
        <v>11565</v>
      </c>
      <c r="D9150" s="23">
        <v>2023</v>
      </c>
      <c r="E9150" s="18" t="s">
        <v>0</v>
      </c>
      <c r="F9150" s="6">
        <v>11</v>
      </c>
      <c r="G9150" s="40">
        <v>114</v>
      </c>
      <c r="H9150" s="40">
        <v>269.24171000000001</v>
      </c>
      <c r="I9150" s="212"/>
      <c r="J9150" s="212"/>
    </row>
    <row r="9151" spans="1:10" s="15" customFormat="1" ht="18" hidden="1" customHeight="1" outlineLevel="1" x14ac:dyDescent="0.25">
      <c r="A9151" s="18">
        <v>2071</v>
      </c>
      <c r="B9151" s="4" t="s">
        <v>43</v>
      </c>
      <c r="C9151" s="38" t="s">
        <v>11566</v>
      </c>
      <c r="D9151" s="23">
        <v>2023</v>
      </c>
      <c r="E9151" s="18" t="s">
        <v>0</v>
      </c>
      <c r="F9151" s="6">
        <v>9</v>
      </c>
      <c r="G9151" s="40">
        <v>55</v>
      </c>
      <c r="H9151" s="40">
        <v>218.07185000000001</v>
      </c>
      <c r="I9151" s="212"/>
      <c r="J9151" s="212"/>
    </row>
    <row r="9152" spans="1:10" s="15" customFormat="1" ht="18" hidden="1" customHeight="1" outlineLevel="1" x14ac:dyDescent="0.25">
      <c r="A9152" s="18">
        <v>2117</v>
      </c>
      <c r="B9152" s="4" t="s">
        <v>43</v>
      </c>
      <c r="C9152" s="38" t="s">
        <v>11567</v>
      </c>
      <c r="D9152" s="23">
        <v>2023</v>
      </c>
      <c r="E9152" s="18" t="s">
        <v>0</v>
      </c>
      <c r="F9152" s="6">
        <v>3</v>
      </c>
      <c r="G9152" s="40">
        <v>15</v>
      </c>
      <c r="H9152" s="40">
        <v>73.27127999999999</v>
      </c>
      <c r="I9152" s="212"/>
      <c r="J9152" s="212"/>
    </row>
    <row r="9153" spans="1:10" s="15" customFormat="1" ht="18" hidden="1" customHeight="1" outlineLevel="1" x14ac:dyDescent="0.25">
      <c r="A9153" s="18">
        <v>2178</v>
      </c>
      <c r="B9153" s="4" t="s">
        <v>43</v>
      </c>
      <c r="C9153" s="38" t="s">
        <v>11568</v>
      </c>
      <c r="D9153" s="23">
        <v>2023</v>
      </c>
      <c r="E9153" s="18" t="s">
        <v>0</v>
      </c>
      <c r="F9153" s="6">
        <v>6</v>
      </c>
      <c r="G9153" s="40">
        <v>43</v>
      </c>
      <c r="H9153" s="40">
        <v>147.35500000000002</v>
      </c>
      <c r="I9153" s="212"/>
      <c r="J9153" s="212"/>
    </row>
    <row r="9154" spans="1:10" s="15" customFormat="1" ht="18" hidden="1" customHeight="1" outlineLevel="1" x14ac:dyDescent="0.25">
      <c r="A9154" s="18">
        <v>2176</v>
      </c>
      <c r="B9154" s="4" t="s">
        <v>43</v>
      </c>
      <c r="C9154" s="38" t="s">
        <v>11569</v>
      </c>
      <c r="D9154" s="23">
        <v>2023</v>
      </c>
      <c r="E9154" s="18" t="s">
        <v>0</v>
      </c>
      <c r="F9154" s="6">
        <v>1</v>
      </c>
      <c r="G9154" s="40">
        <v>3</v>
      </c>
      <c r="H9154" s="40">
        <v>25.016569999999998</v>
      </c>
      <c r="I9154" s="212"/>
      <c r="J9154" s="212"/>
    </row>
    <row r="9155" spans="1:10" s="15" customFormat="1" ht="18" hidden="1" customHeight="1" outlineLevel="1" x14ac:dyDescent="0.25">
      <c r="A9155" s="18">
        <v>2180</v>
      </c>
      <c r="B9155" s="4" t="s">
        <v>43</v>
      </c>
      <c r="C9155" s="38" t="s">
        <v>11570</v>
      </c>
      <c r="D9155" s="23">
        <v>2023</v>
      </c>
      <c r="E9155" s="18" t="s">
        <v>0</v>
      </c>
      <c r="F9155" s="6">
        <v>7</v>
      </c>
      <c r="G9155" s="40">
        <v>43</v>
      </c>
      <c r="H9155" s="40">
        <v>170.94595000000001</v>
      </c>
      <c r="I9155" s="212"/>
      <c r="J9155" s="212"/>
    </row>
    <row r="9156" spans="1:10" s="15" customFormat="1" ht="18" hidden="1" customHeight="1" outlineLevel="1" x14ac:dyDescent="0.25">
      <c r="A9156" s="18">
        <v>2210</v>
      </c>
      <c r="B9156" s="4" t="s">
        <v>43</v>
      </c>
      <c r="C9156" s="38" t="s">
        <v>11571</v>
      </c>
      <c r="D9156" s="23">
        <v>2023</v>
      </c>
      <c r="E9156" s="18" t="s">
        <v>0</v>
      </c>
      <c r="F9156" s="6">
        <v>11</v>
      </c>
      <c r="G9156" s="40">
        <v>65</v>
      </c>
      <c r="H9156" s="40">
        <v>268.05624999999998</v>
      </c>
      <c r="I9156" s="212"/>
      <c r="J9156" s="212"/>
    </row>
    <row r="9157" spans="1:10" s="15" customFormat="1" ht="18" hidden="1" customHeight="1" outlineLevel="1" x14ac:dyDescent="0.25">
      <c r="A9157" s="18">
        <v>2218</v>
      </c>
      <c r="B9157" s="4" t="s">
        <v>43</v>
      </c>
      <c r="C9157" s="38" t="s">
        <v>11572</v>
      </c>
      <c r="D9157" s="23">
        <v>2023</v>
      </c>
      <c r="E9157" s="18" t="s">
        <v>0</v>
      </c>
      <c r="F9157" s="6">
        <v>6</v>
      </c>
      <c r="G9157" s="40">
        <v>45</v>
      </c>
      <c r="H9157" s="40">
        <v>145.23958000000002</v>
      </c>
      <c r="I9157" s="212"/>
      <c r="J9157" s="212"/>
    </row>
    <row r="9158" spans="1:10" s="15" customFormat="1" ht="18" hidden="1" customHeight="1" outlineLevel="1" x14ac:dyDescent="0.25">
      <c r="A9158" s="18">
        <v>2296</v>
      </c>
      <c r="B9158" s="4" t="s">
        <v>43</v>
      </c>
      <c r="C9158" s="38" t="s">
        <v>11573</v>
      </c>
      <c r="D9158" s="23">
        <v>2023</v>
      </c>
      <c r="E9158" s="18" t="s">
        <v>0</v>
      </c>
      <c r="F9158" s="6">
        <v>7</v>
      </c>
      <c r="G9158" s="40">
        <v>44</v>
      </c>
      <c r="H9158" s="40">
        <v>169.00072999999998</v>
      </c>
      <c r="I9158" s="212"/>
      <c r="J9158" s="212"/>
    </row>
    <row r="9159" spans="1:10" s="15" customFormat="1" ht="18" hidden="1" customHeight="1" outlineLevel="1" x14ac:dyDescent="0.25">
      <c r="A9159" s="18">
        <v>2261</v>
      </c>
      <c r="B9159" s="4" t="s">
        <v>43</v>
      </c>
      <c r="C9159" s="38" t="s">
        <v>11574</v>
      </c>
      <c r="D9159" s="23">
        <v>2023</v>
      </c>
      <c r="E9159" s="18" t="s">
        <v>0</v>
      </c>
      <c r="F9159" s="6">
        <v>5</v>
      </c>
      <c r="G9159" s="40">
        <v>45</v>
      </c>
      <c r="H9159" s="40">
        <v>124.03176000000001</v>
      </c>
      <c r="I9159" s="212"/>
      <c r="J9159" s="212"/>
    </row>
    <row r="9160" spans="1:10" s="15" customFormat="1" ht="18" hidden="1" customHeight="1" outlineLevel="1" x14ac:dyDescent="0.25">
      <c r="A9160" s="18">
        <v>2273</v>
      </c>
      <c r="B9160" s="4" t="s">
        <v>43</v>
      </c>
      <c r="C9160" s="38" t="s">
        <v>11575</v>
      </c>
      <c r="D9160" s="23">
        <v>2023</v>
      </c>
      <c r="E9160" s="18" t="s">
        <v>0</v>
      </c>
      <c r="F9160" s="6">
        <v>5</v>
      </c>
      <c r="G9160" s="40">
        <v>25</v>
      </c>
      <c r="H9160" s="40">
        <v>121.47906</v>
      </c>
      <c r="I9160" s="212"/>
      <c r="J9160" s="212"/>
    </row>
    <row r="9161" spans="1:10" s="15" customFormat="1" ht="18" hidden="1" customHeight="1" outlineLevel="1" x14ac:dyDescent="0.25">
      <c r="A9161" s="18">
        <v>2249</v>
      </c>
      <c r="B9161" s="4" t="s">
        <v>43</v>
      </c>
      <c r="C9161" s="38" t="s">
        <v>11576</v>
      </c>
      <c r="D9161" s="23">
        <v>2023</v>
      </c>
      <c r="E9161" s="18" t="s">
        <v>0</v>
      </c>
      <c r="F9161" s="6">
        <v>1</v>
      </c>
      <c r="G9161" s="40">
        <v>5</v>
      </c>
      <c r="H9161" s="40">
        <v>25.0959</v>
      </c>
      <c r="I9161" s="212"/>
      <c r="J9161" s="212"/>
    </row>
    <row r="9162" spans="1:10" s="15" customFormat="1" ht="18" hidden="1" customHeight="1" outlineLevel="1" x14ac:dyDescent="0.25">
      <c r="A9162" s="18">
        <v>4484</v>
      </c>
      <c r="B9162" s="4" t="s">
        <v>43</v>
      </c>
      <c r="C9162" s="38" t="s">
        <v>11577</v>
      </c>
      <c r="D9162" s="23">
        <v>2023</v>
      </c>
      <c r="E9162" s="18" t="s">
        <v>0</v>
      </c>
      <c r="F9162" s="6">
        <v>1</v>
      </c>
      <c r="G9162" s="40">
        <v>7</v>
      </c>
      <c r="H9162" s="40">
        <v>24.783510000000003</v>
      </c>
      <c r="I9162" s="212"/>
      <c r="J9162" s="212"/>
    </row>
    <row r="9163" spans="1:10" s="15" customFormat="1" ht="18" hidden="1" customHeight="1" outlineLevel="1" x14ac:dyDescent="0.25">
      <c r="A9163" s="18">
        <v>2207</v>
      </c>
      <c r="B9163" s="4" t="s">
        <v>43</v>
      </c>
      <c r="C9163" s="38" t="s">
        <v>11578</v>
      </c>
      <c r="D9163" s="23">
        <v>2023</v>
      </c>
      <c r="E9163" s="18" t="s">
        <v>0</v>
      </c>
      <c r="F9163" s="6">
        <v>1</v>
      </c>
      <c r="G9163" s="40">
        <v>5</v>
      </c>
      <c r="H9163" s="40">
        <v>24.716910000000002</v>
      </c>
      <c r="I9163" s="212"/>
      <c r="J9163" s="212"/>
    </row>
    <row r="9164" spans="1:10" s="15" customFormat="1" ht="18" hidden="1" customHeight="1" outlineLevel="1" x14ac:dyDescent="0.25">
      <c r="A9164" s="18">
        <v>2231</v>
      </c>
      <c r="B9164" s="4" t="s">
        <v>43</v>
      </c>
      <c r="C9164" s="38" t="s">
        <v>11579</v>
      </c>
      <c r="D9164" s="23">
        <v>2023</v>
      </c>
      <c r="E9164" s="18" t="s">
        <v>0</v>
      </c>
      <c r="F9164" s="6">
        <v>1</v>
      </c>
      <c r="G9164" s="40">
        <v>5</v>
      </c>
      <c r="H9164" s="40">
        <v>24.835249999999998</v>
      </c>
      <c r="I9164" s="212"/>
      <c r="J9164" s="212"/>
    </row>
    <row r="9165" spans="1:10" s="15" customFormat="1" ht="18" hidden="1" customHeight="1" outlineLevel="1" x14ac:dyDescent="0.25">
      <c r="A9165" s="18">
        <v>2373</v>
      </c>
      <c r="B9165" s="4" t="s">
        <v>43</v>
      </c>
      <c r="C9165" s="38" t="s">
        <v>11580</v>
      </c>
      <c r="D9165" s="23">
        <v>2023</v>
      </c>
      <c r="E9165" s="18" t="s">
        <v>0</v>
      </c>
      <c r="F9165" s="6">
        <v>4</v>
      </c>
      <c r="G9165" s="40">
        <v>31</v>
      </c>
      <c r="H9165" s="40">
        <v>101.11414000000001</v>
      </c>
      <c r="I9165" s="212"/>
      <c r="J9165" s="212"/>
    </row>
    <row r="9166" spans="1:10" s="15" customFormat="1" ht="18" hidden="1" customHeight="1" outlineLevel="1" x14ac:dyDescent="0.25">
      <c r="A9166" s="18">
        <v>2300</v>
      </c>
      <c r="B9166" s="4" t="s">
        <v>43</v>
      </c>
      <c r="C9166" s="38" t="s">
        <v>11581</v>
      </c>
      <c r="D9166" s="23">
        <v>2023</v>
      </c>
      <c r="E9166" s="18" t="s">
        <v>0</v>
      </c>
      <c r="F9166" s="6">
        <v>1</v>
      </c>
      <c r="G9166" s="40">
        <v>5</v>
      </c>
      <c r="H9166" s="40">
        <v>24.555520000000001</v>
      </c>
      <c r="I9166" s="212"/>
      <c r="J9166" s="212"/>
    </row>
    <row r="9167" spans="1:10" s="15" customFormat="1" ht="18" hidden="1" customHeight="1" outlineLevel="1" x14ac:dyDescent="0.25">
      <c r="A9167" s="18">
        <v>2353</v>
      </c>
      <c r="B9167" s="4" t="s">
        <v>43</v>
      </c>
      <c r="C9167" s="38" t="s">
        <v>11582</v>
      </c>
      <c r="D9167" s="23">
        <v>2023</v>
      </c>
      <c r="E9167" s="18" t="s">
        <v>0</v>
      </c>
      <c r="F9167" s="6">
        <v>8</v>
      </c>
      <c r="G9167" s="40">
        <v>57</v>
      </c>
      <c r="H9167" s="40">
        <v>196.44400000000002</v>
      </c>
      <c r="I9167" s="212"/>
      <c r="J9167" s="212"/>
    </row>
    <row r="9168" spans="1:10" s="15" customFormat="1" ht="18" hidden="1" customHeight="1" outlineLevel="1" x14ac:dyDescent="0.25">
      <c r="A9168" s="18">
        <v>2439</v>
      </c>
      <c r="B9168" s="4" t="s">
        <v>43</v>
      </c>
      <c r="C9168" s="38" t="s">
        <v>11583</v>
      </c>
      <c r="D9168" s="23">
        <v>2023</v>
      </c>
      <c r="E9168" s="18" t="s">
        <v>0</v>
      </c>
      <c r="F9168" s="6">
        <v>4</v>
      </c>
      <c r="G9168" s="40">
        <v>20</v>
      </c>
      <c r="H9168" s="40">
        <v>98.343219999999988</v>
      </c>
      <c r="I9168" s="212"/>
      <c r="J9168" s="212"/>
    </row>
    <row r="9169" spans="1:10" s="15" customFormat="1" ht="18" hidden="1" customHeight="1" outlineLevel="1" x14ac:dyDescent="0.25">
      <c r="A9169" s="18">
        <v>2411</v>
      </c>
      <c r="B9169" s="4" t="s">
        <v>43</v>
      </c>
      <c r="C9169" s="38" t="s">
        <v>11584</v>
      </c>
      <c r="D9169" s="23">
        <v>2023</v>
      </c>
      <c r="E9169" s="18" t="s">
        <v>0</v>
      </c>
      <c r="F9169" s="6">
        <v>6</v>
      </c>
      <c r="G9169" s="40">
        <v>40</v>
      </c>
      <c r="H9169" s="40">
        <v>148.18446</v>
      </c>
      <c r="I9169" s="212"/>
      <c r="J9169" s="212"/>
    </row>
    <row r="9170" spans="1:10" s="15" customFormat="1" ht="18" hidden="1" customHeight="1" outlineLevel="1" x14ac:dyDescent="0.25">
      <c r="A9170" s="18">
        <v>2485</v>
      </c>
      <c r="B9170" s="4" t="s">
        <v>43</v>
      </c>
      <c r="C9170" s="38" t="s">
        <v>11585</v>
      </c>
      <c r="D9170" s="23">
        <v>2023</v>
      </c>
      <c r="E9170" s="18" t="s">
        <v>0</v>
      </c>
      <c r="F9170" s="6">
        <v>7</v>
      </c>
      <c r="G9170" s="40">
        <v>58</v>
      </c>
      <c r="H9170" s="40">
        <v>173.71413999999999</v>
      </c>
      <c r="I9170" s="212"/>
      <c r="J9170" s="212"/>
    </row>
    <row r="9171" spans="1:10" s="15" customFormat="1" ht="18" hidden="1" customHeight="1" outlineLevel="1" x14ac:dyDescent="0.25">
      <c r="A9171" s="18">
        <v>4498</v>
      </c>
      <c r="B9171" s="4" t="s">
        <v>43</v>
      </c>
      <c r="C9171" s="38" t="s">
        <v>11586</v>
      </c>
      <c r="D9171" s="23">
        <v>2023</v>
      </c>
      <c r="E9171" s="18" t="s">
        <v>0</v>
      </c>
      <c r="F9171" s="6">
        <v>1</v>
      </c>
      <c r="G9171" s="40">
        <v>10</v>
      </c>
      <c r="H9171" s="40">
        <v>24.555</v>
      </c>
      <c r="I9171" s="212"/>
      <c r="J9171" s="212"/>
    </row>
    <row r="9172" spans="1:10" s="15" customFormat="1" ht="18" hidden="1" customHeight="1" outlineLevel="1" x14ac:dyDescent="0.25">
      <c r="A9172" s="18">
        <v>2491</v>
      </c>
      <c r="B9172" s="4" t="s">
        <v>43</v>
      </c>
      <c r="C9172" s="38" t="s">
        <v>11587</v>
      </c>
      <c r="D9172" s="23">
        <v>2023</v>
      </c>
      <c r="E9172" s="18" t="s">
        <v>0</v>
      </c>
      <c r="F9172" s="6">
        <v>7</v>
      </c>
      <c r="G9172" s="40">
        <v>37.5</v>
      </c>
      <c r="H9172" s="40">
        <v>172.49681000000001</v>
      </c>
      <c r="I9172" s="212"/>
      <c r="J9172" s="212"/>
    </row>
    <row r="9173" spans="1:10" s="15" customFormat="1" ht="18" hidden="1" customHeight="1" outlineLevel="1" x14ac:dyDescent="0.25">
      <c r="A9173" s="18">
        <v>4493</v>
      </c>
      <c r="B9173" s="4" t="s">
        <v>43</v>
      </c>
      <c r="C9173" s="38" t="s">
        <v>11588</v>
      </c>
      <c r="D9173" s="23">
        <v>2023</v>
      </c>
      <c r="E9173" s="18" t="s">
        <v>0</v>
      </c>
      <c r="F9173" s="6">
        <v>1</v>
      </c>
      <c r="G9173" s="40">
        <v>8</v>
      </c>
      <c r="H9173" s="40">
        <v>24.607690000000002</v>
      </c>
      <c r="I9173" s="212"/>
      <c r="J9173" s="212"/>
    </row>
    <row r="9174" spans="1:10" s="15" customFormat="1" ht="18" hidden="1" customHeight="1" outlineLevel="1" x14ac:dyDescent="0.25">
      <c r="A9174" s="18">
        <v>2432</v>
      </c>
      <c r="B9174" s="4" t="s">
        <v>43</v>
      </c>
      <c r="C9174" s="38" t="s">
        <v>11589</v>
      </c>
      <c r="D9174" s="23">
        <v>2023</v>
      </c>
      <c r="E9174" s="18" t="s">
        <v>0</v>
      </c>
      <c r="F9174" s="6">
        <v>1</v>
      </c>
      <c r="G9174" s="40">
        <v>5</v>
      </c>
      <c r="H9174" s="40">
        <v>24.607389999999999</v>
      </c>
      <c r="I9174" s="212"/>
      <c r="J9174" s="212"/>
    </row>
    <row r="9175" spans="1:10" s="15" customFormat="1" ht="18" hidden="1" customHeight="1" outlineLevel="1" x14ac:dyDescent="0.25">
      <c r="A9175" s="18">
        <v>4492</v>
      </c>
      <c r="B9175" s="4" t="s">
        <v>43</v>
      </c>
      <c r="C9175" s="38" t="s">
        <v>11590</v>
      </c>
      <c r="D9175" s="23">
        <v>2023</v>
      </c>
      <c r="E9175" s="18" t="s">
        <v>0</v>
      </c>
      <c r="F9175" s="6">
        <v>1</v>
      </c>
      <c r="G9175" s="40">
        <v>5.5</v>
      </c>
      <c r="H9175" s="40">
        <v>25.130139999999997</v>
      </c>
      <c r="I9175" s="212"/>
      <c r="J9175" s="212"/>
    </row>
    <row r="9176" spans="1:10" s="15" customFormat="1" ht="18" hidden="1" customHeight="1" outlineLevel="1" x14ac:dyDescent="0.25">
      <c r="A9176" s="18">
        <v>4506</v>
      </c>
      <c r="B9176" s="4" t="s">
        <v>43</v>
      </c>
      <c r="C9176" s="38" t="s">
        <v>11591</v>
      </c>
      <c r="D9176" s="23">
        <v>2023</v>
      </c>
      <c r="E9176" s="18" t="s">
        <v>0</v>
      </c>
      <c r="F9176" s="6">
        <v>1</v>
      </c>
      <c r="G9176" s="40">
        <v>2</v>
      </c>
      <c r="H9176" s="40">
        <v>9.8944299999999998</v>
      </c>
      <c r="I9176" s="212"/>
      <c r="J9176" s="212"/>
    </row>
    <row r="9177" spans="1:10" s="15" customFormat="1" ht="18" hidden="1" customHeight="1" outlineLevel="1" x14ac:dyDescent="0.25">
      <c r="A9177" s="18">
        <v>2446</v>
      </c>
      <c r="B9177" s="4" t="s">
        <v>43</v>
      </c>
      <c r="C9177" s="38" t="s">
        <v>11592</v>
      </c>
      <c r="D9177" s="23">
        <v>2023</v>
      </c>
      <c r="E9177" s="18" t="s">
        <v>0</v>
      </c>
      <c r="F9177" s="6">
        <v>4</v>
      </c>
      <c r="G9177" s="40">
        <v>27</v>
      </c>
      <c r="H9177" s="40">
        <v>99.340360000000004</v>
      </c>
      <c r="I9177" s="212"/>
      <c r="J9177" s="212"/>
    </row>
    <row r="9178" spans="1:10" s="15" customFormat="1" ht="18" hidden="1" customHeight="1" outlineLevel="1" x14ac:dyDescent="0.25">
      <c r="A9178" s="18">
        <v>2550</v>
      </c>
      <c r="B9178" s="4" t="s">
        <v>43</v>
      </c>
      <c r="C9178" s="38" t="s">
        <v>11593</v>
      </c>
      <c r="D9178" s="23">
        <v>2023</v>
      </c>
      <c r="E9178" s="18" t="s">
        <v>0</v>
      </c>
      <c r="F9178" s="6">
        <v>8</v>
      </c>
      <c r="G9178" s="40">
        <v>61</v>
      </c>
      <c r="H9178" s="40">
        <v>183.17175999999998</v>
      </c>
      <c r="I9178" s="212"/>
      <c r="J9178" s="212"/>
    </row>
    <row r="9179" spans="1:10" s="15" customFormat="1" ht="18" hidden="1" customHeight="1" outlineLevel="1" x14ac:dyDescent="0.25">
      <c r="A9179" s="18">
        <v>2589</v>
      </c>
      <c r="B9179" s="4" t="s">
        <v>43</v>
      </c>
      <c r="C9179" s="38" t="s">
        <v>11594</v>
      </c>
      <c r="D9179" s="23">
        <v>2023</v>
      </c>
      <c r="E9179" s="18" t="s">
        <v>0</v>
      </c>
      <c r="F9179" s="6">
        <v>3</v>
      </c>
      <c r="G9179" s="40">
        <v>17</v>
      </c>
      <c r="H9179" s="40">
        <v>73.810339999999997</v>
      </c>
      <c r="I9179" s="212"/>
      <c r="J9179" s="212"/>
    </row>
    <row r="9180" spans="1:10" s="15" customFormat="1" ht="18" hidden="1" customHeight="1" outlineLevel="1" x14ac:dyDescent="0.25">
      <c r="A9180" s="18">
        <v>2594</v>
      </c>
      <c r="B9180" s="4" t="s">
        <v>43</v>
      </c>
      <c r="C9180" s="38" t="s">
        <v>11595</v>
      </c>
      <c r="D9180" s="23">
        <v>2023</v>
      </c>
      <c r="E9180" s="18" t="s">
        <v>0</v>
      </c>
      <c r="F9180" s="6">
        <v>31</v>
      </c>
      <c r="G9180" s="40">
        <v>160</v>
      </c>
      <c r="H9180" s="40">
        <v>630.49474000000009</v>
      </c>
      <c r="I9180" s="212"/>
      <c r="J9180" s="212"/>
    </row>
    <row r="9181" spans="1:10" s="15" customFormat="1" ht="18" hidden="1" customHeight="1" outlineLevel="1" x14ac:dyDescent="0.25">
      <c r="A9181" s="18">
        <v>4521</v>
      </c>
      <c r="B9181" s="4" t="s">
        <v>43</v>
      </c>
      <c r="C9181" s="38" t="s">
        <v>11596</v>
      </c>
      <c r="D9181" s="23">
        <v>2023</v>
      </c>
      <c r="E9181" s="18" t="s">
        <v>0</v>
      </c>
      <c r="F9181" s="6">
        <v>1</v>
      </c>
      <c r="G9181" s="40">
        <v>3</v>
      </c>
      <c r="H9181" s="40">
        <v>25.03219</v>
      </c>
      <c r="I9181" s="212"/>
      <c r="J9181" s="212"/>
    </row>
    <row r="9182" spans="1:10" s="15" customFormat="1" ht="18" hidden="1" customHeight="1" outlineLevel="1" x14ac:dyDescent="0.25">
      <c r="A9182" s="18">
        <v>4513</v>
      </c>
      <c r="B9182" s="4" t="s">
        <v>43</v>
      </c>
      <c r="C9182" s="38" t="s">
        <v>11597</v>
      </c>
      <c r="D9182" s="23">
        <v>2023</v>
      </c>
      <c r="E9182" s="18" t="s">
        <v>0</v>
      </c>
      <c r="F9182" s="6">
        <v>1</v>
      </c>
      <c r="G9182" s="40">
        <v>5</v>
      </c>
      <c r="H9182" s="40">
        <v>24.967019999999998</v>
      </c>
      <c r="I9182" s="212"/>
      <c r="J9182" s="212"/>
    </row>
    <row r="9183" spans="1:10" s="15" customFormat="1" ht="18" hidden="1" customHeight="1" outlineLevel="1" x14ac:dyDescent="0.25">
      <c r="A9183" s="18">
        <v>4515</v>
      </c>
      <c r="B9183" s="4" t="s">
        <v>43</v>
      </c>
      <c r="C9183" s="38" t="s">
        <v>11598</v>
      </c>
      <c r="D9183" s="23">
        <v>2023</v>
      </c>
      <c r="E9183" s="18" t="s">
        <v>0</v>
      </c>
      <c r="F9183" s="6">
        <v>1</v>
      </c>
      <c r="G9183" s="40">
        <v>5</v>
      </c>
      <c r="H9183" s="40">
        <v>25.579169999999998</v>
      </c>
      <c r="I9183" s="212"/>
      <c r="J9183" s="212"/>
    </row>
    <row r="9184" spans="1:10" s="15" customFormat="1" ht="18" hidden="1" customHeight="1" outlineLevel="1" x14ac:dyDescent="0.25">
      <c r="A9184" s="18">
        <v>2551</v>
      </c>
      <c r="B9184" s="4" t="s">
        <v>43</v>
      </c>
      <c r="C9184" s="38" t="s">
        <v>11599</v>
      </c>
      <c r="D9184" s="23">
        <v>2023</v>
      </c>
      <c r="E9184" s="18" t="s">
        <v>0</v>
      </c>
      <c r="F9184" s="6">
        <v>1</v>
      </c>
      <c r="G9184" s="40">
        <v>5</v>
      </c>
      <c r="H9184" s="40">
        <v>25.684280000000001</v>
      </c>
      <c r="I9184" s="212"/>
      <c r="J9184" s="212"/>
    </row>
    <row r="9185" spans="1:10" s="15" customFormat="1" ht="18" hidden="1" customHeight="1" outlineLevel="1" x14ac:dyDescent="0.25">
      <c r="A9185" s="18">
        <v>2597</v>
      </c>
      <c r="B9185" s="4" t="s">
        <v>43</v>
      </c>
      <c r="C9185" s="38" t="s">
        <v>11600</v>
      </c>
      <c r="D9185" s="23">
        <v>2023</v>
      </c>
      <c r="E9185" s="18" t="s">
        <v>0</v>
      </c>
      <c r="F9185" s="6">
        <v>5</v>
      </c>
      <c r="G9185" s="40">
        <v>50</v>
      </c>
      <c r="H9185" s="40">
        <v>51.075469999999996</v>
      </c>
      <c r="I9185" s="212"/>
      <c r="J9185" s="212"/>
    </row>
    <row r="9186" spans="1:10" s="15" customFormat="1" ht="18" hidden="1" customHeight="1" outlineLevel="1" x14ac:dyDescent="0.25">
      <c r="A9186" s="18">
        <v>2634</v>
      </c>
      <c r="B9186" s="4" t="s">
        <v>43</v>
      </c>
      <c r="C9186" s="38" t="s">
        <v>11601</v>
      </c>
      <c r="D9186" s="23">
        <v>2023</v>
      </c>
      <c r="E9186" s="18" t="s">
        <v>0</v>
      </c>
      <c r="F9186" s="6">
        <v>4</v>
      </c>
      <c r="G9186" s="40">
        <v>35</v>
      </c>
      <c r="H9186" s="40">
        <v>40.857989999999994</v>
      </c>
      <c r="I9186" s="212"/>
      <c r="J9186" s="212"/>
    </row>
    <row r="9187" spans="1:10" s="15" customFormat="1" ht="18" hidden="1" customHeight="1" outlineLevel="1" x14ac:dyDescent="0.25">
      <c r="A9187" s="18">
        <v>2641</v>
      </c>
      <c r="B9187" s="4" t="s">
        <v>43</v>
      </c>
      <c r="C9187" s="38" t="s">
        <v>11602</v>
      </c>
      <c r="D9187" s="23">
        <v>2023</v>
      </c>
      <c r="E9187" s="18" t="s">
        <v>0</v>
      </c>
      <c r="F9187" s="6">
        <v>4</v>
      </c>
      <c r="G9187" s="40">
        <v>45</v>
      </c>
      <c r="H9187" s="40">
        <v>70.818690000000004</v>
      </c>
      <c r="I9187" s="212"/>
      <c r="J9187" s="212"/>
    </row>
    <row r="9188" spans="1:10" s="15" customFormat="1" ht="18" hidden="1" customHeight="1" outlineLevel="1" x14ac:dyDescent="0.25">
      <c r="A9188" s="18">
        <v>2640</v>
      </c>
      <c r="B9188" s="4" t="s">
        <v>43</v>
      </c>
      <c r="C9188" s="38" t="s">
        <v>11603</v>
      </c>
      <c r="D9188" s="23">
        <v>2023</v>
      </c>
      <c r="E9188" s="18" t="s">
        <v>0</v>
      </c>
      <c r="F9188" s="6">
        <v>12</v>
      </c>
      <c r="G9188" s="40">
        <v>78</v>
      </c>
      <c r="H9188" s="40">
        <v>202.86841999999999</v>
      </c>
      <c r="I9188" s="212"/>
      <c r="J9188" s="212"/>
    </row>
    <row r="9189" spans="1:10" s="15" customFormat="1" ht="18" hidden="1" customHeight="1" outlineLevel="1" x14ac:dyDescent="0.25">
      <c r="A9189" s="18">
        <v>2658</v>
      </c>
      <c r="B9189" s="4" t="s">
        <v>43</v>
      </c>
      <c r="C9189" s="38" t="s">
        <v>11604</v>
      </c>
      <c r="D9189" s="23">
        <v>2023</v>
      </c>
      <c r="E9189" s="18" t="s">
        <v>0</v>
      </c>
      <c r="F9189" s="6">
        <v>25</v>
      </c>
      <c r="G9189" s="40">
        <v>174</v>
      </c>
      <c r="H9189" s="40">
        <v>422.49626999999998</v>
      </c>
      <c r="I9189" s="212"/>
      <c r="J9189" s="212"/>
    </row>
    <row r="9190" spans="1:10" s="15" customFormat="1" ht="18" hidden="1" customHeight="1" outlineLevel="1" x14ac:dyDescent="0.25">
      <c r="A9190" s="18">
        <v>2585</v>
      </c>
      <c r="B9190" s="4" t="s">
        <v>43</v>
      </c>
      <c r="C9190" s="38" t="s">
        <v>11605</v>
      </c>
      <c r="D9190" s="23">
        <v>2023</v>
      </c>
      <c r="E9190" s="18" t="s">
        <v>0</v>
      </c>
      <c r="F9190" s="6">
        <v>1</v>
      </c>
      <c r="G9190" s="40">
        <v>6</v>
      </c>
      <c r="H9190" s="40">
        <v>17.869420000000002</v>
      </c>
      <c r="I9190" s="212"/>
      <c r="J9190" s="212"/>
    </row>
    <row r="9191" spans="1:10" s="15" customFormat="1" ht="18" hidden="1" customHeight="1" outlineLevel="1" x14ac:dyDescent="0.25">
      <c r="A9191" s="18">
        <v>2704</v>
      </c>
      <c r="B9191" s="4" t="s">
        <v>43</v>
      </c>
      <c r="C9191" s="38" t="s">
        <v>11606</v>
      </c>
      <c r="D9191" s="23">
        <v>2023</v>
      </c>
      <c r="E9191" s="18" t="s">
        <v>0</v>
      </c>
      <c r="F9191" s="6">
        <v>3</v>
      </c>
      <c r="G9191" s="40">
        <v>16</v>
      </c>
      <c r="H9191" s="40">
        <v>51.021920000000001</v>
      </c>
      <c r="I9191" s="212"/>
      <c r="J9191" s="212"/>
    </row>
    <row r="9192" spans="1:10" s="15" customFormat="1" ht="18" hidden="1" customHeight="1" outlineLevel="1" x14ac:dyDescent="0.25">
      <c r="A9192" s="18">
        <v>2717</v>
      </c>
      <c r="B9192" s="4" t="s">
        <v>43</v>
      </c>
      <c r="C9192" s="38" t="s">
        <v>11607</v>
      </c>
      <c r="D9192" s="23">
        <v>2023</v>
      </c>
      <c r="E9192" s="18" t="s">
        <v>0</v>
      </c>
      <c r="F9192" s="6">
        <v>18</v>
      </c>
      <c r="G9192" s="40">
        <v>127</v>
      </c>
      <c r="H9192" s="40">
        <v>312.45274000000001</v>
      </c>
      <c r="I9192" s="212"/>
      <c r="J9192" s="212"/>
    </row>
    <row r="9193" spans="1:10" s="15" customFormat="1" ht="18" hidden="1" customHeight="1" outlineLevel="1" x14ac:dyDescent="0.25">
      <c r="A9193" s="18">
        <v>4551</v>
      </c>
      <c r="B9193" s="4" t="s">
        <v>43</v>
      </c>
      <c r="C9193" s="38" t="s">
        <v>11608</v>
      </c>
      <c r="D9193" s="23">
        <v>2023</v>
      </c>
      <c r="E9193" s="18" t="s">
        <v>0</v>
      </c>
      <c r="F9193" s="6">
        <v>4</v>
      </c>
      <c r="G9193" s="40">
        <v>35</v>
      </c>
      <c r="H9193" s="40">
        <v>68.330279999999988</v>
      </c>
      <c r="I9193" s="212"/>
      <c r="J9193" s="212"/>
    </row>
    <row r="9194" spans="1:10" s="15" customFormat="1" ht="18" hidden="1" customHeight="1" outlineLevel="1" x14ac:dyDescent="0.25">
      <c r="A9194" s="18">
        <v>4547</v>
      </c>
      <c r="B9194" s="4" t="s">
        <v>43</v>
      </c>
      <c r="C9194" s="38" t="s">
        <v>11609</v>
      </c>
      <c r="D9194" s="23">
        <v>2023</v>
      </c>
      <c r="E9194" s="18" t="s">
        <v>0</v>
      </c>
      <c r="F9194" s="6">
        <v>1</v>
      </c>
      <c r="G9194" s="40">
        <v>5</v>
      </c>
      <c r="H9194" s="40">
        <v>17.68769</v>
      </c>
      <c r="I9194" s="212"/>
      <c r="J9194" s="212"/>
    </row>
    <row r="9195" spans="1:10" s="15" customFormat="1" ht="18" hidden="1" customHeight="1" outlineLevel="1" x14ac:dyDescent="0.25">
      <c r="A9195" s="18">
        <v>2696</v>
      </c>
      <c r="B9195" s="4" t="s">
        <v>43</v>
      </c>
      <c r="C9195" s="38" t="s">
        <v>11610</v>
      </c>
      <c r="D9195" s="23">
        <v>2023</v>
      </c>
      <c r="E9195" s="18" t="s">
        <v>0</v>
      </c>
      <c r="F9195" s="6">
        <v>1</v>
      </c>
      <c r="G9195" s="40">
        <v>5</v>
      </c>
      <c r="H9195" s="40">
        <v>17.68769</v>
      </c>
      <c r="I9195" s="212"/>
      <c r="J9195" s="212"/>
    </row>
    <row r="9196" spans="1:10" s="15" customFormat="1" ht="18" hidden="1" customHeight="1" outlineLevel="1" x14ac:dyDescent="0.25">
      <c r="A9196" s="18">
        <v>2692</v>
      </c>
      <c r="B9196" s="4" t="s">
        <v>43</v>
      </c>
      <c r="C9196" s="38" t="s">
        <v>11611</v>
      </c>
      <c r="D9196" s="23">
        <v>2023</v>
      </c>
      <c r="E9196" s="18" t="s">
        <v>0</v>
      </c>
      <c r="F9196" s="6">
        <v>1</v>
      </c>
      <c r="G9196" s="40">
        <v>1</v>
      </c>
      <c r="H9196" s="40">
        <v>17.829790000000003</v>
      </c>
      <c r="I9196" s="212"/>
      <c r="J9196" s="212"/>
    </row>
    <row r="9197" spans="1:10" s="15" customFormat="1" ht="18" hidden="1" customHeight="1" outlineLevel="1" x14ac:dyDescent="0.25">
      <c r="A9197" s="18">
        <v>4542</v>
      </c>
      <c r="B9197" s="4" t="s">
        <v>43</v>
      </c>
      <c r="C9197" s="38" t="s">
        <v>11612</v>
      </c>
      <c r="D9197" s="23">
        <v>2023</v>
      </c>
      <c r="E9197" s="18" t="s">
        <v>0</v>
      </c>
      <c r="F9197" s="6">
        <v>1</v>
      </c>
      <c r="G9197" s="40">
        <v>15</v>
      </c>
      <c r="H9197" s="40">
        <v>18.23601</v>
      </c>
      <c r="I9197" s="212"/>
      <c r="J9197" s="212"/>
    </row>
    <row r="9198" spans="1:10" s="15" customFormat="1" ht="18" hidden="1" customHeight="1" outlineLevel="1" x14ac:dyDescent="0.25">
      <c r="A9198" s="18">
        <v>2722</v>
      </c>
      <c r="B9198" s="4" t="s">
        <v>43</v>
      </c>
      <c r="C9198" s="38" t="s">
        <v>11613</v>
      </c>
      <c r="D9198" s="23">
        <v>2023</v>
      </c>
      <c r="E9198" s="18" t="s">
        <v>0</v>
      </c>
      <c r="F9198" s="6">
        <v>6</v>
      </c>
      <c r="G9198" s="40">
        <v>40</v>
      </c>
      <c r="H9198" s="40">
        <v>103.86099999999999</v>
      </c>
      <c r="I9198" s="212"/>
      <c r="J9198" s="212"/>
    </row>
    <row r="9199" spans="1:10" s="15" customFormat="1" ht="18" hidden="1" customHeight="1" outlineLevel="1" x14ac:dyDescent="0.25">
      <c r="A9199" s="18">
        <v>4566</v>
      </c>
      <c r="B9199" s="4" t="s">
        <v>43</v>
      </c>
      <c r="C9199" s="38" t="s">
        <v>11614</v>
      </c>
      <c r="D9199" s="23">
        <v>2023</v>
      </c>
      <c r="E9199" s="18" t="s">
        <v>0</v>
      </c>
      <c r="F9199" s="6">
        <v>6</v>
      </c>
      <c r="G9199" s="40">
        <v>49.5</v>
      </c>
      <c r="H9199" s="40">
        <v>112.20868</v>
      </c>
      <c r="I9199" s="212"/>
      <c r="J9199" s="212"/>
    </row>
    <row r="9200" spans="1:10" s="15" customFormat="1" ht="18" hidden="1" customHeight="1" outlineLevel="1" x14ac:dyDescent="0.25">
      <c r="A9200" s="18">
        <v>4560</v>
      </c>
      <c r="B9200" s="4" t="s">
        <v>43</v>
      </c>
      <c r="C9200" s="38" t="s">
        <v>11615</v>
      </c>
      <c r="D9200" s="23">
        <v>2023</v>
      </c>
      <c r="E9200" s="18" t="s">
        <v>0</v>
      </c>
      <c r="F9200" s="6">
        <v>6</v>
      </c>
      <c r="G9200" s="40">
        <v>49</v>
      </c>
      <c r="H9200" s="40">
        <v>103.68376000000001</v>
      </c>
      <c r="I9200" s="212"/>
      <c r="J9200" s="212"/>
    </row>
    <row r="9201" spans="1:10" s="15" customFormat="1" ht="18" hidden="1" customHeight="1" outlineLevel="1" x14ac:dyDescent="0.25">
      <c r="A9201" s="18">
        <v>4559</v>
      </c>
      <c r="B9201" s="4" t="s">
        <v>43</v>
      </c>
      <c r="C9201" s="38" t="s">
        <v>11616</v>
      </c>
      <c r="D9201" s="23">
        <v>2023</v>
      </c>
      <c r="E9201" s="18" t="s">
        <v>0</v>
      </c>
      <c r="F9201" s="6">
        <v>1</v>
      </c>
      <c r="G9201" s="40">
        <v>15</v>
      </c>
      <c r="H9201" s="40">
        <v>17.302999999999997</v>
      </c>
      <c r="I9201" s="212"/>
      <c r="J9201" s="212"/>
    </row>
    <row r="9202" spans="1:10" s="15" customFormat="1" ht="18" hidden="1" customHeight="1" outlineLevel="1" x14ac:dyDescent="0.25">
      <c r="A9202" s="18">
        <v>4564</v>
      </c>
      <c r="B9202" s="4" t="s">
        <v>43</v>
      </c>
      <c r="C9202" s="38" t="s">
        <v>11617</v>
      </c>
      <c r="D9202" s="23">
        <v>2023</v>
      </c>
      <c r="E9202" s="18" t="s">
        <v>0</v>
      </c>
      <c r="F9202" s="6">
        <v>1</v>
      </c>
      <c r="G9202" s="40">
        <v>5</v>
      </c>
      <c r="H9202" s="40">
        <v>18.46238</v>
      </c>
      <c r="I9202" s="212"/>
      <c r="J9202" s="212"/>
    </row>
    <row r="9203" spans="1:10" s="15" customFormat="1" ht="18" hidden="1" customHeight="1" outlineLevel="1" x14ac:dyDescent="0.25">
      <c r="A9203" s="18">
        <v>2765</v>
      </c>
      <c r="B9203" s="4" t="s">
        <v>43</v>
      </c>
      <c r="C9203" s="38" t="s">
        <v>11618</v>
      </c>
      <c r="D9203" s="23">
        <v>2023</v>
      </c>
      <c r="E9203" s="18" t="s">
        <v>0</v>
      </c>
      <c r="F9203" s="6">
        <v>5</v>
      </c>
      <c r="G9203" s="40">
        <v>45</v>
      </c>
      <c r="H9203" s="40">
        <v>84.950419999999994</v>
      </c>
      <c r="I9203" s="212"/>
      <c r="J9203" s="212"/>
    </row>
    <row r="9204" spans="1:10" s="15" customFormat="1" ht="18" hidden="1" customHeight="1" outlineLevel="1" x14ac:dyDescent="0.25">
      <c r="A9204" s="18">
        <v>2733</v>
      </c>
      <c r="B9204" s="4" t="s">
        <v>43</v>
      </c>
      <c r="C9204" s="38" t="s">
        <v>11619</v>
      </c>
      <c r="D9204" s="23">
        <v>2023</v>
      </c>
      <c r="E9204" s="18" t="s">
        <v>0</v>
      </c>
      <c r="F9204" s="6">
        <v>9</v>
      </c>
      <c r="G9204" s="40">
        <v>85</v>
      </c>
      <c r="H9204" s="40">
        <v>151.8426</v>
      </c>
      <c r="I9204" s="212"/>
      <c r="J9204" s="212"/>
    </row>
    <row r="9205" spans="1:10" s="15" customFormat="1" ht="18" hidden="1" customHeight="1" outlineLevel="1" x14ac:dyDescent="0.25">
      <c r="A9205" s="18">
        <v>2812</v>
      </c>
      <c r="B9205" s="4" t="s">
        <v>43</v>
      </c>
      <c r="C9205" s="38" t="s">
        <v>11620</v>
      </c>
      <c r="D9205" s="23">
        <v>2023</v>
      </c>
      <c r="E9205" s="18" t="s">
        <v>0</v>
      </c>
      <c r="F9205" s="6">
        <v>16</v>
      </c>
      <c r="G9205" s="40">
        <v>96</v>
      </c>
      <c r="H9205" s="40">
        <v>264.27370000000002</v>
      </c>
      <c r="I9205" s="212"/>
      <c r="J9205" s="212"/>
    </row>
    <row r="9206" spans="1:10" s="15" customFormat="1" ht="18" hidden="1" customHeight="1" outlineLevel="1" x14ac:dyDescent="0.25">
      <c r="A9206" s="18">
        <v>2815</v>
      </c>
      <c r="B9206" s="4" t="s">
        <v>43</v>
      </c>
      <c r="C9206" s="38" t="s">
        <v>11621</v>
      </c>
      <c r="D9206" s="23">
        <v>2023</v>
      </c>
      <c r="E9206" s="18" t="s">
        <v>0</v>
      </c>
      <c r="F9206" s="6">
        <v>1</v>
      </c>
      <c r="G9206" s="40">
        <v>5</v>
      </c>
      <c r="H9206" s="40">
        <v>17.046019999999999</v>
      </c>
      <c r="I9206" s="212"/>
      <c r="J9206" s="212"/>
    </row>
    <row r="9207" spans="1:10" s="15" customFormat="1" ht="18" hidden="1" customHeight="1" outlineLevel="1" x14ac:dyDescent="0.25">
      <c r="A9207" s="18">
        <v>4569</v>
      </c>
      <c r="B9207" s="4" t="s">
        <v>43</v>
      </c>
      <c r="C9207" s="38" t="s">
        <v>11622</v>
      </c>
      <c r="D9207" s="23">
        <v>2023</v>
      </c>
      <c r="E9207" s="18" t="s">
        <v>0</v>
      </c>
      <c r="F9207" s="6">
        <v>1</v>
      </c>
      <c r="G9207" s="40">
        <v>8</v>
      </c>
      <c r="H9207" s="40">
        <v>17.046019999999999</v>
      </c>
      <c r="I9207" s="212"/>
      <c r="J9207" s="212"/>
    </row>
    <row r="9208" spans="1:10" s="15" customFormat="1" ht="28.5" hidden="1" customHeight="1" outlineLevel="1" x14ac:dyDescent="0.25">
      <c r="A9208" s="46">
        <v>9160</v>
      </c>
      <c r="B9208" s="4" t="s">
        <v>43</v>
      </c>
      <c r="C9208" s="22" t="s">
        <v>933</v>
      </c>
      <c r="D9208" s="18">
        <v>2021</v>
      </c>
      <c r="E9208" s="18"/>
      <c r="F9208" s="4">
        <v>1</v>
      </c>
      <c r="G9208" s="4">
        <v>5</v>
      </c>
      <c r="H9208" s="4">
        <v>54</v>
      </c>
      <c r="I9208" s="201"/>
      <c r="J9208" s="201"/>
    </row>
    <row r="9209" spans="1:10" s="15" customFormat="1" ht="28.5" hidden="1" customHeight="1" outlineLevel="1" x14ac:dyDescent="0.25">
      <c r="A9209" s="45">
        <v>254</v>
      </c>
      <c r="B9209" s="4" t="s">
        <v>43</v>
      </c>
      <c r="C9209" s="22" t="s">
        <v>934</v>
      </c>
      <c r="D9209" s="18">
        <v>2021</v>
      </c>
      <c r="E9209" s="18"/>
      <c r="F9209" s="4">
        <v>1</v>
      </c>
      <c r="G9209" s="4">
        <v>5</v>
      </c>
      <c r="H9209" s="4">
        <v>56</v>
      </c>
      <c r="I9209" s="201"/>
      <c r="J9209" s="201"/>
    </row>
    <row r="9210" spans="1:10" s="15" customFormat="1" ht="28.5" hidden="1" customHeight="1" outlineLevel="1" x14ac:dyDescent="0.25">
      <c r="A9210" s="45">
        <v>255</v>
      </c>
      <c r="B9210" s="4" t="s">
        <v>43</v>
      </c>
      <c r="C9210" s="22" t="s">
        <v>935</v>
      </c>
      <c r="D9210" s="18">
        <v>2021</v>
      </c>
      <c r="E9210" s="18"/>
      <c r="F9210" s="4">
        <v>1</v>
      </c>
      <c r="G9210" s="4">
        <v>5</v>
      </c>
      <c r="H9210" s="4">
        <v>76</v>
      </c>
      <c r="I9210" s="201"/>
      <c r="J9210" s="201"/>
    </row>
    <row r="9211" spans="1:10" s="15" customFormat="1" ht="28.5" hidden="1" customHeight="1" outlineLevel="1" x14ac:dyDescent="0.25">
      <c r="A9211" s="46">
        <v>9244</v>
      </c>
      <c r="B9211" s="4" t="s">
        <v>43</v>
      </c>
      <c r="C9211" s="22" t="s">
        <v>936</v>
      </c>
      <c r="D9211" s="18">
        <v>2021</v>
      </c>
      <c r="E9211" s="18"/>
      <c r="F9211" s="4">
        <v>1</v>
      </c>
      <c r="G9211" s="4">
        <v>5</v>
      </c>
      <c r="H9211" s="4">
        <v>64</v>
      </c>
      <c r="I9211" s="201"/>
      <c r="J9211" s="201"/>
    </row>
    <row r="9212" spans="1:10" s="15" customFormat="1" ht="28.5" hidden="1" customHeight="1" outlineLevel="1" x14ac:dyDescent="0.25">
      <c r="A9212" s="46">
        <v>9897</v>
      </c>
      <c r="B9212" s="4" t="s">
        <v>43</v>
      </c>
      <c r="C9212" s="22" t="s">
        <v>937</v>
      </c>
      <c r="D9212" s="18">
        <v>2021</v>
      </c>
      <c r="E9212" s="18"/>
      <c r="F9212" s="4">
        <v>1</v>
      </c>
      <c r="G9212" s="4">
        <v>2.5</v>
      </c>
      <c r="H9212" s="4">
        <v>63</v>
      </c>
      <c r="I9212" s="201"/>
      <c r="J9212" s="201"/>
    </row>
    <row r="9213" spans="1:10" s="15" customFormat="1" ht="28.5" hidden="1" customHeight="1" outlineLevel="1" x14ac:dyDescent="0.25">
      <c r="A9213" s="45">
        <v>26</v>
      </c>
      <c r="B9213" s="4" t="s">
        <v>43</v>
      </c>
      <c r="C9213" s="22" t="s">
        <v>938</v>
      </c>
      <c r="D9213" s="18">
        <v>2021</v>
      </c>
      <c r="E9213" s="18"/>
      <c r="F9213" s="4">
        <v>1</v>
      </c>
      <c r="G9213" s="4">
        <v>5</v>
      </c>
      <c r="H9213" s="4">
        <v>63</v>
      </c>
      <c r="I9213" s="201"/>
      <c r="J9213" s="201"/>
    </row>
    <row r="9214" spans="1:10" s="15" customFormat="1" ht="28.5" hidden="1" customHeight="1" outlineLevel="1" x14ac:dyDescent="0.25">
      <c r="A9214" s="46">
        <v>9245</v>
      </c>
      <c r="B9214" s="4" t="s">
        <v>43</v>
      </c>
      <c r="C9214" s="22" t="s">
        <v>939</v>
      </c>
      <c r="D9214" s="18">
        <v>2021</v>
      </c>
      <c r="E9214" s="18"/>
      <c r="F9214" s="4">
        <v>1</v>
      </c>
      <c r="G9214" s="4">
        <v>6</v>
      </c>
      <c r="H9214" s="4">
        <v>42</v>
      </c>
      <c r="I9214" s="201"/>
      <c r="J9214" s="201"/>
    </row>
    <row r="9215" spans="1:10" s="15" customFormat="1" ht="28.5" hidden="1" customHeight="1" outlineLevel="1" x14ac:dyDescent="0.25">
      <c r="A9215" s="45">
        <v>162</v>
      </c>
      <c r="B9215" s="4" t="s">
        <v>43</v>
      </c>
      <c r="C9215" s="22" t="s">
        <v>940</v>
      </c>
      <c r="D9215" s="18">
        <v>2021</v>
      </c>
      <c r="E9215" s="18"/>
      <c r="F9215" s="4">
        <v>1</v>
      </c>
      <c r="G9215" s="4">
        <v>6</v>
      </c>
      <c r="H9215" s="4">
        <v>71</v>
      </c>
      <c r="I9215" s="201"/>
      <c r="J9215" s="201"/>
    </row>
    <row r="9216" spans="1:10" s="15" customFormat="1" ht="28.5" hidden="1" customHeight="1" outlineLevel="1" x14ac:dyDescent="0.25">
      <c r="A9216" s="45">
        <v>168</v>
      </c>
      <c r="B9216" s="4" t="s">
        <v>43</v>
      </c>
      <c r="C9216" s="22" t="s">
        <v>941</v>
      </c>
      <c r="D9216" s="18">
        <v>2021</v>
      </c>
      <c r="E9216" s="18"/>
      <c r="F9216" s="4">
        <v>1</v>
      </c>
      <c r="G9216" s="4">
        <v>5</v>
      </c>
      <c r="H9216" s="4">
        <v>114</v>
      </c>
      <c r="I9216" s="201"/>
      <c r="J9216" s="201"/>
    </row>
    <row r="9217" spans="1:10" s="15" customFormat="1" ht="28.5" hidden="1" customHeight="1" outlineLevel="1" x14ac:dyDescent="0.25">
      <c r="A9217" s="45">
        <v>28</v>
      </c>
      <c r="B9217" s="4" t="s">
        <v>43</v>
      </c>
      <c r="C9217" s="22" t="s">
        <v>942</v>
      </c>
      <c r="D9217" s="18">
        <v>2021</v>
      </c>
      <c r="E9217" s="18"/>
      <c r="F9217" s="4">
        <v>1</v>
      </c>
      <c r="G9217" s="4">
        <v>5</v>
      </c>
      <c r="H9217" s="4">
        <v>108</v>
      </c>
      <c r="I9217" s="201"/>
      <c r="J9217" s="201"/>
    </row>
    <row r="9218" spans="1:10" s="15" customFormat="1" ht="28.5" hidden="1" customHeight="1" outlineLevel="1" x14ac:dyDescent="0.25">
      <c r="A9218" s="46">
        <v>9896</v>
      </c>
      <c r="B9218" s="4" t="s">
        <v>43</v>
      </c>
      <c r="C9218" s="22" t="s">
        <v>943</v>
      </c>
      <c r="D9218" s="18">
        <v>2021</v>
      </c>
      <c r="E9218" s="18"/>
      <c r="F9218" s="4">
        <v>1</v>
      </c>
      <c r="G9218" s="4">
        <v>5</v>
      </c>
      <c r="H9218" s="4">
        <v>106</v>
      </c>
      <c r="I9218" s="201"/>
      <c r="J9218" s="201"/>
    </row>
    <row r="9219" spans="1:10" s="15" customFormat="1" ht="28.5" hidden="1" customHeight="1" outlineLevel="1" x14ac:dyDescent="0.25">
      <c r="A9219" s="45">
        <v>1273</v>
      </c>
      <c r="B9219" s="4" t="s">
        <v>43</v>
      </c>
      <c r="C9219" s="22" t="s">
        <v>322</v>
      </c>
      <c r="D9219" s="18">
        <v>2021</v>
      </c>
      <c r="E9219" s="18"/>
      <c r="F9219" s="4">
        <v>1</v>
      </c>
      <c r="G9219" s="4">
        <v>40</v>
      </c>
      <c r="H9219" s="4">
        <v>34</v>
      </c>
      <c r="I9219" s="201"/>
      <c r="J9219" s="201"/>
    </row>
    <row r="9220" spans="1:10" s="15" customFormat="1" ht="28.5" hidden="1" customHeight="1" outlineLevel="1" x14ac:dyDescent="0.25">
      <c r="A9220" s="45">
        <v>17</v>
      </c>
      <c r="B9220" s="4" t="s">
        <v>43</v>
      </c>
      <c r="C9220" s="22" t="s">
        <v>944</v>
      </c>
      <c r="D9220" s="18">
        <v>2021</v>
      </c>
      <c r="E9220" s="18"/>
      <c r="F9220" s="4">
        <v>1</v>
      </c>
      <c r="G9220" s="4">
        <v>5</v>
      </c>
      <c r="H9220" s="4">
        <v>54</v>
      </c>
      <c r="I9220" s="201"/>
      <c r="J9220" s="201"/>
    </row>
    <row r="9221" spans="1:10" s="15" customFormat="1" ht="28.5" hidden="1" customHeight="1" outlineLevel="1" x14ac:dyDescent="0.25">
      <c r="A9221" s="45">
        <v>1559</v>
      </c>
      <c r="B9221" s="4" t="s">
        <v>43</v>
      </c>
      <c r="C9221" s="22" t="s">
        <v>945</v>
      </c>
      <c r="D9221" s="18">
        <v>2021</v>
      </c>
      <c r="E9221" s="18"/>
      <c r="F9221" s="4">
        <v>1</v>
      </c>
      <c r="G9221" s="4">
        <v>5</v>
      </c>
      <c r="H9221" s="4">
        <v>51</v>
      </c>
      <c r="I9221" s="201"/>
      <c r="J9221" s="201"/>
    </row>
    <row r="9222" spans="1:10" s="15" customFormat="1" ht="28.5" hidden="1" customHeight="1" outlineLevel="1" x14ac:dyDescent="0.25">
      <c r="A9222" s="46">
        <v>9159</v>
      </c>
      <c r="B9222" s="4" t="s">
        <v>43</v>
      </c>
      <c r="C9222" s="22" t="s">
        <v>946</v>
      </c>
      <c r="D9222" s="18">
        <v>2021</v>
      </c>
      <c r="E9222" s="18"/>
      <c r="F9222" s="4">
        <v>1</v>
      </c>
      <c r="G9222" s="4">
        <v>5</v>
      </c>
      <c r="H9222" s="4">
        <v>54</v>
      </c>
      <c r="I9222" s="201"/>
      <c r="J9222" s="201"/>
    </row>
    <row r="9223" spans="1:10" s="15" customFormat="1" ht="28.5" hidden="1" customHeight="1" outlineLevel="1" x14ac:dyDescent="0.25">
      <c r="A9223" s="45">
        <v>21</v>
      </c>
      <c r="B9223" s="4" t="s">
        <v>43</v>
      </c>
      <c r="C9223" s="22" t="s">
        <v>947</v>
      </c>
      <c r="D9223" s="18">
        <v>2021</v>
      </c>
      <c r="E9223" s="18"/>
      <c r="F9223" s="4">
        <v>1</v>
      </c>
      <c r="G9223" s="4">
        <v>5</v>
      </c>
      <c r="H9223" s="4">
        <v>97</v>
      </c>
      <c r="I9223" s="201"/>
      <c r="J9223" s="201"/>
    </row>
    <row r="9224" spans="1:10" s="15" customFormat="1" ht="28.5" hidden="1" customHeight="1" outlineLevel="1" x14ac:dyDescent="0.25">
      <c r="A9224" s="45">
        <v>1573</v>
      </c>
      <c r="B9224" s="4" t="s">
        <v>43</v>
      </c>
      <c r="C9224" s="22" t="s">
        <v>948</v>
      </c>
      <c r="D9224" s="18">
        <v>2021</v>
      </c>
      <c r="E9224" s="18"/>
      <c r="F9224" s="4">
        <v>1</v>
      </c>
      <c r="G9224" s="4">
        <v>15</v>
      </c>
      <c r="H9224" s="4">
        <v>86</v>
      </c>
      <c r="I9224" s="201"/>
      <c r="J9224" s="201"/>
    </row>
    <row r="9225" spans="1:10" s="15" customFormat="1" ht="28.5" hidden="1" customHeight="1" outlineLevel="1" x14ac:dyDescent="0.25">
      <c r="A9225" s="46">
        <v>9157</v>
      </c>
      <c r="B9225" s="4" t="s">
        <v>43</v>
      </c>
      <c r="C9225" s="22" t="s">
        <v>949</v>
      </c>
      <c r="D9225" s="18">
        <v>2021</v>
      </c>
      <c r="E9225" s="18"/>
      <c r="F9225" s="4">
        <v>1</v>
      </c>
      <c r="G9225" s="4">
        <v>5</v>
      </c>
      <c r="H9225" s="4">
        <v>109</v>
      </c>
      <c r="I9225" s="201"/>
      <c r="J9225" s="201"/>
    </row>
    <row r="9226" spans="1:10" s="15" customFormat="1" ht="28.5" hidden="1" customHeight="1" outlineLevel="1" x14ac:dyDescent="0.25">
      <c r="A9226" s="45">
        <v>1563</v>
      </c>
      <c r="B9226" s="4" t="s">
        <v>43</v>
      </c>
      <c r="C9226" s="22" t="s">
        <v>950</v>
      </c>
      <c r="D9226" s="18">
        <v>2021</v>
      </c>
      <c r="E9226" s="18"/>
      <c r="F9226" s="4">
        <v>1</v>
      </c>
      <c r="G9226" s="4">
        <v>5</v>
      </c>
      <c r="H9226" s="4">
        <v>91</v>
      </c>
      <c r="I9226" s="201"/>
      <c r="J9226" s="201"/>
    </row>
    <row r="9227" spans="1:10" s="15" customFormat="1" ht="28.5" hidden="1" customHeight="1" outlineLevel="1" x14ac:dyDescent="0.25">
      <c r="A9227" s="45">
        <v>23</v>
      </c>
      <c r="B9227" s="4" t="s">
        <v>43</v>
      </c>
      <c r="C9227" s="22" t="s">
        <v>951</v>
      </c>
      <c r="D9227" s="18">
        <v>2021</v>
      </c>
      <c r="E9227" s="18"/>
      <c r="F9227" s="4">
        <v>1</v>
      </c>
      <c r="G9227" s="4">
        <v>5</v>
      </c>
      <c r="H9227" s="4">
        <v>121</v>
      </c>
      <c r="I9227" s="201"/>
      <c r="J9227" s="201"/>
    </row>
    <row r="9228" spans="1:10" s="15" customFormat="1" ht="28.5" hidden="1" customHeight="1" outlineLevel="1" x14ac:dyDescent="0.25">
      <c r="A9228" s="45">
        <v>1562</v>
      </c>
      <c r="B9228" s="4" t="s">
        <v>43</v>
      </c>
      <c r="C9228" s="22" t="s">
        <v>952</v>
      </c>
      <c r="D9228" s="18">
        <v>2021</v>
      </c>
      <c r="E9228" s="18"/>
      <c r="F9228" s="4">
        <v>1</v>
      </c>
      <c r="G9228" s="4">
        <v>5</v>
      </c>
      <c r="H9228" s="4">
        <v>96</v>
      </c>
      <c r="I9228" s="201"/>
      <c r="J9228" s="201"/>
    </row>
    <row r="9229" spans="1:10" s="15" customFormat="1" ht="28.5" hidden="1" customHeight="1" outlineLevel="1" x14ac:dyDescent="0.25">
      <c r="A9229" s="45">
        <v>1560</v>
      </c>
      <c r="B9229" s="4" t="s">
        <v>43</v>
      </c>
      <c r="C9229" s="22" t="s">
        <v>953</v>
      </c>
      <c r="D9229" s="18">
        <v>2021</v>
      </c>
      <c r="E9229" s="18"/>
      <c r="F9229" s="4">
        <v>1</v>
      </c>
      <c r="G9229" s="4">
        <v>5</v>
      </c>
      <c r="H9229" s="4">
        <v>90</v>
      </c>
      <c r="I9229" s="201"/>
      <c r="J9229" s="201"/>
    </row>
    <row r="9230" spans="1:10" s="15" customFormat="1" ht="28.5" hidden="1" customHeight="1" outlineLevel="1" x14ac:dyDescent="0.25">
      <c r="A9230" s="45">
        <v>29</v>
      </c>
      <c r="B9230" s="4" t="s">
        <v>43</v>
      </c>
      <c r="C9230" s="22" t="s">
        <v>954</v>
      </c>
      <c r="D9230" s="18">
        <v>2021</v>
      </c>
      <c r="E9230" s="18"/>
      <c r="F9230" s="4">
        <v>1</v>
      </c>
      <c r="G9230" s="4">
        <v>5</v>
      </c>
      <c r="H9230" s="4">
        <v>62</v>
      </c>
      <c r="I9230" s="201"/>
      <c r="J9230" s="201"/>
    </row>
    <row r="9231" spans="1:10" s="15" customFormat="1" ht="28.5" hidden="1" customHeight="1" outlineLevel="1" x14ac:dyDescent="0.25">
      <c r="A9231" s="45">
        <v>30</v>
      </c>
      <c r="B9231" s="4" t="s">
        <v>43</v>
      </c>
      <c r="C9231" s="22" t="s">
        <v>955</v>
      </c>
      <c r="D9231" s="18">
        <v>2021</v>
      </c>
      <c r="E9231" s="18"/>
      <c r="F9231" s="4">
        <v>1</v>
      </c>
      <c r="G9231" s="4">
        <v>5</v>
      </c>
      <c r="H9231" s="4">
        <v>65</v>
      </c>
      <c r="I9231" s="201"/>
      <c r="J9231" s="201"/>
    </row>
    <row r="9232" spans="1:10" s="15" customFormat="1" ht="28.5" hidden="1" customHeight="1" outlineLevel="1" x14ac:dyDescent="0.25">
      <c r="A9232" s="45">
        <v>19</v>
      </c>
      <c r="B9232" s="4" t="s">
        <v>43</v>
      </c>
      <c r="C9232" s="22" t="s">
        <v>956</v>
      </c>
      <c r="D9232" s="18">
        <v>2021</v>
      </c>
      <c r="E9232" s="18"/>
      <c r="F9232" s="4">
        <v>1</v>
      </c>
      <c r="G9232" s="4">
        <v>5</v>
      </c>
      <c r="H9232" s="4">
        <v>45</v>
      </c>
      <c r="I9232" s="201"/>
      <c r="J9232" s="201"/>
    </row>
    <row r="9233" spans="1:10" s="15" customFormat="1" ht="28.5" hidden="1" customHeight="1" outlineLevel="1" x14ac:dyDescent="0.25">
      <c r="A9233" s="45">
        <v>1747</v>
      </c>
      <c r="B9233" s="4" t="s">
        <v>43</v>
      </c>
      <c r="C9233" s="22" t="s">
        <v>957</v>
      </c>
      <c r="D9233" s="18">
        <v>2021</v>
      </c>
      <c r="E9233" s="18"/>
      <c r="F9233" s="4">
        <v>1</v>
      </c>
      <c r="G9233" s="4">
        <v>5</v>
      </c>
      <c r="H9233" s="4">
        <v>70</v>
      </c>
      <c r="I9233" s="201"/>
      <c r="J9233" s="201"/>
    </row>
    <row r="9234" spans="1:10" s="15" customFormat="1" ht="28.5" hidden="1" customHeight="1" outlineLevel="1" x14ac:dyDescent="0.25">
      <c r="A9234" s="46">
        <v>9779</v>
      </c>
      <c r="B9234" s="4" t="s">
        <v>43</v>
      </c>
      <c r="C9234" s="22" t="s">
        <v>333</v>
      </c>
      <c r="D9234" s="18">
        <v>2021</v>
      </c>
      <c r="E9234" s="18"/>
      <c r="F9234" s="4">
        <v>1</v>
      </c>
      <c r="G9234" s="4">
        <v>5</v>
      </c>
      <c r="H9234" s="4">
        <v>31</v>
      </c>
      <c r="I9234" s="201"/>
      <c r="J9234" s="201"/>
    </row>
    <row r="9235" spans="1:10" s="15" customFormat="1" ht="28.5" hidden="1" customHeight="1" outlineLevel="1" x14ac:dyDescent="0.25">
      <c r="A9235" s="45">
        <v>1561</v>
      </c>
      <c r="B9235" s="4" t="s">
        <v>43</v>
      </c>
      <c r="C9235" s="22" t="s">
        <v>958</v>
      </c>
      <c r="D9235" s="18">
        <v>2021</v>
      </c>
      <c r="E9235" s="18"/>
      <c r="F9235" s="4">
        <v>1</v>
      </c>
      <c r="G9235" s="4">
        <v>7</v>
      </c>
      <c r="H9235" s="4">
        <v>36</v>
      </c>
      <c r="I9235" s="201"/>
      <c r="J9235" s="201"/>
    </row>
    <row r="9236" spans="1:10" s="15" customFormat="1" ht="28.5" hidden="1" customHeight="1" outlineLevel="1" x14ac:dyDescent="0.25">
      <c r="A9236" s="45">
        <v>1558</v>
      </c>
      <c r="B9236" s="4" t="s">
        <v>43</v>
      </c>
      <c r="C9236" s="22" t="s">
        <v>959</v>
      </c>
      <c r="D9236" s="18">
        <v>2021</v>
      </c>
      <c r="E9236" s="18"/>
      <c r="F9236" s="4">
        <v>1</v>
      </c>
      <c r="G9236" s="4">
        <v>5</v>
      </c>
      <c r="H9236" s="4">
        <v>32</v>
      </c>
      <c r="I9236" s="201"/>
      <c r="J9236" s="201"/>
    </row>
    <row r="9237" spans="1:10" s="15" customFormat="1" ht="28.5" hidden="1" customHeight="1" outlineLevel="1" x14ac:dyDescent="0.25">
      <c r="A9237" s="45">
        <v>1700</v>
      </c>
      <c r="B9237" s="4" t="s">
        <v>43</v>
      </c>
      <c r="C9237" s="22" t="s">
        <v>960</v>
      </c>
      <c r="D9237" s="18">
        <v>2021</v>
      </c>
      <c r="E9237" s="18"/>
      <c r="F9237" s="4">
        <v>1</v>
      </c>
      <c r="G9237" s="4">
        <v>5</v>
      </c>
      <c r="H9237" s="4">
        <v>43</v>
      </c>
      <c r="I9237" s="201"/>
      <c r="J9237" s="201"/>
    </row>
    <row r="9238" spans="1:10" s="15" customFormat="1" ht="28.5" hidden="1" customHeight="1" outlineLevel="1" x14ac:dyDescent="0.25">
      <c r="A9238" s="45">
        <v>166</v>
      </c>
      <c r="B9238" s="4" t="s">
        <v>43</v>
      </c>
      <c r="C9238" s="22" t="s">
        <v>961</v>
      </c>
      <c r="D9238" s="18">
        <v>2021</v>
      </c>
      <c r="E9238" s="18"/>
      <c r="F9238" s="4">
        <v>1</v>
      </c>
      <c r="G9238" s="4">
        <v>5</v>
      </c>
      <c r="H9238" s="4">
        <v>46</v>
      </c>
      <c r="I9238" s="201"/>
      <c r="J9238" s="201"/>
    </row>
    <row r="9239" spans="1:10" s="15" customFormat="1" ht="28.5" hidden="1" customHeight="1" outlineLevel="1" x14ac:dyDescent="0.25">
      <c r="A9239" s="46">
        <v>9790</v>
      </c>
      <c r="B9239" s="4" t="s">
        <v>43</v>
      </c>
      <c r="C9239" s="22" t="s">
        <v>343</v>
      </c>
      <c r="D9239" s="18">
        <v>2021</v>
      </c>
      <c r="E9239" s="18"/>
      <c r="F9239" s="4">
        <v>1</v>
      </c>
      <c r="G9239" s="4">
        <v>5</v>
      </c>
      <c r="H9239" s="4">
        <v>37</v>
      </c>
      <c r="I9239" s="201"/>
      <c r="J9239" s="201"/>
    </row>
    <row r="9240" spans="1:10" s="15" customFormat="1" ht="28.5" hidden="1" customHeight="1" outlineLevel="1" x14ac:dyDescent="0.25">
      <c r="A9240" s="45">
        <v>1669</v>
      </c>
      <c r="B9240" s="4" t="s">
        <v>43</v>
      </c>
      <c r="C9240" s="22" t="s">
        <v>962</v>
      </c>
      <c r="D9240" s="18">
        <v>2021</v>
      </c>
      <c r="E9240" s="18"/>
      <c r="F9240" s="4">
        <v>1</v>
      </c>
      <c r="G9240" s="4">
        <v>5</v>
      </c>
      <c r="H9240" s="4">
        <v>40</v>
      </c>
      <c r="I9240" s="201"/>
      <c r="J9240" s="201"/>
    </row>
    <row r="9241" spans="1:10" s="15" customFormat="1" ht="28.5" hidden="1" customHeight="1" outlineLevel="1" x14ac:dyDescent="0.25">
      <c r="A9241" s="46">
        <v>9963</v>
      </c>
      <c r="B9241" s="4" t="s">
        <v>43</v>
      </c>
      <c r="C9241" s="22" t="s">
        <v>963</v>
      </c>
      <c r="D9241" s="18">
        <v>2021</v>
      </c>
      <c r="E9241" s="18"/>
      <c r="F9241" s="4">
        <v>1</v>
      </c>
      <c r="G9241" s="4">
        <v>6</v>
      </c>
      <c r="H9241" s="4">
        <v>33</v>
      </c>
      <c r="I9241" s="201"/>
      <c r="J9241" s="201"/>
    </row>
    <row r="9242" spans="1:10" s="15" customFormat="1" ht="28.5" hidden="1" customHeight="1" outlineLevel="1" x14ac:dyDescent="0.25">
      <c r="A9242" s="45">
        <v>1751</v>
      </c>
      <c r="B9242" s="4" t="s">
        <v>43</v>
      </c>
      <c r="C9242" s="22" t="s">
        <v>964</v>
      </c>
      <c r="D9242" s="18">
        <v>2021</v>
      </c>
      <c r="E9242" s="18"/>
      <c r="F9242" s="4">
        <v>1</v>
      </c>
      <c r="G9242" s="4">
        <v>0.42</v>
      </c>
      <c r="H9242" s="4">
        <v>31</v>
      </c>
      <c r="I9242" s="201"/>
      <c r="J9242" s="201"/>
    </row>
    <row r="9243" spans="1:10" s="15" customFormat="1" ht="28.5" hidden="1" customHeight="1" outlineLevel="1" x14ac:dyDescent="0.25">
      <c r="A9243" s="45">
        <v>216</v>
      </c>
      <c r="B9243" s="4" t="s">
        <v>43</v>
      </c>
      <c r="C9243" s="22" t="s">
        <v>965</v>
      </c>
      <c r="D9243" s="18">
        <v>2021</v>
      </c>
      <c r="E9243" s="18"/>
      <c r="F9243" s="4">
        <v>1</v>
      </c>
      <c r="G9243" s="4">
        <v>8</v>
      </c>
      <c r="H9243" s="4">
        <v>46.555079999999997</v>
      </c>
      <c r="I9243" s="201"/>
      <c r="J9243" s="201"/>
    </row>
    <row r="9244" spans="1:10" s="15" customFormat="1" ht="28.5" hidden="1" customHeight="1" outlineLevel="1" x14ac:dyDescent="0.25">
      <c r="A9244" s="45">
        <v>217</v>
      </c>
      <c r="B9244" s="4" t="s">
        <v>43</v>
      </c>
      <c r="C9244" s="22" t="s">
        <v>966</v>
      </c>
      <c r="D9244" s="18">
        <v>2021</v>
      </c>
      <c r="E9244" s="18"/>
      <c r="F9244" s="4">
        <v>1</v>
      </c>
      <c r="G9244" s="4">
        <v>8</v>
      </c>
      <c r="H9244" s="4">
        <v>46.555529999999997</v>
      </c>
      <c r="I9244" s="201"/>
      <c r="J9244" s="201"/>
    </row>
    <row r="9245" spans="1:10" s="15" customFormat="1" ht="28.5" hidden="1" customHeight="1" outlineLevel="1" x14ac:dyDescent="0.25">
      <c r="A9245" s="45">
        <v>212</v>
      </c>
      <c r="B9245" s="4" t="s">
        <v>43</v>
      </c>
      <c r="C9245" s="22" t="s">
        <v>967</v>
      </c>
      <c r="D9245" s="18">
        <v>2021</v>
      </c>
      <c r="E9245" s="18"/>
      <c r="F9245" s="4">
        <v>1</v>
      </c>
      <c r="G9245" s="4">
        <v>8</v>
      </c>
      <c r="H9245" s="4">
        <v>64.278919999999999</v>
      </c>
      <c r="I9245" s="201"/>
      <c r="J9245" s="201"/>
    </row>
    <row r="9246" spans="1:10" s="15" customFormat="1" ht="28.5" hidden="1" customHeight="1" outlineLevel="1" x14ac:dyDescent="0.25">
      <c r="A9246" s="45">
        <v>210</v>
      </c>
      <c r="B9246" s="4" t="s">
        <v>43</v>
      </c>
      <c r="C9246" s="22" t="s">
        <v>968</v>
      </c>
      <c r="D9246" s="18">
        <v>2021</v>
      </c>
      <c r="E9246" s="18"/>
      <c r="F9246" s="4">
        <v>2</v>
      </c>
      <c r="G9246" s="4">
        <v>23</v>
      </c>
      <c r="H9246" s="4">
        <v>65.617230000000006</v>
      </c>
      <c r="I9246" s="201"/>
      <c r="J9246" s="201"/>
    </row>
    <row r="9247" spans="1:10" s="15" customFormat="1" ht="28.5" hidden="1" customHeight="1" outlineLevel="1" x14ac:dyDescent="0.25">
      <c r="A9247" s="45">
        <v>220</v>
      </c>
      <c r="B9247" s="4" t="s">
        <v>43</v>
      </c>
      <c r="C9247" s="22" t="s">
        <v>969</v>
      </c>
      <c r="D9247" s="18">
        <v>2021</v>
      </c>
      <c r="E9247" s="18"/>
      <c r="F9247" s="4">
        <v>1</v>
      </c>
      <c r="G9247" s="4">
        <v>8</v>
      </c>
      <c r="H9247" s="4">
        <v>72.380610000000004</v>
      </c>
      <c r="I9247" s="201"/>
      <c r="J9247" s="201"/>
    </row>
    <row r="9248" spans="1:10" s="15" customFormat="1" ht="28.5" hidden="1" customHeight="1" outlineLevel="1" x14ac:dyDescent="0.25">
      <c r="A9248" s="46">
        <v>9236</v>
      </c>
      <c r="B9248" s="4" t="s">
        <v>43</v>
      </c>
      <c r="C9248" s="22" t="s">
        <v>970</v>
      </c>
      <c r="D9248" s="18">
        <v>2021</v>
      </c>
      <c r="E9248" s="18"/>
      <c r="F9248" s="4">
        <v>1</v>
      </c>
      <c r="G9248" s="4">
        <v>8</v>
      </c>
      <c r="H9248" s="4">
        <v>55.563890000000001</v>
      </c>
      <c r="I9248" s="201"/>
      <c r="J9248" s="201"/>
    </row>
    <row r="9249" spans="1:10" s="15" customFormat="1" ht="28.5" hidden="1" customHeight="1" outlineLevel="1" x14ac:dyDescent="0.25">
      <c r="A9249" s="45">
        <v>223</v>
      </c>
      <c r="B9249" s="4" t="s">
        <v>43</v>
      </c>
      <c r="C9249" s="22" t="s">
        <v>971</v>
      </c>
      <c r="D9249" s="18">
        <v>2021</v>
      </c>
      <c r="E9249" s="18"/>
      <c r="F9249" s="4">
        <v>1</v>
      </c>
      <c r="G9249" s="4">
        <v>2</v>
      </c>
      <c r="H9249" s="4">
        <v>47.77617</v>
      </c>
      <c r="I9249" s="201"/>
      <c r="J9249" s="201"/>
    </row>
    <row r="9250" spans="1:10" s="15" customFormat="1" ht="28.5" hidden="1" customHeight="1" outlineLevel="1" x14ac:dyDescent="0.25">
      <c r="A9250" s="45">
        <v>183</v>
      </c>
      <c r="B9250" s="4" t="s">
        <v>43</v>
      </c>
      <c r="C9250" s="22" t="s">
        <v>972</v>
      </c>
      <c r="D9250" s="18">
        <v>2021</v>
      </c>
      <c r="E9250" s="18"/>
      <c r="F9250" s="4">
        <v>1</v>
      </c>
      <c r="G9250" s="4">
        <v>8</v>
      </c>
      <c r="H9250" s="4">
        <v>47.976599999999998</v>
      </c>
      <c r="I9250" s="201"/>
      <c r="J9250" s="201"/>
    </row>
    <row r="9251" spans="1:10" s="15" customFormat="1" ht="28.5" hidden="1" customHeight="1" outlineLevel="1" x14ac:dyDescent="0.25">
      <c r="A9251" s="45">
        <v>199</v>
      </c>
      <c r="B9251" s="4" t="s">
        <v>43</v>
      </c>
      <c r="C9251" s="22" t="s">
        <v>973</v>
      </c>
      <c r="D9251" s="18">
        <v>2021</v>
      </c>
      <c r="E9251" s="18"/>
      <c r="F9251" s="4">
        <v>3</v>
      </c>
      <c r="G9251" s="4">
        <v>24</v>
      </c>
      <c r="H9251" s="4">
        <v>90.030529999999999</v>
      </c>
      <c r="I9251" s="201"/>
      <c r="J9251" s="201"/>
    </row>
    <row r="9252" spans="1:10" s="15" customFormat="1" ht="28.5" hidden="1" customHeight="1" outlineLevel="1" x14ac:dyDescent="0.25">
      <c r="A9252" s="45">
        <v>182</v>
      </c>
      <c r="B9252" s="4" t="s">
        <v>43</v>
      </c>
      <c r="C9252" s="22" t="s">
        <v>974</v>
      </c>
      <c r="D9252" s="18">
        <v>2021</v>
      </c>
      <c r="E9252" s="18"/>
      <c r="F9252" s="4">
        <v>1</v>
      </c>
      <c r="G9252" s="4">
        <v>8</v>
      </c>
      <c r="H9252" s="4">
        <v>48.23227</v>
      </c>
      <c r="I9252" s="201"/>
      <c r="J9252" s="201"/>
    </row>
    <row r="9253" spans="1:10" s="15" customFormat="1" ht="28.5" hidden="1" customHeight="1" outlineLevel="1" x14ac:dyDescent="0.25">
      <c r="A9253" s="45">
        <v>186</v>
      </c>
      <c r="B9253" s="4" t="s">
        <v>43</v>
      </c>
      <c r="C9253" s="22" t="s">
        <v>975</v>
      </c>
      <c r="D9253" s="18">
        <v>2021</v>
      </c>
      <c r="E9253" s="18"/>
      <c r="F9253" s="4">
        <v>1</v>
      </c>
      <c r="G9253" s="4">
        <v>8</v>
      </c>
      <c r="H9253" s="4">
        <v>47.74832</v>
      </c>
      <c r="I9253" s="201"/>
      <c r="J9253" s="201"/>
    </row>
    <row r="9254" spans="1:10" s="15" customFormat="1" ht="28.5" hidden="1" customHeight="1" outlineLevel="1" x14ac:dyDescent="0.25">
      <c r="A9254" s="45">
        <v>185</v>
      </c>
      <c r="B9254" s="4" t="s">
        <v>43</v>
      </c>
      <c r="C9254" s="22" t="s">
        <v>976</v>
      </c>
      <c r="D9254" s="18">
        <v>2021</v>
      </c>
      <c r="E9254" s="18"/>
      <c r="F9254" s="4">
        <v>1</v>
      </c>
      <c r="G9254" s="4">
        <v>8</v>
      </c>
      <c r="H9254" s="4">
        <v>47.987050000000004</v>
      </c>
      <c r="I9254" s="201"/>
      <c r="J9254" s="201"/>
    </row>
    <row r="9255" spans="1:10" s="15" customFormat="1" ht="28.5" hidden="1" customHeight="1" outlineLevel="1" x14ac:dyDescent="0.25">
      <c r="A9255" s="46">
        <v>9005</v>
      </c>
      <c r="B9255" s="4" t="s">
        <v>43</v>
      </c>
      <c r="C9255" s="22" t="s">
        <v>977</v>
      </c>
      <c r="D9255" s="18">
        <v>2021</v>
      </c>
      <c r="E9255" s="18"/>
      <c r="F9255" s="4">
        <v>1</v>
      </c>
      <c r="G9255" s="4">
        <v>10</v>
      </c>
      <c r="H9255" s="4">
        <v>49.790280000000003</v>
      </c>
      <c r="I9255" s="201"/>
      <c r="J9255" s="201"/>
    </row>
    <row r="9256" spans="1:10" s="15" customFormat="1" ht="28.5" hidden="1" customHeight="1" outlineLevel="1" x14ac:dyDescent="0.25">
      <c r="A9256" s="45">
        <v>187</v>
      </c>
      <c r="B9256" s="4" t="s">
        <v>43</v>
      </c>
      <c r="C9256" s="22" t="s">
        <v>978</v>
      </c>
      <c r="D9256" s="18">
        <v>2021</v>
      </c>
      <c r="E9256" s="18"/>
      <c r="F9256" s="4">
        <v>1</v>
      </c>
      <c r="G9256" s="4">
        <v>8</v>
      </c>
      <c r="H9256" s="4">
        <v>49.790280000000003</v>
      </c>
      <c r="I9256" s="201"/>
      <c r="J9256" s="201"/>
    </row>
    <row r="9257" spans="1:10" s="15" customFormat="1" ht="28.5" hidden="1" customHeight="1" outlineLevel="1" x14ac:dyDescent="0.25">
      <c r="A9257" s="45">
        <v>190</v>
      </c>
      <c r="B9257" s="4" t="s">
        <v>43</v>
      </c>
      <c r="C9257" s="22" t="s">
        <v>979</v>
      </c>
      <c r="D9257" s="18">
        <v>2021</v>
      </c>
      <c r="E9257" s="18"/>
      <c r="F9257" s="4">
        <v>1</v>
      </c>
      <c r="G9257" s="4">
        <v>8</v>
      </c>
      <c r="H9257" s="4">
        <v>47.98677</v>
      </c>
      <c r="I9257" s="201"/>
      <c r="J9257" s="201"/>
    </row>
    <row r="9258" spans="1:10" s="15" customFormat="1" ht="28.5" hidden="1" customHeight="1" outlineLevel="1" x14ac:dyDescent="0.25">
      <c r="A9258" s="45">
        <v>189</v>
      </c>
      <c r="B9258" s="4" t="s">
        <v>43</v>
      </c>
      <c r="C9258" s="22" t="s">
        <v>980</v>
      </c>
      <c r="D9258" s="18">
        <v>2021</v>
      </c>
      <c r="E9258" s="18"/>
      <c r="F9258" s="4">
        <v>1</v>
      </c>
      <c r="G9258" s="4">
        <v>10</v>
      </c>
      <c r="H9258" s="4">
        <v>53.205640000000002</v>
      </c>
      <c r="I9258" s="201"/>
      <c r="J9258" s="201"/>
    </row>
    <row r="9259" spans="1:10" s="15" customFormat="1" ht="28.5" hidden="1" customHeight="1" outlineLevel="1" x14ac:dyDescent="0.25">
      <c r="A9259" s="45">
        <v>194</v>
      </c>
      <c r="B9259" s="4" t="s">
        <v>43</v>
      </c>
      <c r="C9259" s="22" t="s">
        <v>981</v>
      </c>
      <c r="D9259" s="18">
        <v>2021</v>
      </c>
      <c r="E9259" s="18"/>
      <c r="F9259" s="4">
        <v>1</v>
      </c>
      <c r="G9259" s="4">
        <v>6</v>
      </c>
      <c r="H9259" s="4">
        <v>55.218400000000003</v>
      </c>
      <c r="I9259" s="201"/>
      <c r="J9259" s="201"/>
    </row>
    <row r="9260" spans="1:10" s="15" customFormat="1" ht="28.5" hidden="1" customHeight="1" outlineLevel="1" x14ac:dyDescent="0.25">
      <c r="A9260" s="46">
        <v>9179</v>
      </c>
      <c r="B9260" s="4" t="s">
        <v>43</v>
      </c>
      <c r="C9260" s="22" t="s">
        <v>982</v>
      </c>
      <c r="D9260" s="18">
        <v>2021</v>
      </c>
      <c r="E9260" s="18"/>
      <c r="F9260" s="4">
        <v>1</v>
      </c>
      <c r="G9260" s="4">
        <v>15</v>
      </c>
      <c r="H9260" s="4">
        <v>47.673459999999999</v>
      </c>
      <c r="I9260" s="201"/>
      <c r="J9260" s="201"/>
    </row>
    <row r="9261" spans="1:10" s="15" customFormat="1" ht="28.5" hidden="1" customHeight="1" outlineLevel="1" x14ac:dyDescent="0.25">
      <c r="A9261" s="46">
        <v>9178</v>
      </c>
      <c r="B9261" s="4" t="s">
        <v>43</v>
      </c>
      <c r="C9261" s="22" t="s">
        <v>983</v>
      </c>
      <c r="D9261" s="18">
        <v>2021</v>
      </c>
      <c r="E9261" s="18"/>
      <c r="F9261" s="4">
        <v>1</v>
      </c>
      <c r="G9261" s="4">
        <v>6</v>
      </c>
      <c r="H9261" s="4">
        <v>45.903170000000003</v>
      </c>
      <c r="I9261" s="201"/>
      <c r="J9261" s="201"/>
    </row>
    <row r="9262" spans="1:10" s="15" customFormat="1" ht="28.5" hidden="1" customHeight="1" outlineLevel="1" x14ac:dyDescent="0.25">
      <c r="A9262" s="45">
        <v>195</v>
      </c>
      <c r="B9262" s="4" t="s">
        <v>43</v>
      </c>
      <c r="C9262" s="22" t="s">
        <v>984</v>
      </c>
      <c r="D9262" s="18">
        <v>2021</v>
      </c>
      <c r="E9262" s="18"/>
      <c r="F9262" s="4">
        <v>1</v>
      </c>
      <c r="G9262" s="4">
        <v>2</v>
      </c>
      <c r="H9262" s="4">
        <v>46.345599999999997</v>
      </c>
      <c r="I9262" s="201"/>
      <c r="J9262" s="201"/>
    </row>
    <row r="9263" spans="1:10" s="15" customFormat="1" ht="28.5" hidden="1" customHeight="1" outlineLevel="1" x14ac:dyDescent="0.25">
      <c r="A9263" s="45">
        <v>193</v>
      </c>
      <c r="B9263" s="4" t="s">
        <v>43</v>
      </c>
      <c r="C9263" s="22" t="s">
        <v>985</v>
      </c>
      <c r="D9263" s="18">
        <v>2021</v>
      </c>
      <c r="E9263" s="18"/>
      <c r="F9263" s="4">
        <v>1</v>
      </c>
      <c r="G9263" s="4">
        <v>6</v>
      </c>
      <c r="H9263" s="4">
        <v>62.096249999999998</v>
      </c>
      <c r="I9263" s="201"/>
      <c r="J9263" s="201"/>
    </row>
    <row r="9264" spans="1:10" s="15" customFormat="1" ht="28.5" hidden="1" customHeight="1" outlineLevel="1" x14ac:dyDescent="0.25">
      <c r="A9264" s="45">
        <v>230</v>
      </c>
      <c r="B9264" s="4" t="s">
        <v>43</v>
      </c>
      <c r="C9264" s="22" t="s">
        <v>986</v>
      </c>
      <c r="D9264" s="18">
        <v>2021</v>
      </c>
      <c r="E9264" s="18"/>
      <c r="F9264" s="4">
        <v>2</v>
      </c>
      <c r="G9264" s="4">
        <v>20</v>
      </c>
      <c r="H9264" s="4">
        <v>92.015190000000004</v>
      </c>
      <c r="I9264" s="201"/>
      <c r="J9264" s="201"/>
    </row>
    <row r="9265" spans="1:10" s="15" customFormat="1" ht="28.5" hidden="1" customHeight="1" outlineLevel="1" x14ac:dyDescent="0.25">
      <c r="A9265" s="45">
        <v>196</v>
      </c>
      <c r="B9265" s="4" t="s">
        <v>43</v>
      </c>
      <c r="C9265" s="22" t="s">
        <v>987</v>
      </c>
      <c r="D9265" s="18">
        <v>2021</v>
      </c>
      <c r="E9265" s="18"/>
      <c r="F9265" s="4">
        <v>1</v>
      </c>
      <c r="G9265" s="4">
        <v>30</v>
      </c>
      <c r="H9265" s="4">
        <v>22.257739999999998</v>
      </c>
      <c r="I9265" s="201"/>
      <c r="J9265" s="201"/>
    </row>
    <row r="9266" spans="1:10" s="15" customFormat="1" ht="28.5" hidden="1" customHeight="1" outlineLevel="1" x14ac:dyDescent="0.25">
      <c r="A9266" s="46">
        <v>9680</v>
      </c>
      <c r="B9266" s="4" t="s">
        <v>43</v>
      </c>
      <c r="C9266" s="55" t="s">
        <v>67</v>
      </c>
      <c r="D9266" s="18">
        <v>2021</v>
      </c>
      <c r="E9266" s="18"/>
      <c r="F9266" s="4">
        <v>1</v>
      </c>
      <c r="G9266" s="4">
        <v>15</v>
      </c>
      <c r="H9266" s="4">
        <v>24.980129999999999</v>
      </c>
      <c r="I9266" s="201"/>
      <c r="J9266" s="201"/>
    </row>
    <row r="9267" spans="1:10" s="15" customFormat="1" ht="28.5" hidden="1" customHeight="1" outlineLevel="1" x14ac:dyDescent="0.25">
      <c r="A9267" s="45">
        <v>225</v>
      </c>
      <c r="B9267" s="4" t="s">
        <v>43</v>
      </c>
      <c r="C9267" s="22" t="s">
        <v>988</v>
      </c>
      <c r="D9267" s="18">
        <v>2021</v>
      </c>
      <c r="E9267" s="18"/>
      <c r="F9267" s="4">
        <v>2</v>
      </c>
      <c r="G9267" s="4">
        <v>20</v>
      </c>
      <c r="H9267" s="4">
        <v>48.47533</v>
      </c>
      <c r="I9267" s="201"/>
      <c r="J9267" s="201"/>
    </row>
    <row r="9268" spans="1:10" s="15" customFormat="1" ht="28.5" hidden="1" customHeight="1" outlineLevel="1" x14ac:dyDescent="0.25">
      <c r="A9268" s="45">
        <v>242</v>
      </c>
      <c r="B9268" s="4" t="s">
        <v>43</v>
      </c>
      <c r="C9268" s="22" t="s">
        <v>989</v>
      </c>
      <c r="D9268" s="18">
        <v>2021</v>
      </c>
      <c r="E9268" s="18"/>
      <c r="F9268" s="4">
        <v>1</v>
      </c>
      <c r="G9268" s="4">
        <v>10</v>
      </c>
      <c r="H9268" s="4">
        <v>22.927969999999998</v>
      </c>
      <c r="I9268" s="201"/>
      <c r="J9268" s="201"/>
    </row>
    <row r="9269" spans="1:10" s="15" customFormat="1" ht="28.5" hidden="1" customHeight="1" outlineLevel="1" x14ac:dyDescent="0.25">
      <c r="A9269" s="45">
        <v>234</v>
      </c>
      <c r="B9269" s="4" t="s">
        <v>43</v>
      </c>
      <c r="C9269" s="22" t="s">
        <v>990</v>
      </c>
      <c r="D9269" s="18">
        <v>2021</v>
      </c>
      <c r="E9269" s="18"/>
      <c r="F9269" s="4">
        <v>2</v>
      </c>
      <c r="G9269" s="4">
        <v>50</v>
      </c>
      <c r="H9269" s="4">
        <v>35.091000000000001</v>
      </c>
      <c r="I9269" s="201"/>
      <c r="J9269" s="201"/>
    </row>
    <row r="9270" spans="1:10" s="15" customFormat="1" ht="28.5" hidden="1" customHeight="1" outlineLevel="1" x14ac:dyDescent="0.25">
      <c r="A9270" s="45">
        <v>237</v>
      </c>
      <c r="B9270" s="4" t="s">
        <v>43</v>
      </c>
      <c r="C9270" s="22" t="s">
        <v>991</v>
      </c>
      <c r="D9270" s="18">
        <v>2021</v>
      </c>
      <c r="E9270" s="18"/>
      <c r="F9270" s="4">
        <v>2</v>
      </c>
      <c r="G9270" s="4">
        <v>35</v>
      </c>
      <c r="H9270" s="4">
        <v>35.1</v>
      </c>
      <c r="I9270" s="201"/>
      <c r="J9270" s="201"/>
    </row>
    <row r="9271" spans="1:10" s="15" customFormat="1" ht="28.5" hidden="1" customHeight="1" outlineLevel="1" x14ac:dyDescent="0.25">
      <c r="A9271" s="45">
        <v>247</v>
      </c>
      <c r="B9271" s="4" t="s">
        <v>43</v>
      </c>
      <c r="C9271" s="22" t="s">
        <v>992</v>
      </c>
      <c r="D9271" s="18">
        <v>2021</v>
      </c>
      <c r="E9271" s="18"/>
      <c r="F9271" s="4">
        <v>1</v>
      </c>
      <c r="G9271" s="4">
        <v>55</v>
      </c>
      <c r="H9271" s="4">
        <v>25.1</v>
      </c>
      <c r="I9271" s="201"/>
      <c r="J9271" s="201"/>
    </row>
    <row r="9272" spans="1:10" s="15" customFormat="1" ht="28.5" hidden="1" customHeight="1" outlineLevel="1" x14ac:dyDescent="0.25">
      <c r="A9272" s="18">
        <v>59</v>
      </c>
      <c r="B9272" s="4" t="s">
        <v>43</v>
      </c>
      <c r="C9272" s="22" t="s">
        <v>993</v>
      </c>
      <c r="D9272" s="18">
        <v>2021</v>
      </c>
      <c r="E9272" s="18"/>
      <c r="F9272" s="4">
        <v>4</v>
      </c>
      <c r="G9272" s="4">
        <v>36</v>
      </c>
      <c r="H9272" s="4">
        <v>142.89403999999999</v>
      </c>
      <c r="I9272" s="201"/>
      <c r="J9272" s="201"/>
    </row>
    <row r="9273" spans="1:10" s="15" customFormat="1" ht="28.5" hidden="1" customHeight="1" outlineLevel="1" x14ac:dyDescent="0.25">
      <c r="A9273" s="45">
        <v>240</v>
      </c>
      <c r="B9273" s="4" t="s">
        <v>43</v>
      </c>
      <c r="C9273" s="22" t="s">
        <v>994</v>
      </c>
      <c r="D9273" s="18">
        <v>2021</v>
      </c>
      <c r="E9273" s="18"/>
      <c r="F9273" s="4">
        <v>1</v>
      </c>
      <c r="G9273" s="4">
        <v>25</v>
      </c>
      <c r="H9273" s="4">
        <v>47.001300000000001</v>
      </c>
      <c r="I9273" s="201"/>
      <c r="J9273" s="201"/>
    </row>
    <row r="9274" spans="1:10" s="15" customFormat="1" ht="28.5" hidden="1" customHeight="1" outlineLevel="1" x14ac:dyDescent="0.25">
      <c r="A9274" s="18">
        <v>224</v>
      </c>
      <c r="B9274" s="4" t="s">
        <v>43</v>
      </c>
      <c r="C9274" s="22" t="s">
        <v>995</v>
      </c>
      <c r="D9274" s="18">
        <v>2021</v>
      </c>
      <c r="E9274" s="18"/>
      <c r="F9274" s="4">
        <v>1</v>
      </c>
      <c r="G9274" s="4">
        <v>8</v>
      </c>
      <c r="H9274" s="4">
        <v>30.00056</v>
      </c>
      <c r="I9274" s="201"/>
      <c r="J9274" s="201"/>
    </row>
    <row r="9275" spans="1:10" s="15" customFormat="1" ht="28.5" hidden="1" customHeight="1" outlineLevel="1" x14ac:dyDescent="0.25">
      <c r="A9275" s="45">
        <v>202</v>
      </c>
      <c r="B9275" s="4" t="s">
        <v>43</v>
      </c>
      <c r="C9275" s="22" t="s">
        <v>996</v>
      </c>
      <c r="D9275" s="18">
        <v>2021</v>
      </c>
      <c r="E9275" s="18"/>
      <c r="F9275" s="4">
        <v>2</v>
      </c>
      <c r="G9275" s="4">
        <v>31</v>
      </c>
      <c r="H9275" s="4">
        <v>50.00085</v>
      </c>
      <c r="I9275" s="201"/>
      <c r="J9275" s="201"/>
    </row>
    <row r="9276" spans="1:10" s="15" customFormat="1" ht="28.5" hidden="1" customHeight="1" outlineLevel="1" x14ac:dyDescent="0.25">
      <c r="A9276" s="45">
        <v>205</v>
      </c>
      <c r="B9276" s="4" t="s">
        <v>43</v>
      </c>
      <c r="C9276" s="22" t="s">
        <v>997</v>
      </c>
      <c r="D9276" s="18">
        <v>2021</v>
      </c>
      <c r="E9276" s="18"/>
      <c r="F9276" s="4">
        <v>1</v>
      </c>
      <c r="G9276" s="4">
        <v>23</v>
      </c>
      <c r="H9276" s="4">
        <v>29</v>
      </c>
      <c r="I9276" s="201"/>
      <c r="J9276" s="201"/>
    </row>
    <row r="9277" spans="1:10" s="15" customFormat="1" ht="28.5" hidden="1" customHeight="1" outlineLevel="1" x14ac:dyDescent="0.25">
      <c r="A9277" s="45">
        <v>206</v>
      </c>
      <c r="B9277" s="4" t="s">
        <v>43</v>
      </c>
      <c r="C9277" s="22" t="s">
        <v>998</v>
      </c>
      <c r="D9277" s="18">
        <v>2021</v>
      </c>
      <c r="E9277" s="18"/>
      <c r="F9277" s="4">
        <v>1</v>
      </c>
      <c r="G9277" s="4">
        <v>25</v>
      </c>
      <c r="H9277" s="4">
        <v>31.000509999999998</v>
      </c>
      <c r="I9277" s="201"/>
      <c r="J9277" s="201"/>
    </row>
    <row r="9278" spans="1:10" s="15" customFormat="1" ht="28.5" hidden="1" customHeight="1" outlineLevel="1" x14ac:dyDescent="0.25">
      <c r="A9278" s="46">
        <v>10186</v>
      </c>
      <c r="B9278" s="4" t="s">
        <v>43</v>
      </c>
      <c r="C9278" s="22" t="s">
        <v>999</v>
      </c>
      <c r="D9278" s="18">
        <v>2021</v>
      </c>
      <c r="E9278" s="18"/>
      <c r="F9278" s="4">
        <v>1</v>
      </c>
      <c r="G9278" s="4">
        <v>5</v>
      </c>
      <c r="H9278" s="4">
        <v>12.854990000000001</v>
      </c>
      <c r="I9278" s="201"/>
      <c r="J9278" s="201"/>
    </row>
    <row r="9279" spans="1:10" s="15" customFormat="1" ht="28.5" hidden="1" customHeight="1" outlineLevel="1" x14ac:dyDescent="0.25">
      <c r="A9279" s="45">
        <v>599</v>
      </c>
      <c r="B9279" s="4" t="s">
        <v>43</v>
      </c>
      <c r="C9279" s="22" t="s">
        <v>1000</v>
      </c>
      <c r="D9279" s="18">
        <v>2021</v>
      </c>
      <c r="E9279" s="18"/>
      <c r="F9279" s="4">
        <v>1</v>
      </c>
      <c r="G9279" s="4">
        <v>6</v>
      </c>
      <c r="H9279" s="4">
        <v>28.887029999999999</v>
      </c>
      <c r="I9279" s="201"/>
      <c r="J9279" s="201"/>
    </row>
    <row r="9280" spans="1:10" s="15" customFormat="1" ht="28.5" hidden="1" customHeight="1" outlineLevel="1" x14ac:dyDescent="0.25">
      <c r="A9280" s="45">
        <v>221</v>
      </c>
      <c r="B9280" s="4" t="s">
        <v>43</v>
      </c>
      <c r="C9280" s="22" t="s">
        <v>1001</v>
      </c>
      <c r="D9280" s="18">
        <v>2021</v>
      </c>
      <c r="E9280" s="18"/>
      <c r="F9280" s="4">
        <v>1</v>
      </c>
      <c r="G9280" s="4">
        <v>8</v>
      </c>
      <c r="H9280" s="4">
        <v>23.56869</v>
      </c>
      <c r="I9280" s="201"/>
      <c r="J9280" s="201"/>
    </row>
    <row r="9281" spans="1:10" s="15" customFormat="1" ht="28.5" hidden="1" customHeight="1" outlineLevel="1" x14ac:dyDescent="0.25">
      <c r="A9281" s="46">
        <v>9537</v>
      </c>
      <c r="B9281" s="4" t="s">
        <v>43</v>
      </c>
      <c r="C9281" s="22" t="s">
        <v>244</v>
      </c>
      <c r="D9281" s="18">
        <v>2021</v>
      </c>
      <c r="E9281" s="18"/>
      <c r="F9281" s="4">
        <v>1</v>
      </c>
      <c r="G9281" s="4">
        <v>6</v>
      </c>
      <c r="H9281" s="4">
        <v>10.789</v>
      </c>
      <c r="I9281" s="201"/>
      <c r="J9281" s="201"/>
    </row>
    <row r="9282" spans="1:10" s="15" customFormat="1" ht="28.5" hidden="1" customHeight="1" outlineLevel="1" x14ac:dyDescent="0.25">
      <c r="A9282" s="46">
        <v>9536</v>
      </c>
      <c r="B9282" s="4" t="s">
        <v>43</v>
      </c>
      <c r="C9282" s="22" t="s">
        <v>77</v>
      </c>
      <c r="D9282" s="18">
        <v>2021</v>
      </c>
      <c r="E9282" s="18"/>
      <c r="F9282" s="4">
        <v>1</v>
      </c>
      <c r="G9282" s="4">
        <v>6</v>
      </c>
      <c r="H9282" s="4">
        <v>12.029</v>
      </c>
      <c r="I9282" s="201"/>
      <c r="J9282" s="201"/>
    </row>
    <row r="9283" spans="1:10" s="15" customFormat="1" ht="28.5" hidden="1" customHeight="1" outlineLevel="1" x14ac:dyDescent="0.25">
      <c r="A9283" s="46">
        <v>10238</v>
      </c>
      <c r="B9283" s="4" t="s">
        <v>43</v>
      </c>
      <c r="C9283" s="22" t="s">
        <v>1002</v>
      </c>
      <c r="D9283" s="18">
        <v>2021</v>
      </c>
      <c r="E9283" s="18"/>
      <c r="F9283" s="4">
        <v>1</v>
      </c>
      <c r="G9283" s="4">
        <v>6</v>
      </c>
      <c r="H9283" s="4">
        <v>17.7</v>
      </c>
      <c r="I9283" s="201"/>
      <c r="J9283" s="201"/>
    </row>
    <row r="9284" spans="1:10" s="15" customFormat="1" ht="28.5" hidden="1" customHeight="1" outlineLevel="1" x14ac:dyDescent="0.25">
      <c r="A9284" s="46">
        <v>10229</v>
      </c>
      <c r="B9284" s="4" t="s">
        <v>43</v>
      </c>
      <c r="C9284" s="22" t="s">
        <v>1003</v>
      </c>
      <c r="D9284" s="18">
        <v>2021</v>
      </c>
      <c r="E9284" s="18"/>
      <c r="F9284" s="4">
        <v>1</v>
      </c>
      <c r="G9284" s="4">
        <v>6</v>
      </c>
      <c r="H9284" s="4">
        <v>17.876000000000001</v>
      </c>
      <c r="I9284" s="201"/>
      <c r="J9284" s="201"/>
    </row>
    <row r="9285" spans="1:10" s="15" customFormat="1" ht="28.5" hidden="1" customHeight="1" outlineLevel="1" x14ac:dyDescent="0.25">
      <c r="A9285" s="46">
        <v>10239</v>
      </c>
      <c r="B9285" s="4" t="s">
        <v>43</v>
      </c>
      <c r="C9285" s="22" t="s">
        <v>1004</v>
      </c>
      <c r="D9285" s="18">
        <v>2021</v>
      </c>
      <c r="E9285" s="18"/>
      <c r="F9285" s="4">
        <v>1</v>
      </c>
      <c r="G9285" s="4">
        <v>6</v>
      </c>
      <c r="H9285" s="4">
        <v>17.698</v>
      </c>
      <c r="I9285" s="201"/>
      <c r="J9285" s="201"/>
    </row>
    <row r="9286" spans="1:10" s="15" customFormat="1" ht="28.5" hidden="1" customHeight="1" outlineLevel="1" x14ac:dyDescent="0.25">
      <c r="A9286" s="46">
        <v>10240</v>
      </c>
      <c r="B9286" s="4" t="s">
        <v>43</v>
      </c>
      <c r="C9286" s="22" t="s">
        <v>1005</v>
      </c>
      <c r="D9286" s="18">
        <v>2021</v>
      </c>
      <c r="E9286" s="18"/>
      <c r="F9286" s="4">
        <v>1</v>
      </c>
      <c r="G9286" s="4">
        <v>6</v>
      </c>
      <c r="H9286" s="4">
        <v>17.417000000000002</v>
      </c>
      <c r="I9286" s="201"/>
      <c r="J9286" s="201"/>
    </row>
    <row r="9287" spans="1:10" s="15" customFormat="1" ht="28.5" hidden="1" customHeight="1" outlineLevel="1" x14ac:dyDescent="0.25">
      <c r="A9287" s="45">
        <v>2130</v>
      </c>
      <c r="B9287" s="4" t="s">
        <v>43</v>
      </c>
      <c r="C9287" s="22" t="s">
        <v>1006</v>
      </c>
      <c r="D9287" s="18">
        <v>2021</v>
      </c>
      <c r="E9287" s="18"/>
      <c r="F9287" s="4">
        <v>1</v>
      </c>
      <c r="G9287" s="4">
        <v>6</v>
      </c>
      <c r="H9287" s="4">
        <v>17.417000000000002</v>
      </c>
      <c r="I9287" s="201"/>
      <c r="J9287" s="201"/>
    </row>
    <row r="9288" spans="1:10" s="15" customFormat="1" ht="28.5" hidden="1" customHeight="1" outlineLevel="1" x14ac:dyDescent="0.25">
      <c r="A9288" s="46">
        <v>10167</v>
      </c>
      <c r="B9288" s="4" t="s">
        <v>43</v>
      </c>
      <c r="C9288" s="22" t="s">
        <v>1007</v>
      </c>
      <c r="D9288" s="18">
        <v>2021</v>
      </c>
      <c r="E9288" s="18"/>
      <c r="F9288" s="4">
        <v>1</v>
      </c>
      <c r="G9288" s="4">
        <v>6</v>
      </c>
      <c r="H9288" s="4">
        <v>17.417999999999999</v>
      </c>
      <c r="I9288" s="201"/>
      <c r="J9288" s="201"/>
    </row>
    <row r="9289" spans="1:10" s="15" customFormat="1" ht="28.5" hidden="1" customHeight="1" outlineLevel="1" x14ac:dyDescent="0.25">
      <c r="A9289" s="46">
        <v>10219</v>
      </c>
      <c r="B9289" s="4" t="s">
        <v>43</v>
      </c>
      <c r="C9289" s="22" t="s">
        <v>1008</v>
      </c>
      <c r="D9289" s="18">
        <v>2021</v>
      </c>
      <c r="E9289" s="18"/>
      <c r="F9289" s="4">
        <v>1</v>
      </c>
      <c r="G9289" s="4">
        <v>6</v>
      </c>
      <c r="H9289" s="4">
        <v>17.539000000000001</v>
      </c>
      <c r="I9289" s="201"/>
      <c r="J9289" s="201"/>
    </row>
    <row r="9290" spans="1:10" s="15" customFormat="1" ht="28.5" hidden="1" customHeight="1" outlineLevel="1" x14ac:dyDescent="0.25">
      <c r="A9290" s="46">
        <v>10231</v>
      </c>
      <c r="B9290" s="4" t="s">
        <v>43</v>
      </c>
      <c r="C9290" s="22" t="s">
        <v>1009</v>
      </c>
      <c r="D9290" s="18">
        <v>2021</v>
      </c>
      <c r="E9290" s="18"/>
      <c r="F9290" s="4">
        <v>1</v>
      </c>
      <c r="G9290" s="4">
        <v>6</v>
      </c>
      <c r="H9290" s="4">
        <v>17.902999999999999</v>
      </c>
      <c r="I9290" s="201"/>
      <c r="J9290" s="201"/>
    </row>
    <row r="9291" spans="1:10" s="15" customFormat="1" ht="28.5" hidden="1" customHeight="1" outlineLevel="1" x14ac:dyDescent="0.25">
      <c r="A9291" s="46">
        <v>10142</v>
      </c>
      <c r="B9291" s="4" t="s">
        <v>43</v>
      </c>
      <c r="C9291" s="22" t="s">
        <v>1010</v>
      </c>
      <c r="D9291" s="18">
        <v>2021</v>
      </c>
      <c r="E9291" s="18"/>
      <c r="F9291" s="4">
        <v>1</v>
      </c>
      <c r="G9291" s="4">
        <v>6</v>
      </c>
      <c r="H9291" s="4">
        <v>17.754000000000001</v>
      </c>
      <c r="I9291" s="201"/>
      <c r="J9291" s="201"/>
    </row>
    <row r="9292" spans="1:10" s="15" customFormat="1" ht="28.5" hidden="1" customHeight="1" outlineLevel="1" x14ac:dyDescent="0.25">
      <c r="A9292" s="45">
        <v>2104</v>
      </c>
      <c r="B9292" s="4" t="s">
        <v>43</v>
      </c>
      <c r="C9292" s="22" t="s">
        <v>1011</v>
      </c>
      <c r="D9292" s="18">
        <v>2021</v>
      </c>
      <c r="E9292" s="18"/>
      <c r="F9292" s="4">
        <v>1</v>
      </c>
      <c r="G9292" s="4">
        <v>6</v>
      </c>
      <c r="H9292" s="4">
        <v>20.236000000000001</v>
      </c>
      <c r="I9292" s="201"/>
      <c r="J9292" s="201"/>
    </row>
    <row r="9293" spans="1:10" s="15" customFormat="1" ht="28.5" hidden="1" customHeight="1" outlineLevel="1" x14ac:dyDescent="0.25">
      <c r="A9293" s="46">
        <v>10192</v>
      </c>
      <c r="B9293" s="4" t="s">
        <v>43</v>
      </c>
      <c r="C9293" s="22" t="s">
        <v>1012</v>
      </c>
      <c r="D9293" s="18">
        <v>2021</v>
      </c>
      <c r="E9293" s="18"/>
      <c r="F9293" s="4">
        <v>1</v>
      </c>
      <c r="G9293" s="4">
        <v>6</v>
      </c>
      <c r="H9293" s="4">
        <v>11.509</v>
      </c>
      <c r="I9293" s="201"/>
      <c r="J9293" s="201"/>
    </row>
    <row r="9294" spans="1:10" s="15" customFormat="1" ht="28.5" hidden="1" customHeight="1" outlineLevel="1" x14ac:dyDescent="0.25">
      <c r="A9294" s="45">
        <v>2090</v>
      </c>
      <c r="B9294" s="4" t="s">
        <v>43</v>
      </c>
      <c r="C9294" s="22" t="s">
        <v>1013</v>
      </c>
      <c r="D9294" s="18">
        <v>2021</v>
      </c>
      <c r="E9294" s="18"/>
      <c r="F9294" s="4">
        <v>1</v>
      </c>
      <c r="G9294" s="4">
        <v>6</v>
      </c>
      <c r="H9294" s="4">
        <v>11.747999999999999</v>
      </c>
      <c r="I9294" s="201"/>
      <c r="J9294" s="201"/>
    </row>
    <row r="9295" spans="1:10" s="15" customFormat="1" ht="28.5" hidden="1" customHeight="1" outlineLevel="1" x14ac:dyDescent="0.25">
      <c r="A9295" s="46">
        <v>10112</v>
      </c>
      <c r="B9295" s="4" t="s">
        <v>43</v>
      </c>
      <c r="C9295" s="22" t="s">
        <v>1014</v>
      </c>
      <c r="D9295" s="18">
        <v>2021</v>
      </c>
      <c r="E9295" s="18"/>
      <c r="F9295" s="4">
        <v>1</v>
      </c>
      <c r="G9295" s="4">
        <v>6</v>
      </c>
      <c r="H9295" s="4">
        <v>17.54</v>
      </c>
      <c r="I9295" s="201"/>
      <c r="J9295" s="201"/>
    </row>
    <row r="9296" spans="1:10" s="15" customFormat="1" ht="28.5" hidden="1" customHeight="1" outlineLevel="1" x14ac:dyDescent="0.25">
      <c r="A9296" s="46">
        <v>10174</v>
      </c>
      <c r="B9296" s="4" t="s">
        <v>43</v>
      </c>
      <c r="C9296" s="22" t="s">
        <v>1015</v>
      </c>
      <c r="D9296" s="18">
        <v>2021</v>
      </c>
      <c r="E9296" s="18"/>
      <c r="F9296" s="4">
        <v>1</v>
      </c>
      <c r="G9296" s="4">
        <v>6</v>
      </c>
      <c r="H9296" s="4">
        <v>20.257000000000001</v>
      </c>
      <c r="I9296" s="201"/>
      <c r="J9296" s="201"/>
    </row>
    <row r="9297" spans="1:10" s="15" customFormat="1" ht="28.5" hidden="1" customHeight="1" outlineLevel="1" x14ac:dyDescent="0.25">
      <c r="A9297" s="46">
        <v>10251</v>
      </c>
      <c r="B9297" s="4" t="s">
        <v>43</v>
      </c>
      <c r="C9297" s="22" t="s">
        <v>1016</v>
      </c>
      <c r="D9297" s="18">
        <v>2021</v>
      </c>
      <c r="E9297" s="18"/>
      <c r="F9297" s="4">
        <v>1</v>
      </c>
      <c r="G9297" s="4">
        <v>6</v>
      </c>
      <c r="H9297" s="4">
        <v>17.576000000000001</v>
      </c>
      <c r="I9297" s="201"/>
      <c r="J9297" s="201"/>
    </row>
    <row r="9298" spans="1:10" s="15" customFormat="1" ht="28.5" hidden="1" customHeight="1" outlineLevel="1" x14ac:dyDescent="0.25">
      <c r="A9298" s="46">
        <v>10199</v>
      </c>
      <c r="B9298" s="4" t="s">
        <v>43</v>
      </c>
      <c r="C9298" s="22" t="s">
        <v>1017</v>
      </c>
      <c r="D9298" s="18">
        <v>2021</v>
      </c>
      <c r="E9298" s="18"/>
      <c r="F9298" s="4">
        <v>1</v>
      </c>
      <c r="G9298" s="4">
        <v>6</v>
      </c>
      <c r="H9298" s="4">
        <v>17.698</v>
      </c>
      <c r="I9298" s="201"/>
      <c r="J9298" s="201"/>
    </row>
    <row r="9299" spans="1:10" s="15" customFormat="1" ht="28.5" hidden="1" customHeight="1" outlineLevel="1" x14ac:dyDescent="0.25">
      <c r="A9299" s="46">
        <v>10244</v>
      </c>
      <c r="B9299" s="4" t="s">
        <v>43</v>
      </c>
      <c r="C9299" s="22" t="s">
        <v>1018</v>
      </c>
      <c r="D9299" s="18">
        <v>2021</v>
      </c>
      <c r="E9299" s="18"/>
      <c r="F9299" s="4">
        <v>1</v>
      </c>
      <c r="G9299" s="4">
        <v>6</v>
      </c>
      <c r="H9299" s="4">
        <v>19.295000000000002</v>
      </c>
      <c r="I9299" s="201"/>
      <c r="J9299" s="201"/>
    </row>
    <row r="9300" spans="1:10" s="15" customFormat="1" ht="28.5" hidden="1" customHeight="1" outlineLevel="1" x14ac:dyDescent="0.25">
      <c r="A9300" s="45">
        <v>2083</v>
      </c>
      <c r="B9300" s="4" t="s">
        <v>43</v>
      </c>
      <c r="C9300" s="22" t="s">
        <v>1019</v>
      </c>
      <c r="D9300" s="18">
        <v>2021</v>
      </c>
      <c r="E9300" s="18"/>
      <c r="F9300" s="4">
        <v>1</v>
      </c>
      <c r="G9300" s="4">
        <v>8</v>
      </c>
      <c r="H9300" s="4">
        <v>20.135999999999999</v>
      </c>
      <c r="I9300" s="201"/>
      <c r="J9300" s="201"/>
    </row>
    <row r="9301" spans="1:10" s="15" customFormat="1" ht="28.5" hidden="1" customHeight="1" outlineLevel="1" x14ac:dyDescent="0.25">
      <c r="A9301" s="46">
        <v>9240</v>
      </c>
      <c r="B9301" s="4" t="s">
        <v>43</v>
      </c>
      <c r="C9301" s="22" t="s">
        <v>1020</v>
      </c>
      <c r="D9301" s="18">
        <v>2021</v>
      </c>
      <c r="E9301" s="18"/>
      <c r="F9301" s="4">
        <v>1</v>
      </c>
      <c r="G9301" s="4">
        <v>6</v>
      </c>
      <c r="H9301" s="4">
        <v>18.207999999999998</v>
      </c>
      <c r="I9301" s="201"/>
      <c r="J9301" s="201"/>
    </row>
    <row r="9302" spans="1:10" s="15" customFormat="1" ht="28.5" hidden="1" customHeight="1" outlineLevel="1" x14ac:dyDescent="0.25">
      <c r="A9302" s="46">
        <v>10114</v>
      </c>
      <c r="B9302" s="4" t="s">
        <v>43</v>
      </c>
      <c r="C9302" s="22" t="s">
        <v>1021</v>
      </c>
      <c r="D9302" s="18">
        <v>2021</v>
      </c>
      <c r="E9302" s="18"/>
      <c r="F9302" s="4">
        <v>1</v>
      </c>
      <c r="G9302" s="4">
        <v>6</v>
      </c>
      <c r="H9302" s="4">
        <v>21.42</v>
      </c>
      <c r="I9302" s="201"/>
      <c r="J9302" s="201"/>
    </row>
    <row r="9303" spans="1:10" s="15" customFormat="1" ht="28.5" hidden="1" customHeight="1" outlineLevel="1" x14ac:dyDescent="0.25">
      <c r="A9303" s="46">
        <v>10113</v>
      </c>
      <c r="B9303" s="4" t="s">
        <v>43</v>
      </c>
      <c r="C9303" s="22" t="s">
        <v>1022</v>
      </c>
      <c r="D9303" s="18">
        <v>2021</v>
      </c>
      <c r="E9303" s="18"/>
      <c r="F9303" s="4">
        <v>1</v>
      </c>
      <c r="G9303" s="4">
        <v>6</v>
      </c>
      <c r="H9303" s="4">
        <v>19.332999999999998</v>
      </c>
      <c r="I9303" s="201"/>
      <c r="J9303" s="201"/>
    </row>
    <row r="9304" spans="1:10" s="15" customFormat="1" ht="28.5" hidden="1" customHeight="1" outlineLevel="1" x14ac:dyDescent="0.25">
      <c r="A9304" s="46">
        <v>10052</v>
      </c>
      <c r="B9304" s="4" t="s">
        <v>43</v>
      </c>
      <c r="C9304" s="22" t="s">
        <v>1023</v>
      </c>
      <c r="D9304" s="18">
        <v>2021</v>
      </c>
      <c r="E9304" s="18"/>
      <c r="F9304" s="4">
        <v>1</v>
      </c>
      <c r="G9304" s="4">
        <v>8</v>
      </c>
      <c r="H9304" s="4">
        <v>19.812000000000001</v>
      </c>
      <c r="I9304" s="201"/>
      <c r="J9304" s="201"/>
    </row>
    <row r="9305" spans="1:10" s="15" customFormat="1" ht="28.5" hidden="1" customHeight="1" outlineLevel="1" x14ac:dyDescent="0.25">
      <c r="A9305" s="45">
        <v>1181</v>
      </c>
      <c r="B9305" s="4" t="s">
        <v>43</v>
      </c>
      <c r="C9305" s="22" t="s">
        <v>246</v>
      </c>
      <c r="D9305" s="18">
        <v>2021</v>
      </c>
      <c r="E9305" s="18"/>
      <c r="F9305" s="4">
        <v>7</v>
      </c>
      <c r="G9305" s="4">
        <v>100</v>
      </c>
      <c r="H9305" s="4">
        <v>147.19999999999999</v>
      </c>
      <c r="I9305" s="201"/>
      <c r="J9305" s="201"/>
    </row>
    <row r="9306" spans="1:10" s="15" customFormat="1" ht="28.5" hidden="1" customHeight="1" outlineLevel="1" x14ac:dyDescent="0.25">
      <c r="A9306" s="46">
        <v>10198</v>
      </c>
      <c r="B9306" s="4" t="s">
        <v>43</v>
      </c>
      <c r="C9306" s="22" t="s">
        <v>1024</v>
      </c>
      <c r="D9306" s="18">
        <v>2021</v>
      </c>
      <c r="E9306" s="18"/>
      <c r="F9306" s="4">
        <v>1</v>
      </c>
      <c r="G9306" s="4">
        <v>6</v>
      </c>
      <c r="H9306" s="4">
        <v>19.766999999999999</v>
      </c>
      <c r="I9306" s="201"/>
      <c r="J9306" s="201"/>
    </row>
    <row r="9307" spans="1:10" s="15" customFormat="1" ht="28.5" hidden="1" customHeight="1" outlineLevel="1" x14ac:dyDescent="0.25">
      <c r="A9307" s="46">
        <v>10323</v>
      </c>
      <c r="B9307" s="4" t="s">
        <v>43</v>
      </c>
      <c r="C9307" s="22" t="s">
        <v>1025</v>
      </c>
      <c r="D9307" s="18">
        <v>2021</v>
      </c>
      <c r="E9307" s="18"/>
      <c r="F9307" s="4">
        <v>1</v>
      </c>
      <c r="G9307" s="4">
        <v>8</v>
      </c>
      <c r="H9307" s="4">
        <v>20.533999999999999</v>
      </c>
      <c r="I9307" s="201"/>
      <c r="J9307" s="201"/>
    </row>
    <row r="9308" spans="1:10" s="15" customFormat="1" ht="28.5" hidden="1" customHeight="1" outlineLevel="1" x14ac:dyDescent="0.25">
      <c r="A9308" s="46">
        <v>10122</v>
      </c>
      <c r="B9308" s="4" t="s">
        <v>43</v>
      </c>
      <c r="C9308" s="22" t="s">
        <v>1026</v>
      </c>
      <c r="D9308" s="18">
        <v>2021</v>
      </c>
      <c r="E9308" s="18"/>
      <c r="F9308" s="4">
        <v>1</v>
      </c>
      <c r="G9308" s="4">
        <v>6</v>
      </c>
      <c r="H9308" s="4">
        <v>17.552</v>
      </c>
      <c r="I9308" s="201"/>
      <c r="J9308" s="201"/>
    </row>
    <row r="9309" spans="1:10" s="15" customFormat="1" ht="28.5" hidden="1" customHeight="1" outlineLevel="1" x14ac:dyDescent="0.25">
      <c r="A9309" s="46">
        <v>9549</v>
      </c>
      <c r="B9309" s="4" t="s">
        <v>43</v>
      </c>
      <c r="C9309" s="38" t="s">
        <v>1027</v>
      </c>
      <c r="D9309" s="18">
        <v>2021</v>
      </c>
      <c r="E9309" s="18"/>
      <c r="F9309" s="4">
        <v>1</v>
      </c>
      <c r="G9309" s="4">
        <v>14</v>
      </c>
      <c r="H9309" s="4">
        <v>49.688000000000002</v>
      </c>
      <c r="I9309" s="201"/>
      <c r="J9309" s="201"/>
    </row>
    <row r="9310" spans="1:10" s="15" customFormat="1" ht="28.5" hidden="1" customHeight="1" outlineLevel="1" x14ac:dyDescent="0.25">
      <c r="A9310" s="46">
        <v>9235</v>
      </c>
      <c r="B9310" s="4" t="s">
        <v>43</v>
      </c>
      <c r="C9310" s="22" t="s">
        <v>1028</v>
      </c>
      <c r="D9310" s="18">
        <v>2021</v>
      </c>
      <c r="E9310" s="18"/>
      <c r="F9310" s="4">
        <v>2</v>
      </c>
      <c r="G9310" s="4">
        <v>16</v>
      </c>
      <c r="H9310" s="4">
        <v>43.06</v>
      </c>
      <c r="I9310" s="201"/>
      <c r="J9310" s="201"/>
    </row>
    <row r="9311" spans="1:10" s="15" customFormat="1" ht="28.5" hidden="1" customHeight="1" outlineLevel="1" x14ac:dyDescent="0.25">
      <c r="A9311" s="46">
        <v>9228</v>
      </c>
      <c r="B9311" s="4" t="s">
        <v>43</v>
      </c>
      <c r="C9311" s="22" t="s">
        <v>1029</v>
      </c>
      <c r="D9311" s="18">
        <v>2021</v>
      </c>
      <c r="E9311" s="18"/>
      <c r="F9311" s="4">
        <v>1</v>
      </c>
      <c r="G9311" s="4">
        <v>15</v>
      </c>
      <c r="H9311" s="4">
        <v>23.3</v>
      </c>
      <c r="I9311" s="201"/>
      <c r="J9311" s="201"/>
    </row>
    <row r="9312" spans="1:10" s="15" customFormat="1" ht="28.5" hidden="1" customHeight="1" outlineLevel="1" x14ac:dyDescent="0.25">
      <c r="A9312" s="45">
        <v>1170</v>
      </c>
      <c r="B9312" s="4" t="s">
        <v>43</v>
      </c>
      <c r="C9312" s="22" t="s">
        <v>251</v>
      </c>
      <c r="D9312" s="18">
        <v>2021</v>
      </c>
      <c r="E9312" s="18"/>
      <c r="F9312" s="4">
        <v>6</v>
      </c>
      <c r="G9312" s="4">
        <v>60</v>
      </c>
      <c r="H9312" s="4">
        <v>210.35</v>
      </c>
      <c r="I9312" s="201"/>
      <c r="J9312" s="201"/>
    </row>
    <row r="9313" spans="1:10" s="15" customFormat="1" ht="28.5" hidden="1" customHeight="1" outlineLevel="1" x14ac:dyDescent="0.25">
      <c r="A9313" s="46">
        <v>10107</v>
      </c>
      <c r="B9313" s="4" t="s">
        <v>43</v>
      </c>
      <c r="C9313" s="22" t="s">
        <v>1030</v>
      </c>
      <c r="D9313" s="18">
        <v>2021</v>
      </c>
      <c r="E9313" s="18"/>
      <c r="F9313" s="4">
        <v>1</v>
      </c>
      <c r="G9313" s="4">
        <v>9</v>
      </c>
      <c r="H9313" s="4">
        <v>16.7</v>
      </c>
      <c r="I9313" s="201"/>
      <c r="J9313" s="201"/>
    </row>
    <row r="9314" spans="1:10" s="15" customFormat="1" ht="28.5" hidden="1" customHeight="1" outlineLevel="1" x14ac:dyDescent="0.25">
      <c r="A9314" s="46">
        <v>10233</v>
      </c>
      <c r="B9314" s="4" t="s">
        <v>43</v>
      </c>
      <c r="C9314" s="22" t="s">
        <v>1031</v>
      </c>
      <c r="D9314" s="18">
        <v>2021</v>
      </c>
      <c r="E9314" s="18"/>
      <c r="F9314" s="4">
        <v>1</v>
      </c>
      <c r="G9314" s="4">
        <v>3</v>
      </c>
      <c r="H9314" s="4">
        <v>16.713000000000001</v>
      </c>
      <c r="I9314" s="201"/>
      <c r="J9314" s="201"/>
    </row>
    <row r="9315" spans="1:10" s="15" customFormat="1" ht="28.5" hidden="1" customHeight="1" outlineLevel="1" x14ac:dyDescent="0.25">
      <c r="A9315" s="46">
        <v>10110</v>
      </c>
      <c r="B9315" s="4" t="s">
        <v>43</v>
      </c>
      <c r="C9315" s="22" t="s">
        <v>1032</v>
      </c>
      <c r="D9315" s="18">
        <v>2021</v>
      </c>
      <c r="E9315" s="18"/>
      <c r="F9315" s="4">
        <v>1</v>
      </c>
      <c r="G9315" s="4">
        <v>3</v>
      </c>
      <c r="H9315" s="4">
        <v>12.709</v>
      </c>
      <c r="I9315" s="201"/>
      <c r="J9315" s="201"/>
    </row>
    <row r="9316" spans="1:10" s="15" customFormat="1" ht="28.5" hidden="1" customHeight="1" outlineLevel="1" x14ac:dyDescent="0.25">
      <c r="A9316" s="46">
        <v>10109</v>
      </c>
      <c r="B9316" s="4" t="s">
        <v>43</v>
      </c>
      <c r="C9316" s="22" t="s">
        <v>1033</v>
      </c>
      <c r="D9316" s="18">
        <v>2021</v>
      </c>
      <c r="E9316" s="18"/>
      <c r="F9316" s="4">
        <v>1</v>
      </c>
      <c r="G9316" s="4">
        <v>10</v>
      </c>
      <c r="H9316" s="4">
        <v>18.138000000000002</v>
      </c>
      <c r="I9316" s="201"/>
      <c r="J9316" s="201"/>
    </row>
    <row r="9317" spans="1:10" s="15" customFormat="1" ht="28.5" hidden="1" customHeight="1" outlineLevel="1" x14ac:dyDescent="0.25">
      <c r="A9317" s="18">
        <v>10901</v>
      </c>
      <c r="B9317" s="4" t="s">
        <v>43</v>
      </c>
      <c r="C9317" s="35" t="s">
        <v>443</v>
      </c>
      <c r="D9317" s="18">
        <v>2021</v>
      </c>
      <c r="E9317" s="18"/>
      <c r="F9317" s="4">
        <v>1</v>
      </c>
      <c r="G9317" s="4">
        <v>15</v>
      </c>
      <c r="H9317" s="4">
        <v>18.138000000000002</v>
      </c>
      <c r="I9317" s="201"/>
      <c r="J9317" s="201"/>
    </row>
    <row r="9318" spans="1:10" s="15" customFormat="1" ht="28.5" hidden="1" customHeight="1" outlineLevel="1" x14ac:dyDescent="0.25">
      <c r="A9318" s="46">
        <v>10108</v>
      </c>
      <c r="B9318" s="4" t="s">
        <v>43</v>
      </c>
      <c r="C9318" s="22" t="s">
        <v>1034</v>
      </c>
      <c r="D9318" s="18">
        <v>2021</v>
      </c>
      <c r="E9318" s="18"/>
      <c r="F9318" s="4">
        <v>1</v>
      </c>
      <c r="G9318" s="4">
        <v>10</v>
      </c>
      <c r="H9318" s="4">
        <v>18.138000000000002</v>
      </c>
      <c r="I9318" s="201"/>
      <c r="J9318" s="201"/>
    </row>
    <row r="9319" spans="1:10" s="15" customFormat="1" ht="28.5" hidden="1" customHeight="1" outlineLevel="1" x14ac:dyDescent="0.25">
      <c r="A9319" s="46">
        <v>10234</v>
      </c>
      <c r="B9319" s="4" t="s">
        <v>43</v>
      </c>
      <c r="C9319" s="22" t="s">
        <v>1035</v>
      </c>
      <c r="D9319" s="18">
        <v>2021</v>
      </c>
      <c r="E9319" s="18"/>
      <c r="F9319" s="4">
        <v>1</v>
      </c>
      <c r="G9319" s="4">
        <v>9</v>
      </c>
      <c r="H9319" s="4">
        <v>15.532</v>
      </c>
      <c r="I9319" s="201"/>
      <c r="J9319" s="201"/>
    </row>
    <row r="9320" spans="1:10" s="15" customFormat="1" ht="28.5" hidden="1" customHeight="1" outlineLevel="1" x14ac:dyDescent="0.25">
      <c r="A9320" s="46">
        <v>10166</v>
      </c>
      <c r="B9320" s="4" t="s">
        <v>43</v>
      </c>
      <c r="C9320" s="22" t="s">
        <v>1036</v>
      </c>
      <c r="D9320" s="18">
        <v>2021</v>
      </c>
      <c r="E9320" s="18"/>
      <c r="F9320" s="4">
        <v>1</v>
      </c>
      <c r="G9320" s="4">
        <v>15</v>
      </c>
      <c r="H9320" s="4">
        <v>18.125</v>
      </c>
      <c r="I9320" s="201"/>
      <c r="J9320" s="201"/>
    </row>
    <row r="9321" spans="1:10" s="15" customFormat="1" ht="28.5" hidden="1" customHeight="1" outlineLevel="1" x14ac:dyDescent="0.25">
      <c r="A9321" s="46">
        <v>10324</v>
      </c>
      <c r="B9321" s="4" t="s">
        <v>43</v>
      </c>
      <c r="C9321" s="22" t="s">
        <v>1037</v>
      </c>
      <c r="D9321" s="18">
        <v>2021</v>
      </c>
      <c r="E9321" s="18"/>
      <c r="F9321" s="4">
        <v>1</v>
      </c>
      <c r="G9321" s="4">
        <v>10</v>
      </c>
      <c r="H9321" s="4">
        <v>18.138000000000002</v>
      </c>
      <c r="I9321" s="201"/>
      <c r="J9321" s="201"/>
    </row>
    <row r="9322" spans="1:10" s="15" customFormat="1" ht="28.5" hidden="1" customHeight="1" outlineLevel="1" x14ac:dyDescent="0.25">
      <c r="A9322" s="46">
        <v>9555</v>
      </c>
      <c r="B9322" s="4" t="s">
        <v>43</v>
      </c>
      <c r="C9322" s="22" t="s">
        <v>85</v>
      </c>
      <c r="D9322" s="18">
        <v>2021</v>
      </c>
      <c r="E9322" s="18"/>
      <c r="F9322" s="4">
        <v>1</v>
      </c>
      <c r="G9322" s="4">
        <v>6</v>
      </c>
      <c r="H9322" s="4">
        <v>20.288</v>
      </c>
      <c r="I9322" s="201"/>
      <c r="J9322" s="201"/>
    </row>
    <row r="9323" spans="1:10" s="15" customFormat="1" ht="28.5" hidden="1" customHeight="1" outlineLevel="1" x14ac:dyDescent="0.25">
      <c r="A9323" s="46">
        <v>10230</v>
      </c>
      <c r="B9323" s="4" t="s">
        <v>43</v>
      </c>
      <c r="C9323" s="22" t="s">
        <v>1038</v>
      </c>
      <c r="D9323" s="18">
        <v>2021</v>
      </c>
      <c r="E9323" s="18"/>
      <c r="F9323" s="4">
        <v>1</v>
      </c>
      <c r="G9323" s="4">
        <v>6</v>
      </c>
      <c r="H9323" s="4">
        <v>17.518999999999998</v>
      </c>
      <c r="I9323" s="201"/>
      <c r="J9323" s="201"/>
    </row>
    <row r="9324" spans="1:10" s="15" customFormat="1" ht="28.5" hidden="1" customHeight="1" outlineLevel="1" x14ac:dyDescent="0.25">
      <c r="A9324" s="46">
        <v>10232</v>
      </c>
      <c r="B9324" s="4" t="s">
        <v>43</v>
      </c>
      <c r="C9324" s="22" t="s">
        <v>1039</v>
      </c>
      <c r="D9324" s="18">
        <v>2021</v>
      </c>
      <c r="E9324" s="18"/>
      <c r="F9324" s="4">
        <v>1</v>
      </c>
      <c r="G9324" s="4">
        <v>6</v>
      </c>
      <c r="H9324" s="4">
        <v>19.3</v>
      </c>
      <c r="I9324" s="201"/>
      <c r="J9324" s="201"/>
    </row>
    <row r="9325" spans="1:10" s="15" customFormat="1" ht="28.5" hidden="1" customHeight="1" outlineLevel="1" x14ac:dyDescent="0.25">
      <c r="A9325" s="46">
        <v>10228</v>
      </c>
      <c r="B9325" s="4" t="s">
        <v>43</v>
      </c>
      <c r="C9325" s="22" t="s">
        <v>1040</v>
      </c>
      <c r="D9325" s="18">
        <v>2021</v>
      </c>
      <c r="E9325" s="18"/>
      <c r="F9325" s="4">
        <v>1</v>
      </c>
      <c r="G9325" s="4">
        <v>6</v>
      </c>
      <c r="H9325" s="4">
        <v>17.518000000000001</v>
      </c>
      <c r="I9325" s="201"/>
      <c r="J9325" s="201"/>
    </row>
    <row r="9326" spans="1:10" s="15" customFormat="1" ht="28.5" hidden="1" customHeight="1" outlineLevel="1" x14ac:dyDescent="0.25">
      <c r="A9326" s="46">
        <v>10054</v>
      </c>
      <c r="B9326" s="4" t="s">
        <v>43</v>
      </c>
      <c r="C9326" s="22" t="s">
        <v>1041</v>
      </c>
      <c r="D9326" s="18">
        <v>2021</v>
      </c>
      <c r="E9326" s="18"/>
      <c r="F9326" s="4">
        <v>1</v>
      </c>
      <c r="G9326" s="4">
        <v>6</v>
      </c>
      <c r="H9326" s="4">
        <v>16.954999999999998</v>
      </c>
      <c r="I9326" s="201"/>
      <c r="J9326" s="201"/>
    </row>
    <row r="9327" spans="1:10" s="15" customFormat="1" ht="28.5" hidden="1" customHeight="1" outlineLevel="1" x14ac:dyDescent="0.25">
      <c r="A9327" s="46">
        <v>10212</v>
      </c>
      <c r="B9327" s="4" t="s">
        <v>43</v>
      </c>
      <c r="C9327" s="22" t="s">
        <v>1042</v>
      </c>
      <c r="D9327" s="18">
        <v>2021</v>
      </c>
      <c r="E9327" s="18"/>
      <c r="F9327" s="4">
        <v>1</v>
      </c>
      <c r="G9327" s="4">
        <v>6</v>
      </c>
      <c r="H9327" s="4">
        <v>18.190000000000001</v>
      </c>
      <c r="I9327" s="201"/>
      <c r="J9327" s="201"/>
    </row>
    <row r="9328" spans="1:10" s="15" customFormat="1" ht="28.5" hidden="1" customHeight="1" outlineLevel="1" x14ac:dyDescent="0.25">
      <c r="A9328" s="46">
        <v>9242</v>
      </c>
      <c r="B9328" s="4" t="s">
        <v>43</v>
      </c>
      <c r="C9328" s="22" t="s">
        <v>1043</v>
      </c>
      <c r="D9328" s="18">
        <v>2021</v>
      </c>
      <c r="E9328" s="18"/>
      <c r="F9328" s="4">
        <v>2</v>
      </c>
      <c r="G9328" s="4">
        <v>12</v>
      </c>
      <c r="H9328" s="4">
        <v>31.145</v>
      </c>
      <c r="I9328" s="201"/>
      <c r="J9328" s="201"/>
    </row>
    <row r="9329" spans="1:10" s="15" customFormat="1" ht="28.5" hidden="1" customHeight="1" outlineLevel="1" x14ac:dyDescent="0.25">
      <c r="A9329" s="46">
        <v>9231</v>
      </c>
      <c r="B9329" s="4" t="s">
        <v>43</v>
      </c>
      <c r="C9329" s="22" t="s">
        <v>1044</v>
      </c>
      <c r="D9329" s="18">
        <v>2021</v>
      </c>
      <c r="E9329" s="18"/>
      <c r="F9329" s="4">
        <v>1</v>
      </c>
      <c r="G9329" s="4">
        <v>30</v>
      </c>
      <c r="H9329" s="4">
        <v>16.719000000000001</v>
      </c>
      <c r="I9329" s="201"/>
      <c r="J9329" s="201"/>
    </row>
    <row r="9330" spans="1:10" s="15" customFormat="1" ht="28.5" hidden="1" customHeight="1" outlineLevel="1" x14ac:dyDescent="0.25">
      <c r="A9330" s="46">
        <v>10241</v>
      </c>
      <c r="B9330" s="4" t="s">
        <v>43</v>
      </c>
      <c r="C9330" s="22" t="s">
        <v>1045</v>
      </c>
      <c r="D9330" s="18">
        <v>2021</v>
      </c>
      <c r="E9330" s="18"/>
      <c r="F9330" s="4">
        <v>1</v>
      </c>
      <c r="G9330" s="4">
        <v>6</v>
      </c>
      <c r="H9330" s="4">
        <v>18.289000000000001</v>
      </c>
      <c r="I9330" s="201"/>
      <c r="J9330" s="201"/>
    </row>
    <row r="9331" spans="1:10" s="15" customFormat="1" ht="28.5" hidden="1" customHeight="1" outlineLevel="1" x14ac:dyDescent="0.25">
      <c r="A9331" s="46">
        <v>10226</v>
      </c>
      <c r="B9331" s="4" t="s">
        <v>43</v>
      </c>
      <c r="C9331" s="22" t="s">
        <v>1046</v>
      </c>
      <c r="D9331" s="18">
        <v>2021</v>
      </c>
      <c r="E9331" s="18"/>
      <c r="F9331" s="4">
        <v>1</v>
      </c>
      <c r="G9331" s="4">
        <v>6</v>
      </c>
      <c r="H9331" s="4">
        <v>17.809000000000001</v>
      </c>
      <c r="I9331" s="201"/>
      <c r="J9331" s="201"/>
    </row>
    <row r="9332" spans="1:10" s="15" customFormat="1" ht="28.5" hidden="1" customHeight="1" outlineLevel="1" x14ac:dyDescent="0.25">
      <c r="A9332" s="46">
        <v>10224</v>
      </c>
      <c r="B9332" s="4" t="s">
        <v>43</v>
      </c>
      <c r="C9332" s="22" t="s">
        <v>1047</v>
      </c>
      <c r="D9332" s="18">
        <v>2021</v>
      </c>
      <c r="E9332" s="18"/>
      <c r="F9332" s="4">
        <v>1</v>
      </c>
      <c r="G9332" s="4">
        <v>6</v>
      </c>
      <c r="H9332" s="4">
        <v>16.902000000000001</v>
      </c>
      <c r="I9332" s="201"/>
      <c r="J9332" s="201"/>
    </row>
    <row r="9333" spans="1:10" s="15" customFormat="1" ht="28.5" hidden="1" customHeight="1" outlineLevel="1" x14ac:dyDescent="0.25">
      <c r="A9333" s="46">
        <v>10243</v>
      </c>
      <c r="B9333" s="4" t="s">
        <v>43</v>
      </c>
      <c r="C9333" s="22" t="s">
        <v>1048</v>
      </c>
      <c r="D9333" s="18">
        <v>2021</v>
      </c>
      <c r="E9333" s="18"/>
      <c r="F9333" s="4">
        <v>1</v>
      </c>
      <c r="G9333" s="4">
        <v>6</v>
      </c>
      <c r="H9333" s="4">
        <v>21.027000000000001</v>
      </c>
      <c r="I9333" s="201"/>
      <c r="J9333" s="201"/>
    </row>
    <row r="9334" spans="1:10" s="15" customFormat="1" ht="28.5" hidden="1" customHeight="1" outlineLevel="1" x14ac:dyDescent="0.25">
      <c r="A9334" s="46">
        <v>10157</v>
      </c>
      <c r="B9334" s="4" t="s">
        <v>43</v>
      </c>
      <c r="C9334" s="22" t="s">
        <v>1049</v>
      </c>
      <c r="D9334" s="18">
        <v>2021</v>
      </c>
      <c r="E9334" s="18"/>
      <c r="F9334" s="4">
        <v>1</v>
      </c>
      <c r="G9334" s="4">
        <v>6</v>
      </c>
      <c r="H9334" s="4">
        <v>15.505000000000001</v>
      </c>
      <c r="I9334" s="201"/>
      <c r="J9334" s="201"/>
    </row>
    <row r="9335" spans="1:10" s="15" customFormat="1" ht="28.5" hidden="1" customHeight="1" outlineLevel="1" x14ac:dyDescent="0.25">
      <c r="A9335" s="46">
        <v>10135</v>
      </c>
      <c r="B9335" s="4" t="s">
        <v>43</v>
      </c>
      <c r="C9335" s="22" t="s">
        <v>1050</v>
      </c>
      <c r="D9335" s="18">
        <v>2021</v>
      </c>
      <c r="E9335" s="18"/>
      <c r="F9335" s="4">
        <v>1</v>
      </c>
      <c r="G9335" s="4">
        <v>15</v>
      </c>
      <c r="H9335" s="4">
        <v>29.484999999999999</v>
      </c>
      <c r="I9335" s="201"/>
      <c r="J9335" s="201"/>
    </row>
    <row r="9336" spans="1:10" s="15" customFormat="1" ht="28.5" hidden="1" customHeight="1" outlineLevel="1" x14ac:dyDescent="0.25">
      <c r="A9336" s="46">
        <v>10100</v>
      </c>
      <c r="B9336" s="4" t="s">
        <v>43</v>
      </c>
      <c r="C9336" s="22" t="s">
        <v>1051</v>
      </c>
      <c r="D9336" s="18">
        <v>2021</v>
      </c>
      <c r="E9336" s="18"/>
      <c r="F9336" s="4">
        <v>1</v>
      </c>
      <c r="G9336" s="4">
        <v>14</v>
      </c>
      <c r="H9336" s="4">
        <v>32.951000000000001</v>
      </c>
      <c r="I9336" s="201"/>
      <c r="J9336" s="201"/>
    </row>
    <row r="9337" spans="1:10" s="15" customFormat="1" ht="28.5" hidden="1" customHeight="1" outlineLevel="1" x14ac:dyDescent="0.25">
      <c r="A9337" s="46">
        <v>9890</v>
      </c>
      <c r="B9337" s="4" t="s">
        <v>43</v>
      </c>
      <c r="C9337" s="22" t="s">
        <v>1052</v>
      </c>
      <c r="D9337" s="18">
        <v>2021</v>
      </c>
      <c r="E9337" s="18"/>
      <c r="F9337" s="4">
        <v>1</v>
      </c>
      <c r="G9337" s="4">
        <v>8</v>
      </c>
      <c r="H9337" s="4">
        <v>24.192</v>
      </c>
      <c r="I9337" s="201"/>
      <c r="J9337" s="201"/>
    </row>
    <row r="9338" spans="1:10" s="15" customFormat="1" ht="28.5" hidden="1" customHeight="1" outlineLevel="1" x14ac:dyDescent="0.25">
      <c r="A9338" s="46">
        <v>9238</v>
      </c>
      <c r="B9338" s="4" t="s">
        <v>43</v>
      </c>
      <c r="C9338" s="22" t="s">
        <v>1053</v>
      </c>
      <c r="D9338" s="18">
        <v>2021</v>
      </c>
      <c r="E9338" s="18"/>
      <c r="F9338" s="4">
        <v>1</v>
      </c>
      <c r="G9338" s="4">
        <v>1</v>
      </c>
      <c r="H9338" s="4">
        <v>15.529</v>
      </c>
      <c r="I9338" s="201"/>
      <c r="J9338" s="201"/>
    </row>
    <row r="9339" spans="1:10" s="15" customFormat="1" ht="28.5" hidden="1" customHeight="1" outlineLevel="1" x14ac:dyDescent="0.25">
      <c r="A9339" s="46">
        <v>10141</v>
      </c>
      <c r="B9339" s="4" t="s">
        <v>43</v>
      </c>
      <c r="C9339" s="22" t="s">
        <v>1054</v>
      </c>
      <c r="D9339" s="18">
        <v>2021</v>
      </c>
      <c r="E9339" s="18"/>
      <c r="F9339" s="4">
        <v>1</v>
      </c>
      <c r="G9339" s="4">
        <v>6</v>
      </c>
      <c r="H9339" s="4">
        <v>18.271999999999998</v>
      </c>
      <c r="I9339" s="201"/>
      <c r="J9339" s="201"/>
    </row>
    <row r="9340" spans="1:10" s="15" customFormat="1" ht="28.5" hidden="1" customHeight="1" outlineLevel="1" x14ac:dyDescent="0.25">
      <c r="A9340" s="45">
        <v>36</v>
      </c>
      <c r="B9340" s="4" t="s">
        <v>43</v>
      </c>
      <c r="C9340" s="22" t="s">
        <v>1055</v>
      </c>
      <c r="D9340" s="18">
        <v>2021</v>
      </c>
      <c r="E9340" s="18"/>
      <c r="F9340" s="4">
        <v>1</v>
      </c>
      <c r="G9340" s="4">
        <v>10</v>
      </c>
      <c r="H9340" s="4">
        <v>17.460999999999999</v>
      </c>
      <c r="I9340" s="201"/>
      <c r="J9340" s="201"/>
    </row>
    <row r="9341" spans="1:10" s="15" customFormat="1" ht="28.5" hidden="1" customHeight="1" outlineLevel="1" x14ac:dyDescent="0.25">
      <c r="A9341" s="46">
        <v>10055</v>
      </c>
      <c r="B9341" s="4" t="s">
        <v>43</v>
      </c>
      <c r="C9341" s="22" t="s">
        <v>1056</v>
      </c>
      <c r="D9341" s="18">
        <v>2021</v>
      </c>
      <c r="E9341" s="18"/>
      <c r="F9341" s="4">
        <v>1</v>
      </c>
      <c r="G9341" s="4">
        <v>5</v>
      </c>
      <c r="H9341" s="4">
        <v>17.460999999999999</v>
      </c>
      <c r="I9341" s="201"/>
      <c r="J9341" s="201"/>
    </row>
    <row r="9342" spans="1:10" s="15" customFormat="1" ht="28.5" hidden="1" customHeight="1" outlineLevel="1" x14ac:dyDescent="0.25">
      <c r="A9342" s="46">
        <v>10245</v>
      </c>
      <c r="B9342" s="4" t="s">
        <v>43</v>
      </c>
      <c r="C9342" s="22" t="s">
        <v>1057</v>
      </c>
      <c r="D9342" s="18">
        <v>2021</v>
      </c>
      <c r="E9342" s="18"/>
      <c r="F9342" s="4">
        <v>1</v>
      </c>
      <c r="G9342" s="4">
        <v>10</v>
      </c>
      <c r="H9342" s="4">
        <v>16.123000000000001</v>
      </c>
      <c r="I9342" s="201"/>
      <c r="J9342" s="201"/>
    </row>
    <row r="9343" spans="1:10" s="15" customFormat="1" ht="28.5" hidden="1" customHeight="1" outlineLevel="1" x14ac:dyDescent="0.25">
      <c r="A9343" s="46">
        <v>10056</v>
      </c>
      <c r="B9343" s="4" t="s">
        <v>43</v>
      </c>
      <c r="C9343" s="22" t="s">
        <v>1058</v>
      </c>
      <c r="D9343" s="18">
        <v>2021</v>
      </c>
      <c r="E9343" s="18"/>
      <c r="F9343" s="4">
        <v>1</v>
      </c>
      <c r="G9343" s="4">
        <v>8</v>
      </c>
      <c r="H9343" s="4">
        <v>17.399000000000001</v>
      </c>
      <c r="I9343" s="201"/>
      <c r="J9343" s="201"/>
    </row>
    <row r="9344" spans="1:10" s="15" customFormat="1" ht="28.5" hidden="1" customHeight="1" outlineLevel="1" x14ac:dyDescent="0.25">
      <c r="A9344" s="46">
        <v>10339</v>
      </c>
      <c r="B9344" s="4" t="s">
        <v>43</v>
      </c>
      <c r="C9344" s="22" t="s">
        <v>1059</v>
      </c>
      <c r="D9344" s="18">
        <v>2021</v>
      </c>
      <c r="E9344" s="18"/>
      <c r="F9344" s="4">
        <v>3</v>
      </c>
      <c r="G9344" s="4">
        <v>30</v>
      </c>
      <c r="H9344" s="4">
        <v>45.307000000000002</v>
      </c>
      <c r="I9344" s="201"/>
      <c r="J9344" s="201"/>
    </row>
    <row r="9345" spans="1:10" s="15" customFormat="1" ht="28.5" hidden="1" customHeight="1" outlineLevel="1" x14ac:dyDescent="0.25">
      <c r="A9345" s="46">
        <v>10246</v>
      </c>
      <c r="B9345" s="4" t="s">
        <v>43</v>
      </c>
      <c r="C9345" s="22" t="s">
        <v>1060</v>
      </c>
      <c r="D9345" s="18">
        <v>2021</v>
      </c>
      <c r="E9345" s="18"/>
      <c r="F9345" s="4">
        <v>1</v>
      </c>
      <c r="G9345" s="4">
        <v>10</v>
      </c>
      <c r="H9345" s="4">
        <v>16.114999999999998</v>
      </c>
      <c r="I9345" s="201"/>
      <c r="J9345" s="201"/>
    </row>
    <row r="9346" spans="1:10" s="15" customFormat="1" ht="28.5" hidden="1" customHeight="1" outlineLevel="1" x14ac:dyDescent="0.25">
      <c r="A9346" s="46">
        <v>10148</v>
      </c>
      <c r="B9346" s="4" t="s">
        <v>43</v>
      </c>
      <c r="C9346" s="22" t="s">
        <v>1061</v>
      </c>
      <c r="D9346" s="18">
        <v>2021</v>
      </c>
      <c r="E9346" s="18"/>
      <c r="F9346" s="4">
        <v>1</v>
      </c>
      <c r="G9346" s="4">
        <v>10</v>
      </c>
      <c r="H9346" s="4">
        <v>19.443000000000001</v>
      </c>
      <c r="I9346" s="201"/>
      <c r="J9346" s="201"/>
    </row>
    <row r="9347" spans="1:10" s="15" customFormat="1" ht="28.5" hidden="1" customHeight="1" outlineLevel="1" x14ac:dyDescent="0.25">
      <c r="A9347" s="18">
        <v>245</v>
      </c>
      <c r="B9347" s="4" t="s">
        <v>43</v>
      </c>
      <c r="C9347" s="22" t="s">
        <v>1062</v>
      </c>
      <c r="D9347" s="18">
        <v>2021</v>
      </c>
      <c r="E9347" s="18"/>
      <c r="F9347" s="4">
        <v>1</v>
      </c>
      <c r="G9347" s="4">
        <v>10</v>
      </c>
      <c r="H9347" s="4">
        <v>17.431000000000001</v>
      </c>
      <c r="I9347" s="201"/>
      <c r="J9347" s="201"/>
    </row>
    <row r="9348" spans="1:10" s="15" customFormat="1" ht="28.5" hidden="1" customHeight="1" outlineLevel="1" x14ac:dyDescent="0.25">
      <c r="A9348" s="46">
        <v>10247</v>
      </c>
      <c r="B9348" s="4" t="s">
        <v>43</v>
      </c>
      <c r="C9348" s="22" t="s">
        <v>1063</v>
      </c>
      <c r="D9348" s="18">
        <v>2021</v>
      </c>
      <c r="E9348" s="18"/>
      <c r="F9348" s="4">
        <v>1</v>
      </c>
      <c r="G9348" s="4">
        <v>6</v>
      </c>
      <c r="H9348" s="4">
        <v>16.114999999999998</v>
      </c>
      <c r="I9348" s="201"/>
      <c r="J9348" s="201"/>
    </row>
    <row r="9349" spans="1:10" s="15" customFormat="1" ht="28.5" hidden="1" customHeight="1" outlineLevel="1" x14ac:dyDescent="0.25">
      <c r="A9349" s="46">
        <v>10223</v>
      </c>
      <c r="B9349" s="4" t="s">
        <v>43</v>
      </c>
      <c r="C9349" s="22" t="s">
        <v>1064</v>
      </c>
      <c r="D9349" s="18">
        <v>2021</v>
      </c>
      <c r="E9349" s="18"/>
      <c r="F9349" s="4">
        <v>1</v>
      </c>
      <c r="G9349" s="4">
        <v>10</v>
      </c>
      <c r="H9349" s="4">
        <v>16.123000000000001</v>
      </c>
      <c r="I9349" s="201"/>
      <c r="J9349" s="201"/>
    </row>
    <row r="9350" spans="1:10" s="15" customFormat="1" ht="28.5" hidden="1" customHeight="1" outlineLevel="1" x14ac:dyDescent="0.25">
      <c r="A9350" s="46">
        <v>10248</v>
      </c>
      <c r="B9350" s="4" t="s">
        <v>43</v>
      </c>
      <c r="C9350" s="22" t="s">
        <v>1065</v>
      </c>
      <c r="D9350" s="18">
        <v>2021</v>
      </c>
      <c r="E9350" s="18"/>
      <c r="F9350" s="4">
        <v>1</v>
      </c>
      <c r="G9350" s="4">
        <v>10</v>
      </c>
      <c r="H9350" s="4">
        <v>16.123000000000001</v>
      </c>
      <c r="I9350" s="201"/>
      <c r="J9350" s="201"/>
    </row>
    <row r="9351" spans="1:10" s="15" customFormat="1" ht="28.5" hidden="1" customHeight="1" outlineLevel="1" x14ac:dyDescent="0.25">
      <c r="A9351" s="45">
        <v>35</v>
      </c>
      <c r="B9351" s="4" t="s">
        <v>43</v>
      </c>
      <c r="C9351" s="22" t="s">
        <v>1066</v>
      </c>
      <c r="D9351" s="18">
        <v>2021</v>
      </c>
      <c r="E9351" s="18"/>
      <c r="F9351" s="4">
        <v>1</v>
      </c>
      <c r="G9351" s="4">
        <v>10</v>
      </c>
      <c r="H9351" s="4">
        <v>19.364999999999998</v>
      </c>
      <c r="I9351" s="201"/>
      <c r="J9351" s="201"/>
    </row>
    <row r="9352" spans="1:10" s="15" customFormat="1" ht="28.5" hidden="1" customHeight="1" outlineLevel="1" x14ac:dyDescent="0.25">
      <c r="A9352" s="46">
        <v>10218</v>
      </c>
      <c r="B9352" s="4" t="s">
        <v>43</v>
      </c>
      <c r="C9352" s="22" t="s">
        <v>1067</v>
      </c>
      <c r="D9352" s="18">
        <v>2021</v>
      </c>
      <c r="E9352" s="18"/>
      <c r="F9352" s="4">
        <v>1</v>
      </c>
      <c r="G9352" s="4">
        <v>10</v>
      </c>
      <c r="H9352" s="4">
        <v>16.123999999999999</v>
      </c>
      <c r="I9352" s="201"/>
      <c r="J9352" s="201"/>
    </row>
    <row r="9353" spans="1:10" s="15" customFormat="1" ht="28.5" hidden="1" customHeight="1" outlineLevel="1" x14ac:dyDescent="0.25">
      <c r="A9353" s="46">
        <v>10249</v>
      </c>
      <c r="B9353" s="4" t="s">
        <v>43</v>
      </c>
      <c r="C9353" s="22" t="s">
        <v>1068</v>
      </c>
      <c r="D9353" s="18">
        <v>2021</v>
      </c>
      <c r="E9353" s="18"/>
      <c r="F9353" s="4">
        <v>1</v>
      </c>
      <c r="G9353" s="4">
        <v>6</v>
      </c>
      <c r="H9353" s="4">
        <v>16.068000000000001</v>
      </c>
      <c r="I9353" s="201"/>
      <c r="J9353" s="201"/>
    </row>
    <row r="9354" spans="1:10" s="15" customFormat="1" ht="28.5" hidden="1" customHeight="1" outlineLevel="1" x14ac:dyDescent="0.25">
      <c r="A9354" s="46">
        <v>10250</v>
      </c>
      <c r="B9354" s="4" t="s">
        <v>43</v>
      </c>
      <c r="C9354" s="22" t="s">
        <v>1069</v>
      </c>
      <c r="D9354" s="18">
        <v>2021</v>
      </c>
      <c r="E9354" s="18"/>
      <c r="F9354" s="4">
        <v>1</v>
      </c>
      <c r="G9354" s="4">
        <v>10</v>
      </c>
      <c r="H9354" s="4">
        <v>16.123000000000001</v>
      </c>
      <c r="I9354" s="201"/>
      <c r="J9354" s="201"/>
    </row>
    <row r="9355" spans="1:10" s="15" customFormat="1" ht="28.5" hidden="1" customHeight="1" outlineLevel="1" x14ac:dyDescent="0.25">
      <c r="A9355" s="18">
        <v>232</v>
      </c>
      <c r="B9355" s="4" t="s">
        <v>43</v>
      </c>
      <c r="C9355" s="22" t="s">
        <v>1070</v>
      </c>
      <c r="D9355" s="18">
        <v>2021</v>
      </c>
      <c r="E9355" s="18"/>
      <c r="F9355" s="4">
        <v>1</v>
      </c>
      <c r="G9355" s="4">
        <v>10</v>
      </c>
      <c r="H9355" s="4">
        <v>16.123000000000001</v>
      </c>
      <c r="I9355" s="201"/>
      <c r="J9355" s="201"/>
    </row>
    <row r="9356" spans="1:10" s="15" customFormat="1" ht="28.5" hidden="1" customHeight="1" outlineLevel="1" x14ac:dyDescent="0.25">
      <c r="A9356" s="45">
        <v>229</v>
      </c>
      <c r="B9356" s="4" t="s">
        <v>43</v>
      </c>
      <c r="C9356" s="22" t="s">
        <v>1071</v>
      </c>
      <c r="D9356" s="18">
        <v>2021</v>
      </c>
      <c r="E9356" s="18"/>
      <c r="F9356" s="4">
        <v>1</v>
      </c>
      <c r="G9356" s="4">
        <v>10</v>
      </c>
      <c r="H9356" s="4">
        <v>20.010000000000002</v>
      </c>
      <c r="I9356" s="201"/>
      <c r="J9356" s="201"/>
    </row>
    <row r="9357" spans="1:10" s="15" customFormat="1" ht="28.5" hidden="1" customHeight="1" outlineLevel="1" x14ac:dyDescent="0.25">
      <c r="A9357" s="46">
        <v>10164</v>
      </c>
      <c r="B9357" s="4" t="s">
        <v>43</v>
      </c>
      <c r="C9357" s="22" t="s">
        <v>1072</v>
      </c>
      <c r="D9357" s="18">
        <v>2021</v>
      </c>
      <c r="E9357" s="18"/>
      <c r="F9357" s="4">
        <v>1</v>
      </c>
      <c r="G9357" s="4">
        <v>10</v>
      </c>
      <c r="H9357" s="4">
        <v>19.149000000000001</v>
      </c>
      <c r="I9357" s="201"/>
      <c r="J9357" s="201"/>
    </row>
    <row r="9358" spans="1:10" s="15" customFormat="1" ht="28.5" hidden="1" customHeight="1" outlineLevel="1" x14ac:dyDescent="0.25">
      <c r="A9358" s="46">
        <v>10146</v>
      </c>
      <c r="B9358" s="4" t="s">
        <v>43</v>
      </c>
      <c r="C9358" s="22" t="s">
        <v>1073</v>
      </c>
      <c r="D9358" s="18">
        <v>2021</v>
      </c>
      <c r="E9358" s="18"/>
      <c r="F9358" s="4">
        <v>1</v>
      </c>
      <c r="G9358" s="4">
        <v>10</v>
      </c>
      <c r="H9358" s="4">
        <v>18.713999999999999</v>
      </c>
      <c r="I9358" s="201"/>
      <c r="J9358" s="201"/>
    </row>
    <row r="9359" spans="1:10" s="15" customFormat="1" ht="28.5" hidden="1" customHeight="1" outlineLevel="1" x14ac:dyDescent="0.25">
      <c r="A9359" s="46">
        <v>9241</v>
      </c>
      <c r="B9359" s="4" t="s">
        <v>43</v>
      </c>
      <c r="C9359" s="22" t="s">
        <v>1074</v>
      </c>
      <c r="D9359" s="18">
        <v>2021</v>
      </c>
      <c r="E9359" s="18"/>
      <c r="F9359" s="4">
        <v>1</v>
      </c>
      <c r="G9359" s="4">
        <v>10</v>
      </c>
      <c r="H9359" s="4">
        <v>15.29</v>
      </c>
      <c r="I9359" s="201"/>
      <c r="J9359" s="201"/>
    </row>
    <row r="9360" spans="1:10" s="15" customFormat="1" ht="28.5" hidden="1" customHeight="1" outlineLevel="1" x14ac:dyDescent="0.25">
      <c r="A9360" s="46">
        <v>10138</v>
      </c>
      <c r="B9360" s="4" t="s">
        <v>43</v>
      </c>
      <c r="C9360" s="22" t="s">
        <v>1075</v>
      </c>
      <c r="D9360" s="18">
        <v>2021</v>
      </c>
      <c r="E9360" s="18"/>
      <c r="F9360" s="4">
        <v>1</v>
      </c>
      <c r="G9360" s="4">
        <v>10</v>
      </c>
      <c r="H9360" s="4">
        <v>18.381</v>
      </c>
      <c r="I9360" s="201"/>
      <c r="J9360" s="201"/>
    </row>
    <row r="9361" spans="1:10" s="15" customFormat="1" ht="28.5" hidden="1" customHeight="1" outlineLevel="1" x14ac:dyDescent="0.25">
      <c r="A9361" s="46">
        <v>10163</v>
      </c>
      <c r="B9361" s="4" t="s">
        <v>43</v>
      </c>
      <c r="C9361" s="22" t="s">
        <v>1076</v>
      </c>
      <c r="D9361" s="18">
        <v>2021</v>
      </c>
      <c r="E9361" s="18"/>
      <c r="F9361" s="4">
        <v>1</v>
      </c>
      <c r="G9361" s="4">
        <v>10</v>
      </c>
      <c r="H9361" s="4">
        <v>15.644</v>
      </c>
      <c r="I9361" s="201"/>
      <c r="J9361" s="201"/>
    </row>
    <row r="9362" spans="1:10" s="15" customFormat="1" ht="28.5" hidden="1" customHeight="1" outlineLevel="1" x14ac:dyDescent="0.25">
      <c r="A9362" s="46">
        <v>10156</v>
      </c>
      <c r="B9362" s="4" t="s">
        <v>43</v>
      </c>
      <c r="C9362" s="22" t="s">
        <v>1077</v>
      </c>
      <c r="D9362" s="18">
        <v>2021</v>
      </c>
      <c r="E9362" s="18"/>
      <c r="F9362" s="4">
        <v>1</v>
      </c>
      <c r="G9362" s="4">
        <v>10</v>
      </c>
      <c r="H9362" s="4">
        <v>16.363</v>
      </c>
      <c r="I9362" s="201"/>
      <c r="J9362" s="201"/>
    </row>
    <row r="9363" spans="1:10" s="15" customFormat="1" ht="28.5" hidden="1" customHeight="1" outlineLevel="1" x14ac:dyDescent="0.25">
      <c r="A9363" s="46">
        <v>10182</v>
      </c>
      <c r="B9363" s="4" t="s">
        <v>43</v>
      </c>
      <c r="C9363" s="22" t="s">
        <v>1078</v>
      </c>
      <c r="D9363" s="18">
        <v>2021</v>
      </c>
      <c r="E9363" s="18"/>
      <c r="F9363" s="4">
        <v>1</v>
      </c>
      <c r="G9363" s="4">
        <v>10</v>
      </c>
      <c r="H9363" s="4">
        <v>15.644</v>
      </c>
      <c r="I9363" s="201"/>
      <c r="J9363" s="201"/>
    </row>
    <row r="9364" spans="1:10" s="15" customFormat="1" ht="28.5" hidden="1" customHeight="1" outlineLevel="1" x14ac:dyDescent="0.25">
      <c r="A9364" s="46">
        <v>10222</v>
      </c>
      <c r="B9364" s="4" t="s">
        <v>43</v>
      </c>
      <c r="C9364" s="22" t="s">
        <v>1079</v>
      </c>
      <c r="D9364" s="18">
        <v>2021</v>
      </c>
      <c r="E9364" s="18"/>
      <c r="F9364" s="4">
        <v>1</v>
      </c>
      <c r="G9364" s="4">
        <v>10</v>
      </c>
      <c r="H9364" s="4">
        <v>16.123000000000001</v>
      </c>
      <c r="I9364" s="201"/>
      <c r="J9364" s="201"/>
    </row>
    <row r="9365" spans="1:10" s="15" customFormat="1" ht="28.5" hidden="1" customHeight="1" outlineLevel="1" x14ac:dyDescent="0.25">
      <c r="A9365" s="46">
        <v>10153</v>
      </c>
      <c r="B9365" s="4" t="s">
        <v>43</v>
      </c>
      <c r="C9365" s="22" t="s">
        <v>1080</v>
      </c>
      <c r="D9365" s="18">
        <v>2021</v>
      </c>
      <c r="E9365" s="18"/>
      <c r="F9365" s="4">
        <v>1</v>
      </c>
      <c r="G9365" s="4">
        <v>5</v>
      </c>
      <c r="H9365" s="4">
        <v>15.644</v>
      </c>
      <c r="I9365" s="201"/>
      <c r="J9365" s="201"/>
    </row>
    <row r="9366" spans="1:10" s="15" customFormat="1" ht="28.5" hidden="1" customHeight="1" outlineLevel="1" x14ac:dyDescent="0.25">
      <c r="A9366" s="46">
        <v>10176</v>
      </c>
      <c r="B9366" s="4" t="s">
        <v>43</v>
      </c>
      <c r="C9366" s="22" t="s">
        <v>1081</v>
      </c>
      <c r="D9366" s="18">
        <v>2021</v>
      </c>
      <c r="E9366" s="18"/>
      <c r="F9366" s="4">
        <v>1</v>
      </c>
      <c r="G9366" s="4">
        <v>10</v>
      </c>
      <c r="H9366" s="4">
        <v>15.635</v>
      </c>
      <c r="I9366" s="201"/>
      <c r="J9366" s="201"/>
    </row>
    <row r="9367" spans="1:10" s="15" customFormat="1" ht="28.5" hidden="1" customHeight="1" outlineLevel="1" x14ac:dyDescent="0.25">
      <c r="A9367" s="46">
        <v>10211</v>
      </c>
      <c r="B9367" s="4" t="s">
        <v>43</v>
      </c>
      <c r="C9367" s="22" t="s">
        <v>1082</v>
      </c>
      <c r="D9367" s="18">
        <v>2021</v>
      </c>
      <c r="E9367" s="18"/>
      <c r="F9367" s="4">
        <v>1</v>
      </c>
      <c r="G9367" s="4">
        <v>6</v>
      </c>
      <c r="H9367" s="4">
        <v>15.635</v>
      </c>
      <c r="I9367" s="201"/>
      <c r="J9367" s="201"/>
    </row>
    <row r="9368" spans="1:10" s="15" customFormat="1" ht="28.5" hidden="1" customHeight="1" outlineLevel="1" x14ac:dyDescent="0.25">
      <c r="A9368" s="46">
        <v>10132</v>
      </c>
      <c r="B9368" s="4" t="s">
        <v>43</v>
      </c>
      <c r="C9368" s="22" t="s">
        <v>1083</v>
      </c>
      <c r="D9368" s="18">
        <v>2021</v>
      </c>
      <c r="E9368" s="18"/>
      <c r="F9368" s="4">
        <v>1</v>
      </c>
      <c r="G9368" s="4">
        <v>10</v>
      </c>
      <c r="H9368" s="4">
        <v>15.644</v>
      </c>
      <c r="I9368" s="201"/>
      <c r="J9368" s="201"/>
    </row>
    <row r="9369" spans="1:10" s="15" customFormat="1" ht="28.5" hidden="1" customHeight="1" outlineLevel="1" x14ac:dyDescent="0.25">
      <c r="A9369" s="46">
        <v>10119</v>
      </c>
      <c r="B9369" s="4" t="s">
        <v>43</v>
      </c>
      <c r="C9369" s="22" t="s">
        <v>1084</v>
      </c>
      <c r="D9369" s="18">
        <v>2021</v>
      </c>
      <c r="E9369" s="18"/>
      <c r="F9369" s="4">
        <v>1</v>
      </c>
      <c r="G9369" s="4">
        <v>10</v>
      </c>
      <c r="H9369" s="4">
        <v>18.125</v>
      </c>
      <c r="I9369" s="201"/>
      <c r="J9369" s="201"/>
    </row>
    <row r="9370" spans="1:10" s="15" customFormat="1" ht="28.5" hidden="1" customHeight="1" outlineLevel="1" x14ac:dyDescent="0.25">
      <c r="A9370" s="45">
        <v>836</v>
      </c>
      <c r="B9370" s="4" t="s">
        <v>43</v>
      </c>
      <c r="C9370" s="22" t="s">
        <v>255</v>
      </c>
      <c r="D9370" s="18">
        <v>2021</v>
      </c>
      <c r="E9370" s="18"/>
      <c r="F9370" s="4">
        <v>1</v>
      </c>
      <c r="G9370" s="4">
        <v>150</v>
      </c>
      <c r="H9370" s="4">
        <v>30.14</v>
      </c>
      <c r="I9370" s="201"/>
      <c r="J9370" s="201"/>
    </row>
    <row r="9371" spans="1:10" s="15" customFormat="1" ht="28.5" hidden="1" customHeight="1" outlineLevel="1" x14ac:dyDescent="0.25">
      <c r="A9371" s="46">
        <v>9146</v>
      </c>
      <c r="B9371" s="4" t="s">
        <v>43</v>
      </c>
      <c r="C9371" s="22" t="s">
        <v>1085</v>
      </c>
      <c r="D9371" s="18">
        <v>2021</v>
      </c>
      <c r="E9371" s="18"/>
      <c r="F9371" s="4">
        <v>1</v>
      </c>
      <c r="G9371" s="4" t="s">
        <v>366</v>
      </c>
      <c r="H9371" s="4">
        <v>74</v>
      </c>
      <c r="I9371" s="201"/>
      <c r="J9371" s="201"/>
    </row>
    <row r="9372" spans="1:10" s="15" customFormat="1" ht="28.5" hidden="1" customHeight="1" outlineLevel="1" x14ac:dyDescent="0.25">
      <c r="A9372" s="46">
        <v>9150</v>
      </c>
      <c r="B9372" s="4" t="s">
        <v>43</v>
      </c>
      <c r="C9372" s="22" t="s">
        <v>1086</v>
      </c>
      <c r="D9372" s="18">
        <v>2021</v>
      </c>
      <c r="E9372" s="18"/>
      <c r="F9372" s="4">
        <v>1</v>
      </c>
      <c r="G9372" s="4" t="s">
        <v>366</v>
      </c>
      <c r="H9372" s="4">
        <v>86</v>
      </c>
      <c r="I9372" s="201"/>
      <c r="J9372" s="201"/>
    </row>
    <row r="9373" spans="1:10" s="15" customFormat="1" ht="28.5" hidden="1" customHeight="1" outlineLevel="1" x14ac:dyDescent="0.25">
      <c r="A9373" s="46">
        <v>9151</v>
      </c>
      <c r="B9373" s="4" t="s">
        <v>43</v>
      </c>
      <c r="C9373" s="22" t="s">
        <v>1087</v>
      </c>
      <c r="D9373" s="18">
        <v>2021</v>
      </c>
      <c r="E9373" s="18"/>
      <c r="F9373" s="4">
        <v>1</v>
      </c>
      <c r="G9373" s="4" t="s">
        <v>366</v>
      </c>
      <c r="H9373" s="4">
        <v>85</v>
      </c>
      <c r="I9373" s="201"/>
      <c r="J9373" s="201"/>
    </row>
    <row r="9374" spans="1:10" s="15" customFormat="1" ht="28.5" hidden="1" customHeight="1" outlineLevel="1" x14ac:dyDescent="0.25">
      <c r="A9374" s="46">
        <v>9153</v>
      </c>
      <c r="B9374" s="4" t="s">
        <v>43</v>
      </c>
      <c r="C9374" s="22" t="s">
        <v>1088</v>
      </c>
      <c r="D9374" s="18">
        <v>2021</v>
      </c>
      <c r="E9374" s="18"/>
      <c r="F9374" s="4">
        <v>1</v>
      </c>
      <c r="G9374" s="4" t="s">
        <v>366</v>
      </c>
      <c r="H9374" s="4">
        <v>85</v>
      </c>
      <c r="I9374" s="201"/>
      <c r="J9374" s="201"/>
    </row>
    <row r="9375" spans="1:10" s="15" customFormat="1" ht="28.5" hidden="1" customHeight="1" outlineLevel="1" x14ac:dyDescent="0.25">
      <c r="A9375" s="46">
        <v>9961</v>
      </c>
      <c r="B9375" s="4" t="s">
        <v>43</v>
      </c>
      <c r="C9375" s="22" t="s">
        <v>1089</v>
      </c>
      <c r="D9375" s="18">
        <v>2021</v>
      </c>
      <c r="E9375" s="18"/>
      <c r="F9375" s="4">
        <v>1</v>
      </c>
      <c r="G9375" s="4" t="s">
        <v>358</v>
      </c>
      <c r="H9375" s="4">
        <v>99</v>
      </c>
      <c r="I9375" s="201"/>
      <c r="J9375" s="201"/>
    </row>
    <row r="9376" spans="1:10" s="15" customFormat="1" ht="28.5" hidden="1" customHeight="1" outlineLevel="1" x14ac:dyDescent="0.25">
      <c r="A9376" s="46">
        <v>9152</v>
      </c>
      <c r="B9376" s="4" t="s">
        <v>43</v>
      </c>
      <c r="C9376" s="22" t="s">
        <v>1090</v>
      </c>
      <c r="D9376" s="18">
        <v>2021</v>
      </c>
      <c r="E9376" s="18"/>
      <c r="F9376" s="4">
        <v>1</v>
      </c>
      <c r="G9376" s="4" t="s">
        <v>362</v>
      </c>
      <c r="H9376" s="4">
        <v>86</v>
      </c>
      <c r="I9376" s="201"/>
      <c r="J9376" s="201"/>
    </row>
    <row r="9377" spans="1:10" s="15" customFormat="1" ht="28.5" hidden="1" customHeight="1" outlineLevel="1" x14ac:dyDescent="0.25">
      <c r="A9377" s="46">
        <v>10034</v>
      </c>
      <c r="B9377" s="4" t="s">
        <v>43</v>
      </c>
      <c r="C9377" s="22" t="s">
        <v>1091</v>
      </c>
      <c r="D9377" s="18">
        <v>2021</v>
      </c>
      <c r="E9377" s="18"/>
      <c r="F9377" s="4">
        <v>1</v>
      </c>
      <c r="G9377" s="4" t="s">
        <v>362</v>
      </c>
      <c r="H9377" s="4">
        <v>81</v>
      </c>
      <c r="I9377" s="201"/>
      <c r="J9377" s="201"/>
    </row>
    <row r="9378" spans="1:10" s="15" customFormat="1" ht="28.5" hidden="1" customHeight="1" outlineLevel="1" x14ac:dyDescent="0.25">
      <c r="A9378" s="46">
        <v>9251</v>
      </c>
      <c r="B9378" s="4" t="s">
        <v>43</v>
      </c>
      <c r="C9378" s="22" t="s">
        <v>1092</v>
      </c>
      <c r="D9378" s="18">
        <v>2021</v>
      </c>
      <c r="E9378" s="18"/>
      <c r="F9378" s="4">
        <v>1</v>
      </c>
      <c r="G9378" s="4">
        <v>5</v>
      </c>
      <c r="H9378" s="4">
        <v>80</v>
      </c>
      <c r="I9378" s="201"/>
      <c r="J9378" s="201"/>
    </row>
    <row r="9379" spans="1:10" s="15" customFormat="1" ht="28.5" hidden="1" customHeight="1" outlineLevel="1" x14ac:dyDescent="0.25">
      <c r="A9379" s="46">
        <v>9155</v>
      </c>
      <c r="B9379" s="4" t="s">
        <v>43</v>
      </c>
      <c r="C9379" s="22" t="s">
        <v>1093</v>
      </c>
      <c r="D9379" s="18">
        <v>2021</v>
      </c>
      <c r="E9379" s="18"/>
      <c r="F9379" s="4">
        <v>4</v>
      </c>
      <c r="G9379" s="4">
        <v>4</v>
      </c>
      <c r="H9379" s="4">
        <v>116</v>
      </c>
      <c r="I9379" s="201"/>
      <c r="J9379" s="201"/>
    </row>
    <row r="9380" spans="1:10" s="15" customFormat="1" ht="28.5" hidden="1" customHeight="1" outlineLevel="1" x14ac:dyDescent="0.25">
      <c r="A9380" s="45">
        <v>318</v>
      </c>
      <c r="B9380" s="4" t="s">
        <v>43</v>
      </c>
      <c r="C9380" s="22" t="s">
        <v>1094</v>
      </c>
      <c r="D9380" s="18">
        <v>2021</v>
      </c>
      <c r="E9380" s="18"/>
      <c r="F9380" s="4">
        <v>2</v>
      </c>
      <c r="G9380" s="4">
        <v>10</v>
      </c>
      <c r="H9380" s="4">
        <v>99</v>
      </c>
      <c r="I9380" s="201"/>
      <c r="J9380" s="201"/>
    </row>
    <row r="9381" spans="1:10" s="15" customFormat="1" ht="28.5" hidden="1" customHeight="1" outlineLevel="1" x14ac:dyDescent="0.25">
      <c r="A9381" s="46">
        <v>9259</v>
      </c>
      <c r="B9381" s="4" t="s">
        <v>43</v>
      </c>
      <c r="C9381" s="22" t="s">
        <v>1095</v>
      </c>
      <c r="D9381" s="18">
        <v>2021</v>
      </c>
      <c r="E9381" s="18"/>
      <c r="F9381" s="4">
        <v>2</v>
      </c>
      <c r="G9381" s="4">
        <v>10</v>
      </c>
      <c r="H9381" s="4">
        <v>100</v>
      </c>
      <c r="I9381" s="201"/>
      <c r="J9381" s="201"/>
    </row>
    <row r="9382" spans="1:10" s="15" customFormat="1" ht="28.5" hidden="1" customHeight="1" outlineLevel="1" x14ac:dyDescent="0.25">
      <c r="A9382" s="46">
        <v>9154</v>
      </c>
      <c r="B9382" s="4" t="s">
        <v>43</v>
      </c>
      <c r="C9382" s="22" t="s">
        <v>1096</v>
      </c>
      <c r="D9382" s="18">
        <v>2021</v>
      </c>
      <c r="E9382" s="18"/>
      <c r="F9382" s="4">
        <v>1</v>
      </c>
      <c r="G9382" s="4" t="s">
        <v>366</v>
      </c>
      <c r="H9382" s="4">
        <v>78</v>
      </c>
      <c r="I9382" s="201"/>
      <c r="J9382" s="201"/>
    </row>
    <row r="9383" spans="1:10" s="15" customFormat="1" ht="28.5" hidden="1" customHeight="1" outlineLevel="1" x14ac:dyDescent="0.25">
      <c r="A9383" s="46">
        <v>9256</v>
      </c>
      <c r="B9383" s="4" t="s">
        <v>43</v>
      </c>
      <c r="C9383" s="22" t="s">
        <v>1097</v>
      </c>
      <c r="D9383" s="18">
        <v>2021</v>
      </c>
      <c r="E9383" s="18"/>
      <c r="F9383" s="4">
        <v>1</v>
      </c>
      <c r="G9383" s="4" t="s">
        <v>366</v>
      </c>
      <c r="H9383" s="4">
        <v>73</v>
      </c>
      <c r="I9383" s="201"/>
      <c r="J9383" s="201"/>
    </row>
    <row r="9384" spans="1:10" s="15" customFormat="1" ht="28.5" hidden="1" customHeight="1" outlineLevel="1" x14ac:dyDescent="0.25">
      <c r="A9384" s="46">
        <v>9260</v>
      </c>
      <c r="B9384" s="4" t="s">
        <v>43</v>
      </c>
      <c r="C9384" s="22" t="s">
        <v>1098</v>
      </c>
      <c r="D9384" s="18">
        <v>2021</v>
      </c>
      <c r="E9384" s="18"/>
      <c r="F9384" s="4">
        <v>1</v>
      </c>
      <c r="G9384" s="4" t="s">
        <v>1099</v>
      </c>
      <c r="H9384" s="4">
        <v>84</v>
      </c>
      <c r="I9384" s="201"/>
      <c r="J9384" s="201"/>
    </row>
    <row r="9385" spans="1:10" s="15" customFormat="1" ht="28.5" hidden="1" customHeight="1" outlineLevel="1" x14ac:dyDescent="0.25">
      <c r="A9385" s="46">
        <v>9689</v>
      </c>
      <c r="B9385" s="4" t="s">
        <v>43</v>
      </c>
      <c r="C9385" s="22" t="s">
        <v>401</v>
      </c>
      <c r="D9385" s="18">
        <v>2021</v>
      </c>
      <c r="E9385" s="18"/>
      <c r="F9385" s="4">
        <v>1</v>
      </c>
      <c r="G9385" s="4" t="s">
        <v>366</v>
      </c>
      <c r="H9385" s="4">
        <v>47</v>
      </c>
      <c r="I9385" s="201"/>
      <c r="J9385" s="201"/>
    </row>
    <row r="9386" spans="1:10" s="15" customFormat="1" ht="28.5" hidden="1" customHeight="1" outlineLevel="1" x14ac:dyDescent="0.25">
      <c r="A9386" s="46">
        <v>9138</v>
      </c>
      <c r="B9386" s="4" t="s">
        <v>43</v>
      </c>
      <c r="C9386" s="22" t="s">
        <v>1100</v>
      </c>
      <c r="D9386" s="18">
        <v>2021</v>
      </c>
      <c r="E9386" s="18"/>
      <c r="F9386" s="4">
        <v>1</v>
      </c>
      <c r="G9386" s="4" t="s">
        <v>366</v>
      </c>
      <c r="H9386" s="4">
        <v>34</v>
      </c>
      <c r="I9386" s="201"/>
      <c r="J9386" s="201"/>
    </row>
    <row r="9387" spans="1:10" s="15" customFormat="1" ht="28.5" hidden="1" customHeight="1" outlineLevel="1" x14ac:dyDescent="0.25">
      <c r="A9387" s="46">
        <v>9136</v>
      </c>
      <c r="B9387" s="4" t="s">
        <v>43</v>
      </c>
      <c r="C9387" s="22" t="s">
        <v>1101</v>
      </c>
      <c r="D9387" s="18">
        <v>2021</v>
      </c>
      <c r="E9387" s="18"/>
      <c r="F9387" s="4">
        <v>1</v>
      </c>
      <c r="G9387" s="4" t="s">
        <v>366</v>
      </c>
      <c r="H9387" s="4">
        <v>44</v>
      </c>
      <c r="I9387" s="201"/>
      <c r="J9387" s="201"/>
    </row>
    <row r="9388" spans="1:10" s="15" customFormat="1" ht="28.5" hidden="1" customHeight="1" outlineLevel="1" x14ac:dyDescent="0.25">
      <c r="A9388" s="46">
        <v>9141</v>
      </c>
      <c r="B9388" s="4" t="s">
        <v>43</v>
      </c>
      <c r="C9388" s="22" t="s">
        <v>1102</v>
      </c>
      <c r="D9388" s="18">
        <v>2021</v>
      </c>
      <c r="E9388" s="18"/>
      <c r="F9388" s="4">
        <v>1</v>
      </c>
      <c r="G9388" s="4" t="s">
        <v>366</v>
      </c>
      <c r="H9388" s="4">
        <v>32</v>
      </c>
      <c r="I9388" s="201"/>
      <c r="J9388" s="201"/>
    </row>
    <row r="9389" spans="1:10" s="15" customFormat="1" ht="28.5" hidden="1" customHeight="1" outlineLevel="1" x14ac:dyDescent="0.25">
      <c r="A9389" s="45">
        <v>1958</v>
      </c>
      <c r="B9389" s="4" t="s">
        <v>43</v>
      </c>
      <c r="C9389" s="22" t="s">
        <v>1103</v>
      </c>
      <c r="D9389" s="18">
        <v>2021</v>
      </c>
      <c r="E9389" s="18"/>
      <c r="F9389" s="4">
        <v>1</v>
      </c>
      <c r="G9389" s="4" t="s">
        <v>366</v>
      </c>
      <c r="H9389" s="4">
        <v>20</v>
      </c>
      <c r="I9389" s="201"/>
      <c r="J9389" s="201"/>
    </row>
    <row r="9390" spans="1:10" s="15" customFormat="1" ht="28.5" hidden="1" customHeight="1" outlineLevel="1" x14ac:dyDescent="0.25">
      <c r="A9390" s="45">
        <v>1980</v>
      </c>
      <c r="B9390" s="4" t="s">
        <v>43</v>
      </c>
      <c r="C9390" s="22" t="s">
        <v>1104</v>
      </c>
      <c r="D9390" s="18">
        <v>2021</v>
      </c>
      <c r="E9390" s="18"/>
      <c r="F9390" s="4">
        <v>1</v>
      </c>
      <c r="G9390" s="4" t="s">
        <v>366</v>
      </c>
      <c r="H9390" s="4">
        <v>20</v>
      </c>
      <c r="I9390" s="201"/>
      <c r="J9390" s="201"/>
    </row>
    <row r="9391" spans="1:10" s="15" customFormat="1" ht="28.5" hidden="1" customHeight="1" outlineLevel="1" x14ac:dyDescent="0.25">
      <c r="A9391" s="46">
        <v>10049</v>
      </c>
      <c r="B9391" s="4" t="s">
        <v>43</v>
      </c>
      <c r="C9391" s="22" t="s">
        <v>1105</v>
      </c>
      <c r="D9391" s="18">
        <v>2021</v>
      </c>
      <c r="E9391" s="18"/>
      <c r="F9391" s="4">
        <v>1</v>
      </c>
      <c r="G9391" s="4" t="s">
        <v>366</v>
      </c>
      <c r="H9391" s="4">
        <v>19</v>
      </c>
      <c r="I9391" s="201"/>
      <c r="J9391" s="201"/>
    </row>
    <row r="9392" spans="1:10" s="15" customFormat="1" ht="28.5" hidden="1" customHeight="1" outlineLevel="1" x14ac:dyDescent="0.25">
      <c r="A9392" s="45">
        <v>2005</v>
      </c>
      <c r="B9392" s="4" t="s">
        <v>43</v>
      </c>
      <c r="C9392" s="22" t="s">
        <v>1106</v>
      </c>
      <c r="D9392" s="18">
        <v>2021</v>
      </c>
      <c r="E9392" s="18"/>
      <c r="F9392" s="4">
        <v>1</v>
      </c>
      <c r="G9392" s="4" t="s">
        <v>366</v>
      </c>
      <c r="H9392" s="4">
        <v>18</v>
      </c>
      <c r="I9392" s="201"/>
      <c r="J9392" s="201"/>
    </row>
    <row r="9393" spans="1:10" s="15" customFormat="1" ht="28.5" hidden="1" customHeight="1" outlineLevel="1" x14ac:dyDescent="0.25">
      <c r="A9393" s="46">
        <v>9148</v>
      </c>
      <c r="B9393" s="4" t="s">
        <v>43</v>
      </c>
      <c r="C9393" s="22" t="s">
        <v>1107</v>
      </c>
      <c r="D9393" s="18">
        <v>2021</v>
      </c>
      <c r="E9393" s="18"/>
      <c r="F9393" s="4">
        <v>1</v>
      </c>
      <c r="G9393" s="4" t="s">
        <v>366</v>
      </c>
      <c r="H9393" s="4">
        <v>69</v>
      </c>
      <c r="I9393" s="201"/>
      <c r="J9393" s="201"/>
    </row>
    <row r="9394" spans="1:10" s="15" customFormat="1" ht="28.5" hidden="1" customHeight="1" outlineLevel="1" x14ac:dyDescent="0.25">
      <c r="A9394" s="46">
        <v>9156</v>
      </c>
      <c r="B9394" s="4" t="s">
        <v>43</v>
      </c>
      <c r="C9394" s="22" t="s">
        <v>1108</v>
      </c>
      <c r="D9394" s="18">
        <v>2021</v>
      </c>
      <c r="E9394" s="18"/>
      <c r="F9394" s="4">
        <v>1</v>
      </c>
      <c r="G9394" s="4" t="s">
        <v>1109</v>
      </c>
      <c r="H9394" s="4">
        <v>48</v>
      </c>
      <c r="I9394" s="201"/>
      <c r="J9394" s="201"/>
    </row>
    <row r="9395" spans="1:10" s="15" customFormat="1" ht="28.5" hidden="1" customHeight="1" outlineLevel="1" x14ac:dyDescent="0.25">
      <c r="A9395" s="46">
        <v>9147</v>
      </c>
      <c r="B9395" s="4" t="s">
        <v>43</v>
      </c>
      <c r="C9395" s="22" t="s">
        <v>1110</v>
      </c>
      <c r="D9395" s="18">
        <v>2021</v>
      </c>
      <c r="E9395" s="18"/>
      <c r="F9395" s="4">
        <v>1</v>
      </c>
      <c r="G9395" s="4" t="s">
        <v>1109</v>
      </c>
      <c r="H9395" s="4">
        <v>48</v>
      </c>
      <c r="I9395" s="201"/>
      <c r="J9395" s="201"/>
    </row>
    <row r="9396" spans="1:10" s="15" customFormat="1" ht="28.5" hidden="1" customHeight="1" outlineLevel="1" x14ac:dyDescent="0.25">
      <c r="A9396" s="46">
        <v>10044</v>
      </c>
      <c r="B9396" s="4" t="s">
        <v>43</v>
      </c>
      <c r="C9396" s="22" t="s">
        <v>1111</v>
      </c>
      <c r="D9396" s="18">
        <v>2021</v>
      </c>
      <c r="E9396" s="18"/>
      <c r="F9396" s="4">
        <v>1</v>
      </c>
      <c r="G9396" s="4" t="s">
        <v>366</v>
      </c>
      <c r="H9396" s="4">
        <v>57</v>
      </c>
      <c r="I9396" s="201"/>
      <c r="J9396" s="201"/>
    </row>
    <row r="9397" spans="1:10" s="15" customFormat="1" ht="28.5" hidden="1" customHeight="1" outlineLevel="1" x14ac:dyDescent="0.25">
      <c r="A9397" s="46">
        <v>10042</v>
      </c>
      <c r="B9397" s="4" t="s">
        <v>43</v>
      </c>
      <c r="C9397" s="22" t="s">
        <v>1112</v>
      </c>
      <c r="D9397" s="18">
        <v>2021</v>
      </c>
      <c r="E9397" s="18"/>
      <c r="F9397" s="4">
        <v>1</v>
      </c>
      <c r="G9397" s="4" t="s">
        <v>366</v>
      </c>
      <c r="H9397" s="4">
        <v>55</v>
      </c>
      <c r="I9397" s="201"/>
      <c r="J9397" s="201"/>
    </row>
    <row r="9398" spans="1:10" s="15" customFormat="1" ht="28.5" hidden="1" customHeight="1" outlineLevel="1" x14ac:dyDescent="0.25">
      <c r="A9398" s="46">
        <v>9960</v>
      </c>
      <c r="B9398" s="4" t="s">
        <v>43</v>
      </c>
      <c r="C9398" s="22" t="s">
        <v>1113</v>
      </c>
      <c r="D9398" s="18">
        <v>2021</v>
      </c>
      <c r="E9398" s="18"/>
      <c r="F9398" s="4">
        <v>1</v>
      </c>
      <c r="G9398" s="4" t="s">
        <v>366</v>
      </c>
      <c r="H9398" s="4">
        <v>52</v>
      </c>
      <c r="I9398" s="201"/>
      <c r="J9398" s="201"/>
    </row>
    <row r="9399" spans="1:10" s="15" customFormat="1" ht="28.5" hidden="1" customHeight="1" outlineLevel="1" x14ac:dyDescent="0.25">
      <c r="A9399" s="45">
        <v>1991</v>
      </c>
      <c r="B9399" s="4" t="s">
        <v>43</v>
      </c>
      <c r="C9399" s="22" t="s">
        <v>1114</v>
      </c>
      <c r="D9399" s="18">
        <v>2021</v>
      </c>
      <c r="E9399" s="18"/>
      <c r="F9399" s="4">
        <v>1</v>
      </c>
      <c r="G9399" s="4" t="s">
        <v>366</v>
      </c>
      <c r="H9399" s="4">
        <v>51</v>
      </c>
      <c r="I9399" s="201"/>
      <c r="J9399" s="201"/>
    </row>
    <row r="9400" spans="1:10" s="15" customFormat="1" ht="28.5" hidden="1" customHeight="1" outlineLevel="1" x14ac:dyDescent="0.25">
      <c r="A9400" s="46">
        <v>9708</v>
      </c>
      <c r="B9400" s="4" t="s">
        <v>43</v>
      </c>
      <c r="C9400" s="22" t="s">
        <v>415</v>
      </c>
      <c r="D9400" s="18">
        <v>2021</v>
      </c>
      <c r="E9400" s="18"/>
      <c r="F9400" s="4">
        <v>1</v>
      </c>
      <c r="G9400" s="4" t="s">
        <v>366</v>
      </c>
      <c r="H9400" s="4">
        <v>42</v>
      </c>
      <c r="I9400" s="201"/>
      <c r="J9400" s="201"/>
    </row>
    <row r="9401" spans="1:10" s="15" customFormat="1" ht="28.5" hidden="1" customHeight="1" outlineLevel="1" x14ac:dyDescent="0.25">
      <c r="A9401" s="45">
        <v>286</v>
      </c>
      <c r="B9401" s="4" t="s">
        <v>43</v>
      </c>
      <c r="C9401" s="22" t="s">
        <v>1115</v>
      </c>
      <c r="D9401" s="18">
        <v>2021</v>
      </c>
      <c r="E9401" s="18"/>
      <c r="F9401" s="4">
        <v>1</v>
      </c>
      <c r="G9401" s="4" t="s">
        <v>366</v>
      </c>
      <c r="H9401" s="4">
        <v>47</v>
      </c>
      <c r="I9401" s="201"/>
      <c r="J9401" s="201"/>
    </row>
    <row r="9402" spans="1:10" s="15" customFormat="1" ht="28.5" hidden="1" customHeight="1" outlineLevel="1" x14ac:dyDescent="0.25">
      <c r="A9402" s="46">
        <v>10026</v>
      </c>
      <c r="B9402" s="4" t="s">
        <v>43</v>
      </c>
      <c r="C9402" s="22" t="s">
        <v>1116</v>
      </c>
      <c r="D9402" s="18">
        <v>2021</v>
      </c>
      <c r="E9402" s="18"/>
      <c r="F9402" s="4">
        <v>1</v>
      </c>
      <c r="G9402" s="4" t="s">
        <v>366</v>
      </c>
      <c r="H9402" s="4">
        <v>60</v>
      </c>
      <c r="I9402" s="201"/>
      <c r="J9402" s="201"/>
    </row>
    <row r="9403" spans="1:10" s="15" customFormat="1" ht="28.5" hidden="1" customHeight="1" outlineLevel="1" x14ac:dyDescent="0.25">
      <c r="A9403" s="46">
        <v>10039</v>
      </c>
      <c r="B9403" s="4" t="s">
        <v>43</v>
      </c>
      <c r="C9403" s="22" t="s">
        <v>1117</v>
      </c>
      <c r="D9403" s="18">
        <v>2021</v>
      </c>
      <c r="E9403" s="18"/>
      <c r="F9403" s="4">
        <v>1</v>
      </c>
      <c r="G9403" s="4" t="s">
        <v>366</v>
      </c>
      <c r="H9403" s="4">
        <v>62</v>
      </c>
      <c r="I9403" s="201"/>
      <c r="J9403" s="201"/>
    </row>
    <row r="9404" spans="1:10" s="15" customFormat="1" ht="28.5" hidden="1" customHeight="1" outlineLevel="1" x14ac:dyDescent="0.25">
      <c r="A9404" s="46">
        <v>9172</v>
      </c>
      <c r="B9404" s="4" t="s">
        <v>43</v>
      </c>
      <c r="C9404" s="22" t="s">
        <v>1118</v>
      </c>
      <c r="D9404" s="18">
        <v>2021</v>
      </c>
      <c r="E9404" s="18"/>
      <c r="F9404" s="4">
        <v>1</v>
      </c>
      <c r="G9404" s="4">
        <v>5</v>
      </c>
      <c r="H9404" s="4">
        <v>49.93</v>
      </c>
      <c r="I9404" s="201"/>
      <c r="J9404" s="201"/>
    </row>
    <row r="9405" spans="1:10" s="15" customFormat="1" ht="28.5" hidden="1" customHeight="1" outlineLevel="1" x14ac:dyDescent="0.25">
      <c r="A9405" s="46">
        <v>9163</v>
      </c>
      <c r="B9405" s="4" t="s">
        <v>43</v>
      </c>
      <c r="C9405" s="22" t="s">
        <v>1119</v>
      </c>
      <c r="D9405" s="18">
        <v>2021</v>
      </c>
      <c r="E9405" s="18"/>
      <c r="F9405" s="4">
        <v>1</v>
      </c>
      <c r="G9405" s="4">
        <v>5</v>
      </c>
      <c r="H9405" s="4">
        <v>75.47</v>
      </c>
      <c r="I9405" s="201"/>
      <c r="J9405" s="201"/>
    </row>
    <row r="9406" spans="1:10" s="15" customFormat="1" ht="28.5" hidden="1" customHeight="1" outlineLevel="1" x14ac:dyDescent="0.25">
      <c r="A9406" s="46">
        <v>9174</v>
      </c>
      <c r="B9406" s="4" t="s">
        <v>43</v>
      </c>
      <c r="C9406" s="22" t="s">
        <v>1120</v>
      </c>
      <c r="D9406" s="18">
        <v>2021</v>
      </c>
      <c r="E9406" s="18"/>
      <c r="F9406" s="4">
        <v>1</v>
      </c>
      <c r="G9406" s="4">
        <v>10</v>
      </c>
      <c r="H9406" s="4">
        <v>67.096000000000004</v>
      </c>
      <c r="I9406" s="201"/>
      <c r="J9406" s="201"/>
    </row>
    <row r="9407" spans="1:10" s="15" customFormat="1" ht="28.5" hidden="1" customHeight="1" outlineLevel="1" x14ac:dyDescent="0.25">
      <c r="A9407" s="46">
        <v>9164</v>
      </c>
      <c r="B9407" s="4" t="s">
        <v>43</v>
      </c>
      <c r="C9407" s="22" t="s">
        <v>1121</v>
      </c>
      <c r="D9407" s="18">
        <v>2021</v>
      </c>
      <c r="E9407" s="18"/>
      <c r="F9407" s="4">
        <v>1</v>
      </c>
      <c r="G9407" s="4">
        <v>15</v>
      </c>
      <c r="H9407" s="4">
        <v>88.456000000000003</v>
      </c>
      <c r="I9407" s="201"/>
      <c r="J9407" s="201"/>
    </row>
    <row r="9408" spans="1:10" s="15" customFormat="1" ht="28.5" hidden="1" customHeight="1" outlineLevel="1" x14ac:dyDescent="0.25">
      <c r="A9408" s="46">
        <v>9165</v>
      </c>
      <c r="B9408" s="4" t="s">
        <v>43</v>
      </c>
      <c r="C9408" s="22" t="s">
        <v>1122</v>
      </c>
      <c r="D9408" s="18">
        <v>2021</v>
      </c>
      <c r="E9408" s="18"/>
      <c r="F9408" s="4">
        <v>1</v>
      </c>
      <c r="G9408" s="4">
        <v>10</v>
      </c>
      <c r="H9408" s="4">
        <v>83.950999999999993</v>
      </c>
      <c r="I9408" s="201"/>
      <c r="J9408" s="201"/>
    </row>
    <row r="9409" spans="1:10" s="15" customFormat="1" ht="28.5" hidden="1" customHeight="1" outlineLevel="1" x14ac:dyDescent="0.25">
      <c r="A9409" s="46">
        <v>9198</v>
      </c>
      <c r="B9409" s="4" t="s">
        <v>43</v>
      </c>
      <c r="C9409" s="22" t="s">
        <v>1123</v>
      </c>
      <c r="D9409" s="18">
        <v>2021</v>
      </c>
      <c r="E9409" s="18"/>
      <c r="F9409" s="4">
        <v>1</v>
      </c>
      <c r="G9409" s="4">
        <v>10</v>
      </c>
      <c r="H9409" s="4">
        <v>59.514000000000003</v>
      </c>
      <c r="I9409" s="201"/>
      <c r="J9409" s="201"/>
    </row>
    <row r="9410" spans="1:10" s="15" customFormat="1" ht="28.5" hidden="1" customHeight="1" outlineLevel="1" x14ac:dyDescent="0.25">
      <c r="A9410" s="46">
        <v>9173</v>
      </c>
      <c r="B9410" s="4" t="s">
        <v>43</v>
      </c>
      <c r="C9410" s="22" t="s">
        <v>1124</v>
      </c>
      <c r="D9410" s="18">
        <v>2021</v>
      </c>
      <c r="E9410" s="18"/>
      <c r="F9410" s="4">
        <v>1</v>
      </c>
      <c r="G9410" s="4">
        <v>10</v>
      </c>
      <c r="H9410" s="4">
        <v>60.613</v>
      </c>
      <c r="I9410" s="201"/>
      <c r="J9410" s="201"/>
    </row>
    <row r="9411" spans="1:10" s="15" customFormat="1" ht="28.5" hidden="1" customHeight="1" outlineLevel="1" x14ac:dyDescent="0.25">
      <c r="A9411" s="46">
        <v>9175</v>
      </c>
      <c r="B9411" s="4" t="s">
        <v>43</v>
      </c>
      <c r="C9411" s="22" t="s">
        <v>1125</v>
      </c>
      <c r="D9411" s="18">
        <v>2021</v>
      </c>
      <c r="E9411" s="18"/>
      <c r="F9411" s="4">
        <v>1</v>
      </c>
      <c r="G9411" s="4">
        <v>5</v>
      </c>
      <c r="H9411" s="4">
        <v>61.94</v>
      </c>
      <c r="I9411" s="201"/>
      <c r="J9411" s="201"/>
    </row>
    <row r="9412" spans="1:10" s="15" customFormat="1" ht="28.5" hidden="1" customHeight="1" outlineLevel="1" x14ac:dyDescent="0.25">
      <c r="A9412" s="46">
        <v>9170</v>
      </c>
      <c r="B9412" s="4" t="s">
        <v>43</v>
      </c>
      <c r="C9412" s="22" t="s">
        <v>1126</v>
      </c>
      <c r="D9412" s="18">
        <v>2021</v>
      </c>
      <c r="E9412" s="18"/>
      <c r="F9412" s="4">
        <v>1</v>
      </c>
      <c r="G9412" s="4">
        <v>5</v>
      </c>
      <c r="H9412" s="4">
        <v>75.557000000000002</v>
      </c>
      <c r="I9412" s="201"/>
      <c r="J9412" s="201"/>
    </row>
    <row r="9413" spans="1:10" s="15" customFormat="1" ht="28.5" hidden="1" customHeight="1" outlineLevel="1" x14ac:dyDescent="0.25">
      <c r="A9413" s="46">
        <v>9012</v>
      </c>
      <c r="B9413" s="4" t="s">
        <v>43</v>
      </c>
      <c r="C9413" s="22" t="s">
        <v>1127</v>
      </c>
      <c r="D9413" s="18">
        <v>2021</v>
      </c>
      <c r="E9413" s="18"/>
      <c r="F9413" s="4">
        <v>1</v>
      </c>
      <c r="G9413" s="4">
        <v>29</v>
      </c>
      <c r="H9413" s="4">
        <v>66.903999999999996</v>
      </c>
      <c r="I9413" s="201"/>
      <c r="J9413" s="201"/>
    </row>
    <row r="9414" spans="1:10" s="15" customFormat="1" ht="28.5" hidden="1" customHeight="1" outlineLevel="1" x14ac:dyDescent="0.25">
      <c r="A9414" s="46">
        <v>9177</v>
      </c>
      <c r="B9414" s="4" t="s">
        <v>43</v>
      </c>
      <c r="C9414" s="22" t="s">
        <v>1128</v>
      </c>
      <c r="D9414" s="18">
        <v>2021</v>
      </c>
      <c r="E9414" s="18"/>
      <c r="F9414" s="4">
        <v>1</v>
      </c>
      <c r="G9414" s="4">
        <v>10</v>
      </c>
      <c r="H9414" s="4">
        <v>65.692999999999998</v>
      </c>
      <c r="I9414" s="201"/>
      <c r="J9414" s="201"/>
    </row>
    <row r="9415" spans="1:10" s="15" customFormat="1" ht="28.5" hidden="1" customHeight="1" outlineLevel="1" x14ac:dyDescent="0.25">
      <c r="A9415" s="45">
        <v>1927</v>
      </c>
      <c r="B9415" s="4" t="s">
        <v>43</v>
      </c>
      <c r="C9415" s="22" t="s">
        <v>1129</v>
      </c>
      <c r="D9415" s="18">
        <v>2021</v>
      </c>
      <c r="E9415" s="18"/>
      <c r="F9415" s="4">
        <v>1</v>
      </c>
      <c r="G9415" s="4">
        <v>15</v>
      </c>
      <c r="H9415" s="4">
        <v>69.911000000000001</v>
      </c>
      <c r="I9415" s="201"/>
      <c r="J9415" s="201"/>
    </row>
    <row r="9416" spans="1:10" s="15" customFormat="1" ht="28.5" hidden="1" customHeight="1" outlineLevel="1" x14ac:dyDescent="0.25">
      <c r="A9416" s="46">
        <v>9169</v>
      </c>
      <c r="B9416" s="4" t="s">
        <v>43</v>
      </c>
      <c r="C9416" s="22" t="s">
        <v>1130</v>
      </c>
      <c r="D9416" s="18">
        <v>2021</v>
      </c>
      <c r="E9416" s="18"/>
      <c r="F9416" s="4">
        <v>1</v>
      </c>
      <c r="G9416" s="4">
        <v>9</v>
      </c>
      <c r="H9416" s="4">
        <v>41.670999999999999</v>
      </c>
      <c r="I9416" s="201"/>
      <c r="J9416" s="201"/>
    </row>
    <row r="9417" spans="1:10" s="15" customFormat="1" ht="28.5" hidden="1" customHeight="1" outlineLevel="1" x14ac:dyDescent="0.25">
      <c r="A9417" s="46">
        <v>10011</v>
      </c>
      <c r="B9417" s="4" t="s">
        <v>43</v>
      </c>
      <c r="C9417" s="22" t="s">
        <v>1131</v>
      </c>
      <c r="D9417" s="18">
        <v>2021</v>
      </c>
      <c r="E9417" s="18"/>
      <c r="F9417" s="4">
        <v>1</v>
      </c>
      <c r="G9417" s="4">
        <v>10</v>
      </c>
      <c r="H9417" s="4">
        <v>64.241</v>
      </c>
      <c r="I9417" s="201"/>
      <c r="J9417" s="201"/>
    </row>
    <row r="9418" spans="1:10" s="15" customFormat="1" ht="28.5" hidden="1" customHeight="1" outlineLevel="1" x14ac:dyDescent="0.25">
      <c r="A9418" s="46">
        <v>9514</v>
      </c>
      <c r="B9418" s="4" t="s">
        <v>43</v>
      </c>
      <c r="C9418" s="22" t="s">
        <v>823</v>
      </c>
      <c r="D9418" s="18">
        <v>2021</v>
      </c>
      <c r="E9418" s="18"/>
      <c r="F9418" s="4">
        <v>3</v>
      </c>
      <c r="G9418" s="4">
        <v>280</v>
      </c>
      <c r="H9418" s="4">
        <v>95.960999999999999</v>
      </c>
      <c r="I9418" s="201"/>
      <c r="J9418" s="201"/>
    </row>
    <row r="9419" spans="1:10" s="15" customFormat="1" ht="28.5" hidden="1" customHeight="1" outlineLevel="1" x14ac:dyDescent="0.25">
      <c r="A9419" s="46">
        <v>9161</v>
      </c>
      <c r="B9419" s="4" t="s">
        <v>43</v>
      </c>
      <c r="C9419" s="22" t="s">
        <v>1132</v>
      </c>
      <c r="D9419" s="18">
        <v>2021</v>
      </c>
      <c r="E9419" s="18"/>
      <c r="F9419" s="4">
        <v>1</v>
      </c>
      <c r="G9419" s="4">
        <v>5</v>
      </c>
      <c r="H9419" s="4">
        <v>76.430999999999997</v>
      </c>
      <c r="I9419" s="201"/>
      <c r="J9419" s="201"/>
    </row>
    <row r="9420" spans="1:10" s="15" customFormat="1" ht="28.5" hidden="1" customHeight="1" outlineLevel="1" x14ac:dyDescent="0.25">
      <c r="A9420" s="46">
        <v>9166</v>
      </c>
      <c r="B9420" s="4" t="s">
        <v>43</v>
      </c>
      <c r="C9420" s="22" t="s">
        <v>1133</v>
      </c>
      <c r="D9420" s="18">
        <v>2021</v>
      </c>
      <c r="E9420" s="18"/>
      <c r="F9420" s="4">
        <v>1</v>
      </c>
      <c r="G9420" s="4">
        <v>5</v>
      </c>
      <c r="H9420" s="4">
        <v>62.887</v>
      </c>
      <c r="I9420" s="201"/>
      <c r="J9420" s="201"/>
    </row>
    <row r="9421" spans="1:10" s="15" customFormat="1" ht="28.5" hidden="1" customHeight="1" outlineLevel="1" x14ac:dyDescent="0.25">
      <c r="A9421" s="46">
        <v>9167</v>
      </c>
      <c r="B9421" s="4" t="s">
        <v>43</v>
      </c>
      <c r="C9421" s="22" t="s">
        <v>1134</v>
      </c>
      <c r="D9421" s="18">
        <v>2021</v>
      </c>
      <c r="E9421" s="18"/>
      <c r="F9421" s="4">
        <v>1</v>
      </c>
      <c r="G9421" s="4">
        <v>7</v>
      </c>
      <c r="H9421" s="4">
        <v>72.355999999999995</v>
      </c>
      <c r="I9421" s="201"/>
      <c r="J9421" s="201"/>
    </row>
    <row r="9422" spans="1:10" s="15" customFormat="1" ht="28.5" hidden="1" customHeight="1" outlineLevel="1" x14ac:dyDescent="0.25">
      <c r="A9422" s="46">
        <v>9168</v>
      </c>
      <c r="B9422" s="4" t="s">
        <v>43</v>
      </c>
      <c r="C9422" s="22" t="s">
        <v>1135</v>
      </c>
      <c r="D9422" s="18">
        <v>2021</v>
      </c>
      <c r="E9422" s="18"/>
      <c r="F9422" s="4">
        <v>1</v>
      </c>
      <c r="G9422" s="4">
        <v>15</v>
      </c>
      <c r="H9422" s="4">
        <v>75.694000000000003</v>
      </c>
      <c r="I9422" s="201"/>
      <c r="J9422" s="201"/>
    </row>
    <row r="9423" spans="1:10" s="15" customFormat="1" ht="28.5" hidden="1" customHeight="1" outlineLevel="1" x14ac:dyDescent="0.25">
      <c r="A9423" s="46">
        <v>9171</v>
      </c>
      <c r="B9423" s="4" t="s">
        <v>43</v>
      </c>
      <c r="C9423" s="22" t="s">
        <v>1136</v>
      </c>
      <c r="D9423" s="18">
        <v>2021</v>
      </c>
      <c r="E9423" s="18"/>
      <c r="F9423" s="4">
        <v>1</v>
      </c>
      <c r="G9423" s="4">
        <v>5</v>
      </c>
      <c r="H9423" s="4">
        <v>74.897999999999996</v>
      </c>
      <c r="I9423" s="201"/>
      <c r="J9423" s="201"/>
    </row>
    <row r="9424" spans="1:10" s="15" customFormat="1" ht="28.5" hidden="1" customHeight="1" outlineLevel="1" x14ac:dyDescent="0.25">
      <c r="A9424" s="46">
        <v>9162</v>
      </c>
      <c r="B9424" s="4" t="s">
        <v>43</v>
      </c>
      <c r="C9424" s="22" t="s">
        <v>1137</v>
      </c>
      <c r="D9424" s="18">
        <v>2021</v>
      </c>
      <c r="E9424" s="18"/>
      <c r="F9424" s="4">
        <v>1</v>
      </c>
      <c r="G9424" s="4">
        <v>10</v>
      </c>
      <c r="H9424" s="4">
        <v>81.792000000000002</v>
      </c>
      <c r="I9424" s="201"/>
      <c r="J9424" s="201"/>
    </row>
    <row r="9425" spans="1:10" s="15" customFormat="1" ht="28.5" hidden="1" customHeight="1" outlineLevel="1" x14ac:dyDescent="0.25">
      <c r="A9425" s="46">
        <v>9176</v>
      </c>
      <c r="B9425" s="4" t="s">
        <v>43</v>
      </c>
      <c r="C9425" s="22" t="s">
        <v>1138</v>
      </c>
      <c r="D9425" s="18">
        <v>2021</v>
      </c>
      <c r="E9425" s="18"/>
      <c r="F9425" s="4">
        <v>1</v>
      </c>
      <c r="G9425" s="4">
        <v>5</v>
      </c>
      <c r="H9425" s="4">
        <v>83.328999999999994</v>
      </c>
      <c r="I9425" s="201"/>
      <c r="J9425" s="201"/>
    </row>
    <row r="9426" spans="1:10" s="15" customFormat="1" ht="28.5" hidden="1" customHeight="1" outlineLevel="1" x14ac:dyDescent="0.25">
      <c r="A9426" s="46">
        <v>10276</v>
      </c>
      <c r="B9426" s="4" t="s">
        <v>43</v>
      </c>
      <c r="C9426" s="22" t="s">
        <v>1139</v>
      </c>
      <c r="D9426" s="18">
        <v>2021</v>
      </c>
      <c r="E9426" s="18"/>
      <c r="F9426" s="4">
        <v>1</v>
      </c>
      <c r="G9426" s="4">
        <v>5</v>
      </c>
      <c r="H9426" s="4">
        <v>82.375</v>
      </c>
      <c r="I9426" s="201"/>
      <c r="J9426" s="201"/>
    </row>
    <row r="9427" spans="1:10" s="15" customFormat="1" ht="28.5" hidden="1" customHeight="1" outlineLevel="1" x14ac:dyDescent="0.25">
      <c r="A9427" s="46">
        <v>10264</v>
      </c>
      <c r="B9427" s="4" t="s">
        <v>43</v>
      </c>
      <c r="C9427" s="22" t="s">
        <v>1140</v>
      </c>
      <c r="D9427" s="18">
        <v>2021</v>
      </c>
      <c r="E9427" s="18"/>
      <c r="F9427" s="4">
        <v>1</v>
      </c>
      <c r="G9427" s="4">
        <v>7</v>
      </c>
      <c r="H9427" s="4">
        <v>27.082999999999998</v>
      </c>
      <c r="I9427" s="201"/>
      <c r="J9427" s="201"/>
    </row>
    <row r="9428" spans="1:10" s="15" customFormat="1" ht="28.5" hidden="1" customHeight="1" outlineLevel="1" x14ac:dyDescent="0.25">
      <c r="A9428" s="45">
        <v>2153</v>
      </c>
      <c r="B9428" s="4" t="s">
        <v>43</v>
      </c>
      <c r="C9428" s="22" t="s">
        <v>1141</v>
      </c>
      <c r="D9428" s="18">
        <v>2021</v>
      </c>
      <c r="E9428" s="18"/>
      <c r="F9428" s="4">
        <v>1</v>
      </c>
      <c r="G9428" s="4">
        <v>15</v>
      </c>
      <c r="H9428" s="4">
        <v>40.110999999999997</v>
      </c>
      <c r="I9428" s="201"/>
      <c r="J9428" s="201"/>
    </row>
    <row r="9429" spans="1:10" s="15" customFormat="1" ht="28.5" hidden="1" customHeight="1" outlineLevel="1" x14ac:dyDescent="0.25">
      <c r="A9429" s="46">
        <v>10272</v>
      </c>
      <c r="B9429" s="4" t="s">
        <v>43</v>
      </c>
      <c r="C9429" s="22" t="s">
        <v>1142</v>
      </c>
      <c r="D9429" s="18">
        <v>2021</v>
      </c>
      <c r="E9429" s="18"/>
      <c r="F9429" s="4">
        <v>1</v>
      </c>
      <c r="G9429" s="4">
        <v>10</v>
      </c>
      <c r="H9429" s="4">
        <v>26.638000000000002</v>
      </c>
      <c r="I9429" s="201"/>
      <c r="J9429" s="201"/>
    </row>
    <row r="9430" spans="1:10" s="15" customFormat="1" ht="28.5" hidden="1" customHeight="1" outlineLevel="1" x14ac:dyDescent="0.25">
      <c r="A9430" s="45">
        <v>2169</v>
      </c>
      <c r="B9430" s="4" t="s">
        <v>43</v>
      </c>
      <c r="C9430" s="22" t="s">
        <v>1143</v>
      </c>
      <c r="D9430" s="18">
        <v>2021</v>
      </c>
      <c r="E9430" s="18"/>
      <c r="F9430" s="4">
        <v>1</v>
      </c>
      <c r="G9430" s="4">
        <v>10</v>
      </c>
      <c r="H9430" s="4">
        <v>40.404000000000003</v>
      </c>
      <c r="I9430" s="201"/>
      <c r="J9430" s="201"/>
    </row>
    <row r="9431" spans="1:10" s="15" customFormat="1" ht="28.5" hidden="1" customHeight="1" outlineLevel="1" x14ac:dyDescent="0.25">
      <c r="A9431" s="46">
        <v>10271</v>
      </c>
      <c r="B9431" s="4" t="s">
        <v>43</v>
      </c>
      <c r="C9431" s="22" t="s">
        <v>1144</v>
      </c>
      <c r="D9431" s="18">
        <v>2021</v>
      </c>
      <c r="E9431" s="18"/>
      <c r="F9431" s="4">
        <v>1</v>
      </c>
      <c r="G9431" s="4">
        <v>3</v>
      </c>
      <c r="H9431" s="4">
        <v>90.224999999999994</v>
      </c>
      <c r="I9431" s="201"/>
      <c r="J9431" s="201"/>
    </row>
    <row r="9432" spans="1:10" s="15" customFormat="1" ht="28.5" hidden="1" customHeight="1" outlineLevel="1" x14ac:dyDescent="0.25">
      <c r="A9432" s="46">
        <v>10266</v>
      </c>
      <c r="B9432" s="4" t="s">
        <v>43</v>
      </c>
      <c r="C9432" s="22" t="s">
        <v>1145</v>
      </c>
      <c r="D9432" s="18">
        <v>2021</v>
      </c>
      <c r="E9432" s="18"/>
      <c r="F9432" s="4">
        <v>1</v>
      </c>
      <c r="G9432" s="4">
        <v>5</v>
      </c>
      <c r="H9432" s="4">
        <v>27.99</v>
      </c>
      <c r="I9432" s="201"/>
      <c r="J9432" s="201"/>
    </row>
    <row r="9433" spans="1:10" s="15" customFormat="1" ht="28.5" hidden="1" customHeight="1" outlineLevel="1" x14ac:dyDescent="0.25">
      <c r="A9433" s="45">
        <v>2156</v>
      </c>
      <c r="B9433" s="4" t="s">
        <v>43</v>
      </c>
      <c r="C9433" s="22" t="s">
        <v>1146</v>
      </c>
      <c r="D9433" s="18">
        <v>2021</v>
      </c>
      <c r="E9433" s="18"/>
      <c r="F9433" s="4">
        <v>1</v>
      </c>
      <c r="G9433" s="4">
        <v>5</v>
      </c>
      <c r="H9433" s="4">
        <v>28.908999999999999</v>
      </c>
      <c r="I9433" s="201"/>
      <c r="J9433" s="201"/>
    </row>
    <row r="9434" spans="1:10" s="15" customFormat="1" ht="28.5" hidden="1" customHeight="1" outlineLevel="1" x14ac:dyDescent="0.25">
      <c r="A9434" s="18">
        <v>10902</v>
      </c>
      <c r="B9434" s="4" t="s">
        <v>43</v>
      </c>
      <c r="C9434" s="22" t="s">
        <v>1147</v>
      </c>
      <c r="D9434" s="18">
        <v>2021</v>
      </c>
      <c r="E9434" s="18"/>
      <c r="F9434" s="4">
        <v>1</v>
      </c>
      <c r="G9434" s="4">
        <v>10</v>
      </c>
      <c r="H9434" s="4">
        <v>30.327999999999999</v>
      </c>
      <c r="I9434" s="201"/>
      <c r="J9434" s="201"/>
    </row>
    <row r="9435" spans="1:10" s="15" customFormat="1" ht="28.5" hidden="1" customHeight="1" outlineLevel="1" x14ac:dyDescent="0.25">
      <c r="A9435" s="45">
        <v>2168</v>
      </c>
      <c r="B9435" s="4" t="s">
        <v>43</v>
      </c>
      <c r="C9435" s="22" t="s">
        <v>1148</v>
      </c>
      <c r="D9435" s="18">
        <v>2021</v>
      </c>
      <c r="E9435" s="18"/>
      <c r="F9435" s="4">
        <v>1</v>
      </c>
      <c r="G9435" s="4">
        <v>10</v>
      </c>
      <c r="H9435" s="4">
        <v>20.995000000000001</v>
      </c>
      <c r="I9435" s="201"/>
      <c r="J9435" s="201"/>
    </row>
    <row r="9436" spans="1:10" s="15" customFormat="1" ht="28.5" hidden="1" customHeight="1" outlineLevel="1" x14ac:dyDescent="0.25">
      <c r="A9436" s="45">
        <v>2183</v>
      </c>
      <c r="B9436" s="4" t="s">
        <v>43</v>
      </c>
      <c r="C9436" s="22" t="s">
        <v>1149</v>
      </c>
      <c r="D9436" s="18">
        <v>2021</v>
      </c>
      <c r="E9436" s="18"/>
      <c r="F9436" s="4">
        <v>1</v>
      </c>
      <c r="G9436" s="4">
        <v>10</v>
      </c>
      <c r="H9436" s="4">
        <v>23.849</v>
      </c>
      <c r="I9436" s="201"/>
      <c r="J9436" s="201"/>
    </row>
    <row r="9437" spans="1:10" s="15" customFormat="1" ht="28.5" hidden="1" customHeight="1" outlineLevel="1" x14ac:dyDescent="0.25">
      <c r="A9437" s="46">
        <v>10274</v>
      </c>
      <c r="B9437" s="4" t="s">
        <v>43</v>
      </c>
      <c r="C9437" s="22" t="s">
        <v>1150</v>
      </c>
      <c r="D9437" s="18">
        <v>2021</v>
      </c>
      <c r="E9437" s="18"/>
      <c r="F9437" s="4">
        <v>1</v>
      </c>
      <c r="G9437" s="4">
        <v>7</v>
      </c>
      <c r="H9437" s="4">
        <v>21.567</v>
      </c>
      <c r="I9437" s="201"/>
      <c r="J9437" s="201"/>
    </row>
    <row r="9438" spans="1:10" s="15" customFormat="1" ht="28.5" hidden="1" customHeight="1" outlineLevel="1" x14ac:dyDescent="0.25">
      <c r="A9438" s="45">
        <v>2161</v>
      </c>
      <c r="B9438" s="4" t="s">
        <v>43</v>
      </c>
      <c r="C9438" s="22" t="s">
        <v>1151</v>
      </c>
      <c r="D9438" s="18">
        <v>2021</v>
      </c>
      <c r="E9438" s="18"/>
      <c r="F9438" s="4">
        <v>1</v>
      </c>
      <c r="G9438" s="4">
        <v>6</v>
      </c>
      <c r="H9438" s="4">
        <v>40.067999999999998</v>
      </c>
      <c r="I9438" s="201"/>
      <c r="J9438" s="201"/>
    </row>
    <row r="9439" spans="1:10" s="15" customFormat="1" ht="28.5" hidden="1" customHeight="1" outlineLevel="1" x14ac:dyDescent="0.25">
      <c r="A9439" s="45">
        <v>2179</v>
      </c>
      <c r="B9439" s="4" t="s">
        <v>43</v>
      </c>
      <c r="C9439" s="22" t="s">
        <v>1152</v>
      </c>
      <c r="D9439" s="18">
        <v>2021</v>
      </c>
      <c r="E9439" s="18"/>
      <c r="F9439" s="4">
        <v>1</v>
      </c>
      <c r="G9439" s="4">
        <v>5</v>
      </c>
      <c r="H9439" s="4">
        <v>35.728000000000002</v>
      </c>
      <c r="I9439" s="201"/>
      <c r="J9439" s="201"/>
    </row>
    <row r="9440" spans="1:10" s="15" customFormat="1" ht="28.5" hidden="1" customHeight="1" outlineLevel="1" x14ac:dyDescent="0.25">
      <c r="A9440" s="46">
        <v>10275</v>
      </c>
      <c r="B9440" s="4" t="s">
        <v>43</v>
      </c>
      <c r="C9440" s="22" t="s">
        <v>1153</v>
      </c>
      <c r="D9440" s="18">
        <v>2021</v>
      </c>
      <c r="E9440" s="18"/>
      <c r="F9440" s="4">
        <v>1</v>
      </c>
      <c r="G9440" s="4">
        <v>1.2</v>
      </c>
      <c r="H9440" s="4">
        <v>19.706</v>
      </c>
      <c r="I9440" s="201"/>
      <c r="J9440" s="201"/>
    </row>
    <row r="9441" spans="1:10" s="15" customFormat="1" ht="28.5" hidden="1" customHeight="1" outlineLevel="1" x14ac:dyDescent="0.25">
      <c r="A9441" s="46">
        <v>9501</v>
      </c>
      <c r="B9441" s="4" t="s">
        <v>43</v>
      </c>
      <c r="C9441" s="22" t="s">
        <v>901</v>
      </c>
      <c r="D9441" s="18">
        <v>2021</v>
      </c>
      <c r="E9441" s="18"/>
      <c r="F9441" s="4">
        <v>5</v>
      </c>
      <c r="G9441" s="4">
        <v>115</v>
      </c>
      <c r="H9441" s="4">
        <v>121.22199999999999</v>
      </c>
      <c r="I9441" s="201"/>
      <c r="J9441" s="201"/>
    </row>
    <row r="9442" spans="1:10" s="15" customFormat="1" ht="28.5" hidden="1" customHeight="1" outlineLevel="1" x14ac:dyDescent="0.25">
      <c r="A9442" s="45">
        <v>2159</v>
      </c>
      <c r="B9442" s="4" t="s">
        <v>43</v>
      </c>
      <c r="C9442" s="22" t="s">
        <v>1154</v>
      </c>
      <c r="D9442" s="18">
        <v>2021</v>
      </c>
      <c r="E9442" s="18"/>
      <c r="F9442" s="4">
        <v>1</v>
      </c>
      <c r="G9442" s="4">
        <v>6</v>
      </c>
      <c r="H9442" s="4">
        <v>21.234999999999999</v>
      </c>
      <c r="I9442" s="201"/>
      <c r="J9442" s="201"/>
    </row>
    <row r="9443" spans="1:10" s="15" customFormat="1" ht="28.5" hidden="1" customHeight="1" outlineLevel="1" x14ac:dyDescent="0.25">
      <c r="A9443" s="46">
        <v>10270</v>
      </c>
      <c r="B9443" s="4" t="s">
        <v>43</v>
      </c>
      <c r="C9443" s="22" t="s">
        <v>1155</v>
      </c>
      <c r="D9443" s="18">
        <v>2021</v>
      </c>
      <c r="E9443" s="18"/>
      <c r="F9443" s="4">
        <v>1</v>
      </c>
      <c r="G9443" s="4">
        <v>15</v>
      </c>
      <c r="H9443" s="4">
        <v>20.86</v>
      </c>
      <c r="I9443" s="201"/>
      <c r="J9443" s="201"/>
    </row>
    <row r="9444" spans="1:10" s="15" customFormat="1" ht="28.5" hidden="1" customHeight="1" outlineLevel="1" x14ac:dyDescent="0.25">
      <c r="A9444" s="45">
        <v>2178</v>
      </c>
      <c r="B9444" s="4" t="s">
        <v>43</v>
      </c>
      <c r="C9444" s="22" t="s">
        <v>1156</v>
      </c>
      <c r="D9444" s="18">
        <v>2021</v>
      </c>
      <c r="E9444" s="18"/>
      <c r="F9444" s="4">
        <v>1</v>
      </c>
      <c r="G9444" s="4">
        <v>5</v>
      </c>
      <c r="H9444" s="4">
        <v>25.597999999999999</v>
      </c>
      <c r="I9444" s="201"/>
      <c r="J9444" s="201"/>
    </row>
    <row r="9445" spans="1:10" s="15" customFormat="1" ht="28.5" hidden="1" customHeight="1" outlineLevel="1" x14ac:dyDescent="0.25">
      <c r="A9445" s="45">
        <v>2185</v>
      </c>
      <c r="B9445" s="4" t="s">
        <v>43</v>
      </c>
      <c r="C9445" s="22" t="s">
        <v>1157</v>
      </c>
      <c r="D9445" s="18">
        <v>2021</v>
      </c>
      <c r="E9445" s="18"/>
      <c r="F9445" s="4">
        <v>1</v>
      </c>
      <c r="G9445" s="4">
        <v>5</v>
      </c>
      <c r="H9445" s="4">
        <v>22.363</v>
      </c>
      <c r="I9445" s="201"/>
      <c r="J9445" s="201"/>
    </row>
    <row r="9446" spans="1:10" s="15" customFormat="1" ht="28.5" hidden="1" customHeight="1" outlineLevel="1" x14ac:dyDescent="0.25">
      <c r="A9446" s="45">
        <v>2177</v>
      </c>
      <c r="B9446" s="4" t="s">
        <v>43</v>
      </c>
      <c r="C9446" s="22" t="s">
        <v>1158</v>
      </c>
      <c r="D9446" s="18">
        <v>2021</v>
      </c>
      <c r="E9446" s="18"/>
      <c r="F9446" s="4">
        <v>1</v>
      </c>
      <c r="G9446" s="4">
        <v>5</v>
      </c>
      <c r="H9446" s="4">
        <v>24.832999999999998</v>
      </c>
      <c r="I9446" s="201"/>
      <c r="J9446" s="201"/>
    </row>
    <row r="9447" spans="1:10" s="15" customFormat="1" ht="28.5" hidden="1" customHeight="1" outlineLevel="1" x14ac:dyDescent="0.25">
      <c r="A9447" s="46">
        <v>9468</v>
      </c>
      <c r="B9447" s="4" t="s">
        <v>43</v>
      </c>
      <c r="C9447" s="22" t="s">
        <v>451</v>
      </c>
      <c r="D9447" s="18">
        <v>2021</v>
      </c>
      <c r="E9447" s="18"/>
      <c r="F9447" s="4">
        <v>1</v>
      </c>
      <c r="G9447" s="4">
        <v>15</v>
      </c>
      <c r="H9447" s="4">
        <v>34.356999999999999</v>
      </c>
      <c r="I9447" s="201"/>
      <c r="J9447" s="201"/>
    </row>
    <row r="9448" spans="1:10" s="15" customFormat="1" ht="28.5" hidden="1" customHeight="1" outlineLevel="1" x14ac:dyDescent="0.25">
      <c r="A9448" s="46">
        <v>10263</v>
      </c>
      <c r="B9448" s="4" t="s">
        <v>43</v>
      </c>
      <c r="C9448" s="22" t="s">
        <v>1159</v>
      </c>
      <c r="D9448" s="18">
        <v>2021</v>
      </c>
      <c r="E9448" s="18"/>
      <c r="F9448" s="4">
        <v>1</v>
      </c>
      <c r="G9448" s="4">
        <v>5</v>
      </c>
      <c r="H9448" s="4">
        <v>25.393999999999998</v>
      </c>
      <c r="I9448" s="201"/>
      <c r="J9448" s="201"/>
    </row>
    <row r="9449" spans="1:10" s="15" customFormat="1" ht="28.5" hidden="1" customHeight="1" outlineLevel="1" x14ac:dyDescent="0.25">
      <c r="A9449" s="46">
        <v>10258</v>
      </c>
      <c r="B9449" s="4" t="s">
        <v>43</v>
      </c>
      <c r="C9449" s="22" t="s">
        <v>1160</v>
      </c>
      <c r="D9449" s="18">
        <v>2021</v>
      </c>
      <c r="E9449" s="18"/>
      <c r="F9449" s="4">
        <v>1</v>
      </c>
      <c r="G9449" s="4">
        <v>5</v>
      </c>
      <c r="H9449" s="4">
        <v>39.621000000000002</v>
      </c>
      <c r="I9449" s="201"/>
      <c r="J9449" s="201"/>
    </row>
    <row r="9450" spans="1:10" s="15" customFormat="1" ht="28.5" hidden="1" customHeight="1" outlineLevel="1" x14ac:dyDescent="0.25">
      <c r="A9450" s="46">
        <v>10265</v>
      </c>
      <c r="B9450" s="4" t="s">
        <v>43</v>
      </c>
      <c r="C9450" s="22" t="s">
        <v>1161</v>
      </c>
      <c r="D9450" s="18">
        <v>2021</v>
      </c>
      <c r="E9450" s="18"/>
      <c r="F9450" s="4">
        <v>1</v>
      </c>
      <c r="G9450" s="4">
        <v>15</v>
      </c>
      <c r="H9450" s="4">
        <v>22.489000000000001</v>
      </c>
      <c r="I9450" s="201"/>
      <c r="J9450" s="201"/>
    </row>
    <row r="9451" spans="1:10" s="15" customFormat="1" ht="28.5" hidden="1" customHeight="1" outlineLevel="1" x14ac:dyDescent="0.25">
      <c r="A9451" s="18">
        <v>10903</v>
      </c>
      <c r="B9451" s="4" t="s">
        <v>43</v>
      </c>
      <c r="C9451" s="22" t="s">
        <v>1162</v>
      </c>
      <c r="D9451" s="18">
        <v>2021</v>
      </c>
      <c r="E9451" s="18"/>
      <c r="F9451" s="4">
        <v>1</v>
      </c>
      <c r="G9451" s="4">
        <v>1.25</v>
      </c>
      <c r="H9451" s="4">
        <v>22.766999999999999</v>
      </c>
      <c r="I9451" s="201"/>
      <c r="J9451" s="201"/>
    </row>
    <row r="9452" spans="1:10" s="15" customFormat="1" ht="28.5" hidden="1" customHeight="1" outlineLevel="1" x14ac:dyDescent="0.25">
      <c r="A9452" s="18">
        <v>10904</v>
      </c>
      <c r="B9452" s="4" t="s">
        <v>43</v>
      </c>
      <c r="C9452" s="22" t="s">
        <v>1163</v>
      </c>
      <c r="D9452" s="18">
        <v>2021</v>
      </c>
      <c r="E9452" s="18"/>
      <c r="F9452" s="4">
        <v>1</v>
      </c>
      <c r="G9452" s="4">
        <v>0.75</v>
      </c>
      <c r="H9452" s="4">
        <v>23.042000000000002</v>
      </c>
      <c r="I9452" s="201"/>
      <c r="J9452" s="201"/>
    </row>
    <row r="9453" spans="1:10" s="15" customFormat="1" ht="28.5" hidden="1" customHeight="1" outlineLevel="1" x14ac:dyDescent="0.25">
      <c r="A9453" s="46">
        <v>10273</v>
      </c>
      <c r="B9453" s="4" t="s">
        <v>43</v>
      </c>
      <c r="C9453" s="22" t="s">
        <v>1164</v>
      </c>
      <c r="D9453" s="18">
        <v>2021</v>
      </c>
      <c r="E9453" s="18"/>
      <c r="F9453" s="4">
        <v>1</v>
      </c>
      <c r="G9453" s="4">
        <v>15</v>
      </c>
      <c r="H9453" s="4">
        <v>24.222999999999999</v>
      </c>
      <c r="I9453" s="201"/>
      <c r="J9453" s="201"/>
    </row>
    <row r="9454" spans="1:10" s="15" customFormat="1" ht="28.5" hidden="1" customHeight="1" outlineLevel="1" x14ac:dyDescent="0.25">
      <c r="A9454" s="18">
        <v>2164</v>
      </c>
      <c r="B9454" s="4" t="s">
        <v>43</v>
      </c>
      <c r="C9454" s="22" t="s">
        <v>1165</v>
      </c>
      <c r="D9454" s="18">
        <v>2021</v>
      </c>
      <c r="E9454" s="18"/>
      <c r="F9454" s="4">
        <v>1</v>
      </c>
      <c r="G9454" s="4">
        <v>10</v>
      </c>
      <c r="H9454" s="4">
        <v>24.99</v>
      </c>
      <c r="I9454" s="201"/>
      <c r="J9454" s="201"/>
    </row>
    <row r="9455" spans="1:10" s="15" customFormat="1" ht="28.5" hidden="1" customHeight="1" outlineLevel="1" x14ac:dyDescent="0.25">
      <c r="A9455" s="45">
        <v>2165</v>
      </c>
      <c r="B9455" s="4" t="s">
        <v>43</v>
      </c>
      <c r="C9455" s="22" t="s">
        <v>1166</v>
      </c>
      <c r="D9455" s="18">
        <v>2021</v>
      </c>
      <c r="E9455" s="18"/>
      <c r="F9455" s="4">
        <v>1</v>
      </c>
      <c r="G9455" s="4">
        <v>10</v>
      </c>
      <c r="H9455" s="4">
        <v>22.78</v>
      </c>
      <c r="I9455" s="201"/>
      <c r="J9455" s="201"/>
    </row>
    <row r="9456" spans="1:10" s="15" customFormat="1" ht="28.5" hidden="1" customHeight="1" outlineLevel="1" x14ac:dyDescent="0.25">
      <c r="A9456" s="46">
        <v>9101</v>
      </c>
      <c r="B9456" s="4" t="s">
        <v>43</v>
      </c>
      <c r="C9456" s="22" t="s">
        <v>1167</v>
      </c>
      <c r="D9456" s="18">
        <v>2021</v>
      </c>
      <c r="E9456" s="18"/>
      <c r="F9456" s="4">
        <v>1</v>
      </c>
      <c r="G9456" s="4">
        <v>5</v>
      </c>
      <c r="H9456" s="4">
        <v>24.39</v>
      </c>
      <c r="I9456" s="201"/>
      <c r="J9456" s="201"/>
    </row>
    <row r="9457" spans="1:10" s="15" customFormat="1" ht="28.5" hidden="1" customHeight="1" outlineLevel="1" x14ac:dyDescent="0.25">
      <c r="A9457" s="45">
        <v>2155</v>
      </c>
      <c r="B9457" s="4" t="s">
        <v>43</v>
      </c>
      <c r="C9457" s="22" t="s">
        <v>1168</v>
      </c>
      <c r="D9457" s="18">
        <v>2021</v>
      </c>
      <c r="E9457" s="18"/>
      <c r="F9457" s="4">
        <v>1</v>
      </c>
      <c r="G9457" s="4">
        <v>7</v>
      </c>
      <c r="H9457" s="4">
        <v>23.577999999999999</v>
      </c>
      <c r="I9457" s="201"/>
      <c r="J9457" s="201"/>
    </row>
    <row r="9458" spans="1:10" s="15" customFormat="1" ht="28.5" hidden="1" customHeight="1" outlineLevel="1" x14ac:dyDescent="0.25">
      <c r="A9458" s="46">
        <v>10262</v>
      </c>
      <c r="B9458" s="4" t="s">
        <v>43</v>
      </c>
      <c r="C9458" s="22" t="s">
        <v>1169</v>
      </c>
      <c r="D9458" s="18">
        <v>2021</v>
      </c>
      <c r="E9458" s="18"/>
      <c r="F9458" s="4">
        <v>1</v>
      </c>
      <c r="G9458" s="4">
        <v>10</v>
      </c>
      <c r="H9458" s="4">
        <v>24.565000000000001</v>
      </c>
      <c r="I9458" s="201"/>
      <c r="J9458" s="201"/>
    </row>
    <row r="9459" spans="1:10" s="15" customFormat="1" ht="28.5" hidden="1" customHeight="1" outlineLevel="1" x14ac:dyDescent="0.25">
      <c r="A9459" s="46">
        <v>10260</v>
      </c>
      <c r="B9459" s="4" t="s">
        <v>43</v>
      </c>
      <c r="C9459" s="22" t="s">
        <v>1170</v>
      </c>
      <c r="D9459" s="18">
        <v>2021</v>
      </c>
      <c r="E9459" s="18"/>
      <c r="F9459" s="4">
        <v>1</v>
      </c>
      <c r="G9459" s="4">
        <v>10</v>
      </c>
      <c r="H9459" s="4">
        <v>22.832999999999998</v>
      </c>
      <c r="I9459" s="201"/>
      <c r="J9459" s="201"/>
    </row>
    <row r="9460" spans="1:10" s="15" customFormat="1" ht="28.5" hidden="1" customHeight="1" outlineLevel="1" x14ac:dyDescent="0.25">
      <c r="A9460" s="46">
        <v>10259</v>
      </c>
      <c r="B9460" s="4" t="s">
        <v>43</v>
      </c>
      <c r="C9460" s="22" t="s">
        <v>1171</v>
      </c>
      <c r="D9460" s="18">
        <v>2021</v>
      </c>
      <c r="E9460" s="18"/>
      <c r="F9460" s="4">
        <v>1</v>
      </c>
      <c r="G9460" s="4">
        <v>10</v>
      </c>
      <c r="H9460" s="4">
        <v>24.024999999999999</v>
      </c>
      <c r="I9460" s="201"/>
      <c r="J9460" s="201"/>
    </row>
    <row r="9461" spans="1:10" s="15" customFormat="1" ht="28.5" hidden="1" customHeight="1" outlineLevel="1" x14ac:dyDescent="0.25">
      <c r="A9461" s="46">
        <v>10268</v>
      </c>
      <c r="B9461" s="4" t="s">
        <v>43</v>
      </c>
      <c r="C9461" s="22" t="s">
        <v>1172</v>
      </c>
      <c r="D9461" s="18">
        <v>2021</v>
      </c>
      <c r="E9461" s="18"/>
      <c r="F9461" s="4">
        <v>1</v>
      </c>
      <c r="G9461" s="4">
        <v>5</v>
      </c>
      <c r="H9461" s="4">
        <v>22.96</v>
      </c>
      <c r="I9461" s="201"/>
      <c r="J9461" s="201"/>
    </row>
    <row r="9462" spans="1:10" s="15" customFormat="1" ht="28.5" hidden="1" customHeight="1" outlineLevel="1" x14ac:dyDescent="0.25">
      <c r="A9462" s="45">
        <v>2171</v>
      </c>
      <c r="B9462" s="4" t="s">
        <v>43</v>
      </c>
      <c r="C9462" s="22" t="s">
        <v>1173</v>
      </c>
      <c r="D9462" s="18">
        <v>2021</v>
      </c>
      <c r="E9462" s="18"/>
      <c r="F9462" s="4">
        <v>1</v>
      </c>
      <c r="G9462" s="4">
        <v>5</v>
      </c>
      <c r="H9462" s="4">
        <v>24.466000000000001</v>
      </c>
      <c r="I9462" s="201"/>
      <c r="J9462" s="201"/>
    </row>
    <row r="9463" spans="1:10" s="15" customFormat="1" ht="28.5" hidden="1" customHeight="1" outlineLevel="1" x14ac:dyDescent="0.25">
      <c r="A9463" s="45">
        <v>2172</v>
      </c>
      <c r="B9463" s="4" t="s">
        <v>43</v>
      </c>
      <c r="C9463" s="22" t="s">
        <v>1174</v>
      </c>
      <c r="D9463" s="18">
        <v>2021</v>
      </c>
      <c r="E9463" s="18"/>
      <c r="F9463" s="4">
        <v>1</v>
      </c>
      <c r="G9463" s="4">
        <v>10</v>
      </c>
      <c r="H9463" s="4">
        <v>21.846</v>
      </c>
      <c r="I9463" s="201"/>
      <c r="J9463" s="201"/>
    </row>
    <row r="9464" spans="1:10" s="15" customFormat="1" ht="28.5" hidden="1" customHeight="1" outlineLevel="1" x14ac:dyDescent="0.25">
      <c r="A9464" s="45">
        <v>2174</v>
      </c>
      <c r="B9464" s="4" t="s">
        <v>43</v>
      </c>
      <c r="C9464" s="22" t="s">
        <v>1175</v>
      </c>
      <c r="D9464" s="18">
        <v>2021</v>
      </c>
      <c r="E9464" s="18"/>
      <c r="F9464" s="4">
        <v>1</v>
      </c>
      <c r="G9464" s="4">
        <v>7</v>
      </c>
      <c r="H9464" s="4">
        <v>24.154</v>
      </c>
      <c r="I9464" s="201"/>
      <c r="J9464" s="201"/>
    </row>
    <row r="9465" spans="1:10" s="15" customFormat="1" ht="28.5" hidden="1" customHeight="1" outlineLevel="1" x14ac:dyDescent="0.25">
      <c r="A9465" s="18">
        <v>10905</v>
      </c>
      <c r="B9465" s="4" t="s">
        <v>43</v>
      </c>
      <c r="C9465" s="22" t="s">
        <v>1176</v>
      </c>
      <c r="D9465" s="18">
        <v>2021</v>
      </c>
      <c r="E9465" s="18"/>
      <c r="F9465" s="4">
        <v>1</v>
      </c>
      <c r="G9465" s="4">
        <v>0.05</v>
      </c>
      <c r="H9465" s="4">
        <v>26.645</v>
      </c>
      <c r="I9465" s="201"/>
      <c r="J9465" s="201"/>
    </row>
    <row r="9466" spans="1:10" s="15" customFormat="1" ht="28.5" hidden="1" customHeight="1" outlineLevel="1" x14ac:dyDescent="0.25">
      <c r="A9466" s="18">
        <v>2146</v>
      </c>
      <c r="B9466" s="4" t="s">
        <v>43</v>
      </c>
      <c r="C9466" s="22" t="s">
        <v>1177</v>
      </c>
      <c r="D9466" s="18">
        <v>2021</v>
      </c>
      <c r="E9466" s="18"/>
      <c r="F9466" s="4">
        <v>1</v>
      </c>
      <c r="G9466" s="4">
        <v>0.05</v>
      </c>
      <c r="H9466" s="4">
        <v>24.007000000000001</v>
      </c>
      <c r="I9466" s="201"/>
      <c r="J9466" s="201"/>
    </row>
    <row r="9467" spans="1:10" s="15" customFormat="1" ht="28.5" hidden="1" customHeight="1" outlineLevel="1" x14ac:dyDescent="0.25">
      <c r="A9467" s="45">
        <v>2173</v>
      </c>
      <c r="B9467" s="4" t="s">
        <v>43</v>
      </c>
      <c r="C9467" s="22" t="s">
        <v>1178</v>
      </c>
      <c r="D9467" s="18">
        <v>2021</v>
      </c>
      <c r="E9467" s="18"/>
      <c r="F9467" s="4">
        <v>1</v>
      </c>
      <c r="G9467" s="4">
        <v>5</v>
      </c>
      <c r="H9467" s="4">
        <v>24.466000000000001</v>
      </c>
      <c r="I9467" s="201"/>
      <c r="J9467" s="201"/>
    </row>
    <row r="9468" spans="1:10" s="15" customFormat="1" ht="28.5" hidden="1" customHeight="1" outlineLevel="1" x14ac:dyDescent="0.25">
      <c r="A9468" s="46">
        <v>10269</v>
      </c>
      <c r="B9468" s="4" t="s">
        <v>43</v>
      </c>
      <c r="C9468" s="22" t="s">
        <v>1179</v>
      </c>
      <c r="D9468" s="18">
        <v>2021</v>
      </c>
      <c r="E9468" s="18"/>
      <c r="F9468" s="4">
        <v>1</v>
      </c>
      <c r="G9468" s="4">
        <v>5</v>
      </c>
      <c r="H9468" s="4">
        <v>24.46</v>
      </c>
      <c r="I9468" s="201"/>
      <c r="J9468" s="201"/>
    </row>
    <row r="9469" spans="1:10" s="15" customFormat="1" ht="28.5" hidden="1" customHeight="1" outlineLevel="1" x14ac:dyDescent="0.25">
      <c r="A9469" s="46">
        <v>10261</v>
      </c>
      <c r="B9469" s="4" t="s">
        <v>43</v>
      </c>
      <c r="C9469" s="22" t="s">
        <v>1180</v>
      </c>
      <c r="D9469" s="18">
        <v>2021</v>
      </c>
      <c r="E9469" s="18"/>
      <c r="F9469" s="4">
        <v>1</v>
      </c>
      <c r="G9469" s="4">
        <v>7</v>
      </c>
      <c r="H9469" s="4">
        <v>24.707999999999998</v>
      </c>
      <c r="I9469" s="201"/>
      <c r="J9469" s="201"/>
    </row>
    <row r="9470" spans="1:10" s="15" customFormat="1" ht="28.5" hidden="1" customHeight="1" outlineLevel="1" x14ac:dyDescent="0.25">
      <c r="A9470" s="45">
        <v>2162</v>
      </c>
      <c r="B9470" s="4" t="s">
        <v>43</v>
      </c>
      <c r="C9470" s="22" t="s">
        <v>1181</v>
      </c>
      <c r="D9470" s="18">
        <v>2021</v>
      </c>
      <c r="E9470" s="18"/>
      <c r="F9470" s="4">
        <v>1</v>
      </c>
      <c r="G9470" s="4">
        <v>5</v>
      </c>
      <c r="H9470" s="4">
        <v>24.727</v>
      </c>
      <c r="I9470" s="201"/>
      <c r="J9470" s="201"/>
    </row>
    <row r="9471" spans="1:10" s="15" customFormat="1" ht="28.5" hidden="1" customHeight="1" outlineLevel="1" x14ac:dyDescent="0.25">
      <c r="A9471" s="45">
        <v>2149</v>
      </c>
      <c r="B9471" s="4" t="s">
        <v>43</v>
      </c>
      <c r="C9471" s="22" t="s">
        <v>1182</v>
      </c>
      <c r="D9471" s="18">
        <v>2021</v>
      </c>
      <c r="E9471" s="18"/>
      <c r="F9471" s="4">
        <v>1</v>
      </c>
      <c r="G9471" s="4">
        <v>5</v>
      </c>
      <c r="H9471" s="4">
        <v>25.669</v>
      </c>
      <c r="I9471" s="201"/>
      <c r="J9471" s="201"/>
    </row>
    <row r="9472" spans="1:10" s="15" customFormat="1" ht="28.5" hidden="1" customHeight="1" outlineLevel="1" x14ac:dyDescent="0.25">
      <c r="A9472" s="45">
        <v>2163</v>
      </c>
      <c r="B9472" s="4" t="s">
        <v>43</v>
      </c>
      <c r="C9472" s="22" t="s">
        <v>1183</v>
      </c>
      <c r="D9472" s="18">
        <v>2021</v>
      </c>
      <c r="E9472" s="18"/>
      <c r="F9472" s="4">
        <v>1</v>
      </c>
      <c r="G9472" s="4">
        <v>5</v>
      </c>
      <c r="H9472" s="4">
        <v>25.672999999999998</v>
      </c>
      <c r="I9472" s="201"/>
      <c r="J9472" s="201"/>
    </row>
    <row r="9473" spans="1:10" s="15" customFormat="1" ht="28.5" hidden="1" customHeight="1" outlineLevel="1" x14ac:dyDescent="0.25">
      <c r="A9473" s="46">
        <v>10267</v>
      </c>
      <c r="B9473" s="4" t="s">
        <v>43</v>
      </c>
      <c r="C9473" s="22" t="s">
        <v>1184</v>
      </c>
      <c r="D9473" s="18">
        <v>2021</v>
      </c>
      <c r="E9473" s="18"/>
      <c r="F9473" s="4">
        <v>1</v>
      </c>
      <c r="G9473" s="4">
        <v>7</v>
      </c>
      <c r="H9473" s="4">
        <v>25.867999999999999</v>
      </c>
      <c r="I9473" s="201"/>
      <c r="J9473" s="201"/>
    </row>
    <row r="9474" spans="1:10" s="15" customFormat="1" ht="28.5" hidden="1" customHeight="1" outlineLevel="1" x14ac:dyDescent="0.25">
      <c r="A9474" s="45">
        <v>2170</v>
      </c>
      <c r="B9474" s="4" t="s">
        <v>43</v>
      </c>
      <c r="C9474" s="22" t="s">
        <v>1185</v>
      </c>
      <c r="D9474" s="18">
        <v>2021</v>
      </c>
      <c r="E9474" s="18"/>
      <c r="F9474" s="4">
        <v>1</v>
      </c>
      <c r="G9474" s="4">
        <v>5</v>
      </c>
      <c r="H9474" s="4">
        <v>23.635000000000002</v>
      </c>
      <c r="I9474" s="201"/>
      <c r="J9474" s="201"/>
    </row>
    <row r="9475" spans="1:10" s="15" customFormat="1" ht="28.5" hidden="1" customHeight="1" outlineLevel="1" x14ac:dyDescent="0.25">
      <c r="A9475" s="45">
        <v>2187</v>
      </c>
      <c r="B9475" s="4" t="s">
        <v>43</v>
      </c>
      <c r="C9475" s="22" t="s">
        <v>1186</v>
      </c>
      <c r="D9475" s="18">
        <v>2021</v>
      </c>
      <c r="E9475" s="18"/>
      <c r="F9475" s="4">
        <v>1</v>
      </c>
      <c r="G9475" s="4">
        <v>5</v>
      </c>
      <c r="H9475" s="4">
        <v>25.318000000000001</v>
      </c>
      <c r="I9475" s="201"/>
      <c r="J9475" s="201"/>
    </row>
    <row r="9476" spans="1:10" s="15" customFormat="1" ht="28.5" hidden="1" customHeight="1" outlineLevel="1" x14ac:dyDescent="0.25">
      <c r="A9476" s="45">
        <v>2158</v>
      </c>
      <c r="B9476" s="4" t="s">
        <v>43</v>
      </c>
      <c r="C9476" s="22" t="s">
        <v>1187</v>
      </c>
      <c r="D9476" s="18">
        <v>2021</v>
      </c>
      <c r="E9476" s="18"/>
      <c r="F9476" s="4">
        <v>1</v>
      </c>
      <c r="G9476" s="4">
        <v>5</v>
      </c>
      <c r="H9476" s="4">
        <v>22.317</v>
      </c>
      <c r="I9476" s="201"/>
      <c r="J9476" s="201"/>
    </row>
    <row r="9477" spans="1:10" s="15" customFormat="1" ht="28.5" hidden="1" customHeight="1" outlineLevel="1" x14ac:dyDescent="0.25">
      <c r="A9477" s="45">
        <v>2186</v>
      </c>
      <c r="B9477" s="4" t="s">
        <v>43</v>
      </c>
      <c r="C9477" s="22" t="s">
        <v>1188</v>
      </c>
      <c r="D9477" s="18">
        <v>2021</v>
      </c>
      <c r="E9477" s="18"/>
      <c r="F9477" s="4">
        <v>1</v>
      </c>
      <c r="G9477" s="4">
        <v>10</v>
      </c>
      <c r="H9477" s="4">
        <v>23.161000000000001</v>
      </c>
      <c r="I9477" s="201"/>
      <c r="J9477" s="201"/>
    </row>
    <row r="9478" spans="1:10" s="15" customFormat="1" ht="28.5" hidden="1" customHeight="1" outlineLevel="1" x14ac:dyDescent="0.25">
      <c r="A9478" s="45">
        <v>2151</v>
      </c>
      <c r="B9478" s="4" t="s">
        <v>43</v>
      </c>
      <c r="C9478" s="22" t="s">
        <v>1189</v>
      </c>
      <c r="D9478" s="18">
        <v>2021</v>
      </c>
      <c r="E9478" s="18"/>
      <c r="F9478" s="4">
        <v>1</v>
      </c>
      <c r="G9478" s="4">
        <v>15</v>
      </c>
      <c r="H9478" s="4">
        <v>24.178999999999998</v>
      </c>
      <c r="I9478" s="201"/>
      <c r="J9478" s="201"/>
    </row>
    <row r="9479" spans="1:10" s="15" customFormat="1" ht="28.5" hidden="1" customHeight="1" outlineLevel="1" x14ac:dyDescent="0.25">
      <c r="A9479" s="45">
        <v>2152</v>
      </c>
      <c r="B9479" s="4" t="s">
        <v>43</v>
      </c>
      <c r="C9479" s="22" t="s">
        <v>1190</v>
      </c>
      <c r="D9479" s="18">
        <v>2021</v>
      </c>
      <c r="E9479" s="18"/>
      <c r="F9479" s="4">
        <v>1</v>
      </c>
      <c r="G9479" s="4">
        <v>5</v>
      </c>
      <c r="H9479" s="4">
        <v>23.64</v>
      </c>
      <c r="I9479" s="201"/>
      <c r="J9479" s="201"/>
    </row>
    <row r="9480" spans="1:10" s="15" customFormat="1" ht="28.5" hidden="1" customHeight="1" outlineLevel="1" x14ac:dyDescent="0.25">
      <c r="A9480" s="46">
        <v>10161</v>
      </c>
      <c r="B9480" s="4" t="s">
        <v>43</v>
      </c>
      <c r="C9480" s="22" t="s">
        <v>1191</v>
      </c>
      <c r="D9480" s="18">
        <v>2021</v>
      </c>
      <c r="E9480" s="18"/>
      <c r="F9480" s="4">
        <v>1</v>
      </c>
      <c r="G9480" s="4">
        <v>5</v>
      </c>
      <c r="H9480" s="4">
        <v>19</v>
      </c>
      <c r="I9480" s="201"/>
      <c r="J9480" s="201"/>
    </row>
    <row r="9481" spans="1:10" s="15" customFormat="1" ht="28.5" hidden="1" customHeight="1" outlineLevel="1" x14ac:dyDescent="0.25">
      <c r="A9481" s="46">
        <v>10187</v>
      </c>
      <c r="B9481" s="4" t="s">
        <v>43</v>
      </c>
      <c r="C9481" s="22" t="s">
        <v>1192</v>
      </c>
      <c r="D9481" s="18">
        <v>2021</v>
      </c>
      <c r="E9481" s="18"/>
      <c r="F9481" s="4">
        <v>1</v>
      </c>
      <c r="G9481" s="4">
        <v>5</v>
      </c>
      <c r="H9481" s="4">
        <v>20</v>
      </c>
      <c r="I9481" s="201"/>
      <c r="J9481" s="201"/>
    </row>
    <row r="9482" spans="1:10" s="15" customFormat="1" ht="28.5" hidden="1" customHeight="1" outlineLevel="1" x14ac:dyDescent="0.25">
      <c r="A9482" s="46">
        <v>10202</v>
      </c>
      <c r="B9482" s="4" t="s">
        <v>43</v>
      </c>
      <c r="C9482" s="22" t="s">
        <v>1193</v>
      </c>
      <c r="D9482" s="18">
        <v>2021</v>
      </c>
      <c r="E9482" s="18"/>
      <c r="F9482" s="4">
        <v>1</v>
      </c>
      <c r="G9482" s="4">
        <v>5</v>
      </c>
      <c r="H9482" s="4">
        <v>19</v>
      </c>
      <c r="I9482" s="201"/>
      <c r="J9482" s="201"/>
    </row>
    <row r="9483" spans="1:10" s="15" customFormat="1" ht="28.5" hidden="1" customHeight="1" outlineLevel="1" x14ac:dyDescent="0.25">
      <c r="A9483" s="46">
        <v>10149</v>
      </c>
      <c r="B9483" s="4" t="s">
        <v>43</v>
      </c>
      <c r="C9483" s="22" t="s">
        <v>1194</v>
      </c>
      <c r="D9483" s="18">
        <v>2021</v>
      </c>
      <c r="E9483" s="18"/>
      <c r="F9483" s="4">
        <v>1</v>
      </c>
      <c r="G9483" s="4">
        <v>5</v>
      </c>
      <c r="H9483" s="4">
        <v>30</v>
      </c>
      <c r="I9483" s="201"/>
      <c r="J9483" s="201"/>
    </row>
    <row r="9484" spans="1:10" s="15" customFormat="1" ht="28.5" hidden="1" customHeight="1" outlineLevel="1" x14ac:dyDescent="0.25">
      <c r="A9484" s="46">
        <v>10185</v>
      </c>
      <c r="B9484" s="4" t="s">
        <v>43</v>
      </c>
      <c r="C9484" s="22" t="s">
        <v>1195</v>
      </c>
      <c r="D9484" s="18">
        <v>2021</v>
      </c>
      <c r="E9484" s="18"/>
      <c r="F9484" s="4">
        <v>1</v>
      </c>
      <c r="G9484" s="4">
        <v>5</v>
      </c>
      <c r="H9484" s="4">
        <v>34</v>
      </c>
      <c r="I9484" s="201"/>
      <c r="J9484" s="201"/>
    </row>
    <row r="9485" spans="1:10" s="15" customFormat="1" ht="28.5" hidden="1" customHeight="1" outlineLevel="1" x14ac:dyDescent="0.25">
      <c r="A9485" s="45">
        <v>2097</v>
      </c>
      <c r="B9485" s="4" t="s">
        <v>43</v>
      </c>
      <c r="C9485" s="22" t="s">
        <v>1196</v>
      </c>
      <c r="D9485" s="18">
        <v>2021</v>
      </c>
      <c r="E9485" s="18"/>
      <c r="F9485" s="4">
        <v>1</v>
      </c>
      <c r="G9485" s="4">
        <v>5</v>
      </c>
      <c r="H9485" s="4">
        <v>19</v>
      </c>
      <c r="I9485" s="201"/>
      <c r="J9485" s="201"/>
    </row>
    <row r="9486" spans="1:10" s="15" customFormat="1" ht="28.5" hidden="1" customHeight="1" outlineLevel="1" x14ac:dyDescent="0.25">
      <c r="A9486" s="46">
        <v>10173</v>
      </c>
      <c r="B9486" s="4" t="s">
        <v>43</v>
      </c>
      <c r="C9486" s="22" t="s">
        <v>1197</v>
      </c>
      <c r="D9486" s="18">
        <v>2021</v>
      </c>
      <c r="E9486" s="18"/>
      <c r="F9486" s="4">
        <v>1</v>
      </c>
      <c r="G9486" s="4">
        <v>5</v>
      </c>
      <c r="H9486" s="4">
        <v>19</v>
      </c>
      <c r="I9486" s="201"/>
      <c r="J9486" s="201"/>
    </row>
    <row r="9487" spans="1:10" s="15" customFormat="1" ht="28.5" hidden="1" customHeight="1" outlineLevel="1" x14ac:dyDescent="0.25">
      <c r="A9487" s="46">
        <v>10327</v>
      </c>
      <c r="B9487" s="4" t="s">
        <v>43</v>
      </c>
      <c r="C9487" s="22" t="s">
        <v>1198</v>
      </c>
      <c r="D9487" s="18">
        <v>2021</v>
      </c>
      <c r="E9487" s="18"/>
      <c r="F9487" s="4">
        <v>7</v>
      </c>
      <c r="G9487" s="4">
        <v>69</v>
      </c>
      <c r="H9487" s="4">
        <v>115</v>
      </c>
      <c r="I9487" s="201"/>
      <c r="J9487" s="201"/>
    </row>
    <row r="9488" spans="1:10" s="15" customFormat="1" ht="28.5" hidden="1" customHeight="1" outlineLevel="1" x14ac:dyDescent="0.25">
      <c r="A9488" s="46">
        <v>10333</v>
      </c>
      <c r="B9488" s="4" t="s">
        <v>43</v>
      </c>
      <c r="C9488" s="22" t="s">
        <v>1199</v>
      </c>
      <c r="D9488" s="18">
        <v>2021</v>
      </c>
      <c r="E9488" s="18"/>
      <c r="F9488" s="4">
        <v>3</v>
      </c>
      <c r="G9488" s="4">
        <v>10</v>
      </c>
      <c r="H9488" s="4">
        <v>54</v>
      </c>
      <c r="I9488" s="201"/>
      <c r="J9488" s="201"/>
    </row>
    <row r="9489" spans="1:10" s="15" customFormat="1" ht="28.5" hidden="1" customHeight="1" outlineLevel="1" x14ac:dyDescent="0.25">
      <c r="A9489" s="46">
        <v>10180</v>
      </c>
      <c r="B9489" s="4" t="s">
        <v>43</v>
      </c>
      <c r="C9489" s="22" t="s">
        <v>1200</v>
      </c>
      <c r="D9489" s="18">
        <v>2021</v>
      </c>
      <c r="E9489" s="18"/>
      <c r="F9489" s="4">
        <v>1</v>
      </c>
      <c r="G9489" s="4">
        <v>5</v>
      </c>
      <c r="H9489" s="4">
        <v>20</v>
      </c>
      <c r="I9489" s="201"/>
      <c r="J9489" s="201"/>
    </row>
    <row r="9490" spans="1:10" s="15" customFormat="1" ht="28.5" hidden="1" customHeight="1" outlineLevel="1" x14ac:dyDescent="0.25">
      <c r="A9490" s="46">
        <v>10194</v>
      </c>
      <c r="B9490" s="4" t="s">
        <v>43</v>
      </c>
      <c r="C9490" s="22" t="s">
        <v>1201</v>
      </c>
      <c r="D9490" s="18">
        <v>2021</v>
      </c>
      <c r="E9490" s="18"/>
      <c r="F9490" s="4">
        <v>1</v>
      </c>
      <c r="G9490" s="4">
        <v>5</v>
      </c>
      <c r="H9490" s="4">
        <v>19</v>
      </c>
      <c r="I9490" s="201"/>
      <c r="J9490" s="201"/>
    </row>
    <row r="9491" spans="1:10" s="15" customFormat="1" ht="28.5" hidden="1" customHeight="1" outlineLevel="1" x14ac:dyDescent="0.25">
      <c r="A9491" s="46">
        <v>9284</v>
      </c>
      <c r="B9491" s="4" t="s">
        <v>43</v>
      </c>
      <c r="C9491" s="22" t="s">
        <v>471</v>
      </c>
      <c r="D9491" s="18">
        <v>2021</v>
      </c>
      <c r="E9491" s="18"/>
      <c r="F9491" s="4">
        <v>1</v>
      </c>
      <c r="G9491" s="4">
        <v>5</v>
      </c>
      <c r="H9491" s="4">
        <v>21</v>
      </c>
      <c r="I9491" s="201"/>
      <c r="J9491" s="201"/>
    </row>
    <row r="9492" spans="1:10" s="15" customFormat="1" ht="28.5" hidden="1" customHeight="1" outlineLevel="1" x14ac:dyDescent="0.25">
      <c r="A9492" s="46">
        <v>10143</v>
      </c>
      <c r="B9492" s="4" t="s">
        <v>43</v>
      </c>
      <c r="C9492" s="22" t="s">
        <v>1202</v>
      </c>
      <c r="D9492" s="18">
        <v>2021</v>
      </c>
      <c r="E9492" s="18"/>
      <c r="F9492" s="4">
        <v>1</v>
      </c>
      <c r="G9492" s="4">
        <v>5</v>
      </c>
      <c r="H9492" s="4">
        <v>22</v>
      </c>
      <c r="I9492" s="201"/>
      <c r="J9492" s="201"/>
    </row>
    <row r="9493" spans="1:10" s="15" customFormat="1" ht="28.5" hidden="1" customHeight="1" outlineLevel="1" x14ac:dyDescent="0.25">
      <c r="A9493" s="46">
        <v>10177</v>
      </c>
      <c r="B9493" s="4" t="s">
        <v>43</v>
      </c>
      <c r="C9493" s="22" t="s">
        <v>1203</v>
      </c>
      <c r="D9493" s="18">
        <v>2021</v>
      </c>
      <c r="E9493" s="18"/>
      <c r="F9493" s="4">
        <v>1</v>
      </c>
      <c r="G9493" s="4">
        <v>5</v>
      </c>
      <c r="H9493" s="4">
        <v>22</v>
      </c>
      <c r="I9493" s="201"/>
      <c r="J9493" s="201"/>
    </row>
    <row r="9494" spans="1:10" s="15" customFormat="1" ht="28.5" hidden="1" customHeight="1" outlineLevel="1" x14ac:dyDescent="0.25">
      <c r="A9494" s="45">
        <v>360</v>
      </c>
      <c r="B9494" s="4" t="s">
        <v>43</v>
      </c>
      <c r="C9494" s="22" t="s">
        <v>487</v>
      </c>
      <c r="D9494" s="18">
        <v>2021</v>
      </c>
      <c r="E9494" s="18"/>
      <c r="F9494" s="4">
        <v>1</v>
      </c>
      <c r="G9494" s="4">
        <v>2</v>
      </c>
      <c r="H9494" s="4">
        <v>26</v>
      </c>
      <c r="I9494" s="201"/>
      <c r="J9494" s="201"/>
    </row>
    <row r="9495" spans="1:10" s="15" customFormat="1" ht="28.5" hidden="1" customHeight="1" outlineLevel="1" x14ac:dyDescent="0.25">
      <c r="A9495" s="45">
        <v>2062</v>
      </c>
      <c r="B9495" s="4" t="s">
        <v>43</v>
      </c>
      <c r="C9495" s="22" t="s">
        <v>1204</v>
      </c>
      <c r="D9495" s="18">
        <v>2021</v>
      </c>
      <c r="E9495" s="18"/>
      <c r="F9495" s="4">
        <v>1</v>
      </c>
      <c r="G9495" s="4">
        <v>5</v>
      </c>
      <c r="H9495" s="4">
        <v>18</v>
      </c>
      <c r="I9495" s="201"/>
      <c r="J9495" s="201"/>
    </row>
    <row r="9496" spans="1:10" s="15" customFormat="1" ht="28.5" hidden="1" customHeight="1" outlineLevel="1" x14ac:dyDescent="0.25">
      <c r="A9496" s="46">
        <v>9310</v>
      </c>
      <c r="B9496" s="4" t="s">
        <v>43</v>
      </c>
      <c r="C9496" s="22" t="s">
        <v>489</v>
      </c>
      <c r="D9496" s="18">
        <v>2021</v>
      </c>
      <c r="E9496" s="18"/>
      <c r="F9496" s="4">
        <v>1</v>
      </c>
      <c r="G9496" s="4">
        <v>5</v>
      </c>
      <c r="H9496" s="4">
        <v>29</v>
      </c>
      <c r="I9496" s="201"/>
      <c r="J9496" s="201"/>
    </row>
    <row r="9497" spans="1:10" s="15" customFormat="1" ht="28.5" hidden="1" customHeight="1" outlineLevel="1" x14ac:dyDescent="0.25">
      <c r="A9497" s="18">
        <v>10906</v>
      </c>
      <c r="B9497" s="4" t="s">
        <v>43</v>
      </c>
      <c r="C9497" s="22" t="s">
        <v>1205</v>
      </c>
      <c r="D9497" s="18">
        <v>2021</v>
      </c>
      <c r="E9497" s="18"/>
      <c r="F9497" s="4">
        <v>21</v>
      </c>
      <c r="G9497" s="4">
        <v>144</v>
      </c>
      <c r="H9497" s="4">
        <v>376</v>
      </c>
      <c r="I9497" s="201"/>
      <c r="J9497" s="201"/>
    </row>
    <row r="9498" spans="1:10" s="15" customFormat="1" ht="28.5" hidden="1" customHeight="1" outlineLevel="1" x14ac:dyDescent="0.25">
      <c r="A9498" s="45">
        <v>2078</v>
      </c>
      <c r="B9498" s="4" t="s">
        <v>43</v>
      </c>
      <c r="C9498" s="22" t="s">
        <v>1206</v>
      </c>
      <c r="D9498" s="18">
        <v>2021</v>
      </c>
      <c r="E9498" s="18"/>
      <c r="F9498" s="4">
        <v>1</v>
      </c>
      <c r="G9498" s="4">
        <v>5</v>
      </c>
      <c r="H9498" s="4">
        <v>22</v>
      </c>
      <c r="I9498" s="201"/>
      <c r="J9498" s="201"/>
    </row>
    <row r="9499" spans="1:10" s="15" customFormat="1" ht="28.5" hidden="1" customHeight="1" outlineLevel="1" x14ac:dyDescent="0.25">
      <c r="A9499" s="45">
        <v>2095</v>
      </c>
      <c r="B9499" s="4" t="s">
        <v>43</v>
      </c>
      <c r="C9499" s="22" t="s">
        <v>1207</v>
      </c>
      <c r="D9499" s="18">
        <v>2021</v>
      </c>
      <c r="E9499" s="18"/>
      <c r="F9499" s="4">
        <v>1</v>
      </c>
      <c r="G9499" s="4">
        <v>5</v>
      </c>
      <c r="H9499" s="4">
        <v>18</v>
      </c>
      <c r="I9499" s="201"/>
      <c r="J9499" s="201"/>
    </row>
    <row r="9500" spans="1:10" s="15" customFormat="1" ht="28.5" hidden="1" customHeight="1" outlineLevel="1" x14ac:dyDescent="0.25">
      <c r="A9500" s="45">
        <v>2103</v>
      </c>
      <c r="B9500" s="4" t="s">
        <v>43</v>
      </c>
      <c r="C9500" s="22" t="s">
        <v>1208</v>
      </c>
      <c r="D9500" s="18">
        <v>2021</v>
      </c>
      <c r="E9500" s="18"/>
      <c r="F9500" s="4">
        <v>1</v>
      </c>
      <c r="G9500" s="4">
        <v>5</v>
      </c>
      <c r="H9500" s="4">
        <v>18</v>
      </c>
      <c r="I9500" s="201"/>
      <c r="J9500" s="201"/>
    </row>
    <row r="9501" spans="1:10" s="15" customFormat="1" ht="28.5" hidden="1" customHeight="1" outlineLevel="1" x14ac:dyDescent="0.25">
      <c r="A9501" s="45">
        <v>603</v>
      </c>
      <c r="B9501" s="4" t="s">
        <v>43</v>
      </c>
      <c r="C9501" s="22" t="s">
        <v>505</v>
      </c>
      <c r="D9501" s="18">
        <v>2021</v>
      </c>
      <c r="E9501" s="18"/>
      <c r="F9501" s="4">
        <v>1</v>
      </c>
      <c r="G9501" s="4">
        <v>15</v>
      </c>
      <c r="H9501" s="4">
        <v>32</v>
      </c>
      <c r="I9501" s="201"/>
      <c r="J9501" s="201"/>
    </row>
    <row r="9502" spans="1:10" s="15" customFormat="1" ht="28.5" hidden="1" customHeight="1" outlineLevel="1" x14ac:dyDescent="0.25">
      <c r="A9502" s="46">
        <v>9401</v>
      </c>
      <c r="B9502" s="4" t="s">
        <v>43</v>
      </c>
      <c r="C9502" s="22" t="s">
        <v>835</v>
      </c>
      <c r="D9502" s="18">
        <v>2021</v>
      </c>
      <c r="E9502" s="18"/>
      <c r="F9502" s="4">
        <v>1</v>
      </c>
      <c r="G9502" s="4">
        <v>15</v>
      </c>
      <c r="H9502" s="4">
        <v>23</v>
      </c>
      <c r="I9502" s="201"/>
      <c r="J9502" s="201"/>
    </row>
    <row r="9503" spans="1:10" s="15" customFormat="1" ht="28.5" hidden="1" customHeight="1" outlineLevel="1" x14ac:dyDescent="0.25">
      <c r="A9503" s="46">
        <v>10217</v>
      </c>
      <c r="B9503" s="4" t="s">
        <v>43</v>
      </c>
      <c r="C9503" s="22" t="s">
        <v>1209</v>
      </c>
      <c r="D9503" s="18">
        <v>2021</v>
      </c>
      <c r="E9503" s="18"/>
      <c r="F9503" s="4">
        <v>1</v>
      </c>
      <c r="G9503" s="4">
        <v>5</v>
      </c>
      <c r="H9503" s="4">
        <v>25</v>
      </c>
      <c r="I9503" s="201"/>
      <c r="J9503" s="201"/>
    </row>
    <row r="9504" spans="1:10" s="15" customFormat="1" ht="28.5" hidden="1" customHeight="1" outlineLevel="1" x14ac:dyDescent="0.25">
      <c r="A9504" s="46">
        <v>10145</v>
      </c>
      <c r="B9504" s="4" t="s">
        <v>43</v>
      </c>
      <c r="C9504" s="22" t="s">
        <v>1210</v>
      </c>
      <c r="D9504" s="18">
        <v>2021</v>
      </c>
      <c r="E9504" s="18"/>
      <c r="F9504" s="4">
        <v>1</v>
      </c>
      <c r="G9504" s="4">
        <v>5</v>
      </c>
      <c r="H9504" s="4">
        <v>30</v>
      </c>
      <c r="I9504" s="201"/>
      <c r="J9504" s="201"/>
    </row>
    <row r="9505" spans="1:10" s="15" customFormat="1" ht="28.5" hidden="1" customHeight="1" outlineLevel="1" x14ac:dyDescent="0.25">
      <c r="A9505" s="46">
        <v>10242</v>
      </c>
      <c r="B9505" s="4" t="s">
        <v>43</v>
      </c>
      <c r="C9505" s="22" t="s">
        <v>1211</v>
      </c>
      <c r="D9505" s="18">
        <v>2021</v>
      </c>
      <c r="E9505" s="18"/>
      <c r="F9505" s="4">
        <v>1</v>
      </c>
      <c r="G9505" s="4">
        <v>5</v>
      </c>
      <c r="H9505" s="4">
        <v>25</v>
      </c>
      <c r="I9505" s="201"/>
      <c r="J9505" s="201"/>
    </row>
    <row r="9506" spans="1:10" s="15" customFormat="1" ht="28.5" hidden="1" customHeight="1" outlineLevel="1" x14ac:dyDescent="0.25">
      <c r="A9506" s="46">
        <v>10196</v>
      </c>
      <c r="B9506" s="4" t="s">
        <v>43</v>
      </c>
      <c r="C9506" s="22" t="s">
        <v>1212</v>
      </c>
      <c r="D9506" s="18">
        <v>2021</v>
      </c>
      <c r="E9506" s="18"/>
      <c r="F9506" s="4">
        <v>1</v>
      </c>
      <c r="G9506" s="4">
        <v>5</v>
      </c>
      <c r="H9506" s="4">
        <v>25</v>
      </c>
      <c r="I9506" s="201"/>
      <c r="J9506" s="201"/>
    </row>
    <row r="9507" spans="1:10" s="15" customFormat="1" ht="28.5" hidden="1" customHeight="1" outlineLevel="1" x14ac:dyDescent="0.25">
      <c r="A9507" s="46">
        <v>9307</v>
      </c>
      <c r="B9507" s="4" t="s">
        <v>43</v>
      </c>
      <c r="C9507" s="22" t="s">
        <v>547</v>
      </c>
      <c r="D9507" s="18">
        <v>2021</v>
      </c>
      <c r="E9507" s="18"/>
      <c r="F9507" s="4">
        <v>1</v>
      </c>
      <c r="G9507" s="4">
        <v>7</v>
      </c>
      <c r="H9507" s="4">
        <v>31</v>
      </c>
      <c r="I9507" s="201"/>
      <c r="J9507" s="201"/>
    </row>
    <row r="9508" spans="1:10" s="15" customFormat="1" ht="28.5" hidden="1" customHeight="1" outlineLevel="1" x14ac:dyDescent="0.25">
      <c r="A9508" s="46">
        <v>9632</v>
      </c>
      <c r="B9508" s="4" t="s">
        <v>43</v>
      </c>
      <c r="C9508" s="38" t="s">
        <v>742</v>
      </c>
      <c r="D9508" s="18">
        <v>2021</v>
      </c>
      <c r="E9508" s="18"/>
      <c r="F9508" s="4">
        <v>4</v>
      </c>
      <c r="G9508" s="4">
        <v>60</v>
      </c>
      <c r="H9508" s="4">
        <v>123</v>
      </c>
      <c r="I9508" s="201"/>
      <c r="J9508" s="201"/>
    </row>
    <row r="9509" spans="1:10" s="15" customFormat="1" ht="28.5" hidden="1" customHeight="1" outlineLevel="1" x14ac:dyDescent="0.25">
      <c r="A9509" s="46">
        <v>9297</v>
      </c>
      <c r="B9509" s="4" t="s">
        <v>43</v>
      </c>
      <c r="C9509" s="22" t="s">
        <v>1213</v>
      </c>
      <c r="D9509" s="18">
        <v>2021</v>
      </c>
      <c r="E9509" s="18"/>
      <c r="F9509" s="4">
        <v>1</v>
      </c>
      <c r="G9509" s="4">
        <v>15</v>
      </c>
      <c r="H9509" s="4">
        <v>24</v>
      </c>
      <c r="I9509" s="201"/>
      <c r="J9509" s="201"/>
    </row>
    <row r="9510" spans="1:10" s="15" customFormat="1" ht="28.5" hidden="1" customHeight="1" outlineLevel="1" x14ac:dyDescent="0.25">
      <c r="A9510" s="46">
        <v>10334</v>
      </c>
      <c r="B9510" s="4" t="s">
        <v>43</v>
      </c>
      <c r="C9510" s="22" t="s">
        <v>1214</v>
      </c>
      <c r="D9510" s="18">
        <v>2021</v>
      </c>
      <c r="E9510" s="18"/>
      <c r="F9510" s="4">
        <v>18</v>
      </c>
      <c r="G9510" s="4">
        <v>215</v>
      </c>
      <c r="H9510" s="4">
        <v>260</v>
      </c>
      <c r="I9510" s="201"/>
      <c r="J9510" s="201"/>
    </row>
    <row r="9511" spans="1:10" s="15" customFormat="1" ht="28.5" hidden="1" customHeight="1" outlineLevel="1" x14ac:dyDescent="0.25">
      <c r="A9511" s="46">
        <v>9312</v>
      </c>
      <c r="B9511" s="4" t="s">
        <v>43</v>
      </c>
      <c r="C9511" s="22" t="s">
        <v>1215</v>
      </c>
      <c r="D9511" s="18">
        <v>2021</v>
      </c>
      <c r="E9511" s="18"/>
      <c r="F9511" s="4">
        <v>1</v>
      </c>
      <c r="G9511" s="4">
        <v>5</v>
      </c>
      <c r="H9511" s="4">
        <v>16</v>
      </c>
      <c r="I9511" s="201"/>
      <c r="J9511" s="201"/>
    </row>
    <row r="9512" spans="1:10" s="15" customFormat="1" ht="28.5" hidden="1" customHeight="1" outlineLevel="1" x14ac:dyDescent="0.25">
      <c r="A9512" s="46">
        <v>10257</v>
      </c>
      <c r="B9512" s="4" t="s">
        <v>43</v>
      </c>
      <c r="C9512" s="22" t="s">
        <v>1216</v>
      </c>
      <c r="D9512" s="18">
        <v>2021</v>
      </c>
      <c r="E9512" s="18"/>
      <c r="F9512" s="4">
        <v>1</v>
      </c>
      <c r="G9512" s="4">
        <v>2.4</v>
      </c>
      <c r="H9512" s="4">
        <v>17</v>
      </c>
      <c r="I9512" s="201"/>
      <c r="J9512" s="201"/>
    </row>
    <row r="9513" spans="1:10" s="15" customFormat="1" ht="28.5" hidden="1" customHeight="1" outlineLevel="1" x14ac:dyDescent="0.25">
      <c r="A9513" s="45">
        <v>2038</v>
      </c>
      <c r="B9513" s="4" t="s">
        <v>43</v>
      </c>
      <c r="C9513" s="22" t="s">
        <v>1217</v>
      </c>
      <c r="D9513" s="18">
        <v>2021</v>
      </c>
      <c r="E9513" s="18"/>
      <c r="F9513" s="4">
        <v>1</v>
      </c>
      <c r="G9513" s="4">
        <v>5</v>
      </c>
      <c r="H9513" s="4">
        <v>18</v>
      </c>
      <c r="I9513" s="201"/>
      <c r="J9513" s="201"/>
    </row>
    <row r="9514" spans="1:10" s="15" customFormat="1" ht="28.5" hidden="1" customHeight="1" outlineLevel="1" x14ac:dyDescent="0.25">
      <c r="A9514" s="46">
        <v>9306</v>
      </c>
      <c r="B9514" s="4" t="s">
        <v>43</v>
      </c>
      <c r="C9514" s="22" t="s">
        <v>1218</v>
      </c>
      <c r="D9514" s="18">
        <v>2021</v>
      </c>
      <c r="E9514" s="18"/>
      <c r="F9514" s="4">
        <v>1</v>
      </c>
      <c r="G9514" s="4">
        <v>15</v>
      </c>
      <c r="H9514" s="4">
        <v>15</v>
      </c>
      <c r="I9514" s="201"/>
      <c r="J9514" s="201"/>
    </row>
    <row r="9515" spans="1:10" s="15" customFormat="1" ht="28.5" hidden="1" customHeight="1" outlineLevel="1" x14ac:dyDescent="0.25">
      <c r="A9515" s="46">
        <v>10356</v>
      </c>
      <c r="B9515" s="4" t="s">
        <v>43</v>
      </c>
      <c r="C9515" s="22" t="s">
        <v>1219</v>
      </c>
      <c r="D9515" s="18">
        <v>2021</v>
      </c>
      <c r="E9515" s="18"/>
      <c r="F9515" s="4">
        <v>1</v>
      </c>
      <c r="G9515" s="4">
        <v>7</v>
      </c>
      <c r="H9515" s="4">
        <v>69.17667999999999</v>
      </c>
      <c r="I9515" s="201"/>
      <c r="J9515" s="201"/>
    </row>
    <row r="9516" spans="1:10" s="15" customFormat="1" ht="28.5" hidden="1" customHeight="1" outlineLevel="1" x14ac:dyDescent="0.25">
      <c r="A9516" s="46">
        <v>10369</v>
      </c>
      <c r="B9516" s="4" t="s">
        <v>43</v>
      </c>
      <c r="C9516" s="22" t="s">
        <v>1220</v>
      </c>
      <c r="D9516" s="18">
        <v>2021</v>
      </c>
      <c r="E9516" s="18"/>
      <c r="F9516" s="4">
        <v>1</v>
      </c>
      <c r="G9516" s="4">
        <v>5.5</v>
      </c>
      <c r="H9516" s="4">
        <v>84.379000000000005</v>
      </c>
      <c r="I9516" s="201"/>
      <c r="J9516" s="201"/>
    </row>
    <row r="9517" spans="1:10" s="15" customFormat="1" ht="28.5" hidden="1" customHeight="1" outlineLevel="1" x14ac:dyDescent="0.25">
      <c r="A9517" s="46">
        <v>9008</v>
      </c>
      <c r="B9517" s="4" t="s">
        <v>43</v>
      </c>
      <c r="C9517" s="22" t="s">
        <v>1221</v>
      </c>
      <c r="D9517" s="18">
        <v>2021</v>
      </c>
      <c r="E9517" s="18"/>
      <c r="F9517" s="4">
        <v>1</v>
      </c>
      <c r="G9517" s="4">
        <v>7</v>
      </c>
      <c r="H9517" s="4">
        <v>81.269240000000011</v>
      </c>
      <c r="I9517" s="201"/>
      <c r="J9517" s="201"/>
    </row>
    <row r="9518" spans="1:10" s="15" customFormat="1" ht="28.5" hidden="1" customHeight="1" outlineLevel="1" x14ac:dyDescent="0.25">
      <c r="A9518" s="46">
        <v>10347</v>
      </c>
      <c r="B9518" s="4" t="s">
        <v>43</v>
      </c>
      <c r="C9518" s="22" t="s">
        <v>1222</v>
      </c>
      <c r="D9518" s="18">
        <v>2021</v>
      </c>
      <c r="E9518" s="18"/>
      <c r="F9518" s="4">
        <v>1</v>
      </c>
      <c r="G9518" s="4">
        <v>5</v>
      </c>
      <c r="H9518" s="4">
        <v>83.935559999999995</v>
      </c>
      <c r="I9518" s="201"/>
      <c r="J9518" s="201"/>
    </row>
    <row r="9519" spans="1:10" s="15" customFormat="1" ht="28.5" hidden="1" customHeight="1" outlineLevel="1" x14ac:dyDescent="0.25">
      <c r="A9519" s="46">
        <v>10354</v>
      </c>
      <c r="B9519" s="4" t="s">
        <v>43</v>
      </c>
      <c r="C9519" s="22" t="s">
        <v>1223</v>
      </c>
      <c r="D9519" s="18">
        <v>2021</v>
      </c>
      <c r="E9519" s="18"/>
      <c r="F9519" s="4">
        <v>1</v>
      </c>
      <c r="G9519" s="4">
        <v>3</v>
      </c>
      <c r="H9519" s="4">
        <v>83.723889999999997</v>
      </c>
      <c r="I9519" s="201"/>
      <c r="J9519" s="201"/>
    </row>
    <row r="9520" spans="1:10" s="15" customFormat="1" ht="28.5" hidden="1" customHeight="1" outlineLevel="1" x14ac:dyDescent="0.25">
      <c r="A9520" s="46">
        <v>10372</v>
      </c>
      <c r="B9520" s="4" t="s">
        <v>43</v>
      </c>
      <c r="C9520" s="22" t="s">
        <v>1224</v>
      </c>
      <c r="D9520" s="18">
        <v>2021</v>
      </c>
      <c r="E9520" s="18"/>
      <c r="F9520" s="4">
        <v>1</v>
      </c>
      <c r="G9520" s="4">
        <v>5</v>
      </c>
      <c r="H9520" s="4">
        <v>22.147759999999998</v>
      </c>
      <c r="I9520" s="201"/>
      <c r="J9520" s="201"/>
    </row>
    <row r="9521" spans="1:10" s="15" customFormat="1" ht="28.5" hidden="1" customHeight="1" outlineLevel="1" x14ac:dyDescent="0.25">
      <c r="A9521" s="46">
        <v>9119</v>
      </c>
      <c r="B9521" s="4" t="s">
        <v>43</v>
      </c>
      <c r="C9521" s="22" t="s">
        <v>1225</v>
      </c>
      <c r="D9521" s="18">
        <v>2021</v>
      </c>
      <c r="E9521" s="18"/>
      <c r="F9521" s="4">
        <v>1</v>
      </c>
      <c r="G9521" s="4">
        <v>10</v>
      </c>
      <c r="H9521" s="4">
        <v>21.01276</v>
      </c>
      <c r="I9521" s="201"/>
      <c r="J9521" s="201"/>
    </row>
    <row r="9522" spans="1:10" s="15" customFormat="1" ht="28.5" hidden="1" customHeight="1" outlineLevel="1" x14ac:dyDescent="0.25">
      <c r="A9522" s="46">
        <v>10352</v>
      </c>
      <c r="B9522" s="4" t="s">
        <v>43</v>
      </c>
      <c r="C9522" s="22" t="s">
        <v>1226</v>
      </c>
      <c r="D9522" s="18">
        <v>2021</v>
      </c>
      <c r="E9522" s="18"/>
      <c r="F9522" s="4">
        <v>1</v>
      </c>
      <c r="G9522" s="4">
        <v>7</v>
      </c>
      <c r="H9522" s="4">
        <v>20.44426</v>
      </c>
      <c r="I9522" s="201"/>
      <c r="J9522" s="201"/>
    </row>
    <row r="9523" spans="1:10" s="15" customFormat="1" ht="28.5" hidden="1" customHeight="1" outlineLevel="1" x14ac:dyDescent="0.25">
      <c r="A9523" s="46">
        <v>10364</v>
      </c>
      <c r="B9523" s="4" t="s">
        <v>43</v>
      </c>
      <c r="C9523" s="22" t="s">
        <v>1227</v>
      </c>
      <c r="D9523" s="18">
        <v>2021</v>
      </c>
      <c r="E9523" s="18"/>
      <c r="F9523" s="4">
        <v>1</v>
      </c>
      <c r="G9523" s="4">
        <v>7</v>
      </c>
      <c r="H9523" s="4">
        <v>18.248699999999999</v>
      </c>
      <c r="I9523" s="201"/>
      <c r="J9523" s="201"/>
    </row>
    <row r="9524" spans="1:10" s="15" customFormat="1" ht="28.5" hidden="1" customHeight="1" outlineLevel="1" x14ac:dyDescent="0.25">
      <c r="A9524" s="46">
        <v>10365</v>
      </c>
      <c r="B9524" s="4" t="s">
        <v>43</v>
      </c>
      <c r="C9524" s="22" t="s">
        <v>1228</v>
      </c>
      <c r="D9524" s="18">
        <v>2021</v>
      </c>
      <c r="E9524" s="18"/>
      <c r="F9524" s="4">
        <v>1</v>
      </c>
      <c r="G9524" s="4">
        <v>6</v>
      </c>
      <c r="H9524" s="4">
        <v>22.434169999999998</v>
      </c>
      <c r="I9524" s="201"/>
      <c r="J9524" s="201"/>
    </row>
    <row r="9525" spans="1:10" s="15" customFormat="1" ht="28.5" hidden="1" customHeight="1" outlineLevel="1" x14ac:dyDescent="0.25">
      <c r="A9525" s="46">
        <v>10362</v>
      </c>
      <c r="B9525" s="4" t="s">
        <v>43</v>
      </c>
      <c r="C9525" s="22" t="s">
        <v>1229</v>
      </c>
      <c r="D9525" s="18">
        <v>2021</v>
      </c>
      <c r="E9525" s="18"/>
      <c r="F9525" s="4">
        <v>1</v>
      </c>
      <c r="G9525" s="4">
        <v>11</v>
      </c>
      <c r="H9525" s="4">
        <v>18.24023</v>
      </c>
      <c r="I9525" s="201"/>
      <c r="J9525" s="201"/>
    </row>
    <row r="9526" spans="1:10" s="15" customFormat="1" ht="28.5" hidden="1" customHeight="1" outlineLevel="1" x14ac:dyDescent="0.25">
      <c r="A9526" s="46">
        <v>10357</v>
      </c>
      <c r="B9526" s="4" t="s">
        <v>43</v>
      </c>
      <c r="C9526" s="22" t="s">
        <v>1230</v>
      </c>
      <c r="D9526" s="18">
        <v>2021</v>
      </c>
      <c r="E9526" s="18"/>
      <c r="F9526" s="4">
        <v>1</v>
      </c>
      <c r="G9526" s="4">
        <v>7</v>
      </c>
      <c r="H9526" s="4">
        <v>28.114189999999997</v>
      </c>
      <c r="I9526" s="201"/>
      <c r="J9526" s="201"/>
    </row>
    <row r="9527" spans="1:10" s="15" customFormat="1" ht="28.5" hidden="1" customHeight="1" outlineLevel="1" x14ac:dyDescent="0.25">
      <c r="A9527" s="46">
        <v>10350</v>
      </c>
      <c r="B9527" s="4" t="s">
        <v>43</v>
      </c>
      <c r="C9527" s="22" t="s">
        <v>1231</v>
      </c>
      <c r="D9527" s="18">
        <v>2021</v>
      </c>
      <c r="E9527" s="18"/>
      <c r="F9527" s="4">
        <v>1</v>
      </c>
      <c r="G9527" s="4">
        <v>7</v>
      </c>
      <c r="H9527" s="4">
        <v>18.506430000000002</v>
      </c>
      <c r="I9527" s="201"/>
      <c r="J9527" s="201"/>
    </row>
    <row r="9528" spans="1:10" s="15" customFormat="1" ht="28.5" hidden="1" customHeight="1" outlineLevel="1" x14ac:dyDescent="0.25">
      <c r="A9528" s="46">
        <v>10376</v>
      </c>
      <c r="B9528" s="4" t="s">
        <v>43</v>
      </c>
      <c r="C9528" s="22" t="s">
        <v>1232</v>
      </c>
      <c r="D9528" s="18">
        <v>2021</v>
      </c>
      <c r="E9528" s="18"/>
      <c r="F9528" s="4">
        <v>1</v>
      </c>
      <c r="G9528" s="4">
        <v>7</v>
      </c>
      <c r="H9528" s="4">
        <v>18.38345</v>
      </c>
      <c r="I9528" s="201"/>
      <c r="J9528" s="201"/>
    </row>
    <row r="9529" spans="1:10" s="15" customFormat="1" ht="28.5" hidden="1" customHeight="1" outlineLevel="1" x14ac:dyDescent="0.25">
      <c r="A9529" s="46">
        <v>10358</v>
      </c>
      <c r="B9529" s="4" t="s">
        <v>43</v>
      </c>
      <c r="C9529" s="22" t="s">
        <v>1233</v>
      </c>
      <c r="D9529" s="18">
        <v>2021</v>
      </c>
      <c r="E9529" s="18"/>
      <c r="F9529" s="4">
        <v>1</v>
      </c>
      <c r="G9529" s="4">
        <v>2</v>
      </c>
      <c r="H9529" s="4">
        <v>22.743380000000002</v>
      </c>
      <c r="I9529" s="201"/>
      <c r="J9529" s="201"/>
    </row>
    <row r="9530" spans="1:10" s="15" customFormat="1" ht="28.5" hidden="1" customHeight="1" outlineLevel="1" x14ac:dyDescent="0.25">
      <c r="A9530" s="46">
        <v>9002</v>
      </c>
      <c r="B9530" s="4" t="s">
        <v>43</v>
      </c>
      <c r="C9530" s="22" t="s">
        <v>1234</v>
      </c>
      <c r="D9530" s="18">
        <v>2021</v>
      </c>
      <c r="E9530" s="18"/>
      <c r="F9530" s="4">
        <v>1</v>
      </c>
      <c r="G9530" s="4">
        <v>7</v>
      </c>
      <c r="H9530" s="4">
        <v>19.604099999999999</v>
      </c>
      <c r="I9530" s="201"/>
      <c r="J9530" s="201"/>
    </row>
    <row r="9531" spans="1:10" s="15" customFormat="1" ht="28.5" hidden="1" customHeight="1" outlineLevel="1" x14ac:dyDescent="0.25">
      <c r="A9531" s="46">
        <v>10360</v>
      </c>
      <c r="B9531" s="4" t="s">
        <v>43</v>
      </c>
      <c r="C9531" s="22" t="s">
        <v>1235</v>
      </c>
      <c r="D9531" s="18">
        <v>2021</v>
      </c>
      <c r="E9531" s="18"/>
      <c r="F9531" s="4">
        <v>1</v>
      </c>
      <c r="G9531" s="4">
        <v>6</v>
      </c>
      <c r="H9531" s="4">
        <v>21.721830000000001</v>
      </c>
      <c r="I9531" s="201"/>
      <c r="J9531" s="201"/>
    </row>
    <row r="9532" spans="1:10" s="15" customFormat="1" ht="28.5" hidden="1" customHeight="1" outlineLevel="1" x14ac:dyDescent="0.25">
      <c r="A9532" s="46">
        <v>10346</v>
      </c>
      <c r="B9532" s="4" t="s">
        <v>43</v>
      </c>
      <c r="C9532" s="22" t="s">
        <v>1236</v>
      </c>
      <c r="D9532" s="18">
        <v>2021</v>
      </c>
      <c r="E9532" s="18"/>
      <c r="F9532" s="4">
        <v>1</v>
      </c>
      <c r="G9532" s="4">
        <v>5</v>
      </c>
      <c r="H9532" s="4">
        <v>20.234189999999998</v>
      </c>
      <c r="I9532" s="201"/>
      <c r="J9532" s="201"/>
    </row>
    <row r="9533" spans="1:10" s="15" customFormat="1" ht="28.5" hidden="1" customHeight="1" outlineLevel="1" x14ac:dyDescent="0.25">
      <c r="A9533" s="46">
        <v>9123</v>
      </c>
      <c r="B9533" s="4" t="s">
        <v>43</v>
      </c>
      <c r="C9533" s="22" t="s">
        <v>1237</v>
      </c>
      <c r="D9533" s="18">
        <v>2021</v>
      </c>
      <c r="E9533" s="18"/>
      <c r="F9533" s="4">
        <v>1</v>
      </c>
      <c r="G9533" s="4">
        <v>7</v>
      </c>
      <c r="H9533" s="4">
        <v>18.38354</v>
      </c>
      <c r="I9533" s="201"/>
      <c r="J9533" s="201"/>
    </row>
    <row r="9534" spans="1:10" s="15" customFormat="1" ht="28.5" hidden="1" customHeight="1" outlineLevel="1" x14ac:dyDescent="0.25">
      <c r="A9534" s="46">
        <v>10375</v>
      </c>
      <c r="B9534" s="4" t="s">
        <v>43</v>
      </c>
      <c r="C9534" s="22" t="s">
        <v>1238</v>
      </c>
      <c r="D9534" s="18">
        <v>2021</v>
      </c>
      <c r="E9534" s="18"/>
      <c r="F9534" s="4">
        <v>1</v>
      </c>
      <c r="G9534" s="4">
        <v>7</v>
      </c>
      <c r="H9534" s="4">
        <v>18.97476</v>
      </c>
      <c r="I9534" s="201"/>
      <c r="J9534" s="201"/>
    </row>
    <row r="9535" spans="1:10" s="15" customFormat="1" ht="28.5" hidden="1" customHeight="1" outlineLevel="1" x14ac:dyDescent="0.25">
      <c r="A9535" s="46">
        <v>9114</v>
      </c>
      <c r="B9535" s="4" t="s">
        <v>43</v>
      </c>
      <c r="C9535" s="22" t="s">
        <v>1239</v>
      </c>
      <c r="D9535" s="18">
        <v>2021</v>
      </c>
      <c r="E9535" s="18"/>
      <c r="F9535" s="4">
        <v>1</v>
      </c>
      <c r="G9535" s="4">
        <v>7</v>
      </c>
      <c r="H9535" s="4">
        <v>17.653410000000001</v>
      </c>
      <c r="I9535" s="201"/>
      <c r="J9535" s="201"/>
    </row>
    <row r="9536" spans="1:10" s="15" customFormat="1" ht="28.5" hidden="1" customHeight="1" outlineLevel="1" x14ac:dyDescent="0.25">
      <c r="A9536" s="46">
        <v>9115</v>
      </c>
      <c r="B9536" s="4" t="s">
        <v>43</v>
      </c>
      <c r="C9536" s="22" t="s">
        <v>1240</v>
      </c>
      <c r="D9536" s="18">
        <v>2021</v>
      </c>
      <c r="E9536" s="18"/>
      <c r="F9536" s="4">
        <v>1</v>
      </c>
      <c r="G9536" s="4">
        <v>15</v>
      </c>
      <c r="H9536" s="4">
        <v>17.676650000000002</v>
      </c>
      <c r="I9536" s="201"/>
      <c r="J9536" s="201"/>
    </row>
    <row r="9537" spans="1:10" s="15" customFormat="1" ht="28.5" hidden="1" customHeight="1" outlineLevel="1" x14ac:dyDescent="0.25">
      <c r="A9537" s="46">
        <v>9040</v>
      </c>
      <c r="B9537" s="4" t="s">
        <v>43</v>
      </c>
      <c r="C9537" s="22" t="s">
        <v>1241</v>
      </c>
      <c r="D9537" s="18">
        <v>2021</v>
      </c>
      <c r="E9537" s="18"/>
      <c r="F9537" s="4">
        <v>1</v>
      </c>
      <c r="G9537" s="4">
        <v>6</v>
      </c>
      <c r="H9537" s="4">
        <v>20.730040000000002</v>
      </c>
      <c r="I9537" s="201"/>
      <c r="J9537" s="201"/>
    </row>
    <row r="9538" spans="1:10" s="15" customFormat="1" ht="28.5" hidden="1" customHeight="1" outlineLevel="1" x14ac:dyDescent="0.25">
      <c r="A9538" s="46">
        <v>9055</v>
      </c>
      <c r="B9538" s="4" t="s">
        <v>43</v>
      </c>
      <c r="C9538" s="22" t="s">
        <v>1242</v>
      </c>
      <c r="D9538" s="18">
        <v>2021</v>
      </c>
      <c r="E9538" s="18"/>
      <c r="F9538" s="4">
        <v>1</v>
      </c>
      <c r="G9538" s="4">
        <v>5</v>
      </c>
      <c r="H9538" s="4">
        <v>17.960380000000001</v>
      </c>
      <c r="I9538" s="201"/>
      <c r="J9538" s="201"/>
    </row>
    <row r="9539" spans="1:10" s="15" customFormat="1" ht="28.5" hidden="1" customHeight="1" outlineLevel="1" x14ac:dyDescent="0.25">
      <c r="A9539" s="46">
        <v>9056</v>
      </c>
      <c r="B9539" s="4" t="s">
        <v>43</v>
      </c>
      <c r="C9539" s="22" t="s">
        <v>1243</v>
      </c>
      <c r="D9539" s="18">
        <v>2021</v>
      </c>
      <c r="E9539" s="18"/>
      <c r="F9539" s="4">
        <v>1</v>
      </c>
      <c r="G9539" s="4">
        <v>10</v>
      </c>
      <c r="H9539" s="4">
        <v>17.783930000000002</v>
      </c>
      <c r="I9539" s="201"/>
      <c r="J9539" s="201"/>
    </row>
    <row r="9540" spans="1:10" s="15" customFormat="1" ht="28.5" hidden="1" customHeight="1" outlineLevel="1" x14ac:dyDescent="0.25">
      <c r="A9540" s="45">
        <v>471</v>
      </c>
      <c r="B9540" s="4" t="s">
        <v>43</v>
      </c>
      <c r="C9540" s="22" t="s">
        <v>1244</v>
      </c>
      <c r="D9540" s="18">
        <v>2021</v>
      </c>
      <c r="E9540" s="18"/>
      <c r="F9540" s="4">
        <v>1</v>
      </c>
      <c r="G9540" s="4">
        <v>7</v>
      </c>
      <c r="H9540" s="4">
        <v>49</v>
      </c>
      <c r="I9540" s="201"/>
      <c r="J9540" s="201"/>
    </row>
    <row r="9541" spans="1:10" s="15" customFormat="1" ht="28.5" hidden="1" customHeight="1" outlineLevel="1" x14ac:dyDescent="0.25">
      <c r="A9541" s="46">
        <v>9043</v>
      </c>
      <c r="B9541" s="4" t="s">
        <v>43</v>
      </c>
      <c r="C9541" s="22" t="s">
        <v>1245</v>
      </c>
      <c r="D9541" s="18">
        <v>2021</v>
      </c>
      <c r="E9541" s="18"/>
      <c r="F9541" s="4">
        <v>1</v>
      </c>
      <c r="G9541" s="4">
        <v>5</v>
      </c>
      <c r="H9541" s="4">
        <v>17.61345</v>
      </c>
      <c r="I9541" s="201"/>
      <c r="J9541" s="201"/>
    </row>
    <row r="9542" spans="1:10" s="15" customFormat="1" ht="28.5" hidden="1" customHeight="1" outlineLevel="1" x14ac:dyDescent="0.25">
      <c r="A9542" s="46">
        <v>9042</v>
      </c>
      <c r="B9542" s="4" t="s">
        <v>43</v>
      </c>
      <c r="C9542" s="22" t="s">
        <v>1246</v>
      </c>
      <c r="D9542" s="18">
        <v>2021</v>
      </c>
      <c r="E9542" s="18"/>
      <c r="F9542" s="4">
        <v>1</v>
      </c>
      <c r="G9542" s="4">
        <v>5</v>
      </c>
      <c r="H9542" s="4">
        <v>18.2529</v>
      </c>
      <c r="I9542" s="201"/>
      <c r="J9542" s="201"/>
    </row>
    <row r="9543" spans="1:10" s="15" customFormat="1" ht="28.5" hidden="1" customHeight="1" outlineLevel="1" x14ac:dyDescent="0.25">
      <c r="A9543" s="46">
        <v>9038</v>
      </c>
      <c r="B9543" s="4" t="s">
        <v>43</v>
      </c>
      <c r="C9543" s="22" t="s">
        <v>1247</v>
      </c>
      <c r="D9543" s="18">
        <v>2021</v>
      </c>
      <c r="E9543" s="18"/>
      <c r="F9543" s="4">
        <v>1</v>
      </c>
      <c r="G9543" s="4">
        <v>5</v>
      </c>
      <c r="H9543" s="4">
        <v>17.597270000000002</v>
      </c>
      <c r="I9543" s="201"/>
      <c r="J9543" s="201"/>
    </row>
    <row r="9544" spans="1:10" s="15" customFormat="1" ht="28.5" hidden="1" customHeight="1" outlineLevel="1" x14ac:dyDescent="0.25">
      <c r="A9544" s="46">
        <v>9037</v>
      </c>
      <c r="B9544" s="4" t="s">
        <v>43</v>
      </c>
      <c r="C9544" s="22" t="s">
        <v>1248</v>
      </c>
      <c r="D9544" s="18">
        <v>2021</v>
      </c>
      <c r="E9544" s="18"/>
      <c r="F9544" s="4">
        <v>1</v>
      </c>
      <c r="G9544" s="4">
        <v>5</v>
      </c>
      <c r="H9544" s="4">
        <v>17.629090000000001</v>
      </c>
      <c r="I9544" s="201"/>
      <c r="J9544" s="201"/>
    </row>
    <row r="9545" spans="1:10" s="15" customFormat="1" ht="28.5" hidden="1" customHeight="1" outlineLevel="1" x14ac:dyDescent="0.25">
      <c r="A9545" s="46">
        <v>9054</v>
      </c>
      <c r="B9545" s="4" t="s">
        <v>43</v>
      </c>
      <c r="C9545" s="22" t="s">
        <v>1249</v>
      </c>
      <c r="D9545" s="18">
        <v>2021</v>
      </c>
      <c r="E9545" s="18"/>
      <c r="F9545" s="4">
        <v>1</v>
      </c>
      <c r="G9545" s="4">
        <v>8</v>
      </c>
      <c r="H9545" s="4">
        <v>23.967290000000002</v>
      </c>
      <c r="I9545" s="201"/>
      <c r="J9545" s="201"/>
    </row>
    <row r="9546" spans="1:10" s="15" customFormat="1" ht="28.5" hidden="1" customHeight="1" outlineLevel="1" x14ac:dyDescent="0.25">
      <c r="A9546" s="46">
        <v>9053</v>
      </c>
      <c r="B9546" s="4" t="s">
        <v>43</v>
      </c>
      <c r="C9546" s="22" t="s">
        <v>1250</v>
      </c>
      <c r="D9546" s="18">
        <v>2021</v>
      </c>
      <c r="E9546" s="18"/>
      <c r="F9546" s="4">
        <v>1</v>
      </c>
      <c r="G9546" s="4">
        <v>15</v>
      </c>
      <c r="H9546" s="4">
        <v>19.532439999999998</v>
      </c>
      <c r="I9546" s="201"/>
      <c r="J9546" s="201"/>
    </row>
    <row r="9547" spans="1:10" s="15" customFormat="1" ht="28.5" hidden="1" customHeight="1" outlineLevel="1" x14ac:dyDescent="0.25">
      <c r="A9547" s="46">
        <v>9943</v>
      </c>
      <c r="B9547" s="4" t="s">
        <v>43</v>
      </c>
      <c r="C9547" s="22" t="s">
        <v>1251</v>
      </c>
      <c r="D9547" s="18">
        <v>2021</v>
      </c>
      <c r="E9547" s="18"/>
      <c r="F9547" s="4">
        <v>1</v>
      </c>
      <c r="G9547" s="4">
        <v>15</v>
      </c>
      <c r="H9547" s="4">
        <v>35.790219999999998</v>
      </c>
      <c r="I9547" s="201"/>
      <c r="J9547" s="201"/>
    </row>
    <row r="9548" spans="1:10" s="15" customFormat="1" ht="28.5" hidden="1" customHeight="1" outlineLevel="1" x14ac:dyDescent="0.25">
      <c r="A9548" s="45">
        <v>1478</v>
      </c>
      <c r="B9548" s="4" t="s">
        <v>43</v>
      </c>
      <c r="C9548" s="22" t="s">
        <v>594</v>
      </c>
      <c r="D9548" s="18">
        <v>2021</v>
      </c>
      <c r="E9548" s="18"/>
      <c r="F9548" s="4">
        <v>1</v>
      </c>
      <c r="G9548" s="4">
        <v>5</v>
      </c>
      <c r="H9548" s="4">
        <v>18.952580000000001</v>
      </c>
      <c r="I9548" s="201"/>
      <c r="J9548" s="201"/>
    </row>
    <row r="9549" spans="1:10" s="15" customFormat="1" ht="28.5" hidden="1" customHeight="1" outlineLevel="1" x14ac:dyDescent="0.25">
      <c r="A9549" s="45">
        <v>1628</v>
      </c>
      <c r="B9549" s="4" t="s">
        <v>43</v>
      </c>
      <c r="C9549" s="22" t="s">
        <v>1252</v>
      </c>
      <c r="D9549" s="18">
        <v>2021</v>
      </c>
      <c r="E9549" s="18"/>
      <c r="F9549" s="4">
        <v>1</v>
      </c>
      <c r="G9549" s="4">
        <v>10</v>
      </c>
      <c r="H9549" s="4">
        <v>80.848159999999993</v>
      </c>
      <c r="I9549" s="201"/>
      <c r="J9549" s="201"/>
    </row>
    <row r="9550" spans="1:10" s="15" customFormat="1" ht="28.5" hidden="1" customHeight="1" outlineLevel="1" x14ac:dyDescent="0.25">
      <c r="A9550" s="46">
        <v>9919</v>
      </c>
      <c r="B9550" s="4" t="s">
        <v>43</v>
      </c>
      <c r="C9550" s="22" t="s">
        <v>1253</v>
      </c>
      <c r="D9550" s="18">
        <v>2021</v>
      </c>
      <c r="E9550" s="18"/>
      <c r="F9550" s="4">
        <v>1</v>
      </c>
      <c r="G9550" s="4">
        <v>10</v>
      </c>
      <c r="H9550" s="4">
        <v>67.218119999999999</v>
      </c>
      <c r="I9550" s="201"/>
      <c r="J9550" s="201"/>
    </row>
    <row r="9551" spans="1:10" s="15" customFormat="1" ht="28.5" hidden="1" customHeight="1" outlineLevel="1" x14ac:dyDescent="0.25">
      <c r="A9551" s="46">
        <v>9930</v>
      </c>
      <c r="B9551" s="4" t="s">
        <v>43</v>
      </c>
      <c r="C9551" s="22" t="s">
        <v>1254</v>
      </c>
      <c r="D9551" s="18">
        <v>2021</v>
      </c>
      <c r="E9551" s="18"/>
      <c r="F9551" s="4">
        <v>1</v>
      </c>
      <c r="G9551" s="4">
        <v>5</v>
      </c>
      <c r="H9551" s="4">
        <v>78.360110000000006</v>
      </c>
      <c r="I9551" s="201"/>
      <c r="J9551" s="201"/>
    </row>
    <row r="9552" spans="1:10" s="15" customFormat="1" ht="28.5" hidden="1" customHeight="1" outlineLevel="1" x14ac:dyDescent="0.25">
      <c r="A9552" s="46">
        <v>9914</v>
      </c>
      <c r="B9552" s="4" t="s">
        <v>43</v>
      </c>
      <c r="C9552" s="22" t="s">
        <v>1255</v>
      </c>
      <c r="D9552" s="18">
        <v>2021</v>
      </c>
      <c r="E9552" s="18"/>
      <c r="F9552" s="4">
        <v>1</v>
      </c>
      <c r="G9552" s="4">
        <v>15</v>
      </c>
      <c r="H9552" s="4">
        <v>56.280889999999999</v>
      </c>
      <c r="I9552" s="201"/>
      <c r="J9552" s="201"/>
    </row>
    <row r="9553" spans="1:10" s="15" customFormat="1" ht="28.5" hidden="1" customHeight="1" outlineLevel="1" x14ac:dyDescent="0.25">
      <c r="A9553" s="46">
        <v>9917</v>
      </c>
      <c r="B9553" s="4" t="s">
        <v>43</v>
      </c>
      <c r="C9553" s="22" t="s">
        <v>1256</v>
      </c>
      <c r="D9553" s="18">
        <v>2021</v>
      </c>
      <c r="E9553" s="18"/>
      <c r="F9553" s="4">
        <v>1</v>
      </c>
      <c r="G9553" s="4">
        <v>15</v>
      </c>
      <c r="H9553" s="4">
        <v>60.035049999999998</v>
      </c>
      <c r="I9553" s="201"/>
      <c r="J9553" s="201"/>
    </row>
    <row r="9554" spans="1:10" s="15" customFormat="1" ht="28.5" hidden="1" customHeight="1" outlineLevel="1" x14ac:dyDescent="0.25">
      <c r="A9554" s="45">
        <v>1596</v>
      </c>
      <c r="B9554" s="4" t="s">
        <v>43</v>
      </c>
      <c r="C9554" s="22" t="s">
        <v>1257</v>
      </c>
      <c r="D9554" s="18">
        <v>2021</v>
      </c>
      <c r="E9554" s="18"/>
      <c r="F9554" s="4">
        <v>1</v>
      </c>
      <c r="G9554" s="4">
        <v>5</v>
      </c>
      <c r="H9554" s="4">
        <v>60.98836</v>
      </c>
      <c r="I9554" s="201"/>
      <c r="J9554" s="201"/>
    </row>
    <row r="9555" spans="1:10" s="15" customFormat="1" ht="28.5" hidden="1" customHeight="1" outlineLevel="1" x14ac:dyDescent="0.25">
      <c r="A9555" s="46">
        <v>9942</v>
      </c>
      <c r="B9555" s="4" t="s">
        <v>43</v>
      </c>
      <c r="C9555" s="22" t="s">
        <v>1258</v>
      </c>
      <c r="D9555" s="18">
        <v>2021</v>
      </c>
      <c r="E9555" s="18"/>
      <c r="F9555" s="4">
        <v>1</v>
      </c>
      <c r="G9555" s="4">
        <v>10</v>
      </c>
      <c r="H9555" s="4">
        <v>65.955609999999993</v>
      </c>
      <c r="I9555" s="201"/>
      <c r="J9555" s="201"/>
    </row>
    <row r="9556" spans="1:10" s="15" customFormat="1" ht="28.5" hidden="1" customHeight="1" outlineLevel="1" x14ac:dyDescent="0.25">
      <c r="A9556" s="46">
        <v>9905</v>
      </c>
      <c r="B9556" s="4" t="s">
        <v>43</v>
      </c>
      <c r="C9556" s="22" t="s">
        <v>1259</v>
      </c>
      <c r="D9556" s="18">
        <v>2021</v>
      </c>
      <c r="E9556" s="18"/>
      <c r="F9556" s="4">
        <v>2</v>
      </c>
      <c r="G9556" s="4">
        <v>10</v>
      </c>
      <c r="H9556" s="4">
        <v>93.110560000000007</v>
      </c>
      <c r="I9556" s="201"/>
      <c r="J9556" s="201"/>
    </row>
    <row r="9557" spans="1:10" s="15" customFormat="1" ht="28.5" hidden="1" customHeight="1" outlineLevel="1" x14ac:dyDescent="0.25">
      <c r="A9557" s="45">
        <v>1021</v>
      </c>
      <c r="B9557" s="4" t="s">
        <v>43</v>
      </c>
      <c r="C9557" s="22" t="s">
        <v>1260</v>
      </c>
      <c r="D9557" s="18">
        <v>2021</v>
      </c>
      <c r="E9557" s="18"/>
      <c r="F9557" s="4">
        <v>1</v>
      </c>
      <c r="G9557" s="4">
        <v>10</v>
      </c>
      <c r="H9557" s="4">
        <v>38.539340000000003</v>
      </c>
      <c r="I9557" s="201"/>
      <c r="J9557" s="201"/>
    </row>
    <row r="9558" spans="1:10" s="15" customFormat="1" ht="28.5" hidden="1" customHeight="1" outlineLevel="1" x14ac:dyDescent="0.25">
      <c r="A9558" s="46">
        <v>9637</v>
      </c>
      <c r="B9558" s="4" t="s">
        <v>43</v>
      </c>
      <c r="C9558" s="22" t="s">
        <v>1261</v>
      </c>
      <c r="D9558" s="18">
        <v>2021</v>
      </c>
      <c r="E9558" s="18"/>
      <c r="F9558" s="4">
        <v>1</v>
      </c>
      <c r="G9558" s="4">
        <v>8</v>
      </c>
      <c r="H9558" s="4">
        <v>39.632860000000001</v>
      </c>
      <c r="I9558" s="201"/>
      <c r="J9558" s="201"/>
    </row>
    <row r="9559" spans="1:10" s="15" customFormat="1" ht="28.5" hidden="1" customHeight="1" outlineLevel="1" x14ac:dyDescent="0.25">
      <c r="A9559" s="18">
        <v>2240</v>
      </c>
      <c r="B9559" s="4" t="s">
        <v>43</v>
      </c>
      <c r="C9559" s="22" t="s">
        <v>1262</v>
      </c>
      <c r="D9559" s="18">
        <v>2021</v>
      </c>
      <c r="E9559" s="18"/>
      <c r="F9559" s="4">
        <v>2</v>
      </c>
      <c r="G9559" s="4">
        <v>5</v>
      </c>
      <c r="H9559" s="4">
        <v>63.073794999999997</v>
      </c>
      <c r="I9559" s="201"/>
      <c r="J9559" s="201"/>
    </row>
    <row r="9560" spans="1:10" s="15" customFormat="1" ht="28.5" hidden="1" customHeight="1" outlineLevel="1" x14ac:dyDescent="0.25">
      <c r="A9560" s="46">
        <v>9893</v>
      </c>
      <c r="B9560" s="4" t="s">
        <v>43</v>
      </c>
      <c r="C9560" s="22" t="s">
        <v>1263</v>
      </c>
      <c r="D9560" s="18">
        <v>2021</v>
      </c>
      <c r="E9560" s="18"/>
      <c r="F9560" s="4">
        <v>2</v>
      </c>
      <c r="G9560" s="4">
        <v>10</v>
      </c>
      <c r="H9560" s="4">
        <v>56.448799999999999</v>
      </c>
      <c r="I9560" s="201"/>
      <c r="J9560" s="201"/>
    </row>
    <row r="9561" spans="1:10" s="15" customFormat="1" ht="28.5" hidden="1" customHeight="1" outlineLevel="1" x14ac:dyDescent="0.25">
      <c r="A9561" s="46">
        <v>9979</v>
      </c>
      <c r="B9561" s="4" t="s">
        <v>43</v>
      </c>
      <c r="C9561" s="22" t="s">
        <v>1264</v>
      </c>
      <c r="D9561" s="18">
        <v>2021</v>
      </c>
      <c r="E9561" s="18"/>
      <c r="F9561" s="4">
        <v>1</v>
      </c>
      <c r="G9561" s="4">
        <v>10</v>
      </c>
      <c r="H9561" s="4">
        <v>47.454560000000001</v>
      </c>
      <c r="I9561" s="201"/>
      <c r="J9561" s="201"/>
    </row>
    <row r="9562" spans="1:10" s="15" customFormat="1" ht="28.5" hidden="1" customHeight="1" outlineLevel="1" x14ac:dyDescent="0.25">
      <c r="A9562" s="18">
        <v>2380</v>
      </c>
      <c r="B9562" s="4" t="s">
        <v>43</v>
      </c>
      <c r="C9562" s="22" t="s">
        <v>1265</v>
      </c>
      <c r="D9562" s="18">
        <v>2021</v>
      </c>
      <c r="E9562" s="18"/>
      <c r="F9562" s="4">
        <v>1</v>
      </c>
      <c r="G9562" s="4">
        <v>9</v>
      </c>
      <c r="H9562" s="4">
        <v>24.664390000000001</v>
      </c>
      <c r="I9562" s="201"/>
      <c r="J9562" s="201"/>
    </row>
    <row r="9563" spans="1:10" s="15" customFormat="1" ht="28.5" hidden="1" customHeight="1" outlineLevel="1" x14ac:dyDescent="0.25">
      <c r="A9563" s="45">
        <v>1589</v>
      </c>
      <c r="B9563" s="4" t="s">
        <v>43</v>
      </c>
      <c r="C9563" s="22" t="s">
        <v>1266</v>
      </c>
      <c r="D9563" s="18">
        <v>2021</v>
      </c>
      <c r="E9563" s="18"/>
      <c r="F9563" s="4">
        <v>1</v>
      </c>
      <c r="G9563" s="4">
        <v>5</v>
      </c>
      <c r="H9563" s="4">
        <v>40.787570000000002</v>
      </c>
      <c r="I9563" s="201"/>
      <c r="J9563" s="201"/>
    </row>
    <row r="9564" spans="1:10" s="15" customFormat="1" ht="28.5" hidden="1" customHeight="1" outlineLevel="1" x14ac:dyDescent="0.25">
      <c r="A9564" s="46">
        <v>9913</v>
      </c>
      <c r="B9564" s="4" t="s">
        <v>43</v>
      </c>
      <c r="C9564" s="22" t="s">
        <v>1267</v>
      </c>
      <c r="D9564" s="18">
        <v>2021</v>
      </c>
      <c r="E9564" s="18"/>
      <c r="F9564" s="4">
        <v>1</v>
      </c>
      <c r="G9564" s="4">
        <v>5</v>
      </c>
      <c r="H9564" s="4">
        <v>40.788139999999999</v>
      </c>
      <c r="I9564" s="201"/>
      <c r="J9564" s="201"/>
    </row>
    <row r="9565" spans="1:10" s="15" customFormat="1" ht="28.5" hidden="1" customHeight="1" outlineLevel="1" x14ac:dyDescent="0.25">
      <c r="A9565" s="46">
        <v>9803</v>
      </c>
      <c r="B9565" s="4" t="s">
        <v>43</v>
      </c>
      <c r="C9565" s="22" t="s">
        <v>1268</v>
      </c>
      <c r="D9565" s="18">
        <v>2021</v>
      </c>
      <c r="E9565" s="18"/>
      <c r="F9565" s="4">
        <v>1</v>
      </c>
      <c r="G9565" s="4">
        <v>15</v>
      </c>
      <c r="H9565" s="4">
        <v>44.81494</v>
      </c>
      <c r="I9565" s="201"/>
      <c r="J9565" s="201"/>
    </row>
    <row r="9566" spans="1:10" s="15" customFormat="1" ht="28.5" hidden="1" customHeight="1" outlineLevel="1" x14ac:dyDescent="0.25">
      <c r="A9566" s="46">
        <v>9819</v>
      </c>
      <c r="B9566" s="4" t="s">
        <v>43</v>
      </c>
      <c r="C9566" s="22" t="s">
        <v>627</v>
      </c>
      <c r="D9566" s="18">
        <v>2021</v>
      </c>
      <c r="E9566" s="18"/>
      <c r="F9566" s="4">
        <v>1</v>
      </c>
      <c r="G9566" s="4">
        <v>5</v>
      </c>
      <c r="H9566" s="4">
        <v>33.945300000000003</v>
      </c>
      <c r="I9566" s="201"/>
      <c r="J9566" s="201"/>
    </row>
    <row r="9567" spans="1:10" s="15" customFormat="1" ht="28.5" hidden="1" customHeight="1" outlineLevel="1" x14ac:dyDescent="0.25">
      <c r="A9567" s="46">
        <v>9819</v>
      </c>
      <c r="B9567" s="4" t="s">
        <v>43</v>
      </c>
      <c r="C9567" s="22" t="s">
        <v>627</v>
      </c>
      <c r="D9567" s="18">
        <v>2021</v>
      </c>
      <c r="E9567" s="18"/>
      <c r="F9567" s="4">
        <v>1</v>
      </c>
      <c r="G9567" s="4">
        <v>5</v>
      </c>
      <c r="H9567" s="4">
        <v>33.945300000000003</v>
      </c>
      <c r="I9567" s="201"/>
      <c r="J9567" s="201"/>
    </row>
    <row r="9568" spans="1:10" s="15" customFormat="1" ht="28.5" hidden="1" customHeight="1" outlineLevel="1" x14ac:dyDescent="0.25">
      <c r="A9568" s="46">
        <v>9849</v>
      </c>
      <c r="B9568" s="4" t="s">
        <v>43</v>
      </c>
      <c r="C9568" s="22" t="s">
        <v>633</v>
      </c>
      <c r="D9568" s="18">
        <v>2021</v>
      </c>
      <c r="E9568" s="18"/>
      <c r="F9568" s="4">
        <v>1</v>
      </c>
      <c r="G9568" s="4">
        <v>15</v>
      </c>
      <c r="H9568" s="4">
        <v>31.141369999999998</v>
      </c>
      <c r="I9568" s="201"/>
      <c r="J9568" s="201"/>
    </row>
    <row r="9569" spans="1:10" s="15" customFormat="1" ht="28.5" hidden="1" customHeight="1" outlineLevel="1" x14ac:dyDescent="0.25">
      <c r="A9569" s="46">
        <v>9922</v>
      </c>
      <c r="B9569" s="4" t="s">
        <v>43</v>
      </c>
      <c r="C9569" s="22" t="s">
        <v>1269</v>
      </c>
      <c r="D9569" s="18">
        <v>2021</v>
      </c>
      <c r="E9569" s="18"/>
      <c r="F9569" s="4">
        <v>1</v>
      </c>
      <c r="G9569" s="4">
        <v>10</v>
      </c>
      <c r="H9569" s="4">
        <v>79.351900000000001</v>
      </c>
      <c r="I9569" s="201"/>
      <c r="J9569" s="201"/>
    </row>
    <row r="9570" spans="1:10" s="15" customFormat="1" ht="28.5" hidden="1" customHeight="1" outlineLevel="1" x14ac:dyDescent="0.25">
      <c r="A9570" s="46">
        <v>9926</v>
      </c>
      <c r="B9570" s="4" t="s">
        <v>43</v>
      </c>
      <c r="C9570" s="22" t="s">
        <v>1270</v>
      </c>
      <c r="D9570" s="18">
        <v>2021</v>
      </c>
      <c r="E9570" s="18"/>
      <c r="F9570" s="4">
        <v>1</v>
      </c>
      <c r="G9570" s="4">
        <v>10</v>
      </c>
      <c r="H9570" s="4">
        <v>80.395290000000003</v>
      </c>
      <c r="I9570" s="201"/>
      <c r="J9570" s="201"/>
    </row>
    <row r="9571" spans="1:10" s="15" customFormat="1" ht="28.5" hidden="1" customHeight="1" outlineLevel="1" x14ac:dyDescent="0.25">
      <c r="A9571" s="46">
        <v>9916</v>
      </c>
      <c r="B9571" s="4" t="s">
        <v>43</v>
      </c>
      <c r="C9571" s="22" t="s">
        <v>1271</v>
      </c>
      <c r="D9571" s="18">
        <v>2021</v>
      </c>
      <c r="E9571" s="18"/>
      <c r="F9571" s="4">
        <v>1</v>
      </c>
      <c r="G9571" s="4">
        <v>10</v>
      </c>
      <c r="H9571" s="4">
        <v>29.876899999999999</v>
      </c>
      <c r="I9571" s="201"/>
      <c r="J9571" s="201"/>
    </row>
    <row r="9572" spans="1:10" s="15" customFormat="1" ht="28.5" hidden="1" customHeight="1" outlineLevel="1" x14ac:dyDescent="0.25">
      <c r="A9572" s="46">
        <v>9921</v>
      </c>
      <c r="B9572" s="4" t="s">
        <v>43</v>
      </c>
      <c r="C9572" s="22" t="s">
        <v>1272</v>
      </c>
      <c r="D9572" s="18">
        <v>2021</v>
      </c>
      <c r="E9572" s="18"/>
      <c r="F9572" s="4">
        <v>1</v>
      </c>
      <c r="G9572" s="4">
        <v>15</v>
      </c>
      <c r="H9572" s="4">
        <v>68.311099999999996</v>
      </c>
      <c r="I9572" s="201"/>
      <c r="J9572" s="201"/>
    </row>
    <row r="9573" spans="1:10" s="15" customFormat="1" ht="28.5" hidden="1" customHeight="1" outlineLevel="1" x14ac:dyDescent="0.25">
      <c r="A9573" s="46">
        <v>9951</v>
      </c>
      <c r="B9573" s="4" t="s">
        <v>43</v>
      </c>
      <c r="C9573" s="22" t="s">
        <v>1273</v>
      </c>
      <c r="D9573" s="18">
        <v>2021</v>
      </c>
      <c r="E9573" s="18"/>
      <c r="F9573" s="4">
        <v>1</v>
      </c>
      <c r="G9573" s="4">
        <v>12</v>
      </c>
      <c r="H9573" s="4">
        <v>66.907250000000005</v>
      </c>
      <c r="I9573" s="201"/>
      <c r="J9573" s="201"/>
    </row>
    <row r="9574" spans="1:10" s="15" customFormat="1" ht="28.5" hidden="1" customHeight="1" outlineLevel="1" x14ac:dyDescent="0.25">
      <c r="A9574" s="46">
        <v>9953</v>
      </c>
      <c r="B9574" s="4" t="s">
        <v>43</v>
      </c>
      <c r="C9574" s="22" t="s">
        <v>1274</v>
      </c>
      <c r="D9574" s="18">
        <v>2021</v>
      </c>
      <c r="E9574" s="18"/>
      <c r="F9574" s="4">
        <v>1</v>
      </c>
      <c r="G9574" s="4">
        <v>10</v>
      </c>
      <c r="H9574" s="4">
        <v>77.198070000000001</v>
      </c>
      <c r="I9574" s="201"/>
      <c r="J9574" s="201"/>
    </row>
    <row r="9575" spans="1:10" s="15" customFormat="1" ht="28.5" hidden="1" customHeight="1" outlineLevel="1" x14ac:dyDescent="0.25">
      <c r="A9575" s="46">
        <v>9952</v>
      </c>
      <c r="B9575" s="4" t="s">
        <v>43</v>
      </c>
      <c r="C9575" s="22" t="s">
        <v>1275</v>
      </c>
      <c r="D9575" s="18">
        <v>2021</v>
      </c>
      <c r="E9575" s="18"/>
      <c r="F9575" s="4">
        <v>1</v>
      </c>
      <c r="G9575" s="4">
        <v>10</v>
      </c>
      <c r="H9575" s="4">
        <v>76.674009999999996</v>
      </c>
      <c r="I9575" s="201"/>
      <c r="J9575" s="201"/>
    </row>
    <row r="9576" spans="1:10" s="15" customFormat="1" ht="28.5" hidden="1" customHeight="1" outlineLevel="1" x14ac:dyDescent="0.25">
      <c r="A9576" s="45">
        <v>9817</v>
      </c>
      <c r="B9576" s="4" t="s">
        <v>43</v>
      </c>
      <c r="C9576" s="22" t="s">
        <v>1276</v>
      </c>
      <c r="D9576" s="18">
        <v>2021</v>
      </c>
      <c r="E9576" s="18"/>
      <c r="F9576" s="4">
        <v>1</v>
      </c>
      <c r="G9576" s="4">
        <v>10</v>
      </c>
      <c r="H9576" s="4">
        <v>25.198370000000001</v>
      </c>
      <c r="I9576" s="201"/>
      <c r="J9576" s="201"/>
    </row>
    <row r="9577" spans="1:10" s="15" customFormat="1" ht="28.5" hidden="1" customHeight="1" outlineLevel="1" x14ac:dyDescent="0.25">
      <c r="A9577" s="46">
        <v>9941</v>
      </c>
      <c r="B9577" s="4" t="s">
        <v>43</v>
      </c>
      <c r="C9577" s="22" t="s">
        <v>1277</v>
      </c>
      <c r="D9577" s="18">
        <v>2021</v>
      </c>
      <c r="E9577" s="18"/>
      <c r="F9577" s="4">
        <v>1</v>
      </c>
      <c r="G9577" s="4">
        <v>15</v>
      </c>
      <c r="H9577" s="4">
        <v>66.915620000000004</v>
      </c>
      <c r="I9577" s="201"/>
      <c r="J9577" s="201"/>
    </row>
    <row r="9578" spans="1:10" s="15" customFormat="1" ht="28.5" hidden="1" customHeight="1" outlineLevel="1" x14ac:dyDescent="0.25">
      <c r="A9578" s="46">
        <v>9950</v>
      </c>
      <c r="B9578" s="4" t="s">
        <v>43</v>
      </c>
      <c r="C9578" s="22" t="s">
        <v>1278</v>
      </c>
      <c r="D9578" s="18">
        <v>2021</v>
      </c>
      <c r="E9578" s="18"/>
      <c r="F9578" s="4">
        <v>1</v>
      </c>
      <c r="G9578" s="4">
        <v>12</v>
      </c>
      <c r="H9578" s="4">
        <v>69.645750000000007</v>
      </c>
      <c r="I9578" s="201"/>
      <c r="J9578" s="201"/>
    </row>
    <row r="9579" spans="1:10" s="15" customFormat="1" ht="28.5" hidden="1" customHeight="1" outlineLevel="1" x14ac:dyDescent="0.25">
      <c r="A9579" s="46">
        <v>9910</v>
      </c>
      <c r="B9579" s="4" t="s">
        <v>43</v>
      </c>
      <c r="C9579" s="22" t="s">
        <v>1279</v>
      </c>
      <c r="D9579" s="18">
        <v>2021</v>
      </c>
      <c r="E9579" s="18"/>
      <c r="F9579" s="4">
        <v>1</v>
      </c>
      <c r="G9579" s="4">
        <v>15</v>
      </c>
      <c r="H9579" s="4">
        <v>82.406589999999994</v>
      </c>
      <c r="I9579" s="201"/>
      <c r="J9579" s="201"/>
    </row>
    <row r="9580" spans="1:10" s="15" customFormat="1" ht="28.5" hidden="1" customHeight="1" outlineLevel="1" x14ac:dyDescent="0.25">
      <c r="A9580" s="46">
        <v>9927</v>
      </c>
      <c r="B9580" s="4" t="s">
        <v>43</v>
      </c>
      <c r="C9580" s="22" t="s">
        <v>1280</v>
      </c>
      <c r="D9580" s="18">
        <v>2021</v>
      </c>
      <c r="E9580" s="18"/>
      <c r="F9580" s="4">
        <v>1</v>
      </c>
      <c r="G9580" s="4">
        <v>14.5</v>
      </c>
      <c r="H9580" s="4">
        <v>80.532449999999997</v>
      </c>
      <c r="I9580" s="201"/>
      <c r="J9580" s="201"/>
    </row>
    <row r="9581" spans="1:10" s="15" customFormat="1" ht="28.5" hidden="1" customHeight="1" outlineLevel="1" x14ac:dyDescent="0.25">
      <c r="A9581" s="46">
        <v>9928</v>
      </c>
      <c r="B9581" s="4" t="s">
        <v>43</v>
      </c>
      <c r="C9581" s="22" t="s">
        <v>1281</v>
      </c>
      <c r="D9581" s="18">
        <v>2021</v>
      </c>
      <c r="E9581" s="18"/>
      <c r="F9581" s="4">
        <v>1</v>
      </c>
      <c r="G9581" s="4">
        <v>15</v>
      </c>
      <c r="H9581" s="4">
        <v>76.794060000000002</v>
      </c>
      <c r="I9581" s="201"/>
      <c r="J9581" s="201"/>
    </row>
    <row r="9582" spans="1:10" s="15" customFormat="1" ht="28.5" hidden="1" customHeight="1" outlineLevel="1" x14ac:dyDescent="0.25">
      <c r="A9582" s="46">
        <v>9912</v>
      </c>
      <c r="B9582" s="4" t="s">
        <v>43</v>
      </c>
      <c r="C9582" s="22" t="s">
        <v>1282</v>
      </c>
      <c r="D9582" s="18">
        <v>2021</v>
      </c>
      <c r="E9582" s="18"/>
      <c r="F9582" s="4">
        <v>1</v>
      </c>
      <c r="G9582" s="4">
        <v>12</v>
      </c>
      <c r="H9582" s="4">
        <v>79.935850000000002</v>
      </c>
      <c r="I9582" s="201"/>
      <c r="J9582" s="201"/>
    </row>
    <row r="9583" spans="1:10" s="15" customFormat="1" ht="28.5" hidden="1" customHeight="1" outlineLevel="1" x14ac:dyDescent="0.25">
      <c r="A9583" s="45">
        <v>1611</v>
      </c>
      <c r="B9583" s="4" t="s">
        <v>43</v>
      </c>
      <c r="C9583" s="22" t="s">
        <v>1283</v>
      </c>
      <c r="D9583" s="18">
        <v>2021</v>
      </c>
      <c r="E9583" s="18"/>
      <c r="F9583" s="4">
        <v>1</v>
      </c>
      <c r="G9583" s="4">
        <v>10</v>
      </c>
      <c r="H9583" s="4">
        <v>77.206249999999997</v>
      </c>
      <c r="I9583" s="201"/>
      <c r="J9583" s="201"/>
    </row>
    <row r="9584" spans="1:10" s="15" customFormat="1" ht="28.5" hidden="1" customHeight="1" outlineLevel="1" x14ac:dyDescent="0.25">
      <c r="A9584" s="46">
        <v>9938</v>
      </c>
      <c r="B9584" s="4" t="s">
        <v>43</v>
      </c>
      <c r="C9584" s="22" t="s">
        <v>1284</v>
      </c>
      <c r="D9584" s="18">
        <v>2021</v>
      </c>
      <c r="E9584" s="18"/>
      <c r="F9584" s="4">
        <v>1</v>
      </c>
      <c r="G9584" s="4">
        <v>15</v>
      </c>
      <c r="H9584" s="4">
        <v>80.48312</v>
      </c>
      <c r="I9584" s="201"/>
      <c r="J9584" s="201"/>
    </row>
    <row r="9585" spans="1:10" s="15" customFormat="1" ht="28.5" hidden="1" customHeight="1" outlineLevel="1" x14ac:dyDescent="0.25">
      <c r="A9585" s="46">
        <v>9971</v>
      </c>
      <c r="B9585" s="4" t="s">
        <v>43</v>
      </c>
      <c r="C9585" s="22" t="s">
        <v>1285</v>
      </c>
      <c r="D9585" s="18">
        <v>2021</v>
      </c>
      <c r="E9585" s="18"/>
      <c r="F9585" s="4">
        <v>1</v>
      </c>
      <c r="G9585" s="4">
        <v>5</v>
      </c>
      <c r="H9585" s="4">
        <v>32.212159999999997</v>
      </c>
      <c r="I9585" s="201"/>
      <c r="J9585" s="201"/>
    </row>
    <row r="9586" spans="1:10" s="15" customFormat="1" ht="28.5" hidden="1" customHeight="1" outlineLevel="1" x14ac:dyDescent="0.25">
      <c r="A9586" s="46">
        <v>9983</v>
      </c>
      <c r="B9586" s="4" t="s">
        <v>43</v>
      </c>
      <c r="C9586" s="22" t="s">
        <v>1286</v>
      </c>
      <c r="D9586" s="18">
        <v>2021</v>
      </c>
      <c r="E9586" s="18"/>
      <c r="F9586" s="4">
        <v>1</v>
      </c>
      <c r="G9586" s="4">
        <v>5</v>
      </c>
      <c r="H9586" s="4">
        <v>39.224440000000001</v>
      </c>
      <c r="I9586" s="201"/>
      <c r="J9586" s="201"/>
    </row>
    <row r="9587" spans="1:10" s="15" customFormat="1" ht="28.5" hidden="1" customHeight="1" outlineLevel="1" x14ac:dyDescent="0.25">
      <c r="A9587" s="45">
        <v>2279</v>
      </c>
      <c r="B9587" s="4" t="s">
        <v>43</v>
      </c>
      <c r="C9587" s="22" t="s">
        <v>1287</v>
      </c>
      <c r="D9587" s="18">
        <v>2021</v>
      </c>
      <c r="E9587" s="18"/>
      <c r="F9587" s="4">
        <v>1</v>
      </c>
      <c r="G9587" s="4">
        <v>15</v>
      </c>
      <c r="H9587" s="4">
        <v>30.08634</v>
      </c>
      <c r="I9587" s="201"/>
      <c r="J9587" s="201"/>
    </row>
    <row r="9588" spans="1:10" s="15" customFormat="1" ht="28.5" hidden="1" customHeight="1" outlineLevel="1" x14ac:dyDescent="0.25">
      <c r="A9588" s="45">
        <v>1919</v>
      </c>
      <c r="B9588" s="4" t="s">
        <v>43</v>
      </c>
      <c r="C9588" s="22" t="s">
        <v>1288</v>
      </c>
      <c r="D9588" s="18">
        <v>2021</v>
      </c>
      <c r="E9588" s="18"/>
      <c r="F9588" s="4">
        <v>1</v>
      </c>
      <c r="G9588" s="4">
        <v>1</v>
      </c>
      <c r="H9588" s="4">
        <v>30.12677</v>
      </c>
      <c r="I9588" s="201"/>
      <c r="J9588" s="201"/>
    </row>
    <row r="9589" spans="1:10" s="15" customFormat="1" ht="28.5" hidden="1" customHeight="1" outlineLevel="1" x14ac:dyDescent="0.25">
      <c r="A9589" s="45">
        <v>1892</v>
      </c>
      <c r="B9589" s="4" t="s">
        <v>43</v>
      </c>
      <c r="C9589" s="22" t="s">
        <v>1289</v>
      </c>
      <c r="D9589" s="18">
        <v>2021</v>
      </c>
      <c r="E9589" s="18"/>
      <c r="F9589" s="4">
        <v>1</v>
      </c>
      <c r="G9589" s="4">
        <v>5</v>
      </c>
      <c r="H9589" s="4">
        <v>27.849080000000001</v>
      </c>
      <c r="I9589" s="201"/>
      <c r="J9589" s="201"/>
    </row>
    <row r="9590" spans="1:10" s="15" customFormat="1" ht="28.5" hidden="1" customHeight="1" outlineLevel="1" x14ac:dyDescent="0.25">
      <c r="A9590" s="46">
        <v>9936</v>
      </c>
      <c r="B9590" s="4" t="s">
        <v>43</v>
      </c>
      <c r="C9590" s="22" t="s">
        <v>1290</v>
      </c>
      <c r="D9590" s="18">
        <v>2021</v>
      </c>
      <c r="E9590" s="18"/>
      <c r="F9590" s="4">
        <v>1</v>
      </c>
      <c r="G9590" s="4">
        <v>8</v>
      </c>
      <c r="H9590" s="4">
        <v>73.622990000000001</v>
      </c>
      <c r="I9590" s="201"/>
      <c r="J9590" s="201"/>
    </row>
    <row r="9591" spans="1:10" s="15" customFormat="1" ht="28.5" hidden="1" customHeight="1" outlineLevel="1" x14ac:dyDescent="0.25">
      <c r="A9591" s="46">
        <v>9937</v>
      </c>
      <c r="B9591" s="4" t="s">
        <v>43</v>
      </c>
      <c r="C9591" s="22" t="s">
        <v>1291</v>
      </c>
      <c r="D9591" s="18">
        <v>2021</v>
      </c>
      <c r="E9591" s="18"/>
      <c r="F9591" s="4">
        <v>1</v>
      </c>
      <c r="G9591" s="4">
        <v>8</v>
      </c>
      <c r="H9591" s="4">
        <v>66.586849999999998</v>
      </c>
      <c r="I9591" s="201"/>
      <c r="J9591" s="201"/>
    </row>
    <row r="9592" spans="1:10" s="15" customFormat="1" ht="28.5" hidden="1" customHeight="1" outlineLevel="1" x14ac:dyDescent="0.25">
      <c r="A9592" s="46">
        <v>9935</v>
      </c>
      <c r="B9592" s="4" t="s">
        <v>43</v>
      </c>
      <c r="C9592" s="22" t="s">
        <v>1292</v>
      </c>
      <c r="D9592" s="18">
        <v>2021</v>
      </c>
      <c r="E9592" s="18"/>
      <c r="F9592" s="4">
        <v>1</v>
      </c>
      <c r="G9592" s="4">
        <v>15</v>
      </c>
      <c r="H9592" s="4">
        <v>66.394750000000002</v>
      </c>
      <c r="I9592" s="201"/>
      <c r="J9592" s="201"/>
    </row>
    <row r="9593" spans="1:10" s="15" customFormat="1" ht="28.5" hidden="1" customHeight="1" outlineLevel="1" x14ac:dyDescent="0.25">
      <c r="A9593" s="46">
        <v>9850</v>
      </c>
      <c r="B9593" s="4" t="s">
        <v>43</v>
      </c>
      <c r="C9593" s="22" t="s">
        <v>1293</v>
      </c>
      <c r="D9593" s="18">
        <v>2021</v>
      </c>
      <c r="E9593" s="18"/>
      <c r="F9593" s="4">
        <v>1</v>
      </c>
      <c r="G9593" s="4">
        <v>45</v>
      </c>
      <c r="H9593" s="4">
        <v>44.375030000000002</v>
      </c>
      <c r="I9593" s="201"/>
      <c r="J9593" s="201"/>
    </row>
    <row r="9594" spans="1:10" s="15" customFormat="1" ht="28.5" hidden="1" customHeight="1" outlineLevel="1" x14ac:dyDescent="0.25">
      <c r="A9594" s="45">
        <v>1351</v>
      </c>
      <c r="B9594" s="4" t="s">
        <v>43</v>
      </c>
      <c r="C9594" s="22" t="s">
        <v>1294</v>
      </c>
      <c r="D9594" s="18">
        <v>2021</v>
      </c>
      <c r="E9594" s="18"/>
      <c r="F9594" s="4">
        <v>1</v>
      </c>
      <c r="G9594" s="4">
        <v>10</v>
      </c>
      <c r="H9594" s="4">
        <v>22.420269999999999</v>
      </c>
      <c r="I9594" s="201"/>
      <c r="J9594" s="201"/>
    </row>
    <row r="9595" spans="1:10" s="15" customFormat="1" ht="28.5" hidden="1" customHeight="1" outlineLevel="1" x14ac:dyDescent="0.25">
      <c r="A9595" s="46">
        <v>9906</v>
      </c>
      <c r="B9595" s="4" t="s">
        <v>43</v>
      </c>
      <c r="C9595" s="22" t="s">
        <v>1295</v>
      </c>
      <c r="D9595" s="18">
        <v>2021</v>
      </c>
      <c r="E9595" s="18"/>
      <c r="F9595" s="4">
        <v>1</v>
      </c>
      <c r="G9595" s="4">
        <v>12</v>
      </c>
      <c r="H9595" s="4">
        <v>72.948949999999996</v>
      </c>
      <c r="I9595" s="201"/>
      <c r="J9595" s="201"/>
    </row>
    <row r="9596" spans="1:10" s="15" customFormat="1" ht="28.5" hidden="1" customHeight="1" outlineLevel="1" x14ac:dyDescent="0.25">
      <c r="A9596" s="45">
        <v>2451</v>
      </c>
      <c r="B9596" s="4" t="s">
        <v>43</v>
      </c>
      <c r="C9596" s="22" t="s">
        <v>1296</v>
      </c>
      <c r="D9596" s="18">
        <v>2021</v>
      </c>
      <c r="E9596" s="18"/>
      <c r="F9596" s="4">
        <v>2</v>
      </c>
      <c r="G9596" s="4">
        <v>15</v>
      </c>
      <c r="H9596" s="4">
        <v>61.828249999999997</v>
      </c>
      <c r="I9596" s="201"/>
      <c r="J9596" s="201"/>
    </row>
    <row r="9597" spans="1:10" s="15" customFormat="1" ht="28.5" hidden="1" customHeight="1" outlineLevel="1" x14ac:dyDescent="0.25">
      <c r="A9597" s="46">
        <v>9977</v>
      </c>
      <c r="B9597" s="4" t="s">
        <v>43</v>
      </c>
      <c r="C9597" s="22" t="s">
        <v>1297</v>
      </c>
      <c r="D9597" s="18">
        <v>2021</v>
      </c>
      <c r="E9597" s="18"/>
      <c r="F9597" s="4">
        <v>1</v>
      </c>
      <c r="G9597" s="4">
        <v>12</v>
      </c>
      <c r="H9597" s="4">
        <v>29.863880000000002</v>
      </c>
      <c r="I9597" s="201"/>
      <c r="J9597" s="201"/>
    </row>
    <row r="9598" spans="1:10" s="15" customFormat="1" ht="28.5" hidden="1" customHeight="1" outlineLevel="1" x14ac:dyDescent="0.25">
      <c r="A9598" s="45">
        <v>1792</v>
      </c>
      <c r="B9598" s="4" t="s">
        <v>43</v>
      </c>
      <c r="C9598" s="22" t="s">
        <v>1298</v>
      </c>
      <c r="D9598" s="18">
        <v>2021</v>
      </c>
      <c r="E9598" s="18"/>
      <c r="F9598" s="4">
        <v>1</v>
      </c>
      <c r="G9598" s="4">
        <v>15</v>
      </c>
      <c r="H9598" s="4">
        <v>23.558869999999999</v>
      </c>
      <c r="I9598" s="201"/>
      <c r="J9598" s="201"/>
    </row>
    <row r="9599" spans="1:10" s="15" customFormat="1" ht="28.5" hidden="1" customHeight="1" outlineLevel="1" x14ac:dyDescent="0.25">
      <c r="A9599" s="46">
        <v>10310</v>
      </c>
      <c r="B9599" s="4" t="s">
        <v>43</v>
      </c>
      <c r="C9599" s="22" t="s">
        <v>1299</v>
      </c>
      <c r="D9599" s="18">
        <v>2021</v>
      </c>
      <c r="E9599" s="18"/>
      <c r="F9599" s="4">
        <v>4</v>
      </c>
      <c r="G9599" s="4">
        <v>5</v>
      </c>
      <c r="H9599" s="4">
        <v>96.234750000000005</v>
      </c>
      <c r="I9599" s="201"/>
      <c r="J9599" s="201"/>
    </row>
    <row r="9600" spans="1:10" s="15" customFormat="1" ht="28.5" hidden="1" customHeight="1" outlineLevel="1" x14ac:dyDescent="0.25">
      <c r="A9600" s="46">
        <v>10309</v>
      </c>
      <c r="B9600" s="4" t="s">
        <v>43</v>
      </c>
      <c r="C9600" s="22" t="s">
        <v>1300</v>
      </c>
      <c r="D9600" s="18">
        <v>2021</v>
      </c>
      <c r="E9600" s="18"/>
      <c r="F9600" s="4">
        <v>1</v>
      </c>
      <c r="G9600" s="4">
        <v>5</v>
      </c>
      <c r="H9600" s="4">
        <v>32.885309999999997</v>
      </c>
      <c r="I9600" s="201"/>
      <c r="J9600" s="201"/>
    </row>
    <row r="9601" spans="1:10" s="15" customFormat="1" ht="28.5" hidden="1" customHeight="1" outlineLevel="1" x14ac:dyDescent="0.25">
      <c r="A9601" s="46">
        <v>9993</v>
      </c>
      <c r="B9601" s="4" t="s">
        <v>43</v>
      </c>
      <c r="C9601" s="22" t="s">
        <v>1301</v>
      </c>
      <c r="D9601" s="18">
        <v>2021</v>
      </c>
      <c r="E9601" s="18"/>
      <c r="F9601" s="4">
        <v>1</v>
      </c>
      <c r="G9601" s="4">
        <v>10</v>
      </c>
      <c r="H9601" s="4">
        <v>28.465779999999999</v>
      </c>
      <c r="I9601" s="201"/>
      <c r="J9601" s="201"/>
    </row>
    <row r="9602" spans="1:10" s="15" customFormat="1" ht="28.5" hidden="1" customHeight="1" outlineLevel="1" x14ac:dyDescent="0.25">
      <c r="A9602" s="46">
        <v>10015</v>
      </c>
      <c r="B9602" s="4" t="s">
        <v>43</v>
      </c>
      <c r="C9602" s="22" t="s">
        <v>1302</v>
      </c>
      <c r="D9602" s="18">
        <v>2021</v>
      </c>
      <c r="E9602" s="18"/>
      <c r="F9602" s="4">
        <v>1</v>
      </c>
      <c r="G9602" s="4">
        <v>14</v>
      </c>
      <c r="H9602" s="4">
        <v>29.053319999999999</v>
      </c>
      <c r="I9602" s="201"/>
      <c r="J9602" s="201"/>
    </row>
    <row r="9603" spans="1:10" s="15" customFormat="1" ht="28.5" hidden="1" customHeight="1" outlineLevel="1" x14ac:dyDescent="0.25">
      <c r="A9603" s="46">
        <v>10002</v>
      </c>
      <c r="B9603" s="4" t="s">
        <v>43</v>
      </c>
      <c r="C9603" s="22" t="s">
        <v>1303</v>
      </c>
      <c r="D9603" s="18">
        <v>2021</v>
      </c>
      <c r="E9603" s="18"/>
      <c r="F9603" s="4">
        <v>1</v>
      </c>
      <c r="G9603" s="4">
        <v>14</v>
      </c>
      <c r="H9603" s="4">
        <v>30.44961</v>
      </c>
      <c r="I9603" s="201"/>
      <c r="J9603" s="201"/>
    </row>
    <row r="9604" spans="1:10" s="15" customFormat="1" ht="28.5" hidden="1" customHeight="1" outlineLevel="1" x14ac:dyDescent="0.25">
      <c r="A9604" s="46">
        <v>9970</v>
      </c>
      <c r="B9604" s="4" t="s">
        <v>43</v>
      </c>
      <c r="C9604" s="22" t="s">
        <v>1304</v>
      </c>
      <c r="D9604" s="18">
        <v>2021</v>
      </c>
      <c r="E9604" s="18"/>
      <c r="F9604" s="4">
        <v>1</v>
      </c>
      <c r="G9604" s="4">
        <v>5</v>
      </c>
      <c r="H9604" s="4">
        <v>90.928370000000001</v>
      </c>
      <c r="I9604" s="201"/>
      <c r="J9604" s="201"/>
    </row>
    <row r="9605" spans="1:10" s="15" customFormat="1" ht="28.5" hidden="1" customHeight="1" outlineLevel="1" x14ac:dyDescent="0.25">
      <c r="A9605" s="46">
        <v>9969</v>
      </c>
      <c r="B9605" s="4" t="s">
        <v>43</v>
      </c>
      <c r="C9605" s="22" t="s">
        <v>1305</v>
      </c>
      <c r="D9605" s="18">
        <v>2021</v>
      </c>
      <c r="E9605" s="18"/>
      <c r="F9605" s="4">
        <v>1</v>
      </c>
      <c r="G9605" s="4">
        <v>5</v>
      </c>
      <c r="H9605" s="4">
        <v>90.928690000000003</v>
      </c>
      <c r="I9605" s="201"/>
      <c r="J9605" s="201"/>
    </row>
    <row r="9606" spans="1:10" s="15" customFormat="1" ht="28.5" hidden="1" customHeight="1" outlineLevel="1" x14ac:dyDescent="0.25">
      <c r="A9606" s="46">
        <v>10317</v>
      </c>
      <c r="B9606" s="4" t="s">
        <v>43</v>
      </c>
      <c r="C9606" s="22" t="s">
        <v>1306</v>
      </c>
      <c r="D9606" s="18">
        <v>2021</v>
      </c>
      <c r="E9606" s="18"/>
      <c r="F9606" s="4">
        <v>1</v>
      </c>
      <c r="G9606" s="4">
        <v>5</v>
      </c>
      <c r="H9606" s="4">
        <v>30.724419999999999</v>
      </c>
      <c r="I9606" s="201"/>
      <c r="J9606" s="201"/>
    </row>
    <row r="9607" spans="1:10" s="15" customFormat="1" ht="28.5" hidden="1" customHeight="1" outlineLevel="1" x14ac:dyDescent="0.25">
      <c r="A9607" s="46">
        <v>9998</v>
      </c>
      <c r="B9607" s="4" t="s">
        <v>43</v>
      </c>
      <c r="C9607" s="22" t="s">
        <v>1307</v>
      </c>
      <c r="D9607" s="18">
        <v>2021</v>
      </c>
      <c r="E9607" s="18"/>
      <c r="F9607" s="4">
        <v>1</v>
      </c>
      <c r="G9607" s="4">
        <v>10</v>
      </c>
      <c r="H9607" s="4">
        <v>40.057020000000001</v>
      </c>
      <c r="I9607" s="201"/>
      <c r="J9607" s="201"/>
    </row>
    <row r="9608" spans="1:10" s="15" customFormat="1" ht="28.5" hidden="1" customHeight="1" outlineLevel="1" x14ac:dyDescent="0.25">
      <c r="A9608" s="46">
        <v>9997</v>
      </c>
      <c r="B9608" s="4" t="s">
        <v>43</v>
      </c>
      <c r="C9608" s="22" t="s">
        <v>1308</v>
      </c>
      <c r="D9608" s="18">
        <v>2021</v>
      </c>
      <c r="E9608" s="18"/>
      <c r="F9608" s="4">
        <v>1</v>
      </c>
      <c r="G9608" s="4">
        <v>8</v>
      </c>
      <c r="H9608" s="4">
        <v>32.751300000000001</v>
      </c>
      <c r="I9608" s="201"/>
      <c r="J9608" s="201"/>
    </row>
    <row r="9609" spans="1:10" s="15" customFormat="1" ht="28.5" hidden="1" customHeight="1" outlineLevel="1" x14ac:dyDescent="0.25">
      <c r="A9609" s="45">
        <v>2357</v>
      </c>
      <c r="B9609" s="4" t="s">
        <v>43</v>
      </c>
      <c r="C9609" s="22" t="s">
        <v>1309</v>
      </c>
      <c r="D9609" s="18">
        <v>2021</v>
      </c>
      <c r="E9609" s="18"/>
      <c r="F9609" s="4">
        <v>2</v>
      </c>
      <c r="G9609" s="4">
        <v>55</v>
      </c>
      <c r="H9609" s="4">
        <v>63.088140000000003</v>
      </c>
      <c r="I9609" s="201"/>
      <c r="J9609" s="201"/>
    </row>
    <row r="9610" spans="1:10" s="15" customFormat="1" ht="28.5" hidden="1" customHeight="1" outlineLevel="1" x14ac:dyDescent="0.25">
      <c r="A9610" s="45">
        <v>1853</v>
      </c>
      <c r="B9610" s="4" t="s">
        <v>43</v>
      </c>
      <c r="C9610" s="22" t="s">
        <v>1310</v>
      </c>
      <c r="D9610" s="18">
        <v>2021</v>
      </c>
      <c r="E9610" s="18"/>
      <c r="F9610" s="4">
        <v>1</v>
      </c>
      <c r="G9610" s="4">
        <v>10</v>
      </c>
      <c r="H9610" s="4">
        <v>36.330309999999997</v>
      </c>
      <c r="I9610" s="201"/>
      <c r="J9610" s="201"/>
    </row>
    <row r="9611" spans="1:10" s="15" customFormat="1" ht="28.5" hidden="1" customHeight="1" outlineLevel="1" x14ac:dyDescent="0.25">
      <c r="A9611" s="45">
        <v>1346</v>
      </c>
      <c r="B9611" s="4" t="s">
        <v>43</v>
      </c>
      <c r="C9611" s="22" t="s">
        <v>668</v>
      </c>
      <c r="D9611" s="18">
        <v>2021</v>
      </c>
      <c r="E9611" s="18"/>
      <c r="F9611" s="4">
        <v>1</v>
      </c>
      <c r="G9611" s="4">
        <v>15</v>
      </c>
      <c r="H9611" s="4">
        <v>27.375610000000002</v>
      </c>
      <c r="I9611" s="201"/>
      <c r="J9611" s="201"/>
    </row>
    <row r="9612" spans="1:10" s="15" customFormat="1" ht="28.5" hidden="1" customHeight="1" outlineLevel="1" x14ac:dyDescent="0.25">
      <c r="A9612" s="45">
        <v>1340</v>
      </c>
      <c r="B9612" s="4" t="s">
        <v>43</v>
      </c>
      <c r="C9612" s="22" t="s">
        <v>670</v>
      </c>
      <c r="D9612" s="18">
        <v>2021</v>
      </c>
      <c r="E9612" s="18"/>
      <c r="F9612" s="4">
        <v>1</v>
      </c>
      <c r="G9612" s="4">
        <v>15</v>
      </c>
      <c r="H9612" s="4">
        <v>90.460830000000001</v>
      </c>
      <c r="I9612" s="201"/>
      <c r="J9612" s="201"/>
    </row>
    <row r="9613" spans="1:10" s="15" customFormat="1" ht="28.5" hidden="1" customHeight="1" outlineLevel="1" x14ac:dyDescent="0.25">
      <c r="A9613" s="45">
        <v>1913</v>
      </c>
      <c r="B9613" s="4" t="s">
        <v>43</v>
      </c>
      <c r="C9613" s="22" t="s">
        <v>1311</v>
      </c>
      <c r="D9613" s="18">
        <v>2021</v>
      </c>
      <c r="E9613" s="18"/>
      <c r="F9613" s="4">
        <v>1</v>
      </c>
      <c r="G9613" s="4">
        <v>10</v>
      </c>
      <c r="H9613" s="4">
        <v>33.658659999999998</v>
      </c>
      <c r="I9613" s="201"/>
      <c r="J9613" s="201"/>
    </row>
    <row r="9614" spans="1:10" s="15" customFormat="1" ht="28.5" hidden="1" customHeight="1" outlineLevel="1" x14ac:dyDescent="0.25">
      <c r="A9614" s="45">
        <v>1829</v>
      </c>
      <c r="B9614" s="4" t="s">
        <v>43</v>
      </c>
      <c r="C9614" s="22" t="s">
        <v>1312</v>
      </c>
      <c r="D9614" s="18">
        <v>2021</v>
      </c>
      <c r="E9614" s="18"/>
      <c r="F9614" s="4">
        <v>1</v>
      </c>
      <c r="G9614" s="4">
        <v>15</v>
      </c>
      <c r="H9614" s="4">
        <v>24.723050000000001</v>
      </c>
      <c r="I9614" s="201"/>
      <c r="J9614" s="201"/>
    </row>
    <row r="9615" spans="1:10" s="15" customFormat="1" ht="28.5" hidden="1" customHeight="1" outlineLevel="1" x14ac:dyDescent="0.25">
      <c r="A9615" s="46">
        <v>10003</v>
      </c>
      <c r="B9615" s="4" t="s">
        <v>43</v>
      </c>
      <c r="C9615" s="22" t="s">
        <v>1313</v>
      </c>
      <c r="D9615" s="18">
        <v>2021</v>
      </c>
      <c r="E9615" s="18"/>
      <c r="F9615" s="4">
        <v>1</v>
      </c>
      <c r="G9615" s="4">
        <v>2</v>
      </c>
      <c r="H9615" s="4">
        <v>38.072830000000003</v>
      </c>
      <c r="I9615" s="201"/>
      <c r="J9615" s="201"/>
    </row>
    <row r="9616" spans="1:10" s="15" customFormat="1" ht="28.5" hidden="1" customHeight="1" outlineLevel="1" x14ac:dyDescent="0.25">
      <c r="A9616" s="45">
        <v>1836</v>
      </c>
      <c r="B9616" s="4" t="s">
        <v>43</v>
      </c>
      <c r="C9616" s="22" t="s">
        <v>1314</v>
      </c>
      <c r="D9616" s="18">
        <v>2021</v>
      </c>
      <c r="E9616" s="18"/>
      <c r="F9616" s="4">
        <v>1</v>
      </c>
      <c r="G9616" s="4">
        <v>10</v>
      </c>
      <c r="H9616" s="4">
        <v>29.798079999999999</v>
      </c>
      <c r="I9616" s="201"/>
      <c r="J9616" s="201"/>
    </row>
    <row r="9617" spans="1:10" s="15" customFormat="1" ht="28.5" hidden="1" customHeight="1" outlineLevel="1" x14ac:dyDescent="0.25">
      <c r="A9617" s="45">
        <v>1898</v>
      </c>
      <c r="B9617" s="4" t="s">
        <v>43</v>
      </c>
      <c r="C9617" s="22" t="s">
        <v>1315</v>
      </c>
      <c r="D9617" s="18">
        <v>2021</v>
      </c>
      <c r="E9617" s="18"/>
      <c r="F9617" s="4">
        <v>1</v>
      </c>
      <c r="G9617" s="4">
        <v>15</v>
      </c>
      <c r="H9617" s="4">
        <v>43.56794</v>
      </c>
      <c r="I9617" s="201"/>
      <c r="J9617" s="201"/>
    </row>
    <row r="9618" spans="1:10" s="15" customFormat="1" ht="28.5" hidden="1" customHeight="1" outlineLevel="1" x14ac:dyDescent="0.25">
      <c r="A9618" s="45">
        <v>1912</v>
      </c>
      <c r="B9618" s="4" t="s">
        <v>43</v>
      </c>
      <c r="C9618" s="22" t="s">
        <v>1316</v>
      </c>
      <c r="D9618" s="18">
        <v>2021</v>
      </c>
      <c r="E9618" s="18"/>
      <c r="F9618" s="4">
        <v>1</v>
      </c>
      <c r="G9618" s="4">
        <v>14</v>
      </c>
      <c r="H9618" s="4">
        <v>57.021140000000003</v>
      </c>
      <c r="I9618" s="201"/>
      <c r="J9618" s="201"/>
    </row>
    <row r="9619" spans="1:10" s="15" customFormat="1" ht="28.5" hidden="1" customHeight="1" outlineLevel="1" x14ac:dyDescent="0.25">
      <c r="A9619" s="45">
        <v>1865</v>
      </c>
      <c r="B9619" s="4" t="s">
        <v>43</v>
      </c>
      <c r="C9619" s="22" t="s">
        <v>1317</v>
      </c>
      <c r="D9619" s="18">
        <v>2021</v>
      </c>
      <c r="E9619" s="18"/>
      <c r="F9619" s="4">
        <v>1</v>
      </c>
      <c r="G9619" s="4">
        <v>12</v>
      </c>
      <c r="H9619" s="4">
        <v>34.728389999999997</v>
      </c>
      <c r="I9619" s="201"/>
      <c r="J9619" s="201"/>
    </row>
    <row r="9620" spans="1:10" s="15" customFormat="1" ht="28.5" hidden="1" customHeight="1" outlineLevel="1" x14ac:dyDescent="0.25">
      <c r="A9620" s="46">
        <v>10022</v>
      </c>
      <c r="B9620" s="4" t="s">
        <v>43</v>
      </c>
      <c r="C9620" s="22" t="s">
        <v>1318</v>
      </c>
      <c r="D9620" s="18">
        <v>2021</v>
      </c>
      <c r="E9620" s="18"/>
      <c r="F9620" s="4">
        <v>1</v>
      </c>
      <c r="G9620" s="4">
        <v>3</v>
      </c>
      <c r="H9620" s="4">
        <v>35.843170000000001</v>
      </c>
      <c r="I9620" s="201"/>
      <c r="J9620" s="201"/>
    </row>
    <row r="9621" spans="1:10" s="15" customFormat="1" ht="28.5" hidden="1" customHeight="1" outlineLevel="1" x14ac:dyDescent="0.25">
      <c r="A9621" s="45">
        <v>1927</v>
      </c>
      <c r="B9621" s="4" t="s">
        <v>43</v>
      </c>
      <c r="C9621" s="22" t="s">
        <v>1129</v>
      </c>
      <c r="D9621" s="18">
        <v>2021</v>
      </c>
      <c r="E9621" s="18"/>
      <c r="F9621" s="4">
        <v>1</v>
      </c>
      <c r="G9621" s="4">
        <v>15</v>
      </c>
      <c r="H9621" s="4">
        <v>34.695639999999997</v>
      </c>
      <c r="I9621" s="201"/>
      <c r="J9621" s="201"/>
    </row>
    <row r="9622" spans="1:10" s="15" customFormat="1" ht="28.5" hidden="1" customHeight="1" outlineLevel="1" x14ac:dyDescent="0.25">
      <c r="A9622" s="45">
        <v>1926</v>
      </c>
      <c r="B9622" s="4" t="s">
        <v>43</v>
      </c>
      <c r="C9622" s="22" t="s">
        <v>1319</v>
      </c>
      <c r="D9622" s="18">
        <v>2021</v>
      </c>
      <c r="E9622" s="18"/>
      <c r="F9622" s="4">
        <v>1</v>
      </c>
      <c r="G9622" s="4">
        <v>10</v>
      </c>
      <c r="H9622" s="4">
        <v>33.915059999999997</v>
      </c>
      <c r="I9622" s="201"/>
      <c r="J9622" s="201"/>
    </row>
    <row r="9623" spans="1:10" s="15" customFormat="1" ht="28.5" hidden="1" customHeight="1" outlineLevel="1" x14ac:dyDescent="0.25">
      <c r="A9623" s="46">
        <v>10314</v>
      </c>
      <c r="B9623" s="4" t="s">
        <v>43</v>
      </c>
      <c r="C9623" s="22" t="s">
        <v>1320</v>
      </c>
      <c r="D9623" s="18">
        <v>2021</v>
      </c>
      <c r="E9623" s="18"/>
      <c r="F9623" s="4">
        <v>1</v>
      </c>
      <c r="G9623" s="4">
        <v>5</v>
      </c>
      <c r="H9623" s="4">
        <v>18.18853</v>
      </c>
      <c r="I9623" s="201"/>
      <c r="J9623" s="201"/>
    </row>
    <row r="9624" spans="1:10" s="15" customFormat="1" ht="28.5" hidden="1" customHeight="1" outlineLevel="1" x14ac:dyDescent="0.25">
      <c r="A9624" s="45">
        <v>1901</v>
      </c>
      <c r="B9624" s="4" t="s">
        <v>43</v>
      </c>
      <c r="C9624" s="22" t="s">
        <v>1321</v>
      </c>
      <c r="D9624" s="18">
        <v>2021</v>
      </c>
      <c r="E9624" s="18"/>
      <c r="F9624" s="4">
        <v>1</v>
      </c>
      <c r="G9624" s="4">
        <v>10</v>
      </c>
      <c r="H9624" s="4">
        <v>19.388760000000001</v>
      </c>
      <c r="I9624" s="201"/>
      <c r="J9624" s="201"/>
    </row>
    <row r="9625" spans="1:10" s="15" customFormat="1" ht="28.5" hidden="1" customHeight="1" outlineLevel="1" x14ac:dyDescent="0.25">
      <c r="A9625" s="45">
        <v>2412</v>
      </c>
      <c r="B9625" s="4" t="s">
        <v>43</v>
      </c>
      <c r="C9625" s="22" t="s">
        <v>1322</v>
      </c>
      <c r="D9625" s="18">
        <v>2021</v>
      </c>
      <c r="E9625" s="18"/>
      <c r="F9625" s="4">
        <v>1</v>
      </c>
      <c r="G9625" s="4">
        <v>25</v>
      </c>
      <c r="H9625" s="4">
        <v>24.767869999999998</v>
      </c>
      <c r="I9625" s="201"/>
      <c r="J9625" s="201"/>
    </row>
    <row r="9626" spans="1:10" s="15" customFormat="1" ht="28.5" hidden="1" customHeight="1" outlineLevel="1" x14ac:dyDescent="0.25">
      <c r="A9626" s="45">
        <v>2302</v>
      </c>
      <c r="B9626" s="4" t="s">
        <v>43</v>
      </c>
      <c r="C9626" s="22" t="s">
        <v>1323</v>
      </c>
      <c r="D9626" s="18">
        <v>2021</v>
      </c>
      <c r="E9626" s="18"/>
      <c r="F9626" s="4">
        <v>1</v>
      </c>
      <c r="G9626" s="4">
        <v>15</v>
      </c>
      <c r="H9626" s="4">
        <v>33.103960000000001</v>
      </c>
      <c r="I9626" s="201"/>
      <c r="J9626" s="201"/>
    </row>
    <row r="9627" spans="1:10" s="15" customFormat="1" ht="28.5" hidden="1" customHeight="1" outlineLevel="1" x14ac:dyDescent="0.25">
      <c r="A9627" s="45">
        <v>1807</v>
      </c>
      <c r="B9627" s="4" t="s">
        <v>43</v>
      </c>
      <c r="C9627" s="22" t="s">
        <v>1324</v>
      </c>
      <c r="D9627" s="18">
        <v>2021</v>
      </c>
      <c r="E9627" s="18"/>
      <c r="F9627" s="4">
        <v>1</v>
      </c>
      <c r="G9627" s="4">
        <v>10</v>
      </c>
      <c r="H9627" s="4">
        <v>24.531500000000001</v>
      </c>
      <c r="I9627" s="201"/>
      <c r="J9627" s="201"/>
    </row>
    <row r="9628" spans="1:10" s="15" customFormat="1" ht="28.5" hidden="1" customHeight="1" outlineLevel="1" x14ac:dyDescent="0.25">
      <c r="A9628" s="46">
        <v>10019</v>
      </c>
      <c r="B9628" s="4" t="s">
        <v>43</v>
      </c>
      <c r="C9628" s="22" t="s">
        <v>1325</v>
      </c>
      <c r="D9628" s="18">
        <v>2021</v>
      </c>
      <c r="E9628" s="18"/>
      <c r="F9628" s="4">
        <v>1</v>
      </c>
      <c r="G9628" s="4">
        <v>10</v>
      </c>
      <c r="H9628" s="4">
        <v>26.94312</v>
      </c>
      <c r="I9628" s="201"/>
      <c r="J9628" s="201"/>
    </row>
    <row r="9629" spans="1:10" s="15" customFormat="1" ht="28.5" hidden="1" customHeight="1" outlineLevel="1" x14ac:dyDescent="0.25">
      <c r="A9629" s="46">
        <v>10020</v>
      </c>
      <c r="B9629" s="4" t="s">
        <v>43</v>
      </c>
      <c r="C9629" s="22" t="s">
        <v>1326</v>
      </c>
      <c r="D9629" s="18">
        <v>2021</v>
      </c>
      <c r="E9629" s="18"/>
      <c r="F9629" s="4">
        <v>1</v>
      </c>
      <c r="G9629" s="4">
        <v>6</v>
      </c>
      <c r="H9629" s="4">
        <v>23.870930000000001</v>
      </c>
      <c r="I9629" s="201"/>
      <c r="J9629" s="201"/>
    </row>
    <row r="9630" spans="1:10" s="15" customFormat="1" ht="28.5" hidden="1" customHeight="1" outlineLevel="1" x14ac:dyDescent="0.25">
      <c r="A9630" s="45">
        <v>1818</v>
      </c>
      <c r="B9630" s="4" t="s">
        <v>43</v>
      </c>
      <c r="C9630" s="22" t="s">
        <v>1327</v>
      </c>
      <c r="D9630" s="18">
        <v>2021</v>
      </c>
      <c r="E9630" s="18"/>
      <c r="F9630" s="4">
        <v>1</v>
      </c>
      <c r="G9630" s="4">
        <v>5</v>
      </c>
      <c r="H9630" s="4">
        <v>23.376909999999999</v>
      </c>
      <c r="I9630" s="201"/>
      <c r="J9630" s="201"/>
    </row>
    <row r="9631" spans="1:10" s="15" customFormat="1" ht="28.5" hidden="1" customHeight="1" outlineLevel="1" x14ac:dyDescent="0.25">
      <c r="A9631" s="45">
        <v>1909</v>
      </c>
      <c r="B9631" s="4" t="s">
        <v>43</v>
      </c>
      <c r="C9631" s="22" t="s">
        <v>1328</v>
      </c>
      <c r="D9631" s="18">
        <v>2021</v>
      </c>
      <c r="E9631" s="18"/>
      <c r="F9631" s="4">
        <v>1</v>
      </c>
      <c r="G9631" s="4">
        <v>6</v>
      </c>
      <c r="H9631" s="4">
        <v>21.93582</v>
      </c>
      <c r="I9631" s="201"/>
      <c r="J9631" s="201"/>
    </row>
    <row r="9632" spans="1:10" s="15" customFormat="1" ht="28.5" hidden="1" customHeight="1" outlineLevel="1" x14ac:dyDescent="0.25">
      <c r="A9632" s="45">
        <v>1902</v>
      </c>
      <c r="B9632" s="4" t="s">
        <v>43</v>
      </c>
      <c r="C9632" s="22" t="s">
        <v>1329</v>
      </c>
      <c r="D9632" s="18">
        <v>2021</v>
      </c>
      <c r="E9632" s="18"/>
      <c r="F9632" s="4">
        <v>1</v>
      </c>
      <c r="G9632" s="4">
        <v>10</v>
      </c>
      <c r="H9632" s="4">
        <v>23.877269999999999</v>
      </c>
      <c r="I9632" s="201"/>
      <c r="J9632" s="201"/>
    </row>
    <row r="9633" spans="1:10" s="15" customFormat="1" ht="28.5" hidden="1" customHeight="1" outlineLevel="1" x14ac:dyDescent="0.25">
      <c r="A9633" s="45">
        <v>1642</v>
      </c>
      <c r="B9633" s="4" t="s">
        <v>43</v>
      </c>
      <c r="C9633" s="22" t="s">
        <v>1330</v>
      </c>
      <c r="D9633" s="18">
        <v>2021</v>
      </c>
      <c r="E9633" s="18"/>
      <c r="F9633" s="4">
        <v>1</v>
      </c>
      <c r="G9633" s="4">
        <v>10</v>
      </c>
      <c r="H9633" s="4">
        <v>29.686050000000002</v>
      </c>
      <c r="I9633" s="201"/>
      <c r="J9633" s="201"/>
    </row>
    <row r="9634" spans="1:10" s="15" customFormat="1" ht="28.5" hidden="1" customHeight="1" outlineLevel="1" x14ac:dyDescent="0.25">
      <c r="A9634" s="46">
        <v>9748</v>
      </c>
      <c r="B9634" s="4" t="s">
        <v>43</v>
      </c>
      <c r="C9634" s="22" t="s">
        <v>675</v>
      </c>
      <c r="D9634" s="18">
        <v>2021</v>
      </c>
      <c r="E9634" s="18"/>
      <c r="F9634" s="4">
        <v>1</v>
      </c>
      <c r="G9634" s="4">
        <v>15</v>
      </c>
      <c r="H9634" s="4">
        <v>18.211349999999999</v>
      </c>
      <c r="I9634" s="201"/>
      <c r="J9634" s="201"/>
    </row>
    <row r="9635" spans="1:10" s="15" customFormat="1" ht="28.5" hidden="1" customHeight="1" outlineLevel="1" x14ac:dyDescent="0.25">
      <c r="A9635" s="45">
        <v>2444</v>
      </c>
      <c r="B9635" s="4" t="s">
        <v>43</v>
      </c>
      <c r="C9635" s="22" t="s">
        <v>1331</v>
      </c>
      <c r="D9635" s="18">
        <v>2021</v>
      </c>
      <c r="E9635" s="18"/>
      <c r="F9635" s="4">
        <v>5</v>
      </c>
      <c r="G9635" s="4">
        <v>65</v>
      </c>
      <c r="H9635" s="4">
        <v>142.36648</v>
      </c>
      <c r="I9635" s="201"/>
      <c r="J9635" s="201"/>
    </row>
    <row r="9636" spans="1:10" s="15" customFormat="1" ht="28.5" hidden="1" customHeight="1" outlineLevel="1" x14ac:dyDescent="0.25">
      <c r="A9636" s="46">
        <v>10315</v>
      </c>
      <c r="B9636" s="4" t="s">
        <v>43</v>
      </c>
      <c r="C9636" s="22" t="s">
        <v>1332</v>
      </c>
      <c r="D9636" s="18">
        <v>2021</v>
      </c>
      <c r="E9636" s="18"/>
      <c r="F9636" s="4">
        <v>3</v>
      </c>
      <c r="G9636" s="4">
        <v>25</v>
      </c>
      <c r="H9636" s="4">
        <v>100.45766999999999</v>
      </c>
      <c r="I9636" s="201"/>
      <c r="J9636" s="201"/>
    </row>
    <row r="9637" spans="1:10" s="15" customFormat="1" ht="28.5" hidden="1" customHeight="1" outlineLevel="1" x14ac:dyDescent="0.25">
      <c r="A9637" s="45">
        <v>2465</v>
      </c>
      <c r="B9637" s="4" t="s">
        <v>43</v>
      </c>
      <c r="C9637" s="22" t="s">
        <v>1333</v>
      </c>
      <c r="D9637" s="18">
        <v>2021</v>
      </c>
      <c r="E9637" s="18"/>
      <c r="F9637" s="4">
        <v>1</v>
      </c>
      <c r="G9637" s="4">
        <v>10</v>
      </c>
      <c r="H9637" s="4">
        <v>29.609719999999999</v>
      </c>
      <c r="I9637" s="201"/>
      <c r="J9637" s="201"/>
    </row>
    <row r="9638" spans="1:10" s="15" customFormat="1" ht="28.5" hidden="1" customHeight="1" outlineLevel="1" x14ac:dyDescent="0.25">
      <c r="A9638" s="45">
        <v>1810</v>
      </c>
      <c r="B9638" s="4" t="s">
        <v>43</v>
      </c>
      <c r="C9638" s="22" t="s">
        <v>1334</v>
      </c>
      <c r="D9638" s="18">
        <v>2021</v>
      </c>
      <c r="E9638" s="18"/>
      <c r="F9638" s="4">
        <v>1</v>
      </c>
      <c r="G9638" s="4">
        <v>15</v>
      </c>
      <c r="H9638" s="4">
        <v>25.74052</v>
      </c>
      <c r="I9638" s="201"/>
      <c r="J9638" s="201"/>
    </row>
    <row r="9639" spans="1:10" s="15" customFormat="1" ht="28.5" hidden="1" customHeight="1" outlineLevel="1" x14ac:dyDescent="0.25">
      <c r="A9639" s="45">
        <v>1825</v>
      </c>
      <c r="B9639" s="4" t="s">
        <v>43</v>
      </c>
      <c r="C9639" s="22" t="s">
        <v>1335</v>
      </c>
      <c r="D9639" s="18">
        <v>2021</v>
      </c>
      <c r="E9639" s="18"/>
      <c r="F9639" s="4">
        <v>1</v>
      </c>
      <c r="G9639" s="4">
        <v>14</v>
      </c>
      <c r="H9639" s="4">
        <v>26.384620000000002</v>
      </c>
      <c r="I9639" s="201"/>
      <c r="J9639" s="201"/>
    </row>
    <row r="9640" spans="1:10" s="15" customFormat="1" ht="28.5" hidden="1" customHeight="1" outlineLevel="1" x14ac:dyDescent="0.25">
      <c r="A9640" s="45">
        <v>1828</v>
      </c>
      <c r="B9640" s="4" t="s">
        <v>43</v>
      </c>
      <c r="C9640" s="22" t="s">
        <v>1336</v>
      </c>
      <c r="D9640" s="18">
        <v>2021</v>
      </c>
      <c r="E9640" s="18"/>
      <c r="F9640" s="4">
        <v>1</v>
      </c>
      <c r="G9640" s="4">
        <v>10</v>
      </c>
      <c r="H9640" s="4">
        <v>26.015039999999999</v>
      </c>
      <c r="I9640" s="201"/>
      <c r="J9640" s="201"/>
    </row>
    <row r="9641" spans="1:10" s="15" customFormat="1" ht="28.5" hidden="1" customHeight="1" outlineLevel="1" x14ac:dyDescent="0.25">
      <c r="A9641" s="46">
        <v>9881</v>
      </c>
      <c r="B9641" s="4" t="s">
        <v>43</v>
      </c>
      <c r="C9641" s="22" t="s">
        <v>877</v>
      </c>
      <c r="D9641" s="18">
        <v>2021</v>
      </c>
      <c r="E9641" s="18"/>
      <c r="F9641" s="4">
        <v>2</v>
      </c>
      <c r="G9641" s="4">
        <v>20</v>
      </c>
      <c r="H9641" s="4">
        <v>32.777290000000001</v>
      </c>
      <c r="I9641" s="201"/>
      <c r="J9641" s="201"/>
    </row>
    <row r="9642" spans="1:10" s="15" customFormat="1" ht="28.5" hidden="1" customHeight="1" outlineLevel="1" x14ac:dyDescent="0.25">
      <c r="A9642" s="45">
        <v>1878</v>
      </c>
      <c r="B9642" s="4" t="s">
        <v>43</v>
      </c>
      <c r="C9642" s="22" t="s">
        <v>1337</v>
      </c>
      <c r="D9642" s="18">
        <v>2021</v>
      </c>
      <c r="E9642" s="18"/>
      <c r="F9642" s="4">
        <v>1</v>
      </c>
      <c r="G9642" s="4">
        <v>10</v>
      </c>
      <c r="H9642" s="4">
        <v>30.52281</v>
      </c>
      <c r="I9642" s="201"/>
      <c r="J9642" s="201"/>
    </row>
    <row r="9643" spans="1:10" s="15" customFormat="1" ht="28.5" hidden="1" customHeight="1" outlineLevel="1" x14ac:dyDescent="0.25">
      <c r="A9643" s="45">
        <v>1850</v>
      </c>
      <c r="B9643" s="4" t="s">
        <v>43</v>
      </c>
      <c r="C9643" s="22" t="s">
        <v>1338</v>
      </c>
      <c r="D9643" s="18">
        <v>2021</v>
      </c>
      <c r="E9643" s="18"/>
      <c r="F9643" s="4">
        <v>1</v>
      </c>
      <c r="G9643" s="4">
        <v>15</v>
      </c>
      <c r="H9643" s="4">
        <v>36.270969999999998</v>
      </c>
      <c r="I9643" s="201"/>
      <c r="J9643" s="201"/>
    </row>
    <row r="9644" spans="1:10" s="15" customFormat="1" ht="28.5" hidden="1" customHeight="1" outlineLevel="1" x14ac:dyDescent="0.25">
      <c r="A9644" s="45">
        <v>1840</v>
      </c>
      <c r="B9644" s="4" t="s">
        <v>43</v>
      </c>
      <c r="C9644" s="22" t="s">
        <v>1339</v>
      </c>
      <c r="D9644" s="18">
        <v>2021</v>
      </c>
      <c r="E9644" s="18"/>
      <c r="F9644" s="4">
        <v>1</v>
      </c>
      <c r="G9644" s="4">
        <v>15</v>
      </c>
      <c r="H9644" s="4">
        <v>27.297229999999999</v>
      </c>
      <c r="I9644" s="201"/>
      <c r="J9644" s="201"/>
    </row>
    <row r="9645" spans="1:10" s="15" customFormat="1" ht="28.5" hidden="1" customHeight="1" outlineLevel="1" x14ac:dyDescent="0.25">
      <c r="A9645" s="45">
        <v>1838</v>
      </c>
      <c r="B9645" s="4" t="s">
        <v>43</v>
      </c>
      <c r="C9645" s="22" t="s">
        <v>1340</v>
      </c>
      <c r="D9645" s="18">
        <v>2021</v>
      </c>
      <c r="E9645" s="18"/>
      <c r="F9645" s="4">
        <v>1</v>
      </c>
      <c r="G9645" s="4">
        <v>10</v>
      </c>
      <c r="H9645" s="4">
        <v>33.905659999999997</v>
      </c>
      <c r="I9645" s="201"/>
      <c r="J9645" s="201"/>
    </row>
    <row r="9646" spans="1:10" s="15" customFormat="1" ht="28.5" hidden="1" customHeight="1" outlineLevel="1" x14ac:dyDescent="0.25">
      <c r="A9646" s="45">
        <v>1849</v>
      </c>
      <c r="B9646" s="4" t="s">
        <v>43</v>
      </c>
      <c r="C9646" s="22" t="s">
        <v>1341</v>
      </c>
      <c r="D9646" s="18">
        <v>2021</v>
      </c>
      <c r="E9646" s="18"/>
      <c r="F9646" s="4">
        <v>1</v>
      </c>
      <c r="G9646" s="4">
        <v>15</v>
      </c>
      <c r="H9646" s="4">
        <v>34.262569999999997</v>
      </c>
      <c r="I9646" s="201"/>
      <c r="J9646" s="201"/>
    </row>
    <row r="9647" spans="1:10" s="15" customFormat="1" ht="28.5" hidden="1" customHeight="1" outlineLevel="1" x14ac:dyDescent="0.25">
      <c r="A9647" s="45">
        <v>1860</v>
      </c>
      <c r="B9647" s="4" t="s">
        <v>43</v>
      </c>
      <c r="C9647" s="22" t="s">
        <v>1342</v>
      </c>
      <c r="D9647" s="18">
        <v>2021</v>
      </c>
      <c r="E9647" s="18"/>
      <c r="F9647" s="4">
        <v>1</v>
      </c>
      <c r="G9647" s="4">
        <v>10</v>
      </c>
      <c r="H9647" s="4">
        <v>41.849429999999998</v>
      </c>
      <c r="I9647" s="201"/>
      <c r="J9647" s="201"/>
    </row>
    <row r="9648" spans="1:10" s="15" customFormat="1" ht="28.5" hidden="1" customHeight="1" outlineLevel="1" x14ac:dyDescent="0.25">
      <c r="A9648" s="46">
        <v>10023</v>
      </c>
      <c r="B9648" s="4" t="s">
        <v>43</v>
      </c>
      <c r="C9648" s="22" t="s">
        <v>1343</v>
      </c>
      <c r="D9648" s="18">
        <v>2021</v>
      </c>
      <c r="E9648" s="18"/>
      <c r="F9648" s="4">
        <v>1</v>
      </c>
      <c r="G9648" s="4">
        <v>10</v>
      </c>
      <c r="H9648" s="4">
        <v>37.754429999999999</v>
      </c>
      <c r="I9648" s="201"/>
      <c r="J9648" s="201"/>
    </row>
    <row r="9649" spans="1:10" s="15" customFormat="1" ht="28.5" hidden="1" customHeight="1" outlineLevel="1" x14ac:dyDescent="0.25">
      <c r="A9649" s="45">
        <v>1823</v>
      </c>
      <c r="B9649" s="4" t="s">
        <v>43</v>
      </c>
      <c r="C9649" s="22" t="s">
        <v>1344</v>
      </c>
      <c r="D9649" s="18">
        <v>2021</v>
      </c>
      <c r="E9649" s="18"/>
      <c r="F9649" s="4">
        <v>1</v>
      </c>
      <c r="G9649" s="4">
        <v>10</v>
      </c>
      <c r="H9649" s="4">
        <v>23.40945</v>
      </c>
      <c r="I9649" s="201"/>
      <c r="J9649" s="201"/>
    </row>
    <row r="9650" spans="1:10" s="15" customFormat="1" ht="28.5" hidden="1" customHeight="1" outlineLevel="1" x14ac:dyDescent="0.25">
      <c r="A9650" s="46">
        <v>9992</v>
      </c>
      <c r="B9650" s="4" t="s">
        <v>43</v>
      </c>
      <c r="C9650" s="22" t="s">
        <v>1345</v>
      </c>
      <c r="D9650" s="18">
        <v>2021</v>
      </c>
      <c r="E9650" s="18"/>
      <c r="F9650" s="4">
        <v>1</v>
      </c>
      <c r="G9650" s="4">
        <v>10</v>
      </c>
      <c r="H9650" s="4">
        <v>25.575759999999999</v>
      </c>
      <c r="I9650" s="201"/>
      <c r="J9650" s="201"/>
    </row>
    <row r="9651" spans="1:10" s="15" customFormat="1" ht="28.5" hidden="1" customHeight="1" outlineLevel="1" x14ac:dyDescent="0.25">
      <c r="A9651" s="45">
        <v>1890</v>
      </c>
      <c r="B9651" s="4" t="s">
        <v>43</v>
      </c>
      <c r="C9651" s="22" t="s">
        <v>1346</v>
      </c>
      <c r="D9651" s="18">
        <v>2021</v>
      </c>
      <c r="E9651" s="18"/>
      <c r="F9651" s="4">
        <v>1</v>
      </c>
      <c r="G9651" s="4">
        <v>10</v>
      </c>
      <c r="H9651" s="4">
        <v>36.367190000000001</v>
      </c>
      <c r="I9651" s="201"/>
      <c r="J9651" s="201"/>
    </row>
    <row r="9652" spans="1:10" s="15" customFormat="1" ht="28.5" hidden="1" customHeight="1" outlineLevel="1" x14ac:dyDescent="0.25">
      <c r="A9652" s="45">
        <v>1916</v>
      </c>
      <c r="B9652" s="4" t="s">
        <v>43</v>
      </c>
      <c r="C9652" s="22" t="s">
        <v>1347</v>
      </c>
      <c r="D9652" s="18">
        <v>2021</v>
      </c>
      <c r="E9652" s="18"/>
      <c r="F9652" s="4">
        <v>1</v>
      </c>
      <c r="G9652" s="4">
        <v>7</v>
      </c>
      <c r="H9652" s="4">
        <v>39.364220000000003</v>
      </c>
      <c r="I9652" s="201"/>
      <c r="J9652" s="201"/>
    </row>
    <row r="9653" spans="1:10" s="15" customFormat="1" ht="28.5" hidden="1" customHeight="1" outlineLevel="1" x14ac:dyDescent="0.25">
      <c r="A9653" s="45">
        <v>1920</v>
      </c>
      <c r="B9653" s="4" t="s">
        <v>43</v>
      </c>
      <c r="C9653" s="22" t="s">
        <v>1348</v>
      </c>
      <c r="D9653" s="18">
        <v>2021</v>
      </c>
      <c r="E9653" s="18"/>
      <c r="F9653" s="4">
        <v>1</v>
      </c>
      <c r="G9653" s="4">
        <v>10</v>
      </c>
      <c r="H9653" s="4">
        <v>33.262079999999997</v>
      </c>
      <c r="I9653" s="201"/>
      <c r="J9653" s="201"/>
    </row>
    <row r="9654" spans="1:10" s="15" customFormat="1" ht="28.5" hidden="1" customHeight="1" outlineLevel="1" x14ac:dyDescent="0.25">
      <c r="A9654" s="45">
        <v>2272</v>
      </c>
      <c r="B9654" s="4" t="s">
        <v>43</v>
      </c>
      <c r="C9654" s="22" t="s">
        <v>1349</v>
      </c>
      <c r="D9654" s="18">
        <v>2021</v>
      </c>
      <c r="E9654" s="18"/>
      <c r="F9654" s="4">
        <v>2</v>
      </c>
      <c r="G9654" s="4">
        <v>6</v>
      </c>
      <c r="H9654" s="4">
        <v>78.221010000000007</v>
      </c>
      <c r="I9654" s="201"/>
      <c r="J9654" s="201"/>
    </row>
    <row r="9655" spans="1:10" s="15" customFormat="1" ht="28.5" hidden="1" customHeight="1" outlineLevel="1" x14ac:dyDescent="0.25">
      <c r="A9655" s="46">
        <v>10321</v>
      </c>
      <c r="B9655" s="4" t="s">
        <v>43</v>
      </c>
      <c r="C9655" s="22" t="s">
        <v>1350</v>
      </c>
      <c r="D9655" s="18">
        <v>2021</v>
      </c>
      <c r="E9655" s="18"/>
      <c r="F9655" s="4">
        <v>1</v>
      </c>
      <c r="G9655" s="4">
        <v>15</v>
      </c>
      <c r="H9655" s="4">
        <v>38.025860000000002</v>
      </c>
      <c r="I9655" s="201"/>
      <c r="J9655" s="201"/>
    </row>
    <row r="9656" spans="1:10" s="15" customFormat="1" ht="28.5" hidden="1" customHeight="1" outlineLevel="1" x14ac:dyDescent="0.25">
      <c r="A9656" s="45">
        <v>1348</v>
      </c>
      <c r="B9656" s="4" t="s">
        <v>43</v>
      </c>
      <c r="C9656" s="22" t="s">
        <v>683</v>
      </c>
      <c r="D9656" s="18">
        <v>2021</v>
      </c>
      <c r="E9656" s="18"/>
      <c r="F9656" s="4">
        <v>2</v>
      </c>
      <c r="G9656" s="4">
        <v>24</v>
      </c>
      <c r="H9656" s="4">
        <v>40.763150000000003</v>
      </c>
      <c r="I9656" s="201"/>
      <c r="J9656" s="201"/>
    </row>
    <row r="9657" spans="1:10" s="15" customFormat="1" ht="28.5" hidden="1" customHeight="1" outlineLevel="1" x14ac:dyDescent="0.25">
      <c r="A9657" s="45">
        <v>1339</v>
      </c>
      <c r="B9657" s="4" t="s">
        <v>43</v>
      </c>
      <c r="C9657" s="22" t="s">
        <v>685</v>
      </c>
      <c r="D9657" s="18">
        <v>2021</v>
      </c>
      <c r="E9657" s="18"/>
      <c r="F9657" s="4">
        <v>1</v>
      </c>
      <c r="G9657" s="4">
        <v>10</v>
      </c>
      <c r="H9657" s="4">
        <v>14.663819999999999</v>
      </c>
      <c r="I9657" s="201"/>
      <c r="J9657" s="201"/>
    </row>
    <row r="9658" spans="1:10" s="15" customFormat="1" ht="28.5" hidden="1" customHeight="1" outlineLevel="1" x14ac:dyDescent="0.25">
      <c r="A9658" s="46">
        <v>9752</v>
      </c>
      <c r="B9658" s="4" t="s">
        <v>43</v>
      </c>
      <c r="C9658" s="22" t="s">
        <v>686</v>
      </c>
      <c r="D9658" s="18">
        <v>2021</v>
      </c>
      <c r="E9658" s="18"/>
      <c r="F9658" s="4">
        <v>1</v>
      </c>
      <c r="G9658" s="4">
        <v>5</v>
      </c>
      <c r="H9658" s="4">
        <v>19.532630000000001</v>
      </c>
      <c r="I9658" s="201"/>
      <c r="J9658" s="201"/>
    </row>
    <row r="9659" spans="1:10" s="15" customFormat="1" ht="28.5" hidden="1" customHeight="1" outlineLevel="1" x14ac:dyDescent="0.25">
      <c r="A9659" s="45">
        <v>10011</v>
      </c>
      <c r="B9659" s="4" t="s">
        <v>43</v>
      </c>
      <c r="C9659" s="22" t="s">
        <v>1351</v>
      </c>
      <c r="D9659" s="18">
        <v>2021</v>
      </c>
      <c r="E9659" s="18"/>
      <c r="F9659" s="4">
        <v>1</v>
      </c>
      <c r="G9659" s="4">
        <v>10</v>
      </c>
      <c r="H9659" s="4">
        <v>25.201899999999998</v>
      </c>
      <c r="I9659" s="201"/>
      <c r="J9659" s="201"/>
    </row>
    <row r="9660" spans="1:10" s="15" customFormat="1" ht="28.5" hidden="1" customHeight="1" outlineLevel="1" x14ac:dyDescent="0.25">
      <c r="A9660" s="45">
        <v>1796</v>
      </c>
      <c r="B9660" s="4" t="s">
        <v>43</v>
      </c>
      <c r="C9660" s="22" t="s">
        <v>1352</v>
      </c>
      <c r="D9660" s="18">
        <v>2021</v>
      </c>
      <c r="E9660" s="18"/>
      <c r="F9660" s="4">
        <v>1</v>
      </c>
      <c r="G9660" s="4">
        <v>5</v>
      </c>
      <c r="H9660" s="4">
        <v>27.789400000000001</v>
      </c>
      <c r="I9660" s="201"/>
      <c r="J9660" s="201"/>
    </row>
    <row r="9661" spans="1:10" s="15" customFormat="1" ht="28.5" hidden="1" customHeight="1" outlineLevel="1" x14ac:dyDescent="0.25">
      <c r="A9661" s="45">
        <v>1816</v>
      </c>
      <c r="B9661" s="4" t="s">
        <v>43</v>
      </c>
      <c r="C9661" s="22" t="s">
        <v>1353</v>
      </c>
      <c r="D9661" s="18">
        <v>2021</v>
      </c>
      <c r="E9661" s="18"/>
      <c r="F9661" s="4">
        <v>1</v>
      </c>
      <c r="G9661" s="4">
        <v>15</v>
      </c>
      <c r="H9661" s="4">
        <v>24.022310000000001</v>
      </c>
      <c r="I9661" s="201"/>
      <c r="J9661" s="201"/>
    </row>
    <row r="9662" spans="1:10" s="15" customFormat="1" ht="28.5" hidden="1" customHeight="1" outlineLevel="1" x14ac:dyDescent="0.25">
      <c r="A9662" s="45">
        <v>1817</v>
      </c>
      <c r="B9662" s="4" t="s">
        <v>43</v>
      </c>
      <c r="C9662" s="22" t="s">
        <v>1354</v>
      </c>
      <c r="D9662" s="18">
        <v>2021</v>
      </c>
      <c r="E9662" s="18"/>
      <c r="F9662" s="4">
        <v>1</v>
      </c>
      <c r="G9662" s="4">
        <v>5</v>
      </c>
      <c r="H9662" s="4">
        <v>24.603459999999998</v>
      </c>
      <c r="I9662" s="201"/>
      <c r="J9662" s="201"/>
    </row>
    <row r="9663" spans="1:10" s="15" customFormat="1" ht="28.5" hidden="1" customHeight="1" outlineLevel="1" x14ac:dyDescent="0.25">
      <c r="A9663" s="45">
        <v>1854</v>
      </c>
      <c r="B9663" s="4" t="s">
        <v>43</v>
      </c>
      <c r="C9663" s="22" t="s">
        <v>1355</v>
      </c>
      <c r="D9663" s="18">
        <v>2021</v>
      </c>
      <c r="E9663" s="18"/>
      <c r="F9663" s="4">
        <v>1</v>
      </c>
      <c r="G9663" s="4">
        <v>10</v>
      </c>
      <c r="H9663" s="4">
        <v>31.893260000000001</v>
      </c>
      <c r="I9663" s="201"/>
      <c r="J9663" s="201"/>
    </row>
    <row r="9664" spans="1:10" s="15" customFormat="1" ht="28.5" hidden="1" customHeight="1" outlineLevel="1" x14ac:dyDescent="0.25">
      <c r="A9664" s="46">
        <v>10007</v>
      </c>
      <c r="B9664" s="4" t="s">
        <v>43</v>
      </c>
      <c r="C9664" s="22" t="s">
        <v>1356</v>
      </c>
      <c r="D9664" s="18">
        <v>2021</v>
      </c>
      <c r="E9664" s="18"/>
      <c r="F9664" s="4">
        <v>1</v>
      </c>
      <c r="G9664" s="4">
        <v>5</v>
      </c>
      <c r="H9664" s="4">
        <v>27.481020000000001</v>
      </c>
      <c r="I9664" s="201"/>
      <c r="J9664" s="201"/>
    </row>
    <row r="9665" spans="1:10" s="15" customFormat="1" ht="28.5" hidden="1" customHeight="1" outlineLevel="1" x14ac:dyDescent="0.25">
      <c r="A9665" s="46">
        <v>10008</v>
      </c>
      <c r="B9665" s="4" t="s">
        <v>43</v>
      </c>
      <c r="C9665" s="22" t="s">
        <v>1357</v>
      </c>
      <c r="D9665" s="18">
        <v>2021</v>
      </c>
      <c r="E9665" s="18"/>
      <c r="F9665" s="4">
        <v>1</v>
      </c>
      <c r="G9665" s="4">
        <v>10</v>
      </c>
      <c r="H9665" s="4">
        <v>23.360029999999998</v>
      </c>
      <c r="I9665" s="201"/>
      <c r="J9665" s="201"/>
    </row>
    <row r="9666" spans="1:10" s="15" customFormat="1" ht="28.5" hidden="1" customHeight="1" outlineLevel="1" x14ac:dyDescent="0.25">
      <c r="A9666" s="46">
        <v>10009</v>
      </c>
      <c r="B9666" s="4" t="s">
        <v>43</v>
      </c>
      <c r="C9666" s="22" t="s">
        <v>1358</v>
      </c>
      <c r="D9666" s="18">
        <v>2021</v>
      </c>
      <c r="E9666" s="18"/>
      <c r="F9666" s="4">
        <v>1</v>
      </c>
      <c r="G9666" s="4">
        <v>5</v>
      </c>
      <c r="H9666" s="4">
        <v>20.285540000000001</v>
      </c>
      <c r="I9666" s="201"/>
      <c r="J9666" s="201"/>
    </row>
    <row r="9667" spans="1:10" s="15" customFormat="1" ht="28.5" hidden="1" customHeight="1" outlineLevel="1" x14ac:dyDescent="0.25">
      <c r="A9667" s="46">
        <v>10016</v>
      </c>
      <c r="B9667" s="4" t="s">
        <v>43</v>
      </c>
      <c r="C9667" s="22" t="s">
        <v>1359</v>
      </c>
      <c r="D9667" s="18">
        <v>2021</v>
      </c>
      <c r="E9667" s="18"/>
      <c r="F9667" s="4">
        <v>1</v>
      </c>
      <c r="G9667" s="4">
        <v>10</v>
      </c>
      <c r="H9667" s="4">
        <v>20.0382</v>
      </c>
      <c r="I9667" s="201"/>
      <c r="J9667" s="201"/>
    </row>
    <row r="9668" spans="1:10" s="15" customFormat="1" ht="28.5" hidden="1" customHeight="1" outlineLevel="1" x14ac:dyDescent="0.25">
      <c r="A9668" s="46">
        <v>9753</v>
      </c>
      <c r="B9668" s="4" t="s">
        <v>43</v>
      </c>
      <c r="C9668" s="22" t="s">
        <v>690</v>
      </c>
      <c r="D9668" s="18">
        <v>2021</v>
      </c>
      <c r="E9668" s="18"/>
      <c r="F9668" s="4">
        <v>1</v>
      </c>
      <c r="G9668" s="4">
        <v>10</v>
      </c>
      <c r="H9668" s="4">
        <v>13.57413</v>
      </c>
      <c r="I9668" s="201"/>
      <c r="J9668" s="201"/>
    </row>
    <row r="9669" spans="1:10" s="15" customFormat="1" ht="28.5" hidden="1" customHeight="1" outlineLevel="1" x14ac:dyDescent="0.25">
      <c r="A9669" s="45">
        <v>1875</v>
      </c>
      <c r="B9669" s="4" t="s">
        <v>43</v>
      </c>
      <c r="C9669" s="22" t="s">
        <v>1360</v>
      </c>
      <c r="D9669" s="18">
        <v>2021</v>
      </c>
      <c r="E9669" s="18"/>
      <c r="F9669" s="4">
        <v>1</v>
      </c>
      <c r="G9669" s="4">
        <v>10</v>
      </c>
      <c r="H9669" s="4">
        <v>27.615400000000001</v>
      </c>
      <c r="I9669" s="201"/>
      <c r="J9669" s="201"/>
    </row>
    <row r="9670" spans="1:10" s="15" customFormat="1" ht="28.5" hidden="1" customHeight="1" outlineLevel="1" x14ac:dyDescent="0.25">
      <c r="A9670" s="45">
        <v>1811</v>
      </c>
      <c r="B9670" s="4" t="s">
        <v>43</v>
      </c>
      <c r="C9670" s="22" t="s">
        <v>1361</v>
      </c>
      <c r="D9670" s="18">
        <v>2021</v>
      </c>
      <c r="E9670" s="18"/>
      <c r="F9670" s="4">
        <v>1</v>
      </c>
      <c r="G9670" s="4">
        <v>10</v>
      </c>
      <c r="H9670" s="4">
        <v>27.28931</v>
      </c>
      <c r="I9670" s="201"/>
      <c r="J9670" s="201"/>
    </row>
    <row r="9671" spans="1:10" s="15" customFormat="1" ht="28.5" hidden="1" customHeight="1" outlineLevel="1" x14ac:dyDescent="0.25">
      <c r="A9671" s="46">
        <v>9762</v>
      </c>
      <c r="B9671" s="4" t="s">
        <v>43</v>
      </c>
      <c r="C9671" s="22" t="s">
        <v>691</v>
      </c>
      <c r="D9671" s="18">
        <v>2021</v>
      </c>
      <c r="E9671" s="18"/>
      <c r="F9671" s="4">
        <v>1</v>
      </c>
      <c r="G9671" s="4">
        <v>14</v>
      </c>
      <c r="H9671" s="4">
        <v>14.068149999999999</v>
      </c>
      <c r="I9671" s="201"/>
      <c r="J9671" s="201"/>
    </row>
    <row r="9672" spans="1:10" s="15" customFormat="1" ht="28.5" hidden="1" customHeight="1" outlineLevel="1" x14ac:dyDescent="0.25">
      <c r="A9672" s="45">
        <v>1783</v>
      </c>
      <c r="B9672" s="4" t="s">
        <v>43</v>
      </c>
      <c r="C9672" s="22" t="s">
        <v>1362</v>
      </c>
      <c r="D9672" s="18">
        <v>2021</v>
      </c>
      <c r="E9672" s="18"/>
      <c r="F9672" s="4">
        <v>1</v>
      </c>
      <c r="G9672" s="4">
        <v>6</v>
      </c>
      <c r="H9672" s="4">
        <v>33.059600000000003</v>
      </c>
      <c r="I9672" s="201"/>
      <c r="J9672" s="201"/>
    </row>
    <row r="9673" spans="1:10" s="15" customFormat="1" ht="28.5" hidden="1" customHeight="1" outlineLevel="1" x14ac:dyDescent="0.25">
      <c r="A9673" s="45">
        <v>1906</v>
      </c>
      <c r="B9673" s="4" t="s">
        <v>43</v>
      </c>
      <c r="C9673" s="22" t="s">
        <v>1363</v>
      </c>
      <c r="D9673" s="18">
        <v>2021</v>
      </c>
      <c r="E9673" s="18"/>
      <c r="F9673" s="4">
        <v>1</v>
      </c>
      <c r="G9673" s="4">
        <v>14</v>
      </c>
      <c r="H9673" s="4">
        <v>35.12397</v>
      </c>
      <c r="I9673" s="201"/>
      <c r="J9673" s="201"/>
    </row>
    <row r="9674" spans="1:10" s="15" customFormat="1" ht="28.5" hidden="1" customHeight="1" outlineLevel="1" x14ac:dyDescent="0.25">
      <c r="A9674" s="45">
        <v>1800</v>
      </c>
      <c r="B9674" s="4" t="s">
        <v>43</v>
      </c>
      <c r="C9674" s="22" t="s">
        <v>1364</v>
      </c>
      <c r="D9674" s="18">
        <v>2021</v>
      </c>
      <c r="E9674" s="18"/>
      <c r="F9674" s="4">
        <v>1</v>
      </c>
      <c r="G9674" s="4">
        <v>15</v>
      </c>
      <c r="H9674" s="4">
        <v>30.38618</v>
      </c>
      <c r="I9674" s="201"/>
      <c r="J9674" s="201"/>
    </row>
    <row r="9675" spans="1:10" s="15" customFormat="1" ht="28.5" hidden="1" customHeight="1" outlineLevel="1" x14ac:dyDescent="0.25">
      <c r="A9675" s="45">
        <v>1889</v>
      </c>
      <c r="B9675" s="4" t="s">
        <v>43</v>
      </c>
      <c r="C9675" s="22" t="s">
        <v>1365</v>
      </c>
      <c r="D9675" s="18">
        <v>2021</v>
      </c>
      <c r="E9675" s="18"/>
      <c r="F9675" s="4">
        <v>1</v>
      </c>
      <c r="G9675" s="4">
        <v>10</v>
      </c>
      <c r="H9675" s="4">
        <v>35.979950000000002</v>
      </c>
      <c r="I9675" s="201"/>
      <c r="J9675" s="201"/>
    </row>
    <row r="9676" spans="1:10" s="15" customFormat="1" ht="28.5" hidden="1" customHeight="1" outlineLevel="1" x14ac:dyDescent="0.25">
      <c r="A9676" s="45">
        <v>1931</v>
      </c>
      <c r="B9676" s="4" t="s">
        <v>43</v>
      </c>
      <c r="C9676" s="22" t="s">
        <v>1366</v>
      </c>
      <c r="D9676" s="18">
        <v>2021</v>
      </c>
      <c r="E9676" s="18"/>
      <c r="F9676" s="4">
        <v>1</v>
      </c>
      <c r="G9676" s="4">
        <v>7</v>
      </c>
      <c r="H9676" s="4">
        <v>43.939140000000002</v>
      </c>
      <c r="I9676" s="201"/>
      <c r="J9676" s="201"/>
    </row>
    <row r="9677" spans="1:10" s="15" customFormat="1" ht="28.5" hidden="1" customHeight="1" outlineLevel="1" x14ac:dyDescent="0.25">
      <c r="A9677" s="46">
        <v>9763</v>
      </c>
      <c r="B9677" s="4" t="s">
        <v>43</v>
      </c>
      <c r="C9677" s="22" t="s">
        <v>695</v>
      </c>
      <c r="D9677" s="18">
        <v>2021</v>
      </c>
      <c r="E9677" s="18"/>
      <c r="F9677" s="4">
        <v>1</v>
      </c>
      <c r="G9677" s="4">
        <v>30</v>
      </c>
      <c r="H9677" s="4">
        <v>126.40253</v>
      </c>
      <c r="I9677" s="201"/>
      <c r="J9677" s="201"/>
    </row>
    <row r="9678" spans="1:10" s="15" customFormat="1" ht="28.5" hidden="1" customHeight="1" outlineLevel="1" x14ac:dyDescent="0.25">
      <c r="A9678" s="46">
        <v>9911</v>
      </c>
      <c r="B9678" s="4" t="s">
        <v>43</v>
      </c>
      <c r="C9678" s="22" t="s">
        <v>1367</v>
      </c>
      <c r="D9678" s="18">
        <v>2021</v>
      </c>
      <c r="E9678" s="18"/>
      <c r="F9678" s="4">
        <v>1</v>
      </c>
      <c r="G9678" s="4">
        <v>12</v>
      </c>
      <c r="H9678" s="4">
        <v>73.818770000000001</v>
      </c>
      <c r="I9678" s="201"/>
      <c r="J9678" s="201"/>
    </row>
    <row r="9679" spans="1:10" s="15" customFormat="1" ht="28.5" hidden="1" customHeight="1" outlineLevel="1" x14ac:dyDescent="0.25">
      <c r="A9679" s="45">
        <v>1458</v>
      </c>
      <c r="B9679" s="4" t="s">
        <v>43</v>
      </c>
      <c r="C9679" s="22" t="s">
        <v>710</v>
      </c>
      <c r="D9679" s="18">
        <v>2021</v>
      </c>
      <c r="E9679" s="18"/>
      <c r="F9679" s="4">
        <v>1</v>
      </c>
      <c r="G9679" s="4">
        <v>10</v>
      </c>
      <c r="H9679" s="4">
        <v>34.442749999999997</v>
      </c>
      <c r="I9679" s="201"/>
      <c r="J9679" s="201"/>
    </row>
    <row r="9680" spans="1:10" s="15" customFormat="1" ht="28.5" hidden="1" customHeight="1" outlineLevel="1" x14ac:dyDescent="0.25">
      <c r="A9680" s="45">
        <v>9751</v>
      </c>
      <c r="B9680" s="4" t="s">
        <v>43</v>
      </c>
      <c r="C9680" s="22" t="s">
        <v>1368</v>
      </c>
      <c r="D9680" s="18">
        <v>2021</v>
      </c>
      <c r="E9680" s="18"/>
      <c r="F9680" s="4">
        <v>1</v>
      </c>
      <c r="G9680" s="4">
        <v>12</v>
      </c>
      <c r="H9680" s="4">
        <v>22.870360000000002</v>
      </c>
      <c r="I9680" s="201"/>
      <c r="J9680" s="201"/>
    </row>
    <row r="9681" spans="1:36" s="15" customFormat="1" ht="28.5" hidden="1" customHeight="1" outlineLevel="1" x14ac:dyDescent="0.25">
      <c r="A9681" s="45">
        <v>1873</v>
      </c>
      <c r="B9681" s="4" t="s">
        <v>43</v>
      </c>
      <c r="C9681" s="22" t="s">
        <v>1369</v>
      </c>
      <c r="D9681" s="18">
        <v>2021</v>
      </c>
      <c r="E9681" s="18"/>
      <c r="F9681" s="4">
        <v>1</v>
      </c>
      <c r="G9681" s="4">
        <v>8</v>
      </c>
      <c r="H9681" s="4">
        <v>31.828340000000001</v>
      </c>
      <c r="I9681" s="201"/>
      <c r="J9681" s="201"/>
    </row>
    <row r="9682" spans="1:36" s="15" customFormat="1" ht="28.5" hidden="1" customHeight="1" outlineLevel="1" x14ac:dyDescent="0.25">
      <c r="A9682" s="46">
        <v>10006</v>
      </c>
      <c r="B9682" s="4" t="s">
        <v>43</v>
      </c>
      <c r="C9682" s="22" t="s">
        <v>1370</v>
      </c>
      <c r="D9682" s="18">
        <v>2021</v>
      </c>
      <c r="E9682" s="18"/>
      <c r="F9682" s="4">
        <v>1</v>
      </c>
      <c r="G9682" s="4">
        <v>15</v>
      </c>
      <c r="H9682" s="4">
        <v>21.758230000000001</v>
      </c>
      <c r="I9682" s="201"/>
      <c r="J9682" s="201"/>
    </row>
    <row r="9683" spans="1:36" s="15" customFormat="1" ht="15.75" hidden="1" outlineLevel="1" x14ac:dyDescent="0.25">
      <c r="A9683" s="46"/>
      <c r="B9683" s="123"/>
      <c r="C9683" s="104"/>
      <c r="D9683" s="153"/>
      <c r="E9683" s="153"/>
      <c r="F9683" s="123"/>
      <c r="G9683" s="123"/>
      <c r="H9683" s="123"/>
      <c r="I9683" s="201"/>
      <c r="J9683" s="201"/>
    </row>
    <row r="9684" spans="1:36" s="15" customFormat="1" ht="19.5" customHeight="1" collapsed="1" x14ac:dyDescent="0.25">
      <c r="A9684" s="18"/>
      <c r="B9684" s="319" t="s">
        <v>44</v>
      </c>
      <c r="C9684" s="327" t="s">
        <v>2123</v>
      </c>
      <c r="D9684" s="319"/>
      <c r="E9684" s="319" t="s">
        <v>0</v>
      </c>
      <c r="F9684" s="319"/>
      <c r="G9684" s="319"/>
      <c r="H9684" s="319"/>
      <c r="I9684" s="218"/>
      <c r="J9684" s="218"/>
    </row>
    <row r="9685" spans="1:36" s="16" customFormat="1" ht="16.5" customHeight="1" x14ac:dyDescent="0.25">
      <c r="A9685" s="18"/>
      <c r="B9685" s="320"/>
      <c r="C9685" s="326"/>
      <c r="D9685" s="320" t="s">
        <v>0</v>
      </c>
      <c r="E9685" s="320" t="s">
        <v>0</v>
      </c>
      <c r="F9685" s="320"/>
      <c r="G9685" s="320"/>
      <c r="H9685" s="320"/>
      <c r="I9685" s="219"/>
      <c r="J9685" s="219"/>
      <c r="K9685" s="15"/>
      <c r="L9685" s="15"/>
      <c r="M9685" s="15"/>
      <c r="N9685" s="15"/>
      <c r="O9685" s="15"/>
      <c r="P9685" s="15"/>
      <c r="Q9685" s="15"/>
      <c r="R9685" s="15"/>
      <c r="S9685" s="15"/>
      <c r="T9685" s="15"/>
      <c r="U9685" s="15"/>
      <c r="V9685" s="15"/>
      <c r="W9685" s="15"/>
      <c r="X9685" s="15"/>
      <c r="Y9685" s="15"/>
      <c r="Z9685" s="15"/>
      <c r="AA9685" s="15"/>
      <c r="AB9685" s="15"/>
      <c r="AC9685" s="15"/>
      <c r="AD9685" s="15"/>
      <c r="AE9685" s="15"/>
      <c r="AF9685" s="15"/>
      <c r="AG9685" s="15"/>
      <c r="AH9685" s="15"/>
      <c r="AI9685" s="15"/>
      <c r="AJ9685" s="15"/>
    </row>
    <row r="9686" spans="1:36" s="16" customFormat="1" ht="15.75" x14ac:dyDescent="0.25">
      <c r="A9686" s="18"/>
      <c r="B9686" s="11" t="s">
        <v>44</v>
      </c>
      <c r="C9686" s="12" t="s">
        <v>57</v>
      </c>
      <c r="D9686" s="20">
        <v>2021</v>
      </c>
      <c r="E9686" s="20" t="s">
        <v>0</v>
      </c>
      <c r="F9686" s="11">
        <f>SUMIF($D$9689:$D$17414,$D$9686,$F$9689:$F$17414)</f>
        <v>1242</v>
      </c>
      <c r="G9686" s="11">
        <f>SUMIF($D$9689:$D$17414,$D$9686,$G$9689:$G$17414)</f>
        <v>20383.13</v>
      </c>
      <c r="H9686" s="14">
        <f>SUMIF($D$9689:$D$17414,$D$9686,$H$9689:$H$17414)</f>
        <v>50897.983008000003</v>
      </c>
      <c r="I9686" s="220"/>
      <c r="J9686" s="220"/>
      <c r="K9686" s="15"/>
      <c r="L9686" s="15"/>
      <c r="M9686" s="15"/>
      <c r="N9686" s="15"/>
      <c r="O9686" s="15"/>
      <c r="P9686" s="15"/>
      <c r="Q9686" s="15"/>
      <c r="R9686" s="15"/>
      <c r="S9686" s="15"/>
      <c r="T9686" s="15"/>
      <c r="U9686" s="15"/>
      <c r="V9686" s="15"/>
      <c r="W9686" s="15"/>
      <c r="X9686" s="15"/>
      <c r="Y9686" s="15"/>
      <c r="Z9686" s="15"/>
      <c r="AA9686" s="15"/>
      <c r="AB9686" s="15"/>
      <c r="AC9686" s="15"/>
      <c r="AD9686" s="15"/>
      <c r="AE9686" s="15"/>
      <c r="AF9686" s="15"/>
      <c r="AG9686" s="15"/>
      <c r="AH9686" s="15"/>
      <c r="AI9686" s="15"/>
      <c r="AJ9686" s="15"/>
    </row>
    <row r="9687" spans="1:36" s="27" customFormat="1" ht="16.5" customHeight="1" x14ac:dyDescent="0.25">
      <c r="A9687" s="18"/>
      <c r="B9687" s="11" t="s">
        <v>44</v>
      </c>
      <c r="C9687" s="12" t="s">
        <v>57</v>
      </c>
      <c r="D9687" s="20">
        <v>2022</v>
      </c>
      <c r="E9687" s="20" t="s">
        <v>0</v>
      </c>
      <c r="F9687" s="14">
        <f>SUMIF($D$9689:$D$17414,$D$9687,$F$9689:$F$17414)</f>
        <v>6307</v>
      </c>
      <c r="G9687" s="14">
        <f>SUMIF($D$9689:$D$17414,$D$9687,$G$9689:$G$17414)</f>
        <v>102103.53400000001</v>
      </c>
      <c r="H9687" s="14">
        <f>SUMIF($D$9689:$D$17414,$D$9687,$H$9689:$H$17414)</f>
        <v>190918.02863199997</v>
      </c>
      <c r="I9687" s="220"/>
      <c r="J9687" s="220"/>
      <c r="K9687" s="15"/>
      <c r="L9687" s="15"/>
      <c r="M9687" s="15"/>
      <c r="N9687" s="15"/>
      <c r="O9687" s="15"/>
      <c r="P9687" s="15"/>
      <c r="Q9687" s="15"/>
      <c r="R9687" s="15"/>
      <c r="S9687" s="15"/>
      <c r="T9687" s="15"/>
      <c r="U9687" s="15"/>
      <c r="V9687" s="15"/>
      <c r="W9687" s="15"/>
      <c r="X9687" s="15"/>
      <c r="Y9687" s="15"/>
      <c r="Z9687" s="15"/>
      <c r="AA9687" s="15"/>
      <c r="AB9687" s="15"/>
      <c r="AC9687" s="15"/>
      <c r="AD9687" s="15"/>
      <c r="AE9687" s="15"/>
      <c r="AF9687" s="15"/>
      <c r="AG9687" s="15"/>
      <c r="AH9687" s="15"/>
      <c r="AI9687" s="15"/>
      <c r="AJ9687" s="15"/>
    </row>
    <row r="9688" spans="1:36" s="27" customFormat="1" ht="15.75" x14ac:dyDescent="0.25">
      <c r="A9688" s="18"/>
      <c r="B9688" s="11" t="s">
        <v>44</v>
      </c>
      <c r="C9688" s="12" t="s">
        <v>57</v>
      </c>
      <c r="D9688" s="20">
        <v>2023</v>
      </c>
      <c r="E9688" s="20" t="s">
        <v>0</v>
      </c>
      <c r="F9688" s="14">
        <f>SUMIF($D$9689:$D$17414,$D$9688,$F$9689:$F$17414)</f>
        <v>3826</v>
      </c>
      <c r="G9688" s="14">
        <f>SUMIF($D$9689:$D$17414,$D$9688,$G$9689:$G$17414)</f>
        <v>67253.290000000008</v>
      </c>
      <c r="H9688" s="14">
        <f>SUMIF($D$9689:$D$17414,$D$9688,$H$9689:$H$17414)</f>
        <v>185428.86114800049</v>
      </c>
      <c r="I9688" s="220"/>
      <c r="J9688" s="220"/>
      <c r="K9688" s="15"/>
      <c r="L9688" s="15"/>
      <c r="M9688" s="15"/>
      <c r="N9688" s="15"/>
      <c r="O9688" s="15"/>
      <c r="P9688" s="15"/>
      <c r="Q9688" s="15"/>
      <c r="R9688" s="15"/>
      <c r="S9688" s="15"/>
      <c r="T9688" s="15"/>
      <c r="U9688" s="15"/>
      <c r="V9688" s="15"/>
      <c r="W9688" s="15"/>
      <c r="X9688" s="15"/>
      <c r="Y9688" s="15"/>
      <c r="Z9688" s="15"/>
      <c r="AA9688" s="15"/>
      <c r="AB9688" s="15"/>
      <c r="AC9688" s="15"/>
      <c r="AD9688" s="15"/>
      <c r="AE9688" s="15"/>
      <c r="AF9688" s="15"/>
      <c r="AG9688" s="15"/>
      <c r="AH9688" s="15"/>
      <c r="AI9688" s="15"/>
      <c r="AJ9688" s="15"/>
    </row>
    <row r="9689" spans="1:36" s="15" customFormat="1" ht="16.5" hidden="1" customHeight="1" outlineLevel="1" x14ac:dyDescent="0.25">
      <c r="A9689" s="18">
        <v>2985</v>
      </c>
      <c r="B9689" s="4" t="s">
        <v>44</v>
      </c>
      <c r="C9689" s="38" t="s">
        <v>2812</v>
      </c>
      <c r="D9689" s="18">
        <v>2022</v>
      </c>
      <c r="E9689" s="18" t="s">
        <v>0</v>
      </c>
      <c r="F9689" s="41">
        <v>1</v>
      </c>
      <c r="G9689" s="4">
        <v>150</v>
      </c>
      <c r="H9689" s="18">
        <v>77.069000000000003</v>
      </c>
      <c r="I9689" s="90"/>
      <c r="J9689" s="90"/>
    </row>
    <row r="9690" spans="1:36" s="15" customFormat="1" ht="16.5" hidden="1" customHeight="1" outlineLevel="1" x14ac:dyDescent="0.25">
      <c r="A9690" s="18">
        <v>2815</v>
      </c>
      <c r="B9690" s="4" t="s">
        <v>44</v>
      </c>
      <c r="C9690" s="38" t="s">
        <v>2876</v>
      </c>
      <c r="D9690" s="18">
        <v>2022</v>
      </c>
      <c r="E9690" s="18" t="s">
        <v>0</v>
      </c>
      <c r="F9690" s="41">
        <v>1</v>
      </c>
      <c r="G9690" s="4">
        <v>15</v>
      </c>
      <c r="H9690" s="18">
        <f>0.186637*(1000)</f>
        <v>186.637</v>
      </c>
      <c r="I9690" s="90"/>
      <c r="J9690" s="90"/>
    </row>
    <row r="9691" spans="1:36" s="15" customFormat="1" ht="16.5" hidden="1" customHeight="1" outlineLevel="1" x14ac:dyDescent="0.25">
      <c r="A9691" s="18">
        <v>2888</v>
      </c>
      <c r="B9691" s="4" t="s">
        <v>44</v>
      </c>
      <c r="C9691" s="38" t="s">
        <v>2130</v>
      </c>
      <c r="D9691" s="18">
        <v>2022</v>
      </c>
      <c r="E9691" s="18" t="s">
        <v>0</v>
      </c>
      <c r="F9691" s="41">
        <v>1</v>
      </c>
      <c r="G9691" s="4">
        <v>15</v>
      </c>
      <c r="H9691" s="18">
        <f>0.124584*(1000)</f>
        <v>124.584</v>
      </c>
      <c r="I9691" s="90"/>
      <c r="J9691" s="90"/>
    </row>
    <row r="9692" spans="1:36" s="15" customFormat="1" ht="39" hidden="1" customHeight="1" outlineLevel="1" x14ac:dyDescent="0.25">
      <c r="A9692" s="18">
        <v>2917</v>
      </c>
      <c r="B9692" s="4" t="s">
        <v>44</v>
      </c>
      <c r="C9692" s="38" t="s">
        <v>2131</v>
      </c>
      <c r="D9692" s="18">
        <v>2022</v>
      </c>
      <c r="E9692" s="18" t="s">
        <v>0</v>
      </c>
      <c r="F9692" s="41">
        <v>1</v>
      </c>
      <c r="G9692" s="4">
        <v>15</v>
      </c>
      <c r="H9692" s="18">
        <f>0.176075*(1000)</f>
        <v>176.07500000000002</v>
      </c>
      <c r="I9692" s="90"/>
      <c r="J9692" s="90"/>
    </row>
    <row r="9693" spans="1:36" s="15" customFormat="1" ht="16.5" hidden="1" customHeight="1" outlineLevel="1" x14ac:dyDescent="0.25">
      <c r="A9693" s="18">
        <v>2922</v>
      </c>
      <c r="B9693" s="4" t="s">
        <v>44</v>
      </c>
      <c r="C9693" s="38" t="s">
        <v>2877</v>
      </c>
      <c r="D9693" s="18">
        <v>2022</v>
      </c>
      <c r="E9693" s="18" t="s">
        <v>0</v>
      </c>
      <c r="F9693" s="41">
        <v>1</v>
      </c>
      <c r="G9693" s="4">
        <v>15</v>
      </c>
      <c r="H9693" s="18">
        <f>0.211258*(1000)</f>
        <v>211.25800000000001</v>
      </c>
      <c r="I9693" s="90"/>
      <c r="J9693" s="90"/>
    </row>
    <row r="9694" spans="1:36" s="15" customFormat="1" ht="16.5" hidden="1" customHeight="1" outlineLevel="1" x14ac:dyDescent="0.25">
      <c r="A9694" s="18">
        <v>2923</v>
      </c>
      <c r="B9694" s="4" t="s">
        <v>44</v>
      </c>
      <c r="C9694" s="38" t="s">
        <v>2878</v>
      </c>
      <c r="D9694" s="18">
        <v>2022</v>
      </c>
      <c r="E9694" s="18" t="s">
        <v>0</v>
      </c>
      <c r="F9694" s="41">
        <v>11</v>
      </c>
      <c r="G9694" s="4">
        <v>185</v>
      </c>
      <c r="H9694" s="18">
        <f>0.638719*(1000)</f>
        <v>638.71900000000005</v>
      </c>
      <c r="I9694" s="90"/>
      <c r="J9694" s="90"/>
    </row>
    <row r="9695" spans="1:36" s="15" customFormat="1" ht="16.5" hidden="1" customHeight="1" outlineLevel="1" x14ac:dyDescent="0.25">
      <c r="A9695" s="18">
        <v>2710</v>
      </c>
      <c r="B9695" s="4" t="s">
        <v>44</v>
      </c>
      <c r="C9695" s="38" t="s">
        <v>2814</v>
      </c>
      <c r="D9695" s="18">
        <v>2022</v>
      </c>
      <c r="E9695" s="18" t="s">
        <v>0</v>
      </c>
      <c r="F9695" s="41">
        <v>1</v>
      </c>
      <c r="G9695" s="4">
        <v>208.3</v>
      </c>
      <c r="H9695" s="18">
        <f>0.088393*(1000)</f>
        <v>88.393000000000001</v>
      </c>
      <c r="I9695" s="90"/>
      <c r="J9695" s="90"/>
    </row>
    <row r="9696" spans="1:36" s="15" customFormat="1" ht="16.5" hidden="1" customHeight="1" outlineLevel="1" x14ac:dyDescent="0.25">
      <c r="A9696" s="18">
        <v>2751</v>
      </c>
      <c r="B9696" s="4" t="s">
        <v>44</v>
      </c>
      <c r="C9696" s="38" t="s">
        <v>2137</v>
      </c>
      <c r="D9696" s="18">
        <v>2022</v>
      </c>
      <c r="E9696" s="18" t="s">
        <v>0</v>
      </c>
      <c r="F9696" s="41">
        <v>1</v>
      </c>
      <c r="G9696" s="4">
        <v>15</v>
      </c>
      <c r="H9696" s="18">
        <f>0.054517*(1000)</f>
        <v>54.517000000000003</v>
      </c>
      <c r="I9696" s="90"/>
      <c r="J9696" s="90"/>
    </row>
    <row r="9697" spans="1:10" s="15" customFormat="1" ht="16.5" hidden="1" customHeight="1" outlineLevel="1" x14ac:dyDescent="0.25">
      <c r="A9697" s="18">
        <v>2766</v>
      </c>
      <c r="B9697" s="4" t="s">
        <v>44</v>
      </c>
      <c r="C9697" s="38" t="s">
        <v>2138</v>
      </c>
      <c r="D9697" s="18">
        <v>2022</v>
      </c>
      <c r="E9697" s="18" t="s">
        <v>0</v>
      </c>
      <c r="F9697" s="41">
        <v>1</v>
      </c>
      <c r="G9697" s="4">
        <v>5</v>
      </c>
      <c r="H9697" s="18">
        <f>0.087392*(1000)</f>
        <v>87.391999999999996</v>
      </c>
      <c r="I9697" s="90"/>
      <c r="J9697" s="90"/>
    </row>
    <row r="9698" spans="1:10" s="15" customFormat="1" ht="16.5" hidden="1" customHeight="1" outlineLevel="1" x14ac:dyDescent="0.25">
      <c r="A9698" s="18">
        <v>2770</v>
      </c>
      <c r="B9698" s="4" t="s">
        <v>44</v>
      </c>
      <c r="C9698" s="38" t="s">
        <v>2139</v>
      </c>
      <c r="D9698" s="18">
        <v>2022</v>
      </c>
      <c r="E9698" s="18" t="s">
        <v>0</v>
      </c>
      <c r="F9698" s="41">
        <v>1</v>
      </c>
      <c r="G9698" s="4">
        <v>100</v>
      </c>
      <c r="H9698" s="18">
        <f>0.117113*(1000)</f>
        <v>117.113</v>
      </c>
      <c r="I9698" s="90"/>
      <c r="J9698" s="90"/>
    </row>
    <row r="9699" spans="1:10" s="15" customFormat="1" ht="16.5" hidden="1" customHeight="1" outlineLevel="1" x14ac:dyDescent="0.25">
      <c r="A9699" s="18">
        <v>2771</v>
      </c>
      <c r="B9699" s="4" t="s">
        <v>44</v>
      </c>
      <c r="C9699" s="38" t="s">
        <v>2140</v>
      </c>
      <c r="D9699" s="18">
        <v>2022</v>
      </c>
      <c r="E9699" s="18" t="s">
        <v>0</v>
      </c>
      <c r="F9699" s="41">
        <v>1</v>
      </c>
      <c r="G9699" s="4">
        <v>15</v>
      </c>
      <c r="H9699" s="18">
        <f>0.081748*(1000)</f>
        <v>81.748000000000005</v>
      </c>
      <c r="I9699" s="90"/>
      <c r="J9699" s="90"/>
    </row>
    <row r="9700" spans="1:10" s="15" customFormat="1" ht="16.5" hidden="1" customHeight="1" outlineLevel="1" x14ac:dyDescent="0.25">
      <c r="A9700" s="18">
        <v>2778</v>
      </c>
      <c r="B9700" s="4" t="s">
        <v>44</v>
      </c>
      <c r="C9700" s="38" t="s">
        <v>2143</v>
      </c>
      <c r="D9700" s="18">
        <v>2022</v>
      </c>
      <c r="E9700" s="18" t="s">
        <v>0</v>
      </c>
      <c r="F9700" s="41">
        <v>1</v>
      </c>
      <c r="G9700" s="4">
        <v>15</v>
      </c>
      <c r="H9700" s="18">
        <f>0.058*(1000)</f>
        <v>58</v>
      </c>
      <c r="I9700" s="90"/>
      <c r="J9700" s="90"/>
    </row>
    <row r="9701" spans="1:10" s="15" customFormat="1" ht="16.5" hidden="1" customHeight="1" outlineLevel="1" x14ac:dyDescent="0.25">
      <c r="A9701" s="18">
        <v>2779</v>
      </c>
      <c r="B9701" s="4" t="s">
        <v>44</v>
      </c>
      <c r="C9701" s="38" t="s">
        <v>2144</v>
      </c>
      <c r="D9701" s="18">
        <v>2022</v>
      </c>
      <c r="E9701" s="18" t="s">
        <v>0</v>
      </c>
      <c r="F9701" s="41">
        <v>1</v>
      </c>
      <c r="G9701" s="4">
        <v>150</v>
      </c>
      <c r="H9701" s="18">
        <f>0.313286*(1000)</f>
        <v>313.286</v>
      </c>
      <c r="I9701" s="90"/>
      <c r="J9701" s="90"/>
    </row>
    <row r="9702" spans="1:10" s="15" customFormat="1" ht="16.5" hidden="1" customHeight="1" outlineLevel="1" x14ac:dyDescent="0.25">
      <c r="A9702" s="18">
        <v>2781</v>
      </c>
      <c r="B9702" s="4" t="s">
        <v>44</v>
      </c>
      <c r="C9702" s="38" t="s">
        <v>2145</v>
      </c>
      <c r="D9702" s="18">
        <v>2022</v>
      </c>
      <c r="E9702" s="18" t="s">
        <v>0</v>
      </c>
      <c r="F9702" s="41">
        <v>1</v>
      </c>
      <c r="G9702" s="4">
        <v>50</v>
      </c>
      <c r="H9702" s="18">
        <f>0.090052*(1000)</f>
        <v>90.051999999999992</v>
      </c>
      <c r="I9702" s="90"/>
      <c r="J9702" s="90"/>
    </row>
    <row r="9703" spans="1:10" s="15" customFormat="1" ht="16.5" hidden="1" customHeight="1" outlineLevel="1" x14ac:dyDescent="0.25">
      <c r="A9703" s="18">
        <v>2784</v>
      </c>
      <c r="B9703" s="4" t="s">
        <v>44</v>
      </c>
      <c r="C9703" s="38" t="s">
        <v>2147</v>
      </c>
      <c r="D9703" s="18">
        <v>2022</v>
      </c>
      <c r="E9703" s="18" t="s">
        <v>0</v>
      </c>
      <c r="F9703" s="41">
        <v>1</v>
      </c>
      <c r="G9703" s="4">
        <v>30</v>
      </c>
      <c r="H9703" s="18">
        <f>0.118668*(1000)</f>
        <v>118.66799999999999</v>
      </c>
      <c r="I9703" s="90"/>
      <c r="J9703" s="90"/>
    </row>
    <row r="9704" spans="1:10" s="15" customFormat="1" ht="48.75" hidden="1" customHeight="1" outlineLevel="1" x14ac:dyDescent="0.25">
      <c r="A9704" s="18">
        <v>2785</v>
      </c>
      <c r="B9704" s="4" t="s">
        <v>44</v>
      </c>
      <c r="C9704" s="38" t="s">
        <v>2880</v>
      </c>
      <c r="D9704" s="18">
        <v>2022</v>
      </c>
      <c r="E9704" s="18" t="s">
        <v>0</v>
      </c>
      <c r="F9704" s="41">
        <v>1</v>
      </c>
      <c r="G9704" s="4">
        <v>150</v>
      </c>
      <c r="H9704" s="18">
        <f>0.135747*(1000)</f>
        <v>135.74700000000001</v>
      </c>
      <c r="I9704" s="90"/>
      <c r="J9704" s="90"/>
    </row>
    <row r="9705" spans="1:10" s="15" customFormat="1" ht="16.5" hidden="1" customHeight="1" outlineLevel="1" x14ac:dyDescent="0.25">
      <c r="A9705" s="18">
        <v>2795</v>
      </c>
      <c r="B9705" s="4" t="s">
        <v>44</v>
      </c>
      <c r="C9705" s="38" t="s">
        <v>2148</v>
      </c>
      <c r="D9705" s="18">
        <v>2022</v>
      </c>
      <c r="E9705" s="18" t="s">
        <v>0</v>
      </c>
      <c r="F9705" s="41">
        <v>1</v>
      </c>
      <c r="G9705" s="4">
        <v>15</v>
      </c>
      <c r="H9705" s="18">
        <f>0.088036*(1000)</f>
        <v>88.036000000000001</v>
      </c>
      <c r="I9705" s="90"/>
      <c r="J9705" s="90"/>
    </row>
    <row r="9706" spans="1:10" s="15" customFormat="1" ht="16.5" hidden="1" customHeight="1" outlineLevel="1" x14ac:dyDescent="0.25">
      <c r="A9706" s="18">
        <v>2796</v>
      </c>
      <c r="B9706" s="4" t="s">
        <v>44</v>
      </c>
      <c r="C9706" s="38" t="s">
        <v>2149</v>
      </c>
      <c r="D9706" s="18">
        <v>2022</v>
      </c>
      <c r="E9706" s="18" t="s">
        <v>0</v>
      </c>
      <c r="F9706" s="41">
        <v>1</v>
      </c>
      <c r="G9706" s="4">
        <v>100</v>
      </c>
      <c r="H9706" s="18">
        <f>0.074492*(1000)</f>
        <v>74.492000000000004</v>
      </c>
      <c r="I9706" s="90"/>
      <c r="J9706" s="90"/>
    </row>
    <row r="9707" spans="1:10" s="15" customFormat="1" ht="16.5" hidden="1" customHeight="1" outlineLevel="1" x14ac:dyDescent="0.25">
      <c r="A9707" s="18">
        <v>2802</v>
      </c>
      <c r="B9707" s="4" t="s">
        <v>44</v>
      </c>
      <c r="C9707" s="38" t="s">
        <v>2881</v>
      </c>
      <c r="D9707" s="18">
        <v>2022</v>
      </c>
      <c r="E9707" s="18" t="s">
        <v>0</v>
      </c>
      <c r="F9707" s="41">
        <v>2</v>
      </c>
      <c r="G9707" s="4">
        <v>300</v>
      </c>
      <c r="H9707" s="18">
        <f>0.26984*(1000)</f>
        <v>269.84000000000003</v>
      </c>
      <c r="I9707" s="90"/>
      <c r="J9707" s="90"/>
    </row>
    <row r="9708" spans="1:10" s="15" customFormat="1" ht="16.5" hidden="1" customHeight="1" outlineLevel="1" x14ac:dyDescent="0.25">
      <c r="A9708" s="18">
        <v>2807</v>
      </c>
      <c r="B9708" s="4" t="s">
        <v>44</v>
      </c>
      <c r="C9708" s="38" t="s">
        <v>2153</v>
      </c>
      <c r="D9708" s="18">
        <v>2022</v>
      </c>
      <c r="E9708" s="18" t="s">
        <v>0</v>
      </c>
      <c r="F9708" s="41">
        <v>1</v>
      </c>
      <c r="G9708" s="4">
        <v>100</v>
      </c>
      <c r="H9708" s="18">
        <f>0.109289*(1000)</f>
        <v>109.289</v>
      </c>
      <c r="I9708" s="90"/>
      <c r="J9708" s="90"/>
    </row>
    <row r="9709" spans="1:10" s="15" customFormat="1" ht="16.5" hidden="1" customHeight="1" outlineLevel="1" x14ac:dyDescent="0.25">
      <c r="A9709" s="18">
        <v>2814</v>
      </c>
      <c r="B9709" s="4" t="s">
        <v>44</v>
      </c>
      <c r="C9709" s="38" t="s">
        <v>2154</v>
      </c>
      <c r="D9709" s="18">
        <v>2022</v>
      </c>
      <c r="E9709" s="18" t="s">
        <v>0</v>
      </c>
      <c r="F9709" s="41">
        <v>1</v>
      </c>
      <c r="G9709" s="4">
        <v>60</v>
      </c>
      <c r="H9709" s="18">
        <f>0.127208*(1000)</f>
        <v>127.20799999999998</v>
      </c>
      <c r="I9709" s="90"/>
      <c r="J9709" s="90"/>
    </row>
    <row r="9710" spans="1:10" s="15" customFormat="1" ht="16.5" hidden="1" customHeight="1" outlineLevel="1" x14ac:dyDescent="0.25">
      <c r="A9710" s="18">
        <v>2840</v>
      </c>
      <c r="B9710" s="4" t="s">
        <v>44</v>
      </c>
      <c r="C9710" s="38" t="s">
        <v>2817</v>
      </c>
      <c r="D9710" s="18">
        <v>2022</v>
      </c>
      <c r="E9710" s="18" t="s">
        <v>0</v>
      </c>
      <c r="F9710" s="41">
        <v>1</v>
      </c>
      <c r="G9710" s="4">
        <v>150</v>
      </c>
      <c r="H9710" s="18">
        <f>0.082386*(1000)</f>
        <v>82.385999999999996</v>
      </c>
      <c r="I9710" s="90"/>
      <c r="J9710" s="90"/>
    </row>
    <row r="9711" spans="1:10" s="15" customFormat="1" ht="16.5" hidden="1" customHeight="1" outlineLevel="1" x14ac:dyDescent="0.25">
      <c r="A9711" s="18">
        <v>2843</v>
      </c>
      <c r="B9711" s="4" t="s">
        <v>44</v>
      </c>
      <c r="C9711" s="38" t="s">
        <v>2155</v>
      </c>
      <c r="D9711" s="18">
        <v>2022</v>
      </c>
      <c r="E9711" s="18" t="s">
        <v>0</v>
      </c>
      <c r="F9711" s="41">
        <v>1</v>
      </c>
      <c r="G9711" s="4">
        <v>15</v>
      </c>
      <c r="H9711" s="18">
        <f>0.153549*(1000)</f>
        <v>153.54899999999998</v>
      </c>
      <c r="I9711" s="90"/>
      <c r="J9711" s="90"/>
    </row>
    <row r="9712" spans="1:10" s="15" customFormat="1" ht="16.5" hidden="1" customHeight="1" outlineLevel="1" x14ac:dyDescent="0.25">
      <c r="A9712" s="18">
        <v>2845</v>
      </c>
      <c r="B9712" s="4" t="s">
        <v>44</v>
      </c>
      <c r="C9712" s="38" t="s">
        <v>2156</v>
      </c>
      <c r="D9712" s="18">
        <v>2022</v>
      </c>
      <c r="E9712" s="18" t="s">
        <v>0</v>
      </c>
      <c r="F9712" s="41">
        <v>1</v>
      </c>
      <c r="G9712" s="4">
        <v>15</v>
      </c>
      <c r="H9712" s="18">
        <f>0.110777*(1000)</f>
        <v>110.777</v>
      </c>
      <c r="I9712" s="90"/>
      <c r="J9712" s="90"/>
    </row>
    <row r="9713" spans="1:10" s="15" customFormat="1" ht="16.5" hidden="1" customHeight="1" outlineLevel="1" x14ac:dyDescent="0.25">
      <c r="A9713" s="18">
        <v>2863</v>
      </c>
      <c r="B9713" s="4" t="s">
        <v>44</v>
      </c>
      <c r="C9713" s="38" t="s">
        <v>2158</v>
      </c>
      <c r="D9713" s="18">
        <v>2022</v>
      </c>
      <c r="E9713" s="18" t="s">
        <v>0</v>
      </c>
      <c r="F9713" s="41">
        <v>3</v>
      </c>
      <c r="G9713" s="4">
        <v>45</v>
      </c>
      <c r="H9713" s="18">
        <f>0.158553*(1000)</f>
        <v>158.553</v>
      </c>
      <c r="I9713" s="90"/>
      <c r="J9713" s="90"/>
    </row>
    <row r="9714" spans="1:10" s="15" customFormat="1" ht="16.5" hidden="1" customHeight="1" outlineLevel="1" x14ac:dyDescent="0.25">
      <c r="A9714" s="18">
        <v>2913</v>
      </c>
      <c r="B9714" s="4" t="s">
        <v>44</v>
      </c>
      <c r="C9714" s="38" t="s">
        <v>2159</v>
      </c>
      <c r="D9714" s="18">
        <v>2022</v>
      </c>
      <c r="E9714" s="18" t="s">
        <v>0</v>
      </c>
      <c r="F9714" s="41">
        <v>1</v>
      </c>
      <c r="G9714" s="4">
        <v>15</v>
      </c>
      <c r="H9714" s="18">
        <f>0.081434*(1000)</f>
        <v>81.434000000000012</v>
      </c>
      <c r="I9714" s="90"/>
      <c r="J9714" s="90"/>
    </row>
    <row r="9715" spans="1:10" s="15" customFormat="1" ht="16.5" hidden="1" customHeight="1" outlineLevel="1" x14ac:dyDescent="0.25">
      <c r="A9715" s="18">
        <v>2993</v>
      </c>
      <c r="B9715" s="4" t="s">
        <v>44</v>
      </c>
      <c r="C9715" s="38" t="s">
        <v>2882</v>
      </c>
      <c r="D9715" s="18">
        <v>2022</v>
      </c>
      <c r="E9715" s="18" t="s">
        <v>0</v>
      </c>
      <c r="F9715" s="41">
        <v>1</v>
      </c>
      <c r="G9715" s="4">
        <v>15</v>
      </c>
      <c r="H9715" s="18">
        <f>0.160031*(1000)</f>
        <v>160.03100000000001</v>
      </c>
      <c r="I9715" s="90"/>
      <c r="J9715" s="90"/>
    </row>
    <row r="9716" spans="1:10" s="15" customFormat="1" ht="16.5" hidden="1" customHeight="1" outlineLevel="1" x14ac:dyDescent="0.25">
      <c r="A9716" s="18">
        <v>2733</v>
      </c>
      <c r="B9716" s="4" t="s">
        <v>44</v>
      </c>
      <c r="C9716" s="38" t="s">
        <v>2819</v>
      </c>
      <c r="D9716" s="18">
        <v>2022</v>
      </c>
      <c r="E9716" s="18" t="s">
        <v>0</v>
      </c>
      <c r="F9716" s="41">
        <v>1</v>
      </c>
      <c r="G9716" s="4">
        <v>150</v>
      </c>
      <c r="H9716" s="18">
        <f>0.05178*(1000)</f>
        <v>51.78</v>
      </c>
      <c r="I9716" s="90"/>
      <c r="J9716" s="90"/>
    </row>
    <row r="9717" spans="1:10" s="15" customFormat="1" ht="16.5" hidden="1" customHeight="1" outlineLevel="1" x14ac:dyDescent="0.25">
      <c r="A9717" s="18">
        <v>2768</v>
      </c>
      <c r="B9717" s="4" t="s">
        <v>44</v>
      </c>
      <c r="C9717" s="38" t="s">
        <v>2885</v>
      </c>
      <c r="D9717" s="18">
        <v>2022</v>
      </c>
      <c r="E9717" s="18" t="s">
        <v>0</v>
      </c>
      <c r="F9717" s="41">
        <v>6</v>
      </c>
      <c r="G9717" s="4">
        <v>75</v>
      </c>
      <c r="H9717" s="18">
        <f>0.2577*(1000)</f>
        <v>257.7</v>
      </c>
      <c r="I9717" s="90"/>
      <c r="J9717" s="90"/>
    </row>
    <row r="9718" spans="1:10" s="15" customFormat="1" ht="16.5" hidden="1" customHeight="1" outlineLevel="1" x14ac:dyDescent="0.25">
      <c r="A9718" s="18">
        <v>2769</v>
      </c>
      <c r="B9718" s="4" t="s">
        <v>44</v>
      </c>
      <c r="C9718" s="38" t="s">
        <v>2886</v>
      </c>
      <c r="D9718" s="18">
        <v>2022</v>
      </c>
      <c r="E9718" s="18" t="s">
        <v>0</v>
      </c>
      <c r="F9718" s="41">
        <v>4</v>
      </c>
      <c r="G9718" s="4">
        <v>60</v>
      </c>
      <c r="H9718" s="18">
        <f>0.160962*(1000)</f>
        <v>160.96199999999999</v>
      </c>
      <c r="I9718" s="90"/>
      <c r="J9718" s="90"/>
    </row>
    <row r="9719" spans="1:10" s="15" customFormat="1" ht="16.5" hidden="1" customHeight="1" outlineLevel="1" x14ac:dyDescent="0.25">
      <c r="A9719" s="18">
        <v>2804</v>
      </c>
      <c r="B9719" s="4" t="s">
        <v>44</v>
      </c>
      <c r="C9719" s="38" t="s">
        <v>2820</v>
      </c>
      <c r="D9719" s="18">
        <v>2022</v>
      </c>
      <c r="E9719" s="18" t="s">
        <v>0</v>
      </c>
      <c r="F9719" s="41">
        <v>30</v>
      </c>
      <c r="G9719" s="4">
        <v>435</v>
      </c>
      <c r="H9719" s="18">
        <f>1.648379*(1000)</f>
        <v>1648.3790000000001</v>
      </c>
      <c r="I9719" s="90"/>
      <c r="J9719" s="90"/>
    </row>
    <row r="9720" spans="1:10" s="15" customFormat="1" ht="16.5" hidden="1" customHeight="1" outlineLevel="1" x14ac:dyDescent="0.25">
      <c r="A9720" s="18">
        <v>2811</v>
      </c>
      <c r="B9720" s="4" t="s">
        <v>44</v>
      </c>
      <c r="C9720" s="38" t="s">
        <v>2887</v>
      </c>
      <c r="D9720" s="18">
        <v>2022</v>
      </c>
      <c r="E9720" s="18" t="s">
        <v>0</v>
      </c>
      <c r="F9720" s="41">
        <v>2</v>
      </c>
      <c r="G9720" s="4">
        <v>45</v>
      </c>
      <c r="H9720" s="18">
        <f>0.102569*(1000)</f>
        <v>102.56899999999999</v>
      </c>
      <c r="I9720" s="90"/>
      <c r="J9720" s="90"/>
    </row>
    <row r="9721" spans="1:10" s="15" customFormat="1" ht="16.5" hidden="1" customHeight="1" outlineLevel="1" x14ac:dyDescent="0.25">
      <c r="A9721" s="18">
        <v>2846</v>
      </c>
      <c r="B9721" s="4" t="s">
        <v>44</v>
      </c>
      <c r="C9721" s="38" t="s">
        <v>2167</v>
      </c>
      <c r="D9721" s="18">
        <v>2022</v>
      </c>
      <c r="E9721" s="18" t="s">
        <v>0</v>
      </c>
      <c r="F9721" s="41">
        <v>1</v>
      </c>
      <c r="G9721" s="4">
        <v>15</v>
      </c>
      <c r="H9721" s="18">
        <f>0.096283*(1000)</f>
        <v>96.282999999999987</v>
      </c>
      <c r="I9721" s="90"/>
      <c r="J9721" s="90"/>
    </row>
    <row r="9722" spans="1:10" s="15" customFormat="1" ht="16.5" hidden="1" customHeight="1" outlineLevel="1" x14ac:dyDescent="0.25">
      <c r="A9722" s="18">
        <v>2851</v>
      </c>
      <c r="B9722" s="4" t="s">
        <v>44</v>
      </c>
      <c r="C9722" s="38" t="s">
        <v>2168</v>
      </c>
      <c r="D9722" s="18">
        <v>2022</v>
      </c>
      <c r="E9722" s="18" t="s">
        <v>0</v>
      </c>
      <c r="F9722" s="41">
        <v>2</v>
      </c>
      <c r="G9722" s="4">
        <v>136.52000000000001</v>
      </c>
      <c r="H9722" s="18">
        <f>0.223265*(1000)</f>
        <v>223.26499999999999</v>
      </c>
      <c r="I9722" s="90"/>
      <c r="J9722" s="90"/>
    </row>
    <row r="9723" spans="1:10" s="15" customFormat="1" ht="16.5" hidden="1" customHeight="1" outlineLevel="1" x14ac:dyDescent="0.25">
      <c r="A9723" s="18">
        <v>2885</v>
      </c>
      <c r="B9723" s="4" t="s">
        <v>44</v>
      </c>
      <c r="C9723" s="38" t="s">
        <v>2169</v>
      </c>
      <c r="D9723" s="18">
        <v>2022</v>
      </c>
      <c r="E9723" s="18" t="s">
        <v>0</v>
      </c>
      <c r="F9723" s="41">
        <v>1</v>
      </c>
      <c r="G9723" s="4">
        <v>19</v>
      </c>
      <c r="H9723" s="18">
        <f>0.127953*(1000)</f>
        <v>127.95300000000002</v>
      </c>
      <c r="I9723" s="90"/>
      <c r="J9723" s="90"/>
    </row>
    <row r="9724" spans="1:10" s="15" customFormat="1" ht="16.5" hidden="1" customHeight="1" outlineLevel="1" x14ac:dyDescent="0.25">
      <c r="A9724" s="18">
        <v>2911</v>
      </c>
      <c r="B9724" s="4" t="s">
        <v>44</v>
      </c>
      <c r="C9724" s="38" t="s">
        <v>2170</v>
      </c>
      <c r="D9724" s="18">
        <v>2022</v>
      </c>
      <c r="E9724" s="18" t="s">
        <v>0</v>
      </c>
      <c r="F9724" s="41">
        <v>1</v>
      </c>
      <c r="G9724" s="4">
        <v>45</v>
      </c>
      <c r="H9724" s="18">
        <f>0.102375*(1000)</f>
        <v>102.375</v>
      </c>
      <c r="I9724" s="90"/>
      <c r="J9724" s="90"/>
    </row>
    <row r="9725" spans="1:10" s="15" customFormat="1" ht="16.5" hidden="1" customHeight="1" outlineLevel="1" x14ac:dyDescent="0.25">
      <c r="A9725" s="18">
        <v>2912</v>
      </c>
      <c r="B9725" s="4" t="s">
        <v>44</v>
      </c>
      <c r="C9725" s="38" t="s">
        <v>2171</v>
      </c>
      <c r="D9725" s="18">
        <v>2022</v>
      </c>
      <c r="E9725" s="18" t="s">
        <v>0</v>
      </c>
      <c r="F9725" s="41">
        <v>1</v>
      </c>
      <c r="G9725" s="4">
        <v>15</v>
      </c>
      <c r="H9725" s="18">
        <f>0.127143*(1000)</f>
        <v>127.143</v>
      </c>
      <c r="I9725" s="90"/>
      <c r="J9725" s="90"/>
    </row>
    <row r="9726" spans="1:10" s="15" customFormat="1" ht="16.5" hidden="1" customHeight="1" outlineLevel="1" x14ac:dyDescent="0.25">
      <c r="A9726" s="18">
        <v>2914</v>
      </c>
      <c r="B9726" s="4" t="s">
        <v>44</v>
      </c>
      <c r="C9726" s="38" t="s">
        <v>2172</v>
      </c>
      <c r="D9726" s="18">
        <v>2022</v>
      </c>
      <c r="E9726" s="18" t="s">
        <v>0</v>
      </c>
      <c r="F9726" s="41">
        <v>1</v>
      </c>
      <c r="G9726" s="4">
        <v>120</v>
      </c>
      <c r="H9726" s="18">
        <f>0.057584*(1000)</f>
        <v>57.584000000000003</v>
      </c>
      <c r="I9726" s="90"/>
      <c r="J9726" s="90"/>
    </row>
    <row r="9727" spans="1:10" s="15" customFormat="1" ht="16.5" hidden="1" customHeight="1" outlineLevel="1" x14ac:dyDescent="0.25">
      <c r="A9727" s="18">
        <v>2916</v>
      </c>
      <c r="B9727" s="4" t="s">
        <v>44</v>
      </c>
      <c r="C9727" s="38" t="s">
        <v>2173</v>
      </c>
      <c r="D9727" s="18">
        <v>2022</v>
      </c>
      <c r="E9727" s="18" t="s">
        <v>0</v>
      </c>
      <c r="F9727" s="41">
        <v>1</v>
      </c>
      <c r="G9727" s="4">
        <v>100</v>
      </c>
      <c r="H9727" s="18">
        <f>0.065129*(1000)</f>
        <v>65.129000000000005</v>
      </c>
      <c r="I9727" s="90"/>
      <c r="J9727" s="90"/>
    </row>
    <row r="9728" spans="1:10" s="15" customFormat="1" ht="16.5" hidden="1" customHeight="1" outlineLevel="1" x14ac:dyDescent="0.25">
      <c r="A9728" s="18">
        <v>2858</v>
      </c>
      <c r="B9728" s="4" t="s">
        <v>44</v>
      </c>
      <c r="C9728" s="38" t="s">
        <v>2174</v>
      </c>
      <c r="D9728" s="18">
        <v>2022</v>
      </c>
      <c r="E9728" s="18" t="s">
        <v>0</v>
      </c>
      <c r="F9728" s="41">
        <v>1</v>
      </c>
      <c r="G9728" s="4">
        <v>150</v>
      </c>
      <c r="H9728" s="18">
        <f>0.071908*(1000)</f>
        <v>71.908000000000001</v>
      </c>
      <c r="I9728" s="90"/>
      <c r="J9728" s="90"/>
    </row>
    <row r="9729" spans="1:10" s="15" customFormat="1" ht="16.5" hidden="1" customHeight="1" outlineLevel="1" x14ac:dyDescent="0.25">
      <c r="A9729" s="18">
        <v>2842</v>
      </c>
      <c r="B9729" s="4" t="s">
        <v>44</v>
      </c>
      <c r="C9729" s="38" t="s">
        <v>2175</v>
      </c>
      <c r="D9729" s="18">
        <v>2022</v>
      </c>
      <c r="E9729" s="18" t="s">
        <v>0</v>
      </c>
      <c r="F9729" s="41">
        <v>1</v>
      </c>
      <c r="G9729" s="4">
        <v>30</v>
      </c>
      <c r="H9729" s="18">
        <f>0.04053*(1000)</f>
        <v>40.529999999999994</v>
      </c>
      <c r="I9729" s="90"/>
      <c r="J9729" s="90"/>
    </row>
    <row r="9730" spans="1:10" s="15" customFormat="1" ht="16.5" hidden="1" customHeight="1" outlineLevel="1" x14ac:dyDescent="0.25">
      <c r="A9730" s="18">
        <v>2919</v>
      </c>
      <c r="B9730" s="4" t="s">
        <v>44</v>
      </c>
      <c r="C9730" s="38" t="s">
        <v>2821</v>
      </c>
      <c r="D9730" s="18">
        <v>2022</v>
      </c>
      <c r="E9730" s="18" t="s">
        <v>0</v>
      </c>
      <c r="F9730" s="41">
        <v>3</v>
      </c>
      <c r="G9730" s="4">
        <v>30</v>
      </c>
      <c r="H9730" s="18">
        <f>0.123748*(1000)</f>
        <v>123.74799999999999</v>
      </c>
      <c r="I9730" s="90"/>
      <c r="J9730" s="90"/>
    </row>
    <row r="9731" spans="1:10" s="15" customFormat="1" ht="16.5" hidden="1" customHeight="1" outlineLevel="1" x14ac:dyDescent="0.25">
      <c r="A9731" s="18">
        <v>2920</v>
      </c>
      <c r="B9731" s="4" t="s">
        <v>44</v>
      </c>
      <c r="C9731" s="38" t="s">
        <v>2822</v>
      </c>
      <c r="D9731" s="18">
        <v>2022</v>
      </c>
      <c r="E9731" s="18" t="s">
        <v>0</v>
      </c>
      <c r="F9731" s="41">
        <v>1</v>
      </c>
      <c r="G9731" s="4">
        <v>15</v>
      </c>
      <c r="H9731" s="18">
        <f>0.071662*(1000)</f>
        <v>71.662000000000006</v>
      </c>
      <c r="I9731" s="90"/>
      <c r="J9731" s="90"/>
    </row>
    <row r="9732" spans="1:10" s="15" customFormat="1" ht="16.5" hidden="1" customHeight="1" outlineLevel="1" x14ac:dyDescent="0.25">
      <c r="A9732" s="18">
        <v>4112</v>
      </c>
      <c r="B9732" s="4" t="s">
        <v>44</v>
      </c>
      <c r="C9732" s="38" t="s">
        <v>2179</v>
      </c>
      <c r="D9732" s="18">
        <v>2022</v>
      </c>
      <c r="E9732" s="18" t="s">
        <v>0</v>
      </c>
      <c r="F9732" s="41">
        <v>3</v>
      </c>
      <c r="G9732" s="4">
        <v>45</v>
      </c>
      <c r="H9732" s="18">
        <f>0.23130784*(1000)</f>
        <v>231.30784</v>
      </c>
      <c r="I9732" s="90"/>
      <c r="J9732" s="90"/>
    </row>
    <row r="9733" spans="1:10" s="15" customFormat="1" ht="16.5" hidden="1" customHeight="1" outlineLevel="1" x14ac:dyDescent="0.25">
      <c r="A9733" s="18">
        <v>4113</v>
      </c>
      <c r="B9733" s="4" t="s">
        <v>44</v>
      </c>
      <c r="C9733" s="38" t="s">
        <v>2824</v>
      </c>
      <c r="D9733" s="18">
        <v>2022</v>
      </c>
      <c r="E9733" s="18" t="s">
        <v>0</v>
      </c>
      <c r="F9733" s="41">
        <v>2</v>
      </c>
      <c r="G9733" s="4">
        <v>138</v>
      </c>
      <c r="H9733" s="18">
        <f>0.32107059*(1000)</f>
        <v>321.07058999999998</v>
      </c>
      <c r="I9733" s="90"/>
      <c r="J9733" s="90"/>
    </row>
    <row r="9734" spans="1:10" s="15" customFormat="1" ht="16.5" hidden="1" customHeight="1" outlineLevel="1" x14ac:dyDescent="0.25">
      <c r="A9734" s="18">
        <v>4114</v>
      </c>
      <c r="B9734" s="4" t="s">
        <v>44</v>
      </c>
      <c r="C9734" s="38" t="s">
        <v>2180</v>
      </c>
      <c r="D9734" s="18">
        <v>2022</v>
      </c>
      <c r="E9734" s="18" t="s">
        <v>0</v>
      </c>
      <c r="F9734" s="41">
        <v>1</v>
      </c>
      <c r="G9734" s="4">
        <v>15</v>
      </c>
      <c r="H9734" s="18">
        <f>0.15566718*(1000)</f>
        <v>155.66718</v>
      </c>
      <c r="I9734" s="90"/>
      <c r="J9734" s="90"/>
    </row>
    <row r="9735" spans="1:10" s="15" customFormat="1" ht="16.5" hidden="1" customHeight="1" outlineLevel="1" x14ac:dyDescent="0.25">
      <c r="A9735" s="18">
        <v>4117</v>
      </c>
      <c r="B9735" s="4" t="s">
        <v>44</v>
      </c>
      <c r="C9735" s="38" t="s">
        <v>2888</v>
      </c>
      <c r="D9735" s="18">
        <v>2022</v>
      </c>
      <c r="E9735" s="18" t="s">
        <v>0</v>
      </c>
      <c r="F9735" s="41">
        <v>19</v>
      </c>
      <c r="G9735" s="4">
        <v>300</v>
      </c>
      <c r="H9735" s="18">
        <f>1.04717016*(1000)</f>
        <v>1047.1701600000001</v>
      </c>
      <c r="I9735" s="90"/>
      <c r="J9735" s="90"/>
    </row>
    <row r="9736" spans="1:10" s="15" customFormat="1" ht="16.5" hidden="1" customHeight="1" outlineLevel="1" x14ac:dyDescent="0.25">
      <c r="A9736" s="18">
        <v>4129</v>
      </c>
      <c r="B9736" s="4" t="s">
        <v>44</v>
      </c>
      <c r="C9736" s="38" t="s">
        <v>4843</v>
      </c>
      <c r="D9736" s="18">
        <v>2022</v>
      </c>
      <c r="E9736" s="18" t="s">
        <v>0</v>
      </c>
      <c r="F9736" s="41">
        <v>1</v>
      </c>
      <c r="G9736" s="4">
        <v>50</v>
      </c>
      <c r="H9736" s="18">
        <f>0.01770396*(1000)</f>
        <v>17.703960000000002</v>
      </c>
      <c r="I9736" s="90"/>
      <c r="J9736" s="90"/>
    </row>
    <row r="9737" spans="1:10" s="15" customFormat="1" ht="16.5" hidden="1" customHeight="1" outlineLevel="1" x14ac:dyDescent="0.25">
      <c r="A9737" s="18">
        <v>4130</v>
      </c>
      <c r="B9737" s="4" t="s">
        <v>44</v>
      </c>
      <c r="C9737" s="38" t="s">
        <v>4844</v>
      </c>
      <c r="D9737" s="18">
        <v>2022</v>
      </c>
      <c r="E9737" s="18" t="s">
        <v>0</v>
      </c>
      <c r="F9737" s="41">
        <v>1</v>
      </c>
      <c r="G9737" s="4">
        <v>10</v>
      </c>
      <c r="H9737" s="18">
        <f>0.01320125*(1000)</f>
        <v>13.20125</v>
      </c>
      <c r="I9737" s="90"/>
      <c r="J9737" s="90"/>
    </row>
    <row r="9738" spans="1:10" s="15" customFormat="1" ht="16.5" hidden="1" customHeight="1" outlineLevel="1" x14ac:dyDescent="0.25">
      <c r="A9738" s="18">
        <v>4131</v>
      </c>
      <c r="B9738" s="4" t="s">
        <v>44</v>
      </c>
      <c r="C9738" s="38" t="s">
        <v>4845</v>
      </c>
      <c r="D9738" s="18">
        <v>2022</v>
      </c>
      <c r="E9738" s="18" t="s">
        <v>0</v>
      </c>
      <c r="F9738" s="41">
        <v>1</v>
      </c>
      <c r="G9738" s="4">
        <v>20</v>
      </c>
      <c r="H9738" s="18">
        <f>0.01224269*(1000)</f>
        <v>12.24269</v>
      </c>
      <c r="I9738" s="90"/>
      <c r="J9738" s="90"/>
    </row>
    <row r="9739" spans="1:10" s="15" customFormat="1" ht="16.5" hidden="1" customHeight="1" outlineLevel="1" x14ac:dyDescent="0.25">
      <c r="A9739" s="18">
        <v>4192</v>
      </c>
      <c r="B9739" s="4" t="s">
        <v>44</v>
      </c>
      <c r="C9739" s="38" t="s">
        <v>4846</v>
      </c>
      <c r="D9739" s="18">
        <v>2022</v>
      </c>
      <c r="E9739" s="18" t="s">
        <v>0</v>
      </c>
      <c r="F9739" s="41">
        <v>1</v>
      </c>
      <c r="G9739" s="4">
        <v>15</v>
      </c>
      <c r="H9739" s="18">
        <f>0.01773565*(1000)</f>
        <v>17.73565</v>
      </c>
      <c r="I9739" s="90"/>
      <c r="J9739" s="90"/>
    </row>
    <row r="9740" spans="1:10" s="15" customFormat="1" ht="16.5" hidden="1" customHeight="1" outlineLevel="1" x14ac:dyDescent="0.25">
      <c r="A9740" s="18">
        <v>4193</v>
      </c>
      <c r="B9740" s="4" t="s">
        <v>44</v>
      </c>
      <c r="C9740" s="38" t="s">
        <v>4847</v>
      </c>
      <c r="D9740" s="18">
        <v>2022</v>
      </c>
      <c r="E9740" s="18" t="s">
        <v>0</v>
      </c>
      <c r="F9740" s="41">
        <v>1</v>
      </c>
      <c r="G9740" s="4">
        <v>10</v>
      </c>
      <c r="H9740" s="18">
        <f>0.0121342*(1000)</f>
        <v>12.1342</v>
      </c>
      <c r="I9740" s="90"/>
      <c r="J9740" s="90"/>
    </row>
    <row r="9741" spans="1:10" s="15" customFormat="1" ht="16.5" hidden="1" customHeight="1" outlineLevel="1" x14ac:dyDescent="0.25">
      <c r="A9741" s="18">
        <v>4195</v>
      </c>
      <c r="B9741" s="4" t="s">
        <v>44</v>
      </c>
      <c r="C9741" s="38" t="s">
        <v>4848</v>
      </c>
      <c r="D9741" s="18">
        <v>2022</v>
      </c>
      <c r="E9741" s="18" t="s">
        <v>0</v>
      </c>
      <c r="F9741" s="41">
        <v>1</v>
      </c>
      <c r="G9741" s="4">
        <v>15</v>
      </c>
      <c r="H9741" s="18">
        <f>0.01770396*(1000)</f>
        <v>17.703960000000002</v>
      </c>
      <c r="I9741" s="90"/>
      <c r="J9741" s="90"/>
    </row>
    <row r="9742" spans="1:10" s="15" customFormat="1" ht="16.5" hidden="1" customHeight="1" outlineLevel="1" x14ac:dyDescent="0.25">
      <c r="A9742" s="18">
        <v>4201</v>
      </c>
      <c r="B9742" s="4" t="s">
        <v>44</v>
      </c>
      <c r="C9742" s="38" t="s">
        <v>4849</v>
      </c>
      <c r="D9742" s="18">
        <v>2022</v>
      </c>
      <c r="E9742" s="18" t="s">
        <v>0</v>
      </c>
      <c r="F9742" s="41">
        <v>1</v>
      </c>
      <c r="G9742" s="4">
        <v>15</v>
      </c>
      <c r="H9742" s="18">
        <f>0.0191935*(1000)</f>
        <v>19.1935</v>
      </c>
      <c r="I9742" s="90"/>
      <c r="J9742" s="90"/>
    </row>
    <row r="9743" spans="1:10" s="15" customFormat="1" ht="16.5" hidden="1" customHeight="1" outlineLevel="1" x14ac:dyDescent="0.25">
      <c r="A9743" s="18">
        <v>4202</v>
      </c>
      <c r="B9743" s="4" t="s">
        <v>44</v>
      </c>
      <c r="C9743" s="38" t="s">
        <v>4850</v>
      </c>
      <c r="D9743" s="18">
        <v>2022</v>
      </c>
      <c r="E9743" s="18" t="s">
        <v>0</v>
      </c>
      <c r="F9743" s="41">
        <v>1</v>
      </c>
      <c r="G9743" s="4">
        <v>5.5</v>
      </c>
      <c r="H9743" s="18">
        <f>0.01353762*(1000)</f>
        <v>13.53762</v>
      </c>
      <c r="I9743" s="90"/>
      <c r="J9743" s="90"/>
    </row>
    <row r="9744" spans="1:10" s="15" customFormat="1" ht="16.5" hidden="1" customHeight="1" outlineLevel="1" x14ac:dyDescent="0.25">
      <c r="A9744" s="18">
        <v>4203</v>
      </c>
      <c r="B9744" s="4" t="s">
        <v>44</v>
      </c>
      <c r="C9744" s="38" t="s">
        <v>4851</v>
      </c>
      <c r="D9744" s="18">
        <v>2022</v>
      </c>
      <c r="E9744" s="18" t="s">
        <v>0</v>
      </c>
      <c r="F9744" s="41">
        <v>1</v>
      </c>
      <c r="G9744" s="4">
        <v>2</v>
      </c>
      <c r="H9744" s="18">
        <f>0.01340315*(1000)</f>
        <v>13.40315</v>
      </c>
      <c r="I9744" s="90"/>
      <c r="J9744" s="90"/>
    </row>
    <row r="9745" spans="1:10" s="15" customFormat="1" ht="16.5" hidden="1" customHeight="1" outlineLevel="1" x14ac:dyDescent="0.25">
      <c r="A9745" s="18">
        <v>4204</v>
      </c>
      <c r="B9745" s="4" t="s">
        <v>44</v>
      </c>
      <c r="C9745" s="38" t="s">
        <v>4852</v>
      </c>
      <c r="D9745" s="18">
        <v>2022</v>
      </c>
      <c r="E9745" s="18" t="s">
        <v>0</v>
      </c>
      <c r="F9745" s="41">
        <v>1</v>
      </c>
      <c r="G9745" s="4">
        <v>15</v>
      </c>
      <c r="H9745" s="18">
        <f>0.0187723*(1000)</f>
        <v>18.772299999999998</v>
      </c>
      <c r="I9745" s="90"/>
      <c r="J9745" s="90"/>
    </row>
    <row r="9746" spans="1:10" s="15" customFormat="1" ht="16.5" hidden="1" customHeight="1" outlineLevel="1" x14ac:dyDescent="0.25">
      <c r="A9746" s="18">
        <v>4205</v>
      </c>
      <c r="B9746" s="4" t="s">
        <v>44</v>
      </c>
      <c r="C9746" s="38" t="s">
        <v>4853</v>
      </c>
      <c r="D9746" s="18">
        <v>2022</v>
      </c>
      <c r="E9746" s="18" t="s">
        <v>0</v>
      </c>
      <c r="F9746" s="41">
        <v>1</v>
      </c>
      <c r="G9746" s="4">
        <v>15</v>
      </c>
      <c r="H9746" s="18">
        <f>0.01885621*(1000)</f>
        <v>18.856210000000001</v>
      </c>
      <c r="I9746" s="90"/>
      <c r="J9746" s="90"/>
    </row>
    <row r="9747" spans="1:10" s="15" customFormat="1" ht="16.5" hidden="1" customHeight="1" outlineLevel="1" x14ac:dyDescent="0.25">
      <c r="A9747" s="18">
        <v>4208</v>
      </c>
      <c r="B9747" s="4" t="s">
        <v>44</v>
      </c>
      <c r="C9747" s="38" t="s">
        <v>4854</v>
      </c>
      <c r="D9747" s="18">
        <v>2022</v>
      </c>
      <c r="E9747" s="18" t="s">
        <v>0</v>
      </c>
      <c r="F9747" s="41">
        <v>1</v>
      </c>
      <c r="G9747" s="4">
        <v>15</v>
      </c>
      <c r="H9747" s="18">
        <f>0.01790286*(1000)</f>
        <v>17.90286</v>
      </c>
      <c r="I9747" s="90"/>
      <c r="J9747" s="90"/>
    </row>
    <row r="9748" spans="1:10" s="15" customFormat="1" ht="16.5" hidden="1" customHeight="1" outlineLevel="1" x14ac:dyDescent="0.25">
      <c r="A9748" s="18">
        <v>4212</v>
      </c>
      <c r="B9748" s="4" t="s">
        <v>44</v>
      </c>
      <c r="C9748" s="38" t="s">
        <v>4855</v>
      </c>
      <c r="D9748" s="18">
        <v>2022</v>
      </c>
      <c r="E9748" s="18" t="s">
        <v>0</v>
      </c>
      <c r="F9748" s="41">
        <v>1</v>
      </c>
      <c r="G9748" s="4">
        <v>13</v>
      </c>
      <c r="H9748" s="18">
        <f>0.01822423*(1000)</f>
        <v>18.224230000000002</v>
      </c>
      <c r="I9748" s="90"/>
      <c r="J9748" s="90"/>
    </row>
    <row r="9749" spans="1:10" s="15" customFormat="1" ht="16.5" hidden="1" customHeight="1" outlineLevel="1" x14ac:dyDescent="0.25">
      <c r="A9749" s="18">
        <v>4214</v>
      </c>
      <c r="B9749" s="4" t="s">
        <v>44</v>
      </c>
      <c r="C9749" s="38" t="s">
        <v>4856</v>
      </c>
      <c r="D9749" s="18">
        <v>2022</v>
      </c>
      <c r="E9749" s="18" t="s">
        <v>0</v>
      </c>
      <c r="F9749" s="41">
        <v>1</v>
      </c>
      <c r="G9749" s="4">
        <v>100</v>
      </c>
      <c r="H9749" s="18">
        <f>0.01781245*(1000)</f>
        <v>17.812450000000002</v>
      </c>
      <c r="I9749" s="90"/>
      <c r="J9749" s="90"/>
    </row>
    <row r="9750" spans="1:10" s="15" customFormat="1" ht="16.5" hidden="1" customHeight="1" outlineLevel="1" x14ac:dyDescent="0.25">
      <c r="A9750" s="18">
        <v>4215</v>
      </c>
      <c r="B9750" s="4" t="s">
        <v>44</v>
      </c>
      <c r="C9750" s="38" t="s">
        <v>4857</v>
      </c>
      <c r="D9750" s="18">
        <v>2022</v>
      </c>
      <c r="E9750" s="18" t="s">
        <v>0</v>
      </c>
      <c r="F9750" s="41">
        <v>1</v>
      </c>
      <c r="G9750" s="4">
        <v>15</v>
      </c>
      <c r="H9750" s="18">
        <f>0.01781244*(1000)</f>
        <v>17.812439999999999</v>
      </c>
      <c r="I9750" s="90"/>
      <c r="J9750" s="90"/>
    </row>
    <row r="9751" spans="1:10" s="15" customFormat="1" ht="16.5" hidden="1" customHeight="1" outlineLevel="1" x14ac:dyDescent="0.25">
      <c r="A9751" s="18">
        <v>4217</v>
      </c>
      <c r="B9751" s="4" t="s">
        <v>44</v>
      </c>
      <c r="C9751" s="38" t="s">
        <v>4858</v>
      </c>
      <c r="D9751" s="18">
        <v>2022</v>
      </c>
      <c r="E9751" s="18" t="s">
        <v>0</v>
      </c>
      <c r="F9751" s="41">
        <v>1</v>
      </c>
      <c r="G9751" s="4">
        <v>15</v>
      </c>
      <c r="H9751" s="18">
        <f>0.01773565*(1000)</f>
        <v>17.73565</v>
      </c>
      <c r="I9751" s="90"/>
      <c r="J9751" s="90"/>
    </row>
    <row r="9752" spans="1:10" s="15" customFormat="1" ht="16.5" hidden="1" customHeight="1" outlineLevel="1" x14ac:dyDescent="0.25">
      <c r="A9752" s="18">
        <v>4218</v>
      </c>
      <c r="B9752" s="4" t="s">
        <v>44</v>
      </c>
      <c r="C9752" s="38" t="s">
        <v>4859</v>
      </c>
      <c r="D9752" s="18">
        <v>2022</v>
      </c>
      <c r="E9752" s="18" t="s">
        <v>0</v>
      </c>
      <c r="F9752" s="41">
        <v>1</v>
      </c>
      <c r="G9752" s="4">
        <v>5</v>
      </c>
      <c r="H9752" s="18">
        <f>0.01774291*(1000)</f>
        <v>17.742910000000002</v>
      </c>
      <c r="I9752" s="90"/>
      <c r="J9752" s="90"/>
    </row>
    <row r="9753" spans="1:10" s="15" customFormat="1" ht="16.5" hidden="1" customHeight="1" outlineLevel="1" x14ac:dyDescent="0.25">
      <c r="A9753" s="18">
        <v>4220</v>
      </c>
      <c r="B9753" s="4" t="s">
        <v>44</v>
      </c>
      <c r="C9753" s="38" t="s">
        <v>4860</v>
      </c>
      <c r="D9753" s="18">
        <v>2022</v>
      </c>
      <c r="E9753" s="18" t="s">
        <v>0</v>
      </c>
      <c r="F9753" s="41">
        <v>1</v>
      </c>
      <c r="G9753" s="4">
        <v>15</v>
      </c>
      <c r="H9753" s="18">
        <f>0.01770396*(1000)</f>
        <v>17.703960000000002</v>
      </c>
      <c r="I9753" s="90"/>
      <c r="J9753" s="90"/>
    </row>
    <row r="9754" spans="1:10" s="15" customFormat="1" ht="16.5" hidden="1" customHeight="1" outlineLevel="1" x14ac:dyDescent="0.25">
      <c r="A9754" s="18">
        <v>2780</v>
      </c>
      <c r="B9754" s="4" t="s">
        <v>44</v>
      </c>
      <c r="C9754" s="38" t="s">
        <v>2182</v>
      </c>
      <c r="D9754" s="18">
        <v>2022</v>
      </c>
      <c r="E9754" s="18" t="s">
        <v>0</v>
      </c>
      <c r="F9754" s="41">
        <v>1</v>
      </c>
      <c r="G9754" s="4">
        <v>15</v>
      </c>
      <c r="H9754" s="18">
        <f>0.05373536*(1000)</f>
        <v>53.73536</v>
      </c>
      <c r="I9754" s="90"/>
      <c r="J9754" s="90"/>
    </row>
    <row r="9755" spans="1:10" s="15" customFormat="1" ht="16.5" hidden="1" customHeight="1" outlineLevel="1" x14ac:dyDescent="0.25">
      <c r="A9755" s="18">
        <v>2786</v>
      </c>
      <c r="B9755" s="4" t="s">
        <v>44</v>
      </c>
      <c r="C9755" s="38" t="s">
        <v>2183</v>
      </c>
      <c r="D9755" s="18">
        <v>2022</v>
      </c>
      <c r="E9755" s="18" t="s">
        <v>0</v>
      </c>
      <c r="F9755" s="41">
        <v>1</v>
      </c>
      <c r="G9755" s="4">
        <v>60</v>
      </c>
      <c r="H9755" s="18">
        <f>0.17778806*(1000)</f>
        <v>177.78806</v>
      </c>
      <c r="I9755" s="90"/>
      <c r="J9755" s="90"/>
    </row>
    <row r="9756" spans="1:10" s="15" customFormat="1" ht="16.5" hidden="1" customHeight="1" outlineLevel="1" x14ac:dyDescent="0.25">
      <c r="A9756" s="18">
        <v>2803</v>
      </c>
      <c r="B9756" s="4" t="s">
        <v>44</v>
      </c>
      <c r="C9756" s="38" t="s">
        <v>2825</v>
      </c>
      <c r="D9756" s="18">
        <v>2022</v>
      </c>
      <c r="E9756" s="18" t="s">
        <v>0</v>
      </c>
      <c r="F9756" s="41">
        <v>1</v>
      </c>
      <c r="G9756" s="4">
        <v>130</v>
      </c>
      <c r="H9756" s="18">
        <f>0.37423217*(1000)</f>
        <v>374.23217</v>
      </c>
      <c r="I9756" s="90"/>
      <c r="J9756" s="90"/>
    </row>
    <row r="9757" spans="1:10" s="15" customFormat="1" ht="16.5" hidden="1" customHeight="1" outlineLevel="1" x14ac:dyDescent="0.25">
      <c r="A9757" s="18">
        <v>2809</v>
      </c>
      <c r="B9757" s="4" t="s">
        <v>44</v>
      </c>
      <c r="C9757" s="38" t="s">
        <v>2184</v>
      </c>
      <c r="D9757" s="18">
        <v>2022</v>
      </c>
      <c r="E9757" s="18" t="s">
        <v>0</v>
      </c>
      <c r="F9757" s="41">
        <v>1</v>
      </c>
      <c r="G9757" s="4">
        <v>45</v>
      </c>
      <c r="H9757" s="18">
        <f>0.07490668*(1000)</f>
        <v>74.906680000000009</v>
      </c>
      <c r="I9757" s="90"/>
      <c r="J9757" s="90"/>
    </row>
    <row r="9758" spans="1:10" s="15" customFormat="1" ht="16.5" hidden="1" customHeight="1" outlineLevel="1" x14ac:dyDescent="0.25">
      <c r="A9758" s="18">
        <v>2859</v>
      </c>
      <c r="B9758" s="4" t="s">
        <v>44</v>
      </c>
      <c r="C9758" s="38" t="s">
        <v>2185</v>
      </c>
      <c r="D9758" s="18">
        <v>2022</v>
      </c>
      <c r="E9758" s="18" t="s">
        <v>0</v>
      </c>
      <c r="F9758" s="41">
        <v>1</v>
      </c>
      <c r="G9758" s="4">
        <v>100</v>
      </c>
      <c r="H9758" s="18">
        <f>0.066515*(1000)</f>
        <v>66.515000000000001</v>
      </c>
      <c r="I9758" s="90"/>
      <c r="J9758" s="90"/>
    </row>
    <row r="9759" spans="1:10" s="15" customFormat="1" ht="16.5" hidden="1" customHeight="1" outlineLevel="1" x14ac:dyDescent="0.25">
      <c r="A9759" s="18">
        <v>2861</v>
      </c>
      <c r="B9759" s="4" t="s">
        <v>44</v>
      </c>
      <c r="C9759" s="38" t="s">
        <v>2186</v>
      </c>
      <c r="D9759" s="18">
        <v>2022</v>
      </c>
      <c r="E9759" s="18" t="s">
        <v>0</v>
      </c>
      <c r="F9759" s="41">
        <v>1</v>
      </c>
      <c r="G9759" s="4">
        <v>100</v>
      </c>
      <c r="H9759" s="18">
        <f>0.14129474*(1000)</f>
        <v>141.29473999999999</v>
      </c>
      <c r="I9759" s="90"/>
      <c r="J9759" s="90"/>
    </row>
    <row r="9760" spans="1:10" s="15" customFormat="1" ht="16.5" hidden="1" customHeight="1" outlineLevel="1" x14ac:dyDescent="0.25">
      <c r="A9760" s="18">
        <v>2862</v>
      </c>
      <c r="B9760" s="4" t="s">
        <v>44</v>
      </c>
      <c r="C9760" s="38" t="s">
        <v>2187</v>
      </c>
      <c r="D9760" s="18">
        <v>2022</v>
      </c>
      <c r="E9760" s="18" t="s">
        <v>0</v>
      </c>
      <c r="F9760" s="41">
        <v>1</v>
      </c>
      <c r="G9760" s="4">
        <v>50</v>
      </c>
      <c r="H9760" s="18">
        <f>0.07628801*(1000)</f>
        <v>76.28801</v>
      </c>
      <c r="I9760" s="90"/>
      <c r="J9760" s="90"/>
    </row>
    <row r="9761" spans="1:10" s="15" customFormat="1" ht="16.5" hidden="1" customHeight="1" outlineLevel="1" x14ac:dyDescent="0.25">
      <c r="A9761" s="18">
        <v>2867</v>
      </c>
      <c r="B9761" s="4" t="s">
        <v>44</v>
      </c>
      <c r="C9761" s="38" t="s">
        <v>2188</v>
      </c>
      <c r="D9761" s="18">
        <v>2022</v>
      </c>
      <c r="E9761" s="18" t="s">
        <v>0</v>
      </c>
      <c r="F9761" s="41">
        <v>1</v>
      </c>
      <c r="G9761" s="4">
        <v>100</v>
      </c>
      <c r="H9761" s="18">
        <f>0.11927671*(1000)</f>
        <v>119.27670999999999</v>
      </c>
      <c r="I9761" s="90"/>
      <c r="J9761" s="90"/>
    </row>
    <row r="9762" spans="1:10" s="15" customFormat="1" ht="16.5" hidden="1" customHeight="1" outlineLevel="1" x14ac:dyDescent="0.25">
      <c r="A9762" s="18">
        <v>2910</v>
      </c>
      <c r="B9762" s="4" t="s">
        <v>44</v>
      </c>
      <c r="C9762" s="38" t="s">
        <v>2189</v>
      </c>
      <c r="D9762" s="18">
        <v>2022</v>
      </c>
      <c r="E9762" s="18" t="s">
        <v>0</v>
      </c>
      <c r="F9762" s="41">
        <v>1</v>
      </c>
      <c r="G9762" s="4">
        <v>100</v>
      </c>
      <c r="H9762" s="18">
        <f>0.07789337*(1000)</f>
        <v>77.893370000000004</v>
      </c>
      <c r="I9762" s="90"/>
      <c r="J9762" s="90"/>
    </row>
    <row r="9763" spans="1:10" s="15" customFormat="1" ht="16.5" hidden="1" customHeight="1" outlineLevel="1" x14ac:dyDescent="0.25">
      <c r="A9763" s="18">
        <v>2915</v>
      </c>
      <c r="B9763" s="4" t="s">
        <v>44</v>
      </c>
      <c r="C9763" s="38" t="s">
        <v>2190</v>
      </c>
      <c r="D9763" s="18">
        <v>2022</v>
      </c>
      <c r="E9763" s="18" t="s">
        <v>0</v>
      </c>
      <c r="F9763" s="41">
        <v>1</v>
      </c>
      <c r="G9763" s="4">
        <v>80</v>
      </c>
      <c r="H9763" s="18">
        <f>0.13590346*(1000)</f>
        <v>135.90346</v>
      </c>
      <c r="I9763" s="90"/>
      <c r="J9763" s="90"/>
    </row>
    <row r="9764" spans="1:10" s="15" customFormat="1" ht="16.5" hidden="1" customHeight="1" outlineLevel="1" x14ac:dyDescent="0.25">
      <c r="A9764" s="18">
        <v>4119</v>
      </c>
      <c r="B9764" s="4" t="s">
        <v>44</v>
      </c>
      <c r="C9764" s="38" t="s">
        <v>2192</v>
      </c>
      <c r="D9764" s="18">
        <v>2022</v>
      </c>
      <c r="E9764" s="18" t="s">
        <v>0</v>
      </c>
      <c r="F9764" s="41">
        <v>1</v>
      </c>
      <c r="G9764" s="4">
        <v>6</v>
      </c>
      <c r="H9764" s="18">
        <f>0.15627329*(1000)</f>
        <v>156.27329</v>
      </c>
      <c r="I9764" s="90"/>
      <c r="J9764" s="90"/>
    </row>
    <row r="9765" spans="1:10" s="15" customFormat="1" ht="16.5" hidden="1" customHeight="1" outlineLevel="1" x14ac:dyDescent="0.25">
      <c r="A9765" s="18">
        <v>4121</v>
      </c>
      <c r="B9765" s="4" t="s">
        <v>44</v>
      </c>
      <c r="C9765" s="38" t="s">
        <v>2194</v>
      </c>
      <c r="D9765" s="18">
        <v>2022</v>
      </c>
      <c r="E9765" s="18" t="s">
        <v>0</v>
      </c>
      <c r="F9765" s="41">
        <v>1</v>
      </c>
      <c r="G9765" s="4">
        <v>30</v>
      </c>
      <c r="H9765" s="18">
        <f>0.13104344*(1000)</f>
        <v>131.04344</v>
      </c>
      <c r="I9765" s="90"/>
      <c r="J9765" s="90"/>
    </row>
    <row r="9766" spans="1:10" s="15" customFormat="1" ht="16.5" hidden="1" customHeight="1" outlineLevel="1" x14ac:dyDescent="0.25">
      <c r="A9766" s="18">
        <v>4122</v>
      </c>
      <c r="B9766" s="4" t="s">
        <v>44</v>
      </c>
      <c r="C9766" s="38" t="s">
        <v>2195</v>
      </c>
      <c r="D9766" s="18">
        <v>2022</v>
      </c>
      <c r="E9766" s="18" t="s">
        <v>0</v>
      </c>
      <c r="F9766" s="41">
        <v>1</v>
      </c>
      <c r="G9766" s="4">
        <v>15</v>
      </c>
      <c r="H9766" s="18">
        <f>0.12309242*(1000)</f>
        <v>123.09241999999999</v>
      </c>
      <c r="I9766" s="90"/>
      <c r="J9766" s="90"/>
    </row>
    <row r="9767" spans="1:10" s="15" customFormat="1" ht="16.5" hidden="1" customHeight="1" outlineLevel="1" x14ac:dyDescent="0.25">
      <c r="A9767" s="18">
        <v>4123</v>
      </c>
      <c r="B9767" s="4" t="s">
        <v>44</v>
      </c>
      <c r="C9767" s="38" t="s">
        <v>2196</v>
      </c>
      <c r="D9767" s="18">
        <v>2022</v>
      </c>
      <c r="E9767" s="18" t="s">
        <v>0</v>
      </c>
      <c r="F9767" s="41">
        <v>1</v>
      </c>
      <c r="G9767" s="4">
        <v>75</v>
      </c>
      <c r="H9767" s="18">
        <f>0.13083193*(1000)</f>
        <v>130.83193</v>
      </c>
      <c r="I9767" s="90"/>
      <c r="J9767" s="90"/>
    </row>
    <row r="9768" spans="1:10" s="15" customFormat="1" ht="16.5" hidden="1" customHeight="1" outlineLevel="1" x14ac:dyDescent="0.25">
      <c r="A9768" s="18">
        <v>4124</v>
      </c>
      <c r="B9768" s="4" t="s">
        <v>44</v>
      </c>
      <c r="C9768" s="38" t="s">
        <v>2197</v>
      </c>
      <c r="D9768" s="18">
        <v>2022</v>
      </c>
      <c r="E9768" s="18" t="s">
        <v>0</v>
      </c>
      <c r="F9768" s="41">
        <v>1</v>
      </c>
      <c r="G9768" s="4">
        <v>108.67</v>
      </c>
      <c r="H9768" s="18">
        <f>0.2282809*(1000)</f>
        <v>228.2809</v>
      </c>
      <c r="I9768" s="90"/>
      <c r="J9768" s="90"/>
    </row>
    <row r="9769" spans="1:10" s="15" customFormat="1" ht="16.5" hidden="1" customHeight="1" outlineLevel="1" x14ac:dyDescent="0.25">
      <c r="A9769" s="18">
        <v>4128</v>
      </c>
      <c r="B9769" s="4" t="s">
        <v>44</v>
      </c>
      <c r="C9769" s="38" t="s">
        <v>2199</v>
      </c>
      <c r="D9769" s="18">
        <v>2022</v>
      </c>
      <c r="E9769" s="18" t="s">
        <v>0</v>
      </c>
      <c r="F9769" s="41">
        <v>1</v>
      </c>
      <c r="G9769" s="4">
        <v>34</v>
      </c>
      <c r="H9769" s="18">
        <f>0.17286533*(1000)</f>
        <v>172.86533</v>
      </c>
      <c r="I9769" s="90"/>
      <c r="J9769" s="90"/>
    </row>
    <row r="9770" spans="1:10" s="15" customFormat="1" ht="16.5" hidden="1" customHeight="1" outlineLevel="1" x14ac:dyDescent="0.25">
      <c r="A9770" s="18">
        <v>2760</v>
      </c>
      <c r="B9770" s="4" t="s">
        <v>44</v>
      </c>
      <c r="C9770" s="38" t="s">
        <v>2204</v>
      </c>
      <c r="D9770" s="18">
        <v>2022</v>
      </c>
      <c r="E9770" s="18" t="s">
        <v>0</v>
      </c>
      <c r="F9770" s="41">
        <v>1</v>
      </c>
      <c r="G9770" s="4">
        <v>15</v>
      </c>
      <c r="H9770" s="18">
        <f>0.06260733*(1000)</f>
        <v>62.607330000000005</v>
      </c>
      <c r="I9770" s="90"/>
      <c r="J9770" s="90"/>
    </row>
    <row r="9771" spans="1:10" s="15" customFormat="1" ht="16.5" hidden="1" customHeight="1" outlineLevel="1" x14ac:dyDescent="0.25">
      <c r="A9771" s="18">
        <v>2782</v>
      </c>
      <c r="B9771" s="4" t="s">
        <v>44</v>
      </c>
      <c r="C9771" s="38" t="s">
        <v>2206</v>
      </c>
      <c r="D9771" s="18">
        <v>2022</v>
      </c>
      <c r="E9771" s="18" t="s">
        <v>0</v>
      </c>
      <c r="F9771" s="41">
        <v>1</v>
      </c>
      <c r="G9771" s="4">
        <v>65</v>
      </c>
      <c r="H9771" s="18">
        <f>0.07355375*(1000)</f>
        <v>73.553750000000008</v>
      </c>
      <c r="I9771" s="90"/>
      <c r="J9771" s="90"/>
    </row>
    <row r="9772" spans="1:10" s="15" customFormat="1" ht="16.5" hidden="1" customHeight="1" outlineLevel="1" x14ac:dyDescent="0.25">
      <c r="A9772" s="18">
        <v>2806</v>
      </c>
      <c r="B9772" s="4" t="s">
        <v>44</v>
      </c>
      <c r="C9772" s="38" t="s">
        <v>2207</v>
      </c>
      <c r="D9772" s="18">
        <v>2022</v>
      </c>
      <c r="E9772" s="18" t="s">
        <v>0</v>
      </c>
      <c r="F9772" s="41">
        <v>1</v>
      </c>
      <c r="G9772" s="4">
        <v>7.5</v>
      </c>
      <c r="H9772" s="18">
        <f>0.06658069*(1000)</f>
        <v>66.580690000000004</v>
      </c>
      <c r="I9772" s="90"/>
      <c r="J9772" s="90"/>
    </row>
    <row r="9773" spans="1:10" s="15" customFormat="1" ht="16.5" hidden="1" customHeight="1" outlineLevel="1" x14ac:dyDescent="0.25">
      <c r="A9773" s="18">
        <v>2808</v>
      </c>
      <c r="B9773" s="4" t="s">
        <v>44</v>
      </c>
      <c r="C9773" s="38" t="s">
        <v>2208</v>
      </c>
      <c r="D9773" s="18">
        <v>2022</v>
      </c>
      <c r="E9773" s="18" t="s">
        <v>0</v>
      </c>
      <c r="F9773" s="41">
        <v>1</v>
      </c>
      <c r="G9773" s="4">
        <v>15</v>
      </c>
      <c r="H9773" s="18">
        <f>0.06047029*(1000)</f>
        <v>60.470290000000006</v>
      </c>
      <c r="I9773" s="90"/>
      <c r="J9773" s="90"/>
    </row>
    <row r="9774" spans="1:10" s="15" customFormat="1" ht="16.5" hidden="1" customHeight="1" outlineLevel="1" x14ac:dyDescent="0.25">
      <c r="A9774" s="18">
        <v>2813</v>
      </c>
      <c r="B9774" s="4" t="s">
        <v>44</v>
      </c>
      <c r="C9774" s="38" t="s">
        <v>4861</v>
      </c>
      <c r="D9774" s="18">
        <v>2022</v>
      </c>
      <c r="E9774" s="18" t="s">
        <v>0</v>
      </c>
      <c r="F9774" s="41">
        <v>1</v>
      </c>
      <c r="G9774" s="4">
        <v>150</v>
      </c>
      <c r="H9774" s="18">
        <f>0.48088007*(1000)</f>
        <v>480.88006999999999</v>
      </c>
      <c r="I9774" s="90"/>
      <c r="J9774" s="90"/>
    </row>
    <row r="9775" spans="1:10" s="15" customFormat="1" ht="16.5" hidden="1" customHeight="1" outlineLevel="1" x14ac:dyDescent="0.25">
      <c r="A9775" s="18">
        <v>2847</v>
      </c>
      <c r="B9775" s="4" t="s">
        <v>44</v>
      </c>
      <c r="C9775" s="38" t="s">
        <v>2210</v>
      </c>
      <c r="D9775" s="18">
        <v>2022</v>
      </c>
      <c r="E9775" s="18" t="s">
        <v>0</v>
      </c>
      <c r="F9775" s="41">
        <v>2</v>
      </c>
      <c r="G9775" s="4">
        <v>25</v>
      </c>
      <c r="H9775" s="18">
        <f>0.11177326*(1000)</f>
        <v>111.77325999999999</v>
      </c>
      <c r="I9775" s="90"/>
      <c r="J9775" s="90"/>
    </row>
    <row r="9776" spans="1:10" s="15" customFormat="1" ht="16.5" hidden="1" customHeight="1" outlineLevel="1" x14ac:dyDescent="0.25">
      <c r="A9776" s="18">
        <v>2866</v>
      </c>
      <c r="B9776" s="4" t="s">
        <v>44</v>
      </c>
      <c r="C9776" s="38" t="s">
        <v>2893</v>
      </c>
      <c r="D9776" s="18">
        <v>2022</v>
      </c>
      <c r="E9776" s="18" t="s">
        <v>0</v>
      </c>
      <c r="F9776" s="41">
        <v>1</v>
      </c>
      <c r="G9776" s="4">
        <v>15</v>
      </c>
      <c r="H9776" s="18">
        <f>0.06390799*(1000)</f>
        <v>63.907989999999998</v>
      </c>
      <c r="I9776" s="90"/>
      <c r="J9776" s="90"/>
    </row>
    <row r="9777" spans="1:10" s="15" customFormat="1" ht="16.5" hidden="1" customHeight="1" outlineLevel="1" x14ac:dyDescent="0.25">
      <c r="A9777" s="18">
        <v>2869</v>
      </c>
      <c r="B9777" s="4" t="s">
        <v>44</v>
      </c>
      <c r="C9777" s="38" t="s">
        <v>2213</v>
      </c>
      <c r="D9777" s="18">
        <v>2022</v>
      </c>
      <c r="E9777" s="18" t="s">
        <v>0</v>
      </c>
      <c r="F9777" s="41">
        <v>1</v>
      </c>
      <c r="G9777" s="4">
        <v>30</v>
      </c>
      <c r="H9777" s="18">
        <f>0.06612518*(1000)</f>
        <v>66.12518</v>
      </c>
      <c r="I9777" s="90"/>
      <c r="J9777" s="90"/>
    </row>
    <row r="9778" spans="1:10" s="15" customFormat="1" ht="16.5" hidden="1" customHeight="1" outlineLevel="1" x14ac:dyDescent="0.25">
      <c r="A9778" s="18">
        <v>2870</v>
      </c>
      <c r="B9778" s="4" t="s">
        <v>44</v>
      </c>
      <c r="C9778" s="38" t="s">
        <v>2214</v>
      </c>
      <c r="D9778" s="18">
        <v>2022</v>
      </c>
      <c r="E9778" s="18" t="s">
        <v>0</v>
      </c>
      <c r="F9778" s="41">
        <v>1</v>
      </c>
      <c r="G9778" s="4">
        <v>10</v>
      </c>
      <c r="H9778" s="18">
        <f>0.06375697*(1000)</f>
        <v>63.756969999999995</v>
      </c>
      <c r="I9778" s="90"/>
      <c r="J9778" s="90"/>
    </row>
    <row r="9779" spans="1:10" s="15" customFormat="1" ht="16.5" hidden="1" customHeight="1" outlineLevel="1" x14ac:dyDescent="0.25">
      <c r="A9779" s="18">
        <v>2880</v>
      </c>
      <c r="B9779" s="4" t="s">
        <v>44</v>
      </c>
      <c r="C9779" s="38" t="s">
        <v>2215</v>
      </c>
      <c r="D9779" s="18">
        <v>2022</v>
      </c>
      <c r="E9779" s="18" t="s">
        <v>0</v>
      </c>
      <c r="F9779" s="41">
        <v>1</v>
      </c>
      <c r="G9779" s="4">
        <v>40</v>
      </c>
      <c r="H9779" s="18">
        <f>0.04022737*(1000)</f>
        <v>40.227370000000001</v>
      </c>
      <c r="I9779" s="90"/>
      <c r="J9779" s="90"/>
    </row>
    <row r="9780" spans="1:10" s="15" customFormat="1" ht="16.5" hidden="1" customHeight="1" outlineLevel="1" x14ac:dyDescent="0.25">
      <c r="A9780" s="18">
        <v>2882</v>
      </c>
      <c r="B9780" s="4" t="s">
        <v>44</v>
      </c>
      <c r="C9780" s="38" t="s">
        <v>2216</v>
      </c>
      <c r="D9780" s="18">
        <v>2022</v>
      </c>
      <c r="E9780" s="18" t="s">
        <v>0</v>
      </c>
      <c r="F9780" s="41">
        <v>1</v>
      </c>
      <c r="G9780" s="4">
        <v>30</v>
      </c>
      <c r="H9780" s="18">
        <f>0.06609034*(1000)</f>
        <v>66.090339999999998</v>
      </c>
      <c r="I9780" s="90"/>
      <c r="J9780" s="90"/>
    </row>
    <row r="9781" spans="1:10" s="15" customFormat="1" ht="16.5" hidden="1" customHeight="1" outlineLevel="1" x14ac:dyDescent="0.25">
      <c r="A9781" s="18">
        <v>2894</v>
      </c>
      <c r="B9781" s="4" t="s">
        <v>44</v>
      </c>
      <c r="C9781" s="38" t="s">
        <v>2219</v>
      </c>
      <c r="D9781" s="18">
        <v>2022</v>
      </c>
      <c r="E9781" s="18" t="s">
        <v>0</v>
      </c>
      <c r="F9781" s="41">
        <v>1</v>
      </c>
      <c r="G9781" s="4">
        <v>15</v>
      </c>
      <c r="H9781" s="18">
        <f>0.06341616*(1000)</f>
        <v>63.416159999999998</v>
      </c>
      <c r="I9781" s="90"/>
      <c r="J9781" s="90"/>
    </row>
    <row r="9782" spans="1:10" s="15" customFormat="1" ht="16.5" hidden="1" customHeight="1" outlineLevel="1" x14ac:dyDescent="0.25">
      <c r="A9782" s="18">
        <v>2895</v>
      </c>
      <c r="B9782" s="4" t="s">
        <v>44</v>
      </c>
      <c r="C9782" s="38" t="s">
        <v>2220</v>
      </c>
      <c r="D9782" s="18">
        <v>2022</v>
      </c>
      <c r="E9782" s="18" t="s">
        <v>0</v>
      </c>
      <c r="F9782" s="41">
        <v>1</v>
      </c>
      <c r="G9782" s="4">
        <v>15</v>
      </c>
      <c r="H9782" s="18">
        <f>0.06528063*(1000)</f>
        <v>65.280630000000002</v>
      </c>
      <c r="I9782" s="90"/>
      <c r="J9782" s="90"/>
    </row>
    <row r="9783" spans="1:10" s="15" customFormat="1" ht="16.5" hidden="1" customHeight="1" outlineLevel="1" x14ac:dyDescent="0.25">
      <c r="A9783" s="18">
        <v>2908</v>
      </c>
      <c r="B9783" s="4" t="s">
        <v>44</v>
      </c>
      <c r="C9783" s="38" t="s">
        <v>4862</v>
      </c>
      <c r="D9783" s="18">
        <v>2022</v>
      </c>
      <c r="E9783" s="18" t="s">
        <v>0</v>
      </c>
      <c r="F9783" s="41">
        <v>1</v>
      </c>
      <c r="G9783" s="4">
        <v>15</v>
      </c>
      <c r="H9783" s="18">
        <f>0.07515931*(1000)</f>
        <v>75.159309999999991</v>
      </c>
      <c r="I9783" s="90"/>
      <c r="J9783" s="90"/>
    </row>
    <row r="9784" spans="1:10" s="15" customFormat="1" ht="16.5" hidden="1" customHeight="1" outlineLevel="1" x14ac:dyDescent="0.25">
      <c r="A9784" s="18">
        <v>2909</v>
      </c>
      <c r="B9784" s="4" t="s">
        <v>44</v>
      </c>
      <c r="C9784" s="38" t="s">
        <v>4863</v>
      </c>
      <c r="D9784" s="18">
        <v>2022</v>
      </c>
      <c r="E9784" s="18" t="s">
        <v>0</v>
      </c>
      <c r="F9784" s="41">
        <v>1</v>
      </c>
      <c r="G9784" s="4">
        <v>15</v>
      </c>
      <c r="H9784" s="18">
        <f>0.07543737*(1000)</f>
        <v>75.437370000000001</v>
      </c>
      <c r="I9784" s="90"/>
      <c r="J9784" s="90"/>
    </row>
    <row r="9785" spans="1:10" s="15" customFormat="1" ht="16.5" hidden="1" customHeight="1" outlineLevel="1" x14ac:dyDescent="0.25">
      <c r="A9785" s="18">
        <v>2986</v>
      </c>
      <c r="B9785" s="4" t="s">
        <v>44</v>
      </c>
      <c r="C9785" s="38" t="s">
        <v>2221</v>
      </c>
      <c r="D9785" s="18">
        <v>2022</v>
      </c>
      <c r="E9785" s="18" t="s">
        <v>0</v>
      </c>
      <c r="F9785" s="41">
        <v>1</v>
      </c>
      <c r="G9785" s="4">
        <v>15</v>
      </c>
      <c r="H9785" s="18">
        <f>0.06333302*(1000)</f>
        <v>63.333020000000005</v>
      </c>
      <c r="I9785" s="90"/>
      <c r="J9785" s="90"/>
    </row>
    <row r="9786" spans="1:10" s="15" customFormat="1" ht="16.5" hidden="1" customHeight="1" outlineLevel="1" x14ac:dyDescent="0.25">
      <c r="A9786" s="18">
        <v>2989</v>
      </c>
      <c r="B9786" s="4" t="s">
        <v>44</v>
      </c>
      <c r="C9786" s="38" t="s">
        <v>2222</v>
      </c>
      <c r="D9786" s="18">
        <v>2022</v>
      </c>
      <c r="E9786" s="18" t="s">
        <v>0</v>
      </c>
      <c r="F9786" s="41">
        <v>1</v>
      </c>
      <c r="G9786" s="4">
        <v>15</v>
      </c>
      <c r="H9786" s="18">
        <f>0.06227643*(1000)</f>
        <v>62.276429999999998</v>
      </c>
      <c r="I9786" s="90"/>
      <c r="J9786" s="90"/>
    </row>
    <row r="9787" spans="1:10" s="15" customFormat="1" ht="16.5" hidden="1" customHeight="1" outlineLevel="1" x14ac:dyDescent="0.25">
      <c r="A9787" s="18">
        <v>2994</v>
      </c>
      <c r="B9787" s="4" t="s">
        <v>44</v>
      </c>
      <c r="C9787" s="38" t="s">
        <v>2223</v>
      </c>
      <c r="D9787" s="18">
        <v>2022</v>
      </c>
      <c r="E9787" s="18" t="s">
        <v>0</v>
      </c>
      <c r="F9787" s="41">
        <v>1</v>
      </c>
      <c r="G9787" s="4">
        <v>15</v>
      </c>
      <c r="H9787" s="18">
        <f>0.0632429*(1000)</f>
        <v>63.242900000000006</v>
      </c>
      <c r="I9787" s="90"/>
      <c r="J9787" s="90"/>
    </row>
    <row r="9788" spans="1:10" s="15" customFormat="1" ht="16.5" hidden="1" customHeight="1" outlineLevel="1" x14ac:dyDescent="0.25">
      <c r="A9788" s="18">
        <v>2995</v>
      </c>
      <c r="B9788" s="4" t="s">
        <v>44</v>
      </c>
      <c r="C9788" s="38" t="s">
        <v>2224</v>
      </c>
      <c r="D9788" s="18">
        <v>2022</v>
      </c>
      <c r="E9788" s="18" t="s">
        <v>0</v>
      </c>
      <c r="F9788" s="41">
        <v>1</v>
      </c>
      <c r="G9788" s="4">
        <v>15</v>
      </c>
      <c r="H9788" s="18">
        <f>0.06363889*(1000)</f>
        <v>63.638890000000004</v>
      </c>
      <c r="I9788" s="90"/>
      <c r="J9788" s="90"/>
    </row>
    <row r="9789" spans="1:10" s="15" customFormat="1" ht="16.5" hidden="1" customHeight="1" outlineLevel="1" x14ac:dyDescent="0.25">
      <c r="A9789" s="18">
        <v>2998</v>
      </c>
      <c r="B9789" s="4" t="s">
        <v>44</v>
      </c>
      <c r="C9789" s="38" t="s">
        <v>2226</v>
      </c>
      <c r="D9789" s="18">
        <v>2022</v>
      </c>
      <c r="E9789" s="18" t="s">
        <v>0</v>
      </c>
      <c r="F9789" s="41">
        <v>1</v>
      </c>
      <c r="G9789" s="4">
        <v>15</v>
      </c>
      <c r="H9789" s="18">
        <f>0.06160184*(1000)</f>
        <v>61.601839999999996</v>
      </c>
      <c r="I9789" s="90"/>
      <c r="J9789" s="90"/>
    </row>
    <row r="9790" spans="1:10" s="15" customFormat="1" ht="16.5" hidden="1" customHeight="1" outlineLevel="1" x14ac:dyDescent="0.25">
      <c r="A9790" s="18">
        <v>3007</v>
      </c>
      <c r="B9790" s="4" t="s">
        <v>44</v>
      </c>
      <c r="C9790" s="38" t="s">
        <v>2228</v>
      </c>
      <c r="D9790" s="18">
        <v>2022</v>
      </c>
      <c r="E9790" s="18" t="s">
        <v>0</v>
      </c>
      <c r="F9790" s="41">
        <v>1</v>
      </c>
      <c r="G9790" s="4">
        <v>15</v>
      </c>
      <c r="H9790" s="18">
        <f>0.06033055*(1000)</f>
        <v>60.330549999999995</v>
      </c>
      <c r="I9790" s="90"/>
      <c r="J9790" s="90"/>
    </row>
    <row r="9791" spans="1:10" s="15" customFormat="1" ht="16.5" hidden="1" customHeight="1" outlineLevel="1" x14ac:dyDescent="0.25">
      <c r="A9791" s="18">
        <v>3008</v>
      </c>
      <c r="B9791" s="4" t="s">
        <v>44</v>
      </c>
      <c r="C9791" s="38" t="s">
        <v>2229</v>
      </c>
      <c r="D9791" s="18">
        <v>2022</v>
      </c>
      <c r="E9791" s="18" t="s">
        <v>0</v>
      </c>
      <c r="F9791" s="41">
        <v>1</v>
      </c>
      <c r="G9791" s="4">
        <v>15</v>
      </c>
      <c r="H9791" s="18">
        <f>0.06160242*(1000)</f>
        <v>61.602419999999995</v>
      </c>
      <c r="I9791" s="90"/>
      <c r="J9791" s="90"/>
    </row>
    <row r="9792" spans="1:10" s="15" customFormat="1" ht="16.5" hidden="1" customHeight="1" outlineLevel="1" x14ac:dyDescent="0.25">
      <c r="A9792" s="18">
        <v>3012</v>
      </c>
      <c r="B9792" s="4" t="s">
        <v>44</v>
      </c>
      <c r="C9792" s="38" t="s">
        <v>2230</v>
      </c>
      <c r="D9792" s="18">
        <v>2022</v>
      </c>
      <c r="E9792" s="18" t="s">
        <v>0</v>
      </c>
      <c r="F9792" s="41">
        <v>1</v>
      </c>
      <c r="G9792" s="4">
        <v>55</v>
      </c>
      <c r="H9792" s="18">
        <f>0.06113566*(1000)</f>
        <v>61.135660000000001</v>
      </c>
      <c r="I9792" s="90"/>
      <c r="J9792" s="90"/>
    </row>
    <row r="9793" spans="1:10" s="15" customFormat="1" ht="16.5" hidden="1" customHeight="1" outlineLevel="1" x14ac:dyDescent="0.25">
      <c r="A9793" s="18">
        <v>3013</v>
      </c>
      <c r="B9793" s="4" t="s">
        <v>44</v>
      </c>
      <c r="C9793" s="38" t="s">
        <v>2231</v>
      </c>
      <c r="D9793" s="18">
        <v>2022</v>
      </c>
      <c r="E9793" s="18" t="s">
        <v>0</v>
      </c>
      <c r="F9793" s="41">
        <v>1</v>
      </c>
      <c r="G9793" s="4">
        <v>8</v>
      </c>
      <c r="H9793" s="18">
        <f>0.06227676*(1000)</f>
        <v>62.276760000000003</v>
      </c>
      <c r="I9793" s="90"/>
      <c r="J9793" s="90"/>
    </row>
    <row r="9794" spans="1:10" s="15" customFormat="1" ht="16.5" hidden="1" customHeight="1" outlineLevel="1" x14ac:dyDescent="0.25">
      <c r="A9794" s="18">
        <v>3014</v>
      </c>
      <c r="B9794" s="4" t="s">
        <v>44</v>
      </c>
      <c r="C9794" s="38" t="s">
        <v>2232</v>
      </c>
      <c r="D9794" s="18">
        <v>2022</v>
      </c>
      <c r="E9794" s="18" t="s">
        <v>0</v>
      </c>
      <c r="F9794" s="41">
        <v>1</v>
      </c>
      <c r="G9794" s="4">
        <v>15</v>
      </c>
      <c r="H9794" s="18">
        <f>0.06082195*(1000)</f>
        <v>60.821950000000001</v>
      </c>
      <c r="I9794" s="90"/>
      <c r="J9794" s="90"/>
    </row>
    <row r="9795" spans="1:10" s="15" customFormat="1" ht="16.5" hidden="1" customHeight="1" outlineLevel="1" x14ac:dyDescent="0.25">
      <c r="A9795" s="18">
        <v>4115</v>
      </c>
      <c r="B9795" s="4" t="s">
        <v>44</v>
      </c>
      <c r="C9795" s="38" t="s">
        <v>2233</v>
      </c>
      <c r="D9795" s="18">
        <v>2022</v>
      </c>
      <c r="E9795" s="18" t="s">
        <v>0</v>
      </c>
      <c r="F9795" s="41">
        <v>1</v>
      </c>
      <c r="G9795" s="4">
        <v>15</v>
      </c>
      <c r="H9795" s="18">
        <f>0.062948*(1000)</f>
        <v>62.948000000000008</v>
      </c>
      <c r="I9795" s="90"/>
      <c r="J9795" s="90"/>
    </row>
    <row r="9796" spans="1:10" s="15" customFormat="1" ht="16.5" hidden="1" customHeight="1" outlineLevel="1" x14ac:dyDescent="0.25">
      <c r="A9796" s="18">
        <v>4116</v>
      </c>
      <c r="B9796" s="4" t="s">
        <v>44</v>
      </c>
      <c r="C9796" s="38" t="s">
        <v>2234</v>
      </c>
      <c r="D9796" s="18">
        <v>2022</v>
      </c>
      <c r="E9796" s="18" t="s">
        <v>0</v>
      </c>
      <c r="F9796" s="41">
        <v>1</v>
      </c>
      <c r="G9796" s="4">
        <v>50</v>
      </c>
      <c r="H9796" s="18">
        <f>0.09449788*(1000)</f>
        <v>94.497880000000009</v>
      </c>
      <c r="I9796" s="90"/>
      <c r="J9796" s="90"/>
    </row>
    <row r="9797" spans="1:10" s="15" customFormat="1" ht="16.5" hidden="1" customHeight="1" outlineLevel="1" x14ac:dyDescent="0.25">
      <c r="A9797" s="18">
        <v>4222</v>
      </c>
      <c r="B9797" s="4" t="s">
        <v>44</v>
      </c>
      <c r="C9797" s="38" t="s">
        <v>2235</v>
      </c>
      <c r="D9797" s="18">
        <v>2022</v>
      </c>
      <c r="E9797" s="18" t="s">
        <v>0</v>
      </c>
      <c r="F9797" s="41">
        <v>1</v>
      </c>
      <c r="G9797" s="4">
        <v>15</v>
      </c>
      <c r="H9797" s="18">
        <f>0.05473398*(1000)</f>
        <v>54.733980000000003</v>
      </c>
      <c r="I9797" s="90"/>
      <c r="J9797" s="90"/>
    </row>
    <row r="9798" spans="1:10" s="15" customFormat="1" ht="16.5" hidden="1" customHeight="1" outlineLevel="1" x14ac:dyDescent="0.25">
      <c r="A9798" s="18">
        <v>4226</v>
      </c>
      <c r="B9798" s="4" t="s">
        <v>44</v>
      </c>
      <c r="C9798" s="38" t="s">
        <v>2238</v>
      </c>
      <c r="D9798" s="18">
        <v>2022</v>
      </c>
      <c r="E9798" s="18" t="s">
        <v>0</v>
      </c>
      <c r="F9798" s="41">
        <v>1</v>
      </c>
      <c r="G9798" s="4">
        <v>12</v>
      </c>
      <c r="H9798" s="18">
        <f>0.19102077*(1000)</f>
        <v>191.02077</v>
      </c>
      <c r="I9798" s="90"/>
      <c r="J9798" s="90"/>
    </row>
    <row r="9799" spans="1:10" s="15" customFormat="1" ht="16.5" hidden="1" customHeight="1" outlineLevel="1" x14ac:dyDescent="0.25">
      <c r="A9799" s="18">
        <v>4227</v>
      </c>
      <c r="B9799" s="4" t="s">
        <v>44</v>
      </c>
      <c r="C9799" s="38" t="s">
        <v>2239</v>
      </c>
      <c r="D9799" s="18">
        <v>2022</v>
      </c>
      <c r="E9799" s="18" t="s">
        <v>0</v>
      </c>
      <c r="F9799" s="41">
        <v>1</v>
      </c>
      <c r="G9799" s="4">
        <v>4.5</v>
      </c>
      <c r="H9799" s="18">
        <f>0.20340742*(1000)</f>
        <v>203.40742</v>
      </c>
      <c r="I9799" s="90"/>
      <c r="J9799" s="90"/>
    </row>
    <row r="9800" spans="1:10" s="15" customFormat="1" ht="16.5" hidden="1" customHeight="1" outlineLevel="1" x14ac:dyDescent="0.25">
      <c r="A9800" s="18">
        <v>4229</v>
      </c>
      <c r="B9800" s="4" t="s">
        <v>44</v>
      </c>
      <c r="C9800" s="38" t="s">
        <v>2240</v>
      </c>
      <c r="D9800" s="18">
        <v>2022</v>
      </c>
      <c r="E9800" s="18" t="s">
        <v>0</v>
      </c>
      <c r="F9800" s="41">
        <v>3</v>
      </c>
      <c r="G9800" s="4">
        <v>25</v>
      </c>
      <c r="H9800" s="18">
        <f>0.23497886*(1000)</f>
        <v>234.97886</v>
      </c>
      <c r="I9800" s="90"/>
      <c r="J9800" s="90"/>
    </row>
    <row r="9801" spans="1:10" s="15" customFormat="1" ht="16.5" hidden="1" customHeight="1" outlineLevel="1" x14ac:dyDescent="0.25">
      <c r="A9801" s="18">
        <v>4231</v>
      </c>
      <c r="B9801" s="4" t="s">
        <v>44</v>
      </c>
      <c r="C9801" s="38" t="s">
        <v>4864</v>
      </c>
      <c r="D9801" s="18">
        <v>2022</v>
      </c>
      <c r="E9801" s="18" t="s">
        <v>0</v>
      </c>
      <c r="F9801" s="41">
        <v>1</v>
      </c>
      <c r="G9801" s="4">
        <v>14.5</v>
      </c>
      <c r="H9801" s="18">
        <f>0.0367859*(1000)</f>
        <v>36.785900000000005</v>
      </c>
      <c r="I9801" s="90"/>
      <c r="J9801" s="90"/>
    </row>
    <row r="9802" spans="1:10" s="15" customFormat="1" ht="16.5" hidden="1" customHeight="1" outlineLevel="1" x14ac:dyDescent="0.25">
      <c r="A9802" s="18">
        <v>4232</v>
      </c>
      <c r="B9802" s="4" t="s">
        <v>44</v>
      </c>
      <c r="C9802" s="38" t="s">
        <v>4865</v>
      </c>
      <c r="D9802" s="18">
        <v>2022</v>
      </c>
      <c r="E9802" s="18" t="s">
        <v>0</v>
      </c>
      <c r="F9802" s="41">
        <v>1</v>
      </c>
      <c r="G9802" s="4">
        <v>15</v>
      </c>
      <c r="H9802" s="18">
        <f>0.03678591*(1000)</f>
        <v>36.785910000000001</v>
      </c>
      <c r="I9802" s="90"/>
      <c r="J9802" s="90"/>
    </row>
    <row r="9803" spans="1:10" s="15" customFormat="1" ht="16.5" hidden="1" customHeight="1" outlineLevel="1" x14ac:dyDescent="0.25">
      <c r="A9803" s="18">
        <v>4233</v>
      </c>
      <c r="B9803" s="4" t="s">
        <v>44</v>
      </c>
      <c r="C9803" s="38" t="s">
        <v>4866</v>
      </c>
      <c r="D9803" s="18">
        <v>2022</v>
      </c>
      <c r="E9803" s="18" t="s">
        <v>0</v>
      </c>
      <c r="F9803" s="41">
        <v>1</v>
      </c>
      <c r="G9803" s="4">
        <v>15</v>
      </c>
      <c r="H9803" s="18">
        <f>0.0367859*(1000)</f>
        <v>36.785900000000005</v>
      </c>
      <c r="I9803" s="90"/>
      <c r="J9803" s="90"/>
    </row>
    <row r="9804" spans="1:10" s="15" customFormat="1" ht="16.5" hidden="1" customHeight="1" outlineLevel="1" x14ac:dyDescent="0.25">
      <c r="A9804" s="18">
        <v>4234</v>
      </c>
      <c r="B9804" s="4" t="s">
        <v>44</v>
      </c>
      <c r="C9804" s="38" t="s">
        <v>4867</v>
      </c>
      <c r="D9804" s="18">
        <v>2022</v>
      </c>
      <c r="E9804" s="18" t="s">
        <v>0</v>
      </c>
      <c r="F9804" s="41">
        <v>1</v>
      </c>
      <c r="G9804" s="4">
        <v>15</v>
      </c>
      <c r="H9804" s="18">
        <f>0.0360953*(1000)</f>
        <v>36.095299999999995</v>
      </c>
      <c r="I9804" s="90"/>
      <c r="J9804" s="90"/>
    </row>
    <row r="9805" spans="1:10" s="15" customFormat="1" ht="16.5" hidden="1" customHeight="1" outlineLevel="1" x14ac:dyDescent="0.25">
      <c r="A9805" s="18">
        <v>4235</v>
      </c>
      <c r="B9805" s="4" t="s">
        <v>44</v>
      </c>
      <c r="C9805" s="38" t="s">
        <v>4868</v>
      </c>
      <c r="D9805" s="18">
        <v>2022</v>
      </c>
      <c r="E9805" s="18" t="s">
        <v>0</v>
      </c>
      <c r="F9805" s="41">
        <v>1</v>
      </c>
      <c r="G9805" s="4">
        <v>14.5</v>
      </c>
      <c r="H9805" s="18">
        <f>0.03607664*(1000)</f>
        <v>36.076639999999998</v>
      </c>
      <c r="I9805" s="90"/>
      <c r="J9805" s="90"/>
    </row>
    <row r="9806" spans="1:10" s="15" customFormat="1" ht="16.5" hidden="1" customHeight="1" outlineLevel="1" x14ac:dyDescent="0.25">
      <c r="A9806" s="18">
        <v>4236</v>
      </c>
      <c r="B9806" s="4" t="s">
        <v>44</v>
      </c>
      <c r="C9806" s="38" t="s">
        <v>4869</v>
      </c>
      <c r="D9806" s="18">
        <v>2022</v>
      </c>
      <c r="E9806" s="18" t="s">
        <v>0</v>
      </c>
      <c r="F9806" s="41">
        <v>1</v>
      </c>
      <c r="G9806" s="4">
        <v>14.5</v>
      </c>
      <c r="H9806" s="18">
        <f>0.03607665*(1000)</f>
        <v>36.076650000000001</v>
      </c>
      <c r="I9806" s="90"/>
      <c r="J9806" s="90"/>
    </row>
    <row r="9807" spans="1:10" s="15" customFormat="1" ht="16.5" hidden="1" customHeight="1" outlineLevel="1" x14ac:dyDescent="0.25">
      <c r="A9807" s="18">
        <v>4239</v>
      </c>
      <c r="B9807" s="4" t="s">
        <v>44</v>
      </c>
      <c r="C9807" s="38" t="s">
        <v>4870</v>
      </c>
      <c r="D9807" s="18">
        <v>2022</v>
      </c>
      <c r="E9807" s="18" t="s">
        <v>0</v>
      </c>
      <c r="F9807" s="41">
        <v>1</v>
      </c>
      <c r="G9807" s="4">
        <v>15</v>
      </c>
      <c r="H9807" s="18">
        <f>0.03607664*(1000)</f>
        <v>36.076639999999998</v>
      </c>
      <c r="I9807" s="90"/>
      <c r="J9807" s="90"/>
    </row>
    <row r="9808" spans="1:10" s="15" customFormat="1" ht="16.5" hidden="1" customHeight="1" outlineLevel="1" x14ac:dyDescent="0.25">
      <c r="A9808" s="18">
        <v>4240</v>
      </c>
      <c r="B9808" s="4" t="s">
        <v>44</v>
      </c>
      <c r="C9808" s="38" t="s">
        <v>4871</v>
      </c>
      <c r="D9808" s="18">
        <v>2022</v>
      </c>
      <c r="E9808" s="18" t="s">
        <v>0</v>
      </c>
      <c r="F9808" s="41">
        <v>1</v>
      </c>
      <c r="G9808" s="4">
        <v>10</v>
      </c>
      <c r="H9808" s="18">
        <f>0.0360953*(1000)</f>
        <v>36.095299999999995</v>
      </c>
      <c r="I9808" s="90"/>
      <c r="J9808" s="90"/>
    </row>
    <row r="9809" spans="1:10" s="15" customFormat="1" ht="16.5" hidden="1" customHeight="1" outlineLevel="1" x14ac:dyDescent="0.25">
      <c r="A9809" s="18">
        <v>4241</v>
      </c>
      <c r="B9809" s="4" t="s">
        <v>44</v>
      </c>
      <c r="C9809" s="38" t="s">
        <v>4872</v>
      </c>
      <c r="D9809" s="18">
        <v>2022</v>
      </c>
      <c r="E9809" s="18" t="s">
        <v>0</v>
      </c>
      <c r="F9809" s="41">
        <v>1</v>
      </c>
      <c r="G9809" s="4">
        <v>15</v>
      </c>
      <c r="H9809" s="18">
        <f>0.03611407*(1000)</f>
        <v>36.114069999999998</v>
      </c>
      <c r="I9809" s="90"/>
      <c r="J9809" s="90"/>
    </row>
    <row r="9810" spans="1:10" s="15" customFormat="1" ht="16.5" hidden="1" customHeight="1" outlineLevel="1" x14ac:dyDescent="0.25">
      <c r="A9810" s="18">
        <v>4242</v>
      </c>
      <c r="B9810" s="4" t="s">
        <v>44</v>
      </c>
      <c r="C9810" s="38" t="s">
        <v>4873</v>
      </c>
      <c r="D9810" s="18">
        <v>2022</v>
      </c>
      <c r="E9810" s="18" t="s">
        <v>0</v>
      </c>
      <c r="F9810" s="41">
        <v>1</v>
      </c>
      <c r="G9810" s="4">
        <v>15</v>
      </c>
      <c r="H9810" s="18">
        <f>0.0351762*(1000)</f>
        <v>35.176199999999994</v>
      </c>
      <c r="I9810" s="90"/>
      <c r="J9810" s="90"/>
    </row>
    <row r="9811" spans="1:10" s="15" customFormat="1" ht="16.5" hidden="1" customHeight="1" outlineLevel="1" x14ac:dyDescent="0.25">
      <c r="A9811" s="18">
        <v>4243</v>
      </c>
      <c r="B9811" s="4" t="s">
        <v>44</v>
      </c>
      <c r="C9811" s="38" t="s">
        <v>4874</v>
      </c>
      <c r="D9811" s="18">
        <v>2022</v>
      </c>
      <c r="E9811" s="18" t="s">
        <v>0</v>
      </c>
      <c r="F9811" s="41">
        <v>1</v>
      </c>
      <c r="G9811" s="4">
        <v>10</v>
      </c>
      <c r="H9811" s="18">
        <f>0.03543906*(1000)</f>
        <v>35.439060000000005</v>
      </c>
      <c r="I9811" s="90"/>
      <c r="J9811" s="90"/>
    </row>
    <row r="9812" spans="1:10" s="15" customFormat="1" ht="16.5" hidden="1" customHeight="1" outlineLevel="1" x14ac:dyDescent="0.25">
      <c r="A9812" s="18">
        <v>4244</v>
      </c>
      <c r="B9812" s="4" t="s">
        <v>44</v>
      </c>
      <c r="C9812" s="38" t="s">
        <v>4875</v>
      </c>
      <c r="D9812" s="18">
        <v>2022</v>
      </c>
      <c r="E9812" s="18" t="s">
        <v>0</v>
      </c>
      <c r="F9812" s="41">
        <v>1</v>
      </c>
      <c r="G9812" s="4">
        <v>15</v>
      </c>
      <c r="H9812" s="18">
        <f>0.0352419*(1000)</f>
        <v>35.241900000000001</v>
      </c>
      <c r="I9812" s="90"/>
      <c r="J9812" s="90"/>
    </row>
    <row r="9813" spans="1:10" s="15" customFormat="1" ht="16.5" hidden="1" customHeight="1" outlineLevel="1" x14ac:dyDescent="0.25">
      <c r="A9813" s="18">
        <v>4253</v>
      </c>
      <c r="B9813" s="4" t="s">
        <v>44</v>
      </c>
      <c r="C9813" s="38" t="s">
        <v>4876</v>
      </c>
      <c r="D9813" s="18">
        <v>2022</v>
      </c>
      <c r="E9813" s="18" t="s">
        <v>0</v>
      </c>
      <c r="F9813" s="41">
        <v>1</v>
      </c>
      <c r="G9813" s="4">
        <v>12</v>
      </c>
      <c r="H9813" s="18">
        <f>0.03524188*(1000)</f>
        <v>35.241880000000002</v>
      </c>
      <c r="I9813" s="90"/>
      <c r="J9813" s="90"/>
    </row>
    <row r="9814" spans="1:10" s="15" customFormat="1" ht="16.5" hidden="1" customHeight="1" outlineLevel="1" x14ac:dyDescent="0.25">
      <c r="A9814" s="18">
        <v>4254</v>
      </c>
      <c r="B9814" s="4" t="s">
        <v>44</v>
      </c>
      <c r="C9814" s="38" t="s">
        <v>4877</v>
      </c>
      <c r="D9814" s="18">
        <v>2022</v>
      </c>
      <c r="E9814" s="18" t="s">
        <v>0</v>
      </c>
      <c r="F9814" s="41">
        <v>1</v>
      </c>
      <c r="G9814" s="4">
        <v>15</v>
      </c>
      <c r="H9814" s="18">
        <f>0.0351762*(1000)</f>
        <v>35.176199999999994</v>
      </c>
      <c r="I9814" s="90"/>
      <c r="J9814" s="90"/>
    </row>
    <row r="9815" spans="1:10" s="15" customFormat="1" ht="16.5" hidden="1" customHeight="1" outlineLevel="1" x14ac:dyDescent="0.25">
      <c r="A9815" s="18">
        <v>4255</v>
      </c>
      <c r="B9815" s="4" t="s">
        <v>44</v>
      </c>
      <c r="C9815" s="38" t="s">
        <v>4878</v>
      </c>
      <c r="D9815" s="18">
        <v>2022</v>
      </c>
      <c r="E9815" s="18" t="s">
        <v>0</v>
      </c>
      <c r="F9815" s="41">
        <v>1</v>
      </c>
      <c r="G9815" s="4">
        <v>15</v>
      </c>
      <c r="H9815" s="18">
        <f>0.03543905*(1000)</f>
        <v>35.439050000000002</v>
      </c>
      <c r="I9815" s="90"/>
      <c r="J9815" s="90"/>
    </row>
    <row r="9816" spans="1:10" s="15" customFormat="1" ht="16.5" hidden="1" customHeight="1" outlineLevel="1" x14ac:dyDescent="0.25">
      <c r="A9816" s="18">
        <v>4256</v>
      </c>
      <c r="B9816" s="4" t="s">
        <v>44</v>
      </c>
      <c r="C9816" s="38" t="s">
        <v>4879</v>
      </c>
      <c r="D9816" s="18">
        <v>2022</v>
      </c>
      <c r="E9816" s="18" t="s">
        <v>0</v>
      </c>
      <c r="F9816" s="41">
        <v>1</v>
      </c>
      <c r="G9816" s="4">
        <v>10</v>
      </c>
      <c r="H9816" s="18">
        <f>0.03524191*(1000)</f>
        <v>35.241910000000004</v>
      </c>
      <c r="I9816" s="90"/>
      <c r="J9816" s="90"/>
    </row>
    <row r="9817" spans="1:10" s="15" customFormat="1" ht="16.5" hidden="1" customHeight="1" outlineLevel="1" x14ac:dyDescent="0.25">
      <c r="A9817" s="18">
        <v>4260</v>
      </c>
      <c r="B9817" s="4" t="s">
        <v>44</v>
      </c>
      <c r="C9817" s="38" t="s">
        <v>4880</v>
      </c>
      <c r="D9817" s="18">
        <v>2022</v>
      </c>
      <c r="E9817" s="18" t="s">
        <v>0</v>
      </c>
      <c r="F9817" s="41">
        <v>1</v>
      </c>
      <c r="G9817" s="4">
        <v>15</v>
      </c>
      <c r="H9817" s="18">
        <f>0.03543906*(1000)</f>
        <v>35.439060000000005</v>
      </c>
      <c r="I9817" s="90"/>
      <c r="J9817" s="90"/>
    </row>
    <row r="9818" spans="1:10" s="15" customFormat="1" ht="16.5" hidden="1" customHeight="1" outlineLevel="1" x14ac:dyDescent="0.25">
      <c r="A9818" s="18">
        <v>4263</v>
      </c>
      <c r="B9818" s="4" t="s">
        <v>44</v>
      </c>
      <c r="C9818" s="38" t="s">
        <v>4881</v>
      </c>
      <c r="D9818" s="18">
        <v>2022</v>
      </c>
      <c r="E9818" s="18" t="s">
        <v>0</v>
      </c>
      <c r="F9818" s="41">
        <v>1</v>
      </c>
      <c r="G9818" s="4">
        <v>15</v>
      </c>
      <c r="H9818" s="18">
        <f>0.03517618*(1000)</f>
        <v>35.176180000000002</v>
      </c>
      <c r="I9818" s="90"/>
      <c r="J9818" s="90"/>
    </row>
    <row r="9819" spans="1:10" s="15" customFormat="1" ht="16.5" hidden="1" customHeight="1" outlineLevel="1" x14ac:dyDescent="0.25">
      <c r="A9819" s="18">
        <v>4264</v>
      </c>
      <c r="B9819" s="4" t="s">
        <v>44</v>
      </c>
      <c r="C9819" s="38" t="s">
        <v>4882</v>
      </c>
      <c r="D9819" s="18">
        <v>2022</v>
      </c>
      <c r="E9819" s="18" t="s">
        <v>0</v>
      </c>
      <c r="F9819" s="41">
        <v>1</v>
      </c>
      <c r="G9819" s="4">
        <v>15</v>
      </c>
      <c r="H9819" s="18">
        <f>0.03524191*(1000)</f>
        <v>35.241910000000004</v>
      </c>
      <c r="I9819" s="90"/>
      <c r="J9819" s="90"/>
    </row>
    <row r="9820" spans="1:10" s="15" customFormat="1" ht="16.5" hidden="1" customHeight="1" outlineLevel="1" x14ac:dyDescent="0.25">
      <c r="A9820" s="18">
        <v>4267</v>
      </c>
      <c r="B9820" s="4" t="s">
        <v>44</v>
      </c>
      <c r="C9820" s="38" t="s">
        <v>4883</v>
      </c>
      <c r="D9820" s="18">
        <v>2022</v>
      </c>
      <c r="E9820" s="18" t="s">
        <v>0</v>
      </c>
      <c r="F9820" s="41">
        <v>1</v>
      </c>
      <c r="G9820" s="4">
        <v>15</v>
      </c>
      <c r="H9820" s="18">
        <f>0.03524188*(1000)</f>
        <v>35.241880000000002</v>
      </c>
      <c r="I9820" s="90"/>
      <c r="J9820" s="90"/>
    </row>
    <row r="9821" spans="1:10" s="15" customFormat="1" ht="16.5" hidden="1" customHeight="1" outlineLevel="1" x14ac:dyDescent="0.25">
      <c r="A9821" s="18">
        <v>4269</v>
      </c>
      <c r="B9821" s="4" t="s">
        <v>44</v>
      </c>
      <c r="C9821" s="38" t="s">
        <v>4884</v>
      </c>
      <c r="D9821" s="18">
        <v>2022</v>
      </c>
      <c r="E9821" s="18" t="s">
        <v>0</v>
      </c>
      <c r="F9821" s="41">
        <v>1</v>
      </c>
      <c r="G9821" s="4">
        <v>60</v>
      </c>
      <c r="H9821" s="18">
        <f>0.03524188*(1000)</f>
        <v>35.241880000000002</v>
      </c>
      <c r="I9821" s="90"/>
      <c r="J9821" s="90"/>
    </row>
    <row r="9822" spans="1:10" s="15" customFormat="1" ht="16.5" hidden="1" customHeight="1" outlineLevel="1" x14ac:dyDescent="0.25">
      <c r="A9822" s="18">
        <v>4271</v>
      </c>
      <c r="B9822" s="4" t="s">
        <v>44</v>
      </c>
      <c r="C9822" s="38" t="s">
        <v>4885</v>
      </c>
      <c r="D9822" s="18">
        <v>2022</v>
      </c>
      <c r="E9822" s="18" t="s">
        <v>0</v>
      </c>
      <c r="F9822" s="41">
        <v>1</v>
      </c>
      <c r="G9822" s="4">
        <v>15</v>
      </c>
      <c r="H9822" s="18">
        <f>0.03498454*(1000)</f>
        <v>34.984540000000003</v>
      </c>
      <c r="I9822" s="90"/>
      <c r="J9822" s="90"/>
    </row>
    <row r="9823" spans="1:10" s="15" customFormat="1" ht="16.5" hidden="1" customHeight="1" outlineLevel="1" x14ac:dyDescent="0.25">
      <c r="A9823" s="18">
        <v>4277</v>
      </c>
      <c r="B9823" s="4" t="s">
        <v>44</v>
      </c>
      <c r="C9823" s="38" t="s">
        <v>4886</v>
      </c>
      <c r="D9823" s="18">
        <v>2022</v>
      </c>
      <c r="E9823" s="18" t="s">
        <v>0</v>
      </c>
      <c r="F9823" s="41">
        <v>1</v>
      </c>
      <c r="G9823" s="4">
        <v>15</v>
      </c>
      <c r="H9823" s="18">
        <f>0.0351389*(1000)</f>
        <v>35.1389</v>
      </c>
      <c r="I9823" s="90"/>
      <c r="J9823" s="90"/>
    </row>
    <row r="9824" spans="1:10" s="15" customFormat="1" ht="16.5" hidden="1" customHeight="1" outlineLevel="1" x14ac:dyDescent="0.25">
      <c r="A9824" s="18">
        <v>4285</v>
      </c>
      <c r="B9824" s="4" t="s">
        <v>44</v>
      </c>
      <c r="C9824" s="38" t="s">
        <v>4887</v>
      </c>
      <c r="D9824" s="18">
        <v>2022</v>
      </c>
      <c r="E9824" s="18" t="s">
        <v>0</v>
      </c>
      <c r="F9824" s="41">
        <v>1</v>
      </c>
      <c r="G9824" s="4">
        <v>15</v>
      </c>
      <c r="H9824" s="18">
        <f>0.03526761*(1000)</f>
        <v>35.267609999999998</v>
      </c>
      <c r="I9824" s="90"/>
      <c r="J9824" s="90"/>
    </row>
    <row r="9825" spans="1:10" s="15" customFormat="1" ht="16.5" hidden="1" customHeight="1" outlineLevel="1" x14ac:dyDescent="0.25">
      <c r="A9825" s="18">
        <v>4286</v>
      </c>
      <c r="B9825" s="4" t="s">
        <v>44</v>
      </c>
      <c r="C9825" s="38" t="s">
        <v>4888</v>
      </c>
      <c r="D9825" s="18">
        <v>2022</v>
      </c>
      <c r="E9825" s="18" t="s">
        <v>0</v>
      </c>
      <c r="F9825" s="41">
        <v>1</v>
      </c>
      <c r="G9825" s="4">
        <v>5</v>
      </c>
      <c r="H9825" s="18">
        <f>0.03526761*(1000)</f>
        <v>35.267609999999998</v>
      </c>
      <c r="I9825" s="90"/>
      <c r="J9825" s="90"/>
    </row>
    <row r="9826" spans="1:10" s="15" customFormat="1" ht="16.5" hidden="1" customHeight="1" outlineLevel="1" x14ac:dyDescent="0.25">
      <c r="A9826" s="18">
        <v>4289</v>
      </c>
      <c r="B9826" s="4" t="s">
        <v>44</v>
      </c>
      <c r="C9826" s="38" t="s">
        <v>4889</v>
      </c>
      <c r="D9826" s="18">
        <v>2022</v>
      </c>
      <c r="E9826" s="18" t="s">
        <v>0</v>
      </c>
      <c r="F9826" s="41">
        <v>1</v>
      </c>
      <c r="G9826" s="4">
        <v>15</v>
      </c>
      <c r="H9826" s="18">
        <f>0.03579344*(1000)</f>
        <v>35.793440000000004</v>
      </c>
      <c r="I9826" s="90"/>
      <c r="J9826" s="90"/>
    </row>
    <row r="9827" spans="1:10" s="15" customFormat="1" ht="16.5" hidden="1" customHeight="1" outlineLevel="1" x14ac:dyDescent="0.25">
      <c r="A9827" s="18">
        <v>4290</v>
      </c>
      <c r="B9827" s="4" t="s">
        <v>44</v>
      </c>
      <c r="C9827" s="38" t="s">
        <v>4890</v>
      </c>
      <c r="D9827" s="18">
        <v>2022</v>
      </c>
      <c r="E9827" s="18" t="s">
        <v>0</v>
      </c>
      <c r="F9827" s="41">
        <v>1</v>
      </c>
      <c r="G9827" s="4">
        <v>15</v>
      </c>
      <c r="H9827" s="18">
        <f>0.03526761*(1000)</f>
        <v>35.267609999999998</v>
      </c>
      <c r="I9827" s="90"/>
      <c r="J9827" s="90"/>
    </row>
    <row r="9828" spans="1:10" s="15" customFormat="1" ht="16.5" hidden="1" customHeight="1" outlineLevel="1" x14ac:dyDescent="0.25">
      <c r="A9828" s="18">
        <v>4291</v>
      </c>
      <c r="B9828" s="4" t="s">
        <v>44</v>
      </c>
      <c r="C9828" s="38" t="s">
        <v>4891</v>
      </c>
      <c r="D9828" s="18">
        <v>2022</v>
      </c>
      <c r="E9828" s="18" t="s">
        <v>0</v>
      </c>
      <c r="F9828" s="41">
        <v>1</v>
      </c>
      <c r="G9828" s="4">
        <v>15</v>
      </c>
      <c r="H9828" s="18">
        <f>0.03504757*(1000)</f>
        <v>35.04757</v>
      </c>
      <c r="I9828" s="90"/>
      <c r="J9828" s="90"/>
    </row>
    <row r="9829" spans="1:10" s="15" customFormat="1" ht="16.5" hidden="1" customHeight="1" outlineLevel="1" x14ac:dyDescent="0.25">
      <c r="A9829" s="18">
        <v>4296</v>
      </c>
      <c r="B9829" s="4" t="s">
        <v>44</v>
      </c>
      <c r="C9829" s="38" t="s">
        <v>4892</v>
      </c>
      <c r="D9829" s="18">
        <v>2022</v>
      </c>
      <c r="E9829" s="18" t="s">
        <v>0</v>
      </c>
      <c r="F9829" s="41">
        <v>1</v>
      </c>
      <c r="G9829" s="4">
        <v>15</v>
      </c>
      <c r="H9829" s="18">
        <f>0.03511327*(1000)</f>
        <v>35.11327</v>
      </c>
      <c r="I9829" s="90"/>
      <c r="J9829" s="90"/>
    </row>
    <row r="9830" spans="1:10" s="15" customFormat="1" ht="16.5" hidden="1" customHeight="1" outlineLevel="1" x14ac:dyDescent="0.25">
      <c r="A9830" s="18">
        <v>4297</v>
      </c>
      <c r="B9830" s="4" t="s">
        <v>44</v>
      </c>
      <c r="C9830" s="38" t="s">
        <v>4893</v>
      </c>
      <c r="D9830" s="18">
        <v>2022</v>
      </c>
      <c r="E9830" s="18" t="s">
        <v>0</v>
      </c>
      <c r="F9830" s="41">
        <v>1</v>
      </c>
      <c r="G9830" s="4">
        <v>15</v>
      </c>
      <c r="H9830" s="18">
        <f>0.03504757*(1000)</f>
        <v>35.04757</v>
      </c>
      <c r="I9830" s="90"/>
      <c r="J9830" s="90"/>
    </row>
    <row r="9831" spans="1:10" s="15" customFormat="1" ht="16.5" hidden="1" customHeight="1" outlineLevel="1" x14ac:dyDescent="0.25">
      <c r="A9831" s="18">
        <v>4299</v>
      </c>
      <c r="B9831" s="4" t="s">
        <v>44</v>
      </c>
      <c r="C9831" s="38" t="s">
        <v>4894</v>
      </c>
      <c r="D9831" s="18">
        <v>2022</v>
      </c>
      <c r="E9831" s="18" t="s">
        <v>0</v>
      </c>
      <c r="F9831" s="41">
        <v>1</v>
      </c>
      <c r="G9831" s="4">
        <v>15</v>
      </c>
      <c r="H9831" s="18">
        <f>0.03563912*(1000)</f>
        <v>35.639120000000005</v>
      </c>
      <c r="I9831" s="90"/>
      <c r="J9831" s="90"/>
    </row>
    <row r="9832" spans="1:10" s="15" customFormat="1" ht="16.5" hidden="1" customHeight="1" outlineLevel="1" x14ac:dyDescent="0.25">
      <c r="A9832" s="18">
        <v>4301</v>
      </c>
      <c r="B9832" s="4" t="s">
        <v>44</v>
      </c>
      <c r="C9832" s="38" t="s">
        <v>4895</v>
      </c>
      <c r="D9832" s="18">
        <v>2022</v>
      </c>
      <c r="E9832" s="18" t="s">
        <v>0</v>
      </c>
      <c r="F9832" s="41">
        <v>1</v>
      </c>
      <c r="G9832" s="4">
        <v>15</v>
      </c>
      <c r="H9832" s="18">
        <f>0.03511327*(1000)</f>
        <v>35.11327</v>
      </c>
      <c r="I9832" s="90"/>
      <c r="J9832" s="90"/>
    </row>
    <row r="9833" spans="1:10" s="15" customFormat="1" ht="16.5" hidden="1" customHeight="1" outlineLevel="1" x14ac:dyDescent="0.25">
      <c r="A9833" s="18">
        <v>4305</v>
      </c>
      <c r="B9833" s="4" t="s">
        <v>44</v>
      </c>
      <c r="C9833" s="38" t="s">
        <v>4896</v>
      </c>
      <c r="D9833" s="18">
        <v>2022</v>
      </c>
      <c r="E9833" s="18" t="s">
        <v>0</v>
      </c>
      <c r="F9833" s="41">
        <v>1</v>
      </c>
      <c r="G9833" s="4">
        <v>15</v>
      </c>
      <c r="H9833" s="18">
        <f>0.03504823*(1000)</f>
        <v>35.048229999999997</v>
      </c>
      <c r="I9833" s="90"/>
      <c r="J9833" s="90"/>
    </row>
    <row r="9834" spans="1:10" s="15" customFormat="1" ht="16.5" hidden="1" customHeight="1" outlineLevel="1" x14ac:dyDescent="0.25">
      <c r="A9834" s="18">
        <v>4306</v>
      </c>
      <c r="B9834" s="4" t="s">
        <v>44</v>
      </c>
      <c r="C9834" s="38" t="s">
        <v>4897</v>
      </c>
      <c r="D9834" s="18">
        <v>2022</v>
      </c>
      <c r="E9834" s="18" t="s">
        <v>0</v>
      </c>
      <c r="F9834" s="41">
        <v>1</v>
      </c>
      <c r="G9834" s="4">
        <v>15</v>
      </c>
      <c r="H9834" s="18">
        <f>0.03563974*(1000)</f>
        <v>35.639740000000003</v>
      </c>
      <c r="I9834" s="90"/>
      <c r="J9834" s="90"/>
    </row>
    <row r="9835" spans="1:10" s="15" customFormat="1" ht="16.5" hidden="1" customHeight="1" outlineLevel="1" x14ac:dyDescent="0.25">
      <c r="A9835" s="18">
        <v>4307</v>
      </c>
      <c r="B9835" s="4" t="s">
        <v>44</v>
      </c>
      <c r="C9835" s="38" t="s">
        <v>4898</v>
      </c>
      <c r="D9835" s="18">
        <v>2022</v>
      </c>
      <c r="E9835" s="18" t="s">
        <v>0</v>
      </c>
      <c r="F9835" s="41">
        <v>1</v>
      </c>
      <c r="G9835" s="4">
        <v>15</v>
      </c>
      <c r="H9835" s="18">
        <f>0.03563975*(1000)</f>
        <v>35.639749999999999</v>
      </c>
      <c r="I9835" s="90"/>
      <c r="J9835" s="90"/>
    </row>
    <row r="9836" spans="1:10" s="15" customFormat="1" ht="16.5" hidden="1" customHeight="1" outlineLevel="1" x14ac:dyDescent="0.25">
      <c r="A9836" s="18">
        <v>4312</v>
      </c>
      <c r="B9836" s="4" t="s">
        <v>44</v>
      </c>
      <c r="C9836" s="38" t="s">
        <v>4899</v>
      </c>
      <c r="D9836" s="18">
        <v>2022</v>
      </c>
      <c r="E9836" s="18" t="s">
        <v>0</v>
      </c>
      <c r="F9836" s="41">
        <v>1</v>
      </c>
      <c r="G9836" s="4">
        <v>2</v>
      </c>
      <c r="H9836" s="18">
        <f>0.0364852*(1000)</f>
        <v>36.485199999999999</v>
      </c>
      <c r="I9836" s="90"/>
      <c r="J9836" s="90"/>
    </row>
    <row r="9837" spans="1:10" s="15" customFormat="1" ht="16.5" hidden="1" customHeight="1" outlineLevel="1" x14ac:dyDescent="0.25">
      <c r="A9837" s="18">
        <v>4313</v>
      </c>
      <c r="B9837" s="4" t="s">
        <v>44</v>
      </c>
      <c r="C9837" s="38" t="s">
        <v>4900</v>
      </c>
      <c r="D9837" s="18">
        <v>2022</v>
      </c>
      <c r="E9837" s="18" t="s">
        <v>0</v>
      </c>
      <c r="F9837" s="41">
        <v>1</v>
      </c>
      <c r="G9837" s="4">
        <v>3.6</v>
      </c>
      <c r="H9837" s="18">
        <f>0.0364852*(1000)</f>
        <v>36.485199999999999</v>
      </c>
      <c r="I9837" s="90"/>
      <c r="J9837" s="90"/>
    </row>
    <row r="9838" spans="1:10" s="15" customFormat="1" ht="16.5" hidden="1" customHeight="1" outlineLevel="1" x14ac:dyDescent="0.25">
      <c r="A9838" s="18">
        <v>4314</v>
      </c>
      <c r="B9838" s="4" t="s">
        <v>44</v>
      </c>
      <c r="C9838" s="38" t="s">
        <v>4901</v>
      </c>
      <c r="D9838" s="18">
        <v>2022</v>
      </c>
      <c r="E9838" s="18" t="s">
        <v>0</v>
      </c>
      <c r="F9838" s="41">
        <v>1</v>
      </c>
      <c r="G9838" s="4">
        <v>2</v>
      </c>
      <c r="H9838" s="18">
        <f>0.03727154*(1000)</f>
        <v>37.271540000000002</v>
      </c>
      <c r="I9838" s="90"/>
      <c r="J9838" s="90"/>
    </row>
    <row r="9839" spans="1:10" s="15" customFormat="1" ht="16.5" hidden="1" customHeight="1" outlineLevel="1" x14ac:dyDescent="0.25">
      <c r="A9839" s="18">
        <v>4315</v>
      </c>
      <c r="B9839" s="4" t="s">
        <v>44</v>
      </c>
      <c r="C9839" s="38" t="s">
        <v>4902</v>
      </c>
      <c r="D9839" s="18">
        <v>2022</v>
      </c>
      <c r="E9839" s="18" t="s">
        <v>0</v>
      </c>
      <c r="F9839" s="41">
        <v>1</v>
      </c>
      <c r="G9839" s="4">
        <v>2</v>
      </c>
      <c r="H9839" s="18">
        <f>0.0383837*(1000)</f>
        <v>38.383699999999997</v>
      </c>
      <c r="I9839" s="90"/>
      <c r="J9839" s="90"/>
    </row>
    <row r="9840" spans="1:10" s="15" customFormat="1" ht="16.5" hidden="1" customHeight="1" outlineLevel="1" x14ac:dyDescent="0.25">
      <c r="A9840" s="18">
        <v>4316</v>
      </c>
      <c r="B9840" s="4" t="s">
        <v>44</v>
      </c>
      <c r="C9840" s="38" t="s">
        <v>4903</v>
      </c>
      <c r="D9840" s="18">
        <v>2022</v>
      </c>
      <c r="E9840" s="18" t="s">
        <v>0</v>
      </c>
      <c r="F9840" s="41">
        <v>1</v>
      </c>
      <c r="G9840" s="4">
        <v>70</v>
      </c>
      <c r="H9840" s="18">
        <f>0.04713737*(1000)</f>
        <v>47.137369999999997</v>
      </c>
      <c r="I9840" s="90"/>
      <c r="J9840" s="90"/>
    </row>
    <row r="9841" spans="1:10" s="15" customFormat="1" ht="16.5" hidden="1" customHeight="1" outlineLevel="1" x14ac:dyDescent="0.25">
      <c r="A9841" s="18">
        <v>4317</v>
      </c>
      <c r="B9841" s="4" t="s">
        <v>44</v>
      </c>
      <c r="C9841" s="38" t="s">
        <v>4904</v>
      </c>
      <c r="D9841" s="18">
        <v>2022</v>
      </c>
      <c r="E9841" s="18" t="s">
        <v>0</v>
      </c>
      <c r="F9841" s="41">
        <v>1</v>
      </c>
      <c r="G9841" s="4">
        <v>13</v>
      </c>
      <c r="H9841" s="18">
        <f>0.03753761*(1000)</f>
        <v>37.537610000000001</v>
      </c>
      <c r="I9841" s="90"/>
      <c r="J9841" s="90"/>
    </row>
    <row r="9842" spans="1:10" s="15" customFormat="1" ht="16.5" hidden="1" customHeight="1" outlineLevel="1" x14ac:dyDescent="0.25">
      <c r="A9842" s="18">
        <v>4318</v>
      </c>
      <c r="B9842" s="4" t="s">
        <v>44</v>
      </c>
      <c r="C9842" s="38" t="s">
        <v>4905</v>
      </c>
      <c r="D9842" s="18">
        <v>2022</v>
      </c>
      <c r="E9842" s="18" t="s">
        <v>0</v>
      </c>
      <c r="F9842" s="41">
        <v>1</v>
      </c>
      <c r="G9842" s="4">
        <v>12</v>
      </c>
      <c r="H9842" s="18">
        <f>0.03753762*(1000)</f>
        <v>37.537620000000004</v>
      </c>
      <c r="I9842" s="90"/>
      <c r="J9842" s="90"/>
    </row>
    <row r="9843" spans="1:10" s="15" customFormat="1" ht="16.5" hidden="1" customHeight="1" outlineLevel="1" x14ac:dyDescent="0.25">
      <c r="A9843" s="18">
        <v>4320</v>
      </c>
      <c r="B9843" s="4" t="s">
        <v>44</v>
      </c>
      <c r="C9843" s="38" t="s">
        <v>4906</v>
      </c>
      <c r="D9843" s="18">
        <v>2022</v>
      </c>
      <c r="E9843" s="18" t="s">
        <v>0</v>
      </c>
      <c r="F9843" s="41">
        <v>1</v>
      </c>
      <c r="G9843" s="4">
        <v>14.4</v>
      </c>
      <c r="H9843" s="18">
        <f>0.0375376*(1000)</f>
        <v>37.537599999999998</v>
      </c>
      <c r="I9843" s="90"/>
      <c r="J9843" s="90"/>
    </row>
    <row r="9844" spans="1:10" s="15" customFormat="1" ht="16.5" hidden="1" customHeight="1" outlineLevel="1" x14ac:dyDescent="0.25">
      <c r="A9844" s="18">
        <v>4321</v>
      </c>
      <c r="B9844" s="4" t="s">
        <v>44</v>
      </c>
      <c r="C9844" s="38" t="s">
        <v>4907</v>
      </c>
      <c r="D9844" s="18">
        <v>2022</v>
      </c>
      <c r="E9844" s="18" t="s">
        <v>0</v>
      </c>
      <c r="F9844" s="41">
        <v>1</v>
      </c>
      <c r="G9844" s="4">
        <v>14.4</v>
      </c>
      <c r="H9844" s="18">
        <f>0.03753761*(1000)</f>
        <v>37.537610000000001</v>
      </c>
      <c r="I9844" s="90"/>
      <c r="J9844" s="90"/>
    </row>
    <row r="9845" spans="1:10" s="15" customFormat="1" ht="16.5" hidden="1" customHeight="1" outlineLevel="1" x14ac:dyDescent="0.25">
      <c r="A9845" s="18">
        <v>4322</v>
      </c>
      <c r="B9845" s="4" t="s">
        <v>44</v>
      </c>
      <c r="C9845" s="38" t="s">
        <v>4908</v>
      </c>
      <c r="D9845" s="18">
        <v>2022</v>
      </c>
      <c r="E9845" s="18" t="s">
        <v>0</v>
      </c>
      <c r="F9845" s="41">
        <v>1</v>
      </c>
      <c r="G9845" s="4">
        <v>3</v>
      </c>
      <c r="H9845" s="18">
        <f>0.03698156*(1000)</f>
        <v>36.981559999999995</v>
      </c>
      <c r="I9845" s="90"/>
      <c r="J9845" s="90"/>
    </row>
    <row r="9846" spans="1:10" s="15" customFormat="1" ht="16.5" hidden="1" customHeight="1" outlineLevel="1" x14ac:dyDescent="0.25">
      <c r="A9846" s="18">
        <v>4324</v>
      </c>
      <c r="B9846" s="4" t="s">
        <v>44</v>
      </c>
      <c r="C9846" s="38" t="s">
        <v>4909</v>
      </c>
      <c r="D9846" s="18">
        <v>2022</v>
      </c>
      <c r="E9846" s="18" t="s">
        <v>0</v>
      </c>
      <c r="F9846" s="41">
        <v>1</v>
      </c>
      <c r="G9846" s="4">
        <v>63</v>
      </c>
      <c r="H9846" s="18">
        <f>0.04670716*(1000)</f>
        <v>46.707159999999995</v>
      </c>
      <c r="I9846" s="90"/>
      <c r="J9846" s="90"/>
    </row>
    <row r="9847" spans="1:10" s="15" customFormat="1" ht="16.5" hidden="1" customHeight="1" outlineLevel="1" x14ac:dyDescent="0.25">
      <c r="A9847" s="18">
        <v>4326</v>
      </c>
      <c r="B9847" s="4" t="s">
        <v>44</v>
      </c>
      <c r="C9847" s="38" t="s">
        <v>4910</v>
      </c>
      <c r="D9847" s="18">
        <v>2022</v>
      </c>
      <c r="E9847" s="18" t="s">
        <v>0</v>
      </c>
      <c r="F9847" s="41">
        <v>1</v>
      </c>
      <c r="G9847" s="4">
        <v>5</v>
      </c>
      <c r="H9847" s="18">
        <f>0.04670714*(1000)</f>
        <v>46.707140000000003</v>
      </c>
      <c r="I9847" s="90"/>
      <c r="J9847" s="90"/>
    </row>
    <row r="9848" spans="1:10" s="15" customFormat="1" ht="16.5" hidden="1" customHeight="1" outlineLevel="1" x14ac:dyDescent="0.25">
      <c r="A9848" s="18">
        <v>4327</v>
      </c>
      <c r="B9848" s="4" t="s">
        <v>44</v>
      </c>
      <c r="C9848" s="38" t="s">
        <v>4911</v>
      </c>
      <c r="D9848" s="18">
        <v>2022</v>
      </c>
      <c r="E9848" s="18" t="s">
        <v>0</v>
      </c>
      <c r="F9848" s="41">
        <v>1</v>
      </c>
      <c r="G9848" s="4">
        <v>13</v>
      </c>
      <c r="H9848" s="18">
        <f>0.03851188*(1000)</f>
        <v>38.511879999999998</v>
      </c>
      <c r="I9848" s="90"/>
      <c r="J9848" s="90"/>
    </row>
    <row r="9849" spans="1:10" s="15" customFormat="1" ht="16.5" hidden="1" customHeight="1" outlineLevel="1" x14ac:dyDescent="0.25">
      <c r="A9849" s="18">
        <v>4328</v>
      </c>
      <c r="B9849" s="4" t="s">
        <v>44</v>
      </c>
      <c r="C9849" s="38" t="s">
        <v>4912</v>
      </c>
      <c r="D9849" s="18">
        <v>2022</v>
      </c>
      <c r="E9849" s="18" t="s">
        <v>0</v>
      </c>
      <c r="F9849" s="41">
        <v>1</v>
      </c>
      <c r="G9849" s="4">
        <v>20</v>
      </c>
      <c r="H9849" s="18">
        <f>0.03851187*(1000)</f>
        <v>38.511869999999995</v>
      </c>
      <c r="I9849" s="90"/>
      <c r="J9849" s="90"/>
    </row>
    <row r="9850" spans="1:10" s="15" customFormat="1" ht="16.5" hidden="1" customHeight="1" outlineLevel="1" x14ac:dyDescent="0.25">
      <c r="A9850" s="18">
        <v>4329</v>
      </c>
      <c r="B9850" s="4" t="s">
        <v>44</v>
      </c>
      <c r="C9850" s="38" t="s">
        <v>4913</v>
      </c>
      <c r="D9850" s="18">
        <v>2022</v>
      </c>
      <c r="E9850" s="18" t="s">
        <v>0</v>
      </c>
      <c r="F9850" s="41">
        <v>1</v>
      </c>
      <c r="G9850" s="4">
        <v>32</v>
      </c>
      <c r="H9850" s="18">
        <f>0.03851188*(1000)</f>
        <v>38.511879999999998</v>
      </c>
      <c r="I9850" s="90"/>
      <c r="J9850" s="90"/>
    </row>
    <row r="9851" spans="1:10" s="15" customFormat="1" ht="16.5" hidden="1" customHeight="1" outlineLevel="1" x14ac:dyDescent="0.25">
      <c r="A9851" s="18">
        <v>4330</v>
      </c>
      <c r="B9851" s="4" t="s">
        <v>44</v>
      </c>
      <c r="C9851" s="38" t="s">
        <v>4914</v>
      </c>
      <c r="D9851" s="18">
        <v>2022</v>
      </c>
      <c r="E9851" s="18" t="s">
        <v>0</v>
      </c>
      <c r="F9851" s="41">
        <v>1</v>
      </c>
      <c r="G9851" s="4">
        <v>15</v>
      </c>
      <c r="H9851" s="18">
        <f>0.03851187*(1000)</f>
        <v>38.511869999999995</v>
      </c>
      <c r="I9851" s="90"/>
      <c r="J9851" s="90"/>
    </row>
    <row r="9852" spans="1:10" s="15" customFormat="1" ht="16.5" hidden="1" customHeight="1" outlineLevel="1" x14ac:dyDescent="0.25">
      <c r="A9852" s="18">
        <v>4331</v>
      </c>
      <c r="B9852" s="4" t="s">
        <v>44</v>
      </c>
      <c r="C9852" s="38" t="s">
        <v>4915</v>
      </c>
      <c r="D9852" s="18">
        <v>2022</v>
      </c>
      <c r="E9852" s="18" t="s">
        <v>0</v>
      </c>
      <c r="F9852" s="41">
        <v>1</v>
      </c>
      <c r="G9852" s="4">
        <v>15</v>
      </c>
      <c r="H9852" s="18">
        <f>0.03851188*(1000)</f>
        <v>38.511879999999998</v>
      </c>
      <c r="I9852" s="90"/>
      <c r="J9852" s="90"/>
    </row>
    <row r="9853" spans="1:10" s="15" customFormat="1" ht="16.5" hidden="1" customHeight="1" outlineLevel="1" x14ac:dyDescent="0.25">
      <c r="A9853" s="18">
        <v>4332</v>
      </c>
      <c r="B9853" s="4" t="s">
        <v>44</v>
      </c>
      <c r="C9853" s="38" t="s">
        <v>4916</v>
      </c>
      <c r="D9853" s="18">
        <v>2022</v>
      </c>
      <c r="E9853" s="18" t="s">
        <v>0</v>
      </c>
      <c r="F9853" s="41">
        <v>1</v>
      </c>
      <c r="G9853" s="4">
        <v>5</v>
      </c>
      <c r="H9853" s="18">
        <f>0.03871173*(1000)</f>
        <v>38.711730000000003</v>
      </c>
      <c r="I9853" s="90"/>
      <c r="J9853" s="90"/>
    </row>
    <row r="9854" spans="1:10" s="15" customFormat="1" ht="16.5" hidden="1" customHeight="1" outlineLevel="1" x14ac:dyDescent="0.25">
      <c r="A9854" s="18">
        <v>4336</v>
      </c>
      <c r="B9854" s="4" t="s">
        <v>44</v>
      </c>
      <c r="C9854" s="38" t="s">
        <v>4917</v>
      </c>
      <c r="D9854" s="18">
        <v>2022</v>
      </c>
      <c r="E9854" s="18" t="s">
        <v>0</v>
      </c>
      <c r="F9854" s="41">
        <v>1</v>
      </c>
      <c r="G9854" s="4">
        <v>4</v>
      </c>
      <c r="H9854" s="18">
        <f>0.04208061*(1000)</f>
        <v>42.08061</v>
      </c>
      <c r="I9854" s="90"/>
      <c r="J9854" s="90"/>
    </row>
    <row r="9855" spans="1:10" s="15" customFormat="1" ht="16.5" hidden="1" customHeight="1" outlineLevel="1" x14ac:dyDescent="0.25">
      <c r="A9855" s="18">
        <v>4338</v>
      </c>
      <c r="B9855" s="4" t="s">
        <v>44</v>
      </c>
      <c r="C9855" s="38" t="s">
        <v>4918</v>
      </c>
      <c r="D9855" s="18">
        <v>2022</v>
      </c>
      <c r="E9855" s="18" t="s">
        <v>0</v>
      </c>
      <c r="F9855" s="41">
        <v>1</v>
      </c>
      <c r="G9855" s="4">
        <v>10</v>
      </c>
      <c r="H9855" s="18">
        <f>0.04057708*(1000)</f>
        <v>40.577080000000002</v>
      </c>
      <c r="I9855" s="90"/>
      <c r="J9855" s="90"/>
    </row>
    <row r="9856" spans="1:10" s="15" customFormat="1" ht="16.5" hidden="1" customHeight="1" outlineLevel="1" x14ac:dyDescent="0.25">
      <c r="A9856" s="18">
        <v>4345</v>
      </c>
      <c r="B9856" s="4" t="s">
        <v>44</v>
      </c>
      <c r="C9856" s="38" t="s">
        <v>4919</v>
      </c>
      <c r="D9856" s="18">
        <v>2022</v>
      </c>
      <c r="E9856" s="18" t="s">
        <v>0</v>
      </c>
      <c r="F9856" s="41">
        <v>1</v>
      </c>
      <c r="G9856" s="4">
        <v>12</v>
      </c>
      <c r="H9856" s="18">
        <f>0.03919018*(1000)</f>
        <v>39.190179999999998</v>
      </c>
      <c r="I9856" s="90"/>
      <c r="J9856" s="90"/>
    </row>
    <row r="9857" spans="1:10" s="15" customFormat="1" ht="16.5" hidden="1" customHeight="1" outlineLevel="1" x14ac:dyDescent="0.25">
      <c r="A9857" s="18">
        <v>4346</v>
      </c>
      <c r="B9857" s="4" t="s">
        <v>44</v>
      </c>
      <c r="C9857" s="38" t="s">
        <v>4920</v>
      </c>
      <c r="D9857" s="18">
        <v>2022</v>
      </c>
      <c r="E9857" s="18" t="s">
        <v>0</v>
      </c>
      <c r="F9857" s="41">
        <v>1</v>
      </c>
      <c r="G9857" s="4">
        <v>15</v>
      </c>
      <c r="H9857" s="18">
        <f>0.03922348*(1000)</f>
        <v>39.223479999999995</v>
      </c>
      <c r="I9857" s="90"/>
      <c r="J9857" s="90"/>
    </row>
    <row r="9858" spans="1:10" s="15" customFormat="1" ht="16.5" hidden="1" customHeight="1" outlineLevel="1" x14ac:dyDescent="0.25">
      <c r="A9858" s="18">
        <v>4347</v>
      </c>
      <c r="B9858" s="4" t="s">
        <v>44</v>
      </c>
      <c r="C9858" s="38" t="s">
        <v>4921</v>
      </c>
      <c r="D9858" s="18">
        <v>2022</v>
      </c>
      <c r="E9858" s="18" t="s">
        <v>0</v>
      </c>
      <c r="F9858" s="41">
        <v>1</v>
      </c>
      <c r="G9858" s="4">
        <v>10</v>
      </c>
      <c r="H9858" s="18">
        <f>0.03928466*(1000)</f>
        <v>39.284660000000002</v>
      </c>
      <c r="I9858" s="90"/>
      <c r="J9858" s="90"/>
    </row>
    <row r="9859" spans="1:10" s="15" customFormat="1" ht="16.5" hidden="1" customHeight="1" outlineLevel="1" x14ac:dyDescent="0.25">
      <c r="A9859" s="18">
        <v>4351</v>
      </c>
      <c r="B9859" s="4" t="s">
        <v>44</v>
      </c>
      <c r="C9859" s="38" t="s">
        <v>4922</v>
      </c>
      <c r="D9859" s="18">
        <v>2022</v>
      </c>
      <c r="E9859" s="18" t="s">
        <v>0</v>
      </c>
      <c r="F9859" s="41">
        <v>1</v>
      </c>
      <c r="G9859" s="4">
        <v>12</v>
      </c>
      <c r="H9859" s="18">
        <f>0.03872864*(1000)</f>
        <v>38.728639999999999</v>
      </c>
      <c r="I9859" s="90"/>
      <c r="J9859" s="90"/>
    </row>
    <row r="9860" spans="1:10" s="15" customFormat="1" ht="16.5" hidden="1" customHeight="1" outlineLevel="1" x14ac:dyDescent="0.25">
      <c r="A9860" s="18">
        <v>4352</v>
      </c>
      <c r="B9860" s="4" t="s">
        <v>44</v>
      </c>
      <c r="C9860" s="38" t="s">
        <v>4923</v>
      </c>
      <c r="D9860" s="18">
        <v>2022</v>
      </c>
      <c r="E9860" s="18" t="s">
        <v>0</v>
      </c>
      <c r="F9860" s="41">
        <v>1</v>
      </c>
      <c r="G9860" s="4">
        <v>15</v>
      </c>
      <c r="H9860" s="18">
        <f>0.03872864*(1000)</f>
        <v>38.728639999999999</v>
      </c>
      <c r="I9860" s="90"/>
      <c r="J9860" s="90"/>
    </row>
    <row r="9861" spans="1:10" s="15" customFormat="1" ht="16.5" hidden="1" customHeight="1" outlineLevel="1" x14ac:dyDescent="0.25">
      <c r="A9861" s="18">
        <v>4353</v>
      </c>
      <c r="B9861" s="4" t="s">
        <v>44</v>
      </c>
      <c r="C9861" s="38" t="s">
        <v>4924</v>
      </c>
      <c r="D9861" s="18">
        <v>2022</v>
      </c>
      <c r="E9861" s="18" t="s">
        <v>0</v>
      </c>
      <c r="F9861" s="41">
        <v>1</v>
      </c>
      <c r="G9861" s="4">
        <v>1</v>
      </c>
      <c r="H9861" s="18">
        <f>0.03872864*(1000)</f>
        <v>38.728639999999999</v>
      </c>
      <c r="I9861" s="90"/>
      <c r="J9861" s="90"/>
    </row>
    <row r="9862" spans="1:10" s="15" customFormat="1" ht="16.5" hidden="1" customHeight="1" outlineLevel="1" x14ac:dyDescent="0.25">
      <c r="A9862" s="18">
        <v>4354</v>
      </c>
      <c r="B9862" s="4" t="s">
        <v>44</v>
      </c>
      <c r="C9862" s="38" t="s">
        <v>4925</v>
      </c>
      <c r="D9862" s="18">
        <v>2022</v>
      </c>
      <c r="E9862" s="18" t="s">
        <v>0</v>
      </c>
      <c r="F9862" s="41">
        <v>1</v>
      </c>
      <c r="G9862" s="4">
        <v>13</v>
      </c>
      <c r="H9862" s="18">
        <f>0.0385743*(1000)</f>
        <v>38.574300000000001</v>
      </c>
      <c r="I9862" s="90"/>
      <c r="J9862" s="90"/>
    </row>
    <row r="9863" spans="1:10" s="15" customFormat="1" ht="16.5" hidden="1" customHeight="1" outlineLevel="1" x14ac:dyDescent="0.25">
      <c r="A9863" s="18">
        <v>4355</v>
      </c>
      <c r="B9863" s="4" t="s">
        <v>44</v>
      </c>
      <c r="C9863" s="38" t="s">
        <v>4926</v>
      </c>
      <c r="D9863" s="18">
        <v>2022</v>
      </c>
      <c r="E9863" s="18" t="s">
        <v>0</v>
      </c>
      <c r="F9863" s="41">
        <v>1</v>
      </c>
      <c r="G9863" s="4">
        <v>15</v>
      </c>
      <c r="H9863" s="18">
        <f>0.0385743*(1000)</f>
        <v>38.574300000000001</v>
      </c>
      <c r="I9863" s="90"/>
      <c r="J9863" s="90"/>
    </row>
    <row r="9864" spans="1:10" s="15" customFormat="1" ht="16.5" hidden="1" customHeight="1" outlineLevel="1" x14ac:dyDescent="0.25">
      <c r="A9864" s="18">
        <v>4356</v>
      </c>
      <c r="B9864" s="4" t="s">
        <v>44</v>
      </c>
      <c r="C9864" s="38" t="s">
        <v>4927</v>
      </c>
      <c r="D9864" s="18">
        <v>2022</v>
      </c>
      <c r="E9864" s="18" t="s">
        <v>0</v>
      </c>
      <c r="F9864" s="41">
        <v>1</v>
      </c>
      <c r="G9864" s="4">
        <v>13.5</v>
      </c>
      <c r="H9864" s="18">
        <f>0.03857431*(1000)</f>
        <v>38.574309999999997</v>
      </c>
      <c r="I9864" s="90"/>
      <c r="J9864" s="90"/>
    </row>
    <row r="9865" spans="1:10" s="15" customFormat="1" ht="16.5" hidden="1" customHeight="1" outlineLevel="1" x14ac:dyDescent="0.25">
      <c r="A9865" s="18">
        <v>4358</v>
      </c>
      <c r="B9865" s="4" t="s">
        <v>44</v>
      </c>
      <c r="C9865" s="38" t="s">
        <v>4928</v>
      </c>
      <c r="D9865" s="18">
        <v>2022</v>
      </c>
      <c r="E9865" s="18" t="s">
        <v>0</v>
      </c>
      <c r="F9865" s="41">
        <v>1</v>
      </c>
      <c r="G9865" s="4">
        <v>15</v>
      </c>
      <c r="H9865" s="18">
        <f>0.03872939*(1000)</f>
        <v>38.729390000000002</v>
      </c>
      <c r="I9865" s="90"/>
      <c r="J9865" s="90"/>
    </row>
    <row r="9866" spans="1:10" s="15" customFormat="1" ht="16.5" hidden="1" customHeight="1" outlineLevel="1" x14ac:dyDescent="0.25">
      <c r="A9866" s="18">
        <v>4360</v>
      </c>
      <c r="B9866" s="4" t="s">
        <v>44</v>
      </c>
      <c r="C9866" s="38" t="s">
        <v>4929</v>
      </c>
      <c r="D9866" s="18">
        <v>2022</v>
      </c>
      <c r="E9866" s="18" t="s">
        <v>0</v>
      </c>
      <c r="F9866" s="41">
        <v>1</v>
      </c>
      <c r="G9866" s="4">
        <v>11</v>
      </c>
      <c r="H9866" s="18">
        <f>0.03862901*(1000)</f>
        <v>38.629010000000001</v>
      </c>
      <c r="I9866" s="90"/>
      <c r="J9866" s="90"/>
    </row>
    <row r="9867" spans="1:10" s="15" customFormat="1" ht="16.5" hidden="1" customHeight="1" outlineLevel="1" x14ac:dyDescent="0.25">
      <c r="A9867" s="18">
        <v>4361</v>
      </c>
      <c r="B9867" s="4" t="s">
        <v>44</v>
      </c>
      <c r="C9867" s="38" t="s">
        <v>4930</v>
      </c>
      <c r="D9867" s="18">
        <v>2022</v>
      </c>
      <c r="E9867" s="18" t="s">
        <v>0</v>
      </c>
      <c r="F9867" s="41">
        <v>1</v>
      </c>
      <c r="G9867" s="4">
        <v>6</v>
      </c>
      <c r="H9867" s="18">
        <f>0.03878333*(1000)</f>
        <v>38.783329999999999</v>
      </c>
      <c r="I9867" s="90"/>
      <c r="J9867" s="90"/>
    </row>
    <row r="9868" spans="1:10" s="15" customFormat="1" ht="16.5" hidden="1" customHeight="1" outlineLevel="1" x14ac:dyDescent="0.25">
      <c r="A9868" s="18">
        <v>4362</v>
      </c>
      <c r="B9868" s="4" t="s">
        <v>44</v>
      </c>
      <c r="C9868" s="38" t="s">
        <v>4931</v>
      </c>
      <c r="D9868" s="18">
        <v>2022</v>
      </c>
      <c r="E9868" s="18" t="s">
        <v>0</v>
      </c>
      <c r="F9868" s="41">
        <v>1</v>
      </c>
      <c r="G9868" s="4">
        <v>14</v>
      </c>
      <c r="H9868" s="18">
        <f>0.03878334*(1000)</f>
        <v>38.783340000000003</v>
      </c>
      <c r="I9868" s="90"/>
      <c r="J9868" s="90"/>
    </row>
    <row r="9869" spans="1:10" s="15" customFormat="1" ht="16.5" hidden="1" customHeight="1" outlineLevel="1" x14ac:dyDescent="0.25">
      <c r="A9869" s="18">
        <v>4366</v>
      </c>
      <c r="B9869" s="4" t="s">
        <v>44</v>
      </c>
      <c r="C9869" s="38" t="s">
        <v>4932</v>
      </c>
      <c r="D9869" s="18">
        <v>2022</v>
      </c>
      <c r="E9869" s="18" t="s">
        <v>0</v>
      </c>
      <c r="F9869" s="41">
        <v>1</v>
      </c>
      <c r="G9869" s="4">
        <v>13</v>
      </c>
      <c r="H9869" s="18">
        <f>0.03878333*(1000)</f>
        <v>38.783329999999999</v>
      </c>
      <c r="I9869" s="90"/>
      <c r="J9869" s="90"/>
    </row>
    <row r="9870" spans="1:10" s="15" customFormat="1" ht="16.5" hidden="1" customHeight="1" outlineLevel="1" x14ac:dyDescent="0.25">
      <c r="A9870" s="18">
        <v>4370</v>
      </c>
      <c r="B9870" s="4" t="s">
        <v>44</v>
      </c>
      <c r="C9870" s="38" t="s">
        <v>4933</v>
      </c>
      <c r="D9870" s="18">
        <v>2022</v>
      </c>
      <c r="E9870" s="18" t="s">
        <v>0</v>
      </c>
      <c r="F9870" s="41">
        <v>1</v>
      </c>
      <c r="G9870" s="4">
        <v>15</v>
      </c>
      <c r="H9870" s="18">
        <f>0.03878334*(1000)</f>
        <v>38.783340000000003</v>
      </c>
      <c r="I9870" s="90"/>
      <c r="J9870" s="90"/>
    </row>
    <row r="9871" spans="1:10" s="15" customFormat="1" ht="16.5" hidden="1" customHeight="1" outlineLevel="1" x14ac:dyDescent="0.25">
      <c r="A9871" s="18">
        <v>4371</v>
      </c>
      <c r="B9871" s="4" t="s">
        <v>44</v>
      </c>
      <c r="C9871" s="38" t="s">
        <v>4934</v>
      </c>
      <c r="D9871" s="18">
        <v>2022</v>
      </c>
      <c r="E9871" s="18" t="s">
        <v>0</v>
      </c>
      <c r="F9871" s="41">
        <v>1</v>
      </c>
      <c r="G9871" s="4">
        <v>12</v>
      </c>
      <c r="H9871" s="18">
        <f>0.03671551*(1000)</f>
        <v>36.715510000000002</v>
      </c>
      <c r="I9871" s="90"/>
      <c r="J9871" s="90"/>
    </row>
    <row r="9872" spans="1:10" s="15" customFormat="1" ht="16.5" hidden="1" customHeight="1" outlineLevel="1" x14ac:dyDescent="0.25">
      <c r="A9872" s="18">
        <v>4372</v>
      </c>
      <c r="B9872" s="4" t="s">
        <v>44</v>
      </c>
      <c r="C9872" s="38" t="s">
        <v>4935</v>
      </c>
      <c r="D9872" s="18">
        <v>2022</v>
      </c>
      <c r="E9872" s="18" t="s">
        <v>0</v>
      </c>
      <c r="F9872" s="41">
        <v>1</v>
      </c>
      <c r="G9872" s="4">
        <v>14</v>
      </c>
      <c r="H9872" s="18">
        <f>0.0343505*(1000)</f>
        <v>34.350499999999997</v>
      </c>
      <c r="I9872" s="90"/>
      <c r="J9872" s="90"/>
    </row>
    <row r="9873" spans="1:10" s="15" customFormat="1" ht="16.5" hidden="1" customHeight="1" outlineLevel="1" x14ac:dyDescent="0.25">
      <c r="A9873" s="18">
        <v>4373</v>
      </c>
      <c r="B9873" s="4" t="s">
        <v>44</v>
      </c>
      <c r="C9873" s="38" t="s">
        <v>4936</v>
      </c>
      <c r="D9873" s="18">
        <v>2022</v>
      </c>
      <c r="E9873" s="18" t="s">
        <v>0</v>
      </c>
      <c r="F9873" s="41">
        <v>1</v>
      </c>
      <c r="G9873" s="4">
        <v>15</v>
      </c>
      <c r="H9873" s="18">
        <f>0.0343505*(1000)</f>
        <v>34.350499999999997</v>
      </c>
      <c r="I9873" s="90"/>
      <c r="J9873" s="90"/>
    </row>
    <row r="9874" spans="1:10" s="15" customFormat="1" ht="16.5" hidden="1" customHeight="1" outlineLevel="1" x14ac:dyDescent="0.25">
      <c r="A9874" s="18">
        <v>4374</v>
      </c>
      <c r="B9874" s="4" t="s">
        <v>44</v>
      </c>
      <c r="C9874" s="38" t="s">
        <v>4937</v>
      </c>
      <c r="D9874" s="18">
        <v>2022</v>
      </c>
      <c r="E9874" s="18" t="s">
        <v>0</v>
      </c>
      <c r="F9874" s="41">
        <v>1</v>
      </c>
      <c r="G9874" s="4">
        <v>15</v>
      </c>
      <c r="H9874" s="18">
        <f>0.03435049*(1000)</f>
        <v>34.350490000000001</v>
      </c>
      <c r="I9874" s="90"/>
      <c r="J9874" s="90"/>
    </row>
    <row r="9875" spans="1:10" s="15" customFormat="1" ht="16.5" hidden="1" customHeight="1" outlineLevel="1" x14ac:dyDescent="0.25">
      <c r="A9875" s="18">
        <v>4379</v>
      </c>
      <c r="B9875" s="4" t="s">
        <v>44</v>
      </c>
      <c r="C9875" s="38" t="s">
        <v>4938</v>
      </c>
      <c r="D9875" s="18">
        <v>2022</v>
      </c>
      <c r="E9875" s="18" t="s">
        <v>0</v>
      </c>
      <c r="F9875" s="41">
        <v>1</v>
      </c>
      <c r="G9875" s="4">
        <v>10</v>
      </c>
      <c r="H9875" s="18">
        <f>0.0343505*(1000)</f>
        <v>34.350499999999997</v>
      </c>
      <c r="I9875" s="90"/>
      <c r="J9875" s="90"/>
    </row>
    <row r="9876" spans="1:10" s="15" customFormat="1" ht="16.5" hidden="1" customHeight="1" outlineLevel="1" x14ac:dyDescent="0.25">
      <c r="A9876" s="18">
        <v>4385</v>
      </c>
      <c r="B9876" s="4" t="s">
        <v>44</v>
      </c>
      <c r="C9876" s="38" t="s">
        <v>4939</v>
      </c>
      <c r="D9876" s="18">
        <v>2022</v>
      </c>
      <c r="E9876" s="18" t="s">
        <v>0</v>
      </c>
      <c r="F9876" s="41">
        <v>1</v>
      </c>
      <c r="G9876" s="4">
        <v>15</v>
      </c>
      <c r="H9876" s="18">
        <f>0.03435053*(1000)</f>
        <v>34.350529999999999</v>
      </c>
      <c r="I9876" s="90"/>
      <c r="J9876" s="90"/>
    </row>
    <row r="9877" spans="1:10" s="15" customFormat="1" ht="16.5" hidden="1" customHeight="1" outlineLevel="1" x14ac:dyDescent="0.25">
      <c r="A9877" s="18">
        <v>4386</v>
      </c>
      <c r="B9877" s="4" t="s">
        <v>44</v>
      </c>
      <c r="C9877" s="38" t="s">
        <v>4940</v>
      </c>
      <c r="D9877" s="18">
        <v>2022</v>
      </c>
      <c r="E9877" s="18" t="s">
        <v>0</v>
      </c>
      <c r="F9877" s="41">
        <v>1</v>
      </c>
      <c r="G9877" s="4">
        <v>15</v>
      </c>
      <c r="H9877" s="18">
        <f>0.0343505*(1000)</f>
        <v>34.350499999999997</v>
      </c>
      <c r="I9877" s="90"/>
      <c r="J9877" s="90"/>
    </row>
    <row r="9878" spans="1:10" s="15" customFormat="1" ht="16.5" hidden="1" customHeight="1" outlineLevel="1" x14ac:dyDescent="0.25">
      <c r="A9878" s="18">
        <v>4391</v>
      </c>
      <c r="B9878" s="4" t="s">
        <v>44</v>
      </c>
      <c r="C9878" s="38" t="s">
        <v>4941</v>
      </c>
      <c r="D9878" s="18">
        <v>2022</v>
      </c>
      <c r="E9878" s="18" t="s">
        <v>0</v>
      </c>
      <c r="F9878" s="41">
        <v>1</v>
      </c>
      <c r="G9878" s="4">
        <v>15</v>
      </c>
      <c r="H9878" s="18">
        <f>0.03435048*(1000)</f>
        <v>34.350480000000005</v>
      </c>
      <c r="I9878" s="90"/>
      <c r="J9878" s="90"/>
    </row>
    <row r="9879" spans="1:10" s="15" customFormat="1" ht="16.5" hidden="1" customHeight="1" outlineLevel="1" x14ac:dyDescent="0.25">
      <c r="A9879" s="18">
        <v>4399</v>
      </c>
      <c r="B9879" s="4" t="s">
        <v>44</v>
      </c>
      <c r="C9879" s="38" t="s">
        <v>4942</v>
      </c>
      <c r="D9879" s="18">
        <v>2022</v>
      </c>
      <c r="E9879" s="18" t="s">
        <v>0</v>
      </c>
      <c r="F9879" s="41">
        <v>1</v>
      </c>
      <c r="G9879" s="4">
        <v>15</v>
      </c>
      <c r="H9879" s="18">
        <f>0.03435046*(1000)</f>
        <v>34.350459999999998</v>
      </c>
      <c r="I9879" s="90"/>
      <c r="J9879" s="90"/>
    </row>
    <row r="9880" spans="1:10" s="15" customFormat="1" ht="16.5" hidden="1" customHeight="1" outlineLevel="1" x14ac:dyDescent="0.25">
      <c r="A9880" s="18">
        <v>4402</v>
      </c>
      <c r="B9880" s="4" t="s">
        <v>44</v>
      </c>
      <c r="C9880" s="38" t="s">
        <v>4943</v>
      </c>
      <c r="D9880" s="18">
        <v>2022</v>
      </c>
      <c r="E9880" s="18" t="s">
        <v>0</v>
      </c>
      <c r="F9880" s="41">
        <v>1</v>
      </c>
      <c r="G9880" s="4">
        <v>13</v>
      </c>
      <c r="H9880" s="18">
        <f>0.0343505*(1000)</f>
        <v>34.350499999999997</v>
      </c>
      <c r="I9880" s="90"/>
      <c r="J9880" s="90"/>
    </row>
    <row r="9881" spans="1:10" s="15" customFormat="1" ht="16.5" hidden="1" customHeight="1" outlineLevel="1" x14ac:dyDescent="0.25">
      <c r="A9881" s="18">
        <v>4409</v>
      </c>
      <c r="B9881" s="4" t="s">
        <v>44</v>
      </c>
      <c r="C9881" s="38" t="s">
        <v>4944</v>
      </c>
      <c r="D9881" s="18">
        <v>2022</v>
      </c>
      <c r="E9881" s="18" t="s">
        <v>0</v>
      </c>
      <c r="F9881" s="41">
        <v>1</v>
      </c>
      <c r="G9881" s="4">
        <v>15</v>
      </c>
      <c r="H9881" s="18">
        <f>0.03435049*(1000)</f>
        <v>34.350490000000001</v>
      </c>
      <c r="I9881" s="90"/>
      <c r="J9881" s="90"/>
    </row>
    <row r="9882" spans="1:10" s="15" customFormat="1" ht="16.5" hidden="1" customHeight="1" outlineLevel="1" x14ac:dyDescent="0.25">
      <c r="A9882" s="18">
        <v>4415</v>
      </c>
      <c r="B9882" s="4" t="s">
        <v>44</v>
      </c>
      <c r="C9882" s="38" t="s">
        <v>4945</v>
      </c>
      <c r="D9882" s="18">
        <v>2022</v>
      </c>
      <c r="E9882" s="18" t="s">
        <v>0</v>
      </c>
      <c r="F9882" s="41">
        <v>1</v>
      </c>
      <c r="G9882" s="4">
        <v>15</v>
      </c>
      <c r="H9882" s="18">
        <f>0.03435051*(1000)</f>
        <v>34.35051</v>
      </c>
      <c r="I9882" s="90"/>
      <c r="J9882" s="90"/>
    </row>
    <row r="9883" spans="1:10" s="15" customFormat="1" ht="16.5" hidden="1" customHeight="1" outlineLevel="1" x14ac:dyDescent="0.25">
      <c r="A9883" s="18">
        <v>4418</v>
      </c>
      <c r="B9883" s="4" t="s">
        <v>44</v>
      </c>
      <c r="C9883" s="38" t="s">
        <v>4946</v>
      </c>
      <c r="D9883" s="18">
        <v>2022</v>
      </c>
      <c r="E9883" s="18" t="s">
        <v>0</v>
      </c>
      <c r="F9883" s="41">
        <v>1</v>
      </c>
      <c r="G9883" s="4">
        <v>15</v>
      </c>
      <c r="H9883" s="18">
        <f>0.03435049*(1000)</f>
        <v>34.350490000000001</v>
      </c>
      <c r="I9883" s="90"/>
      <c r="J9883" s="90"/>
    </row>
    <row r="9884" spans="1:10" s="15" customFormat="1" ht="16.5" hidden="1" customHeight="1" outlineLevel="1" x14ac:dyDescent="0.25">
      <c r="A9884" s="18">
        <v>4423</v>
      </c>
      <c r="B9884" s="4" t="s">
        <v>44</v>
      </c>
      <c r="C9884" s="38" t="s">
        <v>4947</v>
      </c>
      <c r="D9884" s="18">
        <v>2022</v>
      </c>
      <c r="E9884" s="18" t="s">
        <v>0</v>
      </c>
      <c r="F9884" s="41">
        <v>1</v>
      </c>
      <c r="G9884" s="4">
        <v>15</v>
      </c>
      <c r="H9884" s="18">
        <f>0.03435051*(1000)</f>
        <v>34.35051</v>
      </c>
      <c r="I9884" s="90"/>
      <c r="J9884" s="90"/>
    </row>
    <row r="9885" spans="1:10" s="15" customFormat="1" ht="16.5" hidden="1" customHeight="1" outlineLevel="1" x14ac:dyDescent="0.25">
      <c r="A9885" s="18">
        <v>4430</v>
      </c>
      <c r="B9885" s="4" t="s">
        <v>44</v>
      </c>
      <c r="C9885" s="38" t="s">
        <v>4948</v>
      </c>
      <c r="D9885" s="18">
        <v>2022</v>
      </c>
      <c r="E9885" s="18" t="s">
        <v>0</v>
      </c>
      <c r="F9885" s="41">
        <v>1</v>
      </c>
      <c r="G9885" s="4">
        <v>10</v>
      </c>
      <c r="H9885" s="18">
        <f>0.03431774*(1000)</f>
        <v>34.317740000000001</v>
      </c>
      <c r="I9885" s="90"/>
      <c r="J9885" s="90"/>
    </row>
    <row r="9886" spans="1:10" s="15" customFormat="1" ht="16.5" hidden="1" customHeight="1" outlineLevel="1" x14ac:dyDescent="0.25">
      <c r="A9886" s="18">
        <v>4432</v>
      </c>
      <c r="B9886" s="4" t="s">
        <v>44</v>
      </c>
      <c r="C9886" s="38" t="s">
        <v>4949</v>
      </c>
      <c r="D9886" s="18">
        <v>2022</v>
      </c>
      <c r="E9886" s="18" t="s">
        <v>0</v>
      </c>
      <c r="F9886" s="41">
        <v>1</v>
      </c>
      <c r="G9886" s="4">
        <v>15</v>
      </c>
      <c r="H9886" s="18">
        <f>0.03435051*(1000)</f>
        <v>34.35051</v>
      </c>
      <c r="I9886" s="90"/>
      <c r="J9886" s="90"/>
    </row>
    <row r="9887" spans="1:10" s="15" customFormat="1" ht="16.5" hidden="1" customHeight="1" outlineLevel="1" x14ac:dyDescent="0.25">
      <c r="A9887" s="18">
        <v>4433</v>
      </c>
      <c r="B9887" s="4" t="s">
        <v>44</v>
      </c>
      <c r="C9887" s="38" t="s">
        <v>4950</v>
      </c>
      <c r="D9887" s="18">
        <v>2022</v>
      </c>
      <c r="E9887" s="18" t="s">
        <v>0</v>
      </c>
      <c r="F9887" s="41">
        <v>1</v>
      </c>
      <c r="G9887" s="4">
        <v>15</v>
      </c>
      <c r="H9887" s="18">
        <f t="shared" ref="H9887:H9894" si="9">0.0343505*(1000)</f>
        <v>34.350499999999997</v>
      </c>
      <c r="I9887" s="90"/>
      <c r="J9887" s="90"/>
    </row>
    <row r="9888" spans="1:10" s="15" customFormat="1" ht="16.5" hidden="1" customHeight="1" outlineLevel="1" x14ac:dyDescent="0.25">
      <c r="A9888" s="18">
        <v>4435</v>
      </c>
      <c r="B9888" s="4" t="s">
        <v>44</v>
      </c>
      <c r="C9888" s="38" t="s">
        <v>4951</v>
      </c>
      <c r="D9888" s="18">
        <v>2022</v>
      </c>
      <c r="E9888" s="18" t="s">
        <v>0</v>
      </c>
      <c r="F9888" s="41">
        <v>1</v>
      </c>
      <c r="G9888" s="4">
        <v>15</v>
      </c>
      <c r="H9888" s="18">
        <f t="shared" si="9"/>
        <v>34.350499999999997</v>
      </c>
      <c r="I9888" s="90"/>
      <c r="J9888" s="90"/>
    </row>
    <row r="9889" spans="1:10" s="15" customFormat="1" ht="16.5" hidden="1" customHeight="1" outlineLevel="1" x14ac:dyDescent="0.25">
      <c r="A9889" s="18">
        <v>4442</v>
      </c>
      <c r="B9889" s="4" t="s">
        <v>44</v>
      </c>
      <c r="C9889" s="38" t="s">
        <v>4952</v>
      </c>
      <c r="D9889" s="18">
        <v>2022</v>
      </c>
      <c r="E9889" s="18" t="s">
        <v>0</v>
      </c>
      <c r="F9889" s="41">
        <v>1</v>
      </c>
      <c r="G9889" s="4">
        <v>15</v>
      </c>
      <c r="H9889" s="18">
        <f t="shared" si="9"/>
        <v>34.350499999999997</v>
      </c>
      <c r="I9889" s="90"/>
      <c r="J9889" s="90"/>
    </row>
    <row r="9890" spans="1:10" s="15" customFormat="1" ht="16.5" hidden="1" customHeight="1" outlineLevel="1" x14ac:dyDescent="0.25">
      <c r="A9890" s="18">
        <v>4444</v>
      </c>
      <c r="B9890" s="4" t="s">
        <v>44</v>
      </c>
      <c r="C9890" s="38" t="s">
        <v>4953</v>
      </c>
      <c r="D9890" s="18">
        <v>2022</v>
      </c>
      <c r="E9890" s="18" t="s">
        <v>0</v>
      </c>
      <c r="F9890" s="41">
        <v>1</v>
      </c>
      <c r="G9890" s="4">
        <v>14</v>
      </c>
      <c r="H9890" s="18">
        <f t="shared" si="9"/>
        <v>34.350499999999997</v>
      </c>
      <c r="I9890" s="90"/>
      <c r="J9890" s="90"/>
    </row>
    <row r="9891" spans="1:10" s="15" customFormat="1" ht="16.5" hidden="1" customHeight="1" outlineLevel="1" x14ac:dyDescent="0.25">
      <c r="A9891" s="18">
        <v>4446</v>
      </c>
      <c r="B9891" s="4" t="s">
        <v>44</v>
      </c>
      <c r="C9891" s="38" t="s">
        <v>4954</v>
      </c>
      <c r="D9891" s="18">
        <v>2022</v>
      </c>
      <c r="E9891" s="18" t="s">
        <v>0</v>
      </c>
      <c r="F9891" s="41">
        <v>1</v>
      </c>
      <c r="G9891" s="4">
        <v>15</v>
      </c>
      <c r="H9891" s="18">
        <f t="shared" si="9"/>
        <v>34.350499999999997</v>
      </c>
      <c r="I9891" s="90"/>
      <c r="J9891" s="90"/>
    </row>
    <row r="9892" spans="1:10" s="15" customFormat="1" ht="16.5" hidden="1" customHeight="1" outlineLevel="1" x14ac:dyDescent="0.25">
      <c r="A9892" s="18">
        <v>4454</v>
      </c>
      <c r="B9892" s="4" t="s">
        <v>44</v>
      </c>
      <c r="C9892" s="38" t="s">
        <v>4955</v>
      </c>
      <c r="D9892" s="18">
        <v>2022</v>
      </c>
      <c r="E9892" s="18" t="s">
        <v>0</v>
      </c>
      <c r="F9892" s="41">
        <v>1</v>
      </c>
      <c r="G9892" s="4">
        <v>10</v>
      </c>
      <c r="H9892" s="18">
        <f t="shared" si="9"/>
        <v>34.350499999999997</v>
      </c>
      <c r="I9892" s="90"/>
      <c r="J9892" s="90"/>
    </row>
    <row r="9893" spans="1:10" s="15" customFormat="1" ht="16.5" hidden="1" customHeight="1" outlineLevel="1" x14ac:dyDescent="0.25">
      <c r="A9893" s="18">
        <v>4456</v>
      </c>
      <c r="B9893" s="4" t="s">
        <v>44</v>
      </c>
      <c r="C9893" s="38" t="s">
        <v>4956</v>
      </c>
      <c r="D9893" s="18">
        <v>2022</v>
      </c>
      <c r="E9893" s="18" t="s">
        <v>0</v>
      </c>
      <c r="F9893" s="41">
        <v>1</v>
      </c>
      <c r="G9893" s="4">
        <v>11</v>
      </c>
      <c r="H9893" s="18">
        <f t="shared" si="9"/>
        <v>34.350499999999997</v>
      </c>
      <c r="I9893" s="90"/>
      <c r="J9893" s="90"/>
    </row>
    <row r="9894" spans="1:10" s="15" customFormat="1" ht="16.5" hidden="1" customHeight="1" outlineLevel="1" x14ac:dyDescent="0.25">
      <c r="A9894" s="18">
        <v>4465</v>
      </c>
      <c r="B9894" s="4" t="s">
        <v>44</v>
      </c>
      <c r="C9894" s="38" t="s">
        <v>4957</v>
      </c>
      <c r="D9894" s="18">
        <v>2022</v>
      </c>
      <c r="E9894" s="18" t="s">
        <v>0</v>
      </c>
      <c r="F9894" s="41">
        <v>1</v>
      </c>
      <c r="G9894" s="4">
        <v>15</v>
      </c>
      <c r="H9894" s="18">
        <f t="shared" si="9"/>
        <v>34.350499999999997</v>
      </c>
      <c r="I9894" s="90"/>
      <c r="J9894" s="90"/>
    </row>
    <row r="9895" spans="1:10" s="15" customFormat="1" ht="16.5" hidden="1" customHeight="1" outlineLevel="1" x14ac:dyDescent="0.25">
      <c r="A9895" s="18">
        <v>4470</v>
      </c>
      <c r="B9895" s="4" t="s">
        <v>44</v>
      </c>
      <c r="C9895" s="38" t="s">
        <v>4958</v>
      </c>
      <c r="D9895" s="18">
        <v>2022</v>
      </c>
      <c r="E9895" s="18" t="s">
        <v>0</v>
      </c>
      <c r="F9895" s="41">
        <v>1</v>
      </c>
      <c r="G9895" s="4">
        <v>15</v>
      </c>
      <c r="H9895" s="18">
        <f>0.03431317*(1000)</f>
        <v>34.31317</v>
      </c>
      <c r="I9895" s="90"/>
      <c r="J9895" s="90"/>
    </row>
    <row r="9896" spans="1:10" s="15" customFormat="1" ht="16.5" hidden="1" customHeight="1" outlineLevel="1" x14ac:dyDescent="0.25">
      <c r="A9896" s="18">
        <v>4472</v>
      </c>
      <c r="B9896" s="4" t="s">
        <v>44</v>
      </c>
      <c r="C9896" s="38" t="s">
        <v>4959</v>
      </c>
      <c r="D9896" s="18">
        <v>2022</v>
      </c>
      <c r="E9896" s="18" t="s">
        <v>0</v>
      </c>
      <c r="F9896" s="41">
        <v>1</v>
      </c>
      <c r="G9896" s="4">
        <v>15</v>
      </c>
      <c r="H9896" s="18">
        <f>0.03421564*(1000)</f>
        <v>34.21564</v>
      </c>
      <c r="I9896" s="90"/>
      <c r="J9896" s="90"/>
    </row>
    <row r="9897" spans="1:10" s="15" customFormat="1" ht="16.5" hidden="1" customHeight="1" outlineLevel="1" x14ac:dyDescent="0.25">
      <c r="A9897" s="18">
        <v>4473</v>
      </c>
      <c r="B9897" s="4" t="s">
        <v>44</v>
      </c>
      <c r="C9897" s="38" t="s">
        <v>4960</v>
      </c>
      <c r="D9897" s="18">
        <v>2022</v>
      </c>
      <c r="E9897" s="18" t="s">
        <v>0</v>
      </c>
      <c r="F9897" s="41">
        <v>1</v>
      </c>
      <c r="G9897" s="4">
        <v>15</v>
      </c>
      <c r="H9897" s="18">
        <f>0.03425293*(1000)</f>
        <v>34.252929999999999</v>
      </c>
      <c r="I9897" s="90"/>
      <c r="J9897" s="90"/>
    </row>
    <row r="9898" spans="1:10" s="15" customFormat="1" ht="16.5" hidden="1" customHeight="1" outlineLevel="1" x14ac:dyDescent="0.25">
      <c r="A9898" s="18">
        <v>4476</v>
      </c>
      <c r="B9898" s="4" t="s">
        <v>44</v>
      </c>
      <c r="C9898" s="38" t="s">
        <v>4961</v>
      </c>
      <c r="D9898" s="18">
        <v>2022</v>
      </c>
      <c r="E9898" s="18" t="s">
        <v>0</v>
      </c>
      <c r="F9898" s="41">
        <v>1</v>
      </c>
      <c r="G9898" s="4">
        <v>11</v>
      </c>
      <c r="H9898" s="18">
        <f>0.03421564*(1000)</f>
        <v>34.21564</v>
      </c>
      <c r="I9898" s="90"/>
      <c r="J9898" s="90"/>
    </row>
    <row r="9899" spans="1:10" s="15" customFormat="1" ht="16.5" hidden="1" customHeight="1" outlineLevel="1" x14ac:dyDescent="0.25">
      <c r="A9899" s="18">
        <v>4487</v>
      </c>
      <c r="B9899" s="4" t="s">
        <v>44</v>
      </c>
      <c r="C9899" s="38" t="s">
        <v>4962</v>
      </c>
      <c r="D9899" s="18">
        <v>2022</v>
      </c>
      <c r="E9899" s="18" t="s">
        <v>0</v>
      </c>
      <c r="F9899" s="41">
        <v>1</v>
      </c>
      <c r="G9899" s="4">
        <v>12</v>
      </c>
      <c r="H9899" s="18">
        <f>0.03406126*(1000)</f>
        <v>34.061260000000004</v>
      </c>
      <c r="I9899" s="90"/>
      <c r="J9899" s="90"/>
    </row>
    <row r="9900" spans="1:10" s="15" customFormat="1" ht="16.5" hidden="1" customHeight="1" outlineLevel="1" x14ac:dyDescent="0.25">
      <c r="A9900" s="18">
        <v>4489</v>
      </c>
      <c r="B9900" s="4" t="s">
        <v>44</v>
      </c>
      <c r="C9900" s="38" t="s">
        <v>4963</v>
      </c>
      <c r="D9900" s="18">
        <v>2022</v>
      </c>
      <c r="E9900" s="18" t="s">
        <v>0</v>
      </c>
      <c r="F9900" s="41">
        <v>1</v>
      </c>
      <c r="G9900" s="4">
        <v>15</v>
      </c>
      <c r="H9900" s="18">
        <f>0.03406126*(1000)</f>
        <v>34.061260000000004</v>
      </c>
      <c r="I9900" s="90"/>
      <c r="J9900" s="90"/>
    </row>
    <row r="9901" spans="1:10" s="15" customFormat="1" ht="16.5" hidden="1" customHeight="1" outlineLevel="1" x14ac:dyDescent="0.25">
      <c r="A9901" s="18">
        <v>4493</v>
      </c>
      <c r="B9901" s="4" t="s">
        <v>44</v>
      </c>
      <c r="C9901" s="38" t="s">
        <v>4964</v>
      </c>
      <c r="D9901" s="18">
        <v>2022</v>
      </c>
      <c r="E9901" s="18" t="s">
        <v>0</v>
      </c>
      <c r="F9901" s="41">
        <v>1</v>
      </c>
      <c r="G9901" s="4">
        <v>15</v>
      </c>
      <c r="H9901" s="18">
        <f>0.03406126*(1000)</f>
        <v>34.061260000000004</v>
      </c>
      <c r="I9901" s="90"/>
      <c r="J9901" s="90"/>
    </row>
    <row r="9902" spans="1:10" s="15" customFormat="1" ht="16.5" hidden="1" customHeight="1" outlineLevel="1" x14ac:dyDescent="0.25">
      <c r="A9902" s="18">
        <v>4498</v>
      </c>
      <c r="B9902" s="4" t="s">
        <v>44</v>
      </c>
      <c r="C9902" s="38" t="s">
        <v>4965</v>
      </c>
      <c r="D9902" s="18">
        <v>2022</v>
      </c>
      <c r="E9902" s="18" t="s">
        <v>0</v>
      </c>
      <c r="F9902" s="41">
        <v>1</v>
      </c>
      <c r="G9902" s="4">
        <v>15</v>
      </c>
      <c r="H9902" s="18">
        <f>0.03421564*(1000)</f>
        <v>34.21564</v>
      </c>
      <c r="I9902" s="90"/>
      <c r="J9902" s="90"/>
    </row>
    <row r="9903" spans="1:10" s="15" customFormat="1" ht="16.5" hidden="1" customHeight="1" outlineLevel="1" x14ac:dyDescent="0.25">
      <c r="A9903" s="18">
        <v>4500</v>
      </c>
      <c r="B9903" s="4" t="s">
        <v>44</v>
      </c>
      <c r="C9903" s="38" t="s">
        <v>4966</v>
      </c>
      <c r="D9903" s="18">
        <v>2022</v>
      </c>
      <c r="E9903" s="18" t="s">
        <v>0</v>
      </c>
      <c r="F9903" s="41">
        <v>1</v>
      </c>
      <c r="G9903" s="4">
        <v>15</v>
      </c>
      <c r="H9903" s="18">
        <f>0.03421564*(1000)</f>
        <v>34.21564</v>
      </c>
      <c r="I9903" s="90"/>
      <c r="J9903" s="90"/>
    </row>
    <row r="9904" spans="1:10" s="15" customFormat="1" ht="16.5" hidden="1" customHeight="1" outlineLevel="1" x14ac:dyDescent="0.25">
      <c r="A9904" s="18">
        <v>4531</v>
      </c>
      <c r="B9904" s="4" t="s">
        <v>44</v>
      </c>
      <c r="C9904" s="38" t="s">
        <v>4967</v>
      </c>
      <c r="D9904" s="18">
        <v>2022</v>
      </c>
      <c r="E9904" s="18" t="s">
        <v>0</v>
      </c>
      <c r="F9904" s="41">
        <v>1</v>
      </c>
      <c r="G9904" s="4">
        <v>15</v>
      </c>
      <c r="H9904" s="18">
        <f>0.03406126*(1000)</f>
        <v>34.061260000000004</v>
      </c>
      <c r="I9904" s="90"/>
      <c r="J9904" s="90"/>
    </row>
    <row r="9905" spans="1:10" s="15" customFormat="1" ht="16.5" hidden="1" customHeight="1" outlineLevel="1" x14ac:dyDescent="0.25">
      <c r="A9905" s="18">
        <v>4532</v>
      </c>
      <c r="B9905" s="4" t="s">
        <v>44</v>
      </c>
      <c r="C9905" s="38" t="s">
        <v>4968</v>
      </c>
      <c r="D9905" s="18">
        <v>2022</v>
      </c>
      <c r="E9905" s="18" t="s">
        <v>0</v>
      </c>
      <c r="F9905" s="41">
        <v>1</v>
      </c>
      <c r="G9905" s="4">
        <v>12</v>
      </c>
      <c r="H9905" s="18">
        <f>0.03421564*(1000)</f>
        <v>34.21564</v>
      </c>
      <c r="I9905" s="90"/>
      <c r="J9905" s="90"/>
    </row>
    <row r="9906" spans="1:10" s="15" customFormat="1" ht="16.5" hidden="1" customHeight="1" outlineLevel="1" x14ac:dyDescent="0.25">
      <c r="A9906" s="18">
        <v>4534</v>
      </c>
      <c r="B9906" s="4" t="s">
        <v>44</v>
      </c>
      <c r="C9906" s="38" t="s">
        <v>4969</v>
      </c>
      <c r="D9906" s="18">
        <v>2022</v>
      </c>
      <c r="E9906" s="18" t="s">
        <v>0</v>
      </c>
      <c r="F9906" s="41">
        <v>1</v>
      </c>
      <c r="G9906" s="4">
        <v>14</v>
      </c>
      <c r="H9906" s="18">
        <f>0.03421564*(1000)</f>
        <v>34.21564</v>
      </c>
      <c r="I9906" s="90"/>
      <c r="J9906" s="90"/>
    </row>
    <row r="9907" spans="1:10" s="15" customFormat="1" ht="16.5" hidden="1" customHeight="1" outlineLevel="1" x14ac:dyDescent="0.25">
      <c r="A9907" s="18">
        <v>4539</v>
      </c>
      <c r="B9907" s="4" t="s">
        <v>44</v>
      </c>
      <c r="C9907" s="38" t="s">
        <v>4970</v>
      </c>
      <c r="D9907" s="18">
        <v>2022</v>
      </c>
      <c r="E9907" s="18" t="s">
        <v>0</v>
      </c>
      <c r="F9907" s="41">
        <v>1</v>
      </c>
      <c r="G9907" s="4">
        <v>12</v>
      </c>
      <c r="H9907" s="18">
        <f>0.03406126*(1000)</f>
        <v>34.061260000000004</v>
      </c>
      <c r="I9907" s="90"/>
      <c r="J9907" s="90"/>
    </row>
    <row r="9908" spans="1:10" s="15" customFormat="1" ht="16.5" hidden="1" customHeight="1" outlineLevel="1" x14ac:dyDescent="0.25">
      <c r="A9908" s="18">
        <v>4540</v>
      </c>
      <c r="B9908" s="4" t="s">
        <v>44</v>
      </c>
      <c r="C9908" s="38" t="s">
        <v>4971</v>
      </c>
      <c r="D9908" s="18">
        <v>2022</v>
      </c>
      <c r="E9908" s="18" t="s">
        <v>0</v>
      </c>
      <c r="F9908" s="41">
        <v>1</v>
      </c>
      <c r="G9908" s="4">
        <v>15</v>
      </c>
      <c r="H9908" s="18">
        <f>0.03406126*(1000)</f>
        <v>34.061260000000004</v>
      </c>
      <c r="I9908" s="90"/>
      <c r="J9908" s="90"/>
    </row>
    <row r="9909" spans="1:10" s="15" customFormat="1" ht="16.5" hidden="1" customHeight="1" outlineLevel="1" x14ac:dyDescent="0.25">
      <c r="A9909" s="18">
        <v>4541</v>
      </c>
      <c r="B9909" s="4" t="s">
        <v>44</v>
      </c>
      <c r="C9909" s="38" t="s">
        <v>4972</v>
      </c>
      <c r="D9909" s="18">
        <v>2022</v>
      </c>
      <c r="E9909" s="18" t="s">
        <v>0</v>
      </c>
      <c r="F9909" s="41">
        <v>1</v>
      </c>
      <c r="G9909" s="4">
        <v>12</v>
      </c>
      <c r="H9909" s="18">
        <f>0.03405981*(1000)</f>
        <v>34.059810000000006</v>
      </c>
      <c r="I9909" s="90"/>
      <c r="J9909" s="90"/>
    </row>
    <row r="9910" spans="1:10" s="15" customFormat="1" ht="16.5" hidden="1" customHeight="1" outlineLevel="1" x14ac:dyDescent="0.25">
      <c r="A9910" s="18">
        <v>4542</v>
      </c>
      <c r="B9910" s="4" t="s">
        <v>44</v>
      </c>
      <c r="C9910" s="38" t="s">
        <v>4973</v>
      </c>
      <c r="D9910" s="18">
        <v>2022</v>
      </c>
      <c r="E9910" s="18" t="s">
        <v>0</v>
      </c>
      <c r="F9910" s="41">
        <v>1</v>
      </c>
      <c r="G9910" s="4">
        <v>235</v>
      </c>
      <c r="H9910" s="18">
        <f>0.47096844*(1000)</f>
        <v>470.96843999999999</v>
      </c>
      <c r="I9910" s="90"/>
      <c r="J9910" s="90"/>
    </row>
    <row r="9911" spans="1:10" s="15" customFormat="1" ht="16.5" hidden="1" customHeight="1" outlineLevel="1" x14ac:dyDescent="0.25">
      <c r="A9911" s="18">
        <v>4543</v>
      </c>
      <c r="B9911" s="4" t="s">
        <v>44</v>
      </c>
      <c r="C9911" s="38" t="s">
        <v>4974</v>
      </c>
      <c r="D9911" s="18">
        <v>2022</v>
      </c>
      <c r="E9911" s="18" t="s">
        <v>0</v>
      </c>
      <c r="F9911" s="41">
        <v>1</v>
      </c>
      <c r="G9911" s="4">
        <v>100</v>
      </c>
      <c r="H9911" s="18">
        <f>0.47118763*(1000)</f>
        <v>471.18763000000001</v>
      </c>
      <c r="I9911" s="90"/>
      <c r="J9911" s="90"/>
    </row>
    <row r="9912" spans="1:10" s="15" customFormat="1" ht="16.5" hidden="1" customHeight="1" outlineLevel="1" x14ac:dyDescent="0.25">
      <c r="A9912" s="18">
        <v>4544</v>
      </c>
      <c r="B9912" s="4" t="s">
        <v>44</v>
      </c>
      <c r="C9912" s="38" t="s">
        <v>4975</v>
      </c>
      <c r="D9912" s="18">
        <v>2022</v>
      </c>
      <c r="E9912" s="18" t="s">
        <v>0</v>
      </c>
      <c r="F9912" s="41">
        <v>1</v>
      </c>
      <c r="G9912" s="4">
        <v>12</v>
      </c>
      <c r="H9912" s="18">
        <f>0.47383077*(1000)</f>
        <v>473.83077000000003</v>
      </c>
      <c r="I9912" s="90"/>
      <c r="J9912" s="90"/>
    </row>
    <row r="9913" spans="1:10" s="15" customFormat="1" ht="16.5" hidden="1" customHeight="1" outlineLevel="1" x14ac:dyDescent="0.25">
      <c r="A9913" s="18">
        <v>4545</v>
      </c>
      <c r="B9913" s="4" t="s">
        <v>44</v>
      </c>
      <c r="C9913" s="38" t="s">
        <v>4976</v>
      </c>
      <c r="D9913" s="18">
        <v>2022</v>
      </c>
      <c r="E9913" s="18" t="s">
        <v>0</v>
      </c>
      <c r="F9913" s="41">
        <v>1</v>
      </c>
      <c r="G9913" s="4">
        <v>150</v>
      </c>
      <c r="H9913" s="18">
        <f>0.4728893*(1000)</f>
        <v>472.88929999999999</v>
      </c>
      <c r="I9913" s="90"/>
      <c r="J9913" s="90"/>
    </row>
    <row r="9914" spans="1:10" s="15" customFormat="1" ht="16.5" hidden="1" customHeight="1" outlineLevel="1" x14ac:dyDescent="0.25">
      <c r="A9914" s="18">
        <v>4546</v>
      </c>
      <c r="B9914" s="4" t="s">
        <v>44</v>
      </c>
      <c r="C9914" s="38" t="s">
        <v>4977</v>
      </c>
      <c r="D9914" s="18">
        <v>2022</v>
      </c>
      <c r="E9914" s="18" t="s">
        <v>0</v>
      </c>
      <c r="F9914" s="41">
        <v>1</v>
      </c>
      <c r="G9914" s="4">
        <v>100</v>
      </c>
      <c r="H9914" s="18">
        <f>0.4738104*(1000)</f>
        <v>473.81040000000002</v>
      </c>
      <c r="I9914" s="90"/>
      <c r="J9914" s="90"/>
    </row>
    <row r="9915" spans="1:10" s="15" customFormat="1" ht="16.5" hidden="1" customHeight="1" outlineLevel="1" x14ac:dyDescent="0.25">
      <c r="A9915" s="18">
        <v>4547</v>
      </c>
      <c r="B9915" s="4" t="s">
        <v>44</v>
      </c>
      <c r="C9915" s="38" t="s">
        <v>2895</v>
      </c>
      <c r="D9915" s="18">
        <v>2022</v>
      </c>
      <c r="E9915" s="18" t="s">
        <v>0</v>
      </c>
      <c r="F9915" s="41">
        <v>1</v>
      </c>
      <c r="G9915" s="4">
        <v>140</v>
      </c>
      <c r="H9915" s="18">
        <f>0.1978213*(1000)</f>
        <v>197.82130000000001</v>
      </c>
      <c r="I9915" s="90"/>
      <c r="J9915" s="90"/>
    </row>
    <row r="9916" spans="1:10" s="15" customFormat="1" ht="16.5" hidden="1" customHeight="1" outlineLevel="1" x14ac:dyDescent="0.25">
      <c r="A9916" s="18">
        <v>4548</v>
      </c>
      <c r="B9916" s="4" t="s">
        <v>44</v>
      </c>
      <c r="C9916" s="38" t="s">
        <v>2896</v>
      </c>
      <c r="D9916" s="18">
        <v>2022</v>
      </c>
      <c r="E9916" s="18" t="s">
        <v>0</v>
      </c>
      <c r="F9916" s="41">
        <v>1</v>
      </c>
      <c r="G9916" s="4">
        <v>149</v>
      </c>
      <c r="H9916" s="18">
        <f>0.27812726*(1000)</f>
        <v>278.12725999999998</v>
      </c>
      <c r="I9916" s="90"/>
      <c r="J9916" s="90"/>
    </row>
    <row r="9917" spans="1:10" s="15" customFormat="1" ht="16.5" hidden="1" customHeight="1" outlineLevel="1" x14ac:dyDescent="0.25">
      <c r="A9917" s="18">
        <v>2712</v>
      </c>
      <c r="B9917" s="4" t="s">
        <v>44</v>
      </c>
      <c r="C9917" s="38" t="s">
        <v>2828</v>
      </c>
      <c r="D9917" s="18">
        <v>2022</v>
      </c>
      <c r="E9917" s="18" t="s">
        <v>0</v>
      </c>
      <c r="F9917" s="41">
        <v>1</v>
      </c>
      <c r="G9917" s="4">
        <v>300</v>
      </c>
      <c r="H9917" s="18">
        <f>0.13146*(1000)</f>
        <v>131.45999999999998</v>
      </c>
      <c r="I9917" s="90"/>
      <c r="J9917" s="90"/>
    </row>
    <row r="9918" spans="1:10" s="15" customFormat="1" ht="16.5" hidden="1" customHeight="1" outlineLevel="1" x14ac:dyDescent="0.25">
      <c r="A9918" s="18">
        <v>2736</v>
      </c>
      <c r="B9918" s="4" t="s">
        <v>44</v>
      </c>
      <c r="C9918" s="38" t="s">
        <v>4978</v>
      </c>
      <c r="D9918" s="18">
        <v>2022</v>
      </c>
      <c r="E9918" s="18" t="s">
        <v>0</v>
      </c>
      <c r="F9918" s="41">
        <v>3</v>
      </c>
      <c r="G9918" s="4">
        <v>31</v>
      </c>
      <c r="H9918" s="18">
        <f>0.067453*(1000)</f>
        <v>67.453000000000003</v>
      </c>
      <c r="I9918" s="90"/>
      <c r="J9918" s="90"/>
    </row>
    <row r="9919" spans="1:10" s="15" customFormat="1" ht="16.5" hidden="1" customHeight="1" outlineLevel="1" x14ac:dyDescent="0.25">
      <c r="A9919" s="18">
        <v>2746</v>
      </c>
      <c r="B9919" s="4" t="s">
        <v>44</v>
      </c>
      <c r="C9919" s="38" t="s">
        <v>4979</v>
      </c>
      <c r="D9919" s="18">
        <v>2022</v>
      </c>
      <c r="E9919" s="18" t="s">
        <v>0</v>
      </c>
      <c r="F9919" s="41">
        <v>2</v>
      </c>
      <c r="G9919" s="4">
        <v>12</v>
      </c>
      <c r="H9919" s="18">
        <f>0.053406*(1000)</f>
        <v>53.405999999999999</v>
      </c>
      <c r="I9919" s="90"/>
      <c r="J9919" s="90"/>
    </row>
    <row r="9920" spans="1:10" s="15" customFormat="1" ht="16.5" hidden="1" customHeight="1" outlineLevel="1" x14ac:dyDescent="0.25">
      <c r="A9920" s="18">
        <v>2759</v>
      </c>
      <c r="B9920" s="4" t="s">
        <v>44</v>
      </c>
      <c r="C9920" s="38" t="s">
        <v>4980</v>
      </c>
      <c r="D9920" s="18">
        <v>2022</v>
      </c>
      <c r="E9920" s="18" t="s">
        <v>0</v>
      </c>
      <c r="F9920" s="41">
        <v>3</v>
      </c>
      <c r="G9920" s="4">
        <v>36.47</v>
      </c>
      <c r="H9920" s="18">
        <f>0.086889*(1000)</f>
        <v>86.888999999999996</v>
      </c>
      <c r="I9920" s="90"/>
      <c r="J9920" s="90"/>
    </row>
    <row r="9921" spans="1:10" s="15" customFormat="1" ht="16.5" hidden="1" customHeight="1" outlineLevel="1" x14ac:dyDescent="0.25">
      <c r="A9921" s="18">
        <v>2773</v>
      </c>
      <c r="B9921" s="4" t="s">
        <v>44</v>
      </c>
      <c r="C9921" s="38" t="s">
        <v>4981</v>
      </c>
      <c r="D9921" s="18">
        <v>2022</v>
      </c>
      <c r="E9921" s="18" t="s">
        <v>0</v>
      </c>
      <c r="F9921" s="41">
        <v>1</v>
      </c>
      <c r="G9921" s="4">
        <v>5</v>
      </c>
      <c r="H9921" s="18">
        <f>0.039235*(1000)</f>
        <v>39.234999999999999</v>
      </c>
      <c r="I9921" s="90"/>
      <c r="J9921" s="90"/>
    </row>
    <row r="9922" spans="1:10" s="15" customFormat="1" ht="16.5" hidden="1" customHeight="1" outlineLevel="1" x14ac:dyDescent="0.25">
      <c r="A9922" s="18">
        <v>2789</v>
      </c>
      <c r="B9922" s="4" t="s">
        <v>44</v>
      </c>
      <c r="C9922" s="38" t="s">
        <v>4982</v>
      </c>
      <c r="D9922" s="18">
        <v>2022</v>
      </c>
      <c r="E9922" s="18" t="s">
        <v>0</v>
      </c>
      <c r="F9922" s="41">
        <v>1</v>
      </c>
      <c r="G9922" s="4">
        <v>15</v>
      </c>
      <c r="H9922" s="18">
        <f>0.039155*(1000)</f>
        <v>39.155000000000001</v>
      </c>
      <c r="I9922" s="90"/>
      <c r="J9922" s="90"/>
    </row>
    <row r="9923" spans="1:10" s="15" customFormat="1" ht="16.5" hidden="1" customHeight="1" outlineLevel="1" x14ac:dyDescent="0.25">
      <c r="A9923" s="18">
        <v>2794</v>
      </c>
      <c r="B9923" s="4" t="s">
        <v>44</v>
      </c>
      <c r="C9923" s="38" t="s">
        <v>4983</v>
      </c>
      <c r="D9923" s="18">
        <v>2022</v>
      </c>
      <c r="E9923" s="18" t="s">
        <v>0</v>
      </c>
      <c r="F9923" s="41">
        <v>1</v>
      </c>
      <c r="G9923" s="4">
        <v>10</v>
      </c>
      <c r="H9923" s="18">
        <f>0.029518*(1000)</f>
        <v>29.518000000000001</v>
      </c>
      <c r="I9923" s="90"/>
      <c r="J9923" s="90"/>
    </row>
    <row r="9924" spans="1:10" s="15" customFormat="1" ht="16.5" hidden="1" customHeight="1" outlineLevel="1" x14ac:dyDescent="0.25">
      <c r="A9924" s="18">
        <v>2801</v>
      </c>
      <c r="B9924" s="4" t="s">
        <v>44</v>
      </c>
      <c r="C9924" s="38" t="s">
        <v>4984</v>
      </c>
      <c r="D9924" s="18">
        <v>2022</v>
      </c>
      <c r="E9924" s="18" t="s">
        <v>0</v>
      </c>
      <c r="F9924" s="41">
        <v>4</v>
      </c>
      <c r="G9924" s="4">
        <v>27</v>
      </c>
      <c r="H9924" s="18">
        <f>0.07227261*(1000)</f>
        <v>72.27261</v>
      </c>
      <c r="I9924" s="90"/>
      <c r="J9924" s="90"/>
    </row>
    <row r="9925" spans="1:10" s="15" customFormat="1" ht="16.5" hidden="1" customHeight="1" outlineLevel="1" x14ac:dyDescent="0.25">
      <c r="A9925" s="18">
        <v>2805</v>
      </c>
      <c r="B9925" s="4" t="s">
        <v>44</v>
      </c>
      <c r="C9925" s="38" t="s">
        <v>4985</v>
      </c>
      <c r="D9925" s="18">
        <v>2022</v>
      </c>
      <c r="E9925" s="18" t="s">
        <v>0</v>
      </c>
      <c r="F9925" s="41">
        <v>2</v>
      </c>
      <c r="G9925" s="4">
        <v>30</v>
      </c>
      <c r="H9925" s="18">
        <f>0.052311*(1000)</f>
        <v>52.311</v>
      </c>
      <c r="I9925" s="90"/>
      <c r="J9925" s="90"/>
    </row>
    <row r="9926" spans="1:10" s="15" customFormat="1" ht="16.5" hidden="1" customHeight="1" outlineLevel="1" x14ac:dyDescent="0.25">
      <c r="A9926" s="18">
        <v>2810</v>
      </c>
      <c r="B9926" s="4" t="s">
        <v>44</v>
      </c>
      <c r="C9926" s="38" t="s">
        <v>2241</v>
      </c>
      <c r="D9926" s="18">
        <v>2022</v>
      </c>
      <c r="E9926" s="18" t="s">
        <v>0</v>
      </c>
      <c r="F9926" s="41">
        <v>1</v>
      </c>
      <c r="G9926" s="4">
        <v>10</v>
      </c>
      <c r="H9926" s="18">
        <f>0.090238*(1000)</f>
        <v>90.238</v>
      </c>
      <c r="I9926" s="90"/>
      <c r="J9926" s="90"/>
    </row>
    <row r="9927" spans="1:10" s="15" customFormat="1" ht="16.5" hidden="1" customHeight="1" outlineLevel="1" x14ac:dyDescent="0.25">
      <c r="A9927" s="18">
        <v>2812</v>
      </c>
      <c r="B9927" s="4" t="s">
        <v>44</v>
      </c>
      <c r="C9927" s="38" t="s">
        <v>4986</v>
      </c>
      <c r="D9927" s="18">
        <v>2022</v>
      </c>
      <c r="E9927" s="18" t="s">
        <v>0</v>
      </c>
      <c r="F9927" s="41">
        <v>1</v>
      </c>
      <c r="G9927" s="4">
        <v>10</v>
      </c>
      <c r="H9927" s="18">
        <f>0.029411*(1000)</f>
        <v>29.411000000000001</v>
      </c>
      <c r="I9927" s="90"/>
      <c r="J9927" s="90"/>
    </row>
    <row r="9928" spans="1:10" s="15" customFormat="1" ht="16.5" hidden="1" customHeight="1" outlineLevel="1" x14ac:dyDescent="0.25">
      <c r="A9928" s="18">
        <v>2844</v>
      </c>
      <c r="B9928" s="4" t="s">
        <v>44</v>
      </c>
      <c r="C9928" s="38" t="s">
        <v>2242</v>
      </c>
      <c r="D9928" s="18">
        <v>2022</v>
      </c>
      <c r="E9928" s="18" t="s">
        <v>0</v>
      </c>
      <c r="F9928" s="41">
        <v>1</v>
      </c>
      <c r="G9928" s="4">
        <v>80</v>
      </c>
      <c r="H9928" s="18">
        <f>0.10055*(1000)</f>
        <v>100.55</v>
      </c>
      <c r="I9928" s="90"/>
      <c r="J9928" s="90"/>
    </row>
    <row r="9929" spans="1:10" s="15" customFormat="1" ht="16.5" hidden="1" customHeight="1" outlineLevel="1" x14ac:dyDescent="0.25">
      <c r="A9929" s="18">
        <v>2881</v>
      </c>
      <c r="B9929" s="4" t="s">
        <v>44</v>
      </c>
      <c r="C9929" s="38" t="s">
        <v>2897</v>
      </c>
      <c r="D9929" s="18">
        <v>2022</v>
      </c>
      <c r="E9929" s="18" t="s">
        <v>0</v>
      </c>
      <c r="F9929" s="41">
        <v>1</v>
      </c>
      <c r="G9929" s="4">
        <v>130</v>
      </c>
      <c r="H9929" s="18">
        <f>0.134121*(1000)</f>
        <v>134.12099999999998</v>
      </c>
      <c r="I9929" s="90"/>
      <c r="J9929" s="90"/>
    </row>
    <row r="9930" spans="1:10" s="15" customFormat="1" ht="16.5" hidden="1" customHeight="1" outlineLevel="1" x14ac:dyDescent="0.25">
      <c r="A9930" s="18">
        <v>2887</v>
      </c>
      <c r="B9930" s="4" t="s">
        <v>44</v>
      </c>
      <c r="C9930" s="38" t="s">
        <v>2243</v>
      </c>
      <c r="D9930" s="18">
        <v>2022</v>
      </c>
      <c r="E9930" s="18" t="s">
        <v>0</v>
      </c>
      <c r="F9930" s="41">
        <v>1</v>
      </c>
      <c r="G9930" s="4">
        <v>100</v>
      </c>
      <c r="H9930" s="18">
        <f>0.082333*(1000)</f>
        <v>82.332999999999998</v>
      </c>
      <c r="I9930" s="90"/>
      <c r="J9930" s="90"/>
    </row>
    <row r="9931" spans="1:10" s="15" customFormat="1" ht="16.5" hidden="1" customHeight="1" outlineLevel="1" x14ac:dyDescent="0.25">
      <c r="A9931" s="18">
        <v>2929</v>
      </c>
      <c r="B9931" s="4" t="s">
        <v>44</v>
      </c>
      <c r="C9931" s="38" t="s">
        <v>4987</v>
      </c>
      <c r="D9931" s="18">
        <v>2022</v>
      </c>
      <c r="E9931" s="18" t="s">
        <v>0</v>
      </c>
      <c r="F9931" s="41">
        <v>2</v>
      </c>
      <c r="G9931" s="4">
        <v>27</v>
      </c>
      <c r="H9931" s="18">
        <f>0.04682857*(1000)</f>
        <v>46.828569999999999</v>
      </c>
      <c r="I9931" s="90"/>
      <c r="J9931" s="90"/>
    </row>
    <row r="9932" spans="1:10" s="15" customFormat="1" ht="16.5" hidden="1" customHeight="1" outlineLevel="1" x14ac:dyDescent="0.25">
      <c r="A9932" s="18">
        <v>2930</v>
      </c>
      <c r="B9932" s="4" t="s">
        <v>44</v>
      </c>
      <c r="C9932" s="38" t="s">
        <v>4988</v>
      </c>
      <c r="D9932" s="18">
        <v>2022</v>
      </c>
      <c r="E9932" s="18" t="s">
        <v>0</v>
      </c>
      <c r="F9932" s="41">
        <v>1</v>
      </c>
      <c r="G9932" s="4">
        <v>5</v>
      </c>
      <c r="H9932" s="18">
        <f>0.03525092*(1000)</f>
        <v>35.250920000000001</v>
      </c>
      <c r="I9932" s="90"/>
      <c r="J9932" s="90"/>
    </row>
    <row r="9933" spans="1:10" s="15" customFormat="1" ht="16.5" hidden="1" customHeight="1" outlineLevel="1" x14ac:dyDescent="0.25">
      <c r="A9933" s="18">
        <v>2931</v>
      </c>
      <c r="B9933" s="4" t="s">
        <v>44</v>
      </c>
      <c r="C9933" s="38" t="s">
        <v>4989</v>
      </c>
      <c r="D9933" s="18">
        <v>2022</v>
      </c>
      <c r="E9933" s="18" t="s">
        <v>0</v>
      </c>
      <c r="F9933" s="41">
        <v>2</v>
      </c>
      <c r="G9933" s="4">
        <v>28</v>
      </c>
      <c r="H9933" s="18">
        <f>0.06951559*(1000)</f>
        <v>69.515590000000003</v>
      </c>
      <c r="I9933" s="90"/>
      <c r="J9933" s="90"/>
    </row>
    <row r="9934" spans="1:10" s="15" customFormat="1" ht="16.5" hidden="1" customHeight="1" outlineLevel="1" x14ac:dyDescent="0.25">
      <c r="A9934" s="18">
        <v>2932</v>
      </c>
      <c r="B9934" s="4" t="s">
        <v>44</v>
      </c>
      <c r="C9934" s="38" t="s">
        <v>4990</v>
      </c>
      <c r="D9934" s="18">
        <v>2022</v>
      </c>
      <c r="E9934" s="18" t="s">
        <v>0</v>
      </c>
      <c r="F9934" s="41">
        <v>2</v>
      </c>
      <c r="G9934" s="4">
        <v>17</v>
      </c>
      <c r="H9934" s="18">
        <f>0.06438746*(1000)</f>
        <v>64.38745999999999</v>
      </c>
      <c r="I9934" s="90"/>
      <c r="J9934" s="90"/>
    </row>
    <row r="9935" spans="1:10" s="15" customFormat="1" ht="16.5" hidden="1" customHeight="1" outlineLevel="1" x14ac:dyDescent="0.25">
      <c r="A9935" s="18">
        <v>2934</v>
      </c>
      <c r="B9935" s="4" t="s">
        <v>44</v>
      </c>
      <c r="C9935" s="38" t="s">
        <v>4991</v>
      </c>
      <c r="D9935" s="18">
        <v>2022</v>
      </c>
      <c r="E9935" s="18" t="s">
        <v>0</v>
      </c>
      <c r="F9935" s="41">
        <v>3</v>
      </c>
      <c r="G9935" s="4">
        <v>29</v>
      </c>
      <c r="H9935" s="18">
        <f>0.10109676*(1000)</f>
        <v>101.09675999999999</v>
      </c>
      <c r="I9935" s="90"/>
      <c r="J9935" s="90"/>
    </row>
    <row r="9936" spans="1:10" s="15" customFormat="1" ht="16.5" hidden="1" customHeight="1" outlineLevel="1" x14ac:dyDescent="0.25">
      <c r="A9936" s="18">
        <v>2935</v>
      </c>
      <c r="B9936" s="4" t="s">
        <v>44</v>
      </c>
      <c r="C9936" s="38" t="s">
        <v>4992</v>
      </c>
      <c r="D9936" s="18">
        <v>2022</v>
      </c>
      <c r="E9936" s="18" t="s">
        <v>0</v>
      </c>
      <c r="F9936" s="41">
        <v>3</v>
      </c>
      <c r="G9936" s="4">
        <v>33</v>
      </c>
      <c r="H9936" s="18">
        <f>0.09736707*(1000)</f>
        <v>97.367069999999998</v>
      </c>
      <c r="I9936" s="90"/>
      <c r="J9936" s="90"/>
    </row>
    <row r="9937" spans="1:10" s="15" customFormat="1" ht="16.5" hidden="1" customHeight="1" outlineLevel="1" x14ac:dyDescent="0.25">
      <c r="A9937" s="18">
        <v>2940</v>
      </c>
      <c r="B9937" s="4" t="s">
        <v>44</v>
      </c>
      <c r="C9937" s="38" t="s">
        <v>4993</v>
      </c>
      <c r="D9937" s="18">
        <v>2022</v>
      </c>
      <c r="E9937" s="18" t="s">
        <v>0</v>
      </c>
      <c r="F9937" s="41">
        <v>3</v>
      </c>
      <c r="G9937" s="4">
        <v>31</v>
      </c>
      <c r="H9937" s="18">
        <f>0.08577041*(1000)</f>
        <v>85.770409999999998</v>
      </c>
      <c r="I9937" s="90"/>
      <c r="J9937" s="90"/>
    </row>
    <row r="9938" spans="1:10" s="15" customFormat="1" ht="16.5" hidden="1" customHeight="1" outlineLevel="1" x14ac:dyDescent="0.25">
      <c r="A9938" s="18">
        <v>2945</v>
      </c>
      <c r="B9938" s="4" t="s">
        <v>44</v>
      </c>
      <c r="C9938" s="38" t="s">
        <v>4994</v>
      </c>
      <c r="D9938" s="18">
        <v>2022</v>
      </c>
      <c r="E9938" s="18" t="s">
        <v>0</v>
      </c>
      <c r="F9938" s="41">
        <v>2</v>
      </c>
      <c r="G9938" s="4">
        <v>10</v>
      </c>
      <c r="H9938" s="18">
        <f>0.04721791*(1000)</f>
        <v>47.217910000000003</v>
      </c>
      <c r="I9938" s="90"/>
      <c r="J9938" s="90"/>
    </row>
    <row r="9939" spans="1:10" s="15" customFormat="1" ht="16.5" hidden="1" customHeight="1" outlineLevel="1" x14ac:dyDescent="0.25">
      <c r="A9939" s="18">
        <v>2965</v>
      </c>
      <c r="B9939" s="4" t="s">
        <v>44</v>
      </c>
      <c r="C9939" s="38" t="s">
        <v>4995</v>
      </c>
      <c r="D9939" s="18">
        <v>2022</v>
      </c>
      <c r="E9939" s="18" t="s">
        <v>0</v>
      </c>
      <c r="F9939" s="41">
        <v>2</v>
      </c>
      <c r="G9939" s="4">
        <v>20</v>
      </c>
      <c r="H9939" s="18">
        <f>0.03824764*(1000)</f>
        <v>38.247639999999997</v>
      </c>
      <c r="I9939" s="90"/>
      <c r="J9939" s="90"/>
    </row>
    <row r="9940" spans="1:10" s="15" customFormat="1" ht="16.5" hidden="1" customHeight="1" outlineLevel="1" x14ac:dyDescent="0.25">
      <c r="A9940" s="18">
        <v>2966</v>
      </c>
      <c r="B9940" s="4" t="s">
        <v>44</v>
      </c>
      <c r="C9940" s="38" t="s">
        <v>4996</v>
      </c>
      <c r="D9940" s="18">
        <v>2022</v>
      </c>
      <c r="E9940" s="18" t="s">
        <v>0</v>
      </c>
      <c r="F9940" s="41">
        <v>1</v>
      </c>
      <c r="G9940" s="4">
        <v>15</v>
      </c>
      <c r="H9940" s="18">
        <f>0.02574581*(1000)</f>
        <v>25.745810000000002</v>
      </c>
      <c r="I9940" s="90"/>
      <c r="J9940" s="90"/>
    </row>
    <row r="9941" spans="1:10" s="15" customFormat="1" ht="16.5" hidden="1" customHeight="1" outlineLevel="1" x14ac:dyDescent="0.25">
      <c r="A9941" s="18">
        <v>2990</v>
      </c>
      <c r="B9941" s="4" t="s">
        <v>44</v>
      </c>
      <c r="C9941" s="38" t="s">
        <v>3148</v>
      </c>
      <c r="D9941" s="18">
        <v>2022</v>
      </c>
      <c r="E9941" s="18" t="s">
        <v>0</v>
      </c>
      <c r="F9941" s="41">
        <v>1</v>
      </c>
      <c r="G9941" s="4">
        <v>150</v>
      </c>
      <c r="H9941" s="18">
        <f>0.17073262*(1000)</f>
        <v>170.73262</v>
      </c>
      <c r="I9941" s="90"/>
      <c r="J9941" s="90"/>
    </row>
    <row r="9942" spans="1:10" s="15" customFormat="1" ht="16.5" hidden="1" customHeight="1" outlineLevel="1" x14ac:dyDescent="0.25">
      <c r="A9942" s="18">
        <v>3003</v>
      </c>
      <c r="B9942" s="4" t="s">
        <v>44</v>
      </c>
      <c r="C9942" s="38" t="s">
        <v>2829</v>
      </c>
      <c r="D9942" s="18">
        <v>2022</v>
      </c>
      <c r="E9942" s="18" t="s">
        <v>0</v>
      </c>
      <c r="F9942" s="41">
        <v>12</v>
      </c>
      <c r="G9942" s="4">
        <v>185</v>
      </c>
      <c r="H9942" s="18">
        <f>0.463605*(1000)</f>
        <v>463.60499999999996</v>
      </c>
      <c r="I9942" s="90"/>
      <c r="J9942" s="90"/>
    </row>
    <row r="9943" spans="1:10" s="15" customFormat="1" ht="16.5" hidden="1" customHeight="1" outlineLevel="1" x14ac:dyDescent="0.25">
      <c r="A9943" s="18">
        <v>3009</v>
      </c>
      <c r="B9943" s="4" t="s">
        <v>44</v>
      </c>
      <c r="C9943" s="38" t="s">
        <v>4997</v>
      </c>
      <c r="D9943" s="18">
        <v>2022</v>
      </c>
      <c r="E9943" s="18" t="s">
        <v>0</v>
      </c>
      <c r="F9943" s="41">
        <v>1</v>
      </c>
      <c r="G9943" s="4">
        <v>15</v>
      </c>
      <c r="H9943" s="18">
        <f>0.02178738*(1000)</f>
        <v>21.787379999999999</v>
      </c>
      <c r="I9943" s="90"/>
      <c r="J9943" s="90"/>
    </row>
    <row r="9944" spans="1:10" s="15" customFormat="1" ht="16.5" hidden="1" customHeight="1" outlineLevel="1" x14ac:dyDescent="0.25">
      <c r="A9944" s="18">
        <v>3011</v>
      </c>
      <c r="B9944" s="4" t="s">
        <v>44</v>
      </c>
      <c r="C9944" s="38" t="s">
        <v>4998</v>
      </c>
      <c r="D9944" s="18">
        <v>2022</v>
      </c>
      <c r="E9944" s="18" t="s">
        <v>0</v>
      </c>
      <c r="F9944" s="41">
        <v>1</v>
      </c>
      <c r="G9944" s="4">
        <v>5</v>
      </c>
      <c r="H9944" s="18">
        <f>0.0217877*(1000)</f>
        <v>21.787700000000001</v>
      </c>
      <c r="I9944" s="90"/>
      <c r="J9944" s="90"/>
    </row>
    <row r="9945" spans="1:10" s="15" customFormat="1" ht="16.5" hidden="1" customHeight="1" outlineLevel="1" x14ac:dyDescent="0.25">
      <c r="A9945" s="18">
        <v>2711</v>
      </c>
      <c r="B9945" s="4" t="s">
        <v>44</v>
      </c>
      <c r="C9945" s="38" t="s">
        <v>2830</v>
      </c>
      <c r="D9945" s="18">
        <v>2022</v>
      </c>
      <c r="E9945" s="18" t="s">
        <v>0</v>
      </c>
      <c r="F9945" s="41">
        <v>2</v>
      </c>
      <c r="G9945" s="4">
        <v>194.71</v>
      </c>
      <c r="H9945" s="18">
        <f>0.525567*(1000)</f>
        <v>525.56700000000001</v>
      </c>
      <c r="I9945" s="90"/>
      <c r="J9945" s="90"/>
    </row>
    <row r="9946" spans="1:10" s="15" customFormat="1" ht="16.5" hidden="1" customHeight="1" outlineLevel="1" x14ac:dyDescent="0.25">
      <c r="A9946" s="18">
        <v>2737</v>
      </c>
      <c r="B9946" s="4" t="s">
        <v>44</v>
      </c>
      <c r="C9946" s="38" t="s">
        <v>4999</v>
      </c>
      <c r="D9946" s="18">
        <v>2022</v>
      </c>
      <c r="E9946" s="18" t="s">
        <v>0</v>
      </c>
      <c r="F9946" s="41">
        <v>11</v>
      </c>
      <c r="G9946" s="4">
        <v>137</v>
      </c>
      <c r="H9946" s="18">
        <f>0.20217965*(1000)</f>
        <v>202.17964999999998</v>
      </c>
      <c r="I9946" s="90"/>
      <c r="J9946" s="90"/>
    </row>
    <row r="9947" spans="1:10" s="15" customFormat="1" ht="16.5" hidden="1" customHeight="1" outlineLevel="1" x14ac:dyDescent="0.25">
      <c r="A9947" s="18">
        <v>2739</v>
      </c>
      <c r="B9947" s="4" t="s">
        <v>44</v>
      </c>
      <c r="C9947" s="38" t="s">
        <v>5000</v>
      </c>
      <c r="D9947" s="18">
        <v>2022</v>
      </c>
      <c r="E9947" s="18" t="s">
        <v>0</v>
      </c>
      <c r="F9947" s="41">
        <v>1</v>
      </c>
      <c r="G9947" s="4">
        <v>15</v>
      </c>
      <c r="H9947" s="18">
        <f>0.02677759*(1000)</f>
        <v>26.77759</v>
      </c>
      <c r="I9947" s="90"/>
      <c r="J9947" s="90"/>
    </row>
    <row r="9948" spans="1:10" s="15" customFormat="1" ht="16.5" hidden="1" customHeight="1" outlineLevel="1" x14ac:dyDescent="0.25">
      <c r="A9948" s="18">
        <v>2740</v>
      </c>
      <c r="B9948" s="4" t="s">
        <v>44</v>
      </c>
      <c r="C9948" s="38" t="s">
        <v>5001</v>
      </c>
      <c r="D9948" s="18">
        <v>2022</v>
      </c>
      <c r="E9948" s="18" t="s">
        <v>0</v>
      </c>
      <c r="F9948" s="41">
        <v>8</v>
      </c>
      <c r="G9948" s="4">
        <v>90</v>
      </c>
      <c r="H9948" s="18">
        <f>0.14204158*(1000)</f>
        <v>142.04158000000001</v>
      </c>
      <c r="I9948" s="90"/>
      <c r="J9948" s="90"/>
    </row>
    <row r="9949" spans="1:10" s="15" customFormat="1" ht="16.5" hidden="1" customHeight="1" outlineLevel="1" x14ac:dyDescent="0.25">
      <c r="A9949" s="18">
        <v>2742</v>
      </c>
      <c r="B9949" s="4" t="s">
        <v>44</v>
      </c>
      <c r="C9949" s="38" t="s">
        <v>5002</v>
      </c>
      <c r="D9949" s="18">
        <v>2022</v>
      </c>
      <c r="E9949" s="18" t="s">
        <v>0</v>
      </c>
      <c r="F9949" s="41">
        <v>6</v>
      </c>
      <c r="G9949" s="4">
        <v>75</v>
      </c>
      <c r="H9949" s="18">
        <f>0.10230505*(1000)</f>
        <v>102.30504999999999</v>
      </c>
      <c r="I9949" s="90"/>
      <c r="J9949" s="90"/>
    </row>
    <row r="9950" spans="1:10" s="15" customFormat="1" ht="16.5" hidden="1" customHeight="1" outlineLevel="1" x14ac:dyDescent="0.25">
      <c r="A9950" s="18">
        <v>2744</v>
      </c>
      <c r="B9950" s="4" t="s">
        <v>44</v>
      </c>
      <c r="C9950" s="38" t="s">
        <v>5003</v>
      </c>
      <c r="D9950" s="18">
        <v>2022</v>
      </c>
      <c r="E9950" s="18" t="s">
        <v>0</v>
      </c>
      <c r="F9950" s="41">
        <v>7</v>
      </c>
      <c r="G9950" s="4">
        <v>80</v>
      </c>
      <c r="H9950" s="18">
        <f>0.10811874*(1000)</f>
        <v>108.11874</v>
      </c>
      <c r="I9950" s="90"/>
      <c r="J9950" s="90"/>
    </row>
    <row r="9951" spans="1:10" s="15" customFormat="1" ht="16.5" hidden="1" customHeight="1" outlineLevel="1" x14ac:dyDescent="0.25">
      <c r="A9951" s="18">
        <v>2745</v>
      </c>
      <c r="B9951" s="4" t="s">
        <v>44</v>
      </c>
      <c r="C9951" s="38" t="s">
        <v>5004</v>
      </c>
      <c r="D9951" s="18">
        <v>2022</v>
      </c>
      <c r="E9951" s="18" t="s">
        <v>0</v>
      </c>
      <c r="F9951" s="41">
        <v>6</v>
      </c>
      <c r="G9951" s="4">
        <v>70</v>
      </c>
      <c r="H9951" s="18">
        <f>0.10256023*(1000)</f>
        <v>102.56023</v>
      </c>
      <c r="I9951" s="90"/>
      <c r="J9951" s="90"/>
    </row>
    <row r="9952" spans="1:10" s="15" customFormat="1" ht="16.5" hidden="1" customHeight="1" outlineLevel="1" x14ac:dyDescent="0.25">
      <c r="A9952" s="18">
        <v>2747</v>
      </c>
      <c r="B9952" s="4" t="s">
        <v>44</v>
      </c>
      <c r="C9952" s="38" t="s">
        <v>5005</v>
      </c>
      <c r="D9952" s="18">
        <v>2022</v>
      </c>
      <c r="E9952" s="18" t="s">
        <v>0</v>
      </c>
      <c r="F9952" s="41">
        <v>1</v>
      </c>
      <c r="G9952" s="4">
        <v>12</v>
      </c>
      <c r="H9952" s="18">
        <f>0.03499978*(1000)</f>
        <v>34.999780000000001</v>
      </c>
      <c r="I9952" s="90"/>
      <c r="J9952" s="90"/>
    </row>
    <row r="9953" spans="1:10" s="15" customFormat="1" ht="16.5" hidden="1" customHeight="1" outlineLevel="1" x14ac:dyDescent="0.25">
      <c r="A9953" s="18">
        <v>2748</v>
      </c>
      <c r="B9953" s="4" t="s">
        <v>44</v>
      </c>
      <c r="C9953" s="38" t="s">
        <v>5006</v>
      </c>
      <c r="D9953" s="18">
        <v>2022</v>
      </c>
      <c r="E9953" s="18" t="s">
        <v>0</v>
      </c>
      <c r="F9953" s="41">
        <v>2</v>
      </c>
      <c r="G9953" s="4">
        <v>20</v>
      </c>
      <c r="H9953" s="18">
        <f>0.06936719*(1000)</f>
        <v>69.367189999999994</v>
      </c>
      <c r="I9953" s="90"/>
      <c r="J9953" s="90"/>
    </row>
    <row r="9954" spans="1:10" s="15" customFormat="1" ht="16.5" hidden="1" customHeight="1" outlineLevel="1" x14ac:dyDescent="0.25">
      <c r="A9954" s="18">
        <v>2753</v>
      </c>
      <c r="B9954" s="4" t="s">
        <v>44</v>
      </c>
      <c r="C9954" s="38" t="s">
        <v>5007</v>
      </c>
      <c r="D9954" s="18">
        <v>2022</v>
      </c>
      <c r="E9954" s="18" t="s">
        <v>0</v>
      </c>
      <c r="F9954" s="41">
        <v>13</v>
      </c>
      <c r="G9954" s="4">
        <v>167</v>
      </c>
      <c r="H9954" s="18">
        <f>0.21397526*(1000)</f>
        <v>213.97525999999999</v>
      </c>
      <c r="I9954" s="90"/>
      <c r="J9954" s="90"/>
    </row>
    <row r="9955" spans="1:10" s="15" customFormat="1" ht="16.5" hidden="1" customHeight="1" outlineLevel="1" x14ac:dyDescent="0.25">
      <c r="A9955" s="18">
        <v>2754</v>
      </c>
      <c r="B9955" s="4" t="s">
        <v>44</v>
      </c>
      <c r="C9955" s="38" t="s">
        <v>5008</v>
      </c>
      <c r="D9955" s="18">
        <v>2022</v>
      </c>
      <c r="E9955" s="18" t="s">
        <v>0</v>
      </c>
      <c r="F9955" s="41">
        <v>2</v>
      </c>
      <c r="G9955" s="4">
        <v>23</v>
      </c>
      <c r="H9955" s="18">
        <f>0.04937032*(1000)</f>
        <v>49.37032</v>
      </c>
      <c r="I9955" s="90"/>
      <c r="J9955" s="90"/>
    </row>
    <row r="9956" spans="1:10" s="15" customFormat="1" ht="16.5" hidden="1" customHeight="1" outlineLevel="1" x14ac:dyDescent="0.25">
      <c r="A9956" s="18">
        <v>2755</v>
      </c>
      <c r="B9956" s="4" t="s">
        <v>44</v>
      </c>
      <c r="C9956" s="38" t="s">
        <v>5009</v>
      </c>
      <c r="D9956" s="18">
        <v>2022</v>
      </c>
      <c r="E9956" s="18" t="s">
        <v>0</v>
      </c>
      <c r="F9956" s="41">
        <v>6</v>
      </c>
      <c r="G9956" s="4">
        <v>65</v>
      </c>
      <c r="H9956" s="18">
        <f>0.08565756*(1000)</f>
        <v>85.657559999999989</v>
      </c>
      <c r="I9956" s="90"/>
      <c r="J9956" s="90"/>
    </row>
    <row r="9957" spans="1:10" s="15" customFormat="1" ht="16.5" hidden="1" customHeight="1" outlineLevel="1" x14ac:dyDescent="0.25">
      <c r="A9957" s="18">
        <v>2756</v>
      </c>
      <c r="B9957" s="4" t="s">
        <v>44</v>
      </c>
      <c r="C9957" s="38" t="s">
        <v>5010</v>
      </c>
      <c r="D9957" s="18">
        <v>2022</v>
      </c>
      <c r="E9957" s="18" t="s">
        <v>0</v>
      </c>
      <c r="F9957" s="41">
        <v>5</v>
      </c>
      <c r="G9957" s="4">
        <v>57</v>
      </c>
      <c r="H9957" s="18">
        <f>0.14098678*(1000)</f>
        <v>140.98678000000001</v>
      </c>
      <c r="I9957" s="90"/>
      <c r="J9957" s="90"/>
    </row>
    <row r="9958" spans="1:10" s="15" customFormat="1" ht="16.5" hidden="1" customHeight="1" outlineLevel="1" x14ac:dyDescent="0.25">
      <c r="A9958" s="18">
        <v>2757</v>
      </c>
      <c r="B9958" s="4" t="s">
        <v>44</v>
      </c>
      <c r="C9958" s="38" t="s">
        <v>5011</v>
      </c>
      <c r="D9958" s="18">
        <v>2022</v>
      </c>
      <c r="E9958" s="18" t="s">
        <v>0</v>
      </c>
      <c r="F9958" s="41">
        <v>6</v>
      </c>
      <c r="G9958" s="4">
        <v>75</v>
      </c>
      <c r="H9958" s="18">
        <f>0.10230503*(1000)</f>
        <v>102.30503</v>
      </c>
      <c r="I9958" s="90"/>
      <c r="J9958" s="90"/>
    </row>
    <row r="9959" spans="1:10" s="15" customFormat="1" ht="16.5" hidden="1" customHeight="1" outlineLevel="1" x14ac:dyDescent="0.25">
      <c r="A9959" s="18">
        <v>2758</v>
      </c>
      <c r="B9959" s="4" t="s">
        <v>44</v>
      </c>
      <c r="C9959" s="38" t="s">
        <v>5012</v>
      </c>
      <c r="D9959" s="18">
        <v>2022</v>
      </c>
      <c r="E9959" s="18" t="s">
        <v>0</v>
      </c>
      <c r="F9959" s="41">
        <v>5</v>
      </c>
      <c r="G9959" s="4">
        <v>62</v>
      </c>
      <c r="H9959" s="18">
        <f>0.08337475*(1000)</f>
        <v>83.374749999999992</v>
      </c>
      <c r="I9959" s="90"/>
      <c r="J9959" s="90"/>
    </row>
    <row r="9960" spans="1:10" s="15" customFormat="1" ht="16.5" hidden="1" customHeight="1" outlineLevel="1" x14ac:dyDescent="0.25">
      <c r="A9960" s="18">
        <v>2761</v>
      </c>
      <c r="B9960" s="4" t="s">
        <v>44</v>
      </c>
      <c r="C9960" s="38" t="s">
        <v>5013</v>
      </c>
      <c r="D9960" s="18">
        <v>2022</v>
      </c>
      <c r="E9960" s="18" t="s">
        <v>0</v>
      </c>
      <c r="F9960" s="41">
        <v>11</v>
      </c>
      <c r="G9960" s="4">
        <v>145</v>
      </c>
      <c r="H9960" s="18">
        <f>0.20140731*(1000)</f>
        <v>201.40731</v>
      </c>
      <c r="I9960" s="90"/>
      <c r="J9960" s="90"/>
    </row>
    <row r="9961" spans="1:10" s="15" customFormat="1" ht="16.5" hidden="1" customHeight="1" outlineLevel="1" x14ac:dyDescent="0.25">
      <c r="A9961" s="18">
        <v>2762</v>
      </c>
      <c r="B9961" s="4" t="s">
        <v>44</v>
      </c>
      <c r="C9961" s="38" t="s">
        <v>5014</v>
      </c>
      <c r="D9961" s="18">
        <v>2022</v>
      </c>
      <c r="E9961" s="18" t="s">
        <v>0</v>
      </c>
      <c r="F9961" s="41">
        <v>7</v>
      </c>
      <c r="G9961" s="4">
        <v>75</v>
      </c>
      <c r="H9961" s="18">
        <f>0.08642305*(1000)</f>
        <v>86.423050000000003</v>
      </c>
      <c r="I9961" s="90"/>
      <c r="J9961" s="90"/>
    </row>
    <row r="9962" spans="1:10" s="15" customFormat="1" ht="16.5" hidden="1" customHeight="1" outlineLevel="1" x14ac:dyDescent="0.25">
      <c r="A9962" s="18">
        <v>2763</v>
      </c>
      <c r="B9962" s="4" t="s">
        <v>44</v>
      </c>
      <c r="C9962" s="38" t="s">
        <v>5015</v>
      </c>
      <c r="D9962" s="18">
        <v>2022</v>
      </c>
      <c r="E9962" s="18" t="s">
        <v>0</v>
      </c>
      <c r="F9962" s="41">
        <v>1</v>
      </c>
      <c r="G9962" s="4">
        <v>50</v>
      </c>
      <c r="H9962" s="18">
        <f>0.03872536*(1000)</f>
        <v>38.725360000000002</v>
      </c>
      <c r="I9962" s="90"/>
      <c r="J9962" s="90"/>
    </row>
    <row r="9963" spans="1:10" s="15" customFormat="1" ht="16.5" hidden="1" customHeight="1" outlineLevel="1" x14ac:dyDescent="0.25">
      <c r="A9963" s="18">
        <v>2764</v>
      </c>
      <c r="B9963" s="4" t="s">
        <v>44</v>
      </c>
      <c r="C9963" s="38" t="s">
        <v>5016</v>
      </c>
      <c r="D9963" s="18">
        <v>2022</v>
      </c>
      <c r="E9963" s="18" t="s">
        <v>0</v>
      </c>
      <c r="F9963" s="41">
        <v>2</v>
      </c>
      <c r="G9963" s="4">
        <v>25</v>
      </c>
      <c r="H9963" s="18">
        <f>0.06386349*(1000)</f>
        <v>63.863489999999992</v>
      </c>
      <c r="I9963" s="90"/>
      <c r="J9963" s="90"/>
    </row>
    <row r="9964" spans="1:10" s="15" customFormat="1" ht="16.5" hidden="1" customHeight="1" outlineLevel="1" x14ac:dyDescent="0.25">
      <c r="A9964" s="18">
        <v>2767</v>
      </c>
      <c r="B9964" s="4" t="s">
        <v>44</v>
      </c>
      <c r="C9964" s="38" t="s">
        <v>5017</v>
      </c>
      <c r="D9964" s="18">
        <v>2022</v>
      </c>
      <c r="E9964" s="18" t="s">
        <v>0</v>
      </c>
      <c r="F9964" s="41">
        <v>17</v>
      </c>
      <c r="G9964" s="4">
        <v>178</v>
      </c>
      <c r="H9964" s="18">
        <f>0.2308727*(1000)</f>
        <v>230.87269999999998</v>
      </c>
      <c r="I9964" s="90"/>
      <c r="J9964" s="90"/>
    </row>
    <row r="9965" spans="1:10" s="15" customFormat="1" ht="16.5" hidden="1" customHeight="1" outlineLevel="1" x14ac:dyDescent="0.25">
      <c r="A9965" s="18">
        <v>2774</v>
      </c>
      <c r="B9965" s="4" t="s">
        <v>44</v>
      </c>
      <c r="C9965" s="38" t="s">
        <v>5018</v>
      </c>
      <c r="D9965" s="18">
        <v>2022</v>
      </c>
      <c r="E9965" s="18" t="s">
        <v>0</v>
      </c>
      <c r="F9965" s="41">
        <v>7</v>
      </c>
      <c r="G9965" s="4">
        <v>83</v>
      </c>
      <c r="H9965" s="18">
        <f>0.16502509*(1000)</f>
        <v>165.02509000000001</v>
      </c>
      <c r="I9965" s="90"/>
      <c r="J9965" s="90"/>
    </row>
    <row r="9966" spans="1:10" s="15" customFormat="1" ht="16.5" hidden="1" customHeight="1" outlineLevel="1" x14ac:dyDescent="0.25">
      <c r="A9966" s="18">
        <v>2775</v>
      </c>
      <c r="B9966" s="4" t="s">
        <v>44</v>
      </c>
      <c r="C9966" s="38" t="s">
        <v>5019</v>
      </c>
      <c r="D9966" s="18">
        <v>2022</v>
      </c>
      <c r="E9966" s="18" t="s">
        <v>0</v>
      </c>
      <c r="F9966" s="41">
        <v>1</v>
      </c>
      <c r="G9966" s="4">
        <v>40</v>
      </c>
      <c r="H9966" s="18">
        <f>0.03539498*(1000)</f>
        <v>35.394979999999997</v>
      </c>
      <c r="I9966" s="90"/>
      <c r="J9966" s="90"/>
    </row>
    <row r="9967" spans="1:10" s="15" customFormat="1" ht="16.5" hidden="1" customHeight="1" outlineLevel="1" x14ac:dyDescent="0.25">
      <c r="A9967" s="18">
        <v>2787</v>
      </c>
      <c r="B9967" s="4" t="s">
        <v>44</v>
      </c>
      <c r="C9967" s="38" t="s">
        <v>5020</v>
      </c>
      <c r="D9967" s="18">
        <v>2022</v>
      </c>
      <c r="E9967" s="18" t="s">
        <v>0</v>
      </c>
      <c r="F9967" s="41">
        <v>17</v>
      </c>
      <c r="G9967" s="4">
        <v>196</v>
      </c>
      <c r="H9967" s="18">
        <f>0.27716325*(1000)</f>
        <v>277.16325000000001</v>
      </c>
      <c r="I9967" s="90"/>
      <c r="J9967" s="90"/>
    </row>
    <row r="9968" spans="1:10" s="15" customFormat="1" ht="16.5" hidden="1" customHeight="1" outlineLevel="1" x14ac:dyDescent="0.25">
      <c r="A9968" s="18">
        <v>2790</v>
      </c>
      <c r="B9968" s="4" t="s">
        <v>44</v>
      </c>
      <c r="C9968" s="38" t="s">
        <v>5021</v>
      </c>
      <c r="D9968" s="18">
        <v>2022</v>
      </c>
      <c r="E9968" s="18" t="s">
        <v>0</v>
      </c>
      <c r="F9968" s="41">
        <v>5</v>
      </c>
      <c r="G9968" s="4">
        <v>59</v>
      </c>
      <c r="H9968" s="18">
        <f>0.13952465*(1000)</f>
        <v>139.52465000000001</v>
      </c>
      <c r="I9968" s="90"/>
      <c r="J9968" s="90"/>
    </row>
    <row r="9969" spans="1:10" s="15" customFormat="1" ht="16.5" hidden="1" customHeight="1" outlineLevel="1" x14ac:dyDescent="0.25">
      <c r="A9969" s="18">
        <v>2791</v>
      </c>
      <c r="B9969" s="4" t="s">
        <v>44</v>
      </c>
      <c r="C9969" s="38" t="s">
        <v>5022</v>
      </c>
      <c r="D9969" s="18">
        <v>2022</v>
      </c>
      <c r="E9969" s="18" t="s">
        <v>0</v>
      </c>
      <c r="F9969" s="41">
        <v>28</v>
      </c>
      <c r="G9969" s="4">
        <v>388</v>
      </c>
      <c r="H9969" s="18">
        <f>0.47251064*(1000)</f>
        <v>472.51063999999997</v>
      </c>
      <c r="I9969" s="90"/>
      <c r="J9969" s="90"/>
    </row>
    <row r="9970" spans="1:10" s="15" customFormat="1" ht="16.5" hidden="1" customHeight="1" outlineLevel="1" x14ac:dyDescent="0.25">
      <c r="A9970" s="18">
        <v>2800</v>
      </c>
      <c r="B9970" s="4" t="s">
        <v>44</v>
      </c>
      <c r="C9970" s="38" t="s">
        <v>5023</v>
      </c>
      <c r="D9970" s="18">
        <v>2022</v>
      </c>
      <c r="E9970" s="18" t="s">
        <v>0</v>
      </c>
      <c r="F9970" s="41">
        <v>1</v>
      </c>
      <c r="G9970" s="4">
        <v>58</v>
      </c>
      <c r="H9970" s="18">
        <f>0.04091864*(1000)</f>
        <v>40.918639999999996</v>
      </c>
      <c r="I9970" s="90"/>
      <c r="J9970" s="90"/>
    </row>
    <row r="9971" spans="1:10" s="15" customFormat="1" ht="16.5" hidden="1" customHeight="1" outlineLevel="1" x14ac:dyDescent="0.25">
      <c r="A9971" s="18">
        <v>2817</v>
      </c>
      <c r="B9971" s="4" t="s">
        <v>44</v>
      </c>
      <c r="C9971" s="38" t="s">
        <v>5024</v>
      </c>
      <c r="D9971" s="18">
        <v>2022</v>
      </c>
      <c r="E9971" s="18" t="s">
        <v>0</v>
      </c>
      <c r="F9971" s="41">
        <v>1</v>
      </c>
      <c r="G9971" s="4">
        <v>10</v>
      </c>
      <c r="H9971" s="18">
        <f>0.02949997*(1000)</f>
        <v>29.499970000000001</v>
      </c>
      <c r="I9971" s="90"/>
      <c r="J9971" s="90"/>
    </row>
    <row r="9972" spans="1:10" s="15" customFormat="1" ht="16.5" hidden="1" customHeight="1" outlineLevel="1" x14ac:dyDescent="0.25">
      <c r="A9972" s="18">
        <v>2818</v>
      </c>
      <c r="B9972" s="4" t="s">
        <v>44</v>
      </c>
      <c r="C9972" s="38" t="s">
        <v>5025</v>
      </c>
      <c r="D9972" s="18">
        <v>2022</v>
      </c>
      <c r="E9972" s="18" t="s">
        <v>0</v>
      </c>
      <c r="F9972" s="41">
        <v>1</v>
      </c>
      <c r="G9972" s="4">
        <v>15</v>
      </c>
      <c r="H9972" s="18">
        <f>0.01817633*(1000)</f>
        <v>18.17633</v>
      </c>
      <c r="I9972" s="90"/>
      <c r="J9972" s="90"/>
    </row>
    <row r="9973" spans="1:10" s="15" customFormat="1" ht="16.5" hidden="1" customHeight="1" outlineLevel="1" x14ac:dyDescent="0.25">
      <c r="A9973" s="18">
        <v>2819</v>
      </c>
      <c r="B9973" s="4" t="s">
        <v>44</v>
      </c>
      <c r="C9973" s="38" t="s">
        <v>5026</v>
      </c>
      <c r="D9973" s="18">
        <v>2022</v>
      </c>
      <c r="E9973" s="18" t="s">
        <v>0</v>
      </c>
      <c r="F9973" s="41">
        <v>1</v>
      </c>
      <c r="G9973" s="4">
        <v>10</v>
      </c>
      <c r="H9973" s="18">
        <f>0.01892015*(1000)</f>
        <v>18.92015</v>
      </c>
      <c r="I9973" s="90"/>
      <c r="J9973" s="90"/>
    </row>
    <row r="9974" spans="1:10" s="15" customFormat="1" ht="16.5" hidden="1" customHeight="1" outlineLevel="1" x14ac:dyDescent="0.25">
      <c r="A9974" s="18">
        <v>2820</v>
      </c>
      <c r="B9974" s="4" t="s">
        <v>44</v>
      </c>
      <c r="C9974" s="38" t="s">
        <v>5027</v>
      </c>
      <c r="D9974" s="18">
        <v>2022</v>
      </c>
      <c r="E9974" s="18" t="s">
        <v>0</v>
      </c>
      <c r="F9974" s="41">
        <v>7</v>
      </c>
      <c r="G9974" s="4">
        <v>90</v>
      </c>
      <c r="H9974" s="18">
        <f>0.10242959*(1000)</f>
        <v>102.42959</v>
      </c>
      <c r="I9974" s="90"/>
      <c r="J9974" s="90"/>
    </row>
    <row r="9975" spans="1:10" s="15" customFormat="1" ht="16.5" hidden="1" customHeight="1" outlineLevel="1" x14ac:dyDescent="0.25">
      <c r="A9975" s="18">
        <v>2821</v>
      </c>
      <c r="B9975" s="4" t="s">
        <v>44</v>
      </c>
      <c r="C9975" s="38" t="s">
        <v>5028</v>
      </c>
      <c r="D9975" s="18">
        <v>2022</v>
      </c>
      <c r="E9975" s="18" t="s">
        <v>0</v>
      </c>
      <c r="F9975" s="41">
        <v>4</v>
      </c>
      <c r="G9975" s="4">
        <v>60</v>
      </c>
      <c r="H9975" s="18">
        <f>0.07340217*(1000)</f>
        <v>73.402169999999998</v>
      </c>
      <c r="I9975" s="90"/>
      <c r="J9975" s="90"/>
    </row>
    <row r="9976" spans="1:10" s="15" customFormat="1" ht="16.5" hidden="1" customHeight="1" outlineLevel="1" x14ac:dyDescent="0.25">
      <c r="A9976" s="18">
        <v>2822</v>
      </c>
      <c r="B9976" s="4" t="s">
        <v>44</v>
      </c>
      <c r="C9976" s="38" t="s">
        <v>5029</v>
      </c>
      <c r="D9976" s="18">
        <v>2022</v>
      </c>
      <c r="E9976" s="18" t="s">
        <v>0</v>
      </c>
      <c r="F9976" s="41">
        <v>1</v>
      </c>
      <c r="G9976" s="4">
        <v>45</v>
      </c>
      <c r="H9976" s="18">
        <f>0.01820872*(1000)</f>
        <v>18.20872</v>
      </c>
      <c r="I9976" s="90"/>
      <c r="J9976" s="90"/>
    </row>
    <row r="9977" spans="1:10" s="15" customFormat="1" ht="16.5" hidden="1" customHeight="1" outlineLevel="1" x14ac:dyDescent="0.25">
      <c r="A9977" s="18">
        <v>2823</v>
      </c>
      <c r="B9977" s="4" t="s">
        <v>44</v>
      </c>
      <c r="C9977" s="38" t="s">
        <v>5030</v>
      </c>
      <c r="D9977" s="18">
        <v>2022</v>
      </c>
      <c r="E9977" s="18" t="s">
        <v>0</v>
      </c>
      <c r="F9977" s="41">
        <v>1</v>
      </c>
      <c r="G9977" s="4">
        <v>40</v>
      </c>
      <c r="H9977" s="18">
        <f>0.02714291*(1000)</f>
        <v>27.142910000000001</v>
      </c>
      <c r="I9977" s="90"/>
      <c r="J9977" s="90"/>
    </row>
    <row r="9978" spans="1:10" s="15" customFormat="1" ht="16.5" hidden="1" customHeight="1" outlineLevel="1" x14ac:dyDescent="0.25">
      <c r="A9978" s="18">
        <v>2825</v>
      </c>
      <c r="B9978" s="4" t="s">
        <v>44</v>
      </c>
      <c r="C9978" s="38" t="s">
        <v>5031</v>
      </c>
      <c r="D9978" s="18">
        <v>2022</v>
      </c>
      <c r="E9978" s="18" t="s">
        <v>0</v>
      </c>
      <c r="F9978" s="41">
        <v>2</v>
      </c>
      <c r="G9978" s="4">
        <v>25</v>
      </c>
      <c r="H9978" s="18">
        <f>0.03940598*(1000)</f>
        <v>39.40598</v>
      </c>
      <c r="I9978" s="90"/>
      <c r="J9978" s="90"/>
    </row>
    <row r="9979" spans="1:10" s="15" customFormat="1" ht="16.5" hidden="1" customHeight="1" outlineLevel="1" x14ac:dyDescent="0.25">
      <c r="A9979" s="18">
        <v>2826</v>
      </c>
      <c r="B9979" s="4" t="s">
        <v>44</v>
      </c>
      <c r="C9979" s="38" t="s">
        <v>5032</v>
      </c>
      <c r="D9979" s="18">
        <v>2022</v>
      </c>
      <c r="E9979" s="18" t="s">
        <v>0</v>
      </c>
      <c r="F9979" s="41">
        <v>8</v>
      </c>
      <c r="G9979" s="4">
        <v>105</v>
      </c>
      <c r="H9979" s="18">
        <f>0.10321053*(1000)</f>
        <v>103.21052999999999</v>
      </c>
      <c r="I9979" s="90"/>
      <c r="J9979" s="90"/>
    </row>
    <row r="9980" spans="1:10" s="15" customFormat="1" ht="16.5" hidden="1" customHeight="1" outlineLevel="1" x14ac:dyDescent="0.25">
      <c r="A9980" s="18">
        <v>2827</v>
      </c>
      <c r="B9980" s="4" t="s">
        <v>44</v>
      </c>
      <c r="C9980" s="38" t="s">
        <v>5033</v>
      </c>
      <c r="D9980" s="18">
        <v>2022</v>
      </c>
      <c r="E9980" s="18" t="s">
        <v>0</v>
      </c>
      <c r="F9980" s="41">
        <v>4</v>
      </c>
      <c r="G9980" s="4">
        <v>47</v>
      </c>
      <c r="H9980" s="18">
        <f>0.06369498*(1000)</f>
        <v>63.694980000000001</v>
      </c>
      <c r="I9980" s="90"/>
      <c r="J9980" s="90"/>
    </row>
    <row r="9981" spans="1:10" s="15" customFormat="1" ht="16.5" hidden="1" customHeight="1" outlineLevel="1" x14ac:dyDescent="0.25">
      <c r="A9981" s="18">
        <v>2828</v>
      </c>
      <c r="B9981" s="4" t="s">
        <v>44</v>
      </c>
      <c r="C9981" s="38" t="s">
        <v>5034</v>
      </c>
      <c r="D9981" s="18">
        <v>2022</v>
      </c>
      <c r="E9981" s="18" t="s">
        <v>0</v>
      </c>
      <c r="F9981" s="41">
        <v>2</v>
      </c>
      <c r="G9981" s="4">
        <v>16</v>
      </c>
      <c r="H9981" s="18">
        <f>0.0295663*(1000)</f>
        <v>29.566300000000002</v>
      </c>
      <c r="I9981" s="90"/>
      <c r="J9981" s="90"/>
    </row>
    <row r="9982" spans="1:10" s="15" customFormat="1" ht="16.5" hidden="1" customHeight="1" outlineLevel="1" x14ac:dyDescent="0.25">
      <c r="A9982" s="18">
        <v>2829</v>
      </c>
      <c r="B9982" s="4" t="s">
        <v>44</v>
      </c>
      <c r="C9982" s="38" t="s">
        <v>5035</v>
      </c>
      <c r="D9982" s="18">
        <v>2022</v>
      </c>
      <c r="E9982" s="18" t="s">
        <v>0</v>
      </c>
      <c r="F9982" s="41">
        <v>1</v>
      </c>
      <c r="G9982" s="4">
        <v>50</v>
      </c>
      <c r="H9982" s="18">
        <f>0.01809625*(1000)</f>
        <v>18.096250000000001</v>
      </c>
      <c r="I9982" s="90"/>
      <c r="J9982" s="90"/>
    </row>
    <row r="9983" spans="1:10" s="15" customFormat="1" ht="16.5" hidden="1" customHeight="1" outlineLevel="1" x14ac:dyDescent="0.25">
      <c r="A9983" s="18">
        <v>2830</v>
      </c>
      <c r="B9983" s="4" t="s">
        <v>44</v>
      </c>
      <c r="C9983" s="38" t="s">
        <v>5036</v>
      </c>
      <c r="D9983" s="18">
        <v>2022</v>
      </c>
      <c r="E9983" s="18" t="s">
        <v>0</v>
      </c>
      <c r="F9983" s="41">
        <v>2</v>
      </c>
      <c r="G9983" s="4">
        <v>24</v>
      </c>
      <c r="H9983" s="18">
        <f>0.03670102*(1000)</f>
        <v>36.70102</v>
      </c>
      <c r="I9983" s="90"/>
      <c r="J9983" s="90"/>
    </row>
    <row r="9984" spans="1:10" s="15" customFormat="1" ht="16.5" hidden="1" customHeight="1" outlineLevel="1" x14ac:dyDescent="0.25">
      <c r="A9984" s="18">
        <v>2832</v>
      </c>
      <c r="B9984" s="4" t="s">
        <v>44</v>
      </c>
      <c r="C9984" s="38" t="s">
        <v>5037</v>
      </c>
      <c r="D9984" s="18">
        <v>2022</v>
      </c>
      <c r="E9984" s="18" t="s">
        <v>0</v>
      </c>
      <c r="F9984" s="41">
        <v>3</v>
      </c>
      <c r="G9984" s="4">
        <v>45</v>
      </c>
      <c r="H9984" s="18">
        <f>0.05482882*(1000)</f>
        <v>54.82882</v>
      </c>
      <c r="I9984" s="90"/>
      <c r="J9984" s="90"/>
    </row>
    <row r="9985" spans="1:10" s="15" customFormat="1" ht="16.5" hidden="1" customHeight="1" outlineLevel="1" x14ac:dyDescent="0.25">
      <c r="A9985" s="18">
        <v>2833</v>
      </c>
      <c r="B9985" s="4" t="s">
        <v>44</v>
      </c>
      <c r="C9985" s="38" t="s">
        <v>5038</v>
      </c>
      <c r="D9985" s="18">
        <v>2022</v>
      </c>
      <c r="E9985" s="18" t="s">
        <v>0</v>
      </c>
      <c r="F9985" s="41">
        <v>13</v>
      </c>
      <c r="G9985" s="4">
        <v>150</v>
      </c>
      <c r="H9985" s="18">
        <f>0.16686151*(1000)</f>
        <v>166.86150999999998</v>
      </c>
      <c r="I9985" s="90"/>
      <c r="J9985" s="90"/>
    </row>
    <row r="9986" spans="1:10" s="15" customFormat="1" ht="16.5" hidden="1" customHeight="1" outlineLevel="1" x14ac:dyDescent="0.25">
      <c r="A9986" s="18">
        <v>2834</v>
      </c>
      <c r="B9986" s="4" t="s">
        <v>44</v>
      </c>
      <c r="C9986" s="38" t="s">
        <v>5039</v>
      </c>
      <c r="D9986" s="18">
        <v>2022</v>
      </c>
      <c r="E9986" s="18" t="s">
        <v>0</v>
      </c>
      <c r="F9986" s="41">
        <v>1</v>
      </c>
      <c r="G9986" s="4">
        <v>50</v>
      </c>
      <c r="H9986" s="18">
        <f>0.02479167*(1000)</f>
        <v>24.79167</v>
      </c>
      <c r="I9986" s="90"/>
      <c r="J9986" s="90"/>
    </row>
    <row r="9987" spans="1:10" s="15" customFormat="1" ht="16.5" hidden="1" customHeight="1" outlineLevel="1" x14ac:dyDescent="0.25">
      <c r="A9987" s="18">
        <v>2835</v>
      </c>
      <c r="B9987" s="4" t="s">
        <v>44</v>
      </c>
      <c r="C9987" s="38" t="s">
        <v>5040</v>
      </c>
      <c r="D9987" s="18">
        <v>2022</v>
      </c>
      <c r="E9987" s="18" t="s">
        <v>0</v>
      </c>
      <c r="F9987" s="41">
        <v>1</v>
      </c>
      <c r="G9987" s="4">
        <v>13</v>
      </c>
      <c r="H9987" s="18">
        <f>0.02564976*(1000)</f>
        <v>25.649760000000001</v>
      </c>
      <c r="I9987" s="90"/>
      <c r="J9987" s="90"/>
    </row>
    <row r="9988" spans="1:10" s="15" customFormat="1" ht="16.5" hidden="1" customHeight="1" outlineLevel="1" x14ac:dyDescent="0.25">
      <c r="A9988" s="18">
        <v>2836</v>
      </c>
      <c r="B9988" s="4" t="s">
        <v>44</v>
      </c>
      <c r="C9988" s="38" t="s">
        <v>5041</v>
      </c>
      <c r="D9988" s="18">
        <v>2022</v>
      </c>
      <c r="E9988" s="18" t="s">
        <v>0</v>
      </c>
      <c r="F9988" s="41">
        <v>1</v>
      </c>
      <c r="G9988" s="4">
        <v>15</v>
      </c>
      <c r="H9988" s="18">
        <f>0.02564982*(1000)</f>
        <v>25.649820000000002</v>
      </c>
      <c r="I9988" s="90"/>
      <c r="J9988" s="90"/>
    </row>
    <row r="9989" spans="1:10" s="15" customFormat="1" ht="16.5" hidden="1" customHeight="1" outlineLevel="1" x14ac:dyDescent="0.25">
      <c r="A9989" s="18">
        <v>2838</v>
      </c>
      <c r="B9989" s="4" t="s">
        <v>44</v>
      </c>
      <c r="C9989" s="38" t="s">
        <v>5042</v>
      </c>
      <c r="D9989" s="18">
        <v>2022</v>
      </c>
      <c r="E9989" s="18" t="s">
        <v>0</v>
      </c>
      <c r="F9989" s="41">
        <v>3</v>
      </c>
      <c r="G9989" s="4">
        <v>29</v>
      </c>
      <c r="H9989" s="18">
        <f>0.05801438*(1000)</f>
        <v>58.014379999999996</v>
      </c>
      <c r="I9989" s="90"/>
      <c r="J9989" s="90"/>
    </row>
    <row r="9990" spans="1:10" s="15" customFormat="1" ht="16.5" hidden="1" customHeight="1" outlineLevel="1" x14ac:dyDescent="0.25">
      <c r="A9990" s="18">
        <v>2849</v>
      </c>
      <c r="B9990" s="4" t="s">
        <v>44</v>
      </c>
      <c r="C9990" s="38" t="s">
        <v>5043</v>
      </c>
      <c r="D9990" s="18">
        <v>2022</v>
      </c>
      <c r="E9990" s="18" t="s">
        <v>0</v>
      </c>
      <c r="F9990" s="41">
        <v>1</v>
      </c>
      <c r="G9990" s="4">
        <v>15</v>
      </c>
      <c r="H9990" s="18">
        <f>0.02590878*(1000)</f>
        <v>25.90878</v>
      </c>
      <c r="I9990" s="90"/>
      <c r="J9990" s="90"/>
    </row>
    <row r="9991" spans="1:10" s="15" customFormat="1" ht="16.5" hidden="1" customHeight="1" outlineLevel="1" x14ac:dyDescent="0.25">
      <c r="A9991" s="18">
        <v>2854</v>
      </c>
      <c r="B9991" s="4" t="s">
        <v>44</v>
      </c>
      <c r="C9991" s="38" t="s">
        <v>5044</v>
      </c>
      <c r="D9991" s="18">
        <v>2022</v>
      </c>
      <c r="E9991" s="18" t="s">
        <v>0</v>
      </c>
      <c r="F9991" s="41">
        <v>1</v>
      </c>
      <c r="G9991" s="4">
        <v>15</v>
      </c>
      <c r="H9991" s="18">
        <f>0.02649016*(1000)</f>
        <v>26.490159999999999</v>
      </c>
      <c r="I9991" s="90"/>
      <c r="J9991" s="90"/>
    </row>
    <row r="9992" spans="1:10" s="15" customFormat="1" ht="16.5" hidden="1" customHeight="1" outlineLevel="1" x14ac:dyDescent="0.25">
      <c r="A9992" s="18">
        <v>2856</v>
      </c>
      <c r="B9992" s="4" t="s">
        <v>44</v>
      </c>
      <c r="C9992" s="38" t="s">
        <v>5045</v>
      </c>
      <c r="D9992" s="18">
        <v>2022</v>
      </c>
      <c r="E9992" s="18" t="s">
        <v>0</v>
      </c>
      <c r="F9992" s="41">
        <v>1</v>
      </c>
      <c r="G9992" s="4">
        <v>10</v>
      </c>
      <c r="H9992" s="18">
        <f>0.02541802*(1000)</f>
        <v>25.418019999999999</v>
      </c>
      <c r="I9992" s="90"/>
      <c r="J9992" s="90"/>
    </row>
    <row r="9993" spans="1:10" s="15" customFormat="1" ht="16.5" hidden="1" customHeight="1" outlineLevel="1" x14ac:dyDescent="0.25">
      <c r="A9993" s="18">
        <v>2857</v>
      </c>
      <c r="B9993" s="4" t="s">
        <v>44</v>
      </c>
      <c r="C9993" s="38" t="s">
        <v>5046</v>
      </c>
      <c r="D9993" s="18">
        <v>2022</v>
      </c>
      <c r="E9993" s="18" t="s">
        <v>0</v>
      </c>
      <c r="F9993" s="41">
        <v>1</v>
      </c>
      <c r="G9993" s="4">
        <v>15</v>
      </c>
      <c r="H9993" s="18">
        <f>0.02541802*(1000)</f>
        <v>25.418019999999999</v>
      </c>
      <c r="I9993" s="90"/>
      <c r="J9993" s="90"/>
    </row>
    <row r="9994" spans="1:10" s="15" customFormat="1" ht="16.5" hidden="1" customHeight="1" outlineLevel="1" x14ac:dyDescent="0.25">
      <c r="A9994" s="18">
        <v>2864</v>
      </c>
      <c r="B9994" s="4" t="s">
        <v>44</v>
      </c>
      <c r="C9994" s="38" t="s">
        <v>5047</v>
      </c>
      <c r="D9994" s="18">
        <v>2022</v>
      </c>
      <c r="E9994" s="18" t="s">
        <v>0</v>
      </c>
      <c r="F9994" s="41">
        <v>1</v>
      </c>
      <c r="G9994" s="4">
        <v>15</v>
      </c>
      <c r="H9994" s="18">
        <f>0.03607603*(1000)</f>
        <v>36.076030000000003</v>
      </c>
      <c r="I9994" s="90"/>
      <c r="J9994" s="90"/>
    </row>
    <row r="9995" spans="1:10" s="15" customFormat="1" ht="16.5" hidden="1" customHeight="1" outlineLevel="1" x14ac:dyDescent="0.25">
      <c r="A9995" s="18">
        <v>2865</v>
      </c>
      <c r="B9995" s="4" t="s">
        <v>44</v>
      </c>
      <c r="C9995" s="38" t="s">
        <v>5048</v>
      </c>
      <c r="D9995" s="18">
        <v>2022</v>
      </c>
      <c r="E9995" s="18" t="s">
        <v>0</v>
      </c>
      <c r="F9995" s="41">
        <v>1</v>
      </c>
      <c r="G9995" s="4">
        <v>45</v>
      </c>
      <c r="H9995" s="18">
        <f>0.02609855*(1000)</f>
        <v>26.098550000000003</v>
      </c>
      <c r="I9995" s="90"/>
      <c r="J9995" s="90"/>
    </row>
    <row r="9996" spans="1:10" s="15" customFormat="1" ht="16.5" hidden="1" customHeight="1" outlineLevel="1" x14ac:dyDescent="0.25">
      <c r="A9996" s="18">
        <v>2871</v>
      </c>
      <c r="B9996" s="4" t="s">
        <v>44</v>
      </c>
      <c r="C9996" s="38" t="s">
        <v>5049</v>
      </c>
      <c r="D9996" s="18">
        <v>2022</v>
      </c>
      <c r="E9996" s="18" t="s">
        <v>0</v>
      </c>
      <c r="F9996" s="41">
        <v>1</v>
      </c>
      <c r="G9996" s="4">
        <v>42</v>
      </c>
      <c r="H9996" s="18">
        <f>0.03464245*(1000)</f>
        <v>34.642449999999997</v>
      </c>
      <c r="I9996" s="90"/>
      <c r="J9996" s="90"/>
    </row>
    <row r="9997" spans="1:10" s="15" customFormat="1" ht="16.5" hidden="1" customHeight="1" outlineLevel="1" x14ac:dyDescent="0.25">
      <c r="A9997" s="18">
        <v>2872</v>
      </c>
      <c r="B9997" s="4" t="s">
        <v>44</v>
      </c>
      <c r="C9997" s="38" t="s">
        <v>5050</v>
      </c>
      <c r="D9997" s="18">
        <v>2022</v>
      </c>
      <c r="E9997" s="18" t="s">
        <v>0</v>
      </c>
      <c r="F9997" s="41">
        <v>2</v>
      </c>
      <c r="G9997" s="4">
        <v>5</v>
      </c>
      <c r="H9997" s="18">
        <f>0.03807793*(1000)</f>
        <v>38.077930000000002</v>
      </c>
      <c r="I9997" s="90"/>
      <c r="J9997" s="90"/>
    </row>
    <row r="9998" spans="1:10" s="15" customFormat="1" ht="16.5" hidden="1" customHeight="1" outlineLevel="1" x14ac:dyDescent="0.25">
      <c r="A9998" s="18">
        <v>2873</v>
      </c>
      <c r="B9998" s="4" t="s">
        <v>44</v>
      </c>
      <c r="C9998" s="38" t="s">
        <v>5051</v>
      </c>
      <c r="D9998" s="18">
        <v>2022</v>
      </c>
      <c r="E9998" s="18" t="s">
        <v>0</v>
      </c>
      <c r="F9998" s="41">
        <v>1</v>
      </c>
      <c r="G9998" s="4">
        <v>35</v>
      </c>
      <c r="H9998" s="18">
        <f>0.02604725*(1000)</f>
        <v>26.047250000000002</v>
      </c>
      <c r="I9998" s="90"/>
      <c r="J9998" s="90"/>
    </row>
    <row r="9999" spans="1:10" s="15" customFormat="1" ht="16.5" hidden="1" customHeight="1" outlineLevel="1" x14ac:dyDescent="0.25">
      <c r="A9999" s="18">
        <v>2874</v>
      </c>
      <c r="B9999" s="4" t="s">
        <v>44</v>
      </c>
      <c r="C9999" s="38" t="s">
        <v>5052</v>
      </c>
      <c r="D9999" s="18">
        <v>2022</v>
      </c>
      <c r="E9999" s="18" t="s">
        <v>0</v>
      </c>
      <c r="F9999" s="41">
        <v>1</v>
      </c>
      <c r="G9999" s="4">
        <v>90</v>
      </c>
      <c r="H9999" s="18">
        <f>0.03864867*(1000)</f>
        <v>38.648670000000003</v>
      </c>
      <c r="I9999" s="90"/>
      <c r="J9999" s="90"/>
    </row>
    <row r="10000" spans="1:10" s="15" customFormat="1" ht="16.5" hidden="1" customHeight="1" outlineLevel="1" x14ac:dyDescent="0.25">
      <c r="A10000" s="18">
        <v>2875</v>
      </c>
      <c r="B10000" s="4" t="s">
        <v>44</v>
      </c>
      <c r="C10000" s="38" t="s">
        <v>5053</v>
      </c>
      <c r="D10000" s="18">
        <v>2022</v>
      </c>
      <c r="E10000" s="18" t="s">
        <v>0</v>
      </c>
      <c r="F10000" s="41">
        <v>2</v>
      </c>
      <c r="G10000" s="4">
        <v>7</v>
      </c>
      <c r="H10000" s="18">
        <f>0.03798254*(1000)</f>
        <v>37.98254</v>
      </c>
      <c r="I10000" s="90"/>
      <c r="J10000" s="90"/>
    </row>
    <row r="10001" spans="1:10" s="15" customFormat="1" ht="16.5" hidden="1" customHeight="1" outlineLevel="1" x14ac:dyDescent="0.25">
      <c r="A10001" s="18">
        <v>2877</v>
      </c>
      <c r="B10001" s="4" t="s">
        <v>44</v>
      </c>
      <c r="C10001" s="38" t="s">
        <v>5054</v>
      </c>
      <c r="D10001" s="18">
        <v>2022</v>
      </c>
      <c r="E10001" s="18" t="s">
        <v>0</v>
      </c>
      <c r="F10001" s="41">
        <v>1</v>
      </c>
      <c r="G10001" s="4">
        <v>10</v>
      </c>
      <c r="H10001" s="18">
        <f>0.03474204*(1000)</f>
        <v>34.742040000000003</v>
      </c>
      <c r="I10001" s="90"/>
      <c r="J10001" s="90"/>
    </row>
    <row r="10002" spans="1:10" s="15" customFormat="1" ht="16.5" hidden="1" customHeight="1" outlineLevel="1" x14ac:dyDescent="0.25">
      <c r="A10002" s="18">
        <v>2891</v>
      </c>
      <c r="B10002" s="4" t="s">
        <v>44</v>
      </c>
      <c r="C10002" s="38" t="s">
        <v>5055</v>
      </c>
      <c r="D10002" s="18">
        <v>2022</v>
      </c>
      <c r="E10002" s="18" t="s">
        <v>0</v>
      </c>
      <c r="F10002" s="41">
        <v>1</v>
      </c>
      <c r="G10002" s="4">
        <v>15</v>
      </c>
      <c r="H10002" s="18">
        <f>0.0250114*(1000)</f>
        <v>25.011399999999998</v>
      </c>
      <c r="I10002" s="90"/>
      <c r="J10002" s="90"/>
    </row>
    <row r="10003" spans="1:10" s="15" customFormat="1" ht="16.5" hidden="1" customHeight="1" outlineLevel="1" x14ac:dyDescent="0.25">
      <c r="A10003" s="18">
        <v>2892</v>
      </c>
      <c r="B10003" s="4" t="s">
        <v>44</v>
      </c>
      <c r="C10003" s="38" t="s">
        <v>5056</v>
      </c>
      <c r="D10003" s="18">
        <v>2022</v>
      </c>
      <c r="E10003" s="18" t="s">
        <v>0</v>
      </c>
      <c r="F10003" s="41">
        <v>2</v>
      </c>
      <c r="G10003" s="4">
        <v>8</v>
      </c>
      <c r="H10003" s="18">
        <f>0.03807792*(1000)</f>
        <v>38.077919999999999</v>
      </c>
      <c r="I10003" s="90"/>
      <c r="J10003" s="90"/>
    </row>
    <row r="10004" spans="1:10" s="15" customFormat="1" ht="16.5" hidden="1" customHeight="1" outlineLevel="1" x14ac:dyDescent="0.25">
      <c r="A10004" s="18">
        <v>2893</v>
      </c>
      <c r="B10004" s="4" t="s">
        <v>44</v>
      </c>
      <c r="C10004" s="38" t="s">
        <v>5057</v>
      </c>
      <c r="D10004" s="18">
        <v>2022</v>
      </c>
      <c r="E10004" s="18" t="s">
        <v>0</v>
      </c>
      <c r="F10004" s="41">
        <v>1</v>
      </c>
      <c r="G10004" s="4">
        <v>50</v>
      </c>
      <c r="H10004" s="18">
        <f>0.02507907*(1000)</f>
        <v>25.079069999999998</v>
      </c>
      <c r="I10004" s="90"/>
      <c r="J10004" s="90"/>
    </row>
    <row r="10005" spans="1:10" s="15" customFormat="1" ht="16.5" hidden="1" customHeight="1" outlineLevel="1" x14ac:dyDescent="0.25">
      <c r="A10005" s="18">
        <v>2896</v>
      </c>
      <c r="B10005" s="4" t="s">
        <v>44</v>
      </c>
      <c r="C10005" s="38" t="s">
        <v>5058</v>
      </c>
      <c r="D10005" s="18">
        <v>2022</v>
      </c>
      <c r="E10005" s="18" t="s">
        <v>0</v>
      </c>
      <c r="F10005" s="41">
        <v>1</v>
      </c>
      <c r="G10005" s="4">
        <v>10</v>
      </c>
      <c r="H10005" s="18">
        <f>0.02490979*(1000)</f>
        <v>24.909790000000001</v>
      </c>
      <c r="I10005" s="90"/>
      <c r="J10005" s="90"/>
    </row>
    <row r="10006" spans="1:10" s="15" customFormat="1" ht="16.5" hidden="1" customHeight="1" outlineLevel="1" x14ac:dyDescent="0.25">
      <c r="A10006" s="18">
        <v>2898</v>
      </c>
      <c r="B10006" s="4" t="s">
        <v>44</v>
      </c>
      <c r="C10006" s="38" t="s">
        <v>5059</v>
      </c>
      <c r="D10006" s="18">
        <v>2022</v>
      </c>
      <c r="E10006" s="18" t="s">
        <v>0</v>
      </c>
      <c r="F10006" s="41">
        <v>1</v>
      </c>
      <c r="G10006" s="4">
        <v>2</v>
      </c>
      <c r="H10006" s="18">
        <f>0.02507909*(1000)</f>
        <v>25.079089999999997</v>
      </c>
      <c r="I10006" s="90"/>
      <c r="J10006" s="90"/>
    </row>
    <row r="10007" spans="1:10" s="15" customFormat="1" ht="16.5" hidden="1" customHeight="1" outlineLevel="1" x14ac:dyDescent="0.25">
      <c r="A10007" s="18">
        <v>2899</v>
      </c>
      <c r="B10007" s="4" t="s">
        <v>44</v>
      </c>
      <c r="C10007" s="38" t="s">
        <v>5060</v>
      </c>
      <c r="D10007" s="18">
        <v>2022</v>
      </c>
      <c r="E10007" s="18" t="s">
        <v>0</v>
      </c>
      <c r="F10007" s="41">
        <v>1</v>
      </c>
      <c r="G10007" s="4">
        <v>2</v>
      </c>
      <c r="H10007" s="18">
        <f>0.02504226*(1000)</f>
        <v>25.042259999999999</v>
      </c>
      <c r="I10007" s="90"/>
      <c r="J10007" s="90"/>
    </row>
    <row r="10008" spans="1:10" s="15" customFormat="1" ht="16.5" hidden="1" customHeight="1" outlineLevel="1" x14ac:dyDescent="0.25">
      <c r="A10008" s="18">
        <v>2900</v>
      </c>
      <c r="B10008" s="4" t="s">
        <v>44</v>
      </c>
      <c r="C10008" s="38" t="s">
        <v>5061</v>
      </c>
      <c r="D10008" s="18">
        <v>2022</v>
      </c>
      <c r="E10008" s="18" t="s">
        <v>0</v>
      </c>
      <c r="F10008" s="41">
        <v>1</v>
      </c>
      <c r="G10008" s="4">
        <v>2</v>
      </c>
      <c r="H10008" s="18">
        <f>0.02660444*(1000)</f>
        <v>26.60444</v>
      </c>
      <c r="I10008" s="90"/>
      <c r="J10008" s="90"/>
    </row>
    <row r="10009" spans="1:10" s="15" customFormat="1" ht="16.5" hidden="1" customHeight="1" outlineLevel="1" x14ac:dyDescent="0.25">
      <c r="A10009" s="18">
        <v>2901</v>
      </c>
      <c r="B10009" s="4" t="s">
        <v>44</v>
      </c>
      <c r="C10009" s="38" t="s">
        <v>5062</v>
      </c>
      <c r="D10009" s="18">
        <v>2022</v>
      </c>
      <c r="E10009" s="18" t="s">
        <v>0</v>
      </c>
      <c r="F10009" s="41">
        <v>1</v>
      </c>
      <c r="G10009" s="4">
        <v>2</v>
      </c>
      <c r="H10009" s="18">
        <f>0.02497752*(1000)</f>
        <v>24.977519999999998</v>
      </c>
      <c r="I10009" s="90"/>
      <c r="J10009" s="90"/>
    </row>
    <row r="10010" spans="1:10" s="15" customFormat="1" ht="16.5" hidden="1" customHeight="1" outlineLevel="1" x14ac:dyDescent="0.25">
      <c r="A10010" s="18">
        <v>2902</v>
      </c>
      <c r="B10010" s="4" t="s">
        <v>44</v>
      </c>
      <c r="C10010" s="38" t="s">
        <v>5063</v>
      </c>
      <c r="D10010" s="18">
        <v>2022</v>
      </c>
      <c r="E10010" s="18" t="s">
        <v>0</v>
      </c>
      <c r="F10010" s="41">
        <v>1</v>
      </c>
      <c r="G10010" s="4">
        <v>2</v>
      </c>
      <c r="H10010" s="18">
        <f>0.0250114*(1000)</f>
        <v>25.011399999999998</v>
      </c>
      <c r="I10010" s="90"/>
      <c r="J10010" s="90"/>
    </row>
    <row r="10011" spans="1:10" s="15" customFormat="1" ht="16.5" hidden="1" customHeight="1" outlineLevel="1" x14ac:dyDescent="0.25">
      <c r="A10011" s="18">
        <v>2903</v>
      </c>
      <c r="B10011" s="4" t="s">
        <v>44</v>
      </c>
      <c r="C10011" s="38" t="s">
        <v>5064</v>
      </c>
      <c r="D10011" s="18">
        <v>2022</v>
      </c>
      <c r="E10011" s="18" t="s">
        <v>0</v>
      </c>
      <c r="F10011" s="41">
        <v>1</v>
      </c>
      <c r="G10011" s="4">
        <v>2</v>
      </c>
      <c r="H10011" s="18">
        <f>0.02505453*(1000)</f>
        <v>25.05453</v>
      </c>
      <c r="I10011" s="90"/>
      <c r="J10011" s="90"/>
    </row>
    <row r="10012" spans="1:10" s="15" customFormat="1" ht="16.5" hidden="1" customHeight="1" outlineLevel="1" x14ac:dyDescent="0.25">
      <c r="A10012" s="18">
        <v>2904</v>
      </c>
      <c r="B10012" s="4" t="s">
        <v>44</v>
      </c>
      <c r="C10012" s="38" t="s">
        <v>5065</v>
      </c>
      <c r="D10012" s="18">
        <v>2022</v>
      </c>
      <c r="E10012" s="18" t="s">
        <v>0</v>
      </c>
      <c r="F10012" s="41">
        <v>1</v>
      </c>
      <c r="G10012" s="4">
        <v>2</v>
      </c>
      <c r="H10012" s="18">
        <f>0.02490981*(1000)</f>
        <v>24.90981</v>
      </c>
      <c r="I10012" s="90"/>
      <c r="J10012" s="90"/>
    </row>
    <row r="10013" spans="1:10" s="15" customFormat="1" ht="16.5" hidden="1" customHeight="1" outlineLevel="1" x14ac:dyDescent="0.25">
      <c r="A10013" s="18">
        <v>2905</v>
      </c>
      <c r="B10013" s="4" t="s">
        <v>44</v>
      </c>
      <c r="C10013" s="38" t="s">
        <v>5066</v>
      </c>
      <c r="D10013" s="18">
        <v>2022</v>
      </c>
      <c r="E10013" s="18" t="s">
        <v>0</v>
      </c>
      <c r="F10013" s="41">
        <v>1</v>
      </c>
      <c r="G10013" s="4">
        <v>2.8</v>
      </c>
      <c r="H10013" s="18">
        <f>0.02507909*(1000)</f>
        <v>25.079089999999997</v>
      </c>
      <c r="I10013" s="90"/>
      <c r="J10013" s="90"/>
    </row>
    <row r="10014" spans="1:10" s="15" customFormat="1" ht="16.5" hidden="1" customHeight="1" outlineLevel="1" x14ac:dyDescent="0.25">
      <c r="A10014" s="18">
        <v>2907</v>
      </c>
      <c r="B10014" s="4" t="s">
        <v>44</v>
      </c>
      <c r="C10014" s="38" t="s">
        <v>5067</v>
      </c>
      <c r="D10014" s="18">
        <v>2022</v>
      </c>
      <c r="E10014" s="18" t="s">
        <v>0</v>
      </c>
      <c r="F10014" s="41">
        <v>10</v>
      </c>
      <c r="G10014" s="4">
        <v>134</v>
      </c>
      <c r="H10014" s="18">
        <f>0.15450514*(1000)</f>
        <v>154.50514000000001</v>
      </c>
      <c r="I10014" s="90"/>
      <c r="J10014" s="90"/>
    </row>
    <row r="10015" spans="1:10" s="15" customFormat="1" ht="16.5" hidden="1" customHeight="1" outlineLevel="1" x14ac:dyDescent="0.25">
      <c r="A10015" s="18">
        <v>2933</v>
      </c>
      <c r="B10015" s="4" t="s">
        <v>44</v>
      </c>
      <c r="C10015" s="38" t="s">
        <v>5068</v>
      </c>
      <c r="D10015" s="18">
        <v>2022</v>
      </c>
      <c r="E10015" s="18" t="s">
        <v>0</v>
      </c>
      <c r="F10015" s="41">
        <v>3</v>
      </c>
      <c r="G10015" s="4">
        <v>30</v>
      </c>
      <c r="H10015" s="18">
        <f>0.04613473*(1000)</f>
        <v>46.134729999999998</v>
      </c>
      <c r="I10015" s="90"/>
      <c r="J10015" s="90"/>
    </row>
    <row r="10016" spans="1:10" s="15" customFormat="1" ht="16.5" hidden="1" customHeight="1" outlineLevel="1" x14ac:dyDescent="0.25">
      <c r="A10016" s="18">
        <v>2936</v>
      </c>
      <c r="B10016" s="4" t="s">
        <v>44</v>
      </c>
      <c r="C10016" s="38" t="s">
        <v>5069</v>
      </c>
      <c r="D10016" s="18">
        <v>2022</v>
      </c>
      <c r="E10016" s="18" t="s">
        <v>0</v>
      </c>
      <c r="F10016" s="41">
        <v>1</v>
      </c>
      <c r="G10016" s="4">
        <v>10</v>
      </c>
      <c r="H10016" s="18">
        <f>0.02310776*(1000)</f>
        <v>23.107760000000003</v>
      </c>
      <c r="I10016" s="90"/>
      <c r="J10016" s="90"/>
    </row>
    <row r="10017" spans="1:10" s="15" customFormat="1" ht="16.5" hidden="1" customHeight="1" outlineLevel="1" x14ac:dyDescent="0.25">
      <c r="A10017" s="18">
        <v>2937</v>
      </c>
      <c r="B10017" s="4" t="s">
        <v>44</v>
      </c>
      <c r="C10017" s="38" t="s">
        <v>5070</v>
      </c>
      <c r="D10017" s="18">
        <v>2022</v>
      </c>
      <c r="E10017" s="18" t="s">
        <v>0</v>
      </c>
      <c r="F10017" s="41">
        <v>12</v>
      </c>
      <c r="G10017" s="4">
        <v>145</v>
      </c>
      <c r="H10017" s="18">
        <f>0.19690911*(1000)</f>
        <v>196.90911</v>
      </c>
      <c r="I10017" s="90"/>
      <c r="J10017" s="90"/>
    </row>
    <row r="10018" spans="1:10" s="15" customFormat="1" ht="16.5" hidden="1" customHeight="1" outlineLevel="1" x14ac:dyDescent="0.25">
      <c r="A10018" s="18">
        <v>2938</v>
      </c>
      <c r="B10018" s="4" t="s">
        <v>44</v>
      </c>
      <c r="C10018" s="38" t="s">
        <v>5071</v>
      </c>
      <c r="D10018" s="18">
        <v>2022</v>
      </c>
      <c r="E10018" s="18" t="s">
        <v>0</v>
      </c>
      <c r="F10018" s="41">
        <v>7</v>
      </c>
      <c r="G10018" s="4">
        <v>80</v>
      </c>
      <c r="H10018" s="18">
        <f>0.09981603*(1000)</f>
        <v>99.816029999999998</v>
      </c>
      <c r="I10018" s="90"/>
      <c r="J10018" s="90"/>
    </row>
    <row r="10019" spans="1:10" s="15" customFormat="1" ht="16.5" hidden="1" customHeight="1" outlineLevel="1" x14ac:dyDescent="0.25">
      <c r="A10019" s="18">
        <v>2941</v>
      </c>
      <c r="B10019" s="4" t="s">
        <v>44</v>
      </c>
      <c r="C10019" s="38" t="s">
        <v>5072</v>
      </c>
      <c r="D10019" s="18">
        <v>2022</v>
      </c>
      <c r="E10019" s="18" t="s">
        <v>0</v>
      </c>
      <c r="F10019" s="41">
        <v>3</v>
      </c>
      <c r="G10019" s="4">
        <v>40</v>
      </c>
      <c r="H10019" s="18">
        <f>0.08913799*(1000)</f>
        <v>89.137990000000002</v>
      </c>
      <c r="I10019" s="90"/>
      <c r="J10019" s="90"/>
    </row>
    <row r="10020" spans="1:10" s="15" customFormat="1" ht="16.5" hidden="1" customHeight="1" outlineLevel="1" x14ac:dyDescent="0.25">
      <c r="A10020" s="18">
        <v>2942</v>
      </c>
      <c r="B10020" s="4" t="s">
        <v>44</v>
      </c>
      <c r="C10020" s="38" t="s">
        <v>5073</v>
      </c>
      <c r="D10020" s="18">
        <v>2022</v>
      </c>
      <c r="E10020" s="18" t="s">
        <v>0</v>
      </c>
      <c r="F10020" s="41">
        <v>10</v>
      </c>
      <c r="G10020" s="4">
        <v>112</v>
      </c>
      <c r="H10020" s="18">
        <f>0.13188653*(1000)</f>
        <v>131.88652999999999</v>
      </c>
      <c r="I10020" s="90"/>
      <c r="J10020" s="90"/>
    </row>
    <row r="10021" spans="1:10" s="15" customFormat="1" ht="16.5" hidden="1" customHeight="1" outlineLevel="1" x14ac:dyDescent="0.25">
      <c r="A10021" s="18">
        <v>2943</v>
      </c>
      <c r="B10021" s="4" t="s">
        <v>44</v>
      </c>
      <c r="C10021" s="38" t="s">
        <v>5074</v>
      </c>
      <c r="D10021" s="18">
        <v>2022</v>
      </c>
      <c r="E10021" s="18" t="s">
        <v>0</v>
      </c>
      <c r="F10021" s="41">
        <v>35</v>
      </c>
      <c r="G10021" s="4">
        <v>385</v>
      </c>
      <c r="H10021" s="18">
        <f>0.49191483*(1000)</f>
        <v>491.91483000000005</v>
      </c>
      <c r="I10021" s="90"/>
      <c r="J10021" s="90"/>
    </row>
    <row r="10022" spans="1:10" s="15" customFormat="1" ht="16.5" hidden="1" customHeight="1" outlineLevel="1" x14ac:dyDescent="0.25">
      <c r="A10022" s="18">
        <v>2946</v>
      </c>
      <c r="B10022" s="4" t="s">
        <v>44</v>
      </c>
      <c r="C10022" s="38" t="s">
        <v>5075</v>
      </c>
      <c r="D10022" s="18">
        <v>2022</v>
      </c>
      <c r="E10022" s="18" t="s">
        <v>0</v>
      </c>
      <c r="F10022" s="41">
        <v>4</v>
      </c>
      <c r="G10022" s="4">
        <v>28.12</v>
      </c>
      <c r="H10022" s="18">
        <f>0.04987805*(1000)</f>
        <v>49.878050000000002</v>
      </c>
      <c r="I10022" s="90"/>
      <c r="J10022" s="90"/>
    </row>
    <row r="10023" spans="1:10" s="15" customFormat="1" ht="16.5" hidden="1" customHeight="1" outlineLevel="1" x14ac:dyDescent="0.25">
      <c r="A10023" s="18">
        <v>2947</v>
      </c>
      <c r="B10023" s="4" t="s">
        <v>44</v>
      </c>
      <c r="C10023" s="38" t="s">
        <v>5076</v>
      </c>
      <c r="D10023" s="18">
        <v>2022</v>
      </c>
      <c r="E10023" s="18" t="s">
        <v>0</v>
      </c>
      <c r="F10023" s="41">
        <v>3</v>
      </c>
      <c r="G10023" s="4">
        <v>35</v>
      </c>
      <c r="H10023" s="18">
        <f>0.06225983*(1000)</f>
        <v>62.259830000000001</v>
      </c>
      <c r="I10023" s="90"/>
      <c r="J10023" s="90"/>
    </row>
    <row r="10024" spans="1:10" s="15" customFormat="1" ht="16.5" hidden="1" customHeight="1" outlineLevel="1" x14ac:dyDescent="0.25">
      <c r="A10024" s="18">
        <v>2948</v>
      </c>
      <c r="B10024" s="4" t="s">
        <v>44</v>
      </c>
      <c r="C10024" s="38" t="s">
        <v>5077</v>
      </c>
      <c r="D10024" s="18">
        <v>2022</v>
      </c>
      <c r="E10024" s="18" t="s">
        <v>0</v>
      </c>
      <c r="F10024" s="41">
        <v>3</v>
      </c>
      <c r="G10024" s="4">
        <v>40</v>
      </c>
      <c r="H10024" s="18">
        <f>0.07346244*(1000)</f>
        <v>73.462440000000001</v>
      </c>
      <c r="I10024" s="90"/>
      <c r="J10024" s="90"/>
    </row>
    <row r="10025" spans="1:10" s="15" customFormat="1" ht="16.5" hidden="1" customHeight="1" outlineLevel="1" x14ac:dyDescent="0.25">
      <c r="A10025" s="18">
        <v>2949</v>
      </c>
      <c r="B10025" s="4" t="s">
        <v>44</v>
      </c>
      <c r="C10025" s="38" t="s">
        <v>5078</v>
      </c>
      <c r="D10025" s="18">
        <v>2022</v>
      </c>
      <c r="E10025" s="18" t="s">
        <v>0</v>
      </c>
      <c r="F10025" s="41">
        <v>2</v>
      </c>
      <c r="G10025" s="4">
        <v>25</v>
      </c>
      <c r="H10025" s="18">
        <f>0.05158973*(1000)</f>
        <v>51.589730000000003</v>
      </c>
      <c r="I10025" s="90"/>
      <c r="J10025" s="90"/>
    </row>
    <row r="10026" spans="1:10" s="15" customFormat="1" ht="16.5" hidden="1" customHeight="1" outlineLevel="1" x14ac:dyDescent="0.25">
      <c r="A10026" s="18">
        <v>2950</v>
      </c>
      <c r="B10026" s="4" t="s">
        <v>44</v>
      </c>
      <c r="C10026" s="38" t="s">
        <v>5079</v>
      </c>
      <c r="D10026" s="18">
        <v>2022</v>
      </c>
      <c r="E10026" s="18" t="s">
        <v>0</v>
      </c>
      <c r="F10026" s="41">
        <v>3</v>
      </c>
      <c r="G10026" s="4">
        <v>66</v>
      </c>
      <c r="H10026" s="18">
        <f>0.06282568*(1000)</f>
        <v>62.825679999999991</v>
      </c>
      <c r="I10026" s="90"/>
      <c r="J10026" s="90"/>
    </row>
    <row r="10027" spans="1:10" s="15" customFormat="1" ht="16.5" hidden="1" customHeight="1" outlineLevel="1" x14ac:dyDescent="0.25">
      <c r="A10027" s="18">
        <v>2951</v>
      </c>
      <c r="B10027" s="4" t="s">
        <v>44</v>
      </c>
      <c r="C10027" s="38" t="s">
        <v>5080</v>
      </c>
      <c r="D10027" s="18">
        <v>2022</v>
      </c>
      <c r="E10027" s="18" t="s">
        <v>0</v>
      </c>
      <c r="F10027" s="41">
        <v>3</v>
      </c>
      <c r="G10027" s="4">
        <v>37</v>
      </c>
      <c r="H10027" s="18">
        <f>0.07310261*(1000)</f>
        <v>73.102609999999999</v>
      </c>
      <c r="I10027" s="90"/>
      <c r="J10027" s="90"/>
    </row>
    <row r="10028" spans="1:10" s="15" customFormat="1" ht="16.5" hidden="1" customHeight="1" outlineLevel="1" x14ac:dyDescent="0.25">
      <c r="A10028" s="18">
        <v>2953</v>
      </c>
      <c r="B10028" s="4" t="s">
        <v>44</v>
      </c>
      <c r="C10028" s="38" t="s">
        <v>5081</v>
      </c>
      <c r="D10028" s="18">
        <v>2022</v>
      </c>
      <c r="E10028" s="18" t="s">
        <v>0</v>
      </c>
      <c r="F10028" s="41">
        <v>2</v>
      </c>
      <c r="G10028" s="4">
        <v>21</v>
      </c>
      <c r="H10028" s="18">
        <f>0.04336875*(1000)</f>
        <v>43.368749999999999</v>
      </c>
      <c r="I10028" s="90"/>
      <c r="J10028" s="90"/>
    </row>
    <row r="10029" spans="1:10" s="15" customFormat="1" ht="16.5" hidden="1" customHeight="1" outlineLevel="1" x14ac:dyDescent="0.25">
      <c r="A10029" s="18">
        <v>2956</v>
      </c>
      <c r="B10029" s="4" t="s">
        <v>44</v>
      </c>
      <c r="C10029" s="38" t="s">
        <v>5082</v>
      </c>
      <c r="D10029" s="18">
        <v>2022</v>
      </c>
      <c r="E10029" s="18" t="s">
        <v>0</v>
      </c>
      <c r="F10029" s="41">
        <v>3</v>
      </c>
      <c r="G10029" s="4">
        <v>20</v>
      </c>
      <c r="H10029" s="18">
        <f>0.06456762*(1000)</f>
        <v>64.567620000000005</v>
      </c>
      <c r="I10029" s="90"/>
      <c r="J10029" s="90"/>
    </row>
    <row r="10030" spans="1:10" s="15" customFormat="1" ht="16.5" hidden="1" customHeight="1" outlineLevel="1" x14ac:dyDescent="0.25">
      <c r="A10030" s="18">
        <v>2960</v>
      </c>
      <c r="B10030" s="4" t="s">
        <v>44</v>
      </c>
      <c r="C10030" s="38" t="s">
        <v>5083</v>
      </c>
      <c r="D10030" s="18">
        <v>2022</v>
      </c>
      <c r="E10030" s="18" t="s">
        <v>0</v>
      </c>
      <c r="F10030" s="41">
        <v>2</v>
      </c>
      <c r="G10030" s="4">
        <v>25</v>
      </c>
      <c r="H10030" s="18">
        <f>0.05880541*(1000)</f>
        <v>58.805410000000002</v>
      </c>
      <c r="I10030" s="90"/>
      <c r="J10030" s="90"/>
    </row>
    <row r="10031" spans="1:10" s="15" customFormat="1" ht="16.5" hidden="1" customHeight="1" outlineLevel="1" x14ac:dyDescent="0.25">
      <c r="A10031" s="18">
        <v>2961</v>
      </c>
      <c r="B10031" s="4" t="s">
        <v>44</v>
      </c>
      <c r="C10031" s="38" t="s">
        <v>5084</v>
      </c>
      <c r="D10031" s="18">
        <v>2022</v>
      </c>
      <c r="E10031" s="18" t="s">
        <v>0</v>
      </c>
      <c r="F10031" s="41">
        <v>1</v>
      </c>
      <c r="G10031" s="4">
        <v>10</v>
      </c>
      <c r="H10031" s="18">
        <f>0.02310777*(1000)</f>
        <v>23.107769999999999</v>
      </c>
      <c r="I10031" s="90"/>
      <c r="J10031" s="90"/>
    </row>
    <row r="10032" spans="1:10" s="15" customFormat="1" ht="16.5" hidden="1" customHeight="1" outlineLevel="1" x14ac:dyDescent="0.25">
      <c r="A10032" s="18">
        <v>2963</v>
      </c>
      <c r="B10032" s="4" t="s">
        <v>44</v>
      </c>
      <c r="C10032" s="38" t="s">
        <v>5085</v>
      </c>
      <c r="D10032" s="18">
        <v>2022</v>
      </c>
      <c r="E10032" s="18" t="s">
        <v>0</v>
      </c>
      <c r="F10032" s="41">
        <v>1</v>
      </c>
      <c r="G10032" s="4">
        <v>5</v>
      </c>
      <c r="H10032" s="18">
        <f>0.03234399*(1000)</f>
        <v>32.343990000000005</v>
      </c>
      <c r="I10032" s="90"/>
      <c r="J10032" s="90"/>
    </row>
    <row r="10033" spans="1:10" s="15" customFormat="1" ht="16.5" hidden="1" customHeight="1" outlineLevel="1" x14ac:dyDescent="0.25">
      <c r="A10033" s="18">
        <v>2967</v>
      </c>
      <c r="B10033" s="4" t="s">
        <v>44</v>
      </c>
      <c r="C10033" s="38" t="s">
        <v>5086</v>
      </c>
      <c r="D10033" s="18">
        <v>2022</v>
      </c>
      <c r="E10033" s="18" t="s">
        <v>0</v>
      </c>
      <c r="F10033" s="41">
        <v>1</v>
      </c>
      <c r="G10033" s="4">
        <v>60</v>
      </c>
      <c r="H10033" s="18">
        <f>0.02244456*(1000)</f>
        <v>22.444559999999999</v>
      </c>
      <c r="I10033" s="90"/>
      <c r="J10033" s="90"/>
    </row>
    <row r="10034" spans="1:10" s="15" customFormat="1" ht="16.5" hidden="1" customHeight="1" outlineLevel="1" x14ac:dyDescent="0.25">
      <c r="A10034" s="18">
        <v>2969</v>
      </c>
      <c r="B10034" s="4" t="s">
        <v>44</v>
      </c>
      <c r="C10034" s="38" t="s">
        <v>5087</v>
      </c>
      <c r="D10034" s="18">
        <v>2022</v>
      </c>
      <c r="E10034" s="18" t="s">
        <v>0</v>
      </c>
      <c r="F10034" s="41">
        <v>17</v>
      </c>
      <c r="G10034" s="4">
        <v>178</v>
      </c>
      <c r="H10034" s="18">
        <f>0.24173635*(1000)</f>
        <v>241.73634999999999</v>
      </c>
      <c r="I10034" s="90"/>
      <c r="J10034" s="90"/>
    </row>
    <row r="10035" spans="1:10" s="15" customFormat="1" ht="16.5" hidden="1" customHeight="1" outlineLevel="1" x14ac:dyDescent="0.25">
      <c r="A10035" s="18">
        <v>2970</v>
      </c>
      <c r="B10035" s="4" t="s">
        <v>44</v>
      </c>
      <c r="C10035" s="38" t="s">
        <v>5088</v>
      </c>
      <c r="D10035" s="18">
        <v>2022</v>
      </c>
      <c r="E10035" s="18" t="s">
        <v>0</v>
      </c>
      <c r="F10035" s="41">
        <v>3</v>
      </c>
      <c r="G10035" s="4">
        <v>40</v>
      </c>
      <c r="H10035" s="18">
        <f>0.02491951*(1000)</f>
        <v>24.919509999999999</v>
      </c>
      <c r="I10035" s="90"/>
      <c r="J10035" s="90"/>
    </row>
    <row r="10036" spans="1:10" s="15" customFormat="1" ht="16.5" hidden="1" customHeight="1" outlineLevel="1" x14ac:dyDescent="0.25">
      <c r="A10036" s="18">
        <v>2971</v>
      </c>
      <c r="B10036" s="4" t="s">
        <v>44</v>
      </c>
      <c r="C10036" s="38" t="s">
        <v>5089</v>
      </c>
      <c r="D10036" s="18">
        <v>2022</v>
      </c>
      <c r="E10036" s="18" t="s">
        <v>0</v>
      </c>
      <c r="F10036" s="41">
        <v>13</v>
      </c>
      <c r="G10036" s="4">
        <v>160</v>
      </c>
      <c r="H10036" s="18">
        <f>0.21958691*(1000)</f>
        <v>219.58690999999999</v>
      </c>
      <c r="I10036" s="90"/>
      <c r="J10036" s="90"/>
    </row>
    <row r="10037" spans="1:10" s="15" customFormat="1" ht="16.5" hidden="1" customHeight="1" outlineLevel="1" x14ac:dyDescent="0.25">
      <c r="A10037" s="18">
        <v>2972</v>
      </c>
      <c r="B10037" s="4" t="s">
        <v>44</v>
      </c>
      <c r="C10037" s="38" t="s">
        <v>5090</v>
      </c>
      <c r="D10037" s="18">
        <v>2022</v>
      </c>
      <c r="E10037" s="18" t="s">
        <v>0</v>
      </c>
      <c r="F10037" s="41">
        <v>30</v>
      </c>
      <c r="G10037" s="4">
        <v>326</v>
      </c>
      <c r="H10037" s="18">
        <f>0.43675571*(1000)</f>
        <v>436.75571000000002</v>
      </c>
      <c r="I10037" s="90"/>
      <c r="J10037" s="90"/>
    </row>
    <row r="10038" spans="1:10" s="15" customFormat="1" ht="16.5" hidden="1" customHeight="1" outlineLevel="1" x14ac:dyDescent="0.25">
      <c r="A10038" s="18">
        <v>2973</v>
      </c>
      <c r="B10038" s="4" t="s">
        <v>44</v>
      </c>
      <c r="C10038" s="38" t="s">
        <v>5091</v>
      </c>
      <c r="D10038" s="18">
        <v>2022</v>
      </c>
      <c r="E10038" s="18" t="s">
        <v>0</v>
      </c>
      <c r="F10038" s="41">
        <v>5</v>
      </c>
      <c r="G10038" s="4">
        <v>60</v>
      </c>
      <c r="H10038" s="18">
        <f>0.04636124*(1000)</f>
        <v>46.361239999999995</v>
      </c>
      <c r="I10038" s="90"/>
      <c r="J10038" s="90"/>
    </row>
    <row r="10039" spans="1:10" s="15" customFormat="1" ht="16.5" hidden="1" customHeight="1" outlineLevel="1" x14ac:dyDescent="0.25">
      <c r="A10039" s="18">
        <v>2974</v>
      </c>
      <c r="B10039" s="4" t="s">
        <v>44</v>
      </c>
      <c r="C10039" s="38" t="s">
        <v>5092</v>
      </c>
      <c r="D10039" s="18">
        <v>2022</v>
      </c>
      <c r="E10039" s="18" t="s">
        <v>0</v>
      </c>
      <c r="F10039" s="41">
        <v>17</v>
      </c>
      <c r="G10039" s="4">
        <v>228</v>
      </c>
      <c r="H10039" s="18">
        <f>0.25715453*(1000)</f>
        <v>257.15452999999997</v>
      </c>
      <c r="I10039" s="90"/>
      <c r="J10039" s="90"/>
    </row>
    <row r="10040" spans="1:10" s="15" customFormat="1" ht="16.5" hidden="1" customHeight="1" outlineLevel="1" x14ac:dyDescent="0.25">
      <c r="A10040" s="18">
        <v>2975</v>
      </c>
      <c r="B10040" s="4" t="s">
        <v>44</v>
      </c>
      <c r="C10040" s="38" t="s">
        <v>5093</v>
      </c>
      <c r="D10040" s="18">
        <v>2022</v>
      </c>
      <c r="E10040" s="18" t="s">
        <v>0</v>
      </c>
      <c r="F10040" s="41">
        <v>17</v>
      </c>
      <c r="G10040" s="4">
        <v>208</v>
      </c>
      <c r="H10040" s="18">
        <f>0.1275607*(1000)</f>
        <v>127.5607</v>
      </c>
      <c r="I10040" s="90"/>
      <c r="J10040" s="90"/>
    </row>
    <row r="10041" spans="1:10" s="15" customFormat="1" ht="16.5" hidden="1" customHeight="1" outlineLevel="1" x14ac:dyDescent="0.25">
      <c r="A10041" s="18">
        <v>2976</v>
      </c>
      <c r="B10041" s="4" t="s">
        <v>44</v>
      </c>
      <c r="C10041" s="38" t="s">
        <v>5094</v>
      </c>
      <c r="D10041" s="18">
        <v>2022</v>
      </c>
      <c r="E10041" s="18" t="s">
        <v>0</v>
      </c>
      <c r="F10041" s="41">
        <v>7</v>
      </c>
      <c r="G10041" s="4">
        <v>84</v>
      </c>
      <c r="H10041" s="18">
        <f>0.06082144*(1000)</f>
        <v>60.821439999999996</v>
      </c>
      <c r="I10041" s="90"/>
      <c r="J10041" s="90"/>
    </row>
    <row r="10042" spans="1:10" s="15" customFormat="1" ht="16.5" hidden="1" customHeight="1" outlineLevel="1" x14ac:dyDescent="0.25">
      <c r="A10042" s="18">
        <v>2977</v>
      </c>
      <c r="B10042" s="4" t="s">
        <v>44</v>
      </c>
      <c r="C10042" s="38" t="s">
        <v>5095</v>
      </c>
      <c r="D10042" s="18">
        <v>2022</v>
      </c>
      <c r="E10042" s="18" t="s">
        <v>0</v>
      </c>
      <c r="F10042" s="41">
        <v>5</v>
      </c>
      <c r="G10042" s="4">
        <v>70</v>
      </c>
      <c r="H10042" s="18">
        <f>0.08582963*(1000)</f>
        <v>85.829630000000009</v>
      </c>
      <c r="I10042" s="90"/>
      <c r="J10042" s="90"/>
    </row>
    <row r="10043" spans="1:10" s="15" customFormat="1" ht="16.5" hidden="1" customHeight="1" outlineLevel="1" x14ac:dyDescent="0.25">
      <c r="A10043" s="18">
        <v>2978</v>
      </c>
      <c r="B10043" s="4" t="s">
        <v>44</v>
      </c>
      <c r="C10043" s="38" t="s">
        <v>5096</v>
      </c>
      <c r="D10043" s="18">
        <v>2022</v>
      </c>
      <c r="E10043" s="18" t="s">
        <v>0</v>
      </c>
      <c r="F10043" s="41">
        <v>6</v>
      </c>
      <c r="G10043" s="4">
        <v>65</v>
      </c>
      <c r="H10043" s="18">
        <f>0.06704616*(1000)</f>
        <v>67.04616</v>
      </c>
      <c r="I10043" s="90"/>
      <c r="J10043" s="90"/>
    </row>
    <row r="10044" spans="1:10" s="15" customFormat="1" ht="16.5" hidden="1" customHeight="1" outlineLevel="1" x14ac:dyDescent="0.25">
      <c r="A10044" s="18">
        <v>2979</v>
      </c>
      <c r="B10044" s="4" t="s">
        <v>44</v>
      </c>
      <c r="C10044" s="38" t="s">
        <v>5097</v>
      </c>
      <c r="D10044" s="18">
        <v>2022</v>
      </c>
      <c r="E10044" s="18" t="s">
        <v>0</v>
      </c>
      <c r="F10044" s="41">
        <v>7</v>
      </c>
      <c r="G10044" s="4">
        <v>110</v>
      </c>
      <c r="H10044" s="18">
        <f>0.0954655*(1000)</f>
        <v>95.465499999999992</v>
      </c>
      <c r="I10044" s="90"/>
      <c r="J10044" s="90"/>
    </row>
    <row r="10045" spans="1:10" s="15" customFormat="1" ht="16.5" hidden="1" customHeight="1" outlineLevel="1" x14ac:dyDescent="0.25">
      <c r="A10045" s="18">
        <v>2980</v>
      </c>
      <c r="B10045" s="4" t="s">
        <v>44</v>
      </c>
      <c r="C10045" s="38" t="s">
        <v>5098</v>
      </c>
      <c r="D10045" s="18">
        <v>2022</v>
      </c>
      <c r="E10045" s="18" t="s">
        <v>0</v>
      </c>
      <c r="F10045" s="41">
        <v>9</v>
      </c>
      <c r="G10045" s="4">
        <v>110</v>
      </c>
      <c r="H10045" s="18">
        <f>0.07340391*(1000)</f>
        <v>73.403909999999996</v>
      </c>
      <c r="I10045" s="90"/>
      <c r="J10045" s="90"/>
    </row>
    <row r="10046" spans="1:10" s="15" customFormat="1" ht="16.5" hidden="1" customHeight="1" outlineLevel="1" x14ac:dyDescent="0.25">
      <c r="A10046" s="18">
        <v>2981</v>
      </c>
      <c r="B10046" s="4" t="s">
        <v>44</v>
      </c>
      <c r="C10046" s="38" t="s">
        <v>5099</v>
      </c>
      <c r="D10046" s="18">
        <v>2022</v>
      </c>
      <c r="E10046" s="18" t="s">
        <v>0</v>
      </c>
      <c r="F10046" s="41">
        <v>5</v>
      </c>
      <c r="G10046" s="4">
        <v>65</v>
      </c>
      <c r="H10046" s="18">
        <f>0.03628488*(1000)</f>
        <v>36.284880000000001</v>
      </c>
      <c r="I10046" s="90"/>
      <c r="J10046" s="90"/>
    </row>
    <row r="10047" spans="1:10" s="15" customFormat="1" ht="16.5" hidden="1" customHeight="1" outlineLevel="1" x14ac:dyDescent="0.25">
      <c r="A10047" s="18">
        <v>2982</v>
      </c>
      <c r="B10047" s="4" t="s">
        <v>44</v>
      </c>
      <c r="C10047" s="38" t="s">
        <v>5100</v>
      </c>
      <c r="D10047" s="18">
        <v>2022</v>
      </c>
      <c r="E10047" s="18" t="s">
        <v>0</v>
      </c>
      <c r="F10047" s="41">
        <v>9</v>
      </c>
      <c r="G10047" s="4">
        <v>92</v>
      </c>
      <c r="H10047" s="18">
        <f>0.12084411*(1000)</f>
        <v>120.84411</v>
      </c>
      <c r="I10047" s="90"/>
      <c r="J10047" s="90"/>
    </row>
    <row r="10048" spans="1:10" s="15" customFormat="1" ht="16.5" hidden="1" customHeight="1" outlineLevel="1" x14ac:dyDescent="0.25">
      <c r="A10048" s="18">
        <v>2987</v>
      </c>
      <c r="B10048" s="4" t="s">
        <v>44</v>
      </c>
      <c r="C10048" s="38" t="s">
        <v>5101</v>
      </c>
      <c r="D10048" s="18">
        <v>2022</v>
      </c>
      <c r="E10048" s="18" t="s">
        <v>0</v>
      </c>
      <c r="F10048" s="41">
        <v>1</v>
      </c>
      <c r="G10048" s="4">
        <v>27</v>
      </c>
      <c r="H10048" s="18">
        <f>0.02398995*(1000)</f>
        <v>23.98995</v>
      </c>
      <c r="I10048" s="90"/>
      <c r="J10048" s="90"/>
    </row>
    <row r="10049" spans="1:10" s="15" customFormat="1" ht="16.5" hidden="1" customHeight="1" outlineLevel="1" x14ac:dyDescent="0.25">
      <c r="A10049" s="18">
        <v>2988</v>
      </c>
      <c r="B10049" s="4" t="s">
        <v>44</v>
      </c>
      <c r="C10049" s="38" t="s">
        <v>5102</v>
      </c>
      <c r="D10049" s="18">
        <v>2022</v>
      </c>
      <c r="E10049" s="18" t="s">
        <v>0</v>
      </c>
      <c r="F10049" s="41">
        <v>2</v>
      </c>
      <c r="G10049" s="4">
        <v>30</v>
      </c>
      <c r="H10049" s="18">
        <f>0.04575558*(1000)</f>
        <v>45.755579999999995</v>
      </c>
      <c r="I10049" s="90"/>
      <c r="J10049" s="90"/>
    </row>
    <row r="10050" spans="1:10" s="15" customFormat="1" ht="16.5" hidden="1" customHeight="1" outlineLevel="1" x14ac:dyDescent="0.25">
      <c r="A10050" s="18">
        <v>3017</v>
      </c>
      <c r="B10050" s="4" t="s">
        <v>44</v>
      </c>
      <c r="C10050" s="38" t="s">
        <v>5103</v>
      </c>
      <c r="D10050" s="18">
        <v>2022</v>
      </c>
      <c r="E10050" s="18" t="s">
        <v>0</v>
      </c>
      <c r="F10050" s="41">
        <v>1</v>
      </c>
      <c r="G10050" s="4">
        <v>10</v>
      </c>
      <c r="H10050" s="18">
        <f>0.01916573*(1000)</f>
        <v>19.16573</v>
      </c>
      <c r="I10050" s="90"/>
      <c r="J10050" s="90"/>
    </row>
    <row r="10051" spans="1:10" s="15" customFormat="1" ht="16.5" hidden="1" customHeight="1" outlineLevel="1" x14ac:dyDescent="0.25">
      <c r="A10051" s="18">
        <v>3018</v>
      </c>
      <c r="B10051" s="4" t="s">
        <v>44</v>
      </c>
      <c r="C10051" s="38" t="s">
        <v>5104</v>
      </c>
      <c r="D10051" s="18">
        <v>2022</v>
      </c>
      <c r="E10051" s="18" t="s">
        <v>0</v>
      </c>
      <c r="F10051" s="41">
        <v>1</v>
      </c>
      <c r="G10051" s="4">
        <v>15</v>
      </c>
      <c r="H10051" s="18">
        <f>0.01916572*(1000)</f>
        <v>19.16572</v>
      </c>
      <c r="I10051" s="90"/>
      <c r="J10051" s="90"/>
    </row>
    <row r="10052" spans="1:10" s="15" customFormat="1" ht="16.5" hidden="1" customHeight="1" outlineLevel="1" x14ac:dyDescent="0.25">
      <c r="A10052" s="18">
        <v>3019</v>
      </c>
      <c r="B10052" s="4" t="s">
        <v>44</v>
      </c>
      <c r="C10052" s="38" t="s">
        <v>5105</v>
      </c>
      <c r="D10052" s="18">
        <v>2022</v>
      </c>
      <c r="E10052" s="18" t="s">
        <v>0</v>
      </c>
      <c r="F10052" s="41">
        <v>1</v>
      </c>
      <c r="G10052" s="4">
        <v>10</v>
      </c>
      <c r="H10052" s="18">
        <f>0.01893578*(1000)</f>
        <v>18.935779999999998</v>
      </c>
      <c r="I10052" s="90"/>
      <c r="J10052" s="90"/>
    </row>
    <row r="10053" spans="1:10" s="15" customFormat="1" ht="16.5" hidden="1" customHeight="1" outlineLevel="1" x14ac:dyDescent="0.25">
      <c r="A10053" s="18">
        <v>3024</v>
      </c>
      <c r="B10053" s="4" t="s">
        <v>44</v>
      </c>
      <c r="C10053" s="38" t="s">
        <v>5106</v>
      </c>
      <c r="D10053" s="18">
        <v>2022</v>
      </c>
      <c r="E10053" s="18" t="s">
        <v>0</v>
      </c>
      <c r="F10053" s="41">
        <v>2</v>
      </c>
      <c r="G10053" s="4">
        <v>17</v>
      </c>
      <c r="H10053" s="18">
        <f>0.02993381*(1000)</f>
        <v>29.933810000000001</v>
      </c>
      <c r="I10053" s="90"/>
      <c r="J10053" s="90"/>
    </row>
    <row r="10054" spans="1:10" s="15" customFormat="1" ht="16.5" hidden="1" customHeight="1" outlineLevel="1" x14ac:dyDescent="0.25">
      <c r="A10054" s="18">
        <v>3025</v>
      </c>
      <c r="B10054" s="4" t="s">
        <v>44</v>
      </c>
      <c r="C10054" s="38" t="s">
        <v>5107</v>
      </c>
      <c r="D10054" s="18">
        <v>2022</v>
      </c>
      <c r="E10054" s="18" t="s">
        <v>0</v>
      </c>
      <c r="F10054" s="41">
        <v>1</v>
      </c>
      <c r="G10054" s="4">
        <v>11</v>
      </c>
      <c r="H10054" s="18">
        <f>0.02864675*(1000)</f>
        <v>28.646749999999997</v>
      </c>
      <c r="I10054" s="90"/>
      <c r="J10054" s="90"/>
    </row>
    <row r="10055" spans="1:10" s="15" customFormat="1" ht="16.5" hidden="1" customHeight="1" outlineLevel="1" x14ac:dyDescent="0.25">
      <c r="A10055" s="18">
        <v>3026</v>
      </c>
      <c r="B10055" s="4" t="s">
        <v>44</v>
      </c>
      <c r="C10055" s="38" t="s">
        <v>5108</v>
      </c>
      <c r="D10055" s="18">
        <v>2022</v>
      </c>
      <c r="E10055" s="18" t="s">
        <v>0</v>
      </c>
      <c r="F10055" s="41">
        <v>1</v>
      </c>
      <c r="G10055" s="4">
        <v>10</v>
      </c>
      <c r="H10055" s="18">
        <f>0.01822365*(1000)</f>
        <v>18.223649999999999</v>
      </c>
      <c r="I10055" s="90"/>
      <c r="J10055" s="90"/>
    </row>
    <row r="10056" spans="1:10" s="15" customFormat="1" ht="16.5" hidden="1" customHeight="1" outlineLevel="1" x14ac:dyDescent="0.25">
      <c r="A10056" s="18">
        <v>3027</v>
      </c>
      <c r="B10056" s="4" t="s">
        <v>44</v>
      </c>
      <c r="C10056" s="38" t="s">
        <v>5109</v>
      </c>
      <c r="D10056" s="18">
        <v>2022</v>
      </c>
      <c r="E10056" s="18" t="s">
        <v>0</v>
      </c>
      <c r="F10056" s="41">
        <v>1</v>
      </c>
      <c r="G10056" s="4">
        <v>14</v>
      </c>
      <c r="H10056" s="18">
        <f>0.01916573*(1000)</f>
        <v>19.16573</v>
      </c>
      <c r="I10056" s="90"/>
      <c r="J10056" s="90"/>
    </row>
    <row r="10057" spans="1:10" s="15" customFormat="1" ht="16.5" hidden="1" customHeight="1" outlineLevel="1" x14ac:dyDescent="0.25">
      <c r="A10057" s="18">
        <v>3029</v>
      </c>
      <c r="B10057" s="4" t="s">
        <v>44</v>
      </c>
      <c r="C10057" s="38" t="s">
        <v>5110</v>
      </c>
      <c r="D10057" s="18">
        <v>2022</v>
      </c>
      <c r="E10057" s="18" t="s">
        <v>0</v>
      </c>
      <c r="F10057" s="41">
        <v>1</v>
      </c>
      <c r="G10057" s="4">
        <v>15</v>
      </c>
      <c r="H10057" s="18">
        <f>0.01916575*(1000)</f>
        <v>19.165749999999999</v>
      </c>
      <c r="I10057" s="90"/>
      <c r="J10057" s="90"/>
    </row>
    <row r="10058" spans="1:10" s="15" customFormat="1" ht="16.5" hidden="1" customHeight="1" outlineLevel="1" x14ac:dyDescent="0.25">
      <c r="A10058" s="18">
        <v>3030</v>
      </c>
      <c r="B10058" s="4" t="s">
        <v>44</v>
      </c>
      <c r="C10058" s="38" t="s">
        <v>5111</v>
      </c>
      <c r="D10058" s="18">
        <v>2022</v>
      </c>
      <c r="E10058" s="18" t="s">
        <v>0</v>
      </c>
      <c r="F10058" s="41">
        <v>1</v>
      </c>
      <c r="G10058" s="4">
        <v>5.5</v>
      </c>
      <c r="H10058" s="18">
        <f>0.01916573*(1000)</f>
        <v>19.16573</v>
      </c>
      <c r="I10058" s="90"/>
      <c r="J10058" s="90"/>
    </row>
    <row r="10059" spans="1:10" s="15" customFormat="1" ht="16.5" hidden="1" customHeight="1" outlineLevel="1" x14ac:dyDescent="0.25">
      <c r="A10059" s="18">
        <v>3031</v>
      </c>
      <c r="B10059" s="4" t="s">
        <v>44</v>
      </c>
      <c r="C10059" s="38" t="s">
        <v>5112</v>
      </c>
      <c r="D10059" s="18">
        <v>2022</v>
      </c>
      <c r="E10059" s="18" t="s">
        <v>0</v>
      </c>
      <c r="F10059" s="41">
        <v>1</v>
      </c>
      <c r="G10059" s="4">
        <v>12</v>
      </c>
      <c r="H10059" s="18">
        <f>0.01916573*(1000)</f>
        <v>19.16573</v>
      </c>
      <c r="I10059" s="90"/>
      <c r="J10059" s="90"/>
    </row>
    <row r="10060" spans="1:10" s="15" customFormat="1" ht="16.5" hidden="1" customHeight="1" outlineLevel="1" x14ac:dyDescent="0.25">
      <c r="A10060" s="18">
        <v>3032</v>
      </c>
      <c r="B10060" s="4" t="s">
        <v>44</v>
      </c>
      <c r="C10060" s="38" t="s">
        <v>5113</v>
      </c>
      <c r="D10060" s="18">
        <v>2022</v>
      </c>
      <c r="E10060" s="18" t="s">
        <v>0</v>
      </c>
      <c r="F10060" s="41">
        <v>1</v>
      </c>
      <c r="G10060" s="4">
        <v>14</v>
      </c>
      <c r="H10060" s="18">
        <f>0.01916574*(1000)</f>
        <v>19.16574</v>
      </c>
      <c r="I10060" s="90"/>
      <c r="J10060" s="90"/>
    </row>
    <row r="10061" spans="1:10" s="15" customFormat="1" ht="16.5" hidden="1" customHeight="1" outlineLevel="1" x14ac:dyDescent="0.25">
      <c r="A10061" s="18">
        <v>3033</v>
      </c>
      <c r="B10061" s="4" t="s">
        <v>44</v>
      </c>
      <c r="C10061" s="38" t="s">
        <v>5114</v>
      </c>
      <c r="D10061" s="18">
        <v>2022</v>
      </c>
      <c r="E10061" s="18" t="s">
        <v>0</v>
      </c>
      <c r="F10061" s="41">
        <v>1</v>
      </c>
      <c r="G10061" s="4">
        <v>14</v>
      </c>
      <c r="H10061" s="18">
        <f>0.01893578*(1000)</f>
        <v>18.935779999999998</v>
      </c>
      <c r="I10061" s="90"/>
      <c r="J10061" s="90"/>
    </row>
    <row r="10062" spans="1:10" s="15" customFormat="1" ht="16.5" hidden="1" customHeight="1" outlineLevel="1" x14ac:dyDescent="0.25">
      <c r="A10062" s="18">
        <v>3034</v>
      </c>
      <c r="B10062" s="4" t="s">
        <v>44</v>
      </c>
      <c r="C10062" s="38" t="s">
        <v>5115</v>
      </c>
      <c r="D10062" s="18">
        <v>2022</v>
      </c>
      <c r="E10062" s="18" t="s">
        <v>0</v>
      </c>
      <c r="F10062" s="41">
        <v>1</v>
      </c>
      <c r="G10062" s="4">
        <v>10</v>
      </c>
      <c r="H10062" s="18">
        <f>0.01893577*(1000)</f>
        <v>18.935770000000002</v>
      </c>
      <c r="I10062" s="90"/>
      <c r="J10062" s="90"/>
    </row>
    <row r="10063" spans="1:10" s="15" customFormat="1" ht="16.5" hidden="1" customHeight="1" outlineLevel="1" x14ac:dyDescent="0.25">
      <c r="A10063" s="18">
        <v>3037</v>
      </c>
      <c r="B10063" s="4" t="s">
        <v>44</v>
      </c>
      <c r="C10063" s="38" t="s">
        <v>5116</v>
      </c>
      <c r="D10063" s="18">
        <v>2022</v>
      </c>
      <c r="E10063" s="18" t="s">
        <v>0</v>
      </c>
      <c r="F10063" s="41">
        <v>1</v>
      </c>
      <c r="G10063" s="4">
        <v>15</v>
      </c>
      <c r="H10063" s="18">
        <f>0.01893578*(1000)</f>
        <v>18.935779999999998</v>
      </c>
      <c r="I10063" s="90"/>
      <c r="J10063" s="90"/>
    </row>
    <row r="10064" spans="1:10" s="15" customFormat="1" ht="16.5" hidden="1" customHeight="1" outlineLevel="1" x14ac:dyDescent="0.25">
      <c r="A10064" s="18">
        <v>3038</v>
      </c>
      <c r="B10064" s="4" t="s">
        <v>44</v>
      </c>
      <c r="C10064" s="38" t="s">
        <v>5117</v>
      </c>
      <c r="D10064" s="18">
        <v>2022</v>
      </c>
      <c r="E10064" s="18" t="s">
        <v>0</v>
      </c>
      <c r="F10064" s="41">
        <v>1</v>
      </c>
      <c r="G10064" s="4">
        <v>10</v>
      </c>
      <c r="H10064" s="18">
        <f>0.01893577*(1000)</f>
        <v>18.935770000000002</v>
      </c>
      <c r="I10064" s="90"/>
      <c r="J10064" s="90"/>
    </row>
    <row r="10065" spans="1:10" s="15" customFormat="1" ht="16.5" hidden="1" customHeight="1" outlineLevel="1" x14ac:dyDescent="0.25">
      <c r="A10065" s="18">
        <v>3040</v>
      </c>
      <c r="B10065" s="4" t="s">
        <v>44</v>
      </c>
      <c r="C10065" s="38" t="s">
        <v>5118</v>
      </c>
      <c r="D10065" s="18">
        <v>2022</v>
      </c>
      <c r="E10065" s="18" t="s">
        <v>0</v>
      </c>
      <c r="F10065" s="41">
        <v>1</v>
      </c>
      <c r="G10065" s="4">
        <v>10</v>
      </c>
      <c r="H10065" s="18">
        <f>0.01893578*(1000)</f>
        <v>18.935779999999998</v>
      </c>
      <c r="I10065" s="90"/>
      <c r="J10065" s="90"/>
    </row>
    <row r="10066" spans="1:10" s="15" customFormat="1" ht="16.5" hidden="1" customHeight="1" outlineLevel="1" x14ac:dyDescent="0.25">
      <c r="A10066" s="18">
        <v>3041</v>
      </c>
      <c r="B10066" s="4" t="s">
        <v>44</v>
      </c>
      <c r="C10066" s="38" t="s">
        <v>5119</v>
      </c>
      <c r="D10066" s="18">
        <v>2022</v>
      </c>
      <c r="E10066" s="18" t="s">
        <v>0</v>
      </c>
      <c r="F10066" s="41">
        <v>1</v>
      </c>
      <c r="G10066" s="4">
        <v>15</v>
      </c>
      <c r="H10066" s="18">
        <f>0.01893577*(1000)</f>
        <v>18.935770000000002</v>
      </c>
      <c r="I10066" s="90"/>
      <c r="J10066" s="90"/>
    </row>
    <row r="10067" spans="1:10" s="15" customFormat="1" ht="16.5" hidden="1" customHeight="1" outlineLevel="1" x14ac:dyDescent="0.25">
      <c r="A10067" s="18">
        <v>3045</v>
      </c>
      <c r="B10067" s="4" t="s">
        <v>44</v>
      </c>
      <c r="C10067" s="38" t="s">
        <v>5120</v>
      </c>
      <c r="D10067" s="18">
        <v>2022</v>
      </c>
      <c r="E10067" s="18" t="s">
        <v>0</v>
      </c>
      <c r="F10067" s="41">
        <v>1</v>
      </c>
      <c r="G10067" s="4">
        <v>14</v>
      </c>
      <c r="H10067" s="18">
        <f>0.01916574*(1000)</f>
        <v>19.16574</v>
      </c>
      <c r="I10067" s="90"/>
      <c r="J10067" s="90"/>
    </row>
    <row r="10068" spans="1:10" s="15" customFormat="1" ht="16.5" hidden="1" customHeight="1" outlineLevel="1" x14ac:dyDescent="0.25">
      <c r="A10068" s="18">
        <v>3046</v>
      </c>
      <c r="B10068" s="4" t="s">
        <v>44</v>
      </c>
      <c r="C10068" s="38" t="s">
        <v>5121</v>
      </c>
      <c r="D10068" s="18">
        <v>2022</v>
      </c>
      <c r="E10068" s="18" t="s">
        <v>0</v>
      </c>
      <c r="F10068" s="41">
        <v>1</v>
      </c>
      <c r="G10068" s="4">
        <v>15</v>
      </c>
      <c r="H10068" s="18">
        <f>0.01916572*(1000)</f>
        <v>19.16572</v>
      </c>
      <c r="I10068" s="90"/>
      <c r="J10068" s="90"/>
    </row>
    <row r="10069" spans="1:10" s="15" customFormat="1" ht="16.5" hidden="1" customHeight="1" outlineLevel="1" x14ac:dyDescent="0.25">
      <c r="A10069" s="18">
        <v>3047</v>
      </c>
      <c r="B10069" s="4" t="s">
        <v>44</v>
      </c>
      <c r="C10069" s="38" t="s">
        <v>5122</v>
      </c>
      <c r="D10069" s="18">
        <v>2022</v>
      </c>
      <c r="E10069" s="18" t="s">
        <v>0</v>
      </c>
      <c r="F10069" s="41">
        <v>1</v>
      </c>
      <c r="G10069" s="4">
        <v>10</v>
      </c>
      <c r="H10069" s="18">
        <f>0.01916573*(1000)</f>
        <v>19.16573</v>
      </c>
      <c r="I10069" s="90"/>
      <c r="J10069" s="90"/>
    </row>
    <row r="10070" spans="1:10" s="15" customFormat="1" ht="16.5" hidden="1" customHeight="1" outlineLevel="1" x14ac:dyDescent="0.25">
      <c r="A10070" s="18">
        <v>3048</v>
      </c>
      <c r="B10070" s="4" t="s">
        <v>44</v>
      </c>
      <c r="C10070" s="38" t="s">
        <v>5123</v>
      </c>
      <c r="D10070" s="18">
        <v>2022</v>
      </c>
      <c r="E10070" s="18" t="s">
        <v>0</v>
      </c>
      <c r="F10070" s="41">
        <v>1</v>
      </c>
      <c r="G10070" s="4">
        <v>10</v>
      </c>
      <c r="H10070" s="18">
        <f>0.01916572*(1000)</f>
        <v>19.16572</v>
      </c>
      <c r="I10070" s="90"/>
      <c r="J10070" s="90"/>
    </row>
    <row r="10071" spans="1:10" s="15" customFormat="1" ht="16.5" hidden="1" customHeight="1" outlineLevel="1" x14ac:dyDescent="0.25">
      <c r="A10071" s="18">
        <v>3049</v>
      </c>
      <c r="B10071" s="4" t="s">
        <v>44</v>
      </c>
      <c r="C10071" s="38" t="s">
        <v>5124</v>
      </c>
      <c r="D10071" s="18">
        <v>2022</v>
      </c>
      <c r="E10071" s="18" t="s">
        <v>0</v>
      </c>
      <c r="F10071" s="41">
        <v>1</v>
      </c>
      <c r="G10071" s="4">
        <v>12.5</v>
      </c>
      <c r="H10071" s="18">
        <f>0.01338467*(1000)</f>
        <v>13.38467</v>
      </c>
      <c r="I10071" s="90"/>
      <c r="J10071" s="90"/>
    </row>
    <row r="10072" spans="1:10" s="15" customFormat="1" ht="16.5" hidden="1" customHeight="1" outlineLevel="1" x14ac:dyDescent="0.25">
      <c r="A10072" s="18">
        <v>3050</v>
      </c>
      <c r="B10072" s="4" t="s">
        <v>44</v>
      </c>
      <c r="C10072" s="38" t="s">
        <v>5125</v>
      </c>
      <c r="D10072" s="18">
        <v>2022</v>
      </c>
      <c r="E10072" s="18" t="s">
        <v>0</v>
      </c>
      <c r="F10072" s="41">
        <v>1</v>
      </c>
      <c r="G10072" s="4">
        <v>15</v>
      </c>
      <c r="H10072" s="18">
        <f>0.01338466*(1000)</f>
        <v>13.38466</v>
      </c>
      <c r="I10072" s="90"/>
      <c r="J10072" s="90"/>
    </row>
    <row r="10073" spans="1:10" s="15" customFormat="1" ht="16.5" hidden="1" customHeight="1" outlineLevel="1" x14ac:dyDescent="0.25">
      <c r="A10073" s="18">
        <v>3051</v>
      </c>
      <c r="B10073" s="4" t="s">
        <v>44</v>
      </c>
      <c r="C10073" s="38" t="s">
        <v>5126</v>
      </c>
      <c r="D10073" s="18">
        <v>2022</v>
      </c>
      <c r="E10073" s="18" t="s">
        <v>0</v>
      </c>
      <c r="F10073" s="41">
        <v>1</v>
      </c>
      <c r="G10073" s="4">
        <v>15</v>
      </c>
      <c r="H10073" s="18">
        <f>0.01338467*(1000)</f>
        <v>13.38467</v>
      </c>
      <c r="I10073" s="90"/>
      <c r="J10073" s="90"/>
    </row>
    <row r="10074" spans="1:10" s="15" customFormat="1" ht="16.5" hidden="1" customHeight="1" outlineLevel="1" x14ac:dyDescent="0.25">
      <c r="A10074" s="18">
        <v>3052</v>
      </c>
      <c r="B10074" s="4" t="s">
        <v>44</v>
      </c>
      <c r="C10074" s="38" t="s">
        <v>5127</v>
      </c>
      <c r="D10074" s="18">
        <v>2022</v>
      </c>
      <c r="E10074" s="18" t="s">
        <v>0</v>
      </c>
      <c r="F10074" s="41">
        <v>1</v>
      </c>
      <c r="G10074" s="4">
        <v>15</v>
      </c>
      <c r="H10074" s="18">
        <f>0.01338466*(1000)</f>
        <v>13.38466</v>
      </c>
      <c r="I10074" s="90"/>
      <c r="J10074" s="90"/>
    </row>
    <row r="10075" spans="1:10" s="15" customFormat="1" ht="16.5" hidden="1" customHeight="1" outlineLevel="1" x14ac:dyDescent="0.25">
      <c r="A10075" s="18">
        <v>3053</v>
      </c>
      <c r="B10075" s="4" t="s">
        <v>44</v>
      </c>
      <c r="C10075" s="38" t="s">
        <v>5128</v>
      </c>
      <c r="D10075" s="18">
        <v>2022</v>
      </c>
      <c r="E10075" s="18" t="s">
        <v>0</v>
      </c>
      <c r="F10075" s="41">
        <v>1</v>
      </c>
      <c r="G10075" s="4">
        <v>15</v>
      </c>
      <c r="H10075" s="18">
        <f>0.01338467*(1000)</f>
        <v>13.38467</v>
      </c>
      <c r="I10075" s="90"/>
      <c r="J10075" s="90"/>
    </row>
    <row r="10076" spans="1:10" s="15" customFormat="1" ht="16.5" hidden="1" customHeight="1" outlineLevel="1" x14ac:dyDescent="0.25">
      <c r="A10076" s="18">
        <v>3054</v>
      </c>
      <c r="B10076" s="4" t="s">
        <v>44</v>
      </c>
      <c r="C10076" s="38" t="s">
        <v>5129</v>
      </c>
      <c r="D10076" s="18">
        <v>2022</v>
      </c>
      <c r="E10076" s="18" t="s">
        <v>0</v>
      </c>
      <c r="F10076" s="41">
        <v>1</v>
      </c>
      <c r="G10076" s="4">
        <v>15</v>
      </c>
      <c r="H10076" s="18">
        <f>0.01338368*(1000)</f>
        <v>13.38368</v>
      </c>
      <c r="I10076" s="90"/>
      <c r="J10076" s="90"/>
    </row>
    <row r="10077" spans="1:10" s="15" customFormat="1" ht="16.5" hidden="1" customHeight="1" outlineLevel="1" x14ac:dyDescent="0.25">
      <c r="A10077" s="18">
        <v>3056</v>
      </c>
      <c r="B10077" s="4" t="s">
        <v>44</v>
      </c>
      <c r="C10077" s="38" t="s">
        <v>5130</v>
      </c>
      <c r="D10077" s="18">
        <v>2022</v>
      </c>
      <c r="E10077" s="18" t="s">
        <v>0</v>
      </c>
      <c r="F10077" s="41">
        <v>2</v>
      </c>
      <c r="G10077" s="4">
        <v>20</v>
      </c>
      <c r="H10077" s="18">
        <f>0.03536632*(1000)</f>
        <v>35.366320000000002</v>
      </c>
      <c r="I10077" s="90"/>
      <c r="J10077" s="90"/>
    </row>
    <row r="10078" spans="1:10" s="15" customFormat="1" ht="16.5" hidden="1" customHeight="1" outlineLevel="1" x14ac:dyDescent="0.25">
      <c r="A10078" s="18">
        <v>3057</v>
      </c>
      <c r="B10078" s="4" t="s">
        <v>44</v>
      </c>
      <c r="C10078" s="38" t="s">
        <v>5131</v>
      </c>
      <c r="D10078" s="18">
        <v>2022</v>
      </c>
      <c r="E10078" s="18" t="s">
        <v>0</v>
      </c>
      <c r="F10078" s="41">
        <v>1</v>
      </c>
      <c r="G10078" s="4">
        <v>6</v>
      </c>
      <c r="H10078" s="18">
        <f>0.01780619*(1000)</f>
        <v>17.806190000000001</v>
      </c>
      <c r="I10078" s="90"/>
      <c r="J10078" s="90"/>
    </row>
    <row r="10079" spans="1:10" s="15" customFormat="1" ht="16.5" hidden="1" customHeight="1" outlineLevel="1" x14ac:dyDescent="0.25">
      <c r="A10079" s="18">
        <v>3058</v>
      </c>
      <c r="B10079" s="4" t="s">
        <v>44</v>
      </c>
      <c r="C10079" s="38" t="s">
        <v>5132</v>
      </c>
      <c r="D10079" s="18">
        <v>2022</v>
      </c>
      <c r="E10079" s="18" t="s">
        <v>0</v>
      </c>
      <c r="F10079" s="41">
        <v>1</v>
      </c>
      <c r="G10079" s="4">
        <v>15</v>
      </c>
      <c r="H10079" s="18">
        <f>0.01780619*(1000)</f>
        <v>17.806190000000001</v>
      </c>
      <c r="I10079" s="90"/>
      <c r="J10079" s="90"/>
    </row>
    <row r="10080" spans="1:10" s="15" customFormat="1" ht="16.5" hidden="1" customHeight="1" outlineLevel="1" x14ac:dyDescent="0.25">
      <c r="A10080" s="18">
        <v>3059</v>
      </c>
      <c r="B10080" s="4" t="s">
        <v>44</v>
      </c>
      <c r="C10080" s="38" t="s">
        <v>5133</v>
      </c>
      <c r="D10080" s="18">
        <v>2022</v>
      </c>
      <c r="E10080" s="18" t="s">
        <v>0</v>
      </c>
      <c r="F10080" s="41">
        <v>1</v>
      </c>
      <c r="G10080" s="4">
        <v>10</v>
      </c>
      <c r="H10080" s="18">
        <f>0.01780619*(1000)</f>
        <v>17.806190000000001</v>
      </c>
      <c r="I10080" s="90"/>
      <c r="J10080" s="90"/>
    </row>
    <row r="10081" spans="1:10" s="15" customFormat="1" ht="16.5" hidden="1" customHeight="1" outlineLevel="1" x14ac:dyDescent="0.25">
      <c r="A10081" s="18">
        <v>3060</v>
      </c>
      <c r="B10081" s="4" t="s">
        <v>44</v>
      </c>
      <c r="C10081" s="38" t="s">
        <v>5134</v>
      </c>
      <c r="D10081" s="18">
        <v>2022</v>
      </c>
      <c r="E10081" s="18" t="s">
        <v>0</v>
      </c>
      <c r="F10081" s="41">
        <v>1</v>
      </c>
      <c r="G10081" s="4">
        <v>15</v>
      </c>
      <c r="H10081" s="18">
        <f>0.01780619*(1000)</f>
        <v>17.806190000000001</v>
      </c>
      <c r="I10081" s="90"/>
      <c r="J10081" s="90"/>
    </row>
    <row r="10082" spans="1:10" s="15" customFormat="1" ht="16.5" hidden="1" customHeight="1" outlineLevel="1" x14ac:dyDescent="0.25">
      <c r="A10082" s="18">
        <v>3062</v>
      </c>
      <c r="B10082" s="4" t="s">
        <v>44</v>
      </c>
      <c r="C10082" s="38" t="s">
        <v>5135</v>
      </c>
      <c r="D10082" s="18">
        <v>2022</v>
      </c>
      <c r="E10082" s="18" t="s">
        <v>0</v>
      </c>
      <c r="F10082" s="41">
        <v>2</v>
      </c>
      <c r="G10082" s="4">
        <v>12</v>
      </c>
      <c r="H10082" s="18">
        <f>0.02780196*(1000)</f>
        <v>27.801960000000001</v>
      </c>
      <c r="I10082" s="90"/>
      <c r="J10082" s="90"/>
    </row>
    <row r="10083" spans="1:10" s="15" customFormat="1" ht="16.5" hidden="1" customHeight="1" outlineLevel="1" x14ac:dyDescent="0.25">
      <c r="A10083" s="18">
        <v>3064</v>
      </c>
      <c r="B10083" s="4" t="s">
        <v>44</v>
      </c>
      <c r="C10083" s="38" t="s">
        <v>5136</v>
      </c>
      <c r="D10083" s="18">
        <v>2022</v>
      </c>
      <c r="E10083" s="18" t="s">
        <v>0</v>
      </c>
      <c r="F10083" s="41">
        <v>1</v>
      </c>
      <c r="G10083" s="4">
        <v>15</v>
      </c>
      <c r="H10083" s="18">
        <f>0.01780618*(1000)</f>
        <v>17.806180000000001</v>
      </c>
      <c r="I10083" s="90"/>
      <c r="J10083" s="90"/>
    </row>
    <row r="10084" spans="1:10" s="15" customFormat="1" ht="16.5" hidden="1" customHeight="1" outlineLevel="1" x14ac:dyDescent="0.25">
      <c r="A10084" s="18">
        <v>3065</v>
      </c>
      <c r="B10084" s="4" t="s">
        <v>44</v>
      </c>
      <c r="C10084" s="38" t="s">
        <v>5137</v>
      </c>
      <c r="D10084" s="18">
        <v>2022</v>
      </c>
      <c r="E10084" s="18" t="s">
        <v>0</v>
      </c>
      <c r="F10084" s="41">
        <v>1</v>
      </c>
      <c r="G10084" s="4">
        <v>15</v>
      </c>
      <c r="H10084" s="18">
        <f>0.0178062*(1000)</f>
        <v>17.8062</v>
      </c>
      <c r="I10084" s="90"/>
      <c r="J10084" s="90"/>
    </row>
    <row r="10085" spans="1:10" s="15" customFormat="1" ht="16.5" hidden="1" customHeight="1" outlineLevel="1" x14ac:dyDescent="0.25">
      <c r="A10085" s="18">
        <v>3066</v>
      </c>
      <c r="B10085" s="4" t="s">
        <v>44</v>
      </c>
      <c r="C10085" s="38" t="s">
        <v>5138</v>
      </c>
      <c r="D10085" s="18">
        <v>2022</v>
      </c>
      <c r="E10085" s="18" t="s">
        <v>0</v>
      </c>
      <c r="F10085" s="41">
        <v>1</v>
      </c>
      <c r="G10085" s="4">
        <v>11.5</v>
      </c>
      <c r="H10085" s="18">
        <f>0.0178062*(1000)</f>
        <v>17.8062</v>
      </c>
      <c r="I10085" s="90"/>
      <c r="J10085" s="90"/>
    </row>
    <row r="10086" spans="1:10" s="15" customFormat="1" ht="16.5" hidden="1" customHeight="1" outlineLevel="1" x14ac:dyDescent="0.25">
      <c r="A10086" s="18">
        <v>3067</v>
      </c>
      <c r="B10086" s="4" t="s">
        <v>44</v>
      </c>
      <c r="C10086" s="38" t="s">
        <v>5139</v>
      </c>
      <c r="D10086" s="18">
        <v>2022</v>
      </c>
      <c r="E10086" s="18" t="s">
        <v>0</v>
      </c>
      <c r="F10086" s="41">
        <v>1</v>
      </c>
      <c r="G10086" s="4">
        <v>15</v>
      </c>
      <c r="H10086" s="18">
        <f>0.01780618*(1000)</f>
        <v>17.806180000000001</v>
      </c>
      <c r="I10086" s="90"/>
      <c r="J10086" s="90"/>
    </row>
    <row r="10087" spans="1:10" s="15" customFormat="1" ht="16.5" hidden="1" customHeight="1" outlineLevel="1" x14ac:dyDescent="0.25">
      <c r="A10087" s="18">
        <v>3068</v>
      </c>
      <c r="B10087" s="4" t="s">
        <v>44</v>
      </c>
      <c r="C10087" s="38" t="s">
        <v>5140</v>
      </c>
      <c r="D10087" s="18">
        <v>2022</v>
      </c>
      <c r="E10087" s="18" t="s">
        <v>0</v>
      </c>
      <c r="F10087" s="41">
        <v>1</v>
      </c>
      <c r="G10087" s="4">
        <v>10</v>
      </c>
      <c r="H10087" s="18">
        <f>0.01780618*(1000)</f>
        <v>17.806180000000001</v>
      </c>
      <c r="I10087" s="90"/>
      <c r="J10087" s="90"/>
    </row>
    <row r="10088" spans="1:10" s="15" customFormat="1" ht="16.5" hidden="1" customHeight="1" outlineLevel="1" x14ac:dyDescent="0.25">
      <c r="A10088" s="18">
        <v>3070</v>
      </c>
      <c r="B10088" s="4" t="s">
        <v>44</v>
      </c>
      <c r="C10088" s="38" t="s">
        <v>5141</v>
      </c>
      <c r="D10088" s="18">
        <v>2022</v>
      </c>
      <c r="E10088" s="18" t="s">
        <v>0</v>
      </c>
      <c r="F10088" s="41">
        <v>1</v>
      </c>
      <c r="G10088" s="4">
        <v>8</v>
      </c>
      <c r="H10088" s="18">
        <f>0.01780618*(1000)</f>
        <v>17.806180000000001</v>
      </c>
      <c r="I10088" s="90"/>
      <c r="J10088" s="90"/>
    </row>
    <row r="10089" spans="1:10" s="15" customFormat="1" ht="16.5" hidden="1" customHeight="1" outlineLevel="1" x14ac:dyDescent="0.25">
      <c r="A10089" s="18">
        <v>3072</v>
      </c>
      <c r="B10089" s="4" t="s">
        <v>44</v>
      </c>
      <c r="C10089" s="38" t="s">
        <v>5142</v>
      </c>
      <c r="D10089" s="18">
        <v>2022</v>
      </c>
      <c r="E10089" s="18" t="s">
        <v>0</v>
      </c>
      <c r="F10089" s="41">
        <v>1</v>
      </c>
      <c r="G10089" s="4">
        <v>5</v>
      </c>
      <c r="H10089" s="18">
        <f>0.01780413*(1000)</f>
        <v>17.804130000000001</v>
      </c>
      <c r="I10089" s="90"/>
      <c r="J10089" s="90"/>
    </row>
    <row r="10090" spans="1:10" s="15" customFormat="1" ht="16.5" hidden="1" customHeight="1" outlineLevel="1" x14ac:dyDescent="0.25">
      <c r="A10090" s="18">
        <v>3073</v>
      </c>
      <c r="B10090" s="4" t="s">
        <v>44</v>
      </c>
      <c r="C10090" s="38" t="s">
        <v>5143</v>
      </c>
      <c r="D10090" s="18">
        <v>2022</v>
      </c>
      <c r="E10090" s="18" t="s">
        <v>0</v>
      </c>
      <c r="F10090" s="41">
        <v>1</v>
      </c>
      <c r="G10090" s="4">
        <v>5</v>
      </c>
      <c r="H10090" s="18">
        <f>0.01780414*(1000)</f>
        <v>17.80414</v>
      </c>
      <c r="I10090" s="90"/>
      <c r="J10090" s="90"/>
    </row>
    <row r="10091" spans="1:10" s="15" customFormat="1" ht="16.5" hidden="1" customHeight="1" outlineLevel="1" x14ac:dyDescent="0.25">
      <c r="A10091" s="18">
        <v>3074</v>
      </c>
      <c r="B10091" s="4" t="s">
        <v>44</v>
      </c>
      <c r="C10091" s="38" t="s">
        <v>5144</v>
      </c>
      <c r="D10091" s="18">
        <v>2022</v>
      </c>
      <c r="E10091" s="18" t="s">
        <v>0</v>
      </c>
      <c r="F10091" s="41">
        <v>2</v>
      </c>
      <c r="G10091" s="4">
        <v>27</v>
      </c>
      <c r="H10091" s="18">
        <f>0.03536633*(1000)</f>
        <v>35.366330000000005</v>
      </c>
      <c r="I10091" s="90"/>
      <c r="J10091" s="90"/>
    </row>
    <row r="10092" spans="1:10" s="15" customFormat="1" ht="16.5" hidden="1" customHeight="1" outlineLevel="1" x14ac:dyDescent="0.25">
      <c r="A10092" s="18">
        <v>3075</v>
      </c>
      <c r="B10092" s="4" t="s">
        <v>44</v>
      </c>
      <c r="C10092" s="38" t="s">
        <v>5145</v>
      </c>
      <c r="D10092" s="18">
        <v>2022</v>
      </c>
      <c r="E10092" s="18" t="s">
        <v>0</v>
      </c>
      <c r="F10092" s="41">
        <v>1</v>
      </c>
      <c r="G10092" s="4">
        <v>10</v>
      </c>
      <c r="H10092" s="18">
        <f>0.01780618*(1000)</f>
        <v>17.806180000000001</v>
      </c>
      <c r="I10092" s="90"/>
      <c r="J10092" s="90"/>
    </row>
    <row r="10093" spans="1:10" s="15" customFormat="1" ht="16.5" hidden="1" customHeight="1" outlineLevel="1" x14ac:dyDescent="0.25">
      <c r="A10093" s="18">
        <v>3076</v>
      </c>
      <c r="B10093" s="4" t="s">
        <v>44</v>
      </c>
      <c r="C10093" s="38" t="s">
        <v>5146</v>
      </c>
      <c r="D10093" s="18">
        <v>2022</v>
      </c>
      <c r="E10093" s="18" t="s">
        <v>0</v>
      </c>
      <c r="F10093" s="41">
        <v>1</v>
      </c>
      <c r="G10093" s="4">
        <v>15</v>
      </c>
      <c r="H10093" s="18">
        <f>0.01780619*(1000)</f>
        <v>17.806190000000001</v>
      </c>
      <c r="I10093" s="90"/>
      <c r="J10093" s="90"/>
    </row>
    <row r="10094" spans="1:10" s="15" customFormat="1" ht="16.5" hidden="1" customHeight="1" outlineLevel="1" x14ac:dyDescent="0.25">
      <c r="A10094" s="18">
        <v>3078</v>
      </c>
      <c r="B10094" s="4" t="s">
        <v>44</v>
      </c>
      <c r="C10094" s="38" t="s">
        <v>5147</v>
      </c>
      <c r="D10094" s="18">
        <v>2022</v>
      </c>
      <c r="E10094" s="18" t="s">
        <v>0</v>
      </c>
      <c r="F10094" s="41">
        <v>2</v>
      </c>
      <c r="G10094" s="4">
        <v>20</v>
      </c>
      <c r="H10094" s="18">
        <f>0.02780196*(1000)</f>
        <v>27.801960000000001</v>
      </c>
      <c r="I10094" s="90"/>
      <c r="J10094" s="90"/>
    </row>
    <row r="10095" spans="1:10" s="15" customFormat="1" ht="16.5" hidden="1" customHeight="1" outlineLevel="1" x14ac:dyDescent="0.25">
      <c r="A10095" s="18">
        <v>3079</v>
      </c>
      <c r="B10095" s="4" t="s">
        <v>44</v>
      </c>
      <c r="C10095" s="38" t="s">
        <v>5148</v>
      </c>
      <c r="D10095" s="18">
        <v>2022</v>
      </c>
      <c r="E10095" s="18" t="s">
        <v>0</v>
      </c>
      <c r="F10095" s="41">
        <v>1</v>
      </c>
      <c r="G10095" s="4">
        <v>15</v>
      </c>
      <c r="H10095" s="18">
        <f>0.01780619*(1000)</f>
        <v>17.806190000000001</v>
      </c>
      <c r="I10095" s="90"/>
      <c r="J10095" s="90"/>
    </row>
    <row r="10096" spans="1:10" s="15" customFormat="1" ht="16.5" hidden="1" customHeight="1" outlineLevel="1" x14ac:dyDescent="0.25">
      <c r="A10096" s="18">
        <v>3080</v>
      </c>
      <c r="B10096" s="4" t="s">
        <v>44</v>
      </c>
      <c r="C10096" s="38" t="s">
        <v>5149</v>
      </c>
      <c r="D10096" s="18">
        <v>2022</v>
      </c>
      <c r="E10096" s="18" t="s">
        <v>0</v>
      </c>
      <c r="F10096" s="41">
        <v>1</v>
      </c>
      <c r="G10096" s="4">
        <v>15</v>
      </c>
      <c r="H10096" s="18">
        <f>0.01780618*(1000)</f>
        <v>17.806180000000001</v>
      </c>
      <c r="I10096" s="90"/>
      <c r="J10096" s="90"/>
    </row>
    <row r="10097" spans="1:10" s="15" customFormat="1" ht="16.5" hidden="1" customHeight="1" outlineLevel="1" x14ac:dyDescent="0.25">
      <c r="A10097" s="18">
        <v>3081</v>
      </c>
      <c r="B10097" s="4" t="s">
        <v>44</v>
      </c>
      <c r="C10097" s="38" t="s">
        <v>5150</v>
      </c>
      <c r="D10097" s="18">
        <v>2022</v>
      </c>
      <c r="E10097" s="18" t="s">
        <v>0</v>
      </c>
      <c r="F10097" s="41">
        <v>1</v>
      </c>
      <c r="G10097" s="4">
        <v>9.5</v>
      </c>
      <c r="H10097" s="18">
        <f>0.01780619*(1000)</f>
        <v>17.806190000000001</v>
      </c>
      <c r="I10097" s="90"/>
      <c r="J10097" s="90"/>
    </row>
    <row r="10098" spans="1:10" s="15" customFormat="1" ht="16.5" hidden="1" customHeight="1" outlineLevel="1" x14ac:dyDescent="0.25">
      <c r="A10098" s="18">
        <v>3083</v>
      </c>
      <c r="B10098" s="4" t="s">
        <v>44</v>
      </c>
      <c r="C10098" s="38" t="s">
        <v>5151</v>
      </c>
      <c r="D10098" s="18">
        <v>2022</v>
      </c>
      <c r="E10098" s="18" t="s">
        <v>0</v>
      </c>
      <c r="F10098" s="41">
        <v>1</v>
      </c>
      <c r="G10098" s="4">
        <v>10</v>
      </c>
      <c r="H10098" s="18">
        <f>0.01780619*(1000)</f>
        <v>17.806190000000001</v>
      </c>
      <c r="I10098" s="90"/>
      <c r="J10098" s="90"/>
    </row>
    <row r="10099" spans="1:10" s="15" customFormat="1" ht="16.5" hidden="1" customHeight="1" outlineLevel="1" x14ac:dyDescent="0.25">
      <c r="A10099" s="18">
        <v>3087</v>
      </c>
      <c r="B10099" s="4" t="s">
        <v>44</v>
      </c>
      <c r="C10099" s="38" t="s">
        <v>5152</v>
      </c>
      <c r="D10099" s="18">
        <v>2022</v>
      </c>
      <c r="E10099" s="18" t="s">
        <v>0</v>
      </c>
      <c r="F10099" s="41">
        <v>1</v>
      </c>
      <c r="G10099" s="4">
        <v>15</v>
      </c>
      <c r="H10099" s="18">
        <f>0.01780619*(1000)</f>
        <v>17.806190000000001</v>
      </c>
      <c r="I10099" s="90"/>
      <c r="J10099" s="90"/>
    </row>
    <row r="10100" spans="1:10" s="15" customFormat="1" ht="16.5" hidden="1" customHeight="1" outlineLevel="1" x14ac:dyDescent="0.25">
      <c r="A10100" s="18">
        <v>3088</v>
      </c>
      <c r="B10100" s="4" t="s">
        <v>44</v>
      </c>
      <c r="C10100" s="38" t="s">
        <v>5153</v>
      </c>
      <c r="D10100" s="18">
        <v>2022</v>
      </c>
      <c r="E10100" s="18" t="s">
        <v>0</v>
      </c>
      <c r="F10100" s="41">
        <v>1</v>
      </c>
      <c r="G10100" s="4">
        <v>15</v>
      </c>
      <c r="H10100" s="18">
        <f>0.01780618*(1000)</f>
        <v>17.806180000000001</v>
      </c>
      <c r="I10100" s="90"/>
      <c r="J10100" s="90"/>
    </row>
    <row r="10101" spans="1:10" s="15" customFormat="1" ht="16.5" hidden="1" customHeight="1" outlineLevel="1" x14ac:dyDescent="0.25">
      <c r="A10101" s="18">
        <v>3089</v>
      </c>
      <c r="B10101" s="4" t="s">
        <v>44</v>
      </c>
      <c r="C10101" s="38" t="s">
        <v>5154</v>
      </c>
      <c r="D10101" s="18">
        <v>2022</v>
      </c>
      <c r="E10101" s="18" t="s">
        <v>0</v>
      </c>
      <c r="F10101" s="41">
        <v>1</v>
      </c>
      <c r="G10101" s="4">
        <v>12</v>
      </c>
      <c r="H10101" s="18">
        <f>0.01780619*(1000)</f>
        <v>17.806190000000001</v>
      </c>
      <c r="I10101" s="90"/>
      <c r="J10101" s="90"/>
    </row>
    <row r="10102" spans="1:10" s="15" customFormat="1" ht="16.5" hidden="1" customHeight="1" outlineLevel="1" x14ac:dyDescent="0.25">
      <c r="A10102" s="18">
        <v>3092</v>
      </c>
      <c r="B10102" s="4" t="s">
        <v>44</v>
      </c>
      <c r="C10102" s="38" t="s">
        <v>5155</v>
      </c>
      <c r="D10102" s="18">
        <v>2022</v>
      </c>
      <c r="E10102" s="18" t="s">
        <v>0</v>
      </c>
      <c r="F10102" s="41">
        <v>1</v>
      </c>
      <c r="G10102" s="4">
        <v>10</v>
      </c>
      <c r="H10102" s="18">
        <f>0.0178062*(1000)</f>
        <v>17.8062</v>
      </c>
      <c r="I10102" s="90"/>
      <c r="J10102" s="90"/>
    </row>
    <row r="10103" spans="1:10" s="15" customFormat="1" ht="16.5" hidden="1" customHeight="1" outlineLevel="1" x14ac:dyDescent="0.25">
      <c r="A10103" s="18">
        <v>3093</v>
      </c>
      <c r="B10103" s="4" t="s">
        <v>44</v>
      </c>
      <c r="C10103" s="38" t="s">
        <v>5156</v>
      </c>
      <c r="D10103" s="18">
        <v>2022</v>
      </c>
      <c r="E10103" s="18" t="s">
        <v>0</v>
      </c>
      <c r="F10103" s="41">
        <v>1</v>
      </c>
      <c r="G10103" s="4">
        <v>7</v>
      </c>
      <c r="H10103" s="18">
        <f>0.01780618*(1000)</f>
        <v>17.806180000000001</v>
      </c>
      <c r="I10103" s="90"/>
      <c r="J10103" s="90"/>
    </row>
    <row r="10104" spans="1:10" s="15" customFormat="1" ht="16.5" hidden="1" customHeight="1" outlineLevel="1" x14ac:dyDescent="0.25">
      <c r="A10104" s="18">
        <v>3094</v>
      </c>
      <c r="B10104" s="4" t="s">
        <v>44</v>
      </c>
      <c r="C10104" s="38" t="s">
        <v>5157</v>
      </c>
      <c r="D10104" s="18">
        <v>2022</v>
      </c>
      <c r="E10104" s="18" t="s">
        <v>0</v>
      </c>
      <c r="F10104" s="41">
        <v>1</v>
      </c>
      <c r="G10104" s="4">
        <v>15</v>
      </c>
      <c r="H10104" s="18">
        <f>0.01780618*(1000)</f>
        <v>17.806180000000001</v>
      </c>
      <c r="I10104" s="90"/>
      <c r="J10104" s="90"/>
    </row>
    <row r="10105" spans="1:10" s="15" customFormat="1" ht="16.5" hidden="1" customHeight="1" outlineLevel="1" x14ac:dyDescent="0.25">
      <c r="A10105" s="18">
        <v>3095</v>
      </c>
      <c r="B10105" s="4" t="s">
        <v>44</v>
      </c>
      <c r="C10105" s="38" t="s">
        <v>5158</v>
      </c>
      <c r="D10105" s="18">
        <v>2022</v>
      </c>
      <c r="E10105" s="18" t="s">
        <v>0</v>
      </c>
      <c r="F10105" s="41">
        <v>1</v>
      </c>
      <c r="G10105" s="4">
        <v>15</v>
      </c>
      <c r="H10105" s="18">
        <f>0.01780618*(1000)</f>
        <v>17.806180000000001</v>
      </c>
      <c r="I10105" s="90"/>
      <c r="J10105" s="90"/>
    </row>
    <row r="10106" spans="1:10" s="15" customFormat="1" ht="16.5" hidden="1" customHeight="1" outlineLevel="1" x14ac:dyDescent="0.25">
      <c r="A10106" s="18">
        <v>3097</v>
      </c>
      <c r="B10106" s="4" t="s">
        <v>44</v>
      </c>
      <c r="C10106" s="38" t="s">
        <v>5159</v>
      </c>
      <c r="D10106" s="18">
        <v>2022</v>
      </c>
      <c r="E10106" s="18" t="s">
        <v>0</v>
      </c>
      <c r="F10106" s="41">
        <v>1</v>
      </c>
      <c r="G10106" s="4">
        <v>15</v>
      </c>
      <c r="H10106" s="18">
        <f>0.01780619*(1000)</f>
        <v>17.806190000000001</v>
      </c>
      <c r="I10106" s="90"/>
      <c r="J10106" s="90"/>
    </row>
    <row r="10107" spans="1:10" s="15" customFormat="1" ht="16.5" hidden="1" customHeight="1" outlineLevel="1" x14ac:dyDescent="0.25">
      <c r="A10107" s="18">
        <v>3098</v>
      </c>
      <c r="B10107" s="4" t="s">
        <v>44</v>
      </c>
      <c r="C10107" s="38" t="s">
        <v>5160</v>
      </c>
      <c r="D10107" s="18">
        <v>2022</v>
      </c>
      <c r="E10107" s="18" t="s">
        <v>0</v>
      </c>
      <c r="F10107" s="41">
        <v>1</v>
      </c>
      <c r="G10107" s="4">
        <v>7</v>
      </c>
      <c r="H10107" s="18">
        <f>0.01780618*(1000)</f>
        <v>17.806180000000001</v>
      </c>
      <c r="I10107" s="90"/>
      <c r="J10107" s="90"/>
    </row>
    <row r="10108" spans="1:10" s="15" customFormat="1" ht="16.5" hidden="1" customHeight="1" outlineLevel="1" x14ac:dyDescent="0.25">
      <c r="A10108" s="18">
        <v>3099</v>
      </c>
      <c r="B10108" s="4" t="s">
        <v>44</v>
      </c>
      <c r="C10108" s="38" t="s">
        <v>5161</v>
      </c>
      <c r="D10108" s="18">
        <v>2022</v>
      </c>
      <c r="E10108" s="18" t="s">
        <v>0</v>
      </c>
      <c r="F10108" s="41">
        <v>1</v>
      </c>
      <c r="G10108" s="4">
        <v>26</v>
      </c>
      <c r="H10108" s="18">
        <f>0.01780618*(1000)</f>
        <v>17.806180000000001</v>
      </c>
      <c r="I10108" s="90"/>
      <c r="J10108" s="90"/>
    </row>
    <row r="10109" spans="1:10" s="15" customFormat="1" ht="16.5" hidden="1" customHeight="1" outlineLevel="1" x14ac:dyDescent="0.25">
      <c r="A10109" s="18">
        <v>3103</v>
      </c>
      <c r="B10109" s="4" t="s">
        <v>44</v>
      </c>
      <c r="C10109" s="38" t="s">
        <v>5162</v>
      </c>
      <c r="D10109" s="18">
        <v>2022</v>
      </c>
      <c r="E10109" s="18" t="s">
        <v>0</v>
      </c>
      <c r="F10109" s="41">
        <v>1</v>
      </c>
      <c r="G10109" s="4">
        <v>15</v>
      </c>
      <c r="H10109" s="18">
        <f>0.01768315*(1000)</f>
        <v>17.683150000000001</v>
      </c>
      <c r="I10109" s="90"/>
      <c r="J10109" s="90"/>
    </row>
    <row r="10110" spans="1:10" s="15" customFormat="1" ht="16.5" hidden="1" customHeight="1" outlineLevel="1" x14ac:dyDescent="0.25">
      <c r="A10110" s="18">
        <v>3104</v>
      </c>
      <c r="B10110" s="4" t="s">
        <v>44</v>
      </c>
      <c r="C10110" s="38" t="s">
        <v>5163</v>
      </c>
      <c r="D10110" s="18">
        <v>2022</v>
      </c>
      <c r="E10110" s="18" t="s">
        <v>0</v>
      </c>
      <c r="F10110" s="41">
        <v>1</v>
      </c>
      <c r="G10110" s="4">
        <v>12</v>
      </c>
      <c r="H10110" s="18">
        <f>0.01768317*(1000)</f>
        <v>17.68317</v>
      </c>
      <c r="I10110" s="90"/>
      <c r="J10110" s="90"/>
    </row>
    <row r="10111" spans="1:10" s="15" customFormat="1" ht="16.5" hidden="1" customHeight="1" outlineLevel="1" x14ac:dyDescent="0.25">
      <c r="A10111" s="18">
        <v>3106</v>
      </c>
      <c r="B10111" s="4" t="s">
        <v>44</v>
      </c>
      <c r="C10111" s="38" t="s">
        <v>5164</v>
      </c>
      <c r="D10111" s="18">
        <v>2022</v>
      </c>
      <c r="E10111" s="18" t="s">
        <v>0</v>
      </c>
      <c r="F10111" s="41">
        <v>1</v>
      </c>
      <c r="G10111" s="4">
        <v>14</v>
      </c>
      <c r="H10111" s="18">
        <f>0.01768317*(1000)</f>
        <v>17.68317</v>
      </c>
      <c r="I10111" s="90"/>
      <c r="J10111" s="90"/>
    </row>
    <row r="10112" spans="1:10" s="15" customFormat="1" ht="16.5" hidden="1" customHeight="1" outlineLevel="1" x14ac:dyDescent="0.25">
      <c r="A10112" s="18">
        <v>3107</v>
      </c>
      <c r="B10112" s="4" t="s">
        <v>44</v>
      </c>
      <c r="C10112" s="38" t="s">
        <v>5165</v>
      </c>
      <c r="D10112" s="18">
        <v>2022</v>
      </c>
      <c r="E10112" s="18" t="s">
        <v>0</v>
      </c>
      <c r="F10112" s="41">
        <v>1</v>
      </c>
      <c r="G10112" s="4">
        <v>10</v>
      </c>
      <c r="H10112" s="18">
        <f>0.01768316*(1000)</f>
        <v>17.683160000000001</v>
      </c>
      <c r="I10112" s="90"/>
      <c r="J10112" s="90"/>
    </row>
    <row r="10113" spans="1:10" s="15" customFormat="1" ht="16.5" hidden="1" customHeight="1" outlineLevel="1" x14ac:dyDescent="0.25">
      <c r="A10113" s="18">
        <v>3108</v>
      </c>
      <c r="B10113" s="4" t="s">
        <v>44</v>
      </c>
      <c r="C10113" s="38" t="s">
        <v>5166</v>
      </c>
      <c r="D10113" s="18">
        <v>2022</v>
      </c>
      <c r="E10113" s="18" t="s">
        <v>0</v>
      </c>
      <c r="F10113" s="41">
        <v>1</v>
      </c>
      <c r="G10113" s="4">
        <v>15</v>
      </c>
      <c r="H10113" s="18">
        <f>0.01768319*(1000)</f>
        <v>17.68319</v>
      </c>
      <c r="I10113" s="90"/>
      <c r="J10113" s="90"/>
    </row>
    <row r="10114" spans="1:10" s="15" customFormat="1" ht="16.5" hidden="1" customHeight="1" outlineLevel="1" x14ac:dyDescent="0.25">
      <c r="A10114" s="18">
        <v>3109</v>
      </c>
      <c r="B10114" s="4" t="s">
        <v>44</v>
      </c>
      <c r="C10114" s="38" t="s">
        <v>5167</v>
      </c>
      <c r="D10114" s="18">
        <v>2022</v>
      </c>
      <c r="E10114" s="18" t="s">
        <v>0</v>
      </c>
      <c r="F10114" s="41">
        <v>1</v>
      </c>
      <c r="G10114" s="4">
        <v>15</v>
      </c>
      <c r="H10114" s="18">
        <f>0.01768316*(1000)</f>
        <v>17.683160000000001</v>
      </c>
      <c r="I10114" s="90"/>
      <c r="J10114" s="90"/>
    </row>
    <row r="10115" spans="1:10" s="15" customFormat="1" ht="16.5" hidden="1" customHeight="1" outlineLevel="1" x14ac:dyDescent="0.25">
      <c r="A10115" s="18">
        <v>3111</v>
      </c>
      <c r="B10115" s="4" t="s">
        <v>44</v>
      </c>
      <c r="C10115" s="38" t="s">
        <v>5168</v>
      </c>
      <c r="D10115" s="18">
        <v>2022</v>
      </c>
      <c r="E10115" s="18" t="s">
        <v>0</v>
      </c>
      <c r="F10115" s="41">
        <v>1</v>
      </c>
      <c r="G10115" s="4">
        <v>14</v>
      </c>
      <c r="H10115" s="18">
        <f>0.01768316*(1000)</f>
        <v>17.683160000000001</v>
      </c>
      <c r="I10115" s="90"/>
      <c r="J10115" s="90"/>
    </row>
    <row r="10116" spans="1:10" s="15" customFormat="1" ht="16.5" hidden="1" customHeight="1" outlineLevel="1" x14ac:dyDescent="0.25">
      <c r="A10116" s="18">
        <v>3112</v>
      </c>
      <c r="B10116" s="4" t="s">
        <v>44</v>
      </c>
      <c r="C10116" s="38" t="s">
        <v>5169</v>
      </c>
      <c r="D10116" s="18">
        <v>2022</v>
      </c>
      <c r="E10116" s="18" t="s">
        <v>0</v>
      </c>
      <c r="F10116" s="41">
        <v>1</v>
      </c>
      <c r="G10116" s="4">
        <v>14</v>
      </c>
      <c r="H10116" s="18">
        <f>0.0176832*(1000)</f>
        <v>17.683199999999999</v>
      </c>
      <c r="I10116" s="90"/>
      <c r="J10116" s="90"/>
    </row>
    <row r="10117" spans="1:10" s="15" customFormat="1" ht="16.5" hidden="1" customHeight="1" outlineLevel="1" x14ac:dyDescent="0.25">
      <c r="A10117" s="18">
        <v>3113</v>
      </c>
      <c r="B10117" s="4" t="s">
        <v>44</v>
      </c>
      <c r="C10117" s="38" t="s">
        <v>5170</v>
      </c>
      <c r="D10117" s="18">
        <v>2022</v>
      </c>
      <c r="E10117" s="18" t="s">
        <v>0</v>
      </c>
      <c r="F10117" s="41">
        <v>1</v>
      </c>
      <c r="G10117" s="4">
        <v>14</v>
      </c>
      <c r="H10117" s="18">
        <f>0.01780618*(1000)</f>
        <v>17.806180000000001</v>
      </c>
      <c r="I10117" s="90"/>
      <c r="J10117" s="90"/>
    </row>
    <row r="10118" spans="1:10" s="15" customFormat="1" ht="16.5" hidden="1" customHeight="1" outlineLevel="1" x14ac:dyDescent="0.25">
      <c r="A10118" s="18">
        <v>3114</v>
      </c>
      <c r="B10118" s="4" t="s">
        <v>44</v>
      </c>
      <c r="C10118" s="38" t="s">
        <v>5171</v>
      </c>
      <c r="D10118" s="18">
        <v>2022</v>
      </c>
      <c r="E10118" s="18" t="s">
        <v>0</v>
      </c>
      <c r="F10118" s="41">
        <v>1</v>
      </c>
      <c r="G10118" s="4">
        <v>9</v>
      </c>
      <c r="H10118" s="18">
        <f>0.01780619*(1000)</f>
        <v>17.806190000000001</v>
      </c>
      <c r="I10118" s="90"/>
      <c r="J10118" s="90"/>
    </row>
    <row r="10119" spans="1:10" s="15" customFormat="1" ht="16.5" hidden="1" customHeight="1" outlineLevel="1" x14ac:dyDescent="0.25">
      <c r="A10119" s="18">
        <v>3115</v>
      </c>
      <c r="B10119" s="4" t="s">
        <v>44</v>
      </c>
      <c r="C10119" s="38" t="s">
        <v>5172</v>
      </c>
      <c r="D10119" s="18">
        <v>2022</v>
      </c>
      <c r="E10119" s="18" t="s">
        <v>0</v>
      </c>
      <c r="F10119" s="41">
        <v>1</v>
      </c>
      <c r="G10119" s="4">
        <v>6</v>
      </c>
      <c r="H10119" s="18">
        <f>0.01780618*(1000)</f>
        <v>17.806180000000001</v>
      </c>
      <c r="I10119" s="90"/>
      <c r="J10119" s="90"/>
    </row>
    <row r="10120" spans="1:10" s="15" customFormat="1" ht="16.5" hidden="1" customHeight="1" outlineLevel="1" x14ac:dyDescent="0.25">
      <c r="A10120" s="18">
        <v>3116</v>
      </c>
      <c r="B10120" s="4" t="s">
        <v>44</v>
      </c>
      <c r="C10120" s="38" t="s">
        <v>5173</v>
      </c>
      <c r="D10120" s="18">
        <v>2022</v>
      </c>
      <c r="E10120" s="18" t="s">
        <v>0</v>
      </c>
      <c r="F10120" s="41">
        <v>1</v>
      </c>
      <c r="G10120" s="4">
        <v>10</v>
      </c>
      <c r="H10120" s="18">
        <f>0.0178062*(1000)</f>
        <v>17.8062</v>
      </c>
      <c r="I10120" s="90"/>
      <c r="J10120" s="90"/>
    </row>
    <row r="10121" spans="1:10" s="15" customFormat="1" ht="16.5" hidden="1" customHeight="1" outlineLevel="1" x14ac:dyDescent="0.25">
      <c r="A10121" s="18">
        <v>3117</v>
      </c>
      <c r="B10121" s="4" t="s">
        <v>44</v>
      </c>
      <c r="C10121" s="38" t="s">
        <v>5174</v>
      </c>
      <c r="D10121" s="18">
        <v>2022</v>
      </c>
      <c r="E10121" s="18" t="s">
        <v>0</v>
      </c>
      <c r="F10121" s="41">
        <v>1</v>
      </c>
      <c r="G10121" s="4">
        <v>10</v>
      </c>
      <c r="H10121" s="18">
        <f>0.01780618*(1000)</f>
        <v>17.806180000000001</v>
      </c>
      <c r="I10121" s="90"/>
      <c r="J10121" s="90"/>
    </row>
    <row r="10122" spans="1:10" s="15" customFormat="1" ht="16.5" hidden="1" customHeight="1" outlineLevel="1" x14ac:dyDescent="0.25">
      <c r="A10122" s="18">
        <v>3118</v>
      </c>
      <c r="B10122" s="4" t="s">
        <v>44</v>
      </c>
      <c r="C10122" s="38" t="s">
        <v>5175</v>
      </c>
      <c r="D10122" s="18">
        <v>2022</v>
      </c>
      <c r="E10122" s="18" t="s">
        <v>0</v>
      </c>
      <c r="F10122" s="41">
        <v>1</v>
      </c>
      <c r="G10122" s="4">
        <v>5</v>
      </c>
      <c r="H10122" s="18">
        <f>0.01780619*(1000)</f>
        <v>17.806190000000001</v>
      </c>
      <c r="I10122" s="90"/>
      <c r="J10122" s="90"/>
    </row>
    <row r="10123" spans="1:10" s="15" customFormat="1" ht="16.5" hidden="1" customHeight="1" outlineLevel="1" x14ac:dyDescent="0.25">
      <c r="A10123" s="18">
        <v>3120</v>
      </c>
      <c r="B10123" s="4" t="s">
        <v>44</v>
      </c>
      <c r="C10123" s="38" t="s">
        <v>5176</v>
      </c>
      <c r="D10123" s="18">
        <v>2022</v>
      </c>
      <c r="E10123" s="18" t="s">
        <v>0</v>
      </c>
      <c r="F10123" s="41">
        <v>1</v>
      </c>
      <c r="G10123" s="4">
        <v>15</v>
      </c>
      <c r="H10123" s="18">
        <f>0.01780619*(1000)</f>
        <v>17.806190000000001</v>
      </c>
      <c r="I10123" s="90"/>
      <c r="J10123" s="90"/>
    </row>
    <row r="10124" spans="1:10" s="15" customFormat="1" ht="16.5" hidden="1" customHeight="1" outlineLevel="1" x14ac:dyDescent="0.25">
      <c r="A10124" s="18">
        <v>3121</v>
      </c>
      <c r="B10124" s="4" t="s">
        <v>44</v>
      </c>
      <c r="C10124" s="38" t="s">
        <v>5177</v>
      </c>
      <c r="D10124" s="18">
        <v>2022</v>
      </c>
      <c r="E10124" s="18" t="s">
        <v>0</v>
      </c>
      <c r="F10124" s="41">
        <v>1</v>
      </c>
      <c r="G10124" s="4">
        <v>15</v>
      </c>
      <c r="H10124" s="18">
        <f>0.01780608*(1000)</f>
        <v>17.806079999999998</v>
      </c>
      <c r="I10124" s="90"/>
      <c r="J10124" s="90"/>
    </row>
    <row r="10125" spans="1:10" s="15" customFormat="1" ht="16.5" hidden="1" customHeight="1" outlineLevel="1" x14ac:dyDescent="0.25">
      <c r="A10125" s="18">
        <v>3123</v>
      </c>
      <c r="B10125" s="4" t="s">
        <v>44</v>
      </c>
      <c r="C10125" s="38" t="s">
        <v>5178</v>
      </c>
      <c r="D10125" s="18">
        <v>2022</v>
      </c>
      <c r="E10125" s="18" t="s">
        <v>0</v>
      </c>
      <c r="F10125" s="41">
        <v>1</v>
      </c>
      <c r="G10125" s="4">
        <v>15</v>
      </c>
      <c r="H10125" s="18">
        <f>0.01780608*(1000)</f>
        <v>17.806079999999998</v>
      </c>
      <c r="I10125" s="90"/>
      <c r="J10125" s="90"/>
    </row>
    <row r="10126" spans="1:10" s="15" customFormat="1" ht="16.5" hidden="1" customHeight="1" outlineLevel="1" x14ac:dyDescent="0.25">
      <c r="A10126" s="18">
        <v>3125</v>
      </c>
      <c r="B10126" s="4" t="s">
        <v>44</v>
      </c>
      <c r="C10126" s="38" t="s">
        <v>5179</v>
      </c>
      <c r="D10126" s="18">
        <v>2022</v>
      </c>
      <c r="E10126" s="18" t="s">
        <v>0</v>
      </c>
      <c r="F10126" s="41">
        <v>1</v>
      </c>
      <c r="G10126" s="4">
        <v>12</v>
      </c>
      <c r="H10126" s="18">
        <f>0.01780608*(1000)</f>
        <v>17.806079999999998</v>
      </c>
      <c r="I10126" s="90"/>
      <c r="J10126" s="90"/>
    </row>
    <row r="10127" spans="1:10" s="15" customFormat="1" ht="16.5" hidden="1" customHeight="1" outlineLevel="1" x14ac:dyDescent="0.25">
      <c r="A10127" s="18">
        <v>3126</v>
      </c>
      <c r="B10127" s="4" t="s">
        <v>44</v>
      </c>
      <c r="C10127" s="38" t="s">
        <v>5180</v>
      </c>
      <c r="D10127" s="18">
        <v>2022</v>
      </c>
      <c r="E10127" s="18" t="s">
        <v>0</v>
      </c>
      <c r="F10127" s="41">
        <v>1</v>
      </c>
      <c r="G10127" s="4">
        <v>7</v>
      </c>
      <c r="H10127" s="18">
        <f>0.01780609*(1000)</f>
        <v>17.806090000000001</v>
      </c>
      <c r="I10127" s="90"/>
      <c r="J10127" s="90"/>
    </row>
    <row r="10128" spans="1:10" s="15" customFormat="1" ht="16.5" hidden="1" customHeight="1" outlineLevel="1" x14ac:dyDescent="0.25">
      <c r="A10128" s="18">
        <v>3127</v>
      </c>
      <c r="B10128" s="4" t="s">
        <v>44</v>
      </c>
      <c r="C10128" s="38" t="s">
        <v>5181</v>
      </c>
      <c r="D10128" s="18">
        <v>2022</v>
      </c>
      <c r="E10128" s="18" t="s">
        <v>0</v>
      </c>
      <c r="F10128" s="41">
        <v>1</v>
      </c>
      <c r="G10128" s="4">
        <v>5</v>
      </c>
      <c r="H10128" s="18">
        <f>0.01768306*(1000)</f>
        <v>17.683060000000001</v>
      </c>
      <c r="I10128" s="90"/>
      <c r="J10128" s="90"/>
    </row>
    <row r="10129" spans="1:10" s="15" customFormat="1" ht="16.5" hidden="1" customHeight="1" outlineLevel="1" x14ac:dyDescent="0.25">
      <c r="A10129" s="18">
        <v>3128</v>
      </c>
      <c r="B10129" s="4" t="s">
        <v>44</v>
      </c>
      <c r="C10129" s="38" t="s">
        <v>5182</v>
      </c>
      <c r="D10129" s="18">
        <v>2022</v>
      </c>
      <c r="E10129" s="18" t="s">
        <v>0</v>
      </c>
      <c r="F10129" s="41">
        <v>1</v>
      </c>
      <c r="G10129" s="4">
        <v>7.5</v>
      </c>
      <c r="H10129" s="18">
        <f>0.01768307*(1000)</f>
        <v>17.683069999999997</v>
      </c>
      <c r="I10129" s="90"/>
      <c r="J10129" s="90"/>
    </row>
    <row r="10130" spans="1:10" s="15" customFormat="1" ht="16.5" hidden="1" customHeight="1" outlineLevel="1" x14ac:dyDescent="0.25">
      <c r="A10130" s="18">
        <v>3129</v>
      </c>
      <c r="B10130" s="4" t="s">
        <v>44</v>
      </c>
      <c r="C10130" s="38" t="s">
        <v>5183</v>
      </c>
      <c r="D10130" s="18">
        <v>2022</v>
      </c>
      <c r="E10130" s="18" t="s">
        <v>0</v>
      </c>
      <c r="F10130" s="41">
        <v>1</v>
      </c>
      <c r="G10130" s="4">
        <v>7.5</v>
      </c>
      <c r="H10130" s="18">
        <f>0.01768306*(1000)</f>
        <v>17.683060000000001</v>
      </c>
      <c r="I10130" s="90"/>
      <c r="J10130" s="90"/>
    </row>
    <row r="10131" spans="1:10" s="15" customFormat="1" ht="16.5" hidden="1" customHeight="1" outlineLevel="1" x14ac:dyDescent="0.25">
      <c r="A10131" s="18">
        <v>3130</v>
      </c>
      <c r="B10131" s="4" t="s">
        <v>44</v>
      </c>
      <c r="C10131" s="38" t="s">
        <v>5184</v>
      </c>
      <c r="D10131" s="18">
        <v>2022</v>
      </c>
      <c r="E10131" s="18" t="s">
        <v>0</v>
      </c>
      <c r="F10131" s="41">
        <v>1</v>
      </c>
      <c r="G10131" s="4">
        <v>7.5</v>
      </c>
      <c r="H10131" s="18">
        <f>0.01768307*(1000)</f>
        <v>17.683069999999997</v>
      </c>
      <c r="I10131" s="90"/>
      <c r="J10131" s="90"/>
    </row>
    <row r="10132" spans="1:10" s="15" customFormat="1" ht="16.5" hidden="1" customHeight="1" outlineLevel="1" x14ac:dyDescent="0.25">
      <c r="A10132" s="18">
        <v>3131</v>
      </c>
      <c r="B10132" s="4" t="s">
        <v>44</v>
      </c>
      <c r="C10132" s="38" t="s">
        <v>5185</v>
      </c>
      <c r="D10132" s="18">
        <v>2022</v>
      </c>
      <c r="E10132" s="18" t="s">
        <v>0</v>
      </c>
      <c r="F10132" s="41">
        <v>1</v>
      </c>
      <c r="G10132" s="4">
        <v>6</v>
      </c>
      <c r="H10132" s="18">
        <f>0.01768306*(1000)</f>
        <v>17.683060000000001</v>
      </c>
      <c r="I10132" s="90"/>
      <c r="J10132" s="90"/>
    </row>
    <row r="10133" spans="1:10" s="15" customFormat="1" ht="16.5" hidden="1" customHeight="1" outlineLevel="1" x14ac:dyDescent="0.25">
      <c r="A10133" s="18">
        <v>3132</v>
      </c>
      <c r="B10133" s="4" t="s">
        <v>44</v>
      </c>
      <c r="C10133" s="38" t="s">
        <v>5186</v>
      </c>
      <c r="D10133" s="18">
        <v>2022</v>
      </c>
      <c r="E10133" s="18" t="s">
        <v>0</v>
      </c>
      <c r="F10133" s="41">
        <v>1</v>
      </c>
      <c r="G10133" s="4">
        <v>15</v>
      </c>
      <c r="H10133" s="18">
        <f>0.01768307*(1000)</f>
        <v>17.683069999999997</v>
      </c>
      <c r="I10133" s="90"/>
      <c r="J10133" s="90"/>
    </row>
    <row r="10134" spans="1:10" s="15" customFormat="1" ht="16.5" hidden="1" customHeight="1" outlineLevel="1" x14ac:dyDescent="0.25">
      <c r="A10134" s="18">
        <v>3133</v>
      </c>
      <c r="B10134" s="4" t="s">
        <v>44</v>
      </c>
      <c r="C10134" s="38" t="s">
        <v>5187</v>
      </c>
      <c r="D10134" s="18">
        <v>2022</v>
      </c>
      <c r="E10134" s="18" t="s">
        <v>0</v>
      </c>
      <c r="F10134" s="41">
        <v>1</v>
      </c>
      <c r="G10134" s="4">
        <v>15</v>
      </c>
      <c r="H10134" s="18">
        <f>0.01768306*(1000)</f>
        <v>17.683060000000001</v>
      </c>
      <c r="I10134" s="90"/>
      <c r="J10134" s="90"/>
    </row>
    <row r="10135" spans="1:10" s="15" customFormat="1" ht="16.5" hidden="1" customHeight="1" outlineLevel="1" x14ac:dyDescent="0.25">
      <c r="A10135" s="18">
        <v>3134</v>
      </c>
      <c r="B10135" s="4" t="s">
        <v>44</v>
      </c>
      <c r="C10135" s="38" t="s">
        <v>5188</v>
      </c>
      <c r="D10135" s="18">
        <v>2022</v>
      </c>
      <c r="E10135" s="18" t="s">
        <v>0</v>
      </c>
      <c r="F10135" s="41">
        <v>1</v>
      </c>
      <c r="G10135" s="4">
        <v>15</v>
      </c>
      <c r="H10135" s="18">
        <f>0.01768307*(1000)</f>
        <v>17.683069999999997</v>
      </c>
      <c r="I10135" s="90"/>
      <c r="J10135" s="90"/>
    </row>
    <row r="10136" spans="1:10" s="15" customFormat="1" ht="16.5" hidden="1" customHeight="1" outlineLevel="1" x14ac:dyDescent="0.25">
      <c r="A10136" s="18">
        <v>3136</v>
      </c>
      <c r="B10136" s="4" t="s">
        <v>44</v>
      </c>
      <c r="C10136" s="38" t="s">
        <v>5189</v>
      </c>
      <c r="D10136" s="18">
        <v>2022</v>
      </c>
      <c r="E10136" s="18" t="s">
        <v>0</v>
      </c>
      <c r="F10136" s="41">
        <v>1</v>
      </c>
      <c r="G10136" s="4">
        <v>12</v>
      </c>
      <c r="H10136" s="18">
        <f>0.01768307*(1000)</f>
        <v>17.683069999999997</v>
      </c>
      <c r="I10136" s="90"/>
      <c r="J10136" s="90"/>
    </row>
    <row r="10137" spans="1:10" s="15" customFormat="1" ht="16.5" hidden="1" customHeight="1" outlineLevel="1" x14ac:dyDescent="0.25">
      <c r="A10137" s="18">
        <v>3139</v>
      </c>
      <c r="B10137" s="4" t="s">
        <v>44</v>
      </c>
      <c r="C10137" s="38" t="s">
        <v>5190</v>
      </c>
      <c r="D10137" s="18">
        <v>2022</v>
      </c>
      <c r="E10137" s="18" t="s">
        <v>0</v>
      </c>
      <c r="F10137" s="41">
        <v>1</v>
      </c>
      <c r="G10137" s="4">
        <v>12</v>
      </c>
      <c r="H10137" s="18">
        <f>0.01768306*(1000)</f>
        <v>17.683060000000001</v>
      </c>
      <c r="I10137" s="90"/>
      <c r="J10137" s="90"/>
    </row>
    <row r="10138" spans="1:10" s="15" customFormat="1" ht="16.5" hidden="1" customHeight="1" outlineLevel="1" x14ac:dyDescent="0.25">
      <c r="A10138" s="18">
        <v>3143</v>
      </c>
      <c r="B10138" s="4" t="s">
        <v>44</v>
      </c>
      <c r="C10138" s="38" t="s">
        <v>5191</v>
      </c>
      <c r="D10138" s="18">
        <v>2022</v>
      </c>
      <c r="E10138" s="18" t="s">
        <v>0</v>
      </c>
      <c r="F10138" s="41">
        <v>1</v>
      </c>
      <c r="G10138" s="4">
        <v>15</v>
      </c>
      <c r="H10138" s="18">
        <f>0.01768306*(1000)</f>
        <v>17.683060000000001</v>
      </c>
      <c r="I10138" s="90"/>
      <c r="J10138" s="90"/>
    </row>
    <row r="10139" spans="1:10" s="15" customFormat="1" ht="16.5" hidden="1" customHeight="1" outlineLevel="1" x14ac:dyDescent="0.25">
      <c r="A10139" s="18">
        <v>3144</v>
      </c>
      <c r="B10139" s="4" t="s">
        <v>44</v>
      </c>
      <c r="C10139" s="38" t="s">
        <v>5192</v>
      </c>
      <c r="D10139" s="18">
        <v>2022</v>
      </c>
      <c r="E10139" s="18" t="s">
        <v>0</v>
      </c>
      <c r="F10139" s="41">
        <v>1</v>
      </c>
      <c r="G10139" s="4">
        <v>15</v>
      </c>
      <c r="H10139" s="18">
        <f>0.01768307*(1000)</f>
        <v>17.683069999999997</v>
      </c>
      <c r="I10139" s="90"/>
      <c r="J10139" s="90"/>
    </row>
    <row r="10140" spans="1:10" s="15" customFormat="1" ht="16.5" hidden="1" customHeight="1" outlineLevel="1" x14ac:dyDescent="0.25">
      <c r="A10140" s="18">
        <v>3146</v>
      </c>
      <c r="B10140" s="4" t="s">
        <v>44</v>
      </c>
      <c r="C10140" s="38" t="s">
        <v>5193</v>
      </c>
      <c r="D10140" s="18">
        <v>2022</v>
      </c>
      <c r="E10140" s="18" t="s">
        <v>0</v>
      </c>
      <c r="F10140" s="41">
        <v>1</v>
      </c>
      <c r="G10140" s="4">
        <v>10</v>
      </c>
      <c r="H10140" s="18">
        <f>0.01768307*(1000)</f>
        <v>17.683069999999997</v>
      </c>
      <c r="I10140" s="90"/>
      <c r="J10140" s="90"/>
    </row>
    <row r="10141" spans="1:10" s="15" customFormat="1" ht="16.5" hidden="1" customHeight="1" outlineLevel="1" x14ac:dyDescent="0.25">
      <c r="A10141" s="18">
        <v>3147</v>
      </c>
      <c r="B10141" s="4" t="s">
        <v>44</v>
      </c>
      <c r="C10141" s="38" t="s">
        <v>5194</v>
      </c>
      <c r="D10141" s="18">
        <v>2022</v>
      </c>
      <c r="E10141" s="18" t="s">
        <v>0</v>
      </c>
      <c r="F10141" s="41">
        <v>1</v>
      </c>
      <c r="G10141" s="4">
        <v>11</v>
      </c>
      <c r="H10141" s="18">
        <f>0.01768306*(1000)</f>
        <v>17.683060000000001</v>
      </c>
      <c r="I10141" s="90"/>
      <c r="J10141" s="90"/>
    </row>
    <row r="10142" spans="1:10" s="15" customFormat="1" ht="16.5" hidden="1" customHeight="1" outlineLevel="1" x14ac:dyDescent="0.25">
      <c r="A10142" s="18">
        <v>3148</v>
      </c>
      <c r="B10142" s="4" t="s">
        <v>44</v>
      </c>
      <c r="C10142" s="38" t="s">
        <v>5195</v>
      </c>
      <c r="D10142" s="18">
        <v>2022</v>
      </c>
      <c r="E10142" s="18" t="s">
        <v>0</v>
      </c>
      <c r="F10142" s="41">
        <v>1</v>
      </c>
      <c r="G10142" s="4">
        <v>15</v>
      </c>
      <c r="H10142" s="18">
        <f>0.01768307*(1000)</f>
        <v>17.683069999999997</v>
      </c>
      <c r="I10142" s="90"/>
      <c r="J10142" s="90"/>
    </row>
    <row r="10143" spans="1:10" s="15" customFormat="1" ht="16.5" hidden="1" customHeight="1" outlineLevel="1" x14ac:dyDescent="0.25">
      <c r="A10143" s="18">
        <v>3149</v>
      </c>
      <c r="B10143" s="4" t="s">
        <v>44</v>
      </c>
      <c r="C10143" s="38" t="s">
        <v>5196</v>
      </c>
      <c r="D10143" s="18">
        <v>2022</v>
      </c>
      <c r="E10143" s="18" t="s">
        <v>0</v>
      </c>
      <c r="F10143" s="41">
        <v>1</v>
      </c>
      <c r="G10143" s="4">
        <v>15</v>
      </c>
      <c r="H10143" s="18">
        <f>0.01768306*(1000)</f>
        <v>17.683060000000001</v>
      </c>
      <c r="I10143" s="90"/>
      <c r="J10143" s="90"/>
    </row>
    <row r="10144" spans="1:10" s="15" customFormat="1" ht="16.5" hidden="1" customHeight="1" outlineLevel="1" x14ac:dyDescent="0.25">
      <c r="A10144" s="18">
        <v>3150</v>
      </c>
      <c r="B10144" s="4" t="s">
        <v>44</v>
      </c>
      <c r="C10144" s="38" t="s">
        <v>5197</v>
      </c>
      <c r="D10144" s="18">
        <v>2022</v>
      </c>
      <c r="E10144" s="18" t="s">
        <v>0</v>
      </c>
      <c r="F10144" s="41">
        <v>1</v>
      </c>
      <c r="G10144" s="4">
        <v>12</v>
      </c>
      <c r="H10144" s="18">
        <f>0.01768307*(1000)</f>
        <v>17.683069999999997</v>
      </c>
      <c r="I10144" s="90"/>
      <c r="J10144" s="90"/>
    </row>
    <row r="10145" spans="1:10" s="15" customFormat="1" ht="16.5" hidden="1" customHeight="1" outlineLevel="1" x14ac:dyDescent="0.25">
      <c r="A10145" s="18">
        <v>3151</v>
      </c>
      <c r="B10145" s="4" t="s">
        <v>44</v>
      </c>
      <c r="C10145" s="38" t="s">
        <v>5198</v>
      </c>
      <c r="D10145" s="18">
        <v>2022</v>
      </c>
      <c r="E10145" s="18" t="s">
        <v>0</v>
      </c>
      <c r="F10145" s="41">
        <v>1</v>
      </c>
      <c r="G10145" s="4">
        <v>10</v>
      </c>
      <c r="H10145" s="18">
        <f>0.01768306*(1000)</f>
        <v>17.683060000000001</v>
      </c>
      <c r="I10145" s="90"/>
      <c r="J10145" s="90"/>
    </row>
    <row r="10146" spans="1:10" s="15" customFormat="1" ht="16.5" hidden="1" customHeight="1" outlineLevel="1" x14ac:dyDescent="0.25">
      <c r="A10146" s="18">
        <v>3152</v>
      </c>
      <c r="B10146" s="4" t="s">
        <v>44</v>
      </c>
      <c r="C10146" s="38" t="s">
        <v>5199</v>
      </c>
      <c r="D10146" s="18">
        <v>2022</v>
      </c>
      <c r="E10146" s="18" t="s">
        <v>0</v>
      </c>
      <c r="F10146" s="41">
        <v>1</v>
      </c>
      <c r="G10146" s="4">
        <v>15</v>
      </c>
      <c r="H10146" s="18">
        <f>0.01768307*(1000)</f>
        <v>17.683069999999997</v>
      </c>
      <c r="I10146" s="90"/>
      <c r="J10146" s="90"/>
    </row>
    <row r="10147" spans="1:10" s="15" customFormat="1" ht="16.5" hidden="1" customHeight="1" outlineLevel="1" x14ac:dyDescent="0.25">
      <c r="A10147" s="18">
        <v>3154</v>
      </c>
      <c r="B10147" s="4" t="s">
        <v>44</v>
      </c>
      <c r="C10147" s="38" t="s">
        <v>5200</v>
      </c>
      <c r="D10147" s="18">
        <v>2022</v>
      </c>
      <c r="E10147" s="18" t="s">
        <v>0</v>
      </c>
      <c r="F10147" s="41">
        <v>1</v>
      </c>
      <c r="G10147" s="4">
        <v>5</v>
      </c>
      <c r="H10147" s="18">
        <f>0.01768307*(1000)</f>
        <v>17.683069999999997</v>
      </c>
      <c r="I10147" s="90"/>
      <c r="J10147" s="90"/>
    </row>
    <row r="10148" spans="1:10" s="15" customFormat="1" ht="16.5" hidden="1" customHeight="1" outlineLevel="1" x14ac:dyDescent="0.25">
      <c r="A10148" s="18">
        <v>3155</v>
      </c>
      <c r="B10148" s="4" t="s">
        <v>44</v>
      </c>
      <c r="C10148" s="38" t="s">
        <v>5201</v>
      </c>
      <c r="D10148" s="18">
        <v>2022</v>
      </c>
      <c r="E10148" s="18" t="s">
        <v>0</v>
      </c>
      <c r="F10148" s="41">
        <v>1</v>
      </c>
      <c r="G10148" s="4">
        <v>2</v>
      </c>
      <c r="H10148" s="18">
        <f>0.01768306*(1000)</f>
        <v>17.683060000000001</v>
      </c>
      <c r="I10148" s="90"/>
      <c r="J10148" s="90"/>
    </row>
    <row r="10149" spans="1:10" s="15" customFormat="1" ht="16.5" hidden="1" customHeight="1" outlineLevel="1" x14ac:dyDescent="0.25">
      <c r="A10149" s="18">
        <v>3157</v>
      </c>
      <c r="B10149" s="4" t="s">
        <v>44</v>
      </c>
      <c r="C10149" s="38" t="s">
        <v>5202</v>
      </c>
      <c r="D10149" s="18">
        <v>2022</v>
      </c>
      <c r="E10149" s="18" t="s">
        <v>0</v>
      </c>
      <c r="F10149" s="41">
        <v>5</v>
      </c>
      <c r="G10149" s="4">
        <v>63</v>
      </c>
      <c r="H10149" s="18">
        <f>0.12593119*(1000)</f>
        <v>125.93119</v>
      </c>
      <c r="I10149" s="90"/>
      <c r="J10149" s="90"/>
    </row>
    <row r="10150" spans="1:10" s="15" customFormat="1" ht="16.5" hidden="1" customHeight="1" outlineLevel="1" x14ac:dyDescent="0.25">
      <c r="A10150" s="18">
        <v>3160</v>
      </c>
      <c r="B10150" s="4" t="s">
        <v>44</v>
      </c>
      <c r="C10150" s="38" t="s">
        <v>5203</v>
      </c>
      <c r="D10150" s="18">
        <v>2022</v>
      </c>
      <c r="E10150" s="18" t="s">
        <v>0</v>
      </c>
      <c r="F10150" s="41">
        <v>2</v>
      </c>
      <c r="G10150" s="4">
        <v>20</v>
      </c>
      <c r="H10150" s="18">
        <f>0.03439253*(1000)</f>
        <v>34.392530000000001</v>
      </c>
      <c r="I10150" s="90"/>
      <c r="J10150" s="90"/>
    </row>
    <row r="10151" spans="1:10" s="15" customFormat="1" ht="16.5" hidden="1" customHeight="1" outlineLevel="1" x14ac:dyDescent="0.25">
      <c r="A10151" s="18">
        <v>3162</v>
      </c>
      <c r="B10151" s="4" t="s">
        <v>44</v>
      </c>
      <c r="C10151" s="38" t="s">
        <v>5204</v>
      </c>
      <c r="D10151" s="18">
        <v>2022</v>
      </c>
      <c r="E10151" s="18" t="s">
        <v>0</v>
      </c>
      <c r="F10151" s="41">
        <v>4</v>
      </c>
      <c r="G10151" s="4">
        <v>35</v>
      </c>
      <c r="H10151" s="18">
        <f>0.05026292*(1000)</f>
        <v>50.262920000000001</v>
      </c>
      <c r="I10151" s="90"/>
      <c r="J10151" s="90"/>
    </row>
    <row r="10152" spans="1:10" s="15" customFormat="1" ht="16.5" hidden="1" customHeight="1" outlineLevel="1" x14ac:dyDescent="0.25">
      <c r="A10152" s="18">
        <v>3163</v>
      </c>
      <c r="B10152" s="4" t="s">
        <v>44</v>
      </c>
      <c r="C10152" s="38" t="s">
        <v>5205</v>
      </c>
      <c r="D10152" s="18">
        <v>2022</v>
      </c>
      <c r="E10152" s="18" t="s">
        <v>0</v>
      </c>
      <c r="F10152" s="41">
        <v>2</v>
      </c>
      <c r="G10152" s="4">
        <v>25</v>
      </c>
      <c r="H10152" s="18">
        <f>0.02055242*(1000)</f>
        <v>20.552419999999998</v>
      </c>
      <c r="I10152" s="90"/>
      <c r="J10152" s="90"/>
    </row>
    <row r="10153" spans="1:10" s="15" customFormat="1" ht="16.5" hidden="1" customHeight="1" outlineLevel="1" x14ac:dyDescent="0.25">
      <c r="A10153" s="18">
        <v>3164</v>
      </c>
      <c r="B10153" s="4" t="s">
        <v>44</v>
      </c>
      <c r="C10153" s="38" t="s">
        <v>5206</v>
      </c>
      <c r="D10153" s="18">
        <v>2022</v>
      </c>
      <c r="E10153" s="18" t="s">
        <v>0</v>
      </c>
      <c r="F10153" s="41">
        <v>1</v>
      </c>
      <c r="G10153" s="4">
        <v>15</v>
      </c>
      <c r="H10153" s="18">
        <f>0.01037061*(1000)</f>
        <v>10.370610000000001</v>
      </c>
      <c r="I10153" s="90"/>
      <c r="J10153" s="90"/>
    </row>
    <row r="10154" spans="1:10" s="15" customFormat="1" ht="16.5" hidden="1" customHeight="1" outlineLevel="1" x14ac:dyDescent="0.25">
      <c r="A10154" s="18">
        <v>3166</v>
      </c>
      <c r="B10154" s="4" t="s">
        <v>44</v>
      </c>
      <c r="C10154" s="38" t="s">
        <v>5207</v>
      </c>
      <c r="D10154" s="18">
        <v>2022</v>
      </c>
      <c r="E10154" s="18" t="s">
        <v>0</v>
      </c>
      <c r="F10154" s="41">
        <v>1</v>
      </c>
      <c r="G10154" s="4">
        <v>15</v>
      </c>
      <c r="H10154" s="18">
        <f>0.01037061*(1000)</f>
        <v>10.370610000000001</v>
      </c>
      <c r="I10154" s="90"/>
      <c r="J10154" s="90"/>
    </row>
    <row r="10155" spans="1:10" s="15" customFormat="1" ht="16.5" hidden="1" customHeight="1" outlineLevel="1" x14ac:dyDescent="0.25">
      <c r="A10155" s="18">
        <v>3167</v>
      </c>
      <c r="B10155" s="4" t="s">
        <v>44</v>
      </c>
      <c r="C10155" s="38" t="s">
        <v>5208</v>
      </c>
      <c r="D10155" s="18">
        <v>2022</v>
      </c>
      <c r="E10155" s="18" t="s">
        <v>0</v>
      </c>
      <c r="F10155" s="41">
        <v>1</v>
      </c>
      <c r="G10155" s="4">
        <v>15</v>
      </c>
      <c r="H10155" s="18">
        <f>0.01788321*(1000)</f>
        <v>17.883210000000002</v>
      </c>
      <c r="I10155" s="90"/>
      <c r="J10155" s="90"/>
    </row>
    <row r="10156" spans="1:10" s="15" customFormat="1" ht="16.5" hidden="1" customHeight="1" outlineLevel="1" x14ac:dyDescent="0.25">
      <c r="A10156" s="18">
        <v>3168</v>
      </c>
      <c r="B10156" s="4" t="s">
        <v>44</v>
      </c>
      <c r="C10156" s="38" t="s">
        <v>5209</v>
      </c>
      <c r="D10156" s="18">
        <v>2022</v>
      </c>
      <c r="E10156" s="18" t="s">
        <v>0</v>
      </c>
      <c r="F10156" s="41">
        <v>1</v>
      </c>
      <c r="G10156" s="4">
        <v>15</v>
      </c>
      <c r="H10156" s="18">
        <f>0.01763809*(1000)</f>
        <v>17.638089999999998</v>
      </c>
      <c r="I10156" s="90"/>
      <c r="J10156" s="90"/>
    </row>
    <row r="10157" spans="1:10" s="15" customFormat="1" ht="16.5" hidden="1" customHeight="1" outlineLevel="1" x14ac:dyDescent="0.25">
      <c r="A10157" s="18">
        <v>3169</v>
      </c>
      <c r="B10157" s="4" t="s">
        <v>44</v>
      </c>
      <c r="C10157" s="38" t="s">
        <v>5210</v>
      </c>
      <c r="D10157" s="18">
        <v>2022</v>
      </c>
      <c r="E10157" s="18" t="s">
        <v>0</v>
      </c>
      <c r="F10157" s="41">
        <v>2</v>
      </c>
      <c r="G10157" s="4">
        <v>25</v>
      </c>
      <c r="H10157" s="18">
        <f>0.03508741*(1000)</f>
        <v>35.087409999999998</v>
      </c>
      <c r="I10157" s="90"/>
      <c r="J10157" s="90"/>
    </row>
    <row r="10158" spans="1:10" s="15" customFormat="1" ht="16.5" hidden="1" customHeight="1" outlineLevel="1" x14ac:dyDescent="0.25">
      <c r="A10158" s="18">
        <v>3170</v>
      </c>
      <c r="B10158" s="4" t="s">
        <v>44</v>
      </c>
      <c r="C10158" s="38" t="s">
        <v>5211</v>
      </c>
      <c r="D10158" s="18">
        <v>2022</v>
      </c>
      <c r="E10158" s="18" t="s">
        <v>0</v>
      </c>
      <c r="F10158" s="41">
        <v>1</v>
      </c>
      <c r="G10158" s="4">
        <v>15</v>
      </c>
      <c r="H10158" s="18">
        <f>0.01037061*(1000)</f>
        <v>10.370610000000001</v>
      </c>
      <c r="I10158" s="90"/>
      <c r="J10158" s="90"/>
    </row>
    <row r="10159" spans="1:10" s="15" customFormat="1" ht="16.5" hidden="1" customHeight="1" outlineLevel="1" x14ac:dyDescent="0.25">
      <c r="A10159" s="18">
        <v>3171</v>
      </c>
      <c r="B10159" s="4" t="s">
        <v>44</v>
      </c>
      <c r="C10159" s="38" t="s">
        <v>5212</v>
      </c>
      <c r="D10159" s="18">
        <v>2022</v>
      </c>
      <c r="E10159" s="18" t="s">
        <v>0</v>
      </c>
      <c r="F10159" s="41">
        <v>2</v>
      </c>
      <c r="G10159" s="4">
        <v>30</v>
      </c>
      <c r="H10159" s="18">
        <f>0.03873447*(1000)</f>
        <v>38.734470000000002</v>
      </c>
      <c r="I10159" s="90"/>
      <c r="J10159" s="90"/>
    </row>
    <row r="10160" spans="1:10" s="15" customFormat="1" ht="16.5" hidden="1" customHeight="1" outlineLevel="1" x14ac:dyDescent="0.25">
      <c r="A10160" s="18">
        <v>3172</v>
      </c>
      <c r="B10160" s="4" t="s">
        <v>44</v>
      </c>
      <c r="C10160" s="38" t="s">
        <v>5213</v>
      </c>
      <c r="D10160" s="18">
        <v>2022</v>
      </c>
      <c r="E10160" s="18" t="s">
        <v>0</v>
      </c>
      <c r="F10160" s="41">
        <v>2</v>
      </c>
      <c r="G10160" s="4">
        <v>25</v>
      </c>
      <c r="H10160" s="18">
        <f>0.02055242*(1000)</f>
        <v>20.552419999999998</v>
      </c>
      <c r="I10160" s="90"/>
      <c r="J10160" s="90"/>
    </row>
    <row r="10161" spans="1:10" s="15" customFormat="1" ht="16.5" hidden="1" customHeight="1" outlineLevel="1" x14ac:dyDescent="0.25">
      <c r="A10161" s="18">
        <v>3173</v>
      </c>
      <c r="B10161" s="4" t="s">
        <v>44</v>
      </c>
      <c r="C10161" s="38" t="s">
        <v>5214</v>
      </c>
      <c r="D10161" s="18">
        <v>2022</v>
      </c>
      <c r="E10161" s="18" t="s">
        <v>0</v>
      </c>
      <c r="F10161" s="41">
        <v>3</v>
      </c>
      <c r="G10161" s="4">
        <v>45</v>
      </c>
      <c r="H10161" s="18">
        <f>0.02960673*(1000)</f>
        <v>29.606730000000002</v>
      </c>
      <c r="I10161" s="90"/>
      <c r="J10161" s="90"/>
    </row>
    <row r="10162" spans="1:10" s="15" customFormat="1" ht="16.5" hidden="1" customHeight="1" outlineLevel="1" x14ac:dyDescent="0.25">
      <c r="A10162" s="18">
        <v>3174</v>
      </c>
      <c r="B10162" s="4" t="s">
        <v>44</v>
      </c>
      <c r="C10162" s="38" t="s">
        <v>5215</v>
      </c>
      <c r="D10162" s="18">
        <v>2022</v>
      </c>
      <c r="E10162" s="18" t="s">
        <v>0</v>
      </c>
      <c r="F10162" s="41">
        <v>1</v>
      </c>
      <c r="G10162" s="4">
        <v>15</v>
      </c>
      <c r="H10162" s="18">
        <f>0.0205568*(1000)</f>
        <v>20.556799999999999</v>
      </c>
      <c r="I10162" s="90"/>
      <c r="J10162" s="90"/>
    </row>
    <row r="10163" spans="1:10" s="15" customFormat="1" ht="16.5" hidden="1" customHeight="1" outlineLevel="1" x14ac:dyDescent="0.25">
      <c r="A10163" s="18">
        <v>3175</v>
      </c>
      <c r="B10163" s="4" t="s">
        <v>44</v>
      </c>
      <c r="C10163" s="38" t="s">
        <v>5216</v>
      </c>
      <c r="D10163" s="18">
        <v>2022</v>
      </c>
      <c r="E10163" s="18" t="s">
        <v>0</v>
      </c>
      <c r="F10163" s="41">
        <v>3</v>
      </c>
      <c r="G10163" s="4">
        <v>35</v>
      </c>
      <c r="H10163" s="18">
        <f>0.04658656*(1000)</f>
        <v>46.586559999999999</v>
      </c>
      <c r="I10163" s="90"/>
      <c r="J10163" s="90"/>
    </row>
    <row r="10164" spans="1:10" s="15" customFormat="1" ht="16.5" hidden="1" customHeight="1" outlineLevel="1" x14ac:dyDescent="0.25">
      <c r="A10164" s="18">
        <v>3176</v>
      </c>
      <c r="B10164" s="4" t="s">
        <v>44</v>
      </c>
      <c r="C10164" s="38" t="s">
        <v>5217</v>
      </c>
      <c r="D10164" s="18">
        <v>2022</v>
      </c>
      <c r="E10164" s="18" t="s">
        <v>0</v>
      </c>
      <c r="F10164" s="41">
        <v>4</v>
      </c>
      <c r="G10164" s="4">
        <v>50</v>
      </c>
      <c r="H10164" s="18">
        <f>0.06128858*(1000)</f>
        <v>61.288580000000003</v>
      </c>
      <c r="I10164" s="90"/>
      <c r="J10164" s="90"/>
    </row>
    <row r="10165" spans="1:10" s="15" customFormat="1" ht="16.5" hidden="1" customHeight="1" outlineLevel="1" x14ac:dyDescent="0.25">
      <c r="A10165" s="18">
        <v>3177</v>
      </c>
      <c r="B10165" s="4" t="s">
        <v>44</v>
      </c>
      <c r="C10165" s="38" t="s">
        <v>5218</v>
      </c>
      <c r="D10165" s="18">
        <v>2022</v>
      </c>
      <c r="E10165" s="18" t="s">
        <v>0</v>
      </c>
      <c r="F10165" s="41">
        <v>4</v>
      </c>
      <c r="G10165" s="4">
        <v>55</v>
      </c>
      <c r="H10165" s="18">
        <f>0.0693859*(1000)</f>
        <v>69.385900000000007</v>
      </c>
      <c r="I10165" s="90"/>
      <c r="J10165" s="90"/>
    </row>
    <row r="10166" spans="1:10" s="15" customFormat="1" ht="16.5" hidden="1" customHeight="1" outlineLevel="1" x14ac:dyDescent="0.25">
      <c r="A10166" s="18">
        <v>3178</v>
      </c>
      <c r="B10166" s="4" t="s">
        <v>44</v>
      </c>
      <c r="C10166" s="38" t="s">
        <v>5219</v>
      </c>
      <c r="D10166" s="18">
        <v>2022</v>
      </c>
      <c r="E10166" s="18" t="s">
        <v>0</v>
      </c>
      <c r="F10166" s="41">
        <v>1</v>
      </c>
      <c r="G10166" s="4">
        <v>15</v>
      </c>
      <c r="H10166" s="18">
        <f>0.01735451*(1000)</f>
        <v>17.354510000000001</v>
      </c>
      <c r="I10166" s="90"/>
      <c r="J10166" s="90"/>
    </row>
    <row r="10167" spans="1:10" s="15" customFormat="1" ht="16.5" hidden="1" customHeight="1" outlineLevel="1" x14ac:dyDescent="0.25">
      <c r="A10167" s="18">
        <v>3179</v>
      </c>
      <c r="B10167" s="4" t="s">
        <v>44</v>
      </c>
      <c r="C10167" s="38" t="s">
        <v>5220</v>
      </c>
      <c r="D10167" s="18">
        <v>2022</v>
      </c>
      <c r="E10167" s="18" t="s">
        <v>0</v>
      </c>
      <c r="F10167" s="41">
        <v>2</v>
      </c>
      <c r="G10167" s="4">
        <v>15</v>
      </c>
      <c r="H10167" s="18">
        <f>0.0209266*(1000)</f>
        <v>20.926600000000001</v>
      </c>
      <c r="I10167" s="90"/>
      <c r="J10167" s="90"/>
    </row>
    <row r="10168" spans="1:10" s="15" customFormat="1" ht="16.5" hidden="1" customHeight="1" outlineLevel="1" x14ac:dyDescent="0.25">
      <c r="A10168" s="18">
        <v>3180</v>
      </c>
      <c r="B10168" s="4" t="s">
        <v>44</v>
      </c>
      <c r="C10168" s="38" t="s">
        <v>5221</v>
      </c>
      <c r="D10168" s="18">
        <v>2022</v>
      </c>
      <c r="E10168" s="18" t="s">
        <v>0</v>
      </c>
      <c r="F10168" s="41">
        <v>2</v>
      </c>
      <c r="G10168" s="4">
        <v>25</v>
      </c>
      <c r="H10168" s="18">
        <f>0.0209266*(1000)</f>
        <v>20.926600000000001</v>
      </c>
      <c r="I10168" s="90"/>
      <c r="J10168" s="90"/>
    </row>
    <row r="10169" spans="1:10" s="15" customFormat="1" ht="16.5" hidden="1" customHeight="1" outlineLevel="1" x14ac:dyDescent="0.25">
      <c r="A10169" s="18">
        <v>3181</v>
      </c>
      <c r="B10169" s="4" t="s">
        <v>44</v>
      </c>
      <c r="C10169" s="38" t="s">
        <v>5222</v>
      </c>
      <c r="D10169" s="18">
        <v>2022</v>
      </c>
      <c r="E10169" s="18" t="s">
        <v>0</v>
      </c>
      <c r="F10169" s="41">
        <v>7</v>
      </c>
      <c r="G10169" s="4">
        <v>83</v>
      </c>
      <c r="H10169" s="18">
        <f>0.09979806*(1000)</f>
        <v>99.798059999999992</v>
      </c>
      <c r="I10169" s="90"/>
      <c r="J10169" s="90"/>
    </row>
    <row r="10170" spans="1:10" s="15" customFormat="1" ht="16.5" hidden="1" customHeight="1" outlineLevel="1" x14ac:dyDescent="0.25">
      <c r="A10170" s="18">
        <v>3182</v>
      </c>
      <c r="B10170" s="4" t="s">
        <v>44</v>
      </c>
      <c r="C10170" s="38" t="s">
        <v>5223</v>
      </c>
      <c r="D10170" s="18">
        <v>2022</v>
      </c>
      <c r="E10170" s="18" t="s">
        <v>0</v>
      </c>
      <c r="F10170" s="41">
        <v>2</v>
      </c>
      <c r="G10170" s="4">
        <v>20</v>
      </c>
      <c r="H10170" s="18">
        <f>0.01880846*(1000)</f>
        <v>18.80846</v>
      </c>
      <c r="I10170" s="90"/>
      <c r="J10170" s="90"/>
    </row>
    <row r="10171" spans="1:10" s="15" customFormat="1" ht="16.5" hidden="1" customHeight="1" outlineLevel="1" x14ac:dyDescent="0.25">
      <c r="A10171" s="18">
        <v>3183</v>
      </c>
      <c r="B10171" s="4" t="s">
        <v>44</v>
      </c>
      <c r="C10171" s="38" t="s">
        <v>5224</v>
      </c>
      <c r="D10171" s="18">
        <v>2022</v>
      </c>
      <c r="E10171" s="18" t="s">
        <v>0</v>
      </c>
      <c r="F10171" s="41">
        <v>4</v>
      </c>
      <c r="G10171" s="4">
        <v>50</v>
      </c>
      <c r="H10171" s="18">
        <f>0.06319426*(1000)</f>
        <v>63.19426</v>
      </c>
      <c r="I10171" s="90"/>
      <c r="J10171" s="90"/>
    </row>
    <row r="10172" spans="1:10" s="15" customFormat="1" ht="16.5" hidden="1" customHeight="1" outlineLevel="1" x14ac:dyDescent="0.25">
      <c r="A10172" s="18">
        <v>3184</v>
      </c>
      <c r="B10172" s="4" t="s">
        <v>44</v>
      </c>
      <c r="C10172" s="38" t="s">
        <v>5225</v>
      </c>
      <c r="D10172" s="18">
        <v>2022</v>
      </c>
      <c r="E10172" s="18" t="s">
        <v>0</v>
      </c>
      <c r="F10172" s="41">
        <v>4</v>
      </c>
      <c r="G10172" s="4">
        <v>55</v>
      </c>
      <c r="H10172" s="18">
        <f>0.05480584*(1000)</f>
        <v>54.805840000000003</v>
      </c>
      <c r="I10172" s="90"/>
      <c r="J10172" s="90"/>
    </row>
    <row r="10173" spans="1:10" s="15" customFormat="1" ht="16.5" hidden="1" customHeight="1" outlineLevel="1" x14ac:dyDescent="0.25">
      <c r="A10173" s="18">
        <v>3186</v>
      </c>
      <c r="B10173" s="4" t="s">
        <v>44</v>
      </c>
      <c r="C10173" s="38" t="s">
        <v>5226</v>
      </c>
      <c r="D10173" s="18">
        <v>2022</v>
      </c>
      <c r="E10173" s="18" t="s">
        <v>0</v>
      </c>
      <c r="F10173" s="41">
        <v>3</v>
      </c>
      <c r="G10173" s="4">
        <v>35</v>
      </c>
      <c r="H10173" s="18">
        <f>0.04869242*(1000)</f>
        <v>48.692419999999998</v>
      </c>
      <c r="I10173" s="90"/>
      <c r="J10173" s="90"/>
    </row>
    <row r="10174" spans="1:10" s="15" customFormat="1" ht="16.5" hidden="1" customHeight="1" outlineLevel="1" x14ac:dyDescent="0.25">
      <c r="A10174" s="18">
        <v>3187</v>
      </c>
      <c r="B10174" s="4" t="s">
        <v>44</v>
      </c>
      <c r="C10174" s="38" t="s">
        <v>5227</v>
      </c>
      <c r="D10174" s="18">
        <v>2022</v>
      </c>
      <c r="E10174" s="18" t="s">
        <v>0</v>
      </c>
      <c r="F10174" s="41">
        <v>1</v>
      </c>
      <c r="G10174" s="4">
        <v>9</v>
      </c>
      <c r="H10174" s="18">
        <f>0.01942949*(1000)</f>
        <v>19.429490000000001</v>
      </c>
      <c r="I10174" s="90"/>
      <c r="J10174" s="90"/>
    </row>
    <row r="10175" spans="1:10" s="15" customFormat="1" ht="16.5" hidden="1" customHeight="1" outlineLevel="1" x14ac:dyDescent="0.25">
      <c r="A10175" s="18">
        <v>3188</v>
      </c>
      <c r="B10175" s="4" t="s">
        <v>44</v>
      </c>
      <c r="C10175" s="38" t="s">
        <v>5228</v>
      </c>
      <c r="D10175" s="18">
        <v>2022</v>
      </c>
      <c r="E10175" s="18" t="s">
        <v>0</v>
      </c>
      <c r="F10175" s="41">
        <v>2</v>
      </c>
      <c r="G10175" s="4">
        <v>25</v>
      </c>
      <c r="H10175" s="18">
        <f>0.03206894*(1000)</f>
        <v>32.068939999999998</v>
      </c>
      <c r="I10175" s="90"/>
      <c r="J10175" s="90"/>
    </row>
    <row r="10176" spans="1:10" s="15" customFormat="1" ht="16.5" hidden="1" customHeight="1" outlineLevel="1" x14ac:dyDescent="0.25">
      <c r="A10176" s="18">
        <v>3189</v>
      </c>
      <c r="B10176" s="4" t="s">
        <v>44</v>
      </c>
      <c r="C10176" s="38" t="s">
        <v>5229</v>
      </c>
      <c r="D10176" s="18">
        <v>2022</v>
      </c>
      <c r="E10176" s="18" t="s">
        <v>0</v>
      </c>
      <c r="F10176" s="41">
        <v>4</v>
      </c>
      <c r="G10176" s="4">
        <v>45</v>
      </c>
      <c r="H10176" s="18">
        <f>0.038455*(1000)</f>
        <v>38.455000000000005</v>
      </c>
      <c r="I10176" s="90"/>
      <c r="J10176" s="90"/>
    </row>
    <row r="10177" spans="1:10" s="15" customFormat="1" ht="16.5" hidden="1" customHeight="1" outlineLevel="1" x14ac:dyDescent="0.25">
      <c r="A10177" s="18">
        <v>3190</v>
      </c>
      <c r="B10177" s="4" t="s">
        <v>44</v>
      </c>
      <c r="C10177" s="38" t="s">
        <v>5230</v>
      </c>
      <c r="D10177" s="18">
        <v>2022</v>
      </c>
      <c r="E10177" s="18" t="s">
        <v>0</v>
      </c>
      <c r="F10177" s="41">
        <v>4</v>
      </c>
      <c r="G10177" s="4">
        <v>45</v>
      </c>
      <c r="H10177" s="18">
        <f>0.04841102*(1000)</f>
        <v>48.411020000000001</v>
      </c>
      <c r="I10177" s="90"/>
      <c r="J10177" s="90"/>
    </row>
    <row r="10178" spans="1:10" s="15" customFormat="1" ht="16.5" hidden="1" customHeight="1" outlineLevel="1" x14ac:dyDescent="0.25">
      <c r="A10178" s="18">
        <v>3191</v>
      </c>
      <c r="B10178" s="4" t="s">
        <v>44</v>
      </c>
      <c r="C10178" s="38" t="s">
        <v>5231</v>
      </c>
      <c r="D10178" s="18">
        <v>2022</v>
      </c>
      <c r="E10178" s="18" t="s">
        <v>0</v>
      </c>
      <c r="F10178" s="41">
        <v>2</v>
      </c>
      <c r="G10178" s="4">
        <v>23</v>
      </c>
      <c r="H10178" s="18">
        <f>0.03556291*(1000)</f>
        <v>35.562910000000002</v>
      </c>
      <c r="I10178" s="90"/>
      <c r="J10178" s="90"/>
    </row>
    <row r="10179" spans="1:10" s="15" customFormat="1" ht="16.5" hidden="1" customHeight="1" outlineLevel="1" x14ac:dyDescent="0.25">
      <c r="A10179" s="18">
        <v>3192</v>
      </c>
      <c r="B10179" s="4" t="s">
        <v>44</v>
      </c>
      <c r="C10179" s="38" t="s">
        <v>5232</v>
      </c>
      <c r="D10179" s="18">
        <v>2022</v>
      </c>
      <c r="E10179" s="18" t="s">
        <v>0</v>
      </c>
      <c r="F10179" s="41">
        <v>1</v>
      </c>
      <c r="G10179" s="4">
        <v>15</v>
      </c>
      <c r="H10179" s="18">
        <f>0.01752128*(1000)</f>
        <v>17.521280000000001</v>
      </c>
      <c r="I10179" s="90"/>
      <c r="J10179" s="90"/>
    </row>
    <row r="10180" spans="1:10" s="15" customFormat="1" ht="16.5" hidden="1" customHeight="1" outlineLevel="1" x14ac:dyDescent="0.25">
      <c r="A10180" s="18">
        <v>3194</v>
      </c>
      <c r="B10180" s="4" t="s">
        <v>44</v>
      </c>
      <c r="C10180" s="38" t="s">
        <v>5233</v>
      </c>
      <c r="D10180" s="18">
        <v>2022</v>
      </c>
      <c r="E10180" s="18" t="s">
        <v>0</v>
      </c>
      <c r="F10180" s="41">
        <v>2</v>
      </c>
      <c r="G10180" s="4">
        <v>29</v>
      </c>
      <c r="H10180" s="18">
        <f>0.03539998*(1000)</f>
        <v>35.399979999999999</v>
      </c>
      <c r="I10180" s="90"/>
      <c r="J10180" s="90"/>
    </row>
    <row r="10181" spans="1:10" s="15" customFormat="1" ht="16.5" hidden="1" customHeight="1" outlineLevel="1" x14ac:dyDescent="0.25">
      <c r="A10181" s="18">
        <v>3195</v>
      </c>
      <c r="B10181" s="4" t="s">
        <v>44</v>
      </c>
      <c r="C10181" s="38" t="s">
        <v>5234</v>
      </c>
      <c r="D10181" s="18">
        <v>2022</v>
      </c>
      <c r="E10181" s="18" t="s">
        <v>0</v>
      </c>
      <c r="F10181" s="41">
        <v>1</v>
      </c>
      <c r="G10181" s="4">
        <v>100</v>
      </c>
      <c r="H10181" s="18">
        <f>0.01769998*(1000)</f>
        <v>17.69998</v>
      </c>
      <c r="I10181" s="90"/>
      <c r="J10181" s="90"/>
    </row>
    <row r="10182" spans="1:10" s="15" customFormat="1" ht="16.5" hidden="1" customHeight="1" outlineLevel="1" x14ac:dyDescent="0.25">
      <c r="A10182" s="18">
        <v>3196</v>
      </c>
      <c r="B10182" s="4" t="s">
        <v>44</v>
      </c>
      <c r="C10182" s="38" t="s">
        <v>5235</v>
      </c>
      <c r="D10182" s="18">
        <v>2022</v>
      </c>
      <c r="E10182" s="18" t="s">
        <v>0</v>
      </c>
      <c r="F10182" s="41">
        <v>1</v>
      </c>
      <c r="G10182" s="4">
        <v>15</v>
      </c>
      <c r="H10182" s="18">
        <f>0.01769999*(1000)</f>
        <v>17.69999</v>
      </c>
      <c r="I10182" s="90"/>
      <c r="J10182" s="90"/>
    </row>
    <row r="10183" spans="1:10" s="15" customFormat="1" ht="16.5" hidden="1" customHeight="1" outlineLevel="1" x14ac:dyDescent="0.25">
      <c r="A10183" s="18">
        <v>3199</v>
      </c>
      <c r="B10183" s="4" t="s">
        <v>44</v>
      </c>
      <c r="C10183" s="38" t="s">
        <v>5236</v>
      </c>
      <c r="D10183" s="18">
        <v>2022</v>
      </c>
      <c r="E10183" s="18" t="s">
        <v>0</v>
      </c>
      <c r="F10183" s="41">
        <v>2</v>
      </c>
      <c r="G10183" s="4">
        <v>25</v>
      </c>
      <c r="H10183" s="18">
        <f>0.02625086*(1000)</f>
        <v>26.250859999999999</v>
      </c>
      <c r="I10183" s="90"/>
      <c r="J10183" s="90"/>
    </row>
    <row r="10184" spans="1:10" s="15" customFormat="1" ht="16.5" hidden="1" customHeight="1" outlineLevel="1" x14ac:dyDescent="0.25">
      <c r="A10184" s="18">
        <v>3200</v>
      </c>
      <c r="B10184" s="4" t="s">
        <v>44</v>
      </c>
      <c r="C10184" s="38" t="s">
        <v>5237</v>
      </c>
      <c r="D10184" s="18">
        <v>2022</v>
      </c>
      <c r="E10184" s="18" t="s">
        <v>0</v>
      </c>
      <c r="F10184" s="41">
        <v>4</v>
      </c>
      <c r="G10184" s="4">
        <v>50</v>
      </c>
      <c r="H10184" s="18">
        <f>0.07162549*(1000)</f>
        <v>71.625489999999999</v>
      </c>
      <c r="I10184" s="90"/>
      <c r="J10184" s="90"/>
    </row>
    <row r="10185" spans="1:10" s="15" customFormat="1" ht="16.5" hidden="1" customHeight="1" outlineLevel="1" x14ac:dyDescent="0.25">
      <c r="A10185" s="18">
        <v>3201</v>
      </c>
      <c r="B10185" s="4" t="s">
        <v>44</v>
      </c>
      <c r="C10185" s="38" t="s">
        <v>5238</v>
      </c>
      <c r="D10185" s="18">
        <v>2022</v>
      </c>
      <c r="E10185" s="18" t="s">
        <v>0</v>
      </c>
      <c r="F10185" s="41">
        <v>5</v>
      </c>
      <c r="G10185" s="4">
        <v>60</v>
      </c>
      <c r="H10185" s="18">
        <f>0.06355052*(1000)</f>
        <v>63.550519999999999</v>
      </c>
      <c r="I10185" s="90"/>
      <c r="J10185" s="90"/>
    </row>
    <row r="10186" spans="1:10" s="15" customFormat="1" ht="16.5" hidden="1" customHeight="1" outlineLevel="1" x14ac:dyDescent="0.25">
      <c r="A10186" s="18">
        <v>3203</v>
      </c>
      <c r="B10186" s="4" t="s">
        <v>44</v>
      </c>
      <c r="C10186" s="38" t="s">
        <v>5239</v>
      </c>
      <c r="D10186" s="18">
        <v>2022</v>
      </c>
      <c r="E10186" s="18" t="s">
        <v>0</v>
      </c>
      <c r="F10186" s="41">
        <v>5</v>
      </c>
      <c r="G10186" s="4">
        <v>55</v>
      </c>
      <c r="H10186" s="18">
        <f>0.05526326*(1000)</f>
        <v>55.263260000000002</v>
      </c>
      <c r="I10186" s="90"/>
      <c r="J10186" s="90"/>
    </row>
    <row r="10187" spans="1:10" s="15" customFormat="1" ht="16.5" hidden="1" customHeight="1" outlineLevel="1" x14ac:dyDescent="0.25">
      <c r="A10187" s="18">
        <v>3204</v>
      </c>
      <c r="B10187" s="4" t="s">
        <v>44</v>
      </c>
      <c r="C10187" s="38" t="s">
        <v>5240</v>
      </c>
      <c r="D10187" s="18">
        <v>2022</v>
      </c>
      <c r="E10187" s="18" t="s">
        <v>0</v>
      </c>
      <c r="F10187" s="41">
        <v>1</v>
      </c>
      <c r="G10187" s="4">
        <v>5</v>
      </c>
      <c r="H10187" s="18">
        <f>0.01664078*(1000)</f>
        <v>16.640779999999999</v>
      </c>
      <c r="I10187" s="90"/>
      <c r="J10187" s="90"/>
    </row>
    <row r="10188" spans="1:10" s="15" customFormat="1" ht="16.5" hidden="1" customHeight="1" outlineLevel="1" x14ac:dyDescent="0.25">
      <c r="A10188" s="18">
        <v>3205</v>
      </c>
      <c r="B10188" s="4" t="s">
        <v>44</v>
      </c>
      <c r="C10188" s="38" t="s">
        <v>5241</v>
      </c>
      <c r="D10188" s="18">
        <v>2022</v>
      </c>
      <c r="E10188" s="18" t="s">
        <v>0</v>
      </c>
      <c r="F10188" s="41">
        <v>7</v>
      </c>
      <c r="G10188" s="4">
        <v>91</v>
      </c>
      <c r="H10188" s="18">
        <f>0.08928707*(1000)</f>
        <v>89.28707</v>
      </c>
      <c r="I10188" s="90"/>
      <c r="J10188" s="90"/>
    </row>
    <row r="10189" spans="1:10" s="15" customFormat="1" ht="16.5" hidden="1" customHeight="1" outlineLevel="1" x14ac:dyDescent="0.25">
      <c r="A10189" s="18">
        <v>3208</v>
      </c>
      <c r="B10189" s="4" t="s">
        <v>44</v>
      </c>
      <c r="C10189" s="38" t="s">
        <v>5242</v>
      </c>
      <c r="D10189" s="18">
        <v>2022</v>
      </c>
      <c r="E10189" s="18" t="s">
        <v>0</v>
      </c>
      <c r="F10189" s="41">
        <v>1</v>
      </c>
      <c r="G10189" s="4">
        <v>15</v>
      </c>
      <c r="H10189" s="18">
        <f>0.01664078*(1000)</f>
        <v>16.640779999999999</v>
      </c>
      <c r="I10189" s="90"/>
      <c r="J10189" s="90"/>
    </row>
    <row r="10190" spans="1:10" s="15" customFormat="1" ht="16.5" hidden="1" customHeight="1" outlineLevel="1" x14ac:dyDescent="0.25">
      <c r="A10190" s="18">
        <v>3209</v>
      </c>
      <c r="B10190" s="4" t="s">
        <v>44</v>
      </c>
      <c r="C10190" s="38" t="s">
        <v>5243</v>
      </c>
      <c r="D10190" s="18">
        <v>2022</v>
      </c>
      <c r="E10190" s="18" t="s">
        <v>0</v>
      </c>
      <c r="F10190" s="41">
        <v>1</v>
      </c>
      <c r="G10190" s="4">
        <v>15</v>
      </c>
      <c r="H10190" s="18">
        <f>0.01725742*(1000)</f>
        <v>17.25742</v>
      </c>
      <c r="I10190" s="90"/>
      <c r="J10190" s="90"/>
    </row>
    <row r="10191" spans="1:10" s="15" customFormat="1" ht="16.5" hidden="1" customHeight="1" outlineLevel="1" x14ac:dyDescent="0.25">
      <c r="A10191" s="18">
        <v>3210</v>
      </c>
      <c r="B10191" s="4" t="s">
        <v>44</v>
      </c>
      <c r="C10191" s="38" t="s">
        <v>5244</v>
      </c>
      <c r="D10191" s="18">
        <v>2022</v>
      </c>
      <c r="E10191" s="18" t="s">
        <v>0</v>
      </c>
      <c r="F10191" s="41">
        <v>1</v>
      </c>
      <c r="G10191" s="4">
        <v>15</v>
      </c>
      <c r="H10191" s="18">
        <f>0.01725742*(1000)</f>
        <v>17.25742</v>
      </c>
      <c r="I10191" s="90"/>
      <c r="J10191" s="90"/>
    </row>
    <row r="10192" spans="1:10" s="15" customFormat="1" ht="16.5" hidden="1" customHeight="1" outlineLevel="1" x14ac:dyDescent="0.25">
      <c r="A10192" s="18">
        <v>3213</v>
      </c>
      <c r="B10192" s="4" t="s">
        <v>44</v>
      </c>
      <c r="C10192" s="38" t="s">
        <v>5245</v>
      </c>
      <c r="D10192" s="18">
        <v>2022</v>
      </c>
      <c r="E10192" s="18" t="s">
        <v>0</v>
      </c>
      <c r="F10192" s="41">
        <v>1</v>
      </c>
      <c r="G10192" s="4">
        <v>15</v>
      </c>
      <c r="H10192" s="18">
        <f>0.01664078*(1000)</f>
        <v>16.640779999999999</v>
      </c>
      <c r="I10192" s="90"/>
      <c r="J10192" s="90"/>
    </row>
    <row r="10193" spans="1:10" s="15" customFormat="1" ht="16.5" hidden="1" customHeight="1" outlineLevel="1" x14ac:dyDescent="0.25">
      <c r="A10193" s="18">
        <v>3214</v>
      </c>
      <c r="B10193" s="4" t="s">
        <v>44</v>
      </c>
      <c r="C10193" s="38" t="s">
        <v>5246</v>
      </c>
      <c r="D10193" s="18">
        <v>2022</v>
      </c>
      <c r="E10193" s="18" t="s">
        <v>0</v>
      </c>
      <c r="F10193" s="41">
        <v>1</v>
      </c>
      <c r="G10193" s="4">
        <v>15</v>
      </c>
      <c r="H10193" s="18">
        <f>0.01664078*(1000)</f>
        <v>16.640779999999999</v>
      </c>
      <c r="I10193" s="90"/>
      <c r="J10193" s="90"/>
    </row>
    <row r="10194" spans="1:10" s="15" customFormat="1" ht="16.5" hidden="1" customHeight="1" outlineLevel="1" x14ac:dyDescent="0.25">
      <c r="A10194" s="18">
        <v>3215</v>
      </c>
      <c r="B10194" s="4" t="s">
        <v>44</v>
      </c>
      <c r="C10194" s="38" t="s">
        <v>5247</v>
      </c>
      <c r="D10194" s="18">
        <v>2022</v>
      </c>
      <c r="E10194" s="18" t="s">
        <v>0</v>
      </c>
      <c r="F10194" s="41">
        <v>1</v>
      </c>
      <c r="G10194" s="4">
        <v>15</v>
      </c>
      <c r="H10194" s="18">
        <f>0.01664078*(1000)</f>
        <v>16.640779999999999</v>
      </c>
      <c r="I10194" s="90"/>
      <c r="J10194" s="90"/>
    </row>
    <row r="10195" spans="1:10" s="15" customFormat="1" ht="16.5" hidden="1" customHeight="1" outlineLevel="1" x14ac:dyDescent="0.25">
      <c r="A10195" s="18">
        <v>3218</v>
      </c>
      <c r="B10195" s="4" t="s">
        <v>44</v>
      </c>
      <c r="C10195" s="38" t="s">
        <v>5248</v>
      </c>
      <c r="D10195" s="18">
        <v>2022</v>
      </c>
      <c r="E10195" s="18" t="s">
        <v>0</v>
      </c>
      <c r="F10195" s="41">
        <v>1</v>
      </c>
      <c r="G10195" s="4">
        <v>15</v>
      </c>
      <c r="H10195" s="18">
        <f>0.01914837*(1000)</f>
        <v>19.14837</v>
      </c>
      <c r="I10195" s="90"/>
      <c r="J10195" s="90"/>
    </row>
    <row r="10196" spans="1:10" s="15" customFormat="1" ht="16.5" hidden="1" customHeight="1" outlineLevel="1" x14ac:dyDescent="0.25">
      <c r="A10196" s="18">
        <v>3219</v>
      </c>
      <c r="B10196" s="4" t="s">
        <v>44</v>
      </c>
      <c r="C10196" s="38" t="s">
        <v>5249</v>
      </c>
      <c r="D10196" s="18">
        <v>2022</v>
      </c>
      <c r="E10196" s="18" t="s">
        <v>0</v>
      </c>
      <c r="F10196" s="41">
        <v>3</v>
      </c>
      <c r="G10196" s="4">
        <v>35</v>
      </c>
      <c r="H10196" s="18">
        <f>0.03601778*(1000)</f>
        <v>36.017780000000002</v>
      </c>
      <c r="I10196" s="90"/>
      <c r="J10196" s="90"/>
    </row>
    <row r="10197" spans="1:10" s="15" customFormat="1" ht="16.5" hidden="1" customHeight="1" outlineLevel="1" x14ac:dyDescent="0.25">
      <c r="A10197" s="18">
        <v>3221</v>
      </c>
      <c r="B10197" s="4" t="s">
        <v>44</v>
      </c>
      <c r="C10197" s="38" t="s">
        <v>5250</v>
      </c>
      <c r="D10197" s="18">
        <v>2022</v>
      </c>
      <c r="E10197" s="18" t="s">
        <v>0</v>
      </c>
      <c r="F10197" s="41">
        <v>1</v>
      </c>
      <c r="G10197" s="4">
        <v>15</v>
      </c>
      <c r="H10197" s="18">
        <f>0.01666408*(1000)</f>
        <v>16.664080000000002</v>
      </c>
      <c r="I10197" s="90"/>
      <c r="J10197" s="90"/>
    </row>
    <row r="10198" spans="1:10" s="15" customFormat="1" ht="16.5" hidden="1" customHeight="1" outlineLevel="1" x14ac:dyDescent="0.25">
      <c r="A10198" s="18">
        <v>3223</v>
      </c>
      <c r="B10198" s="4" t="s">
        <v>44</v>
      </c>
      <c r="C10198" s="38" t="s">
        <v>5251</v>
      </c>
      <c r="D10198" s="18">
        <v>2022</v>
      </c>
      <c r="E10198" s="18" t="s">
        <v>0</v>
      </c>
      <c r="F10198" s="41">
        <v>1</v>
      </c>
      <c r="G10198" s="4">
        <v>15</v>
      </c>
      <c r="H10198" s="18">
        <f>0.01666408*(1000)</f>
        <v>16.664080000000002</v>
      </c>
      <c r="I10198" s="90"/>
      <c r="J10198" s="90"/>
    </row>
    <row r="10199" spans="1:10" s="15" customFormat="1" ht="16.5" hidden="1" customHeight="1" outlineLevel="1" x14ac:dyDescent="0.25">
      <c r="A10199" s="18">
        <v>3224</v>
      </c>
      <c r="B10199" s="4" t="s">
        <v>44</v>
      </c>
      <c r="C10199" s="38" t="s">
        <v>5252</v>
      </c>
      <c r="D10199" s="18">
        <v>2022</v>
      </c>
      <c r="E10199" s="18" t="s">
        <v>0</v>
      </c>
      <c r="F10199" s="41">
        <v>1</v>
      </c>
      <c r="G10199" s="4">
        <v>15</v>
      </c>
      <c r="H10199" s="18">
        <f>0.01666409*(1000)</f>
        <v>16.664089999999998</v>
      </c>
      <c r="I10199" s="90"/>
      <c r="J10199" s="90"/>
    </row>
    <row r="10200" spans="1:10" s="15" customFormat="1" ht="16.5" hidden="1" customHeight="1" outlineLevel="1" x14ac:dyDescent="0.25">
      <c r="A10200" s="18">
        <v>3226</v>
      </c>
      <c r="B10200" s="4" t="s">
        <v>44</v>
      </c>
      <c r="C10200" s="38" t="s">
        <v>5253</v>
      </c>
      <c r="D10200" s="18">
        <v>2022</v>
      </c>
      <c r="E10200" s="18" t="s">
        <v>0</v>
      </c>
      <c r="F10200" s="41">
        <v>1</v>
      </c>
      <c r="G10200" s="4">
        <v>15</v>
      </c>
      <c r="H10200" s="18">
        <f>0.01666408*(1000)</f>
        <v>16.664080000000002</v>
      </c>
      <c r="I10200" s="90"/>
      <c r="J10200" s="90"/>
    </row>
    <row r="10201" spans="1:10" s="15" customFormat="1" ht="16.5" hidden="1" customHeight="1" outlineLevel="1" x14ac:dyDescent="0.25">
      <c r="A10201" s="18">
        <v>3228</v>
      </c>
      <c r="B10201" s="4" t="s">
        <v>44</v>
      </c>
      <c r="C10201" s="38" t="s">
        <v>5254</v>
      </c>
      <c r="D10201" s="18">
        <v>2022</v>
      </c>
      <c r="E10201" s="18" t="s">
        <v>0</v>
      </c>
      <c r="F10201" s="41">
        <v>1</v>
      </c>
      <c r="G10201" s="4">
        <v>15</v>
      </c>
      <c r="H10201" s="18">
        <f>0.01666408*(1000)</f>
        <v>16.664080000000002</v>
      </c>
      <c r="I10201" s="90"/>
      <c r="J10201" s="90"/>
    </row>
    <row r="10202" spans="1:10" s="15" customFormat="1" ht="16.5" hidden="1" customHeight="1" outlineLevel="1" x14ac:dyDescent="0.25">
      <c r="A10202" s="18">
        <v>3229</v>
      </c>
      <c r="B10202" s="4" t="s">
        <v>44</v>
      </c>
      <c r="C10202" s="38" t="s">
        <v>5255</v>
      </c>
      <c r="D10202" s="18">
        <v>2022</v>
      </c>
      <c r="E10202" s="18" t="s">
        <v>0</v>
      </c>
      <c r="F10202" s="41">
        <v>1</v>
      </c>
      <c r="G10202" s="4">
        <v>10</v>
      </c>
      <c r="H10202" s="18">
        <f>0.00986562*(1000)</f>
        <v>9.8656199999999998</v>
      </c>
      <c r="I10202" s="90"/>
      <c r="J10202" s="90"/>
    </row>
    <row r="10203" spans="1:10" s="15" customFormat="1" ht="16.5" hidden="1" customHeight="1" outlineLevel="1" x14ac:dyDescent="0.25">
      <c r="A10203" s="18">
        <v>3230</v>
      </c>
      <c r="B10203" s="4" t="s">
        <v>44</v>
      </c>
      <c r="C10203" s="38" t="s">
        <v>5256</v>
      </c>
      <c r="D10203" s="18">
        <v>2022</v>
      </c>
      <c r="E10203" s="18" t="s">
        <v>0</v>
      </c>
      <c r="F10203" s="41">
        <v>1</v>
      </c>
      <c r="G10203" s="4">
        <v>10</v>
      </c>
      <c r="H10203" s="18">
        <f>0.01666408*(1000)</f>
        <v>16.664080000000002</v>
      </c>
      <c r="I10203" s="90"/>
      <c r="J10203" s="90"/>
    </row>
    <row r="10204" spans="1:10" s="15" customFormat="1" ht="16.5" hidden="1" customHeight="1" outlineLevel="1" x14ac:dyDescent="0.25">
      <c r="A10204" s="18">
        <v>3237</v>
      </c>
      <c r="B10204" s="4" t="s">
        <v>44</v>
      </c>
      <c r="C10204" s="38" t="s">
        <v>5257</v>
      </c>
      <c r="D10204" s="18">
        <v>2022</v>
      </c>
      <c r="E10204" s="18" t="s">
        <v>0</v>
      </c>
      <c r="F10204" s="41">
        <v>1</v>
      </c>
      <c r="G10204" s="4">
        <v>15</v>
      </c>
      <c r="H10204" s="18">
        <f>0.01666408*(1000)</f>
        <v>16.664080000000002</v>
      </c>
      <c r="I10204" s="90"/>
      <c r="J10204" s="90"/>
    </row>
    <row r="10205" spans="1:10" s="15" customFormat="1" ht="16.5" hidden="1" customHeight="1" outlineLevel="1" x14ac:dyDescent="0.25">
      <c r="A10205" s="18">
        <v>3240</v>
      </c>
      <c r="B10205" s="4" t="s">
        <v>44</v>
      </c>
      <c r="C10205" s="38" t="s">
        <v>5258</v>
      </c>
      <c r="D10205" s="18">
        <v>2022</v>
      </c>
      <c r="E10205" s="18" t="s">
        <v>0</v>
      </c>
      <c r="F10205" s="41">
        <v>1</v>
      </c>
      <c r="G10205" s="4">
        <v>15</v>
      </c>
      <c r="H10205" s="18">
        <f>0.01666408*(1000)</f>
        <v>16.664080000000002</v>
      </c>
      <c r="I10205" s="90"/>
      <c r="J10205" s="90"/>
    </row>
    <row r="10206" spans="1:10" s="15" customFormat="1" ht="16.5" hidden="1" customHeight="1" outlineLevel="1" x14ac:dyDescent="0.25">
      <c r="A10206" s="18">
        <v>3241</v>
      </c>
      <c r="B10206" s="4" t="s">
        <v>44</v>
      </c>
      <c r="C10206" s="38" t="s">
        <v>5259</v>
      </c>
      <c r="D10206" s="18">
        <v>2022</v>
      </c>
      <c r="E10206" s="18" t="s">
        <v>0</v>
      </c>
      <c r="F10206" s="41">
        <v>1</v>
      </c>
      <c r="G10206" s="4">
        <v>15</v>
      </c>
      <c r="H10206" s="18">
        <f>0.01666408*(1000)</f>
        <v>16.664080000000002</v>
      </c>
      <c r="I10206" s="90"/>
      <c r="J10206" s="90"/>
    </row>
    <row r="10207" spans="1:10" s="15" customFormat="1" ht="16.5" hidden="1" customHeight="1" outlineLevel="1" x14ac:dyDescent="0.25">
      <c r="A10207" s="18">
        <v>3242</v>
      </c>
      <c r="B10207" s="4" t="s">
        <v>44</v>
      </c>
      <c r="C10207" s="38" t="s">
        <v>5260</v>
      </c>
      <c r="D10207" s="18">
        <v>2022</v>
      </c>
      <c r="E10207" s="18" t="s">
        <v>0</v>
      </c>
      <c r="F10207" s="41">
        <v>1</v>
      </c>
      <c r="G10207" s="4">
        <v>15</v>
      </c>
      <c r="H10207" s="18">
        <f>0.01666407*(1000)</f>
        <v>16.664069999999999</v>
      </c>
      <c r="I10207" s="90"/>
      <c r="J10207" s="90"/>
    </row>
    <row r="10208" spans="1:10" s="15" customFormat="1" ht="16.5" hidden="1" customHeight="1" outlineLevel="1" x14ac:dyDescent="0.25">
      <c r="A10208" s="18">
        <v>3243</v>
      </c>
      <c r="B10208" s="4" t="s">
        <v>44</v>
      </c>
      <c r="C10208" s="38" t="s">
        <v>5261</v>
      </c>
      <c r="D10208" s="18">
        <v>2022</v>
      </c>
      <c r="E10208" s="18" t="s">
        <v>0</v>
      </c>
      <c r="F10208" s="41">
        <v>1</v>
      </c>
      <c r="G10208" s="4">
        <v>15</v>
      </c>
      <c r="H10208" s="18">
        <f>0.01666408*(1000)</f>
        <v>16.664080000000002</v>
      </c>
      <c r="I10208" s="90"/>
      <c r="J10208" s="90"/>
    </row>
    <row r="10209" spans="1:10" s="15" customFormat="1" ht="16.5" hidden="1" customHeight="1" outlineLevel="1" x14ac:dyDescent="0.25">
      <c r="A10209" s="18">
        <v>3248</v>
      </c>
      <c r="B10209" s="4" t="s">
        <v>44</v>
      </c>
      <c r="C10209" s="38" t="s">
        <v>5262</v>
      </c>
      <c r="D10209" s="18">
        <v>2022</v>
      </c>
      <c r="E10209" s="18" t="s">
        <v>0</v>
      </c>
      <c r="F10209" s="41">
        <v>1</v>
      </c>
      <c r="G10209" s="4">
        <v>5</v>
      </c>
      <c r="H10209" s="18">
        <f>0.01825692*(1000)</f>
        <v>18.256920000000001</v>
      </c>
      <c r="I10209" s="90"/>
      <c r="J10209" s="90"/>
    </row>
    <row r="10210" spans="1:10" s="15" customFormat="1" ht="16.5" hidden="1" customHeight="1" outlineLevel="1" x14ac:dyDescent="0.25">
      <c r="A10210" s="18">
        <v>3249</v>
      </c>
      <c r="B10210" s="4" t="s">
        <v>44</v>
      </c>
      <c r="C10210" s="38" t="s">
        <v>5263</v>
      </c>
      <c r="D10210" s="18">
        <v>2022</v>
      </c>
      <c r="E10210" s="18" t="s">
        <v>0</v>
      </c>
      <c r="F10210" s="41">
        <v>1</v>
      </c>
      <c r="G10210" s="4">
        <v>15</v>
      </c>
      <c r="H10210" s="18">
        <f>0.01825693*(1000)</f>
        <v>18.256930000000001</v>
      </c>
      <c r="I10210" s="90"/>
      <c r="J10210" s="90"/>
    </row>
    <row r="10211" spans="1:10" s="15" customFormat="1" ht="16.5" hidden="1" customHeight="1" outlineLevel="1" x14ac:dyDescent="0.25">
      <c r="A10211" s="18">
        <v>3251</v>
      </c>
      <c r="B10211" s="4" t="s">
        <v>44</v>
      </c>
      <c r="C10211" s="38" t="s">
        <v>5264</v>
      </c>
      <c r="D10211" s="18">
        <v>2022</v>
      </c>
      <c r="E10211" s="18" t="s">
        <v>0</v>
      </c>
      <c r="F10211" s="41">
        <v>1</v>
      </c>
      <c r="G10211" s="4">
        <v>15</v>
      </c>
      <c r="H10211" s="18">
        <f>0.01825694*(1000)</f>
        <v>18.25694</v>
      </c>
      <c r="I10211" s="90"/>
      <c r="J10211" s="90"/>
    </row>
    <row r="10212" spans="1:10" s="15" customFormat="1" ht="16.5" hidden="1" customHeight="1" outlineLevel="1" x14ac:dyDescent="0.25">
      <c r="A10212" s="18">
        <v>3254</v>
      </c>
      <c r="B10212" s="4" t="s">
        <v>44</v>
      </c>
      <c r="C10212" s="38" t="s">
        <v>5265</v>
      </c>
      <c r="D10212" s="18">
        <v>2022</v>
      </c>
      <c r="E10212" s="18" t="s">
        <v>0</v>
      </c>
      <c r="F10212" s="41">
        <v>1</v>
      </c>
      <c r="G10212" s="4">
        <v>15</v>
      </c>
      <c r="H10212" s="18">
        <f>0.01825693*(1000)</f>
        <v>18.256930000000001</v>
      </c>
      <c r="I10212" s="90"/>
      <c r="J10212" s="90"/>
    </row>
    <row r="10213" spans="1:10" s="15" customFormat="1" ht="16.5" hidden="1" customHeight="1" outlineLevel="1" x14ac:dyDescent="0.25">
      <c r="A10213" s="18">
        <v>3257</v>
      </c>
      <c r="B10213" s="4" t="s">
        <v>44</v>
      </c>
      <c r="C10213" s="38" t="s">
        <v>5266</v>
      </c>
      <c r="D10213" s="18">
        <v>2022</v>
      </c>
      <c r="E10213" s="18" t="s">
        <v>0</v>
      </c>
      <c r="F10213" s="41">
        <v>1</v>
      </c>
      <c r="G10213" s="4">
        <v>15</v>
      </c>
      <c r="H10213" s="18">
        <f>0.01794371*(1000)</f>
        <v>17.943710000000003</v>
      </c>
      <c r="I10213" s="90"/>
      <c r="J10213" s="90"/>
    </row>
    <row r="10214" spans="1:10" s="15" customFormat="1" ht="16.5" hidden="1" customHeight="1" outlineLevel="1" x14ac:dyDescent="0.25">
      <c r="A10214" s="18">
        <v>3258</v>
      </c>
      <c r="B10214" s="4" t="s">
        <v>44</v>
      </c>
      <c r="C10214" s="38" t="s">
        <v>5267</v>
      </c>
      <c r="D10214" s="18">
        <v>2022</v>
      </c>
      <c r="E10214" s="18" t="s">
        <v>0</v>
      </c>
      <c r="F10214" s="41">
        <v>1</v>
      </c>
      <c r="G10214" s="4">
        <v>15</v>
      </c>
      <c r="H10214" s="18">
        <f>0.01825693*(1000)</f>
        <v>18.256930000000001</v>
      </c>
      <c r="I10214" s="90"/>
      <c r="J10214" s="90"/>
    </row>
    <row r="10215" spans="1:10" s="15" customFormat="1" ht="16.5" hidden="1" customHeight="1" outlineLevel="1" x14ac:dyDescent="0.25">
      <c r="A10215" s="18">
        <v>3259</v>
      </c>
      <c r="B10215" s="4" t="s">
        <v>44</v>
      </c>
      <c r="C10215" s="38" t="s">
        <v>5268</v>
      </c>
      <c r="D10215" s="18">
        <v>2022</v>
      </c>
      <c r="E10215" s="18" t="s">
        <v>0</v>
      </c>
      <c r="F10215" s="41">
        <v>1</v>
      </c>
      <c r="G10215" s="4">
        <v>15</v>
      </c>
      <c r="H10215" s="18">
        <f>0.01825695*(1000)</f>
        <v>18.25695</v>
      </c>
      <c r="I10215" s="90"/>
      <c r="J10215" s="90"/>
    </row>
    <row r="10216" spans="1:10" s="15" customFormat="1" ht="16.5" hidden="1" customHeight="1" outlineLevel="1" x14ac:dyDescent="0.25">
      <c r="A10216" s="18">
        <v>3261</v>
      </c>
      <c r="B10216" s="4" t="s">
        <v>44</v>
      </c>
      <c r="C10216" s="38" t="s">
        <v>5269</v>
      </c>
      <c r="D10216" s="18">
        <v>2022</v>
      </c>
      <c r="E10216" s="18" t="s">
        <v>0</v>
      </c>
      <c r="F10216" s="41">
        <v>1</v>
      </c>
      <c r="G10216" s="4">
        <v>15</v>
      </c>
      <c r="H10216" s="18">
        <f>0.01825693*(1000)</f>
        <v>18.256930000000001</v>
      </c>
      <c r="I10216" s="90"/>
      <c r="J10216" s="90"/>
    </row>
    <row r="10217" spans="1:10" s="15" customFormat="1" ht="16.5" hidden="1" customHeight="1" outlineLevel="1" x14ac:dyDescent="0.25">
      <c r="A10217" s="18">
        <v>3262</v>
      </c>
      <c r="B10217" s="4" t="s">
        <v>44</v>
      </c>
      <c r="C10217" s="38" t="s">
        <v>5270</v>
      </c>
      <c r="D10217" s="18">
        <v>2022</v>
      </c>
      <c r="E10217" s="18" t="s">
        <v>0</v>
      </c>
      <c r="F10217" s="41">
        <v>1</v>
      </c>
      <c r="G10217" s="4">
        <v>15</v>
      </c>
      <c r="H10217" s="18">
        <f>0.00986561*(1000)</f>
        <v>9.8656100000000002</v>
      </c>
      <c r="I10217" s="90"/>
      <c r="J10217" s="90"/>
    </row>
    <row r="10218" spans="1:10" s="15" customFormat="1" ht="16.5" hidden="1" customHeight="1" outlineLevel="1" x14ac:dyDescent="0.25">
      <c r="A10218" s="18">
        <v>3265</v>
      </c>
      <c r="B10218" s="4" t="s">
        <v>44</v>
      </c>
      <c r="C10218" s="38" t="s">
        <v>5271</v>
      </c>
      <c r="D10218" s="18">
        <v>2022</v>
      </c>
      <c r="E10218" s="18" t="s">
        <v>0</v>
      </c>
      <c r="F10218" s="41">
        <v>1</v>
      </c>
      <c r="G10218" s="4">
        <v>15</v>
      </c>
      <c r="H10218" s="18">
        <f>0.01011762*(1000)</f>
        <v>10.117620000000001</v>
      </c>
      <c r="I10218" s="90"/>
      <c r="J10218" s="90"/>
    </row>
    <row r="10219" spans="1:10" s="15" customFormat="1" ht="16.5" hidden="1" customHeight="1" outlineLevel="1" x14ac:dyDescent="0.25">
      <c r="A10219" s="18">
        <v>3266</v>
      </c>
      <c r="B10219" s="4" t="s">
        <v>44</v>
      </c>
      <c r="C10219" s="38" t="s">
        <v>5272</v>
      </c>
      <c r="D10219" s="18">
        <v>2022</v>
      </c>
      <c r="E10219" s="18" t="s">
        <v>0</v>
      </c>
      <c r="F10219" s="41">
        <v>1</v>
      </c>
      <c r="G10219" s="4">
        <v>15</v>
      </c>
      <c r="H10219" s="18">
        <f>0.01011209*(1000)</f>
        <v>10.11209</v>
      </c>
      <c r="I10219" s="90"/>
      <c r="J10219" s="90"/>
    </row>
    <row r="10220" spans="1:10" s="15" customFormat="1" ht="16.5" hidden="1" customHeight="1" outlineLevel="1" x14ac:dyDescent="0.25">
      <c r="A10220" s="18">
        <v>3269</v>
      </c>
      <c r="B10220" s="4" t="s">
        <v>44</v>
      </c>
      <c r="C10220" s="38" t="s">
        <v>5273</v>
      </c>
      <c r="D10220" s="18">
        <v>2022</v>
      </c>
      <c r="E10220" s="18" t="s">
        <v>0</v>
      </c>
      <c r="F10220" s="41">
        <v>1</v>
      </c>
      <c r="G10220" s="4">
        <v>5</v>
      </c>
      <c r="H10220" s="18">
        <f>0.0166641*(1000)</f>
        <v>16.664100000000001</v>
      </c>
      <c r="I10220" s="90"/>
      <c r="J10220" s="90"/>
    </row>
    <row r="10221" spans="1:10" s="15" customFormat="1" ht="16.5" hidden="1" customHeight="1" outlineLevel="1" x14ac:dyDescent="0.25">
      <c r="A10221" s="18">
        <v>3270</v>
      </c>
      <c r="B10221" s="4" t="s">
        <v>44</v>
      </c>
      <c r="C10221" s="38" t="s">
        <v>5274</v>
      </c>
      <c r="D10221" s="18">
        <v>2022</v>
      </c>
      <c r="E10221" s="18" t="s">
        <v>0</v>
      </c>
      <c r="F10221" s="41">
        <v>1</v>
      </c>
      <c r="G10221" s="4">
        <v>15</v>
      </c>
      <c r="H10221" s="18">
        <f>0.00866633*(1000)</f>
        <v>8.6663300000000003</v>
      </c>
      <c r="I10221" s="90"/>
      <c r="J10221" s="90"/>
    </row>
    <row r="10222" spans="1:10" s="15" customFormat="1" ht="16.5" hidden="1" customHeight="1" outlineLevel="1" x14ac:dyDescent="0.25">
      <c r="A10222" s="18">
        <v>3271</v>
      </c>
      <c r="B10222" s="4" t="s">
        <v>44</v>
      </c>
      <c r="C10222" s="38" t="s">
        <v>5275</v>
      </c>
      <c r="D10222" s="18">
        <v>2022</v>
      </c>
      <c r="E10222" s="18" t="s">
        <v>0</v>
      </c>
      <c r="F10222" s="41">
        <v>1</v>
      </c>
      <c r="G10222" s="4">
        <v>15</v>
      </c>
      <c r="H10222" s="18">
        <f>0.01666408*(1000)</f>
        <v>16.664080000000002</v>
      </c>
      <c r="I10222" s="90"/>
      <c r="J10222" s="90"/>
    </row>
    <row r="10223" spans="1:10" s="15" customFormat="1" ht="16.5" hidden="1" customHeight="1" outlineLevel="1" x14ac:dyDescent="0.25">
      <c r="A10223" s="18">
        <v>3275</v>
      </c>
      <c r="B10223" s="4" t="s">
        <v>44</v>
      </c>
      <c r="C10223" s="38" t="s">
        <v>5276</v>
      </c>
      <c r="D10223" s="18">
        <v>2022</v>
      </c>
      <c r="E10223" s="18" t="s">
        <v>0</v>
      </c>
      <c r="F10223" s="41">
        <v>1</v>
      </c>
      <c r="G10223" s="4">
        <v>15</v>
      </c>
      <c r="H10223" s="18">
        <f>0.01666406*(1000)</f>
        <v>16.664060000000003</v>
      </c>
      <c r="I10223" s="90"/>
      <c r="J10223" s="90"/>
    </row>
    <row r="10224" spans="1:10" s="15" customFormat="1" ht="16.5" hidden="1" customHeight="1" outlineLevel="1" x14ac:dyDescent="0.25">
      <c r="A10224" s="18">
        <v>3277</v>
      </c>
      <c r="B10224" s="4" t="s">
        <v>44</v>
      </c>
      <c r="C10224" s="38" t="s">
        <v>5277</v>
      </c>
      <c r="D10224" s="18">
        <v>2022</v>
      </c>
      <c r="E10224" s="18" t="s">
        <v>0</v>
      </c>
      <c r="F10224" s="41">
        <v>1</v>
      </c>
      <c r="G10224" s="4">
        <v>15</v>
      </c>
      <c r="H10224" s="18">
        <f>0.02958664*(1000)</f>
        <v>29.586639999999999</v>
      </c>
      <c r="I10224" s="90"/>
      <c r="J10224" s="90"/>
    </row>
    <row r="10225" spans="1:10" s="15" customFormat="1" ht="16.5" hidden="1" customHeight="1" outlineLevel="1" x14ac:dyDescent="0.25">
      <c r="A10225" s="18">
        <v>3278</v>
      </c>
      <c r="B10225" s="4" t="s">
        <v>44</v>
      </c>
      <c r="C10225" s="38" t="s">
        <v>5278</v>
      </c>
      <c r="D10225" s="18">
        <v>2022</v>
      </c>
      <c r="E10225" s="18" t="s">
        <v>0</v>
      </c>
      <c r="F10225" s="41">
        <v>1</v>
      </c>
      <c r="G10225" s="4">
        <v>15</v>
      </c>
      <c r="H10225" s="18">
        <f>0.01666407*(1000)</f>
        <v>16.664069999999999</v>
      </c>
      <c r="I10225" s="90"/>
      <c r="J10225" s="90"/>
    </row>
    <row r="10226" spans="1:10" s="15" customFormat="1" ht="16.5" hidden="1" customHeight="1" outlineLevel="1" x14ac:dyDescent="0.25">
      <c r="A10226" s="18">
        <v>3282</v>
      </c>
      <c r="B10226" s="4" t="s">
        <v>44</v>
      </c>
      <c r="C10226" s="38" t="s">
        <v>5279</v>
      </c>
      <c r="D10226" s="18">
        <v>2022</v>
      </c>
      <c r="E10226" s="18" t="s">
        <v>0</v>
      </c>
      <c r="F10226" s="41">
        <v>1</v>
      </c>
      <c r="G10226" s="4">
        <v>15</v>
      </c>
      <c r="H10226" s="18">
        <f>0.01839828*(1000)</f>
        <v>18.39828</v>
      </c>
      <c r="I10226" s="90"/>
      <c r="J10226" s="90"/>
    </row>
    <row r="10227" spans="1:10" s="15" customFormat="1" ht="16.5" hidden="1" customHeight="1" outlineLevel="1" x14ac:dyDescent="0.25">
      <c r="A10227" s="18">
        <v>3284</v>
      </c>
      <c r="B10227" s="4" t="s">
        <v>44</v>
      </c>
      <c r="C10227" s="38" t="s">
        <v>5280</v>
      </c>
      <c r="D10227" s="18">
        <v>2022</v>
      </c>
      <c r="E10227" s="18" t="s">
        <v>0</v>
      </c>
      <c r="F10227" s="41">
        <v>1</v>
      </c>
      <c r="G10227" s="4">
        <v>5</v>
      </c>
      <c r="H10227" s="18">
        <f>0.01915754*(1000)</f>
        <v>19.157540000000001</v>
      </c>
      <c r="I10227" s="90"/>
      <c r="J10227" s="90"/>
    </row>
    <row r="10228" spans="1:10" s="15" customFormat="1" ht="16.5" hidden="1" customHeight="1" outlineLevel="1" x14ac:dyDescent="0.25">
      <c r="A10228" s="18">
        <v>3286</v>
      </c>
      <c r="B10228" s="4" t="s">
        <v>44</v>
      </c>
      <c r="C10228" s="38" t="s">
        <v>5281</v>
      </c>
      <c r="D10228" s="18">
        <v>2022</v>
      </c>
      <c r="E10228" s="18" t="s">
        <v>0</v>
      </c>
      <c r="F10228" s="41">
        <v>1</v>
      </c>
      <c r="G10228" s="4">
        <v>15</v>
      </c>
      <c r="H10228" s="18">
        <f>0.01911795*(1000)</f>
        <v>19.11795</v>
      </c>
      <c r="I10228" s="90"/>
      <c r="J10228" s="90"/>
    </row>
    <row r="10229" spans="1:10" s="15" customFormat="1" ht="16.5" hidden="1" customHeight="1" outlineLevel="1" x14ac:dyDescent="0.25">
      <c r="A10229" s="18">
        <v>3287</v>
      </c>
      <c r="B10229" s="4" t="s">
        <v>44</v>
      </c>
      <c r="C10229" s="38" t="s">
        <v>5282</v>
      </c>
      <c r="D10229" s="18">
        <v>2022</v>
      </c>
      <c r="E10229" s="18" t="s">
        <v>0</v>
      </c>
      <c r="F10229" s="41">
        <v>1</v>
      </c>
      <c r="G10229" s="4">
        <v>10</v>
      </c>
      <c r="H10229" s="18">
        <f>0.01911797*(1000)</f>
        <v>19.117970000000003</v>
      </c>
      <c r="I10229" s="90"/>
      <c r="J10229" s="90"/>
    </row>
    <row r="10230" spans="1:10" s="15" customFormat="1" ht="16.5" hidden="1" customHeight="1" outlineLevel="1" x14ac:dyDescent="0.25">
      <c r="A10230" s="18">
        <v>3288</v>
      </c>
      <c r="B10230" s="4" t="s">
        <v>44</v>
      </c>
      <c r="C10230" s="38" t="s">
        <v>5283</v>
      </c>
      <c r="D10230" s="18">
        <v>2022</v>
      </c>
      <c r="E10230" s="18" t="s">
        <v>0</v>
      </c>
      <c r="F10230" s="41">
        <v>1</v>
      </c>
      <c r="G10230" s="4">
        <v>15</v>
      </c>
      <c r="H10230" s="18">
        <f>0.01742332*(1000)</f>
        <v>17.42332</v>
      </c>
      <c r="I10230" s="90"/>
      <c r="J10230" s="90"/>
    </row>
    <row r="10231" spans="1:10" s="15" customFormat="1" ht="16.5" hidden="1" customHeight="1" outlineLevel="1" x14ac:dyDescent="0.25">
      <c r="A10231" s="18">
        <v>3293</v>
      </c>
      <c r="B10231" s="4" t="s">
        <v>44</v>
      </c>
      <c r="C10231" s="38" t="s">
        <v>5284</v>
      </c>
      <c r="D10231" s="18">
        <v>2022</v>
      </c>
      <c r="E10231" s="18" t="s">
        <v>0</v>
      </c>
      <c r="F10231" s="41">
        <v>1</v>
      </c>
      <c r="G10231" s="4">
        <v>9</v>
      </c>
      <c r="H10231" s="18">
        <f>0.01911797*(1000)</f>
        <v>19.117970000000003</v>
      </c>
      <c r="I10231" s="90"/>
      <c r="J10231" s="90"/>
    </row>
    <row r="10232" spans="1:10" s="15" customFormat="1" ht="16.5" hidden="1" customHeight="1" outlineLevel="1" x14ac:dyDescent="0.25">
      <c r="A10232" s="18">
        <v>3295</v>
      </c>
      <c r="B10232" s="4" t="s">
        <v>44</v>
      </c>
      <c r="C10232" s="38" t="s">
        <v>5285</v>
      </c>
      <c r="D10232" s="18">
        <v>2022</v>
      </c>
      <c r="E10232" s="18" t="s">
        <v>0</v>
      </c>
      <c r="F10232" s="41">
        <v>1</v>
      </c>
      <c r="G10232" s="4">
        <v>12</v>
      </c>
      <c r="H10232" s="18">
        <f>0.01666408*(1000)</f>
        <v>16.664080000000002</v>
      </c>
      <c r="I10232" s="90"/>
      <c r="J10232" s="90"/>
    </row>
    <row r="10233" spans="1:10" s="15" customFormat="1" ht="16.5" hidden="1" customHeight="1" outlineLevel="1" x14ac:dyDescent="0.25">
      <c r="A10233" s="18">
        <v>3298</v>
      </c>
      <c r="B10233" s="4" t="s">
        <v>44</v>
      </c>
      <c r="C10233" s="38" t="s">
        <v>5286</v>
      </c>
      <c r="D10233" s="18">
        <v>2022</v>
      </c>
      <c r="E10233" s="18" t="s">
        <v>0</v>
      </c>
      <c r="F10233" s="41">
        <v>1</v>
      </c>
      <c r="G10233" s="4">
        <v>12</v>
      </c>
      <c r="H10233" s="18">
        <f>0.01856108*(1000)</f>
        <v>18.56108</v>
      </c>
      <c r="I10233" s="90"/>
      <c r="J10233" s="90"/>
    </row>
    <row r="10234" spans="1:10" s="15" customFormat="1" ht="16.5" hidden="1" customHeight="1" outlineLevel="1" x14ac:dyDescent="0.25">
      <c r="A10234" s="18">
        <v>3299</v>
      </c>
      <c r="B10234" s="4" t="s">
        <v>44</v>
      </c>
      <c r="C10234" s="38" t="s">
        <v>5287</v>
      </c>
      <c r="D10234" s="18">
        <v>2022</v>
      </c>
      <c r="E10234" s="18" t="s">
        <v>0</v>
      </c>
      <c r="F10234" s="41">
        <v>1</v>
      </c>
      <c r="G10234" s="4">
        <v>15</v>
      </c>
      <c r="H10234" s="18">
        <f>0.01167213*(1000)</f>
        <v>11.672129999999999</v>
      </c>
      <c r="I10234" s="90"/>
      <c r="J10234" s="90"/>
    </row>
    <row r="10235" spans="1:10" s="15" customFormat="1" ht="16.5" hidden="1" customHeight="1" outlineLevel="1" x14ac:dyDescent="0.25">
      <c r="A10235" s="18">
        <v>3301</v>
      </c>
      <c r="B10235" s="4" t="s">
        <v>44</v>
      </c>
      <c r="C10235" s="38" t="s">
        <v>5288</v>
      </c>
      <c r="D10235" s="18">
        <v>2022</v>
      </c>
      <c r="E10235" s="18" t="s">
        <v>0</v>
      </c>
      <c r="F10235" s="41">
        <v>1</v>
      </c>
      <c r="G10235" s="4">
        <v>5</v>
      </c>
      <c r="H10235" s="18">
        <f>0.01856109*(1000)</f>
        <v>18.56109</v>
      </c>
      <c r="I10235" s="90"/>
      <c r="J10235" s="90"/>
    </row>
    <row r="10236" spans="1:10" s="15" customFormat="1" ht="16.5" hidden="1" customHeight="1" outlineLevel="1" x14ac:dyDescent="0.25">
      <c r="A10236" s="18">
        <v>3306</v>
      </c>
      <c r="B10236" s="4" t="s">
        <v>44</v>
      </c>
      <c r="C10236" s="38" t="s">
        <v>5289</v>
      </c>
      <c r="D10236" s="18">
        <v>2022</v>
      </c>
      <c r="E10236" s="18" t="s">
        <v>0</v>
      </c>
      <c r="F10236" s="41">
        <v>1</v>
      </c>
      <c r="G10236" s="4">
        <v>15</v>
      </c>
      <c r="H10236" s="18">
        <f>0.01888246*(1000)</f>
        <v>18.882460000000002</v>
      </c>
      <c r="I10236" s="90"/>
      <c r="J10236" s="90"/>
    </row>
    <row r="10237" spans="1:10" s="15" customFormat="1" ht="16.5" hidden="1" customHeight="1" outlineLevel="1" x14ac:dyDescent="0.25">
      <c r="A10237" s="18">
        <v>3307</v>
      </c>
      <c r="B10237" s="4" t="s">
        <v>44</v>
      </c>
      <c r="C10237" s="38" t="s">
        <v>5290</v>
      </c>
      <c r="D10237" s="18">
        <v>2022</v>
      </c>
      <c r="E10237" s="18" t="s">
        <v>0</v>
      </c>
      <c r="F10237" s="41">
        <v>1</v>
      </c>
      <c r="G10237" s="4">
        <v>15</v>
      </c>
      <c r="H10237" s="18">
        <f>0.0169869*(1000)</f>
        <v>16.986899999999999</v>
      </c>
      <c r="I10237" s="90"/>
      <c r="J10237" s="90"/>
    </row>
    <row r="10238" spans="1:10" s="15" customFormat="1" ht="16.5" hidden="1" customHeight="1" outlineLevel="1" x14ac:dyDescent="0.25">
      <c r="A10238" s="18">
        <v>3308</v>
      </c>
      <c r="B10238" s="4" t="s">
        <v>44</v>
      </c>
      <c r="C10238" s="38" t="s">
        <v>5291</v>
      </c>
      <c r="D10238" s="18">
        <v>2022</v>
      </c>
      <c r="E10238" s="18" t="s">
        <v>0</v>
      </c>
      <c r="F10238" s="41">
        <v>1</v>
      </c>
      <c r="G10238" s="4">
        <v>15</v>
      </c>
      <c r="H10238" s="18">
        <f>0.01018842*(1000)</f>
        <v>10.188420000000001</v>
      </c>
      <c r="I10238" s="90"/>
      <c r="J10238" s="90"/>
    </row>
    <row r="10239" spans="1:10" s="15" customFormat="1" ht="16.5" hidden="1" customHeight="1" outlineLevel="1" x14ac:dyDescent="0.25">
      <c r="A10239" s="18">
        <v>3311</v>
      </c>
      <c r="B10239" s="4" t="s">
        <v>44</v>
      </c>
      <c r="C10239" s="38" t="s">
        <v>5292</v>
      </c>
      <c r="D10239" s="18">
        <v>2022</v>
      </c>
      <c r="E10239" s="18" t="s">
        <v>0</v>
      </c>
      <c r="F10239" s="41">
        <v>1</v>
      </c>
      <c r="G10239" s="4">
        <v>15</v>
      </c>
      <c r="H10239" s="18">
        <f>0.0169869*(1000)</f>
        <v>16.986899999999999</v>
      </c>
      <c r="I10239" s="90"/>
      <c r="J10239" s="90"/>
    </row>
    <row r="10240" spans="1:10" s="15" customFormat="1" ht="16.5" hidden="1" customHeight="1" outlineLevel="1" x14ac:dyDescent="0.25">
      <c r="A10240" s="18">
        <v>3316</v>
      </c>
      <c r="B10240" s="4" t="s">
        <v>44</v>
      </c>
      <c r="C10240" s="38" t="s">
        <v>5293</v>
      </c>
      <c r="D10240" s="18">
        <v>2022</v>
      </c>
      <c r="E10240" s="18" t="s">
        <v>0</v>
      </c>
      <c r="F10240" s="41">
        <v>1</v>
      </c>
      <c r="G10240" s="4">
        <v>14.5</v>
      </c>
      <c r="H10240" s="18">
        <f>0.01717866*(1000)</f>
        <v>17.178659999999997</v>
      </c>
      <c r="I10240" s="90"/>
      <c r="J10240" s="90"/>
    </row>
    <row r="10241" spans="1:10" s="15" customFormat="1" ht="16.5" hidden="1" customHeight="1" outlineLevel="1" x14ac:dyDescent="0.25">
      <c r="A10241" s="18">
        <v>3322</v>
      </c>
      <c r="B10241" s="4" t="s">
        <v>44</v>
      </c>
      <c r="C10241" s="38" t="s">
        <v>5294</v>
      </c>
      <c r="D10241" s="18">
        <v>2022</v>
      </c>
      <c r="E10241" s="18" t="s">
        <v>0</v>
      </c>
      <c r="F10241" s="41">
        <v>1</v>
      </c>
      <c r="G10241" s="4">
        <v>15</v>
      </c>
      <c r="H10241" s="18">
        <f>0.01881077*(1000)</f>
        <v>18.810770000000002</v>
      </c>
      <c r="I10241" s="90"/>
      <c r="J10241" s="90"/>
    </row>
    <row r="10242" spans="1:10" s="15" customFormat="1" ht="16.5" hidden="1" customHeight="1" outlineLevel="1" x14ac:dyDescent="0.25">
      <c r="A10242" s="18">
        <v>3323</v>
      </c>
      <c r="B10242" s="4" t="s">
        <v>44</v>
      </c>
      <c r="C10242" s="38" t="s">
        <v>5295</v>
      </c>
      <c r="D10242" s="18">
        <v>2022</v>
      </c>
      <c r="E10242" s="18" t="s">
        <v>0</v>
      </c>
      <c r="F10242" s="41">
        <v>1</v>
      </c>
      <c r="G10242" s="4">
        <v>15</v>
      </c>
      <c r="H10242" s="18">
        <f>0.01711756*(1000)</f>
        <v>17.117560000000001</v>
      </c>
      <c r="I10242" s="90"/>
      <c r="J10242" s="90"/>
    </row>
    <row r="10243" spans="1:10" s="15" customFormat="1" ht="16.5" hidden="1" customHeight="1" outlineLevel="1" x14ac:dyDescent="0.25">
      <c r="A10243" s="18">
        <v>3324</v>
      </c>
      <c r="B10243" s="4" t="s">
        <v>44</v>
      </c>
      <c r="C10243" s="38" t="s">
        <v>5296</v>
      </c>
      <c r="D10243" s="18">
        <v>2022</v>
      </c>
      <c r="E10243" s="18" t="s">
        <v>0</v>
      </c>
      <c r="F10243" s="41">
        <v>1</v>
      </c>
      <c r="G10243" s="4">
        <v>15</v>
      </c>
      <c r="H10243" s="18">
        <f>0.01031767*(1000)</f>
        <v>10.31767</v>
      </c>
      <c r="I10243" s="90"/>
      <c r="J10243" s="90"/>
    </row>
    <row r="10244" spans="1:10" s="15" customFormat="1" ht="16.5" hidden="1" customHeight="1" outlineLevel="1" x14ac:dyDescent="0.25">
      <c r="A10244" s="18">
        <v>3325</v>
      </c>
      <c r="B10244" s="4" t="s">
        <v>44</v>
      </c>
      <c r="C10244" s="38" t="s">
        <v>5297</v>
      </c>
      <c r="D10244" s="18">
        <v>2022</v>
      </c>
      <c r="E10244" s="18" t="s">
        <v>0</v>
      </c>
      <c r="F10244" s="41">
        <v>1</v>
      </c>
      <c r="G10244" s="4">
        <v>12</v>
      </c>
      <c r="H10244" s="18">
        <f>0.01698804*(1000)</f>
        <v>16.988039999999998</v>
      </c>
      <c r="I10244" s="90"/>
      <c r="J10244" s="90"/>
    </row>
    <row r="10245" spans="1:10" s="15" customFormat="1" ht="16.5" hidden="1" customHeight="1" outlineLevel="1" x14ac:dyDescent="0.25">
      <c r="A10245" s="18">
        <v>3326</v>
      </c>
      <c r="B10245" s="4" t="s">
        <v>44</v>
      </c>
      <c r="C10245" s="38" t="s">
        <v>5298</v>
      </c>
      <c r="D10245" s="18">
        <v>2022</v>
      </c>
      <c r="E10245" s="18" t="s">
        <v>0</v>
      </c>
      <c r="F10245" s="41">
        <v>1</v>
      </c>
      <c r="G10245" s="4">
        <v>15</v>
      </c>
      <c r="H10245" s="18">
        <f>0.01698804*(1000)</f>
        <v>16.988039999999998</v>
      </c>
      <c r="I10245" s="90"/>
      <c r="J10245" s="90"/>
    </row>
    <row r="10246" spans="1:10" s="15" customFormat="1" ht="16.5" hidden="1" customHeight="1" outlineLevel="1" x14ac:dyDescent="0.25">
      <c r="A10246" s="18">
        <v>3329</v>
      </c>
      <c r="B10246" s="4" t="s">
        <v>44</v>
      </c>
      <c r="C10246" s="38" t="s">
        <v>5299</v>
      </c>
      <c r="D10246" s="18">
        <v>2022</v>
      </c>
      <c r="E10246" s="18" t="s">
        <v>0</v>
      </c>
      <c r="F10246" s="41">
        <v>1</v>
      </c>
      <c r="G10246" s="4">
        <v>12</v>
      </c>
      <c r="H10246" s="18">
        <f>0.01763027*(1000)</f>
        <v>17.630269999999999</v>
      </c>
      <c r="I10246" s="90"/>
      <c r="J10246" s="90"/>
    </row>
    <row r="10247" spans="1:10" s="15" customFormat="1" ht="16.5" hidden="1" customHeight="1" outlineLevel="1" x14ac:dyDescent="0.25">
      <c r="A10247" s="18">
        <v>3330</v>
      </c>
      <c r="B10247" s="4" t="s">
        <v>44</v>
      </c>
      <c r="C10247" s="38" t="s">
        <v>5300</v>
      </c>
      <c r="D10247" s="18">
        <v>2022</v>
      </c>
      <c r="E10247" s="18" t="s">
        <v>0</v>
      </c>
      <c r="F10247" s="41">
        <v>1</v>
      </c>
      <c r="G10247" s="4">
        <v>15</v>
      </c>
      <c r="H10247" s="18">
        <f>0.01763027*(1000)</f>
        <v>17.630269999999999</v>
      </c>
      <c r="I10247" s="90"/>
      <c r="J10247" s="90"/>
    </row>
    <row r="10248" spans="1:10" s="15" customFormat="1" ht="16.5" hidden="1" customHeight="1" outlineLevel="1" x14ac:dyDescent="0.25">
      <c r="A10248" s="18">
        <v>3338</v>
      </c>
      <c r="B10248" s="4" t="s">
        <v>44</v>
      </c>
      <c r="C10248" s="38" t="s">
        <v>5301</v>
      </c>
      <c r="D10248" s="18">
        <v>2022</v>
      </c>
      <c r="E10248" s="18" t="s">
        <v>0</v>
      </c>
      <c r="F10248" s="41">
        <v>1</v>
      </c>
      <c r="G10248" s="4">
        <v>15</v>
      </c>
      <c r="H10248" s="18">
        <f>0.01763027*(1000)</f>
        <v>17.630269999999999</v>
      </c>
      <c r="I10248" s="90"/>
      <c r="J10248" s="90"/>
    </row>
    <row r="10249" spans="1:10" s="15" customFormat="1" ht="16.5" hidden="1" customHeight="1" outlineLevel="1" x14ac:dyDescent="0.25">
      <c r="A10249" s="18">
        <v>3339</v>
      </c>
      <c r="B10249" s="4" t="s">
        <v>44</v>
      </c>
      <c r="C10249" s="38" t="s">
        <v>5302</v>
      </c>
      <c r="D10249" s="18">
        <v>2022</v>
      </c>
      <c r="E10249" s="18" t="s">
        <v>0</v>
      </c>
      <c r="F10249" s="41">
        <v>1</v>
      </c>
      <c r="G10249" s="4">
        <v>15</v>
      </c>
      <c r="H10249" s="18">
        <f>0.0172184*(1000)</f>
        <v>17.218399999999999</v>
      </c>
      <c r="I10249" s="90"/>
      <c r="J10249" s="90"/>
    </row>
    <row r="10250" spans="1:10" s="15" customFormat="1" ht="16.5" hidden="1" customHeight="1" outlineLevel="1" x14ac:dyDescent="0.25">
      <c r="A10250" s="18">
        <v>3342</v>
      </c>
      <c r="B10250" s="4" t="s">
        <v>44</v>
      </c>
      <c r="C10250" s="38" t="s">
        <v>5303</v>
      </c>
      <c r="D10250" s="18">
        <v>2022</v>
      </c>
      <c r="E10250" s="18" t="s">
        <v>0</v>
      </c>
      <c r="F10250" s="41">
        <v>1</v>
      </c>
      <c r="G10250" s="4">
        <v>10</v>
      </c>
      <c r="H10250" s="18">
        <f>0.01871157*(1000)</f>
        <v>18.711570000000002</v>
      </c>
      <c r="I10250" s="90"/>
      <c r="J10250" s="90"/>
    </row>
    <row r="10251" spans="1:10" s="15" customFormat="1" ht="16.5" hidden="1" customHeight="1" outlineLevel="1" x14ac:dyDescent="0.25">
      <c r="A10251" s="18">
        <v>3349</v>
      </c>
      <c r="B10251" s="4" t="s">
        <v>44</v>
      </c>
      <c r="C10251" s="38" t="s">
        <v>5304</v>
      </c>
      <c r="D10251" s="18">
        <v>2022</v>
      </c>
      <c r="E10251" s="18" t="s">
        <v>0</v>
      </c>
      <c r="F10251" s="41">
        <v>1</v>
      </c>
      <c r="G10251" s="4">
        <v>10</v>
      </c>
      <c r="H10251" s="18">
        <f>0.01867195*(1000)</f>
        <v>18.671949999999999</v>
      </c>
      <c r="I10251" s="90"/>
      <c r="J10251" s="90"/>
    </row>
    <row r="10252" spans="1:10" s="15" customFormat="1" ht="16.5" hidden="1" customHeight="1" outlineLevel="1" x14ac:dyDescent="0.25">
      <c r="A10252" s="18">
        <v>3351</v>
      </c>
      <c r="B10252" s="4" t="s">
        <v>44</v>
      </c>
      <c r="C10252" s="38" t="s">
        <v>5305</v>
      </c>
      <c r="D10252" s="18">
        <v>2022</v>
      </c>
      <c r="E10252" s="18" t="s">
        <v>0</v>
      </c>
      <c r="F10252" s="41">
        <v>1</v>
      </c>
      <c r="G10252" s="4">
        <v>15</v>
      </c>
      <c r="H10252" s="18">
        <f>0.01756665*(1000)</f>
        <v>17.566649999999999</v>
      </c>
      <c r="I10252" s="90"/>
      <c r="J10252" s="90"/>
    </row>
    <row r="10253" spans="1:10" s="15" customFormat="1" ht="16.5" hidden="1" customHeight="1" outlineLevel="1" x14ac:dyDescent="0.25">
      <c r="A10253" s="18">
        <v>3353</v>
      </c>
      <c r="B10253" s="4" t="s">
        <v>44</v>
      </c>
      <c r="C10253" s="38" t="s">
        <v>5306</v>
      </c>
      <c r="D10253" s="18">
        <v>2022</v>
      </c>
      <c r="E10253" s="18" t="s">
        <v>0</v>
      </c>
      <c r="F10253" s="41">
        <v>1</v>
      </c>
      <c r="G10253" s="4">
        <v>9</v>
      </c>
      <c r="H10253" s="18">
        <f>0.01756665*(1000)</f>
        <v>17.566649999999999</v>
      </c>
      <c r="I10253" s="90"/>
      <c r="J10253" s="90"/>
    </row>
    <row r="10254" spans="1:10" s="15" customFormat="1" ht="16.5" hidden="1" customHeight="1" outlineLevel="1" x14ac:dyDescent="0.25">
      <c r="A10254" s="18">
        <v>3355</v>
      </c>
      <c r="B10254" s="4" t="s">
        <v>44</v>
      </c>
      <c r="C10254" s="38" t="s">
        <v>5307</v>
      </c>
      <c r="D10254" s="18">
        <v>2022</v>
      </c>
      <c r="E10254" s="18" t="s">
        <v>0</v>
      </c>
      <c r="F10254" s="41">
        <v>1</v>
      </c>
      <c r="G10254" s="4">
        <v>15</v>
      </c>
      <c r="H10254" s="18">
        <f>0.02914063*(1000)</f>
        <v>29.140630000000002</v>
      </c>
      <c r="I10254" s="90"/>
      <c r="J10254" s="90"/>
    </row>
    <row r="10255" spans="1:10" s="15" customFormat="1" ht="16.5" hidden="1" customHeight="1" outlineLevel="1" x14ac:dyDescent="0.25">
      <c r="A10255" s="18">
        <v>3356</v>
      </c>
      <c r="B10255" s="4" t="s">
        <v>44</v>
      </c>
      <c r="C10255" s="38" t="s">
        <v>5308</v>
      </c>
      <c r="D10255" s="18">
        <v>2022</v>
      </c>
      <c r="E10255" s="18" t="s">
        <v>0</v>
      </c>
      <c r="F10255" s="41">
        <v>1</v>
      </c>
      <c r="G10255" s="4">
        <v>13</v>
      </c>
      <c r="H10255" s="18">
        <f>0.01756665*(1000)</f>
        <v>17.566649999999999</v>
      </c>
      <c r="I10255" s="90"/>
      <c r="J10255" s="90"/>
    </row>
    <row r="10256" spans="1:10" s="15" customFormat="1" ht="16.5" hidden="1" customHeight="1" outlineLevel="1" x14ac:dyDescent="0.25">
      <c r="A10256" s="18">
        <v>3358</v>
      </c>
      <c r="B10256" s="4" t="s">
        <v>44</v>
      </c>
      <c r="C10256" s="38" t="s">
        <v>5309</v>
      </c>
      <c r="D10256" s="18">
        <v>2022</v>
      </c>
      <c r="E10256" s="18" t="s">
        <v>0</v>
      </c>
      <c r="F10256" s="41">
        <v>1</v>
      </c>
      <c r="G10256" s="4">
        <v>15</v>
      </c>
      <c r="H10256" s="18">
        <f>0.01756665*(1000)</f>
        <v>17.566649999999999</v>
      </c>
      <c r="I10256" s="90"/>
      <c r="J10256" s="90"/>
    </row>
    <row r="10257" spans="1:10" s="15" customFormat="1" ht="16.5" hidden="1" customHeight="1" outlineLevel="1" x14ac:dyDescent="0.25">
      <c r="A10257" s="18">
        <v>3362</v>
      </c>
      <c r="B10257" s="4" t="s">
        <v>44</v>
      </c>
      <c r="C10257" s="38" t="s">
        <v>5310</v>
      </c>
      <c r="D10257" s="18">
        <v>2022</v>
      </c>
      <c r="E10257" s="18" t="s">
        <v>0</v>
      </c>
      <c r="F10257" s="41">
        <v>1</v>
      </c>
      <c r="G10257" s="4">
        <v>12</v>
      </c>
      <c r="H10257" s="18">
        <f>0.01715478*(1000)</f>
        <v>17.154780000000002</v>
      </c>
      <c r="I10257" s="90"/>
      <c r="J10257" s="90"/>
    </row>
    <row r="10258" spans="1:10" s="15" customFormat="1" ht="16.5" hidden="1" customHeight="1" outlineLevel="1" x14ac:dyDescent="0.25">
      <c r="A10258" s="18">
        <v>3363</v>
      </c>
      <c r="B10258" s="4" t="s">
        <v>44</v>
      </c>
      <c r="C10258" s="38" t="s">
        <v>5311</v>
      </c>
      <c r="D10258" s="18">
        <v>2022</v>
      </c>
      <c r="E10258" s="18" t="s">
        <v>0</v>
      </c>
      <c r="F10258" s="41">
        <v>1</v>
      </c>
      <c r="G10258" s="4">
        <v>15</v>
      </c>
      <c r="H10258" s="18">
        <f>0.01715478*(1000)</f>
        <v>17.154780000000002</v>
      </c>
      <c r="I10258" s="90"/>
      <c r="J10258" s="90"/>
    </row>
    <row r="10259" spans="1:10" s="15" customFormat="1" ht="16.5" hidden="1" customHeight="1" outlineLevel="1" x14ac:dyDescent="0.25">
      <c r="A10259" s="18">
        <v>3364</v>
      </c>
      <c r="B10259" s="4" t="s">
        <v>44</v>
      </c>
      <c r="C10259" s="38" t="s">
        <v>5312</v>
      </c>
      <c r="D10259" s="18">
        <v>2022</v>
      </c>
      <c r="E10259" s="18" t="s">
        <v>0</v>
      </c>
      <c r="F10259" s="41">
        <v>1</v>
      </c>
      <c r="G10259" s="4">
        <v>5</v>
      </c>
      <c r="H10259" s="18">
        <f>0.01719436*(1000)</f>
        <v>17.19436</v>
      </c>
      <c r="I10259" s="90"/>
      <c r="J10259" s="90"/>
    </row>
    <row r="10260" spans="1:10" s="15" customFormat="1" ht="16.5" hidden="1" customHeight="1" outlineLevel="1" x14ac:dyDescent="0.25">
      <c r="A10260" s="18">
        <v>3366</v>
      </c>
      <c r="B10260" s="4" t="s">
        <v>44</v>
      </c>
      <c r="C10260" s="38" t="s">
        <v>5313</v>
      </c>
      <c r="D10260" s="18">
        <v>2022</v>
      </c>
      <c r="E10260" s="18" t="s">
        <v>0</v>
      </c>
      <c r="F10260" s="41">
        <v>1</v>
      </c>
      <c r="G10260" s="4">
        <v>15</v>
      </c>
      <c r="H10260" s="18">
        <f>0.01714158*(1000)</f>
        <v>17.141580000000001</v>
      </c>
      <c r="I10260" s="90"/>
      <c r="J10260" s="90"/>
    </row>
    <row r="10261" spans="1:10" s="15" customFormat="1" ht="16.5" hidden="1" customHeight="1" outlineLevel="1" x14ac:dyDescent="0.25">
      <c r="A10261" s="18">
        <v>3369</v>
      </c>
      <c r="B10261" s="4" t="s">
        <v>44</v>
      </c>
      <c r="C10261" s="38" t="s">
        <v>5314</v>
      </c>
      <c r="D10261" s="18">
        <v>2022</v>
      </c>
      <c r="E10261" s="18" t="s">
        <v>0</v>
      </c>
      <c r="F10261" s="41">
        <v>1</v>
      </c>
      <c r="G10261" s="4">
        <v>15</v>
      </c>
      <c r="H10261" s="18">
        <f>0.01714158*(1000)</f>
        <v>17.141580000000001</v>
      </c>
      <c r="I10261" s="90"/>
      <c r="J10261" s="90"/>
    </row>
    <row r="10262" spans="1:10" s="15" customFormat="1" ht="16.5" hidden="1" customHeight="1" outlineLevel="1" x14ac:dyDescent="0.25">
      <c r="A10262" s="18">
        <v>3370</v>
      </c>
      <c r="B10262" s="4" t="s">
        <v>44</v>
      </c>
      <c r="C10262" s="38" t="s">
        <v>5315</v>
      </c>
      <c r="D10262" s="18">
        <v>2022</v>
      </c>
      <c r="E10262" s="18" t="s">
        <v>0</v>
      </c>
      <c r="F10262" s="41">
        <v>1</v>
      </c>
      <c r="G10262" s="4">
        <v>15</v>
      </c>
      <c r="H10262" s="18">
        <f>0.01714097*(1000)</f>
        <v>17.140969999999999</v>
      </c>
      <c r="I10262" s="90"/>
      <c r="J10262" s="90"/>
    </row>
    <row r="10263" spans="1:10" s="15" customFormat="1" ht="16.5" hidden="1" customHeight="1" outlineLevel="1" x14ac:dyDescent="0.25">
      <c r="A10263" s="18">
        <v>3371</v>
      </c>
      <c r="B10263" s="4" t="s">
        <v>44</v>
      </c>
      <c r="C10263" s="38" t="s">
        <v>5316</v>
      </c>
      <c r="D10263" s="18">
        <v>2022</v>
      </c>
      <c r="E10263" s="18" t="s">
        <v>0</v>
      </c>
      <c r="F10263" s="41">
        <v>1</v>
      </c>
      <c r="G10263" s="4">
        <v>15</v>
      </c>
      <c r="H10263" s="18">
        <f>0.0171416*(1000)</f>
        <v>17.1416</v>
      </c>
      <c r="I10263" s="90"/>
      <c r="J10263" s="90"/>
    </row>
    <row r="10264" spans="1:10" s="15" customFormat="1" ht="16.5" hidden="1" customHeight="1" outlineLevel="1" x14ac:dyDescent="0.25">
      <c r="A10264" s="18">
        <v>3372</v>
      </c>
      <c r="B10264" s="4" t="s">
        <v>44</v>
      </c>
      <c r="C10264" s="38" t="s">
        <v>5317</v>
      </c>
      <c r="D10264" s="18">
        <v>2022</v>
      </c>
      <c r="E10264" s="18" t="s">
        <v>0</v>
      </c>
      <c r="F10264" s="41">
        <v>1</v>
      </c>
      <c r="G10264" s="4">
        <v>14</v>
      </c>
      <c r="H10264" s="18">
        <f>0.01714158*(1000)</f>
        <v>17.141580000000001</v>
      </c>
      <c r="I10264" s="90"/>
      <c r="J10264" s="90"/>
    </row>
    <row r="10265" spans="1:10" s="15" customFormat="1" ht="16.5" hidden="1" customHeight="1" outlineLevel="1" x14ac:dyDescent="0.25">
      <c r="A10265" s="18">
        <v>3374</v>
      </c>
      <c r="B10265" s="4" t="s">
        <v>44</v>
      </c>
      <c r="C10265" s="38" t="s">
        <v>5318</v>
      </c>
      <c r="D10265" s="18">
        <v>2022</v>
      </c>
      <c r="E10265" s="18" t="s">
        <v>0</v>
      </c>
      <c r="F10265" s="41">
        <v>1</v>
      </c>
      <c r="G10265" s="4">
        <v>15</v>
      </c>
      <c r="H10265" s="18">
        <f>0.01714159*(1000)</f>
        <v>17.141590000000001</v>
      </c>
      <c r="I10265" s="90"/>
      <c r="J10265" s="90"/>
    </row>
    <row r="10266" spans="1:10" s="15" customFormat="1" ht="16.5" hidden="1" customHeight="1" outlineLevel="1" x14ac:dyDescent="0.25">
      <c r="A10266" s="18">
        <v>3375</v>
      </c>
      <c r="B10266" s="4" t="s">
        <v>44</v>
      </c>
      <c r="C10266" s="38" t="s">
        <v>5319</v>
      </c>
      <c r="D10266" s="18">
        <v>2022</v>
      </c>
      <c r="E10266" s="18" t="s">
        <v>0</v>
      </c>
      <c r="F10266" s="41">
        <v>1</v>
      </c>
      <c r="G10266" s="4">
        <v>85</v>
      </c>
      <c r="H10266" s="18">
        <f>0.01034837*(1000)</f>
        <v>10.348370000000001</v>
      </c>
      <c r="I10266" s="90"/>
      <c r="J10266" s="90"/>
    </row>
    <row r="10267" spans="1:10" s="15" customFormat="1" ht="16.5" hidden="1" customHeight="1" outlineLevel="1" x14ac:dyDescent="0.25">
      <c r="A10267" s="18">
        <v>3376</v>
      </c>
      <c r="B10267" s="4" t="s">
        <v>44</v>
      </c>
      <c r="C10267" s="38" t="s">
        <v>5320</v>
      </c>
      <c r="D10267" s="18">
        <v>2022</v>
      </c>
      <c r="E10267" s="18" t="s">
        <v>0</v>
      </c>
      <c r="F10267" s="41">
        <v>1</v>
      </c>
      <c r="G10267" s="4">
        <v>24</v>
      </c>
      <c r="H10267" s="18">
        <f>0.01895238*(1000)</f>
        <v>18.952380000000002</v>
      </c>
      <c r="I10267" s="90"/>
      <c r="J10267" s="90"/>
    </row>
    <row r="10268" spans="1:10" s="15" customFormat="1" ht="16.5" hidden="1" customHeight="1" outlineLevel="1" x14ac:dyDescent="0.25">
      <c r="A10268" s="18">
        <v>3377</v>
      </c>
      <c r="B10268" s="4" t="s">
        <v>44</v>
      </c>
      <c r="C10268" s="38" t="s">
        <v>5321</v>
      </c>
      <c r="D10268" s="18">
        <v>2022</v>
      </c>
      <c r="E10268" s="18" t="s">
        <v>0</v>
      </c>
      <c r="F10268" s="41">
        <v>2</v>
      </c>
      <c r="G10268" s="4">
        <v>22</v>
      </c>
      <c r="H10268" s="18">
        <f>0.05413041*(1000)</f>
        <v>54.130409999999998</v>
      </c>
      <c r="I10268" s="90"/>
      <c r="J10268" s="90"/>
    </row>
    <row r="10269" spans="1:10" s="15" customFormat="1" ht="16.5" hidden="1" customHeight="1" outlineLevel="1" x14ac:dyDescent="0.25">
      <c r="A10269" s="18">
        <v>3378</v>
      </c>
      <c r="B10269" s="4" t="s">
        <v>44</v>
      </c>
      <c r="C10269" s="38" t="s">
        <v>5322</v>
      </c>
      <c r="D10269" s="18">
        <v>2022</v>
      </c>
      <c r="E10269" s="18" t="s">
        <v>0</v>
      </c>
      <c r="F10269" s="41">
        <v>2</v>
      </c>
      <c r="G10269" s="4">
        <v>15</v>
      </c>
      <c r="H10269" s="18">
        <f>0.0539812*(1000)</f>
        <v>53.981200000000001</v>
      </c>
      <c r="I10269" s="90"/>
      <c r="J10269" s="90"/>
    </row>
    <row r="10270" spans="1:10" s="15" customFormat="1" ht="16.5" hidden="1" customHeight="1" outlineLevel="1" x14ac:dyDescent="0.25">
      <c r="A10270" s="18">
        <v>3379</v>
      </c>
      <c r="B10270" s="4" t="s">
        <v>44</v>
      </c>
      <c r="C10270" s="38" t="s">
        <v>5323</v>
      </c>
      <c r="D10270" s="18">
        <v>2022</v>
      </c>
      <c r="E10270" s="18" t="s">
        <v>0</v>
      </c>
      <c r="F10270" s="41">
        <v>1</v>
      </c>
      <c r="G10270" s="4">
        <v>46</v>
      </c>
      <c r="H10270" s="18">
        <f>0.0339507*(1000)</f>
        <v>33.950699999999998</v>
      </c>
      <c r="I10270" s="90"/>
      <c r="J10270" s="90"/>
    </row>
    <row r="10271" spans="1:10" s="15" customFormat="1" ht="16.5" hidden="1" customHeight="1" outlineLevel="1" x14ac:dyDescent="0.25">
      <c r="A10271" s="18">
        <v>3380</v>
      </c>
      <c r="B10271" s="4" t="s">
        <v>44</v>
      </c>
      <c r="C10271" s="38" t="s">
        <v>5324</v>
      </c>
      <c r="D10271" s="18">
        <v>2022</v>
      </c>
      <c r="E10271" s="18" t="s">
        <v>0</v>
      </c>
      <c r="F10271" s="41">
        <v>1</v>
      </c>
      <c r="G10271" s="4">
        <v>15</v>
      </c>
      <c r="H10271" s="18">
        <f>0.02771569*(1000)</f>
        <v>27.715690000000002</v>
      </c>
      <c r="I10271" s="90"/>
      <c r="J10271" s="90"/>
    </row>
    <row r="10272" spans="1:10" s="15" customFormat="1" ht="16.5" hidden="1" customHeight="1" outlineLevel="1" x14ac:dyDescent="0.25">
      <c r="A10272" s="18">
        <v>3381</v>
      </c>
      <c r="B10272" s="4" t="s">
        <v>44</v>
      </c>
      <c r="C10272" s="38" t="s">
        <v>5325</v>
      </c>
      <c r="D10272" s="18">
        <v>2022</v>
      </c>
      <c r="E10272" s="18" t="s">
        <v>0</v>
      </c>
      <c r="F10272" s="41">
        <v>1</v>
      </c>
      <c r="G10272" s="4">
        <v>15</v>
      </c>
      <c r="H10272" s="18">
        <f>0.01973265*(1000)</f>
        <v>19.73265</v>
      </c>
      <c r="I10272" s="90"/>
      <c r="J10272" s="90"/>
    </row>
    <row r="10273" spans="1:10" s="15" customFormat="1" ht="16.5" hidden="1" customHeight="1" outlineLevel="1" x14ac:dyDescent="0.25">
      <c r="A10273" s="18">
        <v>3382</v>
      </c>
      <c r="B10273" s="4" t="s">
        <v>44</v>
      </c>
      <c r="C10273" s="38" t="s">
        <v>5326</v>
      </c>
      <c r="D10273" s="18">
        <v>2022</v>
      </c>
      <c r="E10273" s="18" t="s">
        <v>0</v>
      </c>
      <c r="F10273" s="41">
        <v>1</v>
      </c>
      <c r="G10273" s="4">
        <v>13</v>
      </c>
      <c r="H10273" s="18">
        <f>0.01803802*(1000)</f>
        <v>18.038019999999999</v>
      </c>
      <c r="I10273" s="90"/>
      <c r="J10273" s="90"/>
    </row>
    <row r="10274" spans="1:10" s="15" customFormat="1" ht="16.5" hidden="1" customHeight="1" outlineLevel="1" x14ac:dyDescent="0.25">
      <c r="A10274" s="18">
        <v>3383</v>
      </c>
      <c r="B10274" s="4" t="s">
        <v>44</v>
      </c>
      <c r="C10274" s="38" t="s">
        <v>5327</v>
      </c>
      <c r="D10274" s="18">
        <v>2022</v>
      </c>
      <c r="E10274" s="18" t="s">
        <v>0</v>
      </c>
      <c r="F10274" s="41">
        <v>1</v>
      </c>
      <c r="G10274" s="4">
        <v>11</v>
      </c>
      <c r="H10274" s="18">
        <f>0.01871402*(1000)</f>
        <v>18.714020000000001</v>
      </c>
      <c r="I10274" s="90"/>
      <c r="J10274" s="90"/>
    </row>
    <row r="10275" spans="1:10" s="15" customFormat="1" ht="16.5" hidden="1" customHeight="1" outlineLevel="1" x14ac:dyDescent="0.25">
      <c r="A10275" s="18">
        <v>3384</v>
      </c>
      <c r="B10275" s="4" t="s">
        <v>44</v>
      </c>
      <c r="C10275" s="38" t="s">
        <v>5328</v>
      </c>
      <c r="D10275" s="18">
        <v>2022</v>
      </c>
      <c r="E10275" s="18" t="s">
        <v>0</v>
      </c>
      <c r="F10275" s="41">
        <v>1</v>
      </c>
      <c r="G10275" s="4">
        <v>13</v>
      </c>
      <c r="H10275" s="18">
        <f>0.01871402*(1000)</f>
        <v>18.714020000000001</v>
      </c>
      <c r="I10275" s="90"/>
      <c r="J10275" s="90"/>
    </row>
    <row r="10276" spans="1:10" s="15" customFormat="1" ht="16.5" hidden="1" customHeight="1" outlineLevel="1" x14ac:dyDescent="0.25">
      <c r="A10276" s="18">
        <v>3385</v>
      </c>
      <c r="B10276" s="4" t="s">
        <v>44</v>
      </c>
      <c r="C10276" s="38" t="s">
        <v>5329</v>
      </c>
      <c r="D10276" s="18">
        <v>2022</v>
      </c>
      <c r="E10276" s="18" t="s">
        <v>0</v>
      </c>
      <c r="F10276" s="41">
        <v>1</v>
      </c>
      <c r="G10276" s="4">
        <v>10</v>
      </c>
      <c r="H10276" s="18">
        <f>0.01841972*(1000)</f>
        <v>18.419720000000002</v>
      </c>
      <c r="I10276" s="90"/>
      <c r="J10276" s="90"/>
    </row>
    <row r="10277" spans="1:10" s="15" customFormat="1" ht="16.5" hidden="1" customHeight="1" outlineLevel="1" x14ac:dyDescent="0.25">
      <c r="A10277" s="18">
        <v>3386</v>
      </c>
      <c r="B10277" s="4" t="s">
        <v>44</v>
      </c>
      <c r="C10277" s="38" t="s">
        <v>5330</v>
      </c>
      <c r="D10277" s="18">
        <v>2022</v>
      </c>
      <c r="E10277" s="18" t="s">
        <v>0</v>
      </c>
      <c r="F10277" s="41">
        <v>1</v>
      </c>
      <c r="G10277" s="4">
        <v>1</v>
      </c>
      <c r="H10277" s="18">
        <f>0.01820515*(1000)</f>
        <v>18.20515</v>
      </c>
      <c r="I10277" s="90"/>
      <c r="J10277" s="90"/>
    </row>
    <row r="10278" spans="1:10" s="15" customFormat="1" ht="16.5" hidden="1" customHeight="1" outlineLevel="1" x14ac:dyDescent="0.25">
      <c r="A10278" s="18">
        <v>3387</v>
      </c>
      <c r="B10278" s="4" t="s">
        <v>44</v>
      </c>
      <c r="C10278" s="38" t="s">
        <v>5331</v>
      </c>
      <c r="D10278" s="18">
        <v>2022</v>
      </c>
      <c r="E10278" s="18" t="s">
        <v>0</v>
      </c>
      <c r="F10278" s="41">
        <v>1</v>
      </c>
      <c r="G10278" s="4">
        <v>15</v>
      </c>
      <c r="H10278" s="18">
        <f>0.01997231*(1000)</f>
        <v>19.97231</v>
      </c>
      <c r="I10278" s="90"/>
      <c r="J10278" s="90"/>
    </row>
    <row r="10279" spans="1:10" s="15" customFormat="1" ht="16.5" hidden="1" customHeight="1" outlineLevel="1" x14ac:dyDescent="0.25">
      <c r="A10279" s="18">
        <v>3388</v>
      </c>
      <c r="B10279" s="4" t="s">
        <v>44</v>
      </c>
      <c r="C10279" s="38" t="s">
        <v>5332</v>
      </c>
      <c r="D10279" s="18">
        <v>2022</v>
      </c>
      <c r="E10279" s="18" t="s">
        <v>0</v>
      </c>
      <c r="F10279" s="41">
        <v>1</v>
      </c>
      <c r="G10279" s="4">
        <v>10</v>
      </c>
      <c r="H10279" s="18">
        <f>0.02991739*(1000)</f>
        <v>29.917389999999997</v>
      </c>
      <c r="I10279" s="90"/>
      <c r="J10279" s="90"/>
    </row>
    <row r="10280" spans="1:10" s="15" customFormat="1" ht="16.5" hidden="1" customHeight="1" outlineLevel="1" x14ac:dyDescent="0.25">
      <c r="A10280" s="18">
        <v>3390</v>
      </c>
      <c r="B10280" s="4" t="s">
        <v>44</v>
      </c>
      <c r="C10280" s="38" t="s">
        <v>5333</v>
      </c>
      <c r="D10280" s="18">
        <v>2022</v>
      </c>
      <c r="E10280" s="18" t="s">
        <v>0</v>
      </c>
      <c r="F10280" s="41">
        <v>1</v>
      </c>
      <c r="G10280" s="4">
        <v>136</v>
      </c>
      <c r="H10280" s="18">
        <f>0.02787048*(1000)</f>
        <v>27.870480000000001</v>
      </c>
      <c r="I10280" s="90"/>
      <c r="J10280" s="90"/>
    </row>
    <row r="10281" spans="1:10" s="15" customFormat="1" ht="16.5" hidden="1" customHeight="1" outlineLevel="1" x14ac:dyDescent="0.25">
      <c r="A10281" s="18">
        <v>3391</v>
      </c>
      <c r="B10281" s="4" t="s">
        <v>44</v>
      </c>
      <c r="C10281" s="38" t="s">
        <v>5334</v>
      </c>
      <c r="D10281" s="18">
        <v>2022</v>
      </c>
      <c r="E10281" s="18" t="s">
        <v>0</v>
      </c>
      <c r="F10281" s="41">
        <v>1</v>
      </c>
      <c r="G10281" s="4">
        <v>10</v>
      </c>
      <c r="H10281" s="18">
        <f>0.02846424*(1000)</f>
        <v>28.464239999999997</v>
      </c>
      <c r="I10281" s="90"/>
      <c r="J10281" s="90"/>
    </row>
    <row r="10282" spans="1:10" s="15" customFormat="1" ht="16.5" hidden="1" customHeight="1" outlineLevel="1" x14ac:dyDescent="0.25">
      <c r="A10282" s="18">
        <v>3392</v>
      </c>
      <c r="B10282" s="4" t="s">
        <v>44</v>
      </c>
      <c r="C10282" s="38" t="s">
        <v>5335</v>
      </c>
      <c r="D10282" s="18">
        <v>2022</v>
      </c>
      <c r="E10282" s="18" t="s">
        <v>0</v>
      </c>
      <c r="F10282" s="41">
        <v>1</v>
      </c>
      <c r="G10282" s="4">
        <v>15</v>
      </c>
      <c r="H10282" s="18">
        <f>0.02846422*(1000)</f>
        <v>28.464219999999997</v>
      </c>
      <c r="I10282" s="90"/>
      <c r="J10282" s="90"/>
    </row>
    <row r="10283" spans="1:10" s="15" customFormat="1" ht="16.5" hidden="1" customHeight="1" outlineLevel="1" x14ac:dyDescent="0.25">
      <c r="A10283" s="18">
        <v>3394</v>
      </c>
      <c r="B10283" s="4" t="s">
        <v>44</v>
      </c>
      <c r="C10283" s="38" t="s">
        <v>5023</v>
      </c>
      <c r="D10283" s="18">
        <v>2022</v>
      </c>
      <c r="E10283" s="18" t="s">
        <v>0</v>
      </c>
      <c r="F10283" s="41">
        <v>1</v>
      </c>
      <c r="G10283" s="4">
        <v>10</v>
      </c>
      <c r="H10283" s="18">
        <f>0.02846423*(1000)</f>
        <v>28.464230000000001</v>
      </c>
      <c r="I10283" s="90"/>
      <c r="J10283" s="90"/>
    </row>
    <row r="10284" spans="1:10" s="15" customFormat="1" ht="16.5" hidden="1" customHeight="1" outlineLevel="1" x14ac:dyDescent="0.25">
      <c r="A10284" s="18">
        <v>3395</v>
      </c>
      <c r="B10284" s="4" t="s">
        <v>44</v>
      </c>
      <c r="C10284" s="38" t="s">
        <v>5336</v>
      </c>
      <c r="D10284" s="18">
        <v>2022</v>
      </c>
      <c r="E10284" s="18" t="s">
        <v>0</v>
      </c>
      <c r="F10284" s="41">
        <v>1</v>
      </c>
      <c r="G10284" s="4">
        <v>13.5</v>
      </c>
      <c r="H10284" s="18">
        <f>0.02865201*(1000)</f>
        <v>28.652009999999997</v>
      </c>
      <c r="I10284" s="90"/>
      <c r="J10284" s="90"/>
    </row>
    <row r="10285" spans="1:10" s="15" customFormat="1" ht="16.5" hidden="1" customHeight="1" outlineLevel="1" x14ac:dyDescent="0.25">
      <c r="A10285" s="18">
        <v>3396</v>
      </c>
      <c r="B10285" s="4" t="s">
        <v>44</v>
      </c>
      <c r="C10285" s="38" t="s">
        <v>5337</v>
      </c>
      <c r="D10285" s="18">
        <v>2022</v>
      </c>
      <c r="E10285" s="18" t="s">
        <v>0</v>
      </c>
      <c r="F10285" s="41">
        <v>1</v>
      </c>
      <c r="G10285" s="4">
        <v>15</v>
      </c>
      <c r="H10285" s="18">
        <f>0.02811456*(1000)</f>
        <v>28.114560000000001</v>
      </c>
      <c r="I10285" s="90"/>
      <c r="J10285" s="90"/>
    </row>
    <row r="10286" spans="1:10" s="15" customFormat="1" ht="16.5" hidden="1" customHeight="1" outlineLevel="1" x14ac:dyDescent="0.25">
      <c r="A10286" s="18">
        <v>3397</v>
      </c>
      <c r="B10286" s="4" t="s">
        <v>44</v>
      </c>
      <c r="C10286" s="38" t="s">
        <v>5338</v>
      </c>
      <c r="D10286" s="18">
        <v>2022</v>
      </c>
      <c r="E10286" s="18" t="s">
        <v>0</v>
      </c>
      <c r="F10286" s="41">
        <v>1</v>
      </c>
      <c r="G10286" s="4">
        <v>15</v>
      </c>
      <c r="H10286" s="18">
        <f>0.02714496*(1000)</f>
        <v>27.144959999999998</v>
      </c>
      <c r="I10286" s="90"/>
      <c r="J10286" s="90"/>
    </row>
    <row r="10287" spans="1:10" s="15" customFormat="1" ht="16.5" hidden="1" customHeight="1" outlineLevel="1" x14ac:dyDescent="0.25">
      <c r="A10287" s="18">
        <v>3398</v>
      </c>
      <c r="B10287" s="4" t="s">
        <v>44</v>
      </c>
      <c r="C10287" s="38" t="s">
        <v>5339</v>
      </c>
      <c r="D10287" s="18">
        <v>2022</v>
      </c>
      <c r="E10287" s="18" t="s">
        <v>0</v>
      </c>
      <c r="F10287" s="41">
        <v>1</v>
      </c>
      <c r="G10287" s="4">
        <v>7.5</v>
      </c>
      <c r="H10287" s="18">
        <f>0.02714497*(1000)</f>
        <v>27.144970000000001</v>
      </c>
      <c r="I10287" s="90"/>
      <c r="J10287" s="90"/>
    </row>
    <row r="10288" spans="1:10" s="15" customFormat="1" ht="16.5" hidden="1" customHeight="1" outlineLevel="1" x14ac:dyDescent="0.25">
      <c r="A10288" s="18">
        <v>3400</v>
      </c>
      <c r="B10288" s="4" t="s">
        <v>44</v>
      </c>
      <c r="C10288" s="38" t="s">
        <v>5340</v>
      </c>
      <c r="D10288" s="18">
        <v>2022</v>
      </c>
      <c r="E10288" s="18" t="s">
        <v>0</v>
      </c>
      <c r="F10288" s="41">
        <v>1</v>
      </c>
      <c r="G10288" s="4">
        <v>10</v>
      </c>
      <c r="H10288" s="18">
        <f>0.01746726*(1000)</f>
        <v>17.46726</v>
      </c>
      <c r="I10288" s="90"/>
      <c r="J10288" s="90"/>
    </row>
    <row r="10289" spans="1:10" s="15" customFormat="1" ht="16.5" hidden="1" customHeight="1" outlineLevel="1" x14ac:dyDescent="0.25">
      <c r="A10289" s="18">
        <v>3401</v>
      </c>
      <c r="B10289" s="4" t="s">
        <v>44</v>
      </c>
      <c r="C10289" s="38" t="s">
        <v>5341</v>
      </c>
      <c r="D10289" s="18">
        <v>2022</v>
      </c>
      <c r="E10289" s="18" t="s">
        <v>0</v>
      </c>
      <c r="F10289" s="41">
        <v>1</v>
      </c>
      <c r="G10289" s="4">
        <v>14</v>
      </c>
      <c r="H10289" s="18">
        <f>0.02714497*(1000)</f>
        <v>27.144970000000001</v>
      </c>
      <c r="I10289" s="90"/>
      <c r="J10289" s="90"/>
    </row>
    <row r="10290" spans="1:10" s="15" customFormat="1" ht="16.5" hidden="1" customHeight="1" outlineLevel="1" x14ac:dyDescent="0.25">
      <c r="A10290" s="18">
        <v>3402</v>
      </c>
      <c r="B10290" s="4" t="s">
        <v>44</v>
      </c>
      <c r="C10290" s="38" t="s">
        <v>5342</v>
      </c>
      <c r="D10290" s="18">
        <v>2022</v>
      </c>
      <c r="E10290" s="18" t="s">
        <v>0</v>
      </c>
      <c r="F10290" s="41">
        <v>1</v>
      </c>
      <c r="G10290" s="4">
        <v>15</v>
      </c>
      <c r="H10290" s="18">
        <f>0.02714496*(1000)</f>
        <v>27.144959999999998</v>
      </c>
      <c r="I10290" s="90"/>
      <c r="J10290" s="90"/>
    </row>
    <row r="10291" spans="1:10" s="15" customFormat="1" ht="16.5" hidden="1" customHeight="1" outlineLevel="1" x14ac:dyDescent="0.25">
      <c r="A10291" s="18">
        <v>3403</v>
      </c>
      <c r="B10291" s="4" t="s">
        <v>44</v>
      </c>
      <c r="C10291" s="38" t="s">
        <v>5343</v>
      </c>
      <c r="D10291" s="18">
        <v>2022</v>
      </c>
      <c r="E10291" s="18" t="s">
        <v>0</v>
      </c>
      <c r="F10291" s="41">
        <v>1</v>
      </c>
      <c r="G10291" s="4">
        <v>15</v>
      </c>
      <c r="H10291" s="18">
        <f>0.02714497*(1000)</f>
        <v>27.144970000000001</v>
      </c>
      <c r="I10291" s="90"/>
      <c r="J10291" s="90"/>
    </row>
    <row r="10292" spans="1:10" s="15" customFormat="1" ht="16.5" hidden="1" customHeight="1" outlineLevel="1" x14ac:dyDescent="0.25">
      <c r="A10292" s="18">
        <v>3404</v>
      </c>
      <c r="B10292" s="4" t="s">
        <v>44</v>
      </c>
      <c r="C10292" s="38" t="s">
        <v>5344</v>
      </c>
      <c r="D10292" s="18">
        <v>2022</v>
      </c>
      <c r="E10292" s="18" t="s">
        <v>0</v>
      </c>
      <c r="F10292" s="41">
        <v>1</v>
      </c>
      <c r="G10292" s="4">
        <v>15</v>
      </c>
      <c r="H10292" s="18">
        <f>0.02714496*(1000)</f>
        <v>27.144959999999998</v>
      </c>
      <c r="I10292" s="90"/>
      <c r="J10292" s="90"/>
    </row>
    <row r="10293" spans="1:10" s="15" customFormat="1" ht="16.5" hidden="1" customHeight="1" outlineLevel="1" x14ac:dyDescent="0.25">
      <c r="A10293" s="18">
        <v>3405</v>
      </c>
      <c r="B10293" s="4" t="s">
        <v>44</v>
      </c>
      <c r="C10293" s="38" t="s">
        <v>5345</v>
      </c>
      <c r="D10293" s="18">
        <v>2022</v>
      </c>
      <c r="E10293" s="18" t="s">
        <v>0</v>
      </c>
      <c r="F10293" s="41">
        <v>1</v>
      </c>
      <c r="G10293" s="4">
        <v>10</v>
      </c>
      <c r="H10293" s="18">
        <f>0.02714497*(1000)</f>
        <v>27.144970000000001</v>
      </c>
      <c r="I10293" s="90"/>
      <c r="J10293" s="90"/>
    </row>
    <row r="10294" spans="1:10" s="15" customFormat="1" ht="16.5" hidden="1" customHeight="1" outlineLevel="1" x14ac:dyDescent="0.25">
      <c r="A10294" s="18">
        <v>3406</v>
      </c>
      <c r="B10294" s="4" t="s">
        <v>44</v>
      </c>
      <c r="C10294" s="38" t="s">
        <v>5346</v>
      </c>
      <c r="D10294" s="18">
        <v>2022</v>
      </c>
      <c r="E10294" s="18" t="s">
        <v>0</v>
      </c>
      <c r="F10294" s="41">
        <v>1</v>
      </c>
      <c r="G10294" s="4">
        <v>10</v>
      </c>
      <c r="H10294" s="18">
        <f>0.02714496*(1000)</f>
        <v>27.144959999999998</v>
      </c>
      <c r="I10294" s="90"/>
      <c r="J10294" s="90"/>
    </row>
    <row r="10295" spans="1:10" s="15" customFormat="1" ht="16.5" hidden="1" customHeight="1" outlineLevel="1" x14ac:dyDescent="0.25">
      <c r="A10295" s="18">
        <v>3407</v>
      </c>
      <c r="B10295" s="4" t="s">
        <v>44</v>
      </c>
      <c r="C10295" s="38" t="s">
        <v>5347</v>
      </c>
      <c r="D10295" s="18">
        <v>2022</v>
      </c>
      <c r="E10295" s="18" t="s">
        <v>0</v>
      </c>
      <c r="F10295" s="41">
        <v>1</v>
      </c>
      <c r="G10295" s="4">
        <v>10</v>
      </c>
      <c r="H10295" s="18">
        <f>0.02714497*(1000)</f>
        <v>27.144970000000001</v>
      </c>
      <c r="I10295" s="90"/>
      <c r="J10295" s="90"/>
    </row>
    <row r="10296" spans="1:10" s="15" customFormat="1" ht="16.5" hidden="1" customHeight="1" outlineLevel="1" x14ac:dyDescent="0.25">
      <c r="A10296" s="18">
        <v>3408</v>
      </c>
      <c r="B10296" s="4" t="s">
        <v>44</v>
      </c>
      <c r="C10296" s="38" t="s">
        <v>5348</v>
      </c>
      <c r="D10296" s="18">
        <v>2022</v>
      </c>
      <c r="E10296" s="18" t="s">
        <v>0</v>
      </c>
      <c r="F10296" s="41">
        <v>1</v>
      </c>
      <c r="G10296" s="4">
        <v>11</v>
      </c>
      <c r="H10296" s="18">
        <f>0.02714496*(1000)</f>
        <v>27.144959999999998</v>
      </c>
      <c r="I10296" s="90"/>
      <c r="J10296" s="90"/>
    </row>
    <row r="10297" spans="1:10" s="15" customFormat="1" ht="16.5" hidden="1" customHeight="1" outlineLevel="1" x14ac:dyDescent="0.25">
      <c r="A10297" s="18">
        <v>3409</v>
      </c>
      <c r="B10297" s="4" t="s">
        <v>44</v>
      </c>
      <c r="C10297" s="38" t="s">
        <v>5349</v>
      </c>
      <c r="D10297" s="18">
        <v>2022</v>
      </c>
      <c r="E10297" s="18" t="s">
        <v>0</v>
      </c>
      <c r="F10297" s="41">
        <v>1</v>
      </c>
      <c r="G10297" s="4">
        <v>15</v>
      </c>
      <c r="H10297" s="18">
        <f>0.02714497*(1000)</f>
        <v>27.144970000000001</v>
      </c>
      <c r="I10297" s="90"/>
      <c r="J10297" s="90"/>
    </row>
    <row r="10298" spans="1:10" s="15" customFormat="1" ht="16.5" hidden="1" customHeight="1" outlineLevel="1" x14ac:dyDescent="0.25">
      <c r="A10298" s="18">
        <v>3411</v>
      </c>
      <c r="B10298" s="4" t="s">
        <v>44</v>
      </c>
      <c r="C10298" s="38" t="s">
        <v>5350</v>
      </c>
      <c r="D10298" s="18">
        <v>2022</v>
      </c>
      <c r="E10298" s="18" t="s">
        <v>0</v>
      </c>
      <c r="F10298" s="41">
        <v>1</v>
      </c>
      <c r="G10298" s="4">
        <v>100</v>
      </c>
      <c r="H10298" s="18">
        <f>0.03115119*(1000)</f>
        <v>31.15119</v>
      </c>
      <c r="I10298" s="90"/>
      <c r="J10298" s="90"/>
    </row>
    <row r="10299" spans="1:10" s="15" customFormat="1" ht="16.5" hidden="1" customHeight="1" outlineLevel="1" x14ac:dyDescent="0.25">
      <c r="A10299" s="18">
        <v>3412</v>
      </c>
      <c r="B10299" s="4" t="s">
        <v>44</v>
      </c>
      <c r="C10299" s="38" t="s">
        <v>5351</v>
      </c>
      <c r="D10299" s="18">
        <v>2022</v>
      </c>
      <c r="E10299" s="18" t="s">
        <v>0</v>
      </c>
      <c r="F10299" s="41">
        <v>1</v>
      </c>
      <c r="G10299" s="4">
        <v>15</v>
      </c>
      <c r="H10299" s="18">
        <f>0.02714497*(1000)</f>
        <v>27.144970000000001</v>
      </c>
      <c r="I10299" s="90"/>
      <c r="J10299" s="90"/>
    </row>
    <row r="10300" spans="1:10" s="15" customFormat="1" ht="16.5" hidden="1" customHeight="1" outlineLevel="1" x14ac:dyDescent="0.25">
      <c r="A10300" s="18">
        <v>3413</v>
      </c>
      <c r="B10300" s="4" t="s">
        <v>44</v>
      </c>
      <c r="C10300" s="38" t="s">
        <v>5352</v>
      </c>
      <c r="D10300" s="18">
        <v>2022</v>
      </c>
      <c r="E10300" s="18" t="s">
        <v>0</v>
      </c>
      <c r="F10300" s="41">
        <v>1</v>
      </c>
      <c r="G10300" s="4">
        <v>10</v>
      </c>
      <c r="H10300" s="18">
        <f>0.02714496*(1000)</f>
        <v>27.144959999999998</v>
      </c>
      <c r="I10300" s="90"/>
      <c r="J10300" s="90"/>
    </row>
    <row r="10301" spans="1:10" s="15" customFormat="1" ht="16.5" hidden="1" customHeight="1" outlineLevel="1" x14ac:dyDescent="0.25">
      <c r="A10301" s="18">
        <v>3414</v>
      </c>
      <c r="B10301" s="4" t="s">
        <v>44</v>
      </c>
      <c r="C10301" s="38" t="s">
        <v>5353</v>
      </c>
      <c r="D10301" s="18">
        <v>2022</v>
      </c>
      <c r="E10301" s="18" t="s">
        <v>0</v>
      </c>
      <c r="F10301" s="41">
        <v>1</v>
      </c>
      <c r="G10301" s="4">
        <v>10</v>
      </c>
      <c r="H10301" s="18">
        <f>0.02714496*(1000)</f>
        <v>27.144959999999998</v>
      </c>
      <c r="I10301" s="90"/>
      <c r="J10301" s="90"/>
    </row>
    <row r="10302" spans="1:10" s="15" customFormat="1" ht="16.5" hidden="1" customHeight="1" outlineLevel="1" x14ac:dyDescent="0.25">
      <c r="A10302" s="18">
        <v>3415</v>
      </c>
      <c r="B10302" s="4" t="s">
        <v>44</v>
      </c>
      <c r="C10302" s="38" t="s">
        <v>5354</v>
      </c>
      <c r="D10302" s="18">
        <v>2022</v>
      </c>
      <c r="E10302" s="18" t="s">
        <v>0</v>
      </c>
      <c r="F10302" s="41">
        <v>1</v>
      </c>
      <c r="G10302" s="4">
        <v>15</v>
      </c>
      <c r="H10302" s="18">
        <f>0.01746727*(1000)</f>
        <v>17.467269999999999</v>
      </c>
      <c r="I10302" s="90"/>
      <c r="J10302" s="90"/>
    </row>
    <row r="10303" spans="1:10" s="15" customFormat="1" ht="16.5" hidden="1" customHeight="1" outlineLevel="1" x14ac:dyDescent="0.25">
      <c r="A10303" s="18">
        <v>3416</v>
      </c>
      <c r="B10303" s="4" t="s">
        <v>44</v>
      </c>
      <c r="C10303" s="38" t="s">
        <v>5355</v>
      </c>
      <c r="D10303" s="18">
        <v>2022</v>
      </c>
      <c r="E10303" s="18" t="s">
        <v>0</v>
      </c>
      <c r="F10303" s="41">
        <v>1</v>
      </c>
      <c r="G10303" s="4">
        <v>15</v>
      </c>
      <c r="H10303" s="18">
        <f>0.01746727*(1000)</f>
        <v>17.467269999999999</v>
      </c>
      <c r="I10303" s="90"/>
      <c r="J10303" s="90"/>
    </row>
    <row r="10304" spans="1:10" s="15" customFormat="1" ht="16.5" hidden="1" customHeight="1" outlineLevel="1" x14ac:dyDescent="0.25">
      <c r="A10304" s="18">
        <v>3417</v>
      </c>
      <c r="B10304" s="4" t="s">
        <v>44</v>
      </c>
      <c r="C10304" s="38" t="s">
        <v>5356</v>
      </c>
      <c r="D10304" s="18">
        <v>2022</v>
      </c>
      <c r="E10304" s="18" t="s">
        <v>0</v>
      </c>
      <c r="F10304" s="41">
        <v>1</v>
      </c>
      <c r="G10304" s="4">
        <v>15</v>
      </c>
      <c r="H10304" s="18">
        <f>0.02714496*(1000)</f>
        <v>27.144959999999998</v>
      </c>
      <c r="I10304" s="90"/>
      <c r="J10304" s="90"/>
    </row>
    <row r="10305" spans="1:10" s="15" customFormat="1" ht="16.5" hidden="1" customHeight="1" outlineLevel="1" x14ac:dyDescent="0.25">
      <c r="A10305" s="18">
        <v>3418</v>
      </c>
      <c r="B10305" s="4" t="s">
        <v>44</v>
      </c>
      <c r="C10305" s="38" t="s">
        <v>5357</v>
      </c>
      <c r="D10305" s="18">
        <v>2022</v>
      </c>
      <c r="E10305" s="18" t="s">
        <v>0</v>
      </c>
      <c r="F10305" s="41">
        <v>1</v>
      </c>
      <c r="G10305" s="4">
        <v>15</v>
      </c>
      <c r="H10305" s="18">
        <f>0.02714497*(1000)</f>
        <v>27.144970000000001</v>
      </c>
      <c r="I10305" s="90"/>
      <c r="J10305" s="90"/>
    </row>
    <row r="10306" spans="1:10" s="15" customFormat="1" ht="16.5" hidden="1" customHeight="1" outlineLevel="1" x14ac:dyDescent="0.25">
      <c r="A10306" s="18">
        <v>3420</v>
      </c>
      <c r="B10306" s="4" t="s">
        <v>44</v>
      </c>
      <c r="C10306" s="38" t="s">
        <v>5358</v>
      </c>
      <c r="D10306" s="18">
        <v>2022</v>
      </c>
      <c r="E10306" s="18" t="s">
        <v>0</v>
      </c>
      <c r="F10306" s="41">
        <v>1</v>
      </c>
      <c r="G10306" s="4">
        <v>10</v>
      </c>
      <c r="H10306" s="18">
        <f>0.02714497*(1000)</f>
        <v>27.144970000000001</v>
      </c>
      <c r="I10306" s="90"/>
      <c r="J10306" s="90"/>
    </row>
    <row r="10307" spans="1:10" s="15" customFormat="1" ht="16.5" hidden="1" customHeight="1" outlineLevel="1" x14ac:dyDescent="0.25">
      <c r="A10307" s="18">
        <v>3422</v>
      </c>
      <c r="B10307" s="4" t="s">
        <v>44</v>
      </c>
      <c r="C10307" s="38" t="s">
        <v>5359</v>
      </c>
      <c r="D10307" s="18">
        <v>2022</v>
      </c>
      <c r="E10307" s="18" t="s">
        <v>0</v>
      </c>
      <c r="F10307" s="41">
        <v>1</v>
      </c>
      <c r="G10307" s="4">
        <v>11</v>
      </c>
      <c r="H10307" s="18">
        <f>0.02714497*(1000)</f>
        <v>27.144970000000001</v>
      </c>
      <c r="I10307" s="90"/>
      <c r="J10307" s="90"/>
    </row>
    <row r="10308" spans="1:10" s="15" customFormat="1" ht="16.5" hidden="1" customHeight="1" outlineLevel="1" x14ac:dyDescent="0.25">
      <c r="A10308" s="18">
        <v>3423</v>
      </c>
      <c r="B10308" s="4" t="s">
        <v>44</v>
      </c>
      <c r="C10308" s="38" t="s">
        <v>5360</v>
      </c>
      <c r="D10308" s="18">
        <v>2022</v>
      </c>
      <c r="E10308" s="18" t="s">
        <v>0</v>
      </c>
      <c r="F10308" s="41">
        <v>1</v>
      </c>
      <c r="G10308" s="4">
        <v>15</v>
      </c>
      <c r="H10308" s="18">
        <f>0.02714496*(1000)</f>
        <v>27.144959999999998</v>
      </c>
      <c r="I10308" s="90"/>
      <c r="J10308" s="90"/>
    </row>
    <row r="10309" spans="1:10" s="15" customFormat="1" ht="16.5" hidden="1" customHeight="1" outlineLevel="1" x14ac:dyDescent="0.25">
      <c r="A10309" s="18">
        <v>3425</v>
      </c>
      <c r="B10309" s="4" t="s">
        <v>44</v>
      </c>
      <c r="C10309" s="38" t="s">
        <v>5361</v>
      </c>
      <c r="D10309" s="18">
        <v>2022</v>
      </c>
      <c r="E10309" s="18" t="s">
        <v>0</v>
      </c>
      <c r="F10309" s="41">
        <v>1</v>
      </c>
      <c r="G10309" s="4">
        <v>15</v>
      </c>
      <c r="H10309" s="18">
        <f>0.02714496*(1000)</f>
        <v>27.144959999999998</v>
      </c>
      <c r="I10309" s="90"/>
      <c r="J10309" s="90"/>
    </row>
    <row r="10310" spans="1:10" s="15" customFormat="1" ht="16.5" hidden="1" customHeight="1" outlineLevel="1" x14ac:dyDescent="0.25">
      <c r="A10310" s="18">
        <v>3426</v>
      </c>
      <c r="B10310" s="4" t="s">
        <v>44</v>
      </c>
      <c r="C10310" s="38" t="s">
        <v>5362</v>
      </c>
      <c r="D10310" s="18">
        <v>2022</v>
      </c>
      <c r="E10310" s="18" t="s">
        <v>0</v>
      </c>
      <c r="F10310" s="41">
        <v>1</v>
      </c>
      <c r="G10310" s="4">
        <v>15</v>
      </c>
      <c r="H10310" s="18">
        <f>0.02714497*(1000)</f>
        <v>27.144970000000001</v>
      </c>
      <c r="I10310" s="90"/>
      <c r="J10310" s="90"/>
    </row>
    <row r="10311" spans="1:10" s="15" customFormat="1" ht="16.5" hidden="1" customHeight="1" outlineLevel="1" x14ac:dyDescent="0.25">
      <c r="A10311" s="18">
        <v>3431</v>
      </c>
      <c r="B10311" s="4" t="s">
        <v>44</v>
      </c>
      <c r="C10311" s="38" t="s">
        <v>5363</v>
      </c>
      <c r="D10311" s="18">
        <v>2022</v>
      </c>
      <c r="E10311" s="18" t="s">
        <v>0</v>
      </c>
      <c r="F10311" s="41">
        <v>1</v>
      </c>
      <c r="G10311" s="4">
        <v>15</v>
      </c>
      <c r="H10311" s="18">
        <f>0.01916191*(1000)</f>
        <v>19.161910000000002</v>
      </c>
      <c r="I10311" s="90"/>
      <c r="J10311" s="90"/>
    </row>
    <row r="10312" spans="1:10" s="15" customFormat="1" ht="16.5" hidden="1" customHeight="1" outlineLevel="1" x14ac:dyDescent="0.25">
      <c r="A10312" s="18">
        <v>3432</v>
      </c>
      <c r="B10312" s="4" t="s">
        <v>44</v>
      </c>
      <c r="C10312" s="38" t="s">
        <v>5364</v>
      </c>
      <c r="D10312" s="18">
        <v>2022</v>
      </c>
      <c r="E10312" s="18" t="s">
        <v>0</v>
      </c>
      <c r="F10312" s="41">
        <v>1</v>
      </c>
      <c r="G10312" s="4">
        <v>10</v>
      </c>
      <c r="H10312" s="18">
        <f>0.01746727*(1000)</f>
        <v>17.467269999999999</v>
      </c>
      <c r="I10312" s="90"/>
      <c r="J10312" s="90"/>
    </row>
    <row r="10313" spans="1:10" s="15" customFormat="1" ht="16.5" hidden="1" customHeight="1" outlineLevel="1" x14ac:dyDescent="0.25">
      <c r="A10313" s="18">
        <v>3433</v>
      </c>
      <c r="B10313" s="4" t="s">
        <v>44</v>
      </c>
      <c r="C10313" s="38" t="s">
        <v>5365</v>
      </c>
      <c r="D10313" s="18">
        <v>2022</v>
      </c>
      <c r="E10313" s="18" t="s">
        <v>0</v>
      </c>
      <c r="F10313" s="41">
        <v>1</v>
      </c>
      <c r="G10313" s="4">
        <v>10</v>
      </c>
      <c r="H10313" s="18">
        <f>0.01746726*(1000)</f>
        <v>17.46726</v>
      </c>
      <c r="I10313" s="90"/>
      <c r="J10313" s="90"/>
    </row>
    <row r="10314" spans="1:10" s="15" customFormat="1" ht="16.5" hidden="1" customHeight="1" outlineLevel="1" x14ac:dyDescent="0.25">
      <c r="A10314" s="18">
        <v>3434</v>
      </c>
      <c r="B10314" s="4" t="s">
        <v>44</v>
      </c>
      <c r="C10314" s="38" t="s">
        <v>5366</v>
      </c>
      <c r="D10314" s="18">
        <v>2022</v>
      </c>
      <c r="E10314" s="18" t="s">
        <v>0</v>
      </c>
      <c r="F10314" s="41">
        <v>1</v>
      </c>
      <c r="G10314" s="4">
        <v>4</v>
      </c>
      <c r="H10314" s="18">
        <f>0.01916192*(1000)</f>
        <v>19.161919999999999</v>
      </c>
      <c r="I10314" s="90"/>
      <c r="J10314" s="90"/>
    </row>
    <row r="10315" spans="1:10" s="15" customFormat="1" ht="16.5" hidden="1" customHeight="1" outlineLevel="1" x14ac:dyDescent="0.25">
      <c r="A10315" s="18">
        <v>3435</v>
      </c>
      <c r="B10315" s="4" t="s">
        <v>44</v>
      </c>
      <c r="C10315" s="38" t="s">
        <v>5367</v>
      </c>
      <c r="D10315" s="18">
        <v>2022</v>
      </c>
      <c r="E10315" s="18" t="s">
        <v>0</v>
      </c>
      <c r="F10315" s="41">
        <v>1</v>
      </c>
      <c r="G10315" s="4">
        <v>10</v>
      </c>
      <c r="H10315" s="18">
        <f>0.01746726*(1000)</f>
        <v>17.46726</v>
      </c>
      <c r="I10315" s="90"/>
      <c r="J10315" s="90"/>
    </row>
    <row r="10316" spans="1:10" s="15" customFormat="1" ht="16.5" hidden="1" customHeight="1" outlineLevel="1" x14ac:dyDescent="0.25">
      <c r="A10316" s="18">
        <v>3436</v>
      </c>
      <c r="B10316" s="4" t="s">
        <v>44</v>
      </c>
      <c r="C10316" s="38" t="s">
        <v>5368</v>
      </c>
      <c r="D10316" s="18">
        <v>2022</v>
      </c>
      <c r="E10316" s="18" t="s">
        <v>0</v>
      </c>
      <c r="F10316" s="41">
        <v>1</v>
      </c>
      <c r="G10316" s="4">
        <v>8.5</v>
      </c>
      <c r="H10316" s="18">
        <f>0.01746726*(1000)</f>
        <v>17.46726</v>
      </c>
      <c r="I10316" s="90"/>
      <c r="J10316" s="90"/>
    </row>
    <row r="10317" spans="1:10" s="15" customFormat="1" ht="16.5" hidden="1" customHeight="1" outlineLevel="1" x14ac:dyDescent="0.25">
      <c r="A10317" s="18">
        <v>3437</v>
      </c>
      <c r="B10317" s="4" t="s">
        <v>44</v>
      </c>
      <c r="C10317" s="38" t="s">
        <v>5369</v>
      </c>
      <c r="D10317" s="18">
        <v>2022</v>
      </c>
      <c r="E10317" s="18" t="s">
        <v>0</v>
      </c>
      <c r="F10317" s="41">
        <v>1</v>
      </c>
      <c r="G10317" s="4">
        <v>15</v>
      </c>
      <c r="H10317" s="18">
        <f>0.01746726*(1000)</f>
        <v>17.46726</v>
      </c>
      <c r="I10317" s="90"/>
      <c r="J10317" s="90"/>
    </row>
    <row r="10318" spans="1:10" s="15" customFormat="1" ht="16.5" hidden="1" customHeight="1" outlineLevel="1" x14ac:dyDescent="0.25">
      <c r="A10318" s="18">
        <v>3438</v>
      </c>
      <c r="B10318" s="4" t="s">
        <v>44</v>
      </c>
      <c r="C10318" s="38" t="s">
        <v>5369</v>
      </c>
      <c r="D10318" s="18">
        <v>2022</v>
      </c>
      <c r="E10318" s="18" t="s">
        <v>0</v>
      </c>
      <c r="F10318" s="41">
        <v>1</v>
      </c>
      <c r="G10318" s="4">
        <v>15</v>
      </c>
      <c r="H10318" s="18">
        <f>0.01746727*(1000)</f>
        <v>17.467269999999999</v>
      </c>
      <c r="I10318" s="90"/>
      <c r="J10318" s="90"/>
    </row>
    <row r="10319" spans="1:10" s="15" customFormat="1" ht="16.5" hidden="1" customHeight="1" outlineLevel="1" x14ac:dyDescent="0.25">
      <c r="A10319" s="18">
        <v>3440</v>
      </c>
      <c r="B10319" s="4" t="s">
        <v>44</v>
      </c>
      <c r="C10319" s="38" t="s">
        <v>5370</v>
      </c>
      <c r="D10319" s="18">
        <v>2022</v>
      </c>
      <c r="E10319" s="18" t="s">
        <v>0</v>
      </c>
      <c r="F10319" s="41">
        <v>1</v>
      </c>
      <c r="G10319" s="4">
        <v>10</v>
      </c>
      <c r="H10319" s="18">
        <f>0.01746727*(1000)</f>
        <v>17.467269999999999</v>
      </c>
      <c r="I10319" s="90"/>
      <c r="J10319" s="90"/>
    </row>
    <row r="10320" spans="1:10" s="15" customFormat="1" ht="16.5" hidden="1" customHeight="1" outlineLevel="1" x14ac:dyDescent="0.25">
      <c r="A10320" s="18">
        <v>3441</v>
      </c>
      <c r="B10320" s="4" t="s">
        <v>44</v>
      </c>
      <c r="C10320" s="38" t="s">
        <v>5371</v>
      </c>
      <c r="D10320" s="18">
        <v>2022</v>
      </c>
      <c r="E10320" s="18" t="s">
        <v>0</v>
      </c>
      <c r="F10320" s="41">
        <v>1</v>
      </c>
      <c r="G10320" s="4">
        <v>15</v>
      </c>
      <c r="H10320" s="18">
        <f>0.01746727*(1000)</f>
        <v>17.467269999999999</v>
      </c>
      <c r="I10320" s="90"/>
      <c r="J10320" s="90"/>
    </row>
    <row r="10321" spans="1:10" s="15" customFormat="1" ht="16.5" hidden="1" customHeight="1" outlineLevel="1" x14ac:dyDescent="0.25">
      <c r="A10321" s="18">
        <v>3442</v>
      </c>
      <c r="B10321" s="4" t="s">
        <v>44</v>
      </c>
      <c r="C10321" s="38" t="s">
        <v>5372</v>
      </c>
      <c r="D10321" s="18">
        <v>2022</v>
      </c>
      <c r="E10321" s="18" t="s">
        <v>0</v>
      </c>
      <c r="F10321" s="41">
        <v>1</v>
      </c>
      <c r="G10321" s="4">
        <v>2</v>
      </c>
      <c r="H10321" s="18">
        <f>0.01746727*(1000)</f>
        <v>17.467269999999999</v>
      </c>
      <c r="I10321" s="90"/>
      <c r="J10321" s="90"/>
    </row>
    <row r="10322" spans="1:10" s="15" customFormat="1" ht="16.5" hidden="1" customHeight="1" outlineLevel="1" x14ac:dyDescent="0.25">
      <c r="A10322" s="18">
        <v>3443</v>
      </c>
      <c r="B10322" s="4" t="s">
        <v>44</v>
      </c>
      <c r="C10322" s="38" t="s">
        <v>5373</v>
      </c>
      <c r="D10322" s="18">
        <v>2022</v>
      </c>
      <c r="E10322" s="18" t="s">
        <v>0</v>
      </c>
      <c r="F10322" s="41">
        <v>1</v>
      </c>
      <c r="G10322" s="4">
        <v>2</v>
      </c>
      <c r="H10322" s="18">
        <f>0.01746727*(1000)</f>
        <v>17.467269999999999</v>
      </c>
      <c r="I10322" s="90"/>
      <c r="J10322" s="90"/>
    </row>
    <row r="10323" spans="1:10" s="15" customFormat="1" ht="16.5" hidden="1" customHeight="1" outlineLevel="1" x14ac:dyDescent="0.25">
      <c r="A10323" s="18">
        <v>3444</v>
      </c>
      <c r="B10323" s="4" t="s">
        <v>44</v>
      </c>
      <c r="C10323" s="38" t="s">
        <v>5374</v>
      </c>
      <c r="D10323" s="18">
        <v>2022</v>
      </c>
      <c r="E10323" s="18" t="s">
        <v>0</v>
      </c>
      <c r="F10323" s="41">
        <v>1</v>
      </c>
      <c r="G10323" s="4">
        <v>2</v>
      </c>
      <c r="H10323" s="18">
        <f>0.01916192*(1000)</f>
        <v>19.161919999999999</v>
      </c>
      <c r="I10323" s="90"/>
      <c r="J10323" s="90"/>
    </row>
    <row r="10324" spans="1:10" s="15" customFormat="1" ht="16.5" hidden="1" customHeight="1" outlineLevel="1" x14ac:dyDescent="0.25">
      <c r="A10324" s="18">
        <v>3445</v>
      </c>
      <c r="B10324" s="4" t="s">
        <v>44</v>
      </c>
      <c r="C10324" s="38" t="s">
        <v>5375</v>
      </c>
      <c r="D10324" s="18">
        <v>2022</v>
      </c>
      <c r="E10324" s="18" t="s">
        <v>0</v>
      </c>
      <c r="F10324" s="41">
        <v>1</v>
      </c>
      <c r="G10324" s="4">
        <v>2</v>
      </c>
      <c r="H10324" s="18">
        <f>0.01746727*(1000)</f>
        <v>17.467269999999999</v>
      </c>
      <c r="I10324" s="90"/>
      <c r="J10324" s="90"/>
    </row>
    <row r="10325" spans="1:10" s="15" customFormat="1" ht="16.5" hidden="1" customHeight="1" outlineLevel="1" x14ac:dyDescent="0.25">
      <c r="A10325" s="18">
        <v>3446</v>
      </c>
      <c r="B10325" s="4" t="s">
        <v>44</v>
      </c>
      <c r="C10325" s="38" t="s">
        <v>5376</v>
      </c>
      <c r="D10325" s="18">
        <v>2022</v>
      </c>
      <c r="E10325" s="18" t="s">
        <v>0</v>
      </c>
      <c r="F10325" s="41">
        <v>1</v>
      </c>
      <c r="G10325" s="4">
        <v>2</v>
      </c>
      <c r="H10325" s="18">
        <f>0.01746727*(1000)</f>
        <v>17.467269999999999</v>
      </c>
      <c r="I10325" s="90"/>
      <c r="J10325" s="90"/>
    </row>
    <row r="10326" spans="1:10" s="15" customFormat="1" ht="16.5" hidden="1" customHeight="1" outlineLevel="1" x14ac:dyDescent="0.25">
      <c r="A10326" s="18">
        <v>3447</v>
      </c>
      <c r="B10326" s="4" t="s">
        <v>44</v>
      </c>
      <c r="C10326" s="38" t="s">
        <v>5377</v>
      </c>
      <c r="D10326" s="18">
        <v>2022</v>
      </c>
      <c r="E10326" s="18" t="s">
        <v>0</v>
      </c>
      <c r="F10326" s="41">
        <v>1</v>
      </c>
      <c r="G10326" s="4">
        <v>2</v>
      </c>
      <c r="H10326" s="18">
        <f>0.01746728*(1000)</f>
        <v>17.467280000000002</v>
      </c>
      <c r="I10326" s="90"/>
      <c r="J10326" s="90"/>
    </row>
    <row r="10327" spans="1:10" s="15" customFormat="1" ht="16.5" hidden="1" customHeight="1" outlineLevel="1" x14ac:dyDescent="0.25">
      <c r="A10327" s="18">
        <v>3448</v>
      </c>
      <c r="B10327" s="4" t="s">
        <v>44</v>
      </c>
      <c r="C10327" s="38" t="s">
        <v>5378</v>
      </c>
      <c r="D10327" s="18">
        <v>2022</v>
      </c>
      <c r="E10327" s="18" t="s">
        <v>0</v>
      </c>
      <c r="F10327" s="41">
        <v>1</v>
      </c>
      <c r="G10327" s="4">
        <v>2</v>
      </c>
      <c r="H10327" s="18">
        <f>0.01773461*(1000)</f>
        <v>17.73461</v>
      </c>
      <c r="I10327" s="90"/>
      <c r="J10327" s="90"/>
    </row>
    <row r="10328" spans="1:10" s="15" customFormat="1" ht="16.5" hidden="1" customHeight="1" outlineLevel="1" x14ac:dyDescent="0.25">
      <c r="A10328" s="18">
        <v>3449</v>
      </c>
      <c r="B10328" s="4" t="s">
        <v>44</v>
      </c>
      <c r="C10328" s="38" t="s">
        <v>5379</v>
      </c>
      <c r="D10328" s="18">
        <v>2022</v>
      </c>
      <c r="E10328" s="18" t="s">
        <v>0</v>
      </c>
      <c r="F10328" s="41">
        <v>1</v>
      </c>
      <c r="G10328" s="4">
        <v>15</v>
      </c>
      <c r="H10328" s="18">
        <f>0.01916192*(1000)</f>
        <v>19.161919999999999</v>
      </c>
      <c r="I10328" s="90"/>
      <c r="J10328" s="90"/>
    </row>
    <row r="10329" spans="1:10" s="15" customFormat="1" ht="16.5" hidden="1" customHeight="1" outlineLevel="1" x14ac:dyDescent="0.25">
      <c r="A10329" s="18">
        <v>3450</v>
      </c>
      <c r="B10329" s="4" t="s">
        <v>44</v>
      </c>
      <c r="C10329" s="38" t="s">
        <v>5380</v>
      </c>
      <c r="D10329" s="18">
        <v>2022</v>
      </c>
      <c r="E10329" s="18" t="s">
        <v>0</v>
      </c>
      <c r="F10329" s="41">
        <v>1</v>
      </c>
      <c r="G10329" s="4">
        <v>12</v>
      </c>
      <c r="H10329" s="18">
        <f>0.01916193*(1000)</f>
        <v>19.161930000000002</v>
      </c>
      <c r="I10329" s="90"/>
      <c r="J10329" s="90"/>
    </row>
    <row r="10330" spans="1:10" s="15" customFormat="1" ht="16.5" hidden="1" customHeight="1" outlineLevel="1" x14ac:dyDescent="0.25">
      <c r="A10330" s="18">
        <v>3452</v>
      </c>
      <c r="B10330" s="4" t="s">
        <v>44</v>
      </c>
      <c r="C10330" s="38" t="s">
        <v>5381</v>
      </c>
      <c r="D10330" s="18">
        <v>2022</v>
      </c>
      <c r="E10330" s="18" t="s">
        <v>0</v>
      </c>
      <c r="F10330" s="41">
        <v>1</v>
      </c>
      <c r="G10330" s="4">
        <v>15</v>
      </c>
      <c r="H10330" s="18">
        <f>0.01746728*(1000)</f>
        <v>17.467280000000002</v>
      </c>
      <c r="I10330" s="90"/>
      <c r="J10330" s="90"/>
    </row>
    <row r="10331" spans="1:10" s="15" customFormat="1" ht="16.5" hidden="1" customHeight="1" outlineLevel="1" x14ac:dyDescent="0.25">
      <c r="A10331" s="18">
        <v>3453</v>
      </c>
      <c r="B10331" s="4" t="s">
        <v>44</v>
      </c>
      <c r="C10331" s="38" t="s">
        <v>5382</v>
      </c>
      <c r="D10331" s="18">
        <v>2022</v>
      </c>
      <c r="E10331" s="18" t="s">
        <v>0</v>
      </c>
      <c r="F10331" s="41">
        <v>1</v>
      </c>
      <c r="G10331" s="4">
        <v>12</v>
      </c>
      <c r="H10331" s="18">
        <f>0.01746727*(1000)</f>
        <v>17.467269999999999</v>
      </c>
      <c r="I10331" s="90"/>
      <c r="J10331" s="90"/>
    </row>
    <row r="10332" spans="1:10" s="15" customFormat="1" ht="16.5" hidden="1" customHeight="1" outlineLevel="1" x14ac:dyDescent="0.25">
      <c r="A10332" s="18">
        <v>3454</v>
      </c>
      <c r="B10332" s="4" t="s">
        <v>44</v>
      </c>
      <c r="C10332" s="38" t="s">
        <v>5383</v>
      </c>
      <c r="D10332" s="18">
        <v>2022</v>
      </c>
      <c r="E10332" s="18" t="s">
        <v>0</v>
      </c>
      <c r="F10332" s="41">
        <v>1</v>
      </c>
      <c r="G10332" s="4">
        <v>12</v>
      </c>
      <c r="H10332" s="18">
        <f>0.01746728*(1000)</f>
        <v>17.467280000000002</v>
      </c>
      <c r="I10332" s="90"/>
      <c r="J10332" s="90"/>
    </row>
    <row r="10333" spans="1:10" s="15" customFormat="1" ht="16.5" hidden="1" customHeight="1" outlineLevel="1" x14ac:dyDescent="0.25">
      <c r="A10333" s="18">
        <v>3456</v>
      </c>
      <c r="B10333" s="4" t="s">
        <v>44</v>
      </c>
      <c r="C10333" s="38" t="s">
        <v>5384</v>
      </c>
      <c r="D10333" s="18">
        <v>2022</v>
      </c>
      <c r="E10333" s="18" t="s">
        <v>0</v>
      </c>
      <c r="F10333" s="41">
        <v>1</v>
      </c>
      <c r="G10333" s="4">
        <v>15</v>
      </c>
      <c r="H10333" s="18">
        <f>0.03668009*(1000)</f>
        <v>36.68009</v>
      </c>
      <c r="I10333" s="90"/>
      <c r="J10333" s="90"/>
    </row>
    <row r="10334" spans="1:10" s="15" customFormat="1" ht="16.5" hidden="1" customHeight="1" outlineLevel="1" x14ac:dyDescent="0.25">
      <c r="A10334" s="18">
        <v>3457</v>
      </c>
      <c r="B10334" s="4" t="s">
        <v>44</v>
      </c>
      <c r="C10334" s="38" t="s">
        <v>5385</v>
      </c>
      <c r="D10334" s="18">
        <v>2022</v>
      </c>
      <c r="E10334" s="18" t="s">
        <v>0</v>
      </c>
      <c r="F10334" s="41">
        <v>1</v>
      </c>
      <c r="G10334" s="4">
        <v>15</v>
      </c>
      <c r="H10334" s="18">
        <f>0.01746727*(1000)</f>
        <v>17.467269999999999</v>
      </c>
      <c r="I10334" s="90"/>
      <c r="J10334" s="90"/>
    </row>
    <row r="10335" spans="1:10" s="15" customFormat="1" ht="16.5" hidden="1" customHeight="1" outlineLevel="1" x14ac:dyDescent="0.25">
      <c r="A10335" s="18">
        <v>3458</v>
      </c>
      <c r="B10335" s="4" t="s">
        <v>44</v>
      </c>
      <c r="C10335" s="38" t="s">
        <v>5386</v>
      </c>
      <c r="D10335" s="18">
        <v>2022</v>
      </c>
      <c r="E10335" s="18" t="s">
        <v>0</v>
      </c>
      <c r="F10335" s="41">
        <v>1</v>
      </c>
      <c r="G10335" s="4">
        <v>10</v>
      </c>
      <c r="H10335" s="18">
        <f>0.01746728*(1000)</f>
        <v>17.467280000000002</v>
      </c>
      <c r="I10335" s="90"/>
      <c r="J10335" s="90"/>
    </row>
    <row r="10336" spans="1:10" s="15" customFormat="1" ht="16.5" hidden="1" customHeight="1" outlineLevel="1" x14ac:dyDescent="0.25">
      <c r="A10336" s="18">
        <v>3459</v>
      </c>
      <c r="B10336" s="4" t="s">
        <v>44</v>
      </c>
      <c r="C10336" s="38" t="s">
        <v>5387</v>
      </c>
      <c r="D10336" s="18">
        <v>2022</v>
      </c>
      <c r="E10336" s="18" t="s">
        <v>0</v>
      </c>
      <c r="F10336" s="41">
        <v>1</v>
      </c>
      <c r="G10336" s="4">
        <v>15</v>
      </c>
      <c r="H10336" s="18">
        <f>0.01746727*(1000)</f>
        <v>17.467269999999999</v>
      </c>
      <c r="I10336" s="90"/>
      <c r="J10336" s="90"/>
    </row>
    <row r="10337" spans="1:10" s="15" customFormat="1" ht="16.5" hidden="1" customHeight="1" outlineLevel="1" x14ac:dyDescent="0.25">
      <c r="A10337" s="18">
        <v>3460</v>
      </c>
      <c r="B10337" s="4" t="s">
        <v>44</v>
      </c>
      <c r="C10337" s="38" t="s">
        <v>5388</v>
      </c>
      <c r="D10337" s="18">
        <v>2022</v>
      </c>
      <c r="E10337" s="18" t="s">
        <v>0</v>
      </c>
      <c r="F10337" s="41">
        <v>1</v>
      </c>
      <c r="G10337" s="4">
        <v>13</v>
      </c>
      <c r="H10337" s="18">
        <f>0.01746728*(1000)</f>
        <v>17.467280000000002</v>
      </c>
      <c r="I10337" s="90"/>
      <c r="J10337" s="90"/>
    </row>
    <row r="10338" spans="1:10" s="15" customFormat="1" ht="16.5" hidden="1" customHeight="1" outlineLevel="1" x14ac:dyDescent="0.25">
      <c r="A10338" s="18">
        <v>3462</v>
      </c>
      <c r="B10338" s="4" t="s">
        <v>44</v>
      </c>
      <c r="C10338" s="38" t="s">
        <v>5389</v>
      </c>
      <c r="D10338" s="18">
        <v>2022</v>
      </c>
      <c r="E10338" s="18" t="s">
        <v>0</v>
      </c>
      <c r="F10338" s="41">
        <v>1</v>
      </c>
      <c r="G10338" s="4">
        <v>2</v>
      </c>
      <c r="H10338" s="18">
        <f>0.01860572*(1000)</f>
        <v>18.605719999999998</v>
      </c>
      <c r="I10338" s="90"/>
      <c r="J10338" s="90"/>
    </row>
    <row r="10339" spans="1:10" s="15" customFormat="1" ht="16.5" hidden="1" customHeight="1" outlineLevel="1" x14ac:dyDescent="0.25">
      <c r="A10339" s="18">
        <v>3463</v>
      </c>
      <c r="B10339" s="4" t="s">
        <v>44</v>
      </c>
      <c r="C10339" s="38" t="s">
        <v>5390</v>
      </c>
      <c r="D10339" s="18">
        <v>2022</v>
      </c>
      <c r="E10339" s="18" t="s">
        <v>0</v>
      </c>
      <c r="F10339" s="41">
        <v>1</v>
      </c>
      <c r="G10339" s="4">
        <v>2.4</v>
      </c>
      <c r="H10339" s="18">
        <f t="shared" ref="H10339:H10350" si="10">0.01746728*(1000)</f>
        <v>17.467280000000002</v>
      </c>
      <c r="I10339" s="90"/>
      <c r="J10339" s="90"/>
    </row>
    <row r="10340" spans="1:10" s="15" customFormat="1" ht="16.5" hidden="1" customHeight="1" outlineLevel="1" x14ac:dyDescent="0.25">
      <c r="A10340" s="18">
        <v>3464</v>
      </c>
      <c r="B10340" s="4" t="s">
        <v>44</v>
      </c>
      <c r="C10340" s="38" t="s">
        <v>5391</v>
      </c>
      <c r="D10340" s="18">
        <v>2022</v>
      </c>
      <c r="E10340" s="18" t="s">
        <v>0</v>
      </c>
      <c r="F10340" s="41">
        <v>1</v>
      </c>
      <c r="G10340" s="4">
        <v>2</v>
      </c>
      <c r="H10340" s="18">
        <f t="shared" si="10"/>
        <v>17.467280000000002</v>
      </c>
      <c r="I10340" s="90"/>
      <c r="J10340" s="90"/>
    </row>
    <row r="10341" spans="1:10" s="15" customFormat="1" ht="16.5" hidden="1" customHeight="1" outlineLevel="1" x14ac:dyDescent="0.25">
      <c r="A10341" s="18">
        <v>3465</v>
      </c>
      <c r="B10341" s="4" t="s">
        <v>44</v>
      </c>
      <c r="C10341" s="38" t="s">
        <v>5392</v>
      </c>
      <c r="D10341" s="18">
        <v>2022</v>
      </c>
      <c r="E10341" s="18" t="s">
        <v>0</v>
      </c>
      <c r="F10341" s="41">
        <v>1</v>
      </c>
      <c r="G10341" s="4">
        <v>2.7</v>
      </c>
      <c r="H10341" s="18">
        <f t="shared" si="10"/>
        <v>17.467280000000002</v>
      </c>
      <c r="I10341" s="90"/>
      <c r="J10341" s="90"/>
    </row>
    <row r="10342" spans="1:10" s="15" customFormat="1" ht="16.5" hidden="1" customHeight="1" outlineLevel="1" x14ac:dyDescent="0.25">
      <c r="A10342" s="18">
        <v>3466</v>
      </c>
      <c r="B10342" s="4" t="s">
        <v>44</v>
      </c>
      <c r="C10342" s="38" t="s">
        <v>5393</v>
      </c>
      <c r="D10342" s="18">
        <v>2022</v>
      </c>
      <c r="E10342" s="18" t="s">
        <v>0</v>
      </c>
      <c r="F10342" s="41">
        <v>1</v>
      </c>
      <c r="G10342" s="4">
        <v>2</v>
      </c>
      <c r="H10342" s="18">
        <f t="shared" si="10"/>
        <v>17.467280000000002</v>
      </c>
      <c r="I10342" s="90"/>
      <c r="J10342" s="90"/>
    </row>
    <row r="10343" spans="1:10" s="15" customFormat="1" ht="16.5" hidden="1" customHeight="1" outlineLevel="1" x14ac:dyDescent="0.25">
      <c r="A10343" s="18">
        <v>3467</v>
      </c>
      <c r="B10343" s="4" t="s">
        <v>44</v>
      </c>
      <c r="C10343" s="38" t="s">
        <v>5394</v>
      </c>
      <c r="D10343" s="18">
        <v>2022</v>
      </c>
      <c r="E10343" s="18" t="s">
        <v>0</v>
      </c>
      <c r="F10343" s="41">
        <v>1</v>
      </c>
      <c r="G10343" s="4">
        <v>2</v>
      </c>
      <c r="H10343" s="18">
        <f t="shared" si="10"/>
        <v>17.467280000000002</v>
      </c>
      <c r="I10343" s="90"/>
      <c r="J10343" s="90"/>
    </row>
    <row r="10344" spans="1:10" s="15" customFormat="1" ht="16.5" hidden="1" customHeight="1" outlineLevel="1" x14ac:dyDescent="0.25">
      <c r="A10344" s="18">
        <v>3468</v>
      </c>
      <c r="B10344" s="4" t="s">
        <v>44</v>
      </c>
      <c r="C10344" s="38" t="s">
        <v>5395</v>
      </c>
      <c r="D10344" s="18">
        <v>2022</v>
      </c>
      <c r="E10344" s="18" t="s">
        <v>0</v>
      </c>
      <c r="F10344" s="41">
        <v>1</v>
      </c>
      <c r="G10344" s="4">
        <v>2</v>
      </c>
      <c r="H10344" s="18">
        <f t="shared" si="10"/>
        <v>17.467280000000002</v>
      </c>
      <c r="I10344" s="90"/>
      <c r="J10344" s="90"/>
    </row>
    <row r="10345" spans="1:10" s="15" customFormat="1" ht="16.5" hidden="1" customHeight="1" outlineLevel="1" x14ac:dyDescent="0.25">
      <c r="A10345" s="18">
        <v>3469</v>
      </c>
      <c r="B10345" s="4" t="s">
        <v>44</v>
      </c>
      <c r="C10345" s="38" t="s">
        <v>5396</v>
      </c>
      <c r="D10345" s="18">
        <v>2022</v>
      </c>
      <c r="E10345" s="18" t="s">
        <v>0</v>
      </c>
      <c r="F10345" s="41">
        <v>1</v>
      </c>
      <c r="G10345" s="4">
        <v>2</v>
      </c>
      <c r="H10345" s="18">
        <f t="shared" si="10"/>
        <v>17.467280000000002</v>
      </c>
      <c r="I10345" s="90"/>
      <c r="J10345" s="90"/>
    </row>
    <row r="10346" spans="1:10" s="15" customFormat="1" ht="16.5" hidden="1" customHeight="1" outlineLevel="1" x14ac:dyDescent="0.25">
      <c r="A10346" s="18">
        <v>3470</v>
      </c>
      <c r="B10346" s="4" t="s">
        <v>44</v>
      </c>
      <c r="C10346" s="38" t="s">
        <v>5397</v>
      </c>
      <c r="D10346" s="18">
        <v>2022</v>
      </c>
      <c r="E10346" s="18" t="s">
        <v>0</v>
      </c>
      <c r="F10346" s="41">
        <v>1</v>
      </c>
      <c r="G10346" s="4">
        <v>2.8</v>
      </c>
      <c r="H10346" s="18">
        <f t="shared" si="10"/>
        <v>17.467280000000002</v>
      </c>
      <c r="I10346" s="90"/>
      <c r="J10346" s="90"/>
    </row>
    <row r="10347" spans="1:10" s="15" customFormat="1" ht="16.5" hidden="1" customHeight="1" outlineLevel="1" x14ac:dyDescent="0.25">
      <c r="A10347" s="18">
        <v>3471</v>
      </c>
      <c r="B10347" s="4" t="s">
        <v>44</v>
      </c>
      <c r="C10347" s="38" t="s">
        <v>5398</v>
      </c>
      <c r="D10347" s="18">
        <v>2022</v>
      </c>
      <c r="E10347" s="18" t="s">
        <v>0</v>
      </c>
      <c r="F10347" s="41">
        <v>1</v>
      </c>
      <c r="G10347" s="4">
        <v>2.7</v>
      </c>
      <c r="H10347" s="18">
        <f t="shared" si="10"/>
        <v>17.467280000000002</v>
      </c>
      <c r="I10347" s="90"/>
      <c r="J10347" s="90"/>
    </row>
    <row r="10348" spans="1:10" s="15" customFormat="1" ht="16.5" hidden="1" customHeight="1" outlineLevel="1" x14ac:dyDescent="0.25">
      <c r="A10348" s="18">
        <v>3472</v>
      </c>
      <c r="B10348" s="4" t="s">
        <v>44</v>
      </c>
      <c r="C10348" s="38" t="s">
        <v>5399</v>
      </c>
      <c r="D10348" s="18">
        <v>2022</v>
      </c>
      <c r="E10348" s="18" t="s">
        <v>0</v>
      </c>
      <c r="F10348" s="41">
        <v>1</v>
      </c>
      <c r="G10348" s="4">
        <v>6</v>
      </c>
      <c r="H10348" s="18">
        <f t="shared" si="10"/>
        <v>17.467280000000002</v>
      </c>
      <c r="I10348" s="90"/>
      <c r="J10348" s="90"/>
    </row>
    <row r="10349" spans="1:10" s="15" customFormat="1" ht="16.5" hidden="1" customHeight="1" outlineLevel="1" x14ac:dyDescent="0.25">
      <c r="A10349" s="18">
        <v>3473</v>
      </c>
      <c r="B10349" s="4" t="s">
        <v>44</v>
      </c>
      <c r="C10349" s="38" t="s">
        <v>5400</v>
      </c>
      <c r="D10349" s="18">
        <v>2022</v>
      </c>
      <c r="E10349" s="18" t="s">
        <v>0</v>
      </c>
      <c r="F10349" s="41">
        <v>1</v>
      </c>
      <c r="G10349" s="4">
        <v>15</v>
      </c>
      <c r="H10349" s="18">
        <f t="shared" si="10"/>
        <v>17.467280000000002</v>
      </c>
      <c r="I10349" s="90"/>
      <c r="J10349" s="90"/>
    </row>
    <row r="10350" spans="1:10" s="15" customFormat="1" ht="16.5" hidden="1" customHeight="1" outlineLevel="1" x14ac:dyDescent="0.25">
      <c r="A10350" s="18">
        <v>3476</v>
      </c>
      <c r="B10350" s="4" t="s">
        <v>44</v>
      </c>
      <c r="C10350" s="38" t="s">
        <v>5401</v>
      </c>
      <c r="D10350" s="18">
        <v>2022</v>
      </c>
      <c r="E10350" s="18" t="s">
        <v>0</v>
      </c>
      <c r="F10350" s="41">
        <v>1</v>
      </c>
      <c r="G10350" s="4">
        <v>15</v>
      </c>
      <c r="H10350" s="18">
        <f t="shared" si="10"/>
        <v>17.467280000000002</v>
      </c>
      <c r="I10350" s="90"/>
      <c r="J10350" s="90"/>
    </row>
    <row r="10351" spans="1:10" s="15" customFormat="1" ht="16.5" hidden="1" customHeight="1" outlineLevel="1" x14ac:dyDescent="0.25">
      <c r="A10351" s="18">
        <v>3477</v>
      </c>
      <c r="B10351" s="4" t="s">
        <v>44</v>
      </c>
      <c r="C10351" s="38" t="s">
        <v>5402</v>
      </c>
      <c r="D10351" s="18">
        <v>2022</v>
      </c>
      <c r="E10351" s="18" t="s">
        <v>0</v>
      </c>
      <c r="F10351" s="41">
        <v>1</v>
      </c>
      <c r="G10351" s="4">
        <v>12</v>
      </c>
      <c r="H10351" s="18">
        <f>0.01746729*(1000)</f>
        <v>17.467289999999998</v>
      </c>
      <c r="I10351" s="90"/>
      <c r="J10351" s="90"/>
    </row>
    <row r="10352" spans="1:10" s="15" customFormat="1" ht="16.5" hidden="1" customHeight="1" outlineLevel="1" x14ac:dyDescent="0.25">
      <c r="A10352" s="18">
        <v>3481</v>
      </c>
      <c r="B10352" s="4" t="s">
        <v>44</v>
      </c>
      <c r="C10352" s="38" t="s">
        <v>5403</v>
      </c>
      <c r="D10352" s="18">
        <v>2022</v>
      </c>
      <c r="E10352" s="18" t="s">
        <v>0</v>
      </c>
      <c r="F10352" s="41">
        <v>1</v>
      </c>
      <c r="G10352" s="4">
        <v>15</v>
      </c>
      <c r="H10352" s="18">
        <f>0.01747233*(1000)</f>
        <v>17.472329999999999</v>
      </c>
      <c r="I10352" s="90"/>
      <c r="J10352" s="90"/>
    </row>
    <row r="10353" spans="1:10" s="15" customFormat="1" ht="16.5" hidden="1" customHeight="1" outlineLevel="1" x14ac:dyDescent="0.25">
      <c r="A10353" s="18">
        <v>3483</v>
      </c>
      <c r="B10353" s="4" t="s">
        <v>44</v>
      </c>
      <c r="C10353" s="38" t="s">
        <v>5404</v>
      </c>
      <c r="D10353" s="18">
        <v>2022</v>
      </c>
      <c r="E10353" s="18" t="s">
        <v>0</v>
      </c>
      <c r="F10353" s="41">
        <v>1</v>
      </c>
      <c r="G10353" s="4">
        <v>12</v>
      </c>
      <c r="H10353" s="18">
        <f>0.01739478*(1000)</f>
        <v>17.394779999999997</v>
      </c>
      <c r="I10353" s="90"/>
      <c r="J10353" s="90"/>
    </row>
    <row r="10354" spans="1:10" s="15" customFormat="1" ht="16.5" hidden="1" customHeight="1" outlineLevel="1" x14ac:dyDescent="0.25">
      <c r="A10354" s="18">
        <v>3485</v>
      </c>
      <c r="B10354" s="4" t="s">
        <v>44</v>
      </c>
      <c r="C10354" s="38" t="s">
        <v>5405</v>
      </c>
      <c r="D10354" s="18">
        <v>2022</v>
      </c>
      <c r="E10354" s="18" t="s">
        <v>0</v>
      </c>
      <c r="F10354" s="41">
        <v>1</v>
      </c>
      <c r="G10354" s="4">
        <v>12</v>
      </c>
      <c r="H10354" s="18">
        <f>0.01747234*(1000)</f>
        <v>17.472339999999999</v>
      </c>
      <c r="I10354" s="90"/>
      <c r="J10354" s="90"/>
    </row>
    <row r="10355" spans="1:10" s="15" customFormat="1" ht="16.5" hidden="1" customHeight="1" outlineLevel="1" x14ac:dyDescent="0.25">
      <c r="A10355" s="18">
        <v>3488</v>
      </c>
      <c r="B10355" s="4" t="s">
        <v>44</v>
      </c>
      <c r="C10355" s="38" t="s">
        <v>5406</v>
      </c>
      <c r="D10355" s="18">
        <v>2022</v>
      </c>
      <c r="E10355" s="18" t="s">
        <v>0</v>
      </c>
      <c r="F10355" s="41">
        <v>1</v>
      </c>
      <c r="G10355" s="4">
        <v>14</v>
      </c>
      <c r="H10355" s="18">
        <f>0.01747233*(1000)</f>
        <v>17.472329999999999</v>
      </c>
      <c r="I10355" s="90"/>
      <c r="J10355" s="90"/>
    </row>
    <row r="10356" spans="1:10" s="15" customFormat="1" ht="16.5" hidden="1" customHeight="1" outlineLevel="1" x14ac:dyDescent="0.25">
      <c r="A10356" s="18">
        <v>3489</v>
      </c>
      <c r="B10356" s="4" t="s">
        <v>44</v>
      </c>
      <c r="C10356" s="38" t="s">
        <v>5407</v>
      </c>
      <c r="D10356" s="18">
        <v>2022</v>
      </c>
      <c r="E10356" s="18" t="s">
        <v>0</v>
      </c>
      <c r="F10356" s="41">
        <v>1</v>
      </c>
      <c r="G10356" s="4">
        <v>112</v>
      </c>
      <c r="H10356" s="18">
        <f>0.02621273*(1000)</f>
        <v>26.212730000000001</v>
      </c>
      <c r="I10356" s="90"/>
      <c r="J10356" s="90"/>
    </row>
    <row r="10357" spans="1:10" s="15" customFormat="1" ht="16.5" hidden="1" customHeight="1" outlineLevel="1" x14ac:dyDescent="0.25">
      <c r="A10357" s="18">
        <v>3490</v>
      </c>
      <c r="B10357" s="4" t="s">
        <v>44</v>
      </c>
      <c r="C10357" s="38" t="s">
        <v>5408</v>
      </c>
      <c r="D10357" s="18">
        <v>2022</v>
      </c>
      <c r="E10357" s="18" t="s">
        <v>0</v>
      </c>
      <c r="F10357" s="41">
        <v>1</v>
      </c>
      <c r="G10357" s="4">
        <v>15</v>
      </c>
      <c r="H10357" s="18">
        <f>0.01747233*(1000)</f>
        <v>17.472329999999999</v>
      </c>
      <c r="I10357" s="90"/>
      <c r="J10357" s="90"/>
    </row>
    <row r="10358" spans="1:10" s="15" customFormat="1" ht="16.5" hidden="1" customHeight="1" outlineLevel="1" x14ac:dyDescent="0.25">
      <c r="A10358" s="18">
        <v>3494</v>
      </c>
      <c r="B10358" s="4" t="s">
        <v>44</v>
      </c>
      <c r="C10358" s="38" t="s">
        <v>5409</v>
      </c>
      <c r="D10358" s="18">
        <v>2022</v>
      </c>
      <c r="E10358" s="18" t="s">
        <v>0</v>
      </c>
      <c r="F10358" s="41">
        <v>1</v>
      </c>
      <c r="G10358" s="4">
        <v>11</v>
      </c>
      <c r="H10358" s="18">
        <f>0.01747232*(1000)</f>
        <v>17.47232</v>
      </c>
      <c r="I10358" s="90"/>
      <c r="J10358" s="90"/>
    </row>
    <row r="10359" spans="1:10" s="15" customFormat="1" ht="16.5" hidden="1" customHeight="1" outlineLevel="1" x14ac:dyDescent="0.25">
      <c r="A10359" s="18">
        <v>3495</v>
      </c>
      <c r="B10359" s="4" t="s">
        <v>44</v>
      </c>
      <c r="C10359" s="38" t="s">
        <v>5410</v>
      </c>
      <c r="D10359" s="18">
        <v>2022</v>
      </c>
      <c r="E10359" s="18" t="s">
        <v>0</v>
      </c>
      <c r="F10359" s="41">
        <v>1</v>
      </c>
      <c r="G10359" s="4">
        <v>7</v>
      </c>
      <c r="H10359" s="18">
        <f>0.01747234*(1000)</f>
        <v>17.472339999999999</v>
      </c>
      <c r="I10359" s="90"/>
      <c r="J10359" s="90"/>
    </row>
    <row r="10360" spans="1:10" s="15" customFormat="1" ht="16.5" hidden="1" customHeight="1" outlineLevel="1" x14ac:dyDescent="0.25">
      <c r="A10360" s="18">
        <v>3496</v>
      </c>
      <c r="B10360" s="4" t="s">
        <v>44</v>
      </c>
      <c r="C10360" s="38" t="s">
        <v>5411</v>
      </c>
      <c r="D10360" s="18">
        <v>2022</v>
      </c>
      <c r="E10360" s="18" t="s">
        <v>0</v>
      </c>
      <c r="F10360" s="41">
        <v>1</v>
      </c>
      <c r="G10360" s="4">
        <v>12</v>
      </c>
      <c r="H10360" s="18">
        <f>0.01747232*(1000)</f>
        <v>17.47232</v>
      </c>
      <c r="I10360" s="90"/>
      <c r="J10360" s="90"/>
    </row>
    <row r="10361" spans="1:10" s="15" customFormat="1" ht="16.5" hidden="1" customHeight="1" outlineLevel="1" x14ac:dyDescent="0.25">
      <c r="A10361" s="18">
        <v>3497</v>
      </c>
      <c r="B10361" s="4" t="s">
        <v>44</v>
      </c>
      <c r="C10361" s="38" t="s">
        <v>5412</v>
      </c>
      <c r="D10361" s="18">
        <v>2022</v>
      </c>
      <c r="E10361" s="18" t="s">
        <v>0</v>
      </c>
      <c r="F10361" s="41">
        <v>1</v>
      </c>
      <c r="G10361" s="4">
        <v>10</v>
      </c>
      <c r="H10361" s="18">
        <f>0.01747234*(1000)</f>
        <v>17.472339999999999</v>
      </c>
      <c r="I10361" s="90"/>
      <c r="J10361" s="90"/>
    </row>
    <row r="10362" spans="1:10" s="15" customFormat="1" ht="16.5" hidden="1" customHeight="1" outlineLevel="1" x14ac:dyDescent="0.25">
      <c r="A10362" s="18">
        <v>3498</v>
      </c>
      <c r="B10362" s="4" t="s">
        <v>44</v>
      </c>
      <c r="C10362" s="38" t="s">
        <v>5413</v>
      </c>
      <c r="D10362" s="18">
        <v>2022</v>
      </c>
      <c r="E10362" s="18" t="s">
        <v>0</v>
      </c>
      <c r="F10362" s="41">
        <v>1</v>
      </c>
      <c r="G10362" s="4">
        <v>15</v>
      </c>
      <c r="H10362" s="18">
        <f>0.01747232*(1000)</f>
        <v>17.47232</v>
      </c>
      <c r="I10362" s="90"/>
      <c r="J10362" s="90"/>
    </row>
    <row r="10363" spans="1:10" s="15" customFormat="1" ht="16.5" hidden="1" customHeight="1" outlineLevel="1" x14ac:dyDescent="0.25">
      <c r="A10363" s="18">
        <v>3503</v>
      </c>
      <c r="B10363" s="4" t="s">
        <v>44</v>
      </c>
      <c r="C10363" s="38" t="s">
        <v>5414</v>
      </c>
      <c r="D10363" s="18">
        <v>2022</v>
      </c>
      <c r="E10363" s="18" t="s">
        <v>0</v>
      </c>
      <c r="F10363" s="41">
        <v>1</v>
      </c>
      <c r="G10363" s="4">
        <v>15</v>
      </c>
      <c r="H10363" s="18">
        <f>0.01747234*(1000)</f>
        <v>17.472339999999999</v>
      </c>
      <c r="I10363" s="90"/>
      <c r="J10363" s="90"/>
    </row>
    <row r="10364" spans="1:10" s="15" customFormat="1" ht="16.5" hidden="1" customHeight="1" outlineLevel="1" x14ac:dyDescent="0.25">
      <c r="A10364" s="18">
        <v>3504</v>
      </c>
      <c r="B10364" s="4" t="s">
        <v>44</v>
      </c>
      <c r="C10364" s="38" t="s">
        <v>5415</v>
      </c>
      <c r="D10364" s="18">
        <v>2022</v>
      </c>
      <c r="E10364" s="18" t="s">
        <v>0</v>
      </c>
      <c r="F10364" s="41">
        <v>1</v>
      </c>
      <c r="G10364" s="4">
        <v>10</v>
      </c>
      <c r="H10364" s="18">
        <f>0.01747233*(1000)</f>
        <v>17.472329999999999</v>
      </c>
      <c r="I10364" s="90"/>
      <c r="J10364" s="90"/>
    </row>
    <row r="10365" spans="1:10" s="15" customFormat="1" ht="16.5" hidden="1" customHeight="1" outlineLevel="1" x14ac:dyDescent="0.25">
      <c r="A10365" s="18">
        <v>3505</v>
      </c>
      <c r="B10365" s="4" t="s">
        <v>44</v>
      </c>
      <c r="C10365" s="38" t="s">
        <v>5416</v>
      </c>
      <c r="D10365" s="18">
        <v>2022</v>
      </c>
      <c r="E10365" s="18" t="s">
        <v>0</v>
      </c>
      <c r="F10365" s="41">
        <v>1</v>
      </c>
      <c r="G10365" s="4">
        <v>10</v>
      </c>
      <c r="H10365" s="18">
        <f>0.01747234*(1000)</f>
        <v>17.472339999999999</v>
      </c>
      <c r="I10365" s="90"/>
      <c r="J10365" s="90"/>
    </row>
    <row r="10366" spans="1:10" s="15" customFormat="1" ht="16.5" hidden="1" customHeight="1" outlineLevel="1" x14ac:dyDescent="0.25">
      <c r="A10366" s="18">
        <v>3506</v>
      </c>
      <c r="B10366" s="4" t="s">
        <v>44</v>
      </c>
      <c r="C10366" s="38" t="s">
        <v>5417</v>
      </c>
      <c r="D10366" s="18">
        <v>2022</v>
      </c>
      <c r="E10366" s="18" t="s">
        <v>0</v>
      </c>
      <c r="F10366" s="41">
        <v>1</v>
      </c>
      <c r="G10366" s="4">
        <v>14.5</v>
      </c>
      <c r="H10366" s="18">
        <f>0.01747232*(1000)</f>
        <v>17.47232</v>
      </c>
      <c r="I10366" s="90"/>
      <c r="J10366" s="90"/>
    </row>
    <row r="10367" spans="1:10" s="15" customFormat="1" ht="16.5" hidden="1" customHeight="1" outlineLevel="1" x14ac:dyDescent="0.25">
      <c r="A10367" s="18">
        <v>3508</v>
      </c>
      <c r="B10367" s="4" t="s">
        <v>44</v>
      </c>
      <c r="C10367" s="38" t="s">
        <v>5418</v>
      </c>
      <c r="D10367" s="18">
        <v>2022</v>
      </c>
      <c r="E10367" s="18" t="s">
        <v>0</v>
      </c>
      <c r="F10367" s="41">
        <v>1</v>
      </c>
      <c r="G10367" s="4">
        <v>15</v>
      </c>
      <c r="H10367" s="18">
        <f>0.01747232*(1000)</f>
        <v>17.47232</v>
      </c>
      <c r="I10367" s="90"/>
      <c r="J10367" s="90"/>
    </row>
    <row r="10368" spans="1:10" s="15" customFormat="1" ht="16.5" hidden="1" customHeight="1" outlineLevel="1" x14ac:dyDescent="0.25">
      <c r="A10368" s="18">
        <v>3510</v>
      </c>
      <c r="B10368" s="4" t="s">
        <v>44</v>
      </c>
      <c r="C10368" s="38" t="s">
        <v>5419</v>
      </c>
      <c r="D10368" s="18">
        <v>2022</v>
      </c>
      <c r="E10368" s="18" t="s">
        <v>0</v>
      </c>
      <c r="F10368" s="41">
        <v>1</v>
      </c>
      <c r="G10368" s="4">
        <v>15</v>
      </c>
      <c r="H10368" s="18">
        <f>0.01747232*(1000)</f>
        <v>17.47232</v>
      </c>
      <c r="I10368" s="90"/>
      <c r="J10368" s="90"/>
    </row>
    <row r="10369" spans="1:10" s="15" customFormat="1" ht="16.5" hidden="1" customHeight="1" outlineLevel="1" x14ac:dyDescent="0.25">
      <c r="A10369" s="18">
        <v>3512</v>
      </c>
      <c r="B10369" s="4" t="s">
        <v>44</v>
      </c>
      <c r="C10369" s="38" t="s">
        <v>5420</v>
      </c>
      <c r="D10369" s="18">
        <v>2022</v>
      </c>
      <c r="E10369" s="18" t="s">
        <v>0</v>
      </c>
      <c r="F10369" s="41">
        <v>1</v>
      </c>
      <c r="G10369" s="4">
        <v>12</v>
      </c>
      <c r="H10369" s="18">
        <f>0.01747233*(1000)</f>
        <v>17.472329999999999</v>
      </c>
      <c r="I10369" s="90"/>
      <c r="J10369" s="90"/>
    </row>
    <row r="10370" spans="1:10" s="15" customFormat="1" ht="16.5" hidden="1" customHeight="1" outlineLevel="1" x14ac:dyDescent="0.25">
      <c r="A10370" s="18">
        <v>3513</v>
      </c>
      <c r="B10370" s="4" t="s">
        <v>44</v>
      </c>
      <c r="C10370" s="38" t="s">
        <v>5421</v>
      </c>
      <c r="D10370" s="18">
        <v>2022</v>
      </c>
      <c r="E10370" s="18" t="s">
        <v>0</v>
      </c>
      <c r="F10370" s="41">
        <v>1</v>
      </c>
      <c r="G10370" s="4">
        <v>6.6</v>
      </c>
      <c r="H10370" s="18">
        <f>0.01190236*(1000)</f>
        <v>11.902360000000002</v>
      </c>
      <c r="I10370" s="90"/>
      <c r="J10370" s="90"/>
    </row>
    <row r="10371" spans="1:10" s="15" customFormat="1" ht="16.5" hidden="1" customHeight="1" outlineLevel="1" x14ac:dyDescent="0.25">
      <c r="A10371" s="18">
        <v>3514</v>
      </c>
      <c r="B10371" s="4" t="s">
        <v>44</v>
      </c>
      <c r="C10371" s="38" t="s">
        <v>5422</v>
      </c>
      <c r="D10371" s="18">
        <v>2022</v>
      </c>
      <c r="E10371" s="18" t="s">
        <v>0</v>
      </c>
      <c r="F10371" s="41">
        <v>1</v>
      </c>
      <c r="G10371" s="4">
        <v>3.5</v>
      </c>
      <c r="H10371" s="18">
        <f>0.01747231*(1000)</f>
        <v>17.47231</v>
      </c>
      <c r="I10371" s="90"/>
      <c r="J10371" s="90"/>
    </row>
    <row r="10372" spans="1:10" s="15" customFormat="1" ht="16.5" hidden="1" customHeight="1" outlineLevel="1" x14ac:dyDescent="0.25">
      <c r="A10372" s="18">
        <v>3517</v>
      </c>
      <c r="B10372" s="4" t="s">
        <v>44</v>
      </c>
      <c r="C10372" s="38" t="s">
        <v>5423</v>
      </c>
      <c r="D10372" s="18">
        <v>2022</v>
      </c>
      <c r="E10372" s="18" t="s">
        <v>0</v>
      </c>
      <c r="F10372" s="41">
        <v>1</v>
      </c>
      <c r="G10372" s="4">
        <v>7</v>
      </c>
      <c r="H10372" s="18">
        <f>0.01747235*(1000)</f>
        <v>17.472350000000002</v>
      </c>
      <c r="I10372" s="90"/>
      <c r="J10372" s="90"/>
    </row>
    <row r="10373" spans="1:10" s="15" customFormat="1" ht="16.5" hidden="1" customHeight="1" outlineLevel="1" x14ac:dyDescent="0.25">
      <c r="A10373" s="18">
        <v>3518</v>
      </c>
      <c r="B10373" s="4" t="s">
        <v>44</v>
      </c>
      <c r="C10373" s="38" t="s">
        <v>5424</v>
      </c>
      <c r="D10373" s="18">
        <v>2022</v>
      </c>
      <c r="E10373" s="18" t="s">
        <v>0</v>
      </c>
      <c r="F10373" s="41">
        <v>1</v>
      </c>
      <c r="G10373" s="4">
        <v>2</v>
      </c>
      <c r="H10373" s="18">
        <f>0.01747231*(1000)</f>
        <v>17.47231</v>
      </c>
      <c r="I10373" s="90"/>
      <c r="J10373" s="90"/>
    </row>
    <row r="10374" spans="1:10" s="15" customFormat="1" ht="16.5" hidden="1" customHeight="1" outlineLevel="1" x14ac:dyDescent="0.25">
      <c r="A10374" s="18">
        <v>3519</v>
      </c>
      <c r="B10374" s="4" t="s">
        <v>44</v>
      </c>
      <c r="C10374" s="38" t="s">
        <v>5425</v>
      </c>
      <c r="D10374" s="18">
        <v>2022</v>
      </c>
      <c r="E10374" s="18" t="s">
        <v>0</v>
      </c>
      <c r="F10374" s="41">
        <v>1</v>
      </c>
      <c r="G10374" s="4">
        <v>2</v>
      </c>
      <c r="H10374" s="18">
        <f>0.01747234*(1000)</f>
        <v>17.472339999999999</v>
      </c>
      <c r="I10374" s="90"/>
      <c r="J10374" s="90"/>
    </row>
    <row r="10375" spans="1:10" s="15" customFormat="1" ht="16.5" hidden="1" customHeight="1" outlineLevel="1" x14ac:dyDescent="0.25">
      <c r="A10375" s="18">
        <v>3523</v>
      </c>
      <c r="B10375" s="4" t="s">
        <v>44</v>
      </c>
      <c r="C10375" s="38" t="s">
        <v>5426</v>
      </c>
      <c r="D10375" s="18">
        <v>2022</v>
      </c>
      <c r="E10375" s="18" t="s">
        <v>0</v>
      </c>
      <c r="F10375" s="41">
        <v>1</v>
      </c>
      <c r="G10375" s="4">
        <v>15</v>
      </c>
      <c r="H10375" s="18">
        <f>0.01747235*(1000)</f>
        <v>17.472350000000002</v>
      </c>
      <c r="I10375" s="90"/>
      <c r="J10375" s="90"/>
    </row>
    <row r="10376" spans="1:10" s="15" customFormat="1" ht="16.5" hidden="1" customHeight="1" outlineLevel="1" x14ac:dyDescent="0.25">
      <c r="A10376" s="18">
        <v>3524</v>
      </c>
      <c r="B10376" s="4" t="s">
        <v>44</v>
      </c>
      <c r="C10376" s="38" t="s">
        <v>5427</v>
      </c>
      <c r="D10376" s="18">
        <v>2022</v>
      </c>
      <c r="E10376" s="18" t="s">
        <v>0</v>
      </c>
      <c r="F10376" s="41">
        <v>1</v>
      </c>
      <c r="G10376" s="4">
        <v>15</v>
      </c>
      <c r="H10376" s="18">
        <f>0.01743872*(1000)</f>
        <v>17.43872</v>
      </c>
      <c r="I10376" s="90"/>
      <c r="J10376" s="90"/>
    </row>
    <row r="10377" spans="1:10" s="15" customFormat="1" ht="16.5" hidden="1" customHeight="1" outlineLevel="1" x14ac:dyDescent="0.25">
      <c r="A10377" s="18">
        <v>3525</v>
      </c>
      <c r="B10377" s="4" t="s">
        <v>44</v>
      </c>
      <c r="C10377" s="38" t="s">
        <v>5428</v>
      </c>
      <c r="D10377" s="18">
        <v>2022</v>
      </c>
      <c r="E10377" s="18" t="s">
        <v>0</v>
      </c>
      <c r="F10377" s="41">
        <v>1</v>
      </c>
      <c r="G10377" s="4">
        <v>15</v>
      </c>
      <c r="H10377" s="18">
        <f>0.01740798*(1000)</f>
        <v>17.407979999999998</v>
      </c>
      <c r="I10377" s="90"/>
      <c r="J10377" s="90"/>
    </row>
    <row r="10378" spans="1:10" s="15" customFormat="1" ht="16.5" hidden="1" customHeight="1" outlineLevel="1" x14ac:dyDescent="0.25">
      <c r="A10378" s="18">
        <v>3527</v>
      </c>
      <c r="B10378" s="4" t="s">
        <v>44</v>
      </c>
      <c r="C10378" s="38" t="s">
        <v>5429</v>
      </c>
      <c r="D10378" s="18">
        <v>2022</v>
      </c>
      <c r="E10378" s="18" t="s">
        <v>0</v>
      </c>
      <c r="F10378" s="41">
        <v>1</v>
      </c>
      <c r="G10378" s="4">
        <v>15</v>
      </c>
      <c r="H10378" s="18">
        <f>0.01740797*(1000)</f>
        <v>17.407969999999999</v>
      </c>
      <c r="I10378" s="90"/>
      <c r="J10378" s="90"/>
    </row>
    <row r="10379" spans="1:10" s="15" customFormat="1" ht="16.5" hidden="1" customHeight="1" outlineLevel="1" x14ac:dyDescent="0.25">
      <c r="A10379" s="18">
        <v>3530</v>
      </c>
      <c r="B10379" s="4" t="s">
        <v>44</v>
      </c>
      <c r="C10379" s="38" t="s">
        <v>5430</v>
      </c>
      <c r="D10379" s="18">
        <v>2022</v>
      </c>
      <c r="E10379" s="18" t="s">
        <v>0</v>
      </c>
      <c r="F10379" s="41">
        <v>1</v>
      </c>
      <c r="G10379" s="4">
        <v>15</v>
      </c>
      <c r="H10379" s="18">
        <f>0.01740795*(1000)</f>
        <v>17.40795</v>
      </c>
      <c r="I10379" s="90"/>
      <c r="J10379" s="90"/>
    </row>
    <row r="10380" spans="1:10" s="15" customFormat="1" ht="16.5" hidden="1" customHeight="1" outlineLevel="1" x14ac:dyDescent="0.25">
      <c r="A10380" s="18">
        <v>3531</v>
      </c>
      <c r="B10380" s="4" t="s">
        <v>44</v>
      </c>
      <c r="C10380" s="38" t="s">
        <v>5431</v>
      </c>
      <c r="D10380" s="18">
        <v>2022</v>
      </c>
      <c r="E10380" s="18" t="s">
        <v>0</v>
      </c>
      <c r="F10380" s="41">
        <v>1</v>
      </c>
      <c r="G10380" s="4">
        <v>15</v>
      </c>
      <c r="H10380" s="18">
        <f>0.01183801*(1000)</f>
        <v>11.838009999999999</v>
      </c>
      <c r="I10380" s="90"/>
      <c r="J10380" s="90"/>
    </row>
    <row r="10381" spans="1:10" s="15" customFormat="1" ht="16.5" hidden="1" customHeight="1" outlineLevel="1" x14ac:dyDescent="0.25">
      <c r="A10381" s="18">
        <v>3534</v>
      </c>
      <c r="B10381" s="4" t="s">
        <v>44</v>
      </c>
      <c r="C10381" s="38" t="s">
        <v>5432</v>
      </c>
      <c r="D10381" s="18">
        <v>2022</v>
      </c>
      <c r="E10381" s="18" t="s">
        <v>0</v>
      </c>
      <c r="F10381" s="41">
        <v>1</v>
      </c>
      <c r="G10381" s="4">
        <v>15</v>
      </c>
      <c r="H10381" s="18">
        <f>0.01740795*(1000)</f>
        <v>17.40795</v>
      </c>
      <c r="I10381" s="90"/>
      <c r="J10381" s="90"/>
    </row>
    <row r="10382" spans="1:10" s="15" customFormat="1" ht="16.5" hidden="1" customHeight="1" outlineLevel="1" x14ac:dyDescent="0.25">
      <c r="A10382" s="18">
        <v>3535</v>
      </c>
      <c r="B10382" s="4" t="s">
        <v>44</v>
      </c>
      <c r="C10382" s="38" t="s">
        <v>5433</v>
      </c>
      <c r="D10382" s="18">
        <v>2022</v>
      </c>
      <c r="E10382" s="18" t="s">
        <v>0</v>
      </c>
      <c r="F10382" s="41">
        <v>1</v>
      </c>
      <c r="G10382" s="4">
        <v>15</v>
      </c>
      <c r="H10382" s="18">
        <f>0.01740797*(1000)</f>
        <v>17.407969999999999</v>
      </c>
      <c r="I10382" s="90"/>
      <c r="J10382" s="90"/>
    </row>
    <row r="10383" spans="1:10" s="15" customFormat="1" ht="16.5" hidden="1" customHeight="1" outlineLevel="1" x14ac:dyDescent="0.25">
      <c r="A10383" s="18">
        <v>3538</v>
      </c>
      <c r="B10383" s="4" t="s">
        <v>44</v>
      </c>
      <c r="C10383" s="38" t="s">
        <v>5434</v>
      </c>
      <c r="D10383" s="18">
        <v>2022</v>
      </c>
      <c r="E10383" s="18" t="s">
        <v>0</v>
      </c>
      <c r="F10383" s="41">
        <v>1</v>
      </c>
      <c r="G10383" s="4">
        <v>12</v>
      </c>
      <c r="H10383" s="18">
        <f>0.01740795*(1000)</f>
        <v>17.40795</v>
      </c>
      <c r="I10383" s="90"/>
      <c r="J10383" s="90"/>
    </row>
    <row r="10384" spans="1:10" s="15" customFormat="1" ht="16.5" hidden="1" customHeight="1" outlineLevel="1" x14ac:dyDescent="0.25">
      <c r="A10384" s="18">
        <v>3539</v>
      </c>
      <c r="B10384" s="4" t="s">
        <v>44</v>
      </c>
      <c r="C10384" s="38" t="s">
        <v>5435</v>
      </c>
      <c r="D10384" s="18">
        <v>2022</v>
      </c>
      <c r="E10384" s="18" t="s">
        <v>0</v>
      </c>
      <c r="F10384" s="41">
        <v>1</v>
      </c>
      <c r="G10384" s="4">
        <v>12</v>
      </c>
      <c r="H10384" s="18">
        <f>0.01740799*(1000)</f>
        <v>17.407990000000002</v>
      </c>
      <c r="I10384" s="90"/>
      <c r="J10384" s="90"/>
    </row>
    <row r="10385" spans="1:10" s="15" customFormat="1" ht="16.5" hidden="1" customHeight="1" outlineLevel="1" x14ac:dyDescent="0.25">
      <c r="A10385" s="18">
        <v>3540</v>
      </c>
      <c r="B10385" s="4" t="s">
        <v>44</v>
      </c>
      <c r="C10385" s="38" t="s">
        <v>5436</v>
      </c>
      <c r="D10385" s="18">
        <v>2022</v>
      </c>
      <c r="E10385" s="18" t="s">
        <v>0</v>
      </c>
      <c r="F10385" s="41">
        <v>1</v>
      </c>
      <c r="G10385" s="4">
        <v>15</v>
      </c>
      <c r="H10385" s="18">
        <f>0.01742173*(1000)</f>
        <v>17.42173</v>
      </c>
      <c r="I10385" s="90"/>
      <c r="J10385" s="90"/>
    </row>
    <row r="10386" spans="1:10" s="15" customFormat="1" ht="16.5" hidden="1" customHeight="1" outlineLevel="1" x14ac:dyDescent="0.25">
      <c r="A10386" s="18">
        <v>3541</v>
      </c>
      <c r="B10386" s="4" t="s">
        <v>44</v>
      </c>
      <c r="C10386" s="38" t="s">
        <v>5437</v>
      </c>
      <c r="D10386" s="18">
        <v>2022</v>
      </c>
      <c r="E10386" s="18" t="s">
        <v>0</v>
      </c>
      <c r="F10386" s="41">
        <v>1</v>
      </c>
      <c r="G10386" s="4">
        <v>15</v>
      </c>
      <c r="H10386" s="18">
        <f>0.02957974*(1000)</f>
        <v>29.579740000000001</v>
      </c>
      <c r="I10386" s="90"/>
      <c r="J10386" s="90"/>
    </row>
    <row r="10387" spans="1:10" s="15" customFormat="1" ht="16.5" hidden="1" customHeight="1" outlineLevel="1" x14ac:dyDescent="0.25">
      <c r="A10387" s="18">
        <v>3542</v>
      </c>
      <c r="B10387" s="4" t="s">
        <v>44</v>
      </c>
      <c r="C10387" s="38" t="s">
        <v>5438</v>
      </c>
      <c r="D10387" s="18">
        <v>2022</v>
      </c>
      <c r="E10387" s="18" t="s">
        <v>0</v>
      </c>
      <c r="F10387" s="41">
        <v>1</v>
      </c>
      <c r="G10387" s="4">
        <v>10</v>
      </c>
      <c r="H10387" s="18">
        <f>0.01744246*(1000)</f>
        <v>17.442460000000001</v>
      </c>
      <c r="I10387" s="90"/>
      <c r="J10387" s="90"/>
    </row>
    <row r="10388" spans="1:10" s="15" customFormat="1" ht="16.5" hidden="1" customHeight="1" outlineLevel="1" x14ac:dyDescent="0.25">
      <c r="A10388" s="18">
        <v>3547</v>
      </c>
      <c r="B10388" s="4" t="s">
        <v>44</v>
      </c>
      <c r="C10388" s="38" t="s">
        <v>5439</v>
      </c>
      <c r="D10388" s="18">
        <v>2022</v>
      </c>
      <c r="E10388" s="18" t="s">
        <v>0</v>
      </c>
      <c r="F10388" s="41">
        <v>1</v>
      </c>
      <c r="G10388" s="4">
        <v>15</v>
      </c>
      <c r="H10388" s="18">
        <f>0.01044191*(1000)</f>
        <v>10.44191</v>
      </c>
      <c r="I10388" s="90"/>
      <c r="J10388" s="90"/>
    </row>
    <row r="10389" spans="1:10" s="15" customFormat="1" ht="16.5" hidden="1" customHeight="1" outlineLevel="1" x14ac:dyDescent="0.25">
      <c r="A10389" s="18">
        <v>3548</v>
      </c>
      <c r="B10389" s="4" t="s">
        <v>44</v>
      </c>
      <c r="C10389" s="38" t="s">
        <v>5440</v>
      </c>
      <c r="D10389" s="18">
        <v>2022</v>
      </c>
      <c r="E10389" s="18" t="s">
        <v>0</v>
      </c>
      <c r="F10389" s="41">
        <v>1</v>
      </c>
      <c r="G10389" s="4">
        <v>10</v>
      </c>
      <c r="H10389" s="18">
        <f>0.01745139*(1000)</f>
        <v>17.45139</v>
      </c>
      <c r="I10389" s="90"/>
      <c r="J10389" s="90"/>
    </row>
    <row r="10390" spans="1:10" s="15" customFormat="1" ht="16.5" hidden="1" customHeight="1" outlineLevel="1" x14ac:dyDescent="0.25">
      <c r="A10390" s="18">
        <v>3549</v>
      </c>
      <c r="B10390" s="4" t="s">
        <v>44</v>
      </c>
      <c r="C10390" s="38" t="s">
        <v>5441</v>
      </c>
      <c r="D10390" s="18">
        <v>2022</v>
      </c>
      <c r="E10390" s="18" t="s">
        <v>0</v>
      </c>
      <c r="F10390" s="41">
        <v>1</v>
      </c>
      <c r="G10390" s="4">
        <v>7</v>
      </c>
      <c r="H10390" s="18">
        <f>0.01689689*(1000)</f>
        <v>16.896890000000003</v>
      </c>
      <c r="I10390" s="90"/>
      <c r="J10390" s="90"/>
    </row>
    <row r="10391" spans="1:10" s="15" customFormat="1" ht="16.5" hidden="1" customHeight="1" outlineLevel="1" x14ac:dyDescent="0.25">
      <c r="A10391" s="18">
        <v>3553</v>
      </c>
      <c r="B10391" s="4" t="s">
        <v>44</v>
      </c>
      <c r="C10391" s="38" t="s">
        <v>5442</v>
      </c>
      <c r="D10391" s="18">
        <v>2022</v>
      </c>
      <c r="E10391" s="18" t="s">
        <v>0</v>
      </c>
      <c r="F10391" s="41">
        <v>1</v>
      </c>
      <c r="G10391" s="4">
        <v>15</v>
      </c>
      <c r="H10391" s="18">
        <f>0.01689689*(1000)</f>
        <v>16.896890000000003</v>
      </c>
      <c r="I10391" s="90"/>
      <c r="J10391" s="90"/>
    </row>
    <row r="10392" spans="1:10" s="15" customFormat="1" ht="16.5" hidden="1" customHeight="1" outlineLevel="1" x14ac:dyDescent="0.25">
      <c r="A10392" s="18">
        <v>3557</v>
      </c>
      <c r="B10392" s="4" t="s">
        <v>44</v>
      </c>
      <c r="C10392" s="38" t="s">
        <v>5443</v>
      </c>
      <c r="D10392" s="18">
        <v>2022</v>
      </c>
      <c r="E10392" s="18" t="s">
        <v>0</v>
      </c>
      <c r="F10392" s="41">
        <v>1</v>
      </c>
      <c r="G10392" s="4">
        <v>15</v>
      </c>
      <c r="H10392" s="18">
        <f>0.01689689*(1000)</f>
        <v>16.896890000000003</v>
      </c>
      <c r="I10392" s="90"/>
      <c r="J10392" s="90"/>
    </row>
    <row r="10393" spans="1:10" s="15" customFormat="1" ht="16.5" hidden="1" customHeight="1" outlineLevel="1" x14ac:dyDescent="0.25">
      <c r="A10393" s="18">
        <v>3558</v>
      </c>
      <c r="B10393" s="4" t="s">
        <v>44</v>
      </c>
      <c r="C10393" s="38" t="s">
        <v>5444</v>
      </c>
      <c r="D10393" s="18">
        <v>2022</v>
      </c>
      <c r="E10393" s="18" t="s">
        <v>0</v>
      </c>
      <c r="F10393" s="41">
        <v>1</v>
      </c>
      <c r="G10393" s="4">
        <v>9</v>
      </c>
      <c r="H10393" s="18">
        <f>0.01689688*(1000)</f>
        <v>16.896879999999999</v>
      </c>
      <c r="I10393" s="90"/>
      <c r="J10393" s="90"/>
    </row>
    <row r="10394" spans="1:10" s="15" customFormat="1" ht="16.5" hidden="1" customHeight="1" outlineLevel="1" x14ac:dyDescent="0.25">
      <c r="A10394" s="18">
        <v>3559</v>
      </c>
      <c r="B10394" s="4" t="s">
        <v>44</v>
      </c>
      <c r="C10394" s="38" t="s">
        <v>5445</v>
      </c>
      <c r="D10394" s="18">
        <v>2022</v>
      </c>
      <c r="E10394" s="18" t="s">
        <v>0</v>
      </c>
      <c r="F10394" s="41">
        <v>1</v>
      </c>
      <c r="G10394" s="4">
        <v>127</v>
      </c>
      <c r="H10394" s="18">
        <f>0.01689689*(1000)</f>
        <v>16.896890000000003</v>
      </c>
      <c r="I10394" s="90"/>
      <c r="J10394" s="90"/>
    </row>
    <row r="10395" spans="1:10" s="15" customFormat="1" ht="16.5" hidden="1" customHeight="1" outlineLevel="1" x14ac:dyDescent="0.25">
      <c r="A10395" s="18">
        <v>3560</v>
      </c>
      <c r="B10395" s="4" t="s">
        <v>44</v>
      </c>
      <c r="C10395" s="38" t="s">
        <v>5446</v>
      </c>
      <c r="D10395" s="18">
        <v>2022</v>
      </c>
      <c r="E10395" s="18" t="s">
        <v>0</v>
      </c>
      <c r="F10395" s="41">
        <v>1</v>
      </c>
      <c r="G10395" s="4">
        <v>15</v>
      </c>
      <c r="H10395" s="18">
        <f>0.01689688*(1000)</f>
        <v>16.896879999999999</v>
      </c>
      <c r="I10395" s="90"/>
      <c r="J10395" s="90"/>
    </row>
    <row r="10396" spans="1:10" s="15" customFormat="1" ht="16.5" hidden="1" customHeight="1" outlineLevel="1" x14ac:dyDescent="0.25">
      <c r="A10396" s="18">
        <v>3561</v>
      </c>
      <c r="B10396" s="4" t="s">
        <v>44</v>
      </c>
      <c r="C10396" s="38" t="s">
        <v>5447</v>
      </c>
      <c r="D10396" s="18">
        <v>2022</v>
      </c>
      <c r="E10396" s="18" t="s">
        <v>0</v>
      </c>
      <c r="F10396" s="41">
        <v>1</v>
      </c>
      <c r="G10396" s="4">
        <v>12</v>
      </c>
      <c r="H10396" s="18">
        <f>0.01689689*(1000)</f>
        <v>16.896890000000003</v>
      </c>
      <c r="I10396" s="90"/>
      <c r="J10396" s="90"/>
    </row>
    <row r="10397" spans="1:10" s="15" customFormat="1" ht="16.5" hidden="1" customHeight="1" outlineLevel="1" x14ac:dyDescent="0.25">
      <c r="A10397" s="18">
        <v>3563</v>
      </c>
      <c r="B10397" s="4" t="s">
        <v>44</v>
      </c>
      <c r="C10397" s="38" t="s">
        <v>5448</v>
      </c>
      <c r="D10397" s="18">
        <v>2022</v>
      </c>
      <c r="E10397" s="18" t="s">
        <v>0</v>
      </c>
      <c r="F10397" s="41">
        <v>1</v>
      </c>
      <c r="G10397" s="4">
        <v>15</v>
      </c>
      <c r="H10397" s="18">
        <f>0.0174514*(1000)</f>
        <v>17.4514</v>
      </c>
      <c r="I10397" s="90"/>
      <c r="J10397" s="90"/>
    </row>
    <row r="10398" spans="1:10" s="15" customFormat="1" ht="16.5" hidden="1" customHeight="1" outlineLevel="1" x14ac:dyDescent="0.25">
      <c r="A10398" s="18">
        <v>3564</v>
      </c>
      <c r="B10398" s="4" t="s">
        <v>44</v>
      </c>
      <c r="C10398" s="38" t="s">
        <v>5449</v>
      </c>
      <c r="D10398" s="18">
        <v>2022</v>
      </c>
      <c r="E10398" s="18" t="s">
        <v>0</v>
      </c>
      <c r="F10398" s="41">
        <v>1</v>
      </c>
      <c r="G10398" s="4">
        <v>9</v>
      </c>
      <c r="H10398" s="18">
        <f>0.01689688*(1000)</f>
        <v>16.896879999999999</v>
      </c>
      <c r="I10398" s="90"/>
      <c r="J10398" s="90"/>
    </row>
    <row r="10399" spans="1:10" s="15" customFormat="1" ht="16.5" hidden="1" customHeight="1" outlineLevel="1" x14ac:dyDescent="0.25">
      <c r="A10399" s="18">
        <v>3565</v>
      </c>
      <c r="B10399" s="4" t="s">
        <v>44</v>
      </c>
      <c r="C10399" s="38" t="s">
        <v>5450</v>
      </c>
      <c r="D10399" s="18">
        <v>2022</v>
      </c>
      <c r="E10399" s="18" t="s">
        <v>0</v>
      </c>
      <c r="F10399" s="41">
        <v>1</v>
      </c>
      <c r="G10399" s="4">
        <v>15</v>
      </c>
      <c r="H10399" s="18">
        <f>0.01689689*(1000)</f>
        <v>16.896890000000003</v>
      </c>
      <c r="I10399" s="90"/>
      <c r="J10399" s="90"/>
    </row>
    <row r="10400" spans="1:10" s="15" customFormat="1" ht="16.5" hidden="1" customHeight="1" outlineLevel="1" x14ac:dyDescent="0.25">
      <c r="A10400" s="18">
        <v>3572</v>
      </c>
      <c r="B10400" s="4" t="s">
        <v>44</v>
      </c>
      <c r="C10400" s="38" t="s">
        <v>5451</v>
      </c>
      <c r="D10400" s="18">
        <v>2022</v>
      </c>
      <c r="E10400" s="18" t="s">
        <v>0</v>
      </c>
      <c r="F10400" s="41">
        <v>1</v>
      </c>
      <c r="G10400" s="4">
        <v>5</v>
      </c>
      <c r="H10400" s="18">
        <f>0.0174514*(1000)</f>
        <v>17.4514</v>
      </c>
      <c r="I10400" s="90"/>
      <c r="J10400" s="90"/>
    </row>
    <row r="10401" spans="1:10" s="15" customFormat="1" ht="16.5" hidden="1" customHeight="1" outlineLevel="1" x14ac:dyDescent="0.25">
      <c r="A10401" s="18">
        <v>3573</v>
      </c>
      <c r="B10401" s="4" t="s">
        <v>44</v>
      </c>
      <c r="C10401" s="38" t="s">
        <v>5452</v>
      </c>
      <c r="D10401" s="18">
        <v>2022</v>
      </c>
      <c r="E10401" s="18" t="s">
        <v>0</v>
      </c>
      <c r="F10401" s="41">
        <v>1</v>
      </c>
      <c r="G10401" s="4">
        <v>10</v>
      </c>
      <c r="H10401" s="18">
        <f>0.01745139*(1000)</f>
        <v>17.45139</v>
      </c>
      <c r="I10401" s="90"/>
      <c r="J10401" s="90"/>
    </row>
    <row r="10402" spans="1:10" s="15" customFormat="1" ht="16.5" hidden="1" customHeight="1" outlineLevel="1" x14ac:dyDescent="0.25">
      <c r="A10402" s="18">
        <v>3576</v>
      </c>
      <c r="B10402" s="4" t="s">
        <v>44</v>
      </c>
      <c r="C10402" s="38" t="s">
        <v>5453</v>
      </c>
      <c r="D10402" s="18">
        <v>2022</v>
      </c>
      <c r="E10402" s="18" t="s">
        <v>0</v>
      </c>
      <c r="F10402" s="41">
        <v>1</v>
      </c>
      <c r="G10402" s="4">
        <v>13</v>
      </c>
      <c r="H10402" s="18">
        <f>0.01742858*(1000)</f>
        <v>17.42858</v>
      </c>
      <c r="I10402" s="90"/>
      <c r="J10402" s="90"/>
    </row>
    <row r="10403" spans="1:10" s="15" customFormat="1" ht="16.5" hidden="1" customHeight="1" outlineLevel="1" x14ac:dyDescent="0.25">
      <c r="A10403" s="18">
        <v>3577</v>
      </c>
      <c r="B10403" s="4" t="s">
        <v>44</v>
      </c>
      <c r="C10403" s="38" t="s">
        <v>5454</v>
      </c>
      <c r="D10403" s="18">
        <v>2022</v>
      </c>
      <c r="E10403" s="18" t="s">
        <v>0</v>
      </c>
      <c r="F10403" s="41">
        <v>1</v>
      </c>
      <c r="G10403" s="4">
        <v>100</v>
      </c>
      <c r="H10403" s="18">
        <f>0.02229084*(1000)</f>
        <v>22.290839999999999</v>
      </c>
      <c r="I10403" s="90"/>
      <c r="J10403" s="90"/>
    </row>
    <row r="10404" spans="1:10" s="15" customFormat="1" ht="16.5" hidden="1" customHeight="1" outlineLevel="1" x14ac:dyDescent="0.25">
      <c r="A10404" s="18">
        <v>3578</v>
      </c>
      <c r="B10404" s="4" t="s">
        <v>44</v>
      </c>
      <c r="C10404" s="38" t="s">
        <v>5455</v>
      </c>
      <c r="D10404" s="18">
        <v>2022</v>
      </c>
      <c r="E10404" s="18" t="s">
        <v>0</v>
      </c>
      <c r="F10404" s="41">
        <v>1</v>
      </c>
      <c r="G10404" s="4">
        <v>55</v>
      </c>
      <c r="H10404" s="18">
        <f>0.01687409*(1000)</f>
        <v>16.874090000000002</v>
      </c>
      <c r="I10404" s="90"/>
      <c r="J10404" s="90"/>
    </row>
    <row r="10405" spans="1:10" s="15" customFormat="1" ht="16.5" hidden="1" customHeight="1" outlineLevel="1" x14ac:dyDescent="0.25">
      <c r="A10405" s="18">
        <v>3579</v>
      </c>
      <c r="B10405" s="4" t="s">
        <v>44</v>
      </c>
      <c r="C10405" s="38" t="s">
        <v>5456</v>
      </c>
      <c r="D10405" s="18">
        <v>2022</v>
      </c>
      <c r="E10405" s="18" t="s">
        <v>0</v>
      </c>
      <c r="F10405" s="41">
        <v>1</v>
      </c>
      <c r="G10405" s="4">
        <v>15</v>
      </c>
      <c r="H10405" s="18">
        <f>0.01742858*(1000)</f>
        <v>17.42858</v>
      </c>
      <c r="I10405" s="90"/>
      <c r="J10405" s="90"/>
    </row>
    <row r="10406" spans="1:10" s="15" customFormat="1" ht="16.5" hidden="1" customHeight="1" outlineLevel="1" x14ac:dyDescent="0.25">
      <c r="A10406" s="18">
        <v>3589</v>
      </c>
      <c r="B10406" s="4" t="s">
        <v>44</v>
      </c>
      <c r="C10406" s="38" t="s">
        <v>5457</v>
      </c>
      <c r="D10406" s="18">
        <v>2022</v>
      </c>
      <c r="E10406" s="18" t="s">
        <v>0</v>
      </c>
      <c r="F10406" s="41">
        <v>1</v>
      </c>
      <c r="G10406" s="4">
        <v>15</v>
      </c>
      <c r="H10406" s="18">
        <f>0.01742857*(1000)</f>
        <v>17.428570000000001</v>
      </c>
      <c r="I10406" s="90"/>
      <c r="J10406" s="90"/>
    </row>
    <row r="10407" spans="1:10" s="15" customFormat="1" ht="16.5" hidden="1" customHeight="1" outlineLevel="1" x14ac:dyDescent="0.25">
      <c r="A10407" s="18">
        <v>3591</v>
      </c>
      <c r="B10407" s="4" t="s">
        <v>44</v>
      </c>
      <c r="C10407" s="38" t="s">
        <v>5458</v>
      </c>
      <c r="D10407" s="18">
        <v>2022</v>
      </c>
      <c r="E10407" s="18" t="s">
        <v>0</v>
      </c>
      <c r="F10407" s="41">
        <v>1</v>
      </c>
      <c r="G10407" s="4">
        <v>12</v>
      </c>
      <c r="H10407" s="18">
        <f>0.01742857*(1000)</f>
        <v>17.428570000000001</v>
      </c>
      <c r="I10407" s="90"/>
      <c r="J10407" s="90"/>
    </row>
    <row r="10408" spans="1:10" s="15" customFormat="1" ht="16.5" hidden="1" customHeight="1" outlineLevel="1" x14ac:dyDescent="0.25">
      <c r="A10408" s="18">
        <v>3593</v>
      </c>
      <c r="B10408" s="4" t="s">
        <v>44</v>
      </c>
      <c r="C10408" s="38" t="s">
        <v>5459</v>
      </c>
      <c r="D10408" s="18">
        <v>2022</v>
      </c>
      <c r="E10408" s="18" t="s">
        <v>0</v>
      </c>
      <c r="F10408" s="41">
        <v>1</v>
      </c>
      <c r="G10408" s="4">
        <v>13</v>
      </c>
      <c r="H10408" s="18">
        <f>0.01742857*(1000)</f>
        <v>17.428570000000001</v>
      </c>
      <c r="I10408" s="90"/>
      <c r="J10408" s="90"/>
    </row>
    <row r="10409" spans="1:10" s="15" customFormat="1" ht="16.5" hidden="1" customHeight="1" outlineLevel="1" x14ac:dyDescent="0.25">
      <c r="A10409" s="18">
        <v>3594</v>
      </c>
      <c r="B10409" s="4" t="s">
        <v>44</v>
      </c>
      <c r="C10409" s="38" t="s">
        <v>5460</v>
      </c>
      <c r="D10409" s="18">
        <v>2022</v>
      </c>
      <c r="E10409" s="18" t="s">
        <v>0</v>
      </c>
      <c r="F10409" s="41">
        <v>1</v>
      </c>
      <c r="G10409" s="4">
        <v>11</v>
      </c>
      <c r="H10409" s="18">
        <f>0.01687409*(1000)</f>
        <v>16.874090000000002</v>
      </c>
      <c r="I10409" s="90"/>
      <c r="J10409" s="90"/>
    </row>
    <row r="10410" spans="1:10" s="15" customFormat="1" ht="16.5" hidden="1" customHeight="1" outlineLevel="1" x14ac:dyDescent="0.25">
      <c r="A10410" s="18">
        <v>3595</v>
      </c>
      <c r="B10410" s="4" t="s">
        <v>44</v>
      </c>
      <c r="C10410" s="38" t="s">
        <v>5461</v>
      </c>
      <c r="D10410" s="18">
        <v>2022</v>
      </c>
      <c r="E10410" s="18" t="s">
        <v>0</v>
      </c>
      <c r="F10410" s="41">
        <v>1</v>
      </c>
      <c r="G10410" s="4">
        <v>5</v>
      </c>
      <c r="H10410" s="18">
        <f>0.01687409*(1000)</f>
        <v>16.874090000000002</v>
      </c>
      <c r="I10410" s="90"/>
      <c r="J10410" s="90"/>
    </row>
    <row r="10411" spans="1:10" s="15" customFormat="1" ht="16.5" hidden="1" customHeight="1" outlineLevel="1" x14ac:dyDescent="0.25">
      <c r="A10411" s="18">
        <v>3598</v>
      </c>
      <c r="B10411" s="4" t="s">
        <v>44</v>
      </c>
      <c r="C10411" s="38" t="s">
        <v>5462</v>
      </c>
      <c r="D10411" s="18">
        <v>2022</v>
      </c>
      <c r="E10411" s="18" t="s">
        <v>0</v>
      </c>
      <c r="F10411" s="41">
        <v>1</v>
      </c>
      <c r="G10411" s="4">
        <v>15</v>
      </c>
      <c r="H10411" s="18">
        <f>0.01742858*(1000)</f>
        <v>17.42858</v>
      </c>
      <c r="I10411" s="90"/>
      <c r="J10411" s="90"/>
    </row>
    <row r="10412" spans="1:10" s="15" customFormat="1" ht="16.5" hidden="1" customHeight="1" outlineLevel="1" x14ac:dyDescent="0.25">
      <c r="A10412" s="18">
        <v>3600</v>
      </c>
      <c r="B10412" s="4" t="s">
        <v>44</v>
      </c>
      <c r="C10412" s="38" t="s">
        <v>5463</v>
      </c>
      <c r="D10412" s="18">
        <v>2022</v>
      </c>
      <c r="E10412" s="18" t="s">
        <v>0</v>
      </c>
      <c r="F10412" s="41">
        <v>1</v>
      </c>
      <c r="G10412" s="4">
        <v>12</v>
      </c>
      <c r="H10412" s="18">
        <f>0.01041908*(1000)</f>
        <v>10.419080000000001</v>
      </c>
      <c r="I10412" s="90"/>
      <c r="J10412" s="90"/>
    </row>
    <row r="10413" spans="1:10" s="15" customFormat="1" ht="16.5" hidden="1" customHeight="1" outlineLevel="1" x14ac:dyDescent="0.25">
      <c r="A10413" s="18">
        <v>3603</v>
      </c>
      <c r="B10413" s="4" t="s">
        <v>44</v>
      </c>
      <c r="C10413" s="38" t="s">
        <v>5464</v>
      </c>
      <c r="D10413" s="18">
        <v>2022</v>
      </c>
      <c r="E10413" s="18" t="s">
        <v>0</v>
      </c>
      <c r="F10413" s="41">
        <v>1</v>
      </c>
      <c r="G10413" s="4">
        <v>15</v>
      </c>
      <c r="H10413" s="18">
        <f>0.01745139*(1000)</f>
        <v>17.45139</v>
      </c>
      <c r="I10413" s="90"/>
      <c r="J10413" s="90"/>
    </row>
    <row r="10414" spans="1:10" s="15" customFormat="1" ht="16.5" hidden="1" customHeight="1" outlineLevel="1" x14ac:dyDescent="0.25">
      <c r="A10414" s="18">
        <v>3604</v>
      </c>
      <c r="B10414" s="4" t="s">
        <v>44</v>
      </c>
      <c r="C10414" s="38" t="s">
        <v>5465</v>
      </c>
      <c r="D10414" s="18">
        <v>2022</v>
      </c>
      <c r="E10414" s="18" t="s">
        <v>0</v>
      </c>
      <c r="F10414" s="41">
        <v>1</v>
      </c>
      <c r="G10414" s="4">
        <v>10</v>
      </c>
      <c r="H10414" s="18">
        <f>0.01742858*(1000)</f>
        <v>17.42858</v>
      </c>
      <c r="I10414" s="90"/>
      <c r="J10414" s="90"/>
    </row>
    <row r="10415" spans="1:10" s="15" customFormat="1" ht="16.5" hidden="1" customHeight="1" outlineLevel="1" x14ac:dyDescent="0.25">
      <c r="A10415" s="18">
        <v>3605</v>
      </c>
      <c r="B10415" s="4" t="s">
        <v>44</v>
      </c>
      <c r="C10415" s="38" t="s">
        <v>5466</v>
      </c>
      <c r="D10415" s="18">
        <v>2022</v>
      </c>
      <c r="E10415" s="18" t="s">
        <v>0</v>
      </c>
      <c r="F10415" s="41">
        <v>1</v>
      </c>
      <c r="G10415" s="4">
        <v>15</v>
      </c>
      <c r="H10415" s="18">
        <f>0.01742857*(1000)</f>
        <v>17.428570000000001</v>
      </c>
      <c r="I10415" s="90"/>
      <c r="J10415" s="90"/>
    </row>
    <row r="10416" spans="1:10" s="15" customFormat="1" ht="16.5" hidden="1" customHeight="1" outlineLevel="1" x14ac:dyDescent="0.25">
      <c r="A10416" s="18">
        <v>3607</v>
      </c>
      <c r="B10416" s="4" t="s">
        <v>44</v>
      </c>
      <c r="C10416" s="38" t="s">
        <v>5467</v>
      </c>
      <c r="D10416" s="18">
        <v>2022</v>
      </c>
      <c r="E10416" s="18" t="s">
        <v>0</v>
      </c>
      <c r="F10416" s="41">
        <v>1</v>
      </c>
      <c r="G10416" s="4">
        <v>29.5</v>
      </c>
      <c r="H10416" s="18">
        <f>0.01689688*(1000)</f>
        <v>16.896879999999999</v>
      </c>
      <c r="I10416" s="90"/>
      <c r="J10416" s="90"/>
    </row>
    <row r="10417" spans="1:10" s="15" customFormat="1" ht="16.5" hidden="1" customHeight="1" outlineLevel="1" x14ac:dyDescent="0.25">
      <c r="A10417" s="18">
        <v>3608</v>
      </c>
      <c r="B10417" s="4" t="s">
        <v>44</v>
      </c>
      <c r="C10417" s="38" t="s">
        <v>5468</v>
      </c>
      <c r="D10417" s="18">
        <v>2022</v>
      </c>
      <c r="E10417" s="18" t="s">
        <v>0</v>
      </c>
      <c r="F10417" s="41">
        <v>1</v>
      </c>
      <c r="G10417" s="4">
        <v>12</v>
      </c>
      <c r="H10417" s="18">
        <f>0.0174514*(1000)</f>
        <v>17.4514</v>
      </c>
      <c r="I10417" s="90"/>
      <c r="J10417" s="90"/>
    </row>
    <row r="10418" spans="1:10" s="15" customFormat="1" ht="16.5" hidden="1" customHeight="1" outlineLevel="1" x14ac:dyDescent="0.25">
      <c r="A10418" s="18">
        <v>3610</v>
      </c>
      <c r="B10418" s="4" t="s">
        <v>44</v>
      </c>
      <c r="C10418" s="38" t="s">
        <v>5469</v>
      </c>
      <c r="D10418" s="18">
        <v>2022</v>
      </c>
      <c r="E10418" s="18" t="s">
        <v>0</v>
      </c>
      <c r="F10418" s="41">
        <v>1</v>
      </c>
      <c r="G10418" s="4">
        <v>15</v>
      </c>
      <c r="H10418" s="18">
        <f>0.0168969*(1000)</f>
        <v>16.896899999999999</v>
      </c>
      <c r="I10418" s="90"/>
      <c r="J10418" s="90"/>
    </row>
    <row r="10419" spans="1:10" s="15" customFormat="1" ht="16.5" hidden="1" customHeight="1" outlineLevel="1" x14ac:dyDescent="0.25">
      <c r="A10419" s="18">
        <v>3614</v>
      </c>
      <c r="B10419" s="4" t="s">
        <v>44</v>
      </c>
      <c r="C10419" s="38" t="s">
        <v>5470</v>
      </c>
      <c r="D10419" s="18">
        <v>2022</v>
      </c>
      <c r="E10419" s="18" t="s">
        <v>0</v>
      </c>
      <c r="F10419" s="41">
        <v>1</v>
      </c>
      <c r="G10419" s="4">
        <v>15</v>
      </c>
      <c r="H10419" s="18">
        <f>0.0174514*(1000)</f>
        <v>17.4514</v>
      </c>
      <c r="I10419" s="90"/>
      <c r="J10419" s="90"/>
    </row>
    <row r="10420" spans="1:10" s="15" customFormat="1" ht="16.5" hidden="1" customHeight="1" outlineLevel="1" x14ac:dyDescent="0.25">
      <c r="A10420" s="18">
        <v>3615</v>
      </c>
      <c r="B10420" s="4" t="s">
        <v>44</v>
      </c>
      <c r="C10420" s="38" t="s">
        <v>5471</v>
      </c>
      <c r="D10420" s="18">
        <v>2022</v>
      </c>
      <c r="E10420" s="18" t="s">
        <v>0</v>
      </c>
      <c r="F10420" s="41">
        <v>1</v>
      </c>
      <c r="G10420" s="4">
        <v>2</v>
      </c>
      <c r="H10420" s="18">
        <f>0.01745139*(1000)</f>
        <v>17.45139</v>
      </c>
      <c r="I10420" s="90"/>
      <c r="J10420" s="90"/>
    </row>
    <row r="10421" spans="1:10" s="15" customFormat="1" ht="16.5" hidden="1" customHeight="1" outlineLevel="1" x14ac:dyDescent="0.25">
      <c r="A10421" s="18">
        <v>3617</v>
      </c>
      <c r="B10421" s="4" t="s">
        <v>44</v>
      </c>
      <c r="C10421" s="38" t="s">
        <v>5472</v>
      </c>
      <c r="D10421" s="18">
        <v>2022</v>
      </c>
      <c r="E10421" s="18" t="s">
        <v>0</v>
      </c>
      <c r="F10421" s="41">
        <v>1</v>
      </c>
      <c r="G10421" s="4">
        <v>10</v>
      </c>
      <c r="H10421" s="18">
        <f>0.01745139*(1000)</f>
        <v>17.45139</v>
      </c>
      <c r="I10421" s="90"/>
      <c r="J10421" s="90"/>
    </row>
    <row r="10422" spans="1:10" s="15" customFormat="1" ht="16.5" hidden="1" customHeight="1" outlineLevel="1" x14ac:dyDescent="0.25">
      <c r="A10422" s="18">
        <v>3619</v>
      </c>
      <c r="B10422" s="4" t="s">
        <v>44</v>
      </c>
      <c r="C10422" s="38" t="s">
        <v>5473</v>
      </c>
      <c r="D10422" s="18">
        <v>2022</v>
      </c>
      <c r="E10422" s="18" t="s">
        <v>0</v>
      </c>
      <c r="F10422" s="41">
        <v>1</v>
      </c>
      <c r="G10422" s="4">
        <v>15</v>
      </c>
      <c r="H10422" s="18">
        <f>0.0186234*(1000)</f>
        <v>18.623399999999997</v>
      </c>
      <c r="I10422" s="90"/>
      <c r="J10422" s="90"/>
    </row>
    <row r="10423" spans="1:10" s="15" customFormat="1" ht="16.5" hidden="1" customHeight="1" outlineLevel="1" x14ac:dyDescent="0.25">
      <c r="A10423" s="18">
        <v>3620</v>
      </c>
      <c r="B10423" s="4" t="s">
        <v>44</v>
      </c>
      <c r="C10423" s="38" t="s">
        <v>5474</v>
      </c>
      <c r="D10423" s="18">
        <v>2022</v>
      </c>
      <c r="E10423" s="18" t="s">
        <v>0</v>
      </c>
      <c r="F10423" s="41">
        <v>1</v>
      </c>
      <c r="G10423" s="4">
        <v>14</v>
      </c>
      <c r="H10423" s="18">
        <f>0.01689689*(1000)</f>
        <v>16.896890000000003</v>
      </c>
      <c r="I10423" s="90"/>
      <c r="J10423" s="90"/>
    </row>
    <row r="10424" spans="1:10" s="15" customFormat="1" ht="16.5" hidden="1" customHeight="1" outlineLevel="1" x14ac:dyDescent="0.25">
      <c r="A10424" s="18">
        <v>3621</v>
      </c>
      <c r="B10424" s="4" t="s">
        <v>44</v>
      </c>
      <c r="C10424" s="38" t="s">
        <v>5475</v>
      </c>
      <c r="D10424" s="18">
        <v>2022</v>
      </c>
      <c r="E10424" s="18" t="s">
        <v>0</v>
      </c>
      <c r="F10424" s="41">
        <v>1</v>
      </c>
      <c r="G10424" s="4">
        <v>15</v>
      </c>
      <c r="H10424" s="18">
        <f>0.01745139*(1000)</f>
        <v>17.45139</v>
      </c>
      <c r="I10424" s="90"/>
      <c r="J10424" s="90"/>
    </row>
    <row r="10425" spans="1:10" s="15" customFormat="1" ht="16.5" hidden="1" customHeight="1" outlineLevel="1" x14ac:dyDescent="0.25">
      <c r="A10425" s="18">
        <v>3622</v>
      </c>
      <c r="B10425" s="4" t="s">
        <v>44</v>
      </c>
      <c r="C10425" s="38" t="s">
        <v>5476</v>
      </c>
      <c r="D10425" s="18">
        <v>2022</v>
      </c>
      <c r="E10425" s="18" t="s">
        <v>0</v>
      </c>
      <c r="F10425" s="41">
        <v>1</v>
      </c>
      <c r="G10425" s="4">
        <v>15</v>
      </c>
      <c r="H10425" s="18">
        <f>0.0174514*(1000)</f>
        <v>17.4514</v>
      </c>
      <c r="I10425" s="90"/>
      <c r="J10425" s="90"/>
    </row>
    <row r="10426" spans="1:10" s="15" customFormat="1" ht="16.5" hidden="1" customHeight="1" outlineLevel="1" x14ac:dyDescent="0.25">
      <c r="A10426" s="18">
        <v>3623</v>
      </c>
      <c r="B10426" s="4" t="s">
        <v>44</v>
      </c>
      <c r="C10426" s="38" t="s">
        <v>5477</v>
      </c>
      <c r="D10426" s="18">
        <v>2022</v>
      </c>
      <c r="E10426" s="18" t="s">
        <v>0</v>
      </c>
      <c r="F10426" s="41">
        <v>1</v>
      </c>
      <c r="G10426" s="4">
        <v>10</v>
      </c>
      <c r="H10426" s="18">
        <f>0.0186234*(1000)</f>
        <v>18.623399999999997</v>
      </c>
      <c r="I10426" s="90"/>
      <c r="J10426" s="90"/>
    </row>
    <row r="10427" spans="1:10" s="15" customFormat="1" ht="16.5" hidden="1" customHeight="1" outlineLevel="1" x14ac:dyDescent="0.25">
      <c r="A10427" s="18">
        <v>3627</v>
      </c>
      <c r="B10427" s="4" t="s">
        <v>44</v>
      </c>
      <c r="C10427" s="38" t="s">
        <v>5478</v>
      </c>
      <c r="D10427" s="18">
        <v>2022</v>
      </c>
      <c r="E10427" s="18" t="s">
        <v>0</v>
      </c>
      <c r="F10427" s="41">
        <v>1</v>
      </c>
      <c r="G10427" s="4">
        <v>15</v>
      </c>
      <c r="H10427" s="18">
        <f>0.01745137*(1000)</f>
        <v>17.451370000000001</v>
      </c>
      <c r="I10427" s="90"/>
      <c r="J10427" s="90"/>
    </row>
    <row r="10428" spans="1:10" s="15" customFormat="1" ht="16.5" hidden="1" customHeight="1" outlineLevel="1" x14ac:dyDescent="0.25">
      <c r="A10428" s="18">
        <v>3628</v>
      </c>
      <c r="B10428" s="4" t="s">
        <v>44</v>
      </c>
      <c r="C10428" s="38" t="s">
        <v>5479</v>
      </c>
      <c r="D10428" s="18">
        <v>2022</v>
      </c>
      <c r="E10428" s="18" t="s">
        <v>0</v>
      </c>
      <c r="F10428" s="41">
        <v>1</v>
      </c>
      <c r="G10428" s="4">
        <v>15</v>
      </c>
      <c r="H10428" s="18">
        <f>0.01745137*(1000)</f>
        <v>17.451370000000001</v>
      </c>
      <c r="I10428" s="90"/>
      <c r="J10428" s="90"/>
    </row>
    <row r="10429" spans="1:10" s="15" customFormat="1" ht="16.5" hidden="1" customHeight="1" outlineLevel="1" x14ac:dyDescent="0.25">
      <c r="A10429" s="18">
        <v>3629</v>
      </c>
      <c r="B10429" s="4" t="s">
        <v>44</v>
      </c>
      <c r="C10429" s="38" t="s">
        <v>5480</v>
      </c>
      <c r="D10429" s="18">
        <v>2022</v>
      </c>
      <c r="E10429" s="18" t="s">
        <v>0</v>
      </c>
      <c r="F10429" s="41">
        <v>1</v>
      </c>
      <c r="G10429" s="4">
        <v>97</v>
      </c>
      <c r="H10429" s="18">
        <f>0.01813328*(1000)</f>
        <v>18.133280000000003</v>
      </c>
      <c r="I10429" s="90"/>
      <c r="J10429" s="90"/>
    </row>
    <row r="10430" spans="1:10" s="15" customFormat="1" ht="16.5" hidden="1" customHeight="1" outlineLevel="1" x14ac:dyDescent="0.25">
      <c r="A10430" s="18">
        <v>3630</v>
      </c>
      <c r="B10430" s="4" t="s">
        <v>44</v>
      </c>
      <c r="C10430" s="38" t="s">
        <v>5481</v>
      </c>
      <c r="D10430" s="18">
        <v>2022</v>
      </c>
      <c r="E10430" s="18" t="s">
        <v>0</v>
      </c>
      <c r="F10430" s="41">
        <v>1</v>
      </c>
      <c r="G10430" s="4">
        <v>15</v>
      </c>
      <c r="H10430" s="18">
        <f>0.0174514*(1000)</f>
        <v>17.4514</v>
      </c>
      <c r="I10430" s="90"/>
      <c r="J10430" s="90"/>
    </row>
    <row r="10431" spans="1:10" s="15" customFormat="1" ht="16.5" hidden="1" customHeight="1" outlineLevel="1" x14ac:dyDescent="0.25">
      <c r="A10431" s="18">
        <v>3634</v>
      </c>
      <c r="B10431" s="4" t="s">
        <v>44</v>
      </c>
      <c r="C10431" s="38" t="s">
        <v>5482</v>
      </c>
      <c r="D10431" s="18">
        <v>2022</v>
      </c>
      <c r="E10431" s="18" t="s">
        <v>0</v>
      </c>
      <c r="F10431" s="41">
        <v>1</v>
      </c>
      <c r="G10431" s="4">
        <v>15</v>
      </c>
      <c r="H10431" s="18">
        <f>0.01745139*(1000)</f>
        <v>17.45139</v>
      </c>
      <c r="I10431" s="90"/>
      <c r="J10431" s="90"/>
    </row>
    <row r="10432" spans="1:10" s="15" customFormat="1" ht="16.5" hidden="1" customHeight="1" outlineLevel="1" x14ac:dyDescent="0.25">
      <c r="A10432" s="18">
        <v>3636</v>
      </c>
      <c r="B10432" s="4" t="s">
        <v>44</v>
      </c>
      <c r="C10432" s="38" t="s">
        <v>5483</v>
      </c>
      <c r="D10432" s="18">
        <v>2022</v>
      </c>
      <c r="E10432" s="18" t="s">
        <v>0</v>
      </c>
      <c r="F10432" s="41">
        <v>1</v>
      </c>
      <c r="G10432" s="4">
        <v>15</v>
      </c>
      <c r="H10432" s="18">
        <f>0.0174514*(1000)</f>
        <v>17.4514</v>
      </c>
      <c r="I10432" s="90"/>
      <c r="J10432" s="90"/>
    </row>
    <row r="10433" spans="1:10" s="15" customFormat="1" ht="16.5" hidden="1" customHeight="1" outlineLevel="1" x14ac:dyDescent="0.25">
      <c r="A10433" s="18">
        <v>3639</v>
      </c>
      <c r="B10433" s="4" t="s">
        <v>44</v>
      </c>
      <c r="C10433" s="38" t="s">
        <v>5484</v>
      </c>
      <c r="D10433" s="18">
        <v>2022</v>
      </c>
      <c r="E10433" s="18" t="s">
        <v>0</v>
      </c>
      <c r="F10433" s="41">
        <v>1</v>
      </c>
      <c r="G10433" s="4">
        <v>12</v>
      </c>
      <c r="H10433" s="18">
        <f t="shared" ref="H10433:H10438" si="11">0.01743791*(1000)</f>
        <v>17.437910000000002</v>
      </c>
      <c r="I10433" s="90"/>
      <c r="J10433" s="90"/>
    </row>
    <row r="10434" spans="1:10" s="15" customFormat="1" ht="16.5" hidden="1" customHeight="1" outlineLevel="1" x14ac:dyDescent="0.25">
      <c r="A10434" s="18">
        <v>3642</v>
      </c>
      <c r="B10434" s="4" t="s">
        <v>44</v>
      </c>
      <c r="C10434" s="38" t="s">
        <v>5485</v>
      </c>
      <c r="D10434" s="18">
        <v>2022</v>
      </c>
      <c r="E10434" s="18" t="s">
        <v>0</v>
      </c>
      <c r="F10434" s="41">
        <v>1</v>
      </c>
      <c r="G10434" s="4">
        <v>15</v>
      </c>
      <c r="H10434" s="18">
        <f t="shared" si="11"/>
        <v>17.437910000000002</v>
      </c>
      <c r="I10434" s="90"/>
      <c r="J10434" s="90"/>
    </row>
    <row r="10435" spans="1:10" s="15" customFormat="1" ht="16.5" hidden="1" customHeight="1" outlineLevel="1" x14ac:dyDescent="0.25">
      <c r="A10435" s="18">
        <v>3644</v>
      </c>
      <c r="B10435" s="4" t="s">
        <v>44</v>
      </c>
      <c r="C10435" s="38" t="s">
        <v>5486</v>
      </c>
      <c r="D10435" s="18">
        <v>2022</v>
      </c>
      <c r="E10435" s="18" t="s">
        <v>0</v>
      </c>
      <c r="F10435" s="41">
        <v>1</v>
      </c>
      <c r="G10435" s="4">
        <v>15</v>
      </c>
      <c r="H10435" s="18">
        <f t="shared" si="11"/>
        <v>17.437910000000002</v>
      </c>
      <c r="I10435" s="90"/>
      <c r="J10435" s="90"/>
    </row>
    <row r="10436" spans="1:10" s="15" customFormat="1" ht="16.5" hidden="1" customHeight="1" outlineLevel="1" x14ac:dyDescent="0.25">
      <c r="A10436" s="18">
        <v>3647</v>
      </c>
      <c r="B10436" s="4" t="s">
        <v>44</v>
      </c>
      <c r="C10436" s="38" t="s">
        <v>5487</v>
      </c>
      <c r="D10436" s="18">
        <v>2022</v>
      </c>
      <c r="E10436" s="18" t="s">
        <v>0</v>
      </c>
      <c r="F10436" s="41">
        <v>1</v>
      </c>
      <c r="G10436" s="4">
        <v>15</v>
      </c>
      <c r="H10436" s="18">
        <f t="shared" si="11"/>
        <v>17.437910000000002</v>
      </c>
      <c r="I10436" s="90"/>
      <c r="J10436" s="90"/>
    </row>
    <row r="10437" spans="1:10" s="15" customFormat="1" ht="16.5" hidden="1" customHeight="1" outlineLevel="1" x14ac:dyDescent="0.25">
      <c r="A10437" s="18">
        <v>3649</v>
      </c>
      <c r="B10437" s="4" t="s">
        <v>44</v>
      </c>
      <c r="C10437" s="38" t="s">
        <v>5488</v>
      </c>
      <c r="D10437" s="18">
        <v>2022</v>
      </c>
      <c r="E10437" s="18" t="s">
        <v>0</v>
      </c>
      <c r="F10437" s="41">
        <v>1</v>
      </c>
      <c r="G10437" s="4">
        <v>15</v>
      </c>
      <c r="H10437" s="18">
        <f t="shared" si="11"/>
        <v>17.437910000000002</v>
      </c>
      <c r="I10437" s="90"/>
      <c r="J10437" s="90"/>
    </row>
    <row r="10438" spans="1:10" s="15" customFormat="1" ht="16.5" hidden="1" customHeight="1" outlineLevel="1" x14ac:dyDescent="0.25">
      <c r="A10438" s="18">
        <v>3650</v>
      </c>
      <c r="B10438" s="4" t="s">
        <v>44</v>
      </c>
      <c r="C10438" s="38" t="s">
        <v>5489</v>
      </c>
      <c r="D10438" s="18">
        <v>2022</v>
      </c>
      <c r="E10438" s="18" t="s">
        <v>0</v>
      </c>
      <c r="F10438" s="41">
        <v>1</v>
      </c>
      <c r="G10438" s="4">
        <v>15</v>
      </c>
      <c r="H10438" s="18">
        <f t="shared" si="11"/>
        <v>17.437910000000002</v>
      </c>
      <c r="I10438" s="90"/>
      <c r="J10438" s="90"/>
    </row>
    <row r="10439" spans="1:10" s="15" customFormat="1" ht="16.5" hidden="1" customHeight="1" outlineLevel="1" x14ac:dyDescent="0.25">
      <c r="A10439" s="18">
        <v>3651</v>
      </c>
      <c r="B10439" s="4" t="s">
        <v>44</v>
      </c>
      <c r="C10439" s="38" t="s">
        <v>5490</v>
      </c>
      <c r="D10439" s="18">
        <v>2022</v>
      </c>
      <c r="E10439" s="18" t="s">
        <v>0</v>
      </c>
      <c r="F10439" s="41">
        <v>1</v>
      </c>
      <c r="G10439" s="4">
        <v>150</v>
      </c>
      <c r="H10439" s="18">
        <f>0.02642324*(1000)</f>
        <v>26.42324</v>
      </c>
      <c r="I10439" s="90"/>
      <c r="J10439" s="90"/>
    </row>
    <row r="10440" spans="1:10" s="15" customFormat="1" ht="16.5" hidden="1" customHeight="1" outlineLevel="1" x14ac:dyDescent="0.25">
      <c r="A10440" s="18">
        <v>3652</v>
      </c>
      <c r="B10440" s="4" t="s">
        <v>44</v>
      </c>
      <c r="C10440" s="38" t="s">
        <v>5491</v>
      </c>
      <c r="D10440" s="18">
        <v>2022</v>
      </c>
      <c r="E10440" s="18" t="s">
        <v>0</v>
      </c>
      <c r="F10440" s="41">
        <v>1</v>
      </c>
      <c r="G10440" s="4">
        <v>15</v>
      </c>
      <c r="H10440" s="18">
        <f>0.01802068*(1000)</f>
        <v>18.020680000000002</v>
      </c>
      <c r="I10440" s="90"/>
      <c r="J10440" s="90"/>
    </row>
    <row r="10441" spans="1:10" s="15" customFormat="1" ht="16.5" hidden="1" customHeight="1" outlineLevel="1" x14ac:dyDescent="0.25">
      <c r="A10441" s="18">
        <v>3653</v>
      </c>
      <c r="B10441" s="4" t="s">
        <v>44</v>
      </c>
      <c r="C10441" s="38" t="s">
        <v>5492</v>
      </c>
      <c r="D10441" s="18">
        <v>2022</v>
      </c>
      <c r="E10441" s="18" t="s">
        <v>0</v>
      </c>
      <c r="F10441" s="41">
        <v>1</v>
      </c>
      <c r="G10441" s="4">
        <v>15</v>
      </c>
      <c r="H10441" s="18">
        <f>0.01743791*(1000)</f>
        <v>17.437910000000002</v>
      </c>
      <c r="I10441" s="90"/>
      <c r="J10441" s="90"/>
    </row>
    <row r="10442" spans="1:10" s="15" customFormat="1" ht="16.5" hidden="1" customHeight="1" outlineLevel="1" x14ac:dyDescent="0.25">
      <c r="A10442" s="18">
        <v>3654</v>
      </c>
      <c r="B10442" s="4" t="s">
        <v>44</v>
      </c>
      <c r="C10442" s="38" t="s">
        <v>5493</v>
      </c>
      <c r="D10442" s="18">
        <v>2022</v>
      </c>
      <c r="E10442" s="18" t="s">
        <v>0</v>
      </c>
      <c r="F10442" s="41">
        <v>1</v>
      </c>
      <c r="G10442" s="4">
        <v>15</v>
      </c>
      <c r="H10442" s="18">
        <f>0.01743791*(1000)</f>
        <v>17.437910000000002</v>
      </c>
      <c r="I10442" s="90"/>
      <c r="J10442" s="90"/>
    </row>
    <row r="10443" spans="1:10" s="15" customFormat="1" ht="16.5" hidden="1" customHeight="1" outlineLevel="1" x14ac:dyDescent="0.25">
      <c r="A10443" s="18">
        <v>3662</v>
      </c>
      <c r="B10443" s="4" t="s">
        <v>44</v>
      </c>
      <c r="C10443" s="38" t="s">
        <v>5494</v>
      </c>
      <c r="D10443" s="18">
        <v>2022</v>
      </c>
      <c r="E10443" s="18" t="s">
        <v>0</v>
      </c>
      <c r="F10443" s="41">
        <v>1</v>
      </c>
      <c r="G10443" s="4">
        <v>15</v>
      </c>
      <c r="H10443" s="18">
        <f>0.01802069*(1000)</f>
        <v>18.020689999999998</v>
      </c>
      <c r="I10443" s="90"/>
      <c r="J10443" s="90"/>
    </row>
    <row r="10444" spans="1:10" s="15" customFormat="1" ht="16.5" hidden="1" customHeight="1" outlineLevel="1" x14ac:dyDescent="0.25">
      <c r="A10444" s="18">
        <v>3663</v>
      </c>
      <c r="B10444" s="4" t="s">
        <v>44</v>
      </c>
      <c r="C10444" s="38" t="s">
        <v>5495</v>
      </c>
      <c r="D10444" s="18">
        <v>2022</v>
      </c>
      <c r="E10444" s="18" t="s">
        <v>0</v>
      </c>
      <c r="F10444" s="41">
        <v>1</v>
      </c>
      <c r="G10444" s="4">
        <v>15</v>
      </c>
      <c r="H10444" s="18">
        <f>0.01367266*(1000)</f>
        <v>13.67266</v>
      </c>
      <c r="I10444" s="90"/>
      <c r="J10444" s="90"/>
    </row>
    <row r="10445" spans="1:10" s="15" customFormat="1" ht="16.5" hidden="1" customHeight="1" outlineLevel="1" x14ac:dyDescent="0.25">
      <c r="A10445" s="18">
        <v>3668</v>
      </c>
      <c r="B10445" s="4" t="s">
        <v>44</v>
      </c>
      <c r="C10445" s="38" t="s">
        <v>5496</v>
      </c>
      <c r="D10445" s="18">
        <v>2022</v>
      </c>
      <c r="E10445" s="18" t="s">
        <v>0</v>
      </c>
      <c r="F10445" s="41">
        <v>1</v>
      </c>
      <c r="G10445" s="4">
        <v>10</v>
      </c>
      <c r="H10445" s="18">
        <f>0.01820723*(1000)</f>
        <v>18.207230000000003</v>
      </c>
      <c r="I10445" s="90"/>
      <c r="J10445" s="90"/>
    </row>
    <row r="10446" spans="1:10" s="15" customFormat="1" ht="16.5" hidden="1" customHeight="1" outlineLevel="1" x14ac:dyDescent="0.25">
      <c r="A10446" s="18">
        <v>3669</v>
      </c>
      <c r="B10446" s="4" t="s">
        <v>44</v>
      </c>
      <c r="C10446" s="38" t="s">
        <v>5497</v>
      </c>
      <c r="D10446" s="18">
        <v>2022</v>
      </c>
      <c r="E10446" s="18" t="s">
        <v>0</v>
      </c>
      <c r="F10446" s="41">
        <v>1</v>
      </c>
      <c r="G10446" s="4">
        <v>9</v>
      </c>
      <c r="H10446" s="18">
        <f>0.0182785*(1000)</f>
        <v>18.278500000000001</v>
      </c>
      <c r="I10446" s="90"/>
      <c r="J10446" s="90"/>
    </row>
    <row r="10447" spans="1:10" s="15" customFormat="1" ht="16.5" hidden="1" customHeight="1" outlineLevel="1" x14ac:dyDescent="0.25">
      <c r="A10447" s="18">
        <v>3670</v>
      </c>
      <c r="B10447" s="4" t="s">
        <v>44</v>
      </c>
      <c r="C10447" s="38" t="s">
        <v>5498</v>
      </c>
      <c r="D10447" s="18">
        <v>2022</v>
      </c>
      <c r="E10447" s="18" t="s">
        <v>0</v>
      </c>
      <c r="F10447" s="41">
        <v>1</v>
      </c>
      <c r="G10447" s="4">
        <v>14</v>
      </c>
      <c r="H10447" s="18">
        <f>0.01498302*(1000)</f>
        <v>14.98302</v>
      </c>
      <c r="I10447" s="90"/>
      <c r="J10447" s="90"/>
    </row>
    <row r="10448" spans="1:10" s="15" customFormat="1" ht="16.5" hidden="1" customHeight="1" outlineLevel="1" x14ac:dyDescent="0.25">
      <c r="A10448" s="18">
        <v>3671</v>
      </c>
      <c r="B10448" s="4" t="s">
        <v>44</v>
      </c>
      <c r="C10448" s="38" t="s">
        <v>5499</v>
      </c>
      <c r="D10448" s="18">
        <v>2022</v>
      </c>
      <c r="E10448" s="18" t="s">
        <v>0</v>
      </c>
      <c r="F10448" s="41">
        <v>1</v>
      </c>
      <c r="G10448" s="4">
        <v>10</v>
      </c>
      <c r="H10448" s="18">
        <f>0.01498302*(1000)</f>
        <v>14.98302</v>
      </c>
      <c r="I10448" s="90"/>
      <c r="J10448" s="90"/>
    </row>
    <row r="10449" spans="1:10" s="15" customFormat="1" ht="16.5" hidden="1" customHeight="1" outlineLevel="1" x14ac:dyDescent="0.25">
      <c r="A10449" s="18">
        <v>3672</v>
      </c>
      <c r="B10449" s="4" t="s">
        <v>44</v>
      </c>
      <c r="C10449" s="38" t="s">
        <v>5500</v>
      </c>
      <c r="D10449" s="18">
        <v>2022</v>
      </c>
      <c r="E10449" s="18" t="s">
        <v>0</v>
      </c>
      <c r="F10449" s="41">
        <v>1</v>
      </c>
      <c r="G10449" s="4">
        <v>15</v>
      </c>
      <c r="H10449" s="18">
        <f>0.01498302*(1000)</f>
        <v>14.98302</v>
      </c>
      <c r="I10449" s="90"/>
      <c r="J10449" s="90"/>
    </row>
    <row r="10450" spans="1:10" s="15" customFormat="1" ht="16.5" hidden="1" customHeight="1" outlineLevel="1" x14ac:dyDescent="0.25">
      <c r="A10450" s="18">
        <v>3676</v>
      </c>
      <c r="B10450" s="4" t="s">
        <v>44</v>
      </c>
      <c r="C10450" s="38" t="s">
        <v>5501</v>
      </c>
      <c r="D10450" s="18">
        <v>2022</v>
      </c>
      <c r="E10450" s="18" t="s">
        <v>0</v>
      </c>
      <c r="F10450" s="41">
        <v>6</v>
      </c>
      <c r="G10450" s="4">
        <v>58</v>
      </c>
      <c r="H10450" s="18">
        <f>0.06637521*(1000)</f>
        <v>66.37521000000001</v>
      </c>
      <c r="I10450" s="90"/>
      <c r="J10450" s="90"/>
    </row>
    <row r="10451" spans="1:10" s="15" customFormat="1" ht="16.5" hidden="1" customHeight="1" outlineLevel="1" x14ac:dyDescent="0.25">
      <c r="A10451" s="18">
        <v>3677</v>
      </c>
      <c r="B10451" s="4" t="s">
        <v>44</v>
      </c>
      <c r="C10451" s="38" t="s">
        <v>5502</v>
      </c>
      <c r="D10451" s="18">
        <v>2022</v>
      </c>
      <c r="E10451" s="18" t="s">
        <v>0</v>
      </c>
      <c r="F10451" s="41">
        <v>6</v>
      </c>
      <c r="G10451" s="4">
        <v>60</v>
      </c>
      <c r="H10451" s="18">
        <f>0.06637526*(1000)</f>
        <v>66.375260000000011</v>
      </c>
      <c r="I10451" s="90"/>
      <c r="J10451" s="90"/>
    </row>
    <row r="10452" spans="1:10" s="15" customFormat="1" ht="16.5" hidden="1" customHeight="1" outlineLevel="1" x14ac:dyDescent="0.25">
      <c r="A10452" s="18">
        <v>3678</v>
      </c>
      <c r="B10452" s="4" t="s">
        <v>44</v>
      </c>
      <c r="C10452" s="38" t="s">
        <v>5503</v>
      </c>
      <c r="D10452" s="18">
        <v>2022</v>
      </c>
      <c r="E10452" s="18" t="s">
        <v>0</v>
      </c>
      <c r="F10452" s="41">
        <v>1</v>
      </c>
      <c r="G10452" s="4">
        <v>20</v>
      </c>
      <c r="H10452" s="18">
        <f>0.01729418*(1000)</f>
        <v>17.294180000000001</v>
      </c>
      <c r="I10452" s="90"/>
      <c r="J10452" s="90"/>
    </row>
    <row r="10453" spans="1:10" s="15" customFormat="1" ht="16.5" hidden="1" customHeight="1" outlineLevel="1" x14ac:dyDescent="0.25">
      <c r="A10453" s="18">
        <v>3680</v>
      </c>
      <c r="B10453" s="4" t="s">
        <v>44</v>
      </c>
      <c r="C10453" s="38" t="s">
        <v>5504</v>
      </c>
      <c r="D10453" s="18">
        <v>2022</v>
      </c>
      <c r="E10453" s="18" t="s">
        <v>0</v>
      </c>
      <c r="F10453" s="41">
        <v>3</v>
      </c>
      <c r="G10453" s="4">
        <v>37</v>
      </c>
      <c r="H10453" s="18">
        <f>0.04364963*(1000)</f>
        <v>43.649630000000002</v>
      </c>
      <c r="I10453" s="90"/>
      <c r="J10453" s="90"/>
    </row>
    <row r="10454" spans="1:10" s="15" customFormat="1" ht="16.5" hidden="1" customHeight="1" outlineLevel="1" x14ac:dyDescent="0.25">
      <c r="A10454" s="18">
        <v>3682</v>
      </c>
      <c r="B10454" s="4" t="s">
        <v>44</v>
      </c>
      <c r="C10454" s="38" t="s">
        <v>5505</v>
      </c>
      <c r="D10454" s="18">
        <v>2022</v>
      </c>
      <c r="E10454" s="18" t="s">
        <v>0</v>
      </c>
      <c r="F10454" s="41">
        <v>6</v>
      </c>
      <c r="G10454" s="4">
        <v>74</v>
      </c>
      <c r="H10454" s="18">
        <f>0.07984387*(1000)</f>
        <v>79.843869999999995</v>
      </c>
      <c r="I10454" s="90"/>
      <c r="J10454" s="90"/>
    </row>
    <row r="10455" spans="1:10" s="15" customFormat="1" ht="16.5" hidden="1" customHeight="1" outlineLevel="1" x14ac:dyDescent="0.25">
      <c r="A10455" s="18">
        <v>3683</v>
      </c>
      <c r="B10455" s="4" t="s">
        <v>44</v>
      </c>
      <c r="C10455" s="38" t="s">
        <v>5506</v>
      </c>
      <c r="D10455" s="18">
        <v>2022</v>
      </c>
      <c r="E10455" s="18" t="s">
        <v>0</v>
      </c>
      <c r="F10455" s="41">
        <v>5</v>
      </c>
      <c r="G10455" s="4">
        <v>55</v>
      </c>
      <c r="H10455" s="18">
        <f>0.06332725*(1000)</f>
        <v>63.327249999999999</v>
      </c>
      <c r="I10455" s="90"/>
      <c r="J10455" s="90"/>
    </row>
    <row r="10456" spans="1:10" s="15" customFormat="1" ht="16.5" hidden="1" customHeight="1" outlineLevel="1" x14ac:dyDescent="0.25">
      <c r="A10456" s="18">
        <v>3684</v>
      </c>
      <c r="B10456" s="4" t="s">
        <v>44</v>
      </c>
      <c r="C10456" s="38" t="s">
        <v>5507</v>
      </c>
      <c r="D10456" s="18">
        <v>2022</v>
      </c>
      <c r="E10456" s="18" t="s">
        <v>0</v>
      </c>
      <c r="F10456" s="41">
        <v>3</v>
      </c>
      <c r="G10456" s="4">
        <v>35</v>
      </c>
      <c r="H10456" s="18">
        <f>0.04364963*(1000)</f>
        <v>43.649630000000002</v>
      </c>
      <c r="I10456" s="90"/>
      <c r="J10456" s="90"/>
    </row>
    <row r="10457" spans="1:10" s="15" customFormat="1" ht="16.5" hidden="1" customHeight="1" outlineLevel="1" x14ac:dyDescent="0.25">
      <c r="A10457" s="18">
        <v>3685</v>
      </c>
      <c r="B10457" s="4" t="s">
        <v>44</v>
      </c>
      <c r="C10457" s="38" t="s">
        <v>5508</v>
      </c>
      <c r="D10457" s="18">
        <v>2022</v>
      </c>
      <c r="E10457" s="18" t="s">
        <v>0</v>
      </c>
      <c r="F10457" s="41">
        <v>5</v>
      </c>
      <c r="G10457" s="4">
        <v>58</v>
      </c>
      <c r="H10457" s="18">
        <f>0.07015171*(1000)</f>
        <v>70.151710000000008</v>
      </c>
      <c r="I10457" s="90"/>
      <c r="J10457" s="90"/>
    </row>
    <row r="10458" spans="1:10" s="15" customFormat="1" ht="16.5" hidden="1" customHeight="1" outlineLevel="1" x14ac:dyDescent="0.25">
      <c r="A10458" s="18">
        <v>3686</v>
      </c>
      <c r="B10458" s="4" t="s">
        <v>44</v>
      </c>
      <c r="C10458" s="38" t="s">
        <v>5509</v>
      </c>
      <c r="D10458" s="18">
        <v>2022</v>
      </c>
      <c r="E10458" s="18" t="s">
        <v>0</v>
      </c>
      <c r="F10458" s="41">
        <v>4</v>
      </c>
      <c r="G10458" s="4">
        <v>47</v>
      </c>
      <c r="H10458" s="18">
        <f>0.05349765*(1000)</f>
        <v>53.49765</v>
      </c>
      <c r="I10458" s="90"/>
      <c r="J10458" s="90"/>
    </row>
    <row r="10459" spans="1:10" s="15" customFormat="1" ht="16.5" hidden="1" customHeight="1" outlineLevel="1" x14ac:dyDescent="0.25">
      <c r="A10459" s="18">
        <v>3687</v>
      </c>
      <c r="B10459" s="4" t="s">
        <v>44</v>
      </c>
      <c r="C10459" s="38" t="s">
        <v>5510</v>
      </c>
      <c r="D10459" s="18">
        <v>2022</v>
      </c>
      <c r="E10459" s="18" t="s">
        <v>0</v>
      </c>
      <c r="F10459" s="41">
        <v>7</v>
      </c>
      <c r="G10459" s="4">
        <v>87</v>
      </c>
      <c r="H10459" s="18">
        <f>0.09648351*(1000)</f>
        <v>96.483509999999995</v>
      </c>
      <c r="I10459" s="90"/>
      <c r="J10459" s="90"/>
    </row>
    <row r="10460" spans="1:10" s="15" customFormat="1" ht="16.5" hidden="1" customHeight="1" outlineLevel="1" x14ac:dyDescent="0.25">
      <c r="A10460" s="18">
        <v>3688</v>
      </c>
      <c r="B10460" s="4" t="s">
        <v>44</v>
      </c>
      <c r="C10460" s="38" t="s">
        <v>5511</v>
      </c>
      <c r="D10460" s="18">
        <v>2022</v>
      </c>
      <c r="E10460" s="18" t="s">
        <v>0</v>
      </c>
      <c r="F10460" s="41">
        <v>6</v>
      </c>
      <c r="G10460" s="4">
        <v>70</v>
      </c>
      <c r="H10460" s="18">
        <f>0.07999053*(1000)</f>
        <v>79.990530000000007</v>
      </c>
      <c r="I10460" s="90"/>
      <c r="J10460" s="90"/>
    </row>
    <row r="10461" spans="1:10" s="15" customFormat="1" ht="16.5" hidden="1" customHeight="1" outlineLevel="1" x14ac:dyDescent="0.25">
      <c r="A10461" s="18">
        <v>3689</v>
      </c>
      <c r="B10461" s="4" t="s">
        <v>44</v>
      </c>
      <c r="C10461" s="38" t="s">
        <v>5512</v>
      </c>
      <c r="D10461" s="18">
        <v>2022</v>
      </c>
      <c r="E10461" s="18" t="s">
        <v>0</v>
      </c>
      <c r="F10461" s="41">
        <v>6</v>
      </c>
      <c r="G10461" s="4">
        <v>76</v>
      </c>
      <c r="H10461" s="18">
        <f>0.08664467*(1000)</f>
        <v>86.644669999999991</v>
      </c>
      <c r="I10461" s="90"/>
      <c r="J10461" s="90"/>
    </row>
    <row r="10462" spans="1:10" s="15" customFormat="1" ht="16.5" hidden="1" customHeight="1" outlineLevel="1" x14ac:dyDescent="0.25">
      <c r="A10462" s="18">
        <v>3690</v>
      </c>
      <c r="B10462" s="4" t="s">
        <v>44</v>
      </c>
      <c r="C10462" s="38" t="s">
        <v>5513</v>
      </c>
      <c r="D10462" s="18">
        <v>2022</v>
      </c>
      <c r="E10462" s="18" t="s">
        <v>0</v>
      </c>
      <c r="F10462" s="41">
        <v>5</v>
      </c>
      <c r="G10462" s="4">
        <v>60</v>
      </c>
      <c r="H10462" s="18">
        <f>0.06347388*(1000)</f>
        <v>63.473879999999994</v>
      </c>
      <c r="I10462" s="90"/>
      <c r="J10462" s="90"/>
    </row>
    <row r="10463" spans="1:10" s="15" customFormat="1" ht="16.5" hidden="1" customHeight="1" outlineLevel="1" x14ac:dyDescent="0.25">
      <c r="A10463" s="18">
        <v>3691</v>
      </c>
      <c r="B10463" s="4" t="s">
        <v>44</v>
      </c>
      <c r="C10463" s="38" t="s">
        <v>5514</v>
      </c>
      <c r="D10463" s="18">
        <v>2022</v>
      </c>
      <c r="E10463" s="18" t="s">
        <v>0</v>
      </c>
      <c r="F10463" s="41">
        <v>6</v>
      </c>
      <c r="G10463" s="4">
        <v>68</v>
      </c>
      <c r="H10463" s="18">
        <f>0.07985428*(1000)</f>
        <v>79.854280000000003</v>
      </c>
      <c r="I10463" s="90"/>
      <c r="J10463" s="90"/>
    </row>
    <row r="10464" spans="1:10" s="15" customFormat="1" ht="16.5" hidden="1" customHeight="1" outlineLevel="1" x14ac:dyDescent="0.25">
      <c r="A10464" s="18">
        <v>3692</v>
      </c>
      <c r="B10464" s="4" t="s">
        <v>44</v>
      </c>
      <c r="C10464" s="38" t="s">
        <v>5515</v>
      </c>
      <c r="D10464" s="18">
        <v>2022</v>
      </c>
      <c r="E10464" s="18" t="s">
        <v>0</v>
      </c>
      <c r="F10464" s="41">
        <v>3</v>
      </c>
      <c r="G10464" s="4">
        <v>40</v>
      </c>
      <c r="H10464" s="18">
        <f>0.04379628*(1000)</f>
        <v>43.796280000000003</v>
      </c>
      <c r="I10464" s="90"/>
      <c r="J10464" s="90"/>
    </row>
    <row r="10465" spans="1:10" s="15" customFormat="1" ht="16.5" hidden="1" customHeight="1" outlineLevel="1" x14ac:dyDescent="0.25">
      <c r="A10465" s="18">
        <v>3693</v>
      </c>
      <c r="B10465" s="4" t="s">
        <v>44</v>
      </c>
      <c r="C10465" s="38" t="s">
        <v>5516</v>
      </c>
      <c r="D10465" s="18">
        <v>2022</v>
      </c>
      <c r="E10465" s="18" t="s">
        <v>0</v>
      </c>
      <c r="F10465" s="41">
        <v>5</v>
      </c>
      <c r="G10465" s="4">
        <v>62</v>
      </c>
      <c r="H10465" s="18">
        <f>0.07680591*(1000)</f>
        <v>76.805910000000011</v>
      </c>
      <c r="I10465" s="90"/>
      <c r="J10465" s="90"/>
    </row>
    <row r="10466" spans="1:10" s="15" customFormat="1" ht="16.5" hidden="1" customHeight="1" outlineLevel="1" x14ac:dyDescent="0.25">
      <c r="A10466" s="18">
        <v>3694</v>
      </c>
      <c r="B10466" s="4" t="s">
        <v>44</v>
      </c>
      <c r="C10466" s="38" t="s">
        <v>5517</v>
      </c>
      <c r="D10466" s="18">
        <v>2022</v>
      </c>
      <c r="E10466" s="18" t="s">
        <v>0</v>
      </c>
      <c r="F10466" s="41">
        <v>6</v>
      </c>
      <c r="G10466" s="4">
        <v>77</v>
      </c>
      <c r="H10466" s="18">
        <f>0.08663266*(1000)</f>
        <v>86.632660000000001</v>
      </c>
      <c r="I10466" s="90"/>
      <c r="J10466" s="90"/>
    </row>
    <row r="10467" spans="1:10" s="15" customFormat="1" ht="16.5" hidden="1" customHeight="1" outlineLevel="1" x14ac:dyDescent="0.25">
      <c r="A10467" s="18">
        <v>3695</v>
      </c>
      <c r="B10467" s="4" t="s">
        <v>44</v>
      </c>
      <c r="C10467" s="38" t="s">
        <v>5518</v>
      </c>
      <c r="D10467" s="18">
        <v>2022</v>
      </c>
      <c r="E10467" s="18" t="s">
        <v>0</v>
      </c>
      <c r="F10467" s="41">
        <v>6</v>
      </c>
      <c r="G10467" s="4">
        <v>66</v>
      </c>
      <c r="H10467" s="18">
        <f>0.07341255*(1000)</f>
        <v>73.412549999999996</v>
      </c>
      <c r="I10467" s="90"/>
      <c r="J10467" s="90"/>
    </row>
    <row r="10468" spans="1:10" s="15" customFormat="1" ht="16.5" hidden="1" customHeight="1" outlineLevel="1" x14ac:dyDescent="0.25">
      <c r="A10468" s="18">
        <v>3696</v>
      </c>
      <c r="B10468" s="4" t="s">
        <v>44</v>
      </c>
      <c r="C10468" s="38" t="s">
        <v>5519</v>
      </c>
      <c r="D10468" s="18">
        <v>2022</v>
      </c>
      <c r="E10468" s="18" t="s">
        <v>0</v>
      </c>
      <c r="F10468" s="41">
        <v>6</v>
      </c>
      <c r="G10468" s="4">
        <v>67</v>
      </c>
      <c r="H10468" s="18">
        <f>0.07341838*(1000)</f>
        <v>73.418379999999999</v>
      </c>
      <c r="I10468" s="90"/>
      <c r="J10468" s="90"/>
    </row>
    <row r="10469" spans="1:10" s="15" customFormat="1" ht="16.5" hidden="1" customHeight="1" outlineLevel="1" x14ac:dyDescent="0.25">
      <c r="A10469" s="18">
        <v>3697</v>
      </c>
      <c r="B10469" s="4" t="s">
        <v>44</v>
      </c>
      <c r="C10469" s="38" t="s">
        <v>5520</v>
      </c>
      <c r="D10469" s="18">
        <v>2022</v>
      </c>
      <c r="E10469" s="18" t="s">
        <v>0</v>
      </c>
      <c r="F10469" s="41">
        <v>1</v>
      </c>
      <c r="G10469" s="4">
        <v>15</v>
      </c>
      <c r="H10469" s="18">
        <f>0.01740576*(1000)</f>
        <v>17.405760000000001</v>
      </c>
      <c r="I10469" s="90"/>
      <c r="J10469" s="90"/>
    </row>
    <row r="10470" spans="1:10" s="15" customFormat="1" ht="16.5" hidden="1" customHeight="1" outlineLevel="1" x14ac:dyDescent="0.25">
      <c r="A10470" s="18">
        <v>3698</v>
      </c>
      <c r="B10470" s="4" t="s">
        <v>44</v>
      </c>
      <c r="C10470" s="38" t="s">
        <v>5521</v>
      </c>
      <c r="D10470" s="18">
        <v>2022</v>
      </c>
      <c r="E10470" s="18" t="s">
        <v>0</v>
      </c>
      <c r="F10470" s="41">
        <v>6</v>
      </c>
      <c r="G10470" s="4">
        <v>70</v>
      </c>
      <c r="H10470" s="18">
        <f>0.07342423*(1000)</f>
        <v>73.424229999999994</v>
      </c>
      <c r="I10470" s="90"/>
      <c r="J10470" s="90"/>
    </row>
    <row r="10471" spans="1:10" s="15" customFormat="1" ht="16.5" hidden="1" customHeight="1" outlineLevel="1" x14ac:dyDescent="0.25">
      <c r="A10471" s="18">
        <v>3699</v>
      </c>
      <c r="B10471" s="4" t="s">
        <v>44</v>
      </c>
      <c r="C10471" s="38" t="s">
        <v>5522</v>
      </c>
      <c r="D10471" s="18">
        <v>2022</v>
      </c>
      <c r="E10471" s="18" t="s">
        <v>0</v>
      </c>
      <c r="F10471" s="41">
        <v>7</v>
      </c>
      <c r="G10471" s="4">
        <v>85</v>
      </c>
      <c r="H10471" s="18">
        <f>0.1032966*(1000)</f>
        <v>103.2966</v>
      </c>
      <c r="I10471" s="90"/>
      <c r="J10471" s="90"/>
    </row>
    <row r="10472" spans="1:10" s="15" customFormat="1" ht="16.5" hidden="1" customHeight="1" outlineLevel="1" x14ac:dyDescent="0.25">
      <c r="A10472" s="18">
        <v>3700</v>
      </c>
      <c r="B10472" s="4" t="s">
        <v>44</v>
      </c>
      <c r="C10472" s="38" t="s">
        <v>5523</v>
      </c>
      <c r="D10472" s="18">
        <v>2022</v>
      </c>
      <c r="E10472" s="18" t="s">
        <v>0</v>
      </c>
      <c r="F10472" s="41">
        <v>2</v>
      </c>
      <c r="G10472" s="4">
        <v>30</v>
      </c>
      <c r="H10472" s="18">
        <f>0.03414566*(1000)</f>
        <v>34.145659999999999</v>
      </c>
      <c r="I10472" s="90"/>
      <c r="J10472" s="90"/>
    </row>
    <row r="10473" spans="1:10" s="15" customFormat="1" ht="16.5" hidden="1" customHeight="1" outlineLevel="1" x14ac:dyDescent="0.25">
      <c r="A10473" s="18">
        <v>3701</v>
      </c>
      <c r="B10473" s="4" t="s">
        <v>44</v>
      </c>
      <c r="C10473" s="38" t="s">
        <v>5524</v>
      </c>
      <c r="D10473" s="18">
        <v>2022</v>
      </c>
      <c r="E10473" s="18" t="s">
        <v>0</v>
      </c>
      <c r="F10473" s="41">
        <v>1</v>
      </c>
      <c r="G10473" s="4">
        <v>15</v>
      </c>
      <c r="H10473" s="18">
        <f>0.01750697*(1000)</f>
        <v>17.506969999999999</v>
      </c>
      <c r="I10473" s="90"/>
      <c r="J10473" s="90"/>
    </row>
    <row r="10474" spans="1:10" s="15" customFormat="1" ht="16.5" hidden="1" customHeight="1" outlineLevel="1" x14ac:dyDescent="0.25">
      <c r="A10474" s="18">
        <v>3702</v>
      </c>
      <c r="B10474" s="4" t="s">
        <v>44</v>
      </c>
      <c r="C10474" s="38" t="s">
        <v>5525</v>
      </c>
      <c r="D10474" s="18">
        <v>2022</v>
      </c>
      <c r="E10474" s="18" t="s">
        <v>0</v>
      </c>
      <c r="F10474" s="41">
        <v>8</v>
      </c>
      <c r="G10474" s="4">
        <v>78</v>
      </c>
      <c r="H10474" s="18">
        <f>0.08645634*(1000)</f>
        <v>86.456340000000012</v>
      </c>
      <c r="I10474" s="90"/>
      <c r="J10474" s="90"/>
    </row>
    <row r="10475" spans="1:10" s="15" customFormat="1" ht="16.5" hidden="1" customHeight="1" outlineLevel="1" x14ac:dyDescent="0.25">
      <c r="A10475" s="18">
        <v>3703</v>
      </c>
      <c r="B10475" s="4" t="s">
        <v>44</v>
      </c>
      <c r="C10475" s="38" t="s">
        <v>5526</v>
      </c>
      <c r="D10475" s="18">
        <v>2022</v>
      </c>
      <c r="E10475" s="18" t="s">
        <v>0</v>
      </c>
      <c r="F10475" s="41">
        <v>2</v>
      </c>
      <c r="G10475" s="4">
        <v>30</v>
      </c>
      <c r="H10475" s="18">
        <f>0.0340972*(1000)</f>
        <v>34.097200000000001</v>
      </c>
      <c r="I10475" s="90"/>
      <c r="J10475" s="90"/>
    </row>
    <row r="10476" spans="1:10" s="15" customFormat="1" ht="16.5" hidden="1" customHeight="1" outlineLevel="1" x14ac:dyDescent="0.25">
      <c r="A10476" s="18">
        <v>3704</v>
      </c>
      <c r="B10476" s="4" t="s">
        <v>44</v>
      </c>
      <c r="C10476" s="38" t="s">
        <v>5527</v>
      </c>
      <c r="D10476" s="18">
        <v>2022</v>
      </c>
      <c r="E10476" s="18" t="s">
        <v>0</v>
      </c>
      <c r="F10476" s="41">
        <v>10</v>
      </c>
      <c r="G10476" s="4">
        <v>117</v>
      </c>
      <c r="H10476" s="18">
        <f>0.13269903*(1000)</f>
        <v>132.69902999999999</v>
      </c>
      <c r="I10476" s="90"/>
      <c r="J10476" s="90"/>
    </row>
    <row r="10477" spans="1:10" s="15" customFormat="1" ht="16.5" hidden="1" customHeight="1" outlineLevel="1" x14ac:dyDescent="0.25">
      <c r="A10477" s="18">
        <v>3705</v>
      </c>
      <c r="B10477" s="4" t="s">
        <v>44</v>
      </c>
      <c r="C10477" s="38" t="s">
        <v>5528</v>
      </c>
      <c r="D10477" s="18">
        <v>2022</v>
      </c>
      <c r="E10477" s="18" t="s">
        <v>0</v>
      </c>
      <c r="F10477" s="41">
        <v>5</v>
      </c>
      <c r="G10477" s="4">
        <v>74</v>
      </c>
      <c r="H10477" s="18">
        <f>0.08320859*(1000)</f>
        <v>83.208590000000001</v>
      </c>
      <c r="I10477" s="90"/>
      <c r="J10477" s="90"/>
    </row>
    <row r="10478" spans="1:10" s="15" customFormat="1" ht="16.5" hidden="1" customHeight="1" outlineLevel="1" x14ac:dyDescent="0.25">
      <c r="A10478" s="18">
        <v>3707</v>
      </c>
      <c r="B10478" s="4" t="s">
        <v>44</v>
      </c>
      <c r="C10478" s="38" t="s">
        <v>5529</v>
      </c>
      <c r="D10478" s="18">
        <v>2022</v>
      </c>
      <c r="E10478" s="18" t="s">
        <v>0</v>
      </c>
      <c r="F10478" s="41">
        <v>2</v>
      </c>
      <c r="G10478" s="4">
        <v>25</v>
      </c>
      <c r="H10478" s="18">
        <f>0.03716761*(1000)</f>
        <v>37.167609999999996</v>
      </c>
      <c r="I10478" s="90"/>
      <c r="J10478" s="90"/>
    </row>
    <row r="10479" spans="1:10" s="15" customFormat="1" ht="16.5" hidden="1" customHeight="1" outlineLevel="1" x14ac:dyDescent="0.25">
      <c r="A10479" s="18">
        <v>3708</v>
      </c>
      <c r="B10479" s="4" t="s">
        <v>44</v>
      </c>
      <c r="C10479" s="38" t="s">
        <v>5530</v>
      </c>
      <c r="D10479" s="18">
        <v>2022</v>
      </c>
      <c r="E10479" s="18" t="s">
        <v>0</v>
      </c>
      <c r="F10479" s="41">
        <v>1</v>
      </c>
      <c r="G10479" s="4">
        <v>10</v>
      </c>
      <c r="H10479" s="18">
        <f>0.01744768*(1000)</f>
        <v>17.447680000000002</v>
      </c>
      <c r="I10479" s="90"/>
      <c r="J10479" s="90"/>
    </row>
    <row r="10480" spans="1:10" s="15" customFormat="1" ht="16.5" hidden="1" customHeight="1" outlineLevel="1" x14ac:dyDescent="0.25">
      <c r="A10480" s="18">
        <v>3712</v>
      </c>
      <c r="B10480" s="4" t="s">
        <v>44</v>
      </c>
      <c r="C10480" s="38" t="s">
        <v>5531</v>
      </c>
      <c r="D10480" s="18">
        <v>2022</v>
      </c>
      <c r="E10480" s="18" t="s">
        <v>0</v>
      </c>
      <c r="F10480" s="41">
        <v>1</v>
      </c>
      <c r="G10480" s="4">
        <v>15</v>
      </c>
      <c r="H10480" s="18">
        <f>0.01741015*(1000)</f>
        <v>17.410149999999998</v>
      </c>
      <c r="I10480" s="90"/>
      <c r="J10480" s="90"/>
    </row>
    <row r="10481" spans="1:10" s="15" customFormat="1" ht="16.5" hidden="1" customHeight="1" outlineLevel="1" x14ac:dyDescent="0.25">
      <c r="A10481" s="18">
        <v>3718</v>
      </c>
      <c r="B10481" s="4" t="s">
        <v>44</v>
      </c>
      <c r="C10481" s="38" t="s">
        <v>5532</v>
      </c>
      <c r="D10481" s="18">
        <v>2022</v>
      </c>
      <c r="E10481" s="18" t="s">
        <v>0</v>
      </c>
      <c r="F10481" s="41">
        <v>1</v>
      </c>
      <c r="G10481" s="4">
        <v>15</v>
      </c>
      <c r="H10481" s="18">
        <f>0.01728712*(1000)</f>
        <v>17.287119999999998</v>
      </c>
      <c r="I10481" s="90"/>
      <c r="J10481" s="90"/>
    </row>
    <row r="10482" spans="1:10" s="15" customFormat="1" ht="16.5" hidden="1" customHeight="1" outlineLevel="1" x14ac:dyDescent="0.25">
      <c r="A10482" s="18">
        <v>3719</v>
      </c>
      <c r="B10482" s="4" t="s">
        <v>44</v>
      </c>
      <c r="C10482" s="38" t="s">
        <v>5533</v>
      </c>
      <c r="D10482" s="18">
        <v>2022</v>
      </c>
      <c r="E10482" s="18" t="s">
        <v>0</v>
      </c>
      <c r="F10482" s="41">
        <v>1</v>
      </c>
      <c r="G10482" s="4">
        <v>15</v>
      </c>
      <c r="H10482" s="18">
        <f>0.01741015*(1000)</f>
        <v>17.410149999999998</v>
      </c>
      <c r="I10482" s="90"/>
      <c r="J10482" s="90"/>
    </row>
    <row r="10483" spans="1:10" s="15" customFormat="1" ht="16.5" hidden="1" customHeight="1" outlineLevel="1" x14ac:dyDescent="0.25">
      <c r="A10483" s="18">
        <v>3721</v>
      </c>
      <c r="B10483" s="4" t="s">
        <v>44</v>
      </c>
      <c r="C10483" s="38" t="s">
        <v>5534</v>
      </c>
      <c r="D10483" s="18">
        <v>2022</v>
      </c>
      <c r="E10483" s="18" t="s">
        <v>0</v>
      </c>
      <c r="F10483" s="41">
        <v>1</v>
      </c>
      <c r="G10483" s="4">
        <v>10</v>
      </c>
      <c r="H10483" s="18">
        <f>0.027201*(1000)</f>
        <v>27.201000000000001</v>
      </c>
      <c r="I10483" s="90"/>
      <c r="J10483" s="90"/>
    </row>
    <row r="10484" spans="1:10" s="15" customFormat="1" ht="16.5" hidden="1" customHeight="1" outlineLevel="1" x14ac:dyDescent="0.25">
      <c r="A10484" s="18">
        <v>3722</v>
      </c>
      <c r="B10484" s="4" t="s">
        <v>44</v>
      </c>
      <c r="C10484" s="38" t="s">
        <v>5535</v>
      </c>
      <c r="D10484" s="18">
        <v>2022</v>
      </c>
      <c r="E10484" s="18" t="s">
        <v>0</v>
      </c>
      <c r="F10484" s="41">
        <v>1</v>
      </c>
      <c r="G10484" s="4">
        <v>15</v>
      </c>
      <c r="H10484" s="18">
        <f>0.01741015*(1000)</f>
        <v>17.410149999999998</v>
      </c>
      <c r="I10484" s="90"/>
      <c r="J10484" s="90"/>
    </row>
    <row r="10485" spans="1:10" s="15" customFormat="1" ht="16.5" hidden="1" customHeight="1" outlineLevel="1" x14ac:dyDescent="0.25">
      <c r="A10485" s="18">
        <v>3724</v>
      </c>
      <c r="B10485" s="4" t="s">
        <v>44</v>
      </c>
      <c r="C10485" s="38" t="s">
        <v>5536</v>
      </c>
      <c r="D10485" s="18">
        <v>2022</v>
      </c>
      <c r="E10485" s="18" t="s">
        <v>0</v>
      </c>
      <c r="F10485" s="41">
        <v>1</v>
      </c>
      <c r="G10485" s="4">
        <v>15</v>
      </c>
      <c r="H10485" s="18">
        <f>0.01741015*(1000)</f>
        <v>17.410149999999998</v>
      </c>
      <c r="I10485" s="90"/>
      <c r="J10485" s="90"/>
    </row>
    <row r="10486" spans="1:10" s="15" customFormat="1" ht="16.5" hidden="1" customHeight="1" outlineLevel="1" x14ac:dyDescent="0.25">
      <c r="A10486" s="18">
        <v>3729</v>
      </c>
      <c r="B10486" s="4" t="s">
        <v>44</v>
      </c>
      <c r="C10486" s="38" t="s">
        <v>5537</v>
      </c>
      <c r="D10486" s="18">
        <v>2022</v>
      </c>
      <c r="E10486" s="18" t="s">
        <v>0</v>
      </c>
      <c r="F10486" s="41">
        <v>1</v>
      </c>
      <c r="G10486" s="4">
        <v>15</v>
      </c>
      <c r="H10486" s="18">
        <f>0.01741015*(1000)</f>
        <v>17.410149999999998</v>
      </c>
      <c r="I10486" s="90"/>
      <c r="J10486" s="90"/>
    </row>
    <row r="10487" spans="1:10" s="15" customFormat="1" ht="16.5" hidden="1" customHeight="1" outlineLevel="1" x14ac:dyDescent="0.25">
      <c r="A10487" s="18">
        <v>3730</v>
      </c>
      <c r="B10487" s="4" t="s">
        <v>44</v>
      </c>
      <c r="C10487" s="38" t="s">
        <v>5538</v>
      </c>
      <c r="D10487" s="18">
        <v>2022</v>
      </c>
      <c r="E10487" s="18" t="s">
        <v>0</v>
      </c>
      <c r="F10487" s="41">
        <v>1</v>
      </c>
      <c r="G10487" s="4">
        <v>15</v>
      </c>
      <c r="H10487" s="18">
        <f>0.027201*(1000)</f>
        <v>27.201000000000001</v>
      </c>
      <c r="I10487" s="90"/>
      <c r="J10487" s="90"/>
    </row>
    <row r="10488" spans="1:10" s="15" customFormat="1" ht="16.5" hidden="1" customHeight="1" outlineLevel="1" x14ac:dyDescent="0.25">
      <c r="A10488" s="18">
        <v>3732</v>
      </c>
      <c r="B10488" s="4" t="s">
        <v>44</v>
      </c>
      <c r="C10488" s="38" t="s">
        <v>5539</v>
      </c>
      <c r="D10488" s="18">
        <v>2022</v>
      </c>
      <c r="E10488" s="18" t="s">
        <v>0</v>
      </c>
      <c r="F10488" s="41">
        <v>1</v>
      </c>
      <c r="G10488" s="4">
        <v>15</v>
      </c>
      <c r="H10488" s="18">
        <f>0.02707797*(1000)</f>
        <v>27.077970000000001</v>
      </c>
      <c r="I10488" s="90"/>
      <c r="J10488" s="90"/>
    </row>
    <row r="10489" spans="1:10" s="15" customFormat="1" ht="16.5" hidden="1" customHeight="1" outlineLevel="1" x14ac:dyDescent="0.25">
      <c r="A10489" s="18">
        <v>3734</v>
      </c>
      <c r="B10489" s="4" t="s">
        <v>44</v>
      </c>
      <c r="C10489" s="38" t="s">
        <v>5540</v>
      </c>
      <c r="D10489" s="18">
        <v>2022</v>
      </c>
      <c r="E10489" s="18" t="s">
        <v>0</v>
      </c>
      <c r="F10489" s="41">
        <v>1</v>
      </c>
      <c r="G10489" s="4">
        <v>15</v>
      </c>
      <c r="H10489" s="18">
        <f>0.02707797*(1000)</f>
        <v>27.077970000000001</v>
      </c>
      <c r="I10489" s="90"/>
      <c r="J10489" s="90"/>
    </row>
    <row r="10490" spans="1:10" s="15" customFormat="1" ht="16.5" hidden="1" customHeight="1" outlineLevel="1" x14ac:dyDescent="0.25">
      <c r="A10490" s="18">
        <v>3739</v>
      </c>
      <c r="B10490" s="4" t="s">
        <v>44</v>
      </c>
      <c r="C10490" s="38" t="s">
        <v>5541</v>
      </c>
      <c r="D10490" s="18">
        <v>2022</v>
      </c>
      <c r="E10490" s="18" t="s">
        <v>0</v>
      </c>
      <c r="F10490" s="41">
        <v>1</v>
      </c>
      <c r="G10490" s="4">
        <v>60</v>
      </c>
      <c r="H10490" s="18">
        <f>0.01714049*(1000)</f>
        <v>17.14049</v>
      </c>
      <c r="I10490" s="90"/>
      <c r="J10490" s="90"/>
    </row>
    <row r="10491" spans="1:10" s="15" customFormat="1" ht="16.5" hidden="1" customHeight="1" outlineLevel="1" x14ac:dyDescent="0.25">
      <c r="A10491" s="18">
        <v>3741</v>
      </c>
      <c r="B10491" s="4" t="s">
        <v>44</v>
      </c>
      <c r="C10491" s="38" t="s">
        <v>5542</v>
      </c>
      <c r="D10491" s="18">
        <v>2022</v>
      </c>
      <c r="E10491" s="18" t="s">
        <v>0</v>
      </c>
      <c r="F10491" s="41">
        <v>1</v>
      </c>
      <c r="G10491" s="4">
        <v>15</v>
      </c>
      <c r="H10491" s="18">
        <f>0.01714049*(1000)</f>
        <v>17.14049</v>
      </c>
      <c r="I10491" s="90"/>
      <c r="J10491" s="90"/>
    </row>
    <row r="10492" spans="1:10" s="15" customFormat="1" ht="16.5" hidden="1" customHeight="1" outlineLevel="1" x14ac:dyDescent="0.25">
      <c r="A10492" s="18">
        <v>3742</v>
      </c>
      <c r="B10492" s="4" t="s">
        <v>44</v>
      </c>
      <c r="C10492" s="38" t="s">
        <v>5543</v>
      </c>
      <c r="D10492" s="18">
        <v>2022</v>
      </c>
      <c r="E10492" s="18" t="s">
        <v>0</v>
      </c>
      <c r="F10492" s="41">
        <v>1</v>
      </c>
      <c r="G10492" s="4">
        <v>15</v>
      </c>
      <c r="H10492" s="18">
        <f>0.02707797*(1000)</f>
        <v>27.077970000000001</v>
      </c>
      <c r="I10492" s="90"/>
      <c r="J10492" s="90"/>
    </row>
    <row r="10493" spans="1:10" s="15" customFormat="1" ht="16.5" hidden="1" customHeight="1" outlineLevel="1" x14ac:dyDescent="0.25">
      <c r="A10493" s="18">
        <v>3748</v>
      </c>
      <c r="B10493" s="4" t="s">
        <v>44</v>
      </c>
      <c r="C10493" s="38" t="s">
        <v>5544</v>
      </c>
      <c r="D10493" s="18">
        <v>2022</v>
      </c>
      <c r="E10493" s="18" t="s">
        <v>0</v>
      </c>
      <c r="F10493" s="41">
        <v>1</v>
      </c>
      <c r="G10493" s="4">
        <v>15</v>
      </c>
      <c r="H10493" s="18">
        <f>0.01726354*(1000)</f>
        <v>17.263540000000003</v>
      </c>
      <c r="I10493" s="90"/>
      <c r="J10493" s="90"/>
    </row>
    <row r="10494" spans="1:10" s="15" customFormat="1" ht="16.5" hidden="1" customHeight="1" outlineLevel="1" x14ac:dyDescent="0.25">
      <c r="A10494" s="18">
        <v>3749</v>
      </c>
      <c r="B10494" s="4" t="s">
        <v>44</v>
      </c>
      <c r="C10494" s="38" t="s">
        <v>5545</v>
      </c>
      <c r="D10494" s="18">
        <v>2022</v>
      </c>
      <c r="E10494" s="18" t="s">
        <v>0</v>
      </c>
      <c r="F10494" s="41">
        <v>1</v>
      </c>
      <c r="G10494" s="4">
        <v>15</v>
      </c>
      <c r="H10494" s="18">
        <f>0.01726354*(1000)</f>
        <v>17.263540000000003</v>
      </c>
      <c r="I10494" s="90"/>
      <c r="J10494" s="90"/>
    </row>
    <row r="10495" spans="1:10" s="15" customFormat="1" ht="16.5" hidden="1" customHeight="1" outlineLevel="1" x14ac:dyDescent="0.25">
      <c r="A10495" s="18">
        <v>3753</v>
      </c>
      <c r="B10495" s="4" t="s">
        <v>44</v>
      </c>
      <c r="C10495" s="38" t="s">
        <v>5546</v>
      </c>
      <c r="D10495" s="18">
        <v>2022</v>
      </c>
      <c r="E10495" s="18" t="s">
        <v>0</v>
      </c>
      <c r="F10495" s="41">
        <v>1</v>
      </c>
      <c r="G10495" s="4">
        <v>5</v>
      </c>
      <c r="H10495" s="18">
        <f>0.01726354*(1000)</f>
        <v>17.263540000000003</v>
      </c>
      <c r="I10495" s="90"/>
      <c r="J10495" s="90"/>
    </row>
    <row r="10496" spans="1:10" s="15" customFormat="1" ht="16.5" hidden="1" customHeight="1" outlineLevel="1" x14ac:dyDescent="0.25">
      <c r="A10496" s="18">
        <v>3754</v>
      </c>
      <c r="B10496" s="4" t="s">
        <v>44</v>
      </c>
      <c r="C10496" s="38" t="s">
        <v>5547</v>
      </c>
      <c r="D10496" s="18">
        <v>2022</v>
      </c>
      <c r="E10496" s="18" t="s">
        <v>0</v>
      </c>
      <c r="F10496" s="41">
        <v>1</v>
      </c>
      <c r="G10496" s="4">
        <v>15</v>
      </c>
      <c r="H10496" s="18">
        <f>0.027201*(1000)</f>
        <v>27.201000000000001</v>
      </c>
      <c r="I10496" s="90"/>
      <c r="J10496" s="90"/>
    </row>
    <row r="10497" spans="1:10" s="15" customFormat="1" ht="16.5" hidden="1" customHeight="1" outlineLevel="1" x14ac:dyDescent="0.25">
      <c r="A10497" s="18">
        <v>3755</v>
      </c>
      <c r="B10497" s="4" t="s">
        <v>44</v>
      </c>
      <c r="C10497" s="38" t="s">
        <v>5548</v>
      </c>
      <c r="D10497" s="18">
        <v>2022</v>
      </c>
      <c r="E10497" s="18" t="s">
        <v>0</v>
      </c>
      <c r="F10497" s="41">
        <v>1</v>
      </c>
      <c r="G10497" s="4">
        <v>15</v>
      </c>
      <c r="H10497" s="18">
        <f>0.02707797*(1000)</f>
        <v>27.077970000000001</v>
      </c>
      <c r="I10497" s="90"/>
      <c r="J10497" s="90"/>
    </row>
    <row r="10498" spans="1:10" s="15" customFormat="1" ht="16.5" hidden="1" customHeight="1" outlineLevel="1" x14ac:dyDescent="0.25">
      <c r="A10498" s="18">
        <v>3756</v>
      </c>
      <c r="B10498" s="4" t="s">
        <v>44</v>
      </c>
      <c r="C10498" s="38" t="s">
        <v>5549</v>
      </c>
      <c r="D10498" s="18">
        <v>2022</v>
      </c>
      <c r="E10498" s="18" t="s">
        <v>0</v>
      </c>
      <c r="F10498" s="41">
        <v>1</v>
      </c>
      <c r="G10498" s="4">
        <v>11</v>
      </c>
      <c r="H10498" s="18">
        <f>0.02707797*(1000)</f>
        <v>27.077970000000001</v>
      </c>
      <c r="I10498" s="90"/>
      <c r="J10498" s="90"/>
    </row>
    <row r="10499" spans="1:10" s="15" customFormat="1" ht="16.5" hidden="1" customHeight="1" outlineLevel="1" x14ac:dyDescent="0.25">
      <c r="A10499" s="18">
        <v>3764</v>
      </c>
      <c r="B10499" s="4" t="s">
        <v>44</v>
      </c>
      <c r="C10499" s="38" t="s">
        <v>5550</v>
      </c>
      <c r="D10499" s="18">
        <v>2022</v>
      </c>
      <c r="E10499" s="18" t="s">
        <v>0</v>
      </c>
      <c r="F10499" s="41">
        <v>1</v>
      </c>
      <c r="G10499" s="4">
        <v>15</v>
      </c>
      <c r="H10499" s="18">
        <f>0.01717797*(1000)</f>
        <v>17.177970000000002</v>
      </c>
      <c r="I10499" s="90"/>
      <c r="J10499" s="90"/>
    </row>
    <row r="10500" spans="1:10" s="15" customFormat="1" ht="16.5" hidden="1" customHeight="1" outlineLevel="1" x14ac:dyDescent="0.25">
      <c r="A10500" s="18">
        <v>3766</v>
      </c>
      <c r="B10500" s="4" t="s">
        <v>44</v>
      </c>
      <c r="C10500" s="38" t="s">
        <v>5551</v>
      </c>
      <c r="D10500" s="18">
        <v>2022</v>
      </c>
      <c r="E10500" s="18" t="s">
        <v>0</v>
      </c>
      <c r="F10500" s="41">
        <v>1</v>
      </c>
      <c r="G10500" s="4">
        <v>15</v>
      </c>
      <c r="H10500" s="18">
        <f>0.01717797*(1000)</f>
        <v>17.177970000000002</v>
      </c>
      <c r="I10500" s="90"/>
      <c r="J10500" s="90"/>
    </row>
    <row r="10501" spans="1:10" s="15" customFormat="1" ht="16.5" hidden="1" customHeight="1" outlineLevel="1" x14ac:dyDescent="0.25">
      <c r="A10501" s="18">
        <v>3767</v>
      </c>
      <c r="B10501" s="4" t="s">
        <v>44</v>
      </c>
      <c r="C10501" s="38" t="s">
        <v>5552</v>
      </c>
      <c r="D10501" s="18">
        <v>2022</v>
      </c>
      <c r="E10501" s="18" t="s">
        <v>0</v>
      </c>
      <c r="F10501" s="41">
        <v>7</v>
      </c>
      <c r="G10501" s="4">
        <v>85</v>
      </c>
      <c r="H10501" s="18">
        <f>0.10276313*(1000)</f>
        <v>102.76312999999999</v>
      </c>
      <c r="I10501" s="90"/>
      <c r="J10501" s="90"/>
    </row>
    <row r="10502" spans="1:10" s="15" customFormat="1" ht="16.5" hidden="1" customHeight="1" outlineLevel="1" x14ac:dyDescent="0.25">
      <c r="A10502" s="18">
        <v>3768</v>
      </c>
      <c r="B10502" s="4" t="s">
        <v>44</v>
      </c>
      <c r="C10502" s="38" t="s">
        <v>5553</v>
      </c>
      <c r="D10502" s="18">
        <v>2022</v>
      </c>
      <c r="E10502" s="18" t="s">
        <v>0</v>
      </c>
      <c r="F10502" s="41">
        <v>1</v>
      </c>
      <c r="G10502" s="4">
        <v>15</v>
      </c>
      <c r="H10502" s="18">
        <f>0.01717797*(1000)</f>
        <v>17.177970000000002</v>
      </c>
      <c r="I10502" s="90"/>
      <c r="J10502" s="90"/>
    </row>
    <row r="10503" spans="1:10" s="15" customFormat="1" ht="16.5" hidden="1" customHeight="1" outlineLevel="1" x14ac:dyDescent="0.25">
      <c r="A10503" s="18">
        <v>3770</v>
      </c>
      <c r="B10503" s="4" t="s">
        <v>44</v>
      </c>
      <c r="C10503" s="38" t="s">
        <v>5554</v>
      </c>
      <c r="D10503" s="18">
        <v>2022</v>
      </c>
      <c r="E10503" s="18" t="s">
        <v>0</v>
      </c>
      <c r="F10503" s="41">
        <v>1</v>
      </c>
      <c r="G10503" s="4">
        <v>15</v>
      </c>
      <c r="H10503" s="18">
        <f>0.02711548*(1000)</f>
        <v>27.115480000000002</v>
      </c>
      <c r="I10503" s="90"/>
      <c r="J10503" s="90"/>
    </row>
    <row r="10504" spans="1:10" s="15" customFormat="1" ht="16.5" hidden="1" customHeight="1" outlineLevel="1" x14ac:dyDescent="0.25">
      <c r="A10504" s="18">
        <v>3773</v>
      </c>
      <c r="B10504" s="4" t="s">
        <v>44</v>
      </c>
      <c r="C10504" s="38" t="s">
        <v>5555</v>
      </c>
      <c r="D10504" s="18">
        <v>2022</v>
      </c>
      <c r="E10504" s="18" t="s">
        <v>0</v>
      </c>
      <c r="F10504" s="41">
        <v>1</v>
      </c>
      <c r="G10504" s="4">
        <v>15</v>
      </c>
      <c r="H10504" s="18">
        <f>0.01717797*(1000)</f>
        <v>17.177970000000002</v>
      </c>
      <c r="I10504" s="90"/>
      <c r="J10504" s="90"/>
    </row>
    <row r="10505" spans="1:10" s="15" customFormat="1" ht="16.5" hidden="1" customHeight="1" outlineLevel="1" x14ac:dyDescent="0.25">
      <c r="A10505" s="18">
        <v>3776</v>
      </c>
      <c r="B10505" s="4" t="s">
        <v>44</v>
      </c>
      <c r="C10505" s="38" t="s">
        <v>5556</v>
      </c>
      <c r="D10505" s="18">
        <v>2022</v>
      </c>
      <c r="E10505" s="18" t="s">
        <v>0</v>
      </c>
      <c r="F10505" s="41">
        <v>1</v>
      </c>
      <c r="G10505" s="4">
        <v>15</v>
      </c>
      <c r="H10505" s="18">
        <f>0.02711548*(1000)</f>
        <v>27.115480000000002</v>
      </c>
      <c r="I10505" s="90"/>
      <c r="J10505" s="90"/>
    </row>
    <row r="10506" spans="1:10" s="15" customFormat="1" ht="16.5" hidden="1" customHeight="1" outlineLevel="1" x14ac:dyDescent="0.25">
      <c r="A10506" s="18">
        <v>3779</v>
      </c>
      <c r="B10506" s="4" t="s">
        <v>44</v>
      </c>
      <c r="C10506" s="38" t="s">
        <v>5557</v>
      </c>
      <c r="D10506" s="18">
        <v>2022</v>
      </c>
      <c r="E10506" s="18" t="s">
        <v>0</v>
      </c>
      <c r="F10506" s="41">
        <v>1</v>
      </c>
      <c r="G10506" s="4">
        <v>15</v>
      </c>
      <c r="H10506" s="18">
        <f>0.02711548*(1000)</f>
        <v>27.115480000000002</v>
      </c>
      <c r="I10506" s="90"/>
      <c r="J10506" s="90"/>
    </row>
    <row r="10507" spans="1:10" s="15" customFormat="1" ht="16.5" hidden="1" customHeight="1" outlineLevel="1" x14ac:dyDescent="0.25">
      <c r="A10507" s="18">
        <v>3780</v>
      </c>
      <c r="B10507" s="4" t="s">
        <v>44</v>
      </c>
      <c r="C10507" s="38" t="s">
        <v>5558</v>
      </c>
      <c r="D10507" s="18">
        <v>2022</v>
      </c>
      <c r="E10507" s="18" t="s">
        <v>0</v>
      </c>
      <c r="F10507" s="41">
        <v>1</v>
      </c>
      <c r="G10507" s="4">
        <v>15</v>
      </c>
      <c r="H10507" s="18">
        <f>0.02711548*(1000)</f>
        <v>27.115480000000002</v>
      </c>
      <c r="I10507" s="90"/>
      <c r="J10507" s="90"/>
    </row>
    <row r="10508" spans="1:10" s="15" customFormat="1" ht="16.5" hidden="1" customHeight="1" outlineLevel="1" x14ac:dyDescent="0.25">
      <c r="A10508" s="18">
        <v>3783</v>
      </c>
      <c r="B10508" s="4" t="s">
        <v>44</v>
      </c>
      <c r="C10508" s="38" t="s">
        <v>5559</v>
      </c>
      <c r="D10508" s="18">
        <v>2022</v>
      </c>
      <c r="E10508" s="18" t="s">
        <v>0</v>
      </c>
      <c r="F10508" s="41">
        <v>1</v>
      </c>
      <c r="G10508" s="4">
        <v>4</v>
      </c>
      <c r="H10508" s="18">
        <f>0.01717797*(1000)</f>
        <v>17.177970000000002</v>
      </c>
      <c r="I10508" s="90"/>
      <c r="J10508" s="90"/>
    </row>
    <row r="10509" spans="1:10" s="15" customFormat="1" ht="16.5" hidden="1" customHeight="1" outlineLevel="1" x14ac:dyDescent="0.25">
      <c r="A10509" s="18">
        <v>3784</v>
      </c>
      <c r="B10509" s="4" t="s">
        <v>44</v>
      </c>
      <c r="C10509" s="38" t="s">
        <v>5560</v>
      </c>
      <c r="D10509" s="18">
        <v>2022</v>
      </c>
      <c r="E10509" s="18" t="s">
        <v>0</v>
      </c>
      <c r="F10509" s="41">
        <v>1</v>
      </c>
      <c r="G10509" s="4">
        <v>15</v>
      </c>
      <c r="H10509" s="18">
        <f>0.01717797*(1000)</f>
        <v>17.177970000000002</v>
      </c>
      <c r="I10509" s="90"/>
      <c r="J10509" s="90"/>
    </row>
    <row r="10510" spans="1:10" s="15" customFormat="1" ht="16.5" hidden="1" customHeight="1" outlineLevel="1" x14ac:dyDescent="0.25">
      <c r="A10510" s="18">
        <v>3787</v>
      </c>
      <c r="B10510" s="4" t="s">
        <v>44</v>
      </c>
      <c r="C10510" s="38" t="s">
        <v>5561</v>
      </c>
      <c r="D10510" s="18">
        <v>2022</v>
      </c>
      <c r="E10510" s="18" t="s">
        <v>0</v>
      </c>
      <c r="F10510" s="41">
        <v>1</v>
      </c>
      <c r="G10510" s="4">
        <v>12</v>
      </c>
      <c r="H10510" s="18">
        <f>0.02711548*(1000)</f>
        <v>27.115480000000002</v>
      </c>
      <c r="I10510" s="90"/>
      <c r="J10510" s="90"/>
    </row>
    <row r="10511" spans="1:10" s="15" customFormat="1" ht="16.5" hidden="1" customHeight="1" outlineLevel="1" x14ac:dyDescent="0.25">
      <c r="A10511" s="18">
        <v>3789</v>
      </c>
      <c r="B10511" s="4" t="s">
        <v>44</v>
      </c>
      <c r="C10511" s="38" t="s">
        <v>5562</v>
      </c>
      <c r="D10511" s="18">
        <v>2022</v>
      </c>
      <c r="E10511" s="18" t="s">
        <v>0</v>
      </c>
      <c r="F10511" s="41">
        <v>1</v>
      </c>
      <c r="G10511" s="4">
        <v>15</v>
      </c>
      <c r="H10511" s="18">
        <f>0.01717797*(1000)</f>
        <v>17.177970000000002</v>
      </c>
      <c r="I10511" s="90"/>
      <c r="J10511" s="90"/>
    </row>
    <row r="10512" spans="1:10" s="15" customFormat="1" ht="16.5" hidden="1" customHeight="1" outlineLevel="1" x14ac:dyDescent="0.25">
      <c r="A10512" s="18">
        <v>3790</v>
      </c>
      <c r="B10512" s="4" t="s">
        <v>44</v>
      </c>
      <c r="C10512" s="38" t="s">
        <v>5563</v>
      </c>
      <c r="D10512" s="18">
        <v>2022</v>
      </c>
      <c r="E10512" s="18" t="s">
        <v>0</v>
      </c>
      <c r="F10512" s="41">
        <v>1</v>
      </c>
      <c r="G10512" s="4">
        <v>15</v>
      </c>
      <c r="H10512" s="18">
        <f>0.02725638*(1000)</f>
        <v>27.25638</v>
      </c>
      <c r="I10512" s="90"/>
      <c r="J10512" s="90"/>
    </row>
    <row r="10513" spans="1:10" s="15" customFormat="1" ht="16.5" hidden="1" customHeight="1" outlineLevel="1" x14ac:dyDescent="0.25">
      <c r="A10513" s="18">
        <v>3793</v>
      </c>
      <c r="B10513" s="4" t="s">
        <v>44</v>
      </c>
      <c r="C10513" s="38" t="s">
        <v>5564</v>
      </c>
      <c r="D10513" s="18">
        <v>2022</v>
      </c>
      <c r="E10513" s="18" t="s">
        <v>0</v>
      </c>
      <c r="F10513" s="41">
        <v>1</v>
      </c>
      <c r="G10513" s="4">
        <v>15</v>
      </c>
      <c r="H10513" s="18">
        <f>0.01718689*(1000)</f>
        <v>17.186889999999998</v>
      </c>
      <c r="I10513" s="90"/>
      <c r="J10513" s="90"/>
    </row>
    <row r="10514" spans="1:10" s="15" customFormat="1" ht="16.5" hidden="1" customHeight="1" outlineLevel="1" x14ac:dyDescent="0.25">
      <c r="A10514" s="18">
        <v>3800</v>
      </c>
      <c r="B10514" s="4" t="s">
        <v>44</v>
      </c>
      <c r="C10514" s="38" t="s">
        <v>5565</v>
      </c>
      <c r="D10514" s="18">
        <v>2022</v>
      </c>
      <c r="E10514" s="18" t="s">
        <v>0</v>
      </c>
      <c r="F10514" s="41">
        <v>1</v>
      </c>
      <c r="G10514" s="4">
        <v>15</v>
      </c>
      <c r="H10514" s="18">
        <f>0.01714993*(1000)</f>
        <v>17.149930000000001</v>
      </c>
      <c r="I10514" s="90"/>
      <c r="J10514" s="90"/>
    </row>
    <row r="10515" spans="1:10" s="15" customFormat="1" ht="16.5" hidden="1" customHeight="1" outlineLevel="1" x14ac:dyDescent="0.25">
      <c r="A10515" s="18">
        <v>3806</v>
      </c>
      <c r="B10515" s="4" t="s">
        <v>44</v>
      </c>
      <c r="C10515" s="38" t="s">
        <v>5566</v>
      </c>
      <c r="D10515" s="18">
        <v>2022</v>
      </c>
      <c r="E10515" s="18" t="s">
        <v>0</v>
      </c>
      <c r="F10515" s="41">
        <v>1</v>
      </c>
      <c r="G10515" s="4">
        <v>7</v>
      </c>
      <c r="H10515" s="18">
        <f>0.01650691*(1000)</f>
        <v>16.506910000000001</v>
      </c>
      <c r="I10515" s="90"/>
      <c r="J10515" s="90"/>
    </row>
    <row r="10516" spans="1:10" s="15" customFormat="1" ht="16.5" hidden="1" customHeight="1" outlineLevel="1" x14ac:dyDescent="0.25">
      <c r="A10516" s="18">
        <v>3807</v>
      </c>
      <c r="B10516" s="4" t="s">
        <v>44</v>
      </c>
      <c r="C10516" s="38" t="s">
        <v>5567</v>
      </c>
      <c r="D10516" s="18">
        <v>2022</v>
      </c>
      <c r="E10516" s="18" t="s">
        <v>0</v>
      </c>
      <c r="F10516" s="41">
        <v>1</v>
      </c>
      <c r="G10516" s="4">
        <v>10</v>
      </c>
      <c r="H10516" s="18">
        <f>0.01650691*(1000)</f>
        <v>16.506910000000001</v>
      </c>
      <c r="I10516" s="90"/>
      <c r="J10516" s="90"/>
    </row>
    <row r="10517" spans="1:10" s="15" customFormat="1" ht="16.5" hidden="1" customHeight="1" outlineLevel="1" x14ac:dyDescent="0.25">
      <c r="A10517" s="18">
        <v>3811</v>
      </c>
      <c r="B10517" s="4" t="s">
        <v>44</v>
      </c>
      <c r="C10517" s="38" t="s">
        <v>5568</v>
      </c>
      <c r="D10517" s="18">
        <v>2022</v>
      </c>
      <c r="E10517" s="18" t="s">
        <v>0</v>
      </c>
      <c r="F10517" s="41">
        <v>1</v>
      </c>
      <c r="G10517" s="4">
        <v>15</v>
      </c>
      <c r="H10517" s="18">
        <f>0.02708743*(1000)</f>
        <v>27.087429999999998</v>
      </c>
      <c r="I10517" s="90"/>
      <c r="J10517" s="90"/>
    </row>
    <row r="10518" spans="1:10" s="15" customFormat="1" ht="16.5" hidden="1" customHeight="1" outlineLevel="1" x14ac:dyDescent="0.25">
      <c r="A10518" s="18">
        <v>3814</v>
      </c>
      <c r="B10518" s="4" t="s">
        <v>44</v>
      </c>
      <c r="C10518" s="38" t="s">
        <v>5569</v>
      </c>
      <c r="D10518" s="18">
        <v>2022</v>
      </c>
      <c r="E10518" s="18" t="s">
        <v>0</v>
      </c>
      <c r="F10518" s="41">
        <v>1</v>
      </c>
      <c r="G10518" s="4">
        <v>15</v>
      </c>
      <c r="H10518" s="18">
        <f>0.02708743*(1000)</f>
        <v>27.087429999999998</v>
      </c>
      <c r="I10518" s="90"/>
      <c r="J10518" s="90"/>
    </row>
    <row r="10519" spans="1:10" s="15" customFormat="1" ht="16.5" hidden="1" customHeight="1" outlineLevel="1" x14ac:dyDescent="0.25">
      <c r="A10519" s="18">
        <v>3815</v>
      </c>
      <c r="B10519" s="4" t="s">
        <v>44</v>
      </c>
      <c r="C10519" s="38" t="s">
        <v>5570</v>
      </c>
      <c r="D10519" s="18">
        <v>2022</v>
      </c>
      <c r="E10519" s="18" t="s">
        <v>0</v>
      </c>
      <c r="F10519" s="41">
        <v>1</v>
      </c>
      <c r="G10519" s="4">
        <v>15</v>
      </c>
      <c r="H10519" s="18">
        <f>0.01729657*(1000)</f>
        <v>17.296569999999999</v>
      </c>
      <c r="I10519" s="90"/>
      <c r="J10519" s="90"/>
    </row>
    <row r="10520" spans="1:10" s="15" customFormat="1" ht="16.5" hidden="1" customHeight="1" outlineLevel="1" x14ac:dyDescent="0.25">
      <c r="A10520" s="18">
        <v>3817</v>
      </c>
      <c r="B10520" s="4" t="s">
        <v>44</v>
      </c>
      <c r="C10520" s="38" t="s">
        <v>5571</v>
      </c>
      <c r="D10520" s="18">
        <v>2022</v>
      </c>
      <c r="E10520" s="18" t="s">
        <v>0</v>
      </c>
      <c r="F10520" s="41">
        <v>1</v>
      </c>
      <c r="G10520" s="4">
        <v>14</v>
      </c>
      <c r="H10520" s="18">
        <f>0.01729657*(1000)</f>
        <v>17.296569999999999</v>
      </c>
      <c r="I10520" s="90"/>
      <c r="J10520" s="90"/>
    </row>
    <row r="10521" spans="1:10" s="15" customFormat="1" ht="16.5" hidden="1" customHeight="1" outlineLevel="1" x14ac:dyDescent="0.25">
      <c r="A10521" s="18">
        <v>3818</v>
      </c>
      <c r="B10521" s="4" t="s">
        <v>44</v>
      </c>
      <c r="C10521" s="38" t="s">
        <v>5572</v>
      </c>
      <c r="D10521" s="18">
        <v>2022</v>
      </c>
      <c r="E10521" s="18" t="s">
        <v>0</v>
      </c>
      <c r="F10521" s="41">
        <v>1</v>
      </c>
      <c r="G10521" s="4">
        <v>4.46</v>
      </c>
      <c r="H10521" s="18">
        <f>0.01729657*(1000)</f>
        <v>17.296569999999999</v>
      </c>
      <c r="I10521" s="90"/>
      <c r="J10521" s="90"/>
    </row>
    <row r="10522" spans="1:10" s="15" customFormat="1" ht="16.5" hidden="1" customHeight="1" outlineLevel="1" x14ac:dyDescent="0.25">
      <c r="A10522" s="18">
        <v>3819</v>
      </c>
      <c r="B10522" s="4" t="s">
        <v>44</v>
      </c>
      <c r="C10522" s="38" t="s">
        <v>5573</v>
      </c>
      <c r="D10522" s="18">
        <v>2022</v>
      </c>
      <c r="E10522" s="18" t="s">
        <v>0</v>
      </c>
      <c r="F10522" s="41">
        <v>1</v>
      </c>
      <c r="G10522" s="4">
        <v>15</v>
      </c>
      <c r="H10522" s="18">
        <f>0.01729657*(1000)</f>
        <v>17.296569999999999</v>
      </c>
      <c r="I10522" s="90"/>
      <c r="J10522" s="90"/>
    </row>
    <row r="10523" spans="1:10" s="15" customFormat="1" ht="16.5" hidden="1" customHeight="1" outlineLevel="1" x14ac:dyDescent="0.25">
      <c r="A10523" s="18">
        <v>3821</v>
      </c>
      <c r="B10523" s="4" t="s">
        <v>44</v>
      </c>
      <c r="C10523" s="38" t="s">
        <v>5574</v>
      </c>
      <c r="D10523" s="18">
        <v>2022</v>
      </c>
      <c r="E10523" s="18" t="s">
        <v>0</v>
      </c>
      <c r="F10523" s="41">
        <v>1</v>
      </c>
      <c r="G10523" s="4">
        <v>11</v>
      </c>
      <c r="H10523" s="18">
        <f>0.01729656*(1000)</f>
        <v>17.296559999999999</v>
      </c>
      <c r="I10523" s="90"/>
      <c r="J10523" s="90"/>
    </row>
    <row r="10524" spans="1:10" s="15" customFormat="1" ht="16.5" hidden="1" customHeight="1" outlineLevel="1" x14ac:dyDescent="0.25">
      <c r="A10524" s="18">
        <v>3822</v>
      </c>
      <c r="B10524" s="4" t="s">
        <v>44</v>
      </c>
      <c r="C10524" s="38" t="s">
        <v>5575</v>
      </c>
      <c r="D10524" s="18">
        <v>2022</v>
      </c>
      <c r="E10524" s="18" t="s">
        <v>0</v>
      </c>
      <c r="F10524" s="41">
        <v>1</v>
      </c>
      <c r="G10524" s="4">
        <v>13.5</v>
      </c>
      <c r="H10524" s="18">
        <f>0.01729657*(1000)</f>
        <v>17.296569999999999</v>
      </c>
      <c r="I10524" s="90"/>
      <c r="J10524" s="90"/>
    </row>
    <row r="10525" spans="1:10" s="15" customFormat="1" ht="16.5" hidden="1" customHeight="1" outlineLevel="1" x14ac:dyDescent="0.25">
      <c r="A10525" s="18">
        <v>3823</v>
      </c>
      <c r="B10525" s="4" t="s">
        <v>44</v>
      </c>
      <c r="C10525" s="38" t="s">
        <v>5576</v>
      </c>
      <c r="D10525" s="18">
        <v>2022</v>
      </c>
      <c r="E10525" s="18" t="s">
        <v>0</v>
      </c>
      <c r="F10525" s="41">
        <v>1</v>
      </c>
      <c r="G10525" s="4">
        <v>15</v>
      </c>
      <c r="H10525" s="18">
        <f>0.01729656*(1000)</f>
        <v>17.296559999999999</v>
      </c>
      <c r="I10525" s="90"/>
      <c r="J10525" s="90"/>
    </row>
    <row r="10526" spans="1:10" s="15" customFormat="1" ht="16.5" hidden="1" customHeight="1" outlineLevel="1" x14ac:dyDescent="0.25">
      <c r="A10526" s="18">
        <v>3833</v>
      </c>
      <c r="B10526" s="4" t="s">
        <v>44</v>
      </c>
      <c r="C10526" s="38" t="s">
        <v>5577</v>
      </c>
      <c r="D10526" s="18">
        <v>2022</v>
      </c>
      <c r="E10526" s="18" t="s">
        <v>0</v>
      </c>
      <c r="F10526" s="41">
        <v>1</v>
      </c>
      <c r="G10526" s="4">
        <v>12</v>
      </c>
      <c r="H10526" s="18">
        <f>0.02708742*(1000)</f>
        <v>27.087420000000002</v>
      </c>
      <c r="I10526" s="90"/>
      <c r="J10526" s="90"/>
    </row>
    <row r="10527" spans="1:10" s="15" customFormat="1" ht="16.5" hidden="1" customHeight="1" outlineLevel="1" x14ac:dyDescent="0.25">
      <c r="A10527" s="18">
        <v>3834</v>
      </c>
      <c r="B10527" s="4" t="s">
        <v>44</v>
      </c>
      <c r="C10527" s="38" t="s">
        <v>5578</v>
      </c>
      <c r="D10527" s="18">
        <v>2022</v>
      </c>
      <c r="E10527" s="18" t="s">
        <v>0</v>
      </c>
      <c r="F10527" s="41">
        <v>1</v>
      </c>
      <c r="G10527" s="4">
        <v>15</v>
      </c>
      <c r="H10527" s="18">
        <f>0.01729656*(1000)</f>
        <v>17.296559999999999</v>
      </c>
      <c r="I10527" s="90"/>
      <c r="J10527" s="90"/>
    </row>
    <row r="10528" spans="1:10" s="15" customFormat="1" ht="16.5" hidden="1" customHeight="1" outlineLevel="1" x14ac:dyDescent="0.25">
      <c r="A10528" s="18">
        <v>3839</v>
      </c>
      <c r="B10528" s="4" t="s">
        <v>44</v>
      </c>
      <c r="C10528" s="38" t="s">
        <v>5579</v>
      </c>
      <c r="D10528" s="18">
        <v>2022</v>
      </c>
      <c r="E10528" s="18" t="s">
        <v>0</v>
      </c>
      <c r="F10528" s="41">
        <v>1</v>
      </c>
      <c r="G10528" s="4">
        <v>10</v>
      </c>
      <c r="H10528" s="18">
        <f>0.01729656*(1000)</f>
        <v>17.296559999999999</v>
      </c>
      <c r="I10528" s="90"/>
      <c r="J10528" s="90"/>
    </row>
    <row r="10529" spans="1:10" s="15" customFormat="1" ht="16.5" hidden="1" customHeight="1" outlineLevel="1" x14ac:dyDescent="0.25">
      <c r="A10529" s="18">
        <v>3847</v>
      </c>
      <c r="B10529" s="4" t="s">
        <v>44</v>
      </c>
      <c r="C10529" s="38" t="s">
        <v>5580</v>
      </c>
      <c r="D10529" s="18">
        <v>2022</v>
      </c>
      <c r="E10529" s="18" t="s">
        <v>0</v>
      </c>
      <c r="F10529" s="41">
        <v>1</v>
      </c>
      <c r="G10529" s="4">
        <v>15</v>
      </c>
      <c r="H10529" s="18">
        <f>0.01730821*(1000)</f>
        <v>17.308210000000003</v>
      </c>
      <c r="I10529" s="90"/>
      <c r="J10529" s="90"/>
    </row>
    <row r="10530" spans="1:10" s="15" customFormat="1" ht="16.5" hidden="1" customHeight="1" outlineLevel="1" x14ac:dyDescent="0.25">
      <c r="A10530" s="18">
        <v>3851</v>
      </c>
      <c r="B10530" s="4" t="s">
        <v>44</v>
      </c>
      <c r="C10530" s="38" t="s">
        <v>5581</v>
      </c>
      <c r="D10530" s="18">
        <v>2022</v>
      </c>
      <c r="E10530" s="18" t="s">
        <v>0</v>
      </c>
      <c r="F10530" s="41">
        <v>1</v>
      </c>
      <c r="G10530" s="4">
        <v>15</v>
      </c>
      <c r="H10530" s="18">
        <f>0.01730821*(1000)</f>
        <v>17.308210000000003</v>
      </c>
      <c r="I10530" s="90"/>
      <c r="J10530" s="90"/>
    </row>
    <row r="10531" spans="1:10" s="15" customFormat="1" ht="16.5" hidden="1" customHeight="1" outlineLevel="1" x14ac:dyDescent="0.25">
      <c r="A10531" s="18">
        <v>3852</v>
      </c>
      <c r="B10531" s="4" t="s">
        <v>44</v>
      </c>
      <c r="C10531" s="38" t="s">
        <v>5582</v>
      </c>
      <c r="D10531" s="18">
        <v>2022</v>
      </c>
      <c r="E10531" s="18" t="s">
        <v>0</v>
      </c>
      <c r="F10531" s="41">
        <v>1</v>
      </c>
      <c r="G10531" s="4">
        <v>15</v>
      </c>
      <c r="H10531" s="18">
        <f>0.02709905*(1000)</f>
        <v>27.099049999999998</v>
      </c>
      <c r="I10531" s="90"/>
      <c r="J10531" s="90"/>
    </row>
    <row r="10532" spans="1:10" s="15" customFormat="1" ht="16.5" hidden="1" customHeight="1" outlineLevel="1" x14ac:dyDescent="0.25">
      <c r="A10532" s="18">
        <v>3853</v>
      </c>
      <c r="B10532" s="4" t="s">
        <v>44</v>
      </c>
      <c r="C10532" s="38" t="s">
        <v>5583</v>
      </c>
      <c r="D10532" s="18">
        <v>2022</v>
      </c>
      <c r="E10532" s="18" t="s">
        <v>0</v>
      </c>
      <c r="F10532" s="41">
        <v>1</v>
      </c>
      <c r="G10532" s="4">
        <v>15</v>
      </c>
      <c r="H10532" s="18">
        <f t="shared" ref="H10532:H10537" si="12">0.01730821*(1000)</f>
        <v>17.308210000000003</v>
      </c>
      <c r="I10532" s="90"/>
      <c r="J10532" s="90"/>
    </row>
    <row r="10533" spans="1:10" s="15" customFormat="1" ht="16.5" hidden="1" customHeight="1" outlineLevel="1" x14ac:dyDescent="0.25">
      <c r="A10533" s="18">
        <v>3860</v>
      </c>
      <c r="B10533" s="4" t="s">
        <v>44</v>
      </c>
      <c r="C10533" s="38" t="s">
        <v>5584</v>
      </c>
      <c r="D10533" s="18">
        <v>2022</v>
      </c>
      <c r="E10533" s="18" t="s">
        <v>0</v>
      </c>
      <c r="F10533" s="41">
        <v>1</v>
      </c>
      <c r="G10533" s="4">
        <v>15</v>
      </c>
      <c r="H10533" s="18">
        <f t="shared" si="12"/>
        <v>17.308210000000003</v>
      </c>
      <c r="I10533" s="90"/>
      <c r="J10533" s="90"/>
    </row>
    <row r="10534" spans="1:10" s="15" customFormat="1" ht="16.5" hidden="1" customHeight="1" outlineLevel="1" x14ac:dyDescent="0.25">
      <c r="A10534" s="18">
        <v>3862</v>
      </c>
      <c r="B10534" s="4" t="s">
        <v>44</v>
      </c>
      <c r="C10534" s="38" t="s">
        <v>5585</v>
      </c>
      <c r="D10534" s="18">
        <v>2022</v>
      </c>
      <c r="E10534" s="18" t="s">
        <v>0</v>
      </c>
      <c r="F10534" s="41">
        <v>1</v>
      </c>
      <c r="G10534" s="4">
        <v>15</v>
      </c>
      <c r="H10534" s="18">
        <f t="shared" si="12"/>
        <v>17.308210000000003</v>
      </c>
      <c r="I10534" s="90"/>
      <c r="J10534" s="90"/>
    </row>
    <row r="10535" spans="1:10" s="15" customFormat="1" ht="16.5" hidden="1" customHeight="1" outlineLevel="1" x14ac:dyDescent="0.25">
      <c r="A10535" s="18">
        <v>3864</v>
      </c>
      <c r="B10535" s="4" t="s">
        <v>44</v>
      </c>
      <c r="C10535" s="38" t="s">
        <v>5586</v>
      </c>
      <c r="D10535" s="18">
        <v>2022</v>
      </c>
      <c r="E10535" s="18" t="s">
        <v>0</v>
      </c>
      <c r="F10535" s="41">
        <v>1</v>
      </c>
      <c r="G10535" s="4">
        <v>12</v>
      </c>
      <c r="H10535" s="18">
        <f t="shared" si="12"/>
        <v>17.308210000000003</v>
      </c>
      <c r="I10535" s="90"/>
      <c r="J10535" s="90"/>
    </row>
    <row r="10536" spans="1:10" s="15" customFormat="1" ht="16.5" hidden="1" customHeight="1" outlineLevel="1" x14ac:dyDescent="0.25">
      <c r="A10536" s="18">
        <v>3869</v>
      </c>
      <c r="B10536" s="4" t="s">
        <v>44</v>
      </c>
      <c r="C10536" s="38" t="s">
        <v>5587</v>
      </c>
      <c r="D10536" s="18">
        <v>2022</v>
      </c>
      <c r="E10536" s="18" t="s">
        <v>0</v>
      </c>
      <c r="F10536" s="41">
        <v>1</v>
      </c>
      <c r="G10536" s="4">
        <v>12</v>
      </c>
      <c r="H10536" s="18">
        <f t="shared" si="12"/>
        <v>17.308210000000003</v>
      </c>
      <c r="I10536" s="90"/>
      <c r="J10536" s="90"/>
    </row>
    <row r="10537" spans="1:10" s="15" customFormat="1" ht="16.5" hidden="1" customHeight="1" outlineLevel="1" x14ac:dyDescent="0.25">
      <c r="A10537" s="18">
        <v>3874</v>
      </c>
      <c r="B10537" s="4" t="s">
        <v>44</v>
      </c>
      <c r="C10537" s="38" t="s">
        <v>5588</v>
      </c>
      <c r="D10537" s="18">
        <v>2022</v>
      </c>
      <c r="E10537" s="18" t="s">
        <v>0</v>
      </c>
      <c r="F10537" s="41">
        <v>1</v>
      </c>
      <c r="G10537" s="4">
        <v>12</v>
      </c>
      <c r="H10537" s="18">
        <f t="shared" si="12"/>
        <v>17.308210000000003</v>
      </c>
      <c r="I10537" s="90"/>
      <c r="J10537" s="90"/>
    </row>
    <row r="10538" spans="1:10" s="15" customFormat="1" ht="16.5" hidden="1" customHeight="1" outlineLevel="1" x14ac:dyDescent="0.25">
      <c r="A10538" s="18">
        <v>3877</v>
      </c>
      <c r="B10538" s="4" t="s">
        <v>44</v>
      </c>
      <c r="C10538" s="38" t="s">
        <v>5589</v>
      </c>
      <c r="D10538" s="18">
        <v>2022</v>
      </c>
      <c r="E10538" s="18" t="s">
        <v>0</v>
      </c>
      <c r="F10538" s="41">
        <v>1</v>
      </c>
      <c r="G10538" s="4">
        <v>12</v>
      </c>
      <c r="H10538" s="18">
        <f>0.02709905*(1000)</f>
        <v>27.099049999999998</v>
      </c>
      <c r="I10538" s="90"/>
      <c r="J10538" s="90"/>
    </row>
    <row r="10539" spans="1:10" s="15" customFormat="1" ht="16.5" hidden="1" customHeight="1" outlineLevel="1" x14ac:dyDescent="0.25">
      <c r="A10539" s="18">
        <v>3882</v>
      </c>
      <c r="B10539" s="4" t="s">
        <v>44</v>
      </c>
      <c r="C10539" s="38" t="s">
        <v>5590</v>
      </c>
      <c r="D10539" s="18">
        <v>2022</v>
      </c>
      <c r="E10539" s="18" t="s">
        <v>0</v>
      </c>
      <c r="F10539" s="41">
        <v>1</v>
      </c>
      <c r="G10539" s="4">
        <v>12</v>
      </c>
      <c r="H10539" s="18">
        <f>0.01730821*(1000)</f>
        <v>17.308210000000003</v>
      </c>
      <c r="I10539" s="90"/>
      <c r="J10539" s="90"/>
    </row>
    <row r="10540" spans="1:10" s="15" customFormat="1" ht="16.5" hidden="1" customHeight="1" outlineLevel="1" x14ac:dyDescent="0.25">
      <c r="A10540" s="18">
        <v>3883</v>
      </c>
      <c r="B10540" s="4" t="s">
        <v>44</v>
      </c>
      <c r="C10540" s="38" t="s">
        <v>5591</v>
      </c>
      <c r="D10540" s="18">
        <v>2022</v>
      </c>
      <c r="E10540" s="18" t="s">
        <v>0</v>
      </c>
      <c r="F10540" s="41">
        <v>1</v>
      </c>
      <c r="G10540" s="4">
        <v>15</v>
      </c>
      <c r="H10540" s="18">
        <f>0.02709905*(1000)</f>
        <v>27.099049999999998</v>
      </c>
      <c r="I10540" s="90"/>
      <c r="J10540" s="90"/>
    </row>
    <row r="10541" spans="1:10" s="15" customFormat="1" ht="16.5" hidden="1" customHeight="1" outlineLevel="1" x14ac:dyDescent="0.25">
      <c r="A10541" s="18">
        <v>3885</v>
      </c>
      <c r="B10541" s="4" t="s">
        <v>44</v>
      </c>
      <c r="C10541" s="38" t="s">
        <v>5592</v>
      </c>
      <c r="D10541" s="18">
        <v>2022</v>
      </c>
      <c r="E10541" s="18" t="s">
        <v>0</v>
      </c>
      <c r="F10541" s="41">
        <v>1</v>
      </c>
      <c r="G10541" s="4">
        <v>12</v>
      </c>
      <c r="H10541" s="18">
        <f>0.01730821*(1000)</f>
        <v>17.308210000000003</v>
      </c>
      <c r="I10541" s="90"/>
      <c r="J10541" s="90"/>
    </row>
    <row r="10542" spans="1:10" s="15" customFormat="1" ht="16.5" hidden="1" customHeight="1" outlineLevel="1" x14ac:dyDescent="0.25">
      <c r="A10542" s="18">
        <v>3888</v>
      </c>
      <c r="B10542" s="4" t="s">
        <v>44</v>
      </c>
      <c r="C10542" s="38" t="s">
        <v>5593</v>
      </c>
      <c r="D10542" s="18">
        <v>2022</v>
      </c>
      <c r="E10542" s="18" t="s">
        <v>0</v>
      </c>
      <c r="F10542" s="41">
        <v>1</v>
      </c>
      <c r="G10542" s="4">
        <v>15</v>
      </c>
      <c r="H10542" s="18">
        <f>0.01730821*(1000)</f>
        <v>17.308210000000003</v>
      </c>
      <c r="I10542" s="90"/>
      <c r="J10542" s="90"/>
    </row>
    <row r="10543" spans="1:10" s="15" customFormat="1" ht="16.5" hidden="1" customHeight="1" outlineLevel="1" x14ac:dyDescent="0.25">
      <c r="A10543" s="18">
        <v>3889</v>
      </c>
      <c r="B10543" s="4" t="s">
        <v>44</v>
      </c>
      <c r="C10543" s="38" t="s">
        <v>5594</v>
      </c>
      <c r="D10543" s="18">
        <v>2022</v>
      </c>
      <c r="E10543" s="18" t="s">
        <v>0</v>
      </c>
      <c r="F10543" s="41">
        <v>1</v>
      </c>
      <c r="G10543" s="4">
        <v>10</v>
      </c>
      <c r="H10543" s="18">
        <f>0.01730821*(1000)</f>
        <v>17.308210000000003</v>
      </c>
      <c r="I10543" s="90"/>
      <c r="J10543" s="90"/>
    </row>
    <row r="10544" spans="1:10" s="15" customFormat="1" ht="16.5" hidden="1" customHeight="1" outlineLevel="1" x14ac:dyDescent="0.25">
      <c r="A10544" s="18">
        <v>3890</v>
      </c>
      <c r="B10544" s="4" t="s">
        <v>44</v>
      </c>
      <c r="C10544" s="38" t="s">
        <v>5595</v>
      </c>
      <c r="D10544" s="18">
        <v>2022</v>
      </c>
      <c r="E10544" s="18" t="s">
        <v>0</v>
      </c>
      <c r="F10544" s="41">
        <v>1</v>
      </c>
      <c r="G10544" s="4">
        <v>15</v>
      </c>
      <c r="H10544" s="18">
        <f>0.01730821*(1000)</f>
        <v>17.308210000000003</v>
      </c>
      <c r="I10544" s="90"/>
      <c r="J10544" s="90"/>
    </row>
    <row r="10545" spans="1:10" s="15" customFormat="1" ht="16.5" hidden="1" customHeight="1" outlineLevel="1" x14ac:dyDescent="0.25">
      <c r="A10545" s="18">
        <v>3891</v>
      </c>
      <c r="B10545" s="4" t="s">
        <v>44</v>
      </c>
      <c r="C10545" s="38" t="s">
        <v>5596</v>
      </c>
      <c r="D10545" s="18">
        <v>2022</v>
      </c>
      <c r="E10545" s="18" t="s">
        <v>0</v>
      </c>
      <c r="F10545" s="41">
        <v>1</v>
      </c>
      <c r="G10545" s="4">
        <v>15</v>
      </c>
      <c r="H10545" s="18">
        <f>0.01730821*(1000)</f>
        <v>17.308210000000003</v>
      </c>
      <c r="I10545" s="90"/>
      <c r="J10545" s="90"/>
    </row>
    <row r="10546" spans="1:10" s="15" customFormat="1" ht="16.5" hidden="1" customHeight="1" outlineLevel="1" x14ac:dyDescent="0.25">
      <c r="A10546" s="18">
        <v>3892</v>
      </c>
      <c r="B10546" s="4" t="s">
        <v>44</v>
      </c>
      <c r="C10546" s="38" t="s">
        <v>5597</v>
      </c>
      <c r="D10546" s="18">
        <v>2022</v>
      </c>
      <c r="E10546" s="18" t="s">
        <v>0</v>
      </c>
      <c r="F10546" s="41">
        <v>1</v>
      </c>
      <c r="G10546" s="4">
        <v>15</v>
      </c>
      <c r="H10546" s="18">
        <f>0.02709905*(1000)</f>
        <v>27.099049999999998</v>
      </c>
      <c r="I10546" s="90"/>
      <c r="J10546" s="90"/>
    </row>
    <row r="10547" spans="1:10" s="15" customFormat="1" ht="16.5" hidden="1" customHeight="1" outlineLevel="1" x14ac:dyDescent="0.25">
      <c r="A10547" s="18">
        <v>3895</v>
      </c>
      <c r="B10547" s="4" t="s">
        <v>44</v>
      </c>
      <c r="C10547" s="38" t="s">
        <v>5598</v>
      </c>
      <c r="D10547" s="18">
        <v>2022</v>
      </c>
      <c r="E10547" s="18" t="s">
        <v>0</v>
      </c>
      <c r="F10547" s="41">
        <v>1</v>
      </c>
      <c r="G10547" s="4">
        <v>15</v>
      </c>
      <c r="H10547" s="18">
        <f>0.02709905*(1000)</f>
        <v>27.099049999999998</v>
      </c>
      <c r="I10547" s="90"/>
      <c r="J10547" s="90"/>
    </row>
    <row r="10548" spans="1:10" s="15" customFormat="1" ht="16.5" hidden="1" customHeight="1" outlineLevel="1" x14ac:dyDescent="0.25">
      <c r="A10548" s="18">
        <v>3900</v>
      </c>
      <c r="B10548" s="4" t="s">
        <v>44</v>
      </c>
      <c r="C10548" s="38" t="s">
        <v>5599</v>
      </c>
      <c r="D10548" s="18">
        <v>2022</v>
      </c>
      <c r="E10548" s="18" t="s">
        <v>0</v>
      </c>
      <c r="F10548" s="41">
        <v>1</v>
      </c>
      <c r="G10548" s="4">
        <v>12</v>
      </c>
      <c r="H10548" s="18">
        <f>0.02710156*(1000)</f>
        <v>27.101559999999999</v>
      </c>
      <c r="I10548" s="90"/>
      <c r="J10548" s="90"/>
    </row>
    <row r="10549" spans="1:10" s="15" customFormat="1" ht="16.5" hidden="1" customHeight="1" outlineLevel="1" x14ac:dyDescent="0.25">
      <c r="A10549" s="18">
        <v>3903</v>
      </c>
      <c r="B10549" s="4" t="s">
        <v>44</v>
      </c>
      <c r="C10549" s="38" t="s">
        <v>5600</v>
      </c>
      <c r="D10549" s="18">
        <v>2022</v>
      </c>
      <c r="E10549" s="18" t="s">
        <v>0</v>
      </c>
      <c r="F10549" s="41">
        <v>1</v>
      </c>
      <c r="G10549" s="4">
        <v>15</v>
      </c>
      <c r="H10549" s="18">
        <f>0.01729417*(1000)</f>
        <v>17.294170000000001</v>
      </c>
      <c r="I10549" s="90"/>
      <c r="J10549" s="90"/>
    </row>
    <row r="10550" spans="1:10" s="15" customFormat="1" ht="16.5" hidden="1" customHeight="1" outlineLevel="1" x14ac:dyDescent="0.25">
      <c r="A10550" s="18">
        <v>3905</v>
      </c>
      <c r="B10550" s="4" t="s">
        <v>44</v>
      </c>
      <c r="C10550" s="38" t="s">
        <v>5601</v>
      </c>
      <c r="D10550" s="18">
        <v>2022</v>
      </c>
      <c r="E10550" s="18" t="s">
        <v>0</v>
      </c>
      <c r="F10550" s="41">
        <v>1</v>
      </c>
      <c r="G10550" s="4">
        <v>15</v>
      </c>
      <c r="H10550" s="18">
        <f>0.01729417*(1000)</f>
        <v>17.294170000000001</v>
      </c>
      <c r="I10550" s="90"/>
      <c r="J10550" s="90"/>
    </row>
    <row r="10551" spans="1:10" s="15" customFormat="1" ht="16.5" hidden="1" customHeight="1" outlineLevel="1" x14ac:dyDescent="0.25">
      <c r="A10551" s="18">
        <v>3906</v>
      </c>
      <c r="B10551" s="4" t="s">
        <v>44</v>
      </c>
      <c r="C10551" s="38" t="s">
        <v>5602</v>
      </c>
      <c r="D10551" s="18">
        <v>2022</v>
      </c>
      <c r="E10551" s="18" t="s">
        <v>0</v>
      </c>
      <c r="F10551" s="41">
        <v>1</v>
      </c>
      <c r="G10551" s="4">
        <v>15</v>
      </c>
      <c r="H10551" s="18">
        <f>0.01729417*(1000)</f>
        <v>17.294170000000001</v>
      </c>
      <c r="I10551" s="90"/>
      <c r="J10551" s="90"/>
    </row>
    <row r="10552" spans="1:10" s="15" customFormat="1" ht="16.5" hidden="1" customHeight="1" outlineLevel="1" x14ac:dyDescent="0.25">
      <c r="A10552" s="18">
        <v>3908</v>
      </c>
      <c r="B10552" s="4" t="s">
        <v>44</v>
      </c>
      <c r="C10552" s="38" t="s">
        <v>5603</v>
      </c>
      <c r="D10552" s="18">
        <v>2022</v>
      </c>
      <c r="E10552" s="18" t="s">
        <v>0</v>
      </c>
      <c r="F10552" s="41">
        <v>1</v>
      </c>
      <c r="G10552" s="4">
        <v>10</v>
      </c>
      <c r="H10552" s="18">
        <f>0.01729417*(1000)</f>
        <v>17.294170000000001</v>
      </c>
      <c r="I10552" s="90"/>
      <c r="J10552" s="90"/>
    </row>
    <row r="10553" spans="1:10" s="15" customFormat="1" ht="16.5" hidden="1" customHeight="1" outlineLevel="1" x14ac:dyDescent="0.25">
      <c r="A10553" s="18">
        <v>3911</v>
      </c>
      <c r="B10553" s="4" t="s">
        <v>44</v>
      </c>
      <c r="C10553" s="38" t="s">
        <v>5604</v>
      </c>
      <c r="D10553" s="18">
        <v>2022</v>
      </c>
      <c r="E10553" s="18" t="s">
        <v>0</v>
      </c>
      <c r="F10553" s="41">
        <v>1</v>
      </c>
      <c r="G10553" s="4">
        <v>15</v>
      </c>
      <c r="H10553" s="18">
        <f>0.01729417*(1000)</f>
        <v>17.294170000000001</v>
      </c>
      <c r="I10553" s="90"/>
      <c r="J10553" s="90"/>
    </row>
    <row r="10554" spans="1:10" s="15" customFormat="1" ht="16.5" hidden="1" customHeight="1" outlineLevel="1" x14ac:dyDescent="0.25">
      <c r="A10554" s="18">
        <v>3915</v>
      </c>
      <c r="B10554" s="4" t="s">
        <v>44</v>
      </c>
      <c r="C10554" s="38" t="s">
        <v>5605</v>
      </c>
      <c r="D10554" s="18">
        <v>2022</v>
      </c>
      <c r="E10554" s="18" t="s">
        <v>0</v>
      </c>
      <c r="F10554" s="41">
        <v>1</v>
      </c>
      <c r="G10554" s="4">
        <v>15</v>
      </c>
      <c r="H10554" s="18">
        <f>0.02708502*(1000)</f>
        <v>27.08502</v>
      </c>
      <c r="I10554" s="90"/>
      <c r="J10554" s="90"/>
    </row>
    <row r="10555" spans="1:10" s="15" customFormat="1" ht="16.5" hidden="1" customHeight="1" outlineLevel="1" x14ac:dyDescent="0.25">
      <c r="A10555" s="18">
        <v>3921</v>
      </c>
      <c r="B10555" s="4" t="s">
        <v>44</v>
      </c>
      <c r="C10555" s="38" t="s">
        <v>5606</v>
      </c>
      <c r="D10555" s="18">
        <v>2022</v>
      </c>
      <c r="E10555" s="18" t="s">
        <v>0</v>
      </c>
      <c r="F10555" s="41">
        <v>1</v>
      </c>
      <c r="G10555" s="4">
        <v>15</v>
      </c>
      <c r="H10555" s="18">
        <f>0.01729417*(1000)</f>
        <v>17.294170000000001</v>
      </c>
      <c r="I10555" s="90"/>
      <c r="J10555" s="90"/>
    </row>
    <row r="10556" spans="1:10" s="15" customFormat="1" ht="16.5" hidden="1" customHeight="1" outlineLevel="1" x14ac:dyDescent="0.25">
      <c r="A10556" s="18">
        <v>3922</v>
      </c>
      <c r="B10556" s="4" t="s">
        <v>44</v>
      </c>
      <c r="C10556" s="38" t="s">
        <v>5607</v>
      </c>
      <c r="D10556" s="18">
        <v>2022</v>
      </c>
      <c r="E10556" s="18" t="s">
        <v>0</v>
      </c>
      <c r="F10556" s="41">
        <v>1</v>
      </c>
      <c r="G10556" s="4">
        <v>15</v>
      </c>
      <c r="H10556" s="18">
        <f>0.01742616*(1000)</f>
        <v>17.426159999999999</v>
      </c>
      <c r="I10556" s="90"/>
      <c r="J10556" s="90"/>
    </row>
    <row r="10557" spans="1:10" s="15" customFormat="1" ht="16.5" hidden="1" customHeight="1" outlineLevel="1" x14ac:dyDescent="0.25">
      <c r="A10557" s="18">
        <v>3923</v>
      </c>
      <c r="B10557" s="4" t="s">
        <v>44</v>
      </c>
      <c r="C10557" s="38" t="s">
        <v>5608</v>
      </c>
      <c r="D10557" s="18">
        <v>2022</v>
      </c>
      <c r="E10557" s="18" t="s">
        <v>0</v>
      </c>
      <c r="F10557" s="41">
        <v>1</v>
      </c>
      <c r="G10557" s="4">
        <v>15</v>
      </c>
      <c r="H10557" s="18">
        <f t="shared" ref="H10557:H10562" si="13">0.01729417*(1000)</f>
        <v>17.294170000000001</v>
      </c>
      <c r="I10557" s="90"/>
      <c r="J10557" s="90"/>
    </row>
    <row r="10558" spans="1:10" s="15" customFormat="1" ht="16.5" hidden="1" customHeight="1" outlineLevel="1" x14ac:dyDescent="0.25">
      <c r="A10558" s="18">
        <v>3930</v>
      </c>
      <c r="B10558" s="4" t="s">
        <v>44</v>
      </c>
      <c r="C10558" s="38" t="s">
        <v>5609</v>
      </c>
      <c r="D10558" s="18">
        <v>2022</v>
      </c>
      <c r="E10558" s="18" t="s">
        <v>0</v>
      </c>
      <c r="F10558" s="41">
        <v>1</v>
      </c>
      <c r="G10558" s="4">
        <v>8</v>
      </c>
      <c r="H10558" s="18">
        <f t="shared" si="13"/>
        <v>17.294170000000001</v>
      </c>
      <c r="I10558" s="90"/>
      <c r="J10558" s="90"/>
    </row>
    <row r="10559" spans="1:10" s="15" customFormat="1" ht="16.5" hidden="1" customHeight="1" outlineLevel="1" x14ac:dyDescent="0.25">
      <c r="A10559" s="18">
        <v>3931</v>
      </c>
      <c r="B10559" s="4" t="s">
        <v>44</v>
      </c>
      <c r="C10559" s="38" t="s">
        <v>5610</v>
      </c>
      <c r="D10559" s="18">
        <v>2022</v>
      </c>
      <c r="E10559" s="18" t="s">
        <v>0</v>
      </c>
      <c r="F10559" s="41">
        <v>1</v>
      </c>
      <c r="G10559" s="4">
        <v>8</v>
      </c>
      <c r="H10559" s="18">
        <f t="shared" si="13"/>
        <v>17.294170000000001</v>
      </c>
      <c r="I10559" s="90"/>
      <c r="J10559" s="90"/>
    </row>
    <row r="10560" spans="1:10" s="15" customFormat="1" ht="16.5" hidden="1" customHeight="1" outlineLevel="1" x14ac:dyDescent="0.25">
      <c r="A10560" s="18">
        <v>3933</v>
      </c>
      <c r="B10560" s="4" t="s">
        <v>44</v>
      </c>
      <c r="C10560" s="38" t="s">
        <v>5611</v>
      </c>
      <c r="D10560" s="18">
        <v>2022</v>
      </c>
      <c r="E10560" s="18" t="s">
        <v>0</v>
      </c>
      <c r="F10560" s="41">
        <v>1</v>
      </c>
      <c r="G10560" s="4">
        <v>12</v>
      </c>
      <c r="H10560" s="18">
        <f t="shared" si="13"/>
        <v>17.294170000000001</v>
      </c>
      <c r="I10560" s="90"/>
      <c r="J10560" s="90"/>
    </row>
    <row r="10561" spans="1:10" s="15" customFormat="1" ht="16.5" hidden="1" customHeight="1" outlineLevel="1" x14ac:dyDescent="0.25">
      <c r="A10561" s="18">
        <v>3936</v>
      </c>
      <c r="B10561" s="4" t="s">
        <v>44</v>
      </c>
      <c r="C10561" s="38" t="s">
        <v>5612</v>
      </c>
      <c r="D10561" s="18">
        <v>2022</v>
      </c>
      <c r="E10561" s="18" t="s">
        <v>0</v>
      </c>
      <c r="F10561" s="41">
        <v>1</v>
      </c>
      <c r="G10561" s="4">
        <v>12</v>
      </c>
      <c r="H10561" s="18">
        <f t="shared" si="13"/>
        <v>17.294170000000001</v>
      </c>
      <c r="I10561" s="90"/>
      <c r="J10561" s="90"/>
    </row>
    <row r="10562" spans="1:10" s="15" customFormat="1" ht="16.5" hidden="1" customHeight="1" outlineLevel="1" x14ac:dyDescent="0.25">
      <c r="A10562" s="18">
        <v>3938</v>
      </c>
      <c r="B10562" s="4" t="s">
        <v>44</v>
      </c>
      <c r="C10562" s="38" t="s">
        <v>5613</v>
      </c>
      <c r="D10562" s="18">
        <v>2022</v>
      </c>
      <c r="E10562" s="18" t="s">
        <v>0</v>
      </c>
      <c r="F10562" s="41">
        <v>1</v>
      </c>
      <c r="G10562" s="4">
        <v>12</v>
      </c>
      <c r="H10562" s="18">
        <f t="shared" si="13"/>
        <v>17.294170000000001</v>
      </c>
      <c r="I10562" s="90"/>
      <c r="J10562" s="90"/>
    </row>
    <row r="10563" spans="1:10" s="15" customFormat="1" ht="16.5" hidden="1" customHeight="1" outlineLevel="1" x14ac:dyDescent="0.25">
      <c r="A10563" s="18">
        <v>3963</v>
      </c>
      <c r="B10563" s="4" t="s">
        <v>44</v>
      </c>
      <c r="C10563" s="38" t="s">
        <v>5614</v>
      </c>
      <c r="D10563" s="18">
        <v>2022</v>
      </c>
      <c r="E10563" s="18" t="s">
        <v>0</v>
      </c>
      <c r="F10563" s="41">
        <v>1</v>
      </c>
      <c r="G10563" s="4">
        <v>15</v>
      </c>
      <c r="H10563" s="18">
        <f>0.01731693*(1000)</f>
        <v>17.316930000000003</v>
      </c>
      <c r="I10563" s="90"/>
      <c r="J10563" s="90"/>
    </row>
    <row r="10564" spans="1:10" s="15" customFormat="1" ht="16.5" hidden="1" customHeight="1" outlineLevel="1" x14ac:dyDescent="0.25">
      <c r="A10564" s="18">
        <v>3966</v>
      </c>
      <c r="B10564" s="4" t="s">
        <v>44</v>
      </c>
      <c r="C10564" s="38" t="s">
        <v>5615</v>
      </c>
      <c r="D10564" s="18">
        <v>2022</v>
      </c>
      <c r="E10564" s="18" t="s">
        <v>0</v>
      </c>
      <c r="F10564" s="41">
        <v>1</v>
      </c>
      <c r="G10564" s="4">
        <v>15</v>
      </c>
      <c r="H10564" s="18">
        <f>0.017317*(1000)</f>
        <v>17.317</v>
      </c>
      <c r="I10564" s="90"/>
      <c r="J10564" s="90"/>
    </row>
    <row r="10565" spans="1:10" s="15" customFormat="1" ht="16.5" hidden="1" customHeight="1" outlineLevel="1" x14ac:dyDescent="0.25">
      <c r="A10565" s="18">
        <v>3971</v>
      </c>
      <c r="B10565" s="4" t="s">
        <v>44</v>
      </c>
      <c r="C10565" s="38" t="s">
        <v>5616</v>
      </c>
      <c r="D10565" s="18">
        <v>2022</v>
      </c>
      <c r="E10565" s="18" t="s">
        <v>0</v>
      </c>
      <c r="F10565" s="41">
        <v>1</v>
      </c>
      <c r="G10565" s="4">
        <v>11</v>
      </c>
      <c r="H10565" s="18">
        <f>0.017317*(1000)</f>
        <v>17.317</v>
      </c>
      <c r="I10565" s="90"/>
      <c r="J10565" s="90"/>
    </row>
    <row r="10566" spans="1:10" s="15" customFormat="1" ht="16.5" hidden="1" customHeight="1" outlineLevel="1" x14ac:dyDescent="0.25">
      <c r="A10566" s="18">
        <v>3974</v>
      </c>
      <c r="B10566" s="4" t="s">
        <v>44</v>
      </c>
      <c r="C10566" s="38" t="s">
        <v>5617</v>
      </c>
      <c r="D10566" s="18">
        <v>2022</v>
      </c>
      <c r="E10566" s="18" t="s">
        <v>0</v>
      </c>
      <c r="F10566" s="41">
        <v>1</v>
      </c>
      <c r="G10566" s="4">
        <v>15</v>
      </c>
      <c r="H10566" s="18">
        <f>0.01731701*(1000)</f>
        <v>17.31701</v>
      </c>
      <c r="I10566" s="90"/>
      <c r="J10566" s="90"/>
    </row>
    <row r="10567" spans="1:10" s="15" customFormat="1" ht="16.5" hidden="1" customHeight="1" outlineLevel="1" x14ac:dyDescent="0.25">
      <c r="A10567" s="18">
        <v>3975</v>
      </c>
      <c r="B10567" s="4" t="s">
        <v>44</v>
      </c>
      <c r="C10567" s="38" t="s">
        <v>5618</v>
      </c>
      <c r="D10567" s="18">
        <v>2022</v>
      </c>
      <c r="E10567" s="18" t="s">
        <v>0</v>
      </c>
      <c r="F10567" s="41">
        <v>1</v>
      </c>
      <c r="G10567" s="4">
        <v>15</v>
      </c>
      <c r="H10567" s="18">
        <f>0.01731703*(1000)</f>
        <v>17.317029999999999</v>
      </c>
      <c r="I10567" s="90"/>
      <c r="J10567" s="90"/>
    </row>
    <row r="10568" spans="1:10" s="15" customFormat="1" ht="16.5" hidden="1" customHeight="1" outlineLevel="1" x14ac:dyDescent="0.25">
      <c r="A10568" s="18">
        <v>3977</v>
      </c>
      <c r="B10568" s="4" t="s">
        <v>44</v>
      </c>
      <c r="C10568" s="38" t="s">
        <v>5619</v>
      </c>
      <c r="D10568" s="18">
        <v>2022</v>
      </c>
      <c r="E10568" s="18" t="s">
        <v>0</v>
      </c>
      <c r="F10568" s="41">
        <v>1</v>
      </c>
      <c r="G10568" s="4">
        <v>15</v>
      </c>
      <c r="H10568" s="18">
        <f>0.01731697*(1000)</f>
        <v>17.316970000000001</v>
      </c>
      <c r="I10568" s="90"/>
      <c r="J10568" s="90"/>
    </row>
    <row r="10569" spans="1:10" s="15" customFormat="1" ht="16.5" hidden="1" customHeight="1" outlineLevel="1" x14ac:dyDescent="0.25">
      <c r="A10569" s="18">
        <v>3978</v>
      </c>
      <c r="B10569" s="4" t="s">
        <v>44</v>
      </c>
      <c r="C10569" s="38" t="s">
        <v>5620</v>
      </c>
      <c r="D10569" s="18">
        <v>2022</v>
      </c>
      <c r="E10569" s="18" t="s">
        <v>0</v>
      </c>
      <c r="F10569" s="41">
        <v>1</v>
      </c>
      <c r="G10569" s="4">
        <v>15</v>
      </c>
      <c r="H10569" s="18">
        <f>0.017317*(1000)</f>
        <v>17.317</v>
      </c>
      <c r="I10569" s="90"/>
      <c r="J10569" s="90"/>
    </row>
    <row r="10570" spans="1:10" s="15" customFormat="1" ht="16.5" hidden="1" customHeight="1" outlineLevel="1" x14ac:dyDescent="0.25">
      <c r="A10570" s="18">
        <v>3979</v>
      </c>
      <c r="B10570" s="4" t="s">
        <v>44</v>
      </c>
      <c r="C10570" s="38" t="s">
        <v>5621</v>
      </c>
      <c r="D10570" s="18">
        <v>2022</v>
      </c>
      <c r="E10570" s="18" t="s">
        <v>0</v>
      </c>
      <c r="F10570" s="41">
        <v>1</v>
      </c>
      <c r="G10570" s="4">
        <v>15</v>
      </c>
      <c r="H10570" s="18">
        <f>0.017317*(1000)</f>
        <v>17.317</v>
      </c>
      <c r="I10570" s="90"/>
      <c r="J10570" s="90"/>
    </row>
    <row r="10571" spans="1:10" s="15" customFormat="1" ht="16.5" hidden="1" customHeight="1" outlineLevel="1" x14ac:dyDescent="0.25">
      <c r="A10571" s="18">
        <v>3981</v>
      </c>
      <c r="B10571" s="4" t="s">
        <v>44</v>
      </c>
      <c r="C10571" s="38" t="s">
        <v>5622</v>
      </c>
      <c r="D10571" s="18">
        <v>2022</v>
      </c>
      <c r="E10571" s="18" t="s">
        <v>0</v>
      </c>
      <c r="F10571" s="41">
        <v>1</v>
      </c>
      <c r="G10571" s="4">
        <v>14</v>
      </c>
      <c r="H10571" s="18">
        <f>0.017317*(1000)</f>
        <v>17.317</v>
      </c>
      <c r="I10571" s="90"/>
      <c r="J10571" s="90"/>
    </row>
    <row r="10572" spans="1:10" s="15" customFormat="1" ht="16.5" hidden="1" customHeight="1" outlineLevel="1" x14ac:dyDescent="0.25">
      <c r="A10572" s="18">
        <v>3995</v>
      </c>
      <c r="B10572" s="4" t="s">
        <v>44</v>
      </c>
      <c r="C10572" s="38" t="s">
        <v>5623</v>
      </c>
      <c r="D10572" s="18">
        <v>2022</v>
      </c>
      <c r="E10572" s="18" t="s">
        <v>0</v>
      </c>
      <c r="F10572" s="41">
        <v>1</v>
      </c>
      <c r="G10572" s="4">
        <v>15</v>
      </c>
      <c r="H10572" s="18">
        <f>0.017317*(1000)</f>
        <v>17.317</v>
      </c>
      <c r="I10572" s="90"/>
      <c r="J10572" s="90"/>
    </row>
    <row r="10573" spans="1:10" s="15" customFormat="1" ht="16.5" hidden="1" customHeight="1" outlineLevel="1" x14ac:dyDescent="0.25">
      <c r="A10573" s="18">
        <v>4001</v>
      </c>
      <c r="B10573" s="4" t="s">
        <v>44</v>
      </c>
      <c r="C10573" s="38" t="s">
        <v>5624</v>
      </c>
      <c r="D10573" s="18">
        <v>2022</v>
      </c>
      <c r="E10573" s="18" t="s">
        <v>0</v>
      </c>
      <c r="F10573" s="41">
        <v>1</v>
      </c>
      <c r="G10573" s="4">
        <v>15</v>
      </c>
      <c r="H10573" s="18">
        <f>0.017317*(1000)</f>
        <v>17.317</v>
      </c>
      <c r="I10573" s="90"/>
      <c r="J10573" s="90"/>
    </row>
    <row r="10574" spans="1:10" s="15" customFormat="1" ht="16.5" hidden="1" customHeight="1" outlineLevel="1" x14ac:dyDescent="0.25">
      <c r="A10574" s="18">
        <v>4002</v>
      </c>
      <c r="B10574" s="4" t="s">
        <v>44</v>
      </c>
      <c r="C10574" s="38" t="s">
        <v>5625</v>
      </c>
      <c r="D10574" s="18">
        <v>2022</v>
      </c>
      <c r="E10574" s="18" t="s">
        <v>0</v>
      </c>
      <c r="F10574" s="41">
        <v>1</v>
      </c>
      <c r="G10574" s="4">
        <v>15</v>
      </c>
      <c r="H10574" s="18">
        <f>0.01731702*(1000)</f>
        <v>17.317019999999999</v>
      </c>
      <c r="I10574" s="90"/>
      <c r="J10574" s="90"/>
    </row>
    <row r="10575" spans="1:10" s="15" customFormat="1" ht="16.5" hidden="1" customHeight="1" outlineLevel="1" x14ac:dyDescent="0.25">
      <c r="A10575" s="18">
        <v>4005</v>
      </c>
      <c r="B10575" s="4" t="s">
        <v>44</v>
      </c>
      <c r="C10575" s="38" t="s">
        <v>5626</v>
      </c>
      <c r="D10575" s="18">
        <v>2022</v>
      </c>
      <c r="E10575" s="18" t="s">
        <v>0</v>
      </c>
      <c r="F10575" s="41">
        <v>1</v>
      </c>
      <c r="G10575" s="4">
        <v>15</v>
      </c>
      <c r="H10575" s="18">
        <f>0.017317*(1000)</f>
        <v>17.317</v>
      </c>
      <c r="I10575" s="90"/>
      <c r="J10575" s="90"/>
    </row>
    <row r="10576" spans="1:10" s="15" customFormat="1" ht="16.5" hidden="1" customHeight="1" outlineLevel="1" x14ac:dyDescent="0.25">
      <c r="A10576" s="18">
        <v>4006</v>
      </c>
      <c r="B10576" s="4" t="s">
        <v>44</v>
      </c>
      <c r="C10576" s="38" t="s">
        <v>5627</v>
      </c>
      <c r="D10576" s="18">
        <v>2022</v>
      </c>
      <c r="E10576" s="18" t="s">
        <v>0</v>
      </c>
      <c r="F10576" s="41">
        <v>1</v>
      </c>
      <c r="G10576" s="4">
        <v>15</v>
      </c>
      <c r="H10576" s="18">
        <f>0.017317*(1000)</f>
        <v>17.317</v>
      </c>
      <c r="I10576" s="90"/>
      <c r="J10576" s="90"/>
    </row>
    <row r="10577" spans="1:10" s="15" customFormat="1" ht="16.5" hidden="1" customHeight="1" outlineLevel="1" x14ac:dyDescent="0.25">
      <c r="A10577" s="18">
        <v>4014</v>
      </c>
      <c r="B10577" s="4" t="s">
        <v>44</v>
      </c>
      <c r="C10577" s="38" t="s">
        <v>5628</v>
      </c>
      <c r="D10577" s="18">
        <v>2022</v>
      </c>
      <c r="E10577" s="18" t="s">
        <v>0</v>
      </c>
      <c r="F10577" s="41">
        <v>1</v>
      </c>
      <c r="G10577" s="4">
        <v>11</v>
      </c>
      <c r="H10577" s="18">
        <f>0.017317*(1000)</f>
        <v>17.317</v>
      </c>
      <c r="I10577" s="90"/>
      <c r="J10577" s="90"/>
    </row>
    <row r="10578" spans="1:10" s="15" customFormat="1" ht="16.5" hidden="1" customHeight="1" outlineLevel="1" x14ac:dyDescent="0.25">
      <c r="A10578" s="18">
        <v>4017</v>
      </c>
      <c r="B10578" s="4" t="s">
        <v>44</v>
      </c>
      <c r="C10578" s="38" t="s">
        <v>5629</v>
      </c>
      <c r="D10578" s="18">
        <v>2022</v>
      </c>
      <c r="E10578" s="18" t="s">
        <v>0</v>
      </c>
      <c r="F10578" s="41">
        <v>1</v>
      </c>
      <c r="G10578" s="4">
        <v>15</v>
      </c>
      <c r="H10578" s="18">
        <f>0.01652735*(1000)</f>
        <v>16.527349999999998</v>
      </c>
      <c r="I10578" s="90"/>
      <c r="J10578" s="90"/>
    </row>
    <row r="10579" spans="1:10" s="15" customFormat="1" ht="16.5" hidden="1" customHeight="1" outlineLevel="1" x14ac:dyDescent="0.25">
      <c r="A10579" s="18">
        <v>4027</v>
      </c>
      <c r="B10579" s="4" t="s">
        <v>44</v>
      </c>
      <c r="C10579" s="38" t="s">
        <v>5630</v>
      </c>
      <c r="D10579" s="18">
        <v>2022</v>
      </c>
      <c r="E10579" s="18" t="s">
        <v>0</v>
      </c>
      <c r="F10579" s="41">
        <v>1</v>
      </c>
      <c r="G10579" s="4">
        <v>15</v>
      </c>
      <c r="H10579" s="18">
        <f>0.02710785*(1000)</f>
        <v>27.107849999999999</v>
      </c>
      <c r="I10579" s="90"/>
      <c r="J10579" s="90"/>
    </row>
    <row r="10580" spans="1:10" s="15" customFormat="1" ht="16.5" hidden="1" customHeight="1" outlineLevel="1" x14ac:dyDescent="0.25">
      <c r="A10580" s="18">
        <v>4028</v>
      </c>
      <c r="B10580" s="4" t="s">
        <v>44</v>
      </c>
      <c r="C10580" s="38" t="s">
        <v>5631</v>
      </c>
      <c r="D10580" s="18">
        <v>2022</v>
      </c>
      <c r="E10580" s="18" t="s">
        <v>0</v>
      </c>
      <c r="F10580" s="41">
        <v>25</v>
      </c>
      <c r="G10580" s="4">
        <v>261</v>
      </c>
      <c r="H10580" s="18">
        <f>0.27894723*(1000)</f>
        <v>278.94722999999999</v>
      </c>
      <c r="I10580" s="90"/>
      <c r="J10580" s="90"/>
    </row>
    <row r="10581" spans="1:10" s="15" customFormat="1" ht="16.5" hidden="1" customHeight="1" outlineLevel="1" x14ac:dyDescent="0.25">
      <c r="A10581" s="18">
        <v>4029</v>
      </c>
      <c r="B10581" s="4" t="s">
        <v>44</v>
      </c>
      <c r="C10581" s="38" t="s">
        <v>5632</v>
      </c>
      <c r="D10581" s="18">
        <v>2022</v>
      </c>
      <c r="E10581" s="18" t="s">
        <v>0</v>
      </c>
      <c r="F10581" s="41">
        <v>14</v>
      </c>
      <c r="G10581" s="4">
        <v>158</v>
      </c>
      <c r="H10581" s="18">
        <f>0.17812172*(1000)</f>
        <v>178.12172000000001</v>
      </c>
      <c r="I10581" s="90"/>
      <c r="J10581" s="90"/>
    </row>
    <row r="10582" spans="1:10" s="15" customFormat="1" ht="16.5" hidden="1" customHeight="1" outlineLevel="1" x14ac:dyDescent="0.25">
      <c r="A10582" s="18">
        <v>4030</v>
      </c>
      <c r="B10582" s="4" t="s">
        <v>44</v>
      </c>
      <c r="C10582" s="38" t="s">
        <v>5633</v>
      </c>
      <c r="D10582" s="18">
        <v>2022</v>
      </c>
      <c r="E10582" s="18" t="s">
        <v>0</v>
      </c>
      <c r="F10582" s="41">
        <v>1</v>
      </c>
      <c r="G10582" s="4">
        <v>10</v>
      </c>
      <c r="H10582" s="18">
        <f>0.01805344*(1000)</f>
        <v>18.053440000000002</v>
      </c>
      <c r="I10582" s="90"/>
      <c r="J10582" s="90"/>
    </row>
    <row r="10583" spans="1:10" s="15" customFormat="1" ht="16.5" hidden="1" customHeight="1" outlineLevel="1" x14ac:dyDescent="0.25">
      <c r="A10583" s="18">
        <v>4031</v>
      </c>
      <c r="B10583" s="4" t="s">
        <v>44</v>
      </c>
      <c r="C10583" s="38" t="s">
        <v>5634</v>
      </c>
      <c r="D10583" s="18">
        <v>2022</v>
      </c>
      <c r="E10583" s="18" t="s">
        <v>0</v>
      </c>
      <c r="F10583" s="41">
        <v>1</v>
      </c>
      <c r="G10583" s="4">
        <v>15</v>
      </c>
      <c r="H10583" s="18">
        <f>0.01805344*(1000)</f>
        <v>18.053440000000002</v>
      </c>
      <c r="I10583" s="90"/>
      <c r="J10583" s="90"/>
    </row>
    <row r="10584" spans="1:10" s="15" customFormat="1" ht="16.5" hidden="1" customHeight="1" outlineLevel="1" x14ac:dyDescent="0.25">
      <c r="A10584" s="18">
        <v>4033</v>
      </c>
      <c r="B10584" s="4" t="s">
        <v>44</v>
      </c>
      <c r="C10584" s="38" t="s">
        <v>5635</v>
      </c>
      <c r="D10584" s="18">
        <v>2022</v>
      </c>
      <c r="E10584" s="18" t="s">
        <v>0</v>
      </c>
      <c r="F10584" s="41">
        <v>6</v>
      </c>
      <c r="G10584" s="4">
        <v>70</v>
      </c>
      <c r="H10584" s="18">
        <f>0.07497677*(1000)</f>
        <v>74.976770000000002</v>
      </c>
      <c r="I10584" s="90"/>
      <c r="J10584" s="90"/>
    </row>
    <row r="10585" spans="1:10" s="15" customFormat="1" ht="16.5" hidden="1" customHeight="1" outlineLevel="1" x14ac:dyDescent="0.25">
      <c r="A10585" s="18">
        <v>4034</v>
      </c>
      <c r="B10585" s="4" t="s">
        <v>44</v>
      </c>
      <c r="C10585" s="38" t="s">
        <v>5636</v>
      </c>
      <c r="D10585" s="18">
        <v>2022</v>
      </c>
      <c r="E10585" s="18" t="s">
        <v>0</v>
      </c>
      <c r="F10585" s="41">
        <v>3</v>
      </c>
      <c r="G10585" s="4">
        <v>45</v>
      </c>
      <c r="H10585" s="18">
        <f>0.05218231*(1000)</f>
        <v>52.182310000000001</v>
      </c>
      <c r="I10585" s="90"/>
      <c r="J10585" s="90"/>
    </row>
    <row r="10586" spans="1:10" s="15" customFormat="1" ht="16.5" hidden="1" customHeight="1" outlineLevel="1" x14ac:dyDescent="0.25">
      <c r="A10586" s="18">
        <v>4035</v>
      </c>
      <c r="B10586" s="4" t="s">
        <v>44</v>
      </c>
      <c r="C10586" s="38" t="s">
        <v>5637</v>
      </c>
      <c r="D10586" s="18">
        <v>2022</v>
      </c>
      <c r="E10586" s="18" t="s">
        <v>0</v>
      </c>
      <c r="F10586" s="41">
        <v>6</v>
      </c>
      <c r="G10586" s="4">
        <v>82</v>
      </c>
      <c r="H10586" s="18">
        <f>0.0965122*(1000)</f>
        <v>96.512200000000007</v>
      </c>
      <c r="I10586" s="90"/>
      <c r="J10586" s="90"/>
    </row>
    <row r="10587" spans="1:10" s="15" customFormat="1" ht="16.5" hidden="1" customHeight="1" outlineLevel="1" x14ac:dyDescent="0.25">
      <c r="A10587" s="18">
        <v>4036</v>
      </c>
      <c r="B10587" s="4" t="s">
        <v>44</v>
      </c>
      <c r="C10587" s="38" t="s">
        <v>5638</v>
      </c>
      <c r="D10587" s="18">
        <v>2022</v>
      </c>
      <c r="E10587" s="18" t="s">
        <v>0</v>
      </c>
      <c r="F10587" s="41">
        <v>5</v>
      </c>
      <c r="G10587" s="4">
        <v>65</v>
      </c>
      <c r="H10587" s="18">
        <f>0.06055113*(1000)</f>
        <v>60.551130000000001</v>
      </c>
      <c r="I10587" s="90"/>
      <c r="J10587" s="90"/>
    </row>
    <row r="10588" spans="1:10" s="15" customFormat="1" ht="16.5" hidden="1" customHeight="1" outlineLevel="1" x14ac:dyDescent="0.25">
      <c r="A10588" s="18">
        <v>4037</v>
      </c>
      <c r="B10588" s="4" t="s">
        <v>44</v>
      </c>
      <c r="C10588" s="38" t="s">
        <v>5639</v>
      </c>
      <c r="D10588" s="18">
        <v>2022</v>
      </c>
      <c r="E10588" s="18" t="s">
        <v>0</v>
      </c>
      <c r="F10588" s="41">
        <v>10</v>
      </c>
      <c r="G10588" s="4">
        <v>109</v>
      </c>
      <c r="H10588" s="18">
        <f>0.12105323*(1000)</f>
        <v>121.05323</v>
      </c>
      <c r="I10588" s="90"/>
      <c r="J10588" s="90"/>
    </row>
    <row r="10589" spans="1:10" s="15" customFormat="1" ht="16.5" hidden="1" customHeight="1" outlineLevel="1" x14ac:dyDescent="0.25">
      <c r="A10589" s="18">
        <v>4038</v>
      </c>
      <c r="B10589" s="4" t="s">
        <v>44</v>
      </c>
      <c r="C10589" s="38" t="s">
        <v>5640</v>
      </c>
      <c r="D10589" s="18">
        <v>2022</v>
      </c>
      <c r="E10589" s="18" t="s">
        <v>0</v>
      </c>
      <c r="F10589" s="41">
        <v>4</v>
      </c>
      <c r="G10589" s="4">
        <v>45</v>
      </c>
      <c r="H10589" s="18">
        <f>0.04720718*(1000)</f>
        <v>47.207180000000001</v>
      </c>
      <c r="I10589" s="90"/>
      <c r="J10589" s="90"/>
    </row>
    <row r="10590" spans="1:10" s="15" customFormat="1" ht="16.5" hidden="1" customHeight="1" outlineLevel="1" x14ac:dyDescent="0.25">
      <c r="A10590" s="18">
        <v>4039</v>
      </c>
      <c r="B10590" s="4" t="s">
        <v>44</v>
      </c>
      <c r="C10590" s="38" t="s">
        <v>5641</v>
      </c>
      <c r="D10590" s="18">
        <v>2022</v>
      </c>
      <c r="E10590" s="18" t="s">
        <v>0</v>
      </c>
      <c r="F10590" s="41">
        <v>2</v>
      </c>
      <c r="G10590" s="4">
        <v>25</v>
      </c>
      <c r="H10590" s="18">
        <f>0.02746508*(1000)</f>
        <v>27.46508</v>
      </c>
      <c r="I10590" s="90"/>
      <c r="J10590" s="90"/>
    </row>
    <row r="10591" spans="1:10" s="15" customFormat="1" ht="16.5" hidden="1" customHeight="1" outlineLevel="1" x14ac:dyDescent="0.25">
      <c r="A10591" s="18">
        <v>4041</v>
      </c>
      <c r="B10591" s="4" t="s">
        <v>44</v>
      </c>
      <c r="C10591" s="38" t="s">
        <v>5642</v>
      </c>
      <c r="D10591" s="18">
        <v>2022</v>
      </c>
      <c r="E10591" s="18" t="s">
        <v>0</v>
      </c>
      <c r="F10591" s="41">
        <v>4</v>
      </c>
      <c r="G10591" s="4">
        <v>45</v>
      </c>
      <c r="H10591" s="18">
        <f>0.04707777*(1000)</f>
        <v>47.077770000000001</v>
      </c>
      <c r="I10591" s="90"/>
      <c r="J10591" s="90"/>
    </row>
    <row r="10592" spans="1:10" s="15" customFormat="1" ht="16.5" hidden="1" customHeight="1" outlineLevel="1" x14ac:dyDescent="0.25">
      <c r="A10592" s="18">
        <v>4042</v>
      </c>
      <c r="B10592" s="4" t="s">
        <v>44</v>
      </c>
      <c r="C10592" s="38" t="s">
        <v>5643</v>
      </c>
      <c r="D10592" s="18">
        <v>2022</v>
      </c>
      <c r="E10592" s="18" t="s">
        <v>0</v>
      </c>
      <c r="F10592" s="41">
        <v>3</v>
      </c>
      <c r="G10592" s="4">
        <v>35</v>
      </c>
      <c r="H10592" s="18">
        <f>0.03727143*(1000)</f>
        <v>37.271430000000002</v>
      </c>
      <c r="I10592" s="90"/>
      <c r="J10592" s="90"/>
    </row>
    <row r="10593" spans="1:10" s="15" customFormat="1" ht="16.5" hidden="1" customHeight="1" outlineLevel="1" x14ac:dyDescent="0.25">
      <c r="A10593" s="18">
        <v>4043</v>
      </c>
      <c r="B10593" s="4" t="s">
        <v>44</v>
      </c>
      <c r="C10593" s="38" t="s">
        <v>5644</v>
      </c>
      <c r="D10593" s="18">
        <v>2022</v>
      </c>
      <c r="E10593" s="18" t="s">
        <v>0</v>
      </c>
      <c r="F10593" s="41">
        <v>3</v>
      </c>
      <c r="G10593" s="4">
        <v>39</v>
      </c>
      <c r="H10593" s="18">
        <f>0.03777068*(1000)</f>
        <v>37.770679999999999</v>
      </c>
      <c r="I10593" s="90"/>
      <c r="J10593" s="90"/>
    </row>
    <row r="10594" spans="1:10" s="15" customFormat="1" ht="16.5" hidden="1" customHeight="1" outlineLevel="1" x14ac:dyDescent="0.25">
      <c r="A10594" s="18">
        <v>4044</v>
      </c>
      <c r="B10594" s="4" t="s">
        <v>44</v>
      </c>
      <c r="C10594" s="38" t="s">
        <v>5645</v>
      </c>
      <c r="D10594" s="18">
        <v>2022</v>
      </c>
      <c r="E10594" s="18" t="s">
        <v>0</v>
      </c>
      <c r="F10594" s="41">
        <v>1</v>
      </c>
      <c r="G10594" s="4">
        <v>15</v>
      </c>
      <c r="H10594" s="18">
        <f>0.01851228*(1000)</f>
        <v>18.512280000000001</v>
      </c>
      <c r="I10594" s="90"/>
      <c r="J10594" s="90"/>
    </row>
    <row r="10595" spans="1:10" s="15" customFormat="1" ht="16.5" hidden="1" customHeight="1" outlineLevel="1" x14ac:dyDescent="0.25">
      <c r="A10595" s="18">
        <v>4045</v>
      </c>
      <c r="B10595" s="4" t="s">
        <v>44</v>
      </c>
      <c r="C10595" s="38" t="s">
        <v>5646</v>
      </c>
      <c r="D10595" s="18">
        <v>2022</v>
      </c>
      <c r="E10595" s="18" t="s">
        <v>0</v>
      </c>
      <c r="F10595" s="41">
        <v>9</v>
      </c>
      <c r="G10595" s="4">
        <v>100</v>
      </c>
      <c r="H10595" s="18">
        <f>0.10320204*(1000)</f>
        <v>103.20204</v>
      </c>
      <c r="I10595" s="90"/>
      <c r="J10595" s="90"/>
    </row>
    <row r="10596" spans="1:10" s="15" customFormat="1" ht="16.5" hidden="1" customHeight="1" outlineLevel="1" x14ac:dyDescent="0.25">
      <c r="A10596" s="18">
        <v>4046</v>
      </c>
      <c r="B10596" s="4" t="s">
        <v>44</v>
      </c>
      <c r="C10596" s="38" t="s">
        <v>5647</v>
      </c>
      <c r="D10596" s="18">
        <v>2022</v>
      </c>
      <c r="E10596" s="18" t="s">
        <v>0</v>
      </c>
      <c r="F10596" s="41">
        <v>2</v>
      </c>
      <c r="G10596" s="4">
        <v>25</v>
      </c>
      <c r="H10596" s="18">
        <f>0.02739341*(1000)</f>
        <v>27.393409999999999</v>
      </c>
      <c r="I10596" s="90"/>
      <c r="J10596" s="90"/>
    </row>
    <row r="10597" spans="1:10" s="15" customFormat="1" ht="16.5" hidden="1" customHeight="1" outlineLevel="1" x14ac:dyDescent="0.25">
      <c r="A10597" s="18">
        <v>4047</v>
      </c>
      <c r="B10597" s="4" t="s">
        <v>44</v>
      </c>
      <c r="C10597" s="38" t="s">
        <v>5648</v>
      </c>
      <c r="D10597" s="18">
        <v>2022</v>
      </c>
      <c r="E10597" s="18" t="s">
        <v>0</v>
      </c>
      <c r="F10597" s="41">
        <v>2</v>
      </c>
      <c r="G10597" s="4">
        <v>25</v>
      </c>
      <c r="H10597" s="18">
        <f>0.02739341*(1000)</f>
        <v>27.393409999999999</v>
      </c>
      <c r="I10597" s="90"/>
      <c r="J10597" s="90"/>
    </row>
    <row r="10598" spans="1:10" s="15" customFormat="1" ht="16.5" hidden="1" customHeight="1" outlineLevel="1" x14ac:dyDescent="0.25">
      <c r="A10598" s="18">
        <v>4049</v>
      </c>
      <c r="B10598" s="4" t="s">
        <v>44</v>
      </c>
      <c r="C10598" s="38" t="s">
        <v>5649</v>
      </c>
      <c r="D10598" s="18">
        <v>2022</v>
      </c>
      <c r="E10598" s="18" t="s">
        <v>0</v>
      </c>
      <c r="F10598" s="41">
        <v>3</v>
      </c>
      <c r="G10598" s="4">
        <v>45</v>
      </c>
      <c r="H10598" s="18">
        <f>0.05197274*(1000)</f>
        <v>51.972740000000002</v>
      </c>
      <c r="I10598" s="90"/>
      <c r="J10598" s="90"/>
    </row>
    <row r="10599" spans="1:10" s="15" customFormat="1" ht="16.5" hidden="1" customHeight="1" outlineLevel="1" x14ac:dyDescent="0.25">
      <c r="A10599" s="18">
        <v>4050</v>
      </c>
      <c r="B10599" s="4" t="s">
        <v>44</v>
      </c>
      <c r="C10599" s="38" t="s">
        <v>5650</v>
      </c>
      <c r="D10599" s="18">
        <v>2022</v>
      </c>
      <c r="E10599" s="18" t="s">
        <v>0</v>
      </c>
      <c r="F10599" s="41">
        <v>3</v>
      </c>
      <c r="G10599" s="4">
        <v>45</v>
      </c>
      <c r="H10599" s="18">
        <f>0.05197274*(1000)</f>
        <v>51.972740000000002</v>
      </c>
      <c r="I10599" s="90"/>
      <c r="J10599" s="90"/>
    </row>
    <row r="10600" spans="1:10" s="15" customFormat="1" ht="16.5" hidden="1" customHeight="1" outlineLevel="1" x14ac:dyDescent="0.25">
      <c r="A10600" s="18">
        <v>4053</v>
      </c>
      <c r="B10600" s="4" t="s">
        <v>44</v>
      </c>
      <c r="C10600" s="38" t="s">
        <v>5651</v>
      </c>
      <c r="D10600" s="18">
        <v>2022</v>
      </c>
      <c r="E10600" s="18" t="s">
        <v>0</v>
      </c>
      <c r="F10600" s="41">
        <v>4</v>
      </c>
      <c r="G10600" s="4">
        <v>45</v>
      </c>
      <c r="H10600" s="18">
        <f>0.04707777*(1000)</f>
        <v>47.077770000000001</v>
      </c>
      <c r="I10600" s="90"/>
      <c r="J10600" s="90"/>
    </row>
    <row r="10601" spans="1:10" s="15" customFormat="1" ht="16.5" hidden="1" customHeight="1" outlineLevel="1" x14ac:dyDescent="0.25">
      <c r="A10601" s="18">
        <v>4054</v>
      </c>
      <c r="B10601" s="4" t="s">
        <v>44</v>
      </c>
      <c r="C10601" s="38" t="s">
        <v>5652</v>
      </c>
      <c r="D10601" s="18">
        <v>2022</v>
      </c>
      <c r="E10601" s="18" t="s">
        <v>0</v>
      </c>
      <c r="F10601" s="41">
        <v>3</v>
      </c>
      <c r="G10601" s="4">
        <v>39.5</v>
      </c>
      <c r="H10601" s="18">
        <f>0.04467834*(1000)</f>
        <v>44.678339999999999</v>
      </c>
      <c r="I10601" s="90"/>
      <c r="J10601" s="90"/>
    </row>
    <row r="10602" spans="1:10" s="15" customFormat="1" ht="16.5" hidden="1" customHeight="1" outlineLevel="1" x14ac:dyDescent="0.25">
      <c r="A10602" s="18">
        <v>4056</v>
      </c>
      <c r="B10602" s="4" t="s">
        <v>44</v>
      </c>
      <c r="C10602" s="38" t="s">
        <v>5653</v>
      </c>
      <c r="D10602" s="18">
        <v>2022</v>
      </c>
      <c r="E10602" s="18" t="s">
        <v>0</v>
      </c>
      <c r="F10602" s="41">
        <v>3</v>
      </c>
      <c r="G10602" s="4">
        <v>45</v>
      </c>
      <c r="H10602" s="18">
        <f>0.05208527*(1000)</f>
        <v>52.085270000000001</v>
      </c>
      <c r="I10602" s="90"/>
      <c r="J10602" s="90"/>
    </row>
    <row r="10603" spans="1:10" s="15" customFormat="1" ht="16.5" hidden="1" customHeight="1" outlineLevel="1" x14ac:dyDescent="0.25">
      <c r="A10603" s="18">
        <v>4057</v>
      </c>
      <c r="B10603" s="4" t="s">
        <v>44</v>
      </c>
      <c r="C10603" s="38" t="s">
        <v>5654</v>
      </c>
      <c r="D10603" s="18">
        <v>2022</v>
      </c>
      <c r="E10603" s="18" t="s">
        <v>0</v>
      </c>
      <c r="F10603" s="41">
        <v>7</v>
      </c>
      <c r="G10603" s="4">
        <v>80</v>
      </c>
      <c r="H10603" s="18">
        <f>0.07738786*(1000)</f>
        <v>77.387860000000003</v>
      </c>
      <c r="I10603" s="90"/>
      <c r="J10603" s="90"/>
    </row>
    <row r="10604" spans="1:10" s="15" customFormat="1" ht="16.5" hidden="1" customHeight="1" outlineLevel="1" x14ac:dyDescent="0.25">
      <c r="A10604" s="18">
        <v>4058</v>
      </c>
      <c r="B10604" s="4" t="s">
        <v>44</v>
      </c>
      <c r="C10604" s="38" t="s">
        <v>5655</v>
      </c>
      <c r="D10604" s="18">
        <v>2022</v>
      </c>
      <c r="E10604" s="18" t="s">
        <v>0</v>
      </c>
      <c r="F10604" s="41">
        <v>3</v>
      </c>
      <c r="G10604" s="4">
        <v>31</v>
      </c>
      <c r="H10604" s="18">
        <f>0.03816248*(1000)</f>
        <v>38.162480000000002</v>
      </c>
      <c r="I10604" s="90"/>
      <c r="J10604" s="90"/>
    </row>
    <row r="10605" spans="1:10" s="15" customFormat="1" ht="16.5" hidden="1" customHeight="1" outlineLevel="1" x14ac:dyDescent="0.25">
      <c r="A10605" s="18">
        <v>4059</v>
      </c>
      <c r="B10605" s="4" t="s">
        <v>44</v>
      </c>
      <c r="C10605" s="38" t="s">
        <v>5656</v>
      </c>
      <c r="D10605" s="18">
        <v>2022</v>
      </c>
      <c r="E10605" s="18" t="s">
        <v>0</v>
      </c>
      <c r="F10605" s="41">
        <v>3</v>
      </c>
      <c r="G10605" s="4">
        <v>40</v>
      </c>
      <c r="H10605" s="18">
        <f>0.0455694*(1000)</f>
        <v>45.569400000000002</v>
      </c>
      <c r="I10605" s="90"/>
      <c r="J10605" s="90"/>
    </row>
    <row r="10606" spans="1:10" s="15" customFormat="1" ht="16.5" hidden="1" customHeight="1" outlineLevel="1" x14ac:dyDescent="0.25">
      <c r="A10606" s="18">
        <v>4060</v>
      </c>
      <c r="B10606" s="4" t="s">
        <v>44</v>
      </c>
      <c r="C10606" s="38" t="s">
        <v>5657</v>
      </c>
      <c r="D10606" s="18">
        <v>2022</v>
      </c>
      <c r="E10606" s="18" t="s">
        <v>0</v>
      </c>
      <c r="F10606" s="41">
        <v>1</v>
      </c>
      <c r="G10606" s="4">
        <v>15</v>
      </c>
      <c r="H10606" s="18">
        <f>0.01854975*(1000)</f>
        <v>18.54975</v>
      </c>
      <c r="I10606" s="90"/>
      <c r="J10606" s="90"/>
    </row>
    <row r="10607" spans="1:10" s="15" customFormat="1" ht="16.5" hidden="1" customHeight="1" outlineLevel="1" x14ac:dyDescent="0.25">
      <c r="A10607" s="18">
        <v>4061</v>
      </c>
      <c r="B10607" s="4" t="s">
        <v>44</v>
      </c>
      <c r="C10607" s="38" t="s">
        <v>5658</v>
      </c>
      <c r="D10607" s="18">
        <v>2022</v>
      </c>
      <c r="E10607" s="18" t="s">
        <v>0</v>
      </c>
      <c r="F10607" s="41">
        <v>5</v>
      </c>
      <c r="G10607" s="4">
        <v>65</v>
      </c>
      <c r="H10607" s="18">
        <f>0.07258899*(1000)</f>
        <v>72.58899000000001</v>
      </c>
      <c r="I10607" s="90"/>
      <c r="J10607" s="90"/>
    </row>
    <row r="10608" spans="1:10" s="15" customFormat="1" ht="16.5" hidden="1" customHeight="1" outlineLevel="1" x14ac:dyDescent="0.25">
      <c r="A10608" s="18">
        <v>4062</v>
      </c>
      <c r="B10608" s="4" t="s">
        <v>44</v>
      </c>
      <c r="C10608" s="38" t="s">
        <v>5659</v>
      </c>
      <c r="D10608" s="18">
        <v>2022</v>
      </c>
      <c r="E10608" s="18" t="s">
        <v>0</v>
      </c>
      <c r="F10608" s="41">
        <v>1</v>
      </c>
      <c r="G10608" s="4">
        <v>15</v>
      </c>
      <c r="H10608" s="18">
        <f>0.01854975*(1000)</f>
        <v>18.54975</v>
      </c>
      <c r="I10608" s="90"/>
      <c r="J10608" s="90"/>
    </row>
    <row r="10609" spans="1:10" s="15" customFormat="1" ht="16.5" hidden="1" customHeight="1" outlineLevel="1" x14ac:dyDescent="0.25">
      <c r="A10609" s="18">
        <v>4063</v>
      </c>
      <c r="B10609" s="4" t="s">
        <v>44</v>
      </c>
      <c r="C10609" s="38" t="s">
        <v>5660</v>
      </c>
      <c r="D10609" s="18">
        <v>2022</v>
      </c>
      <c r="E10609" s="18" t="s">
        <v>0</v>
      </c>
      <c r="F10609" s="41">
        <v>2</v>
      </c>
      <c r="G10609" s="4">
        <v>25</v>
      </c>
      <c r="H10609" s="18">
        <f>0.02888401*(1000)</f>
        <v>28.88401</v>
      </c>
      <c r="I10609" s="90"/>
      <c r="J10609" s="90"/>
    </row>
    <row r="10610" spans="1:10" s="15" customFormat="1" ht="16.5" hidden="1" customHeight="1" outlineLevel="1" x14ac:dyDescent="0.25">
      <c r="A10610" s="18">
        <v>4064</v>
      </c>
      <c r="B10610" s="4" t="s">
        <v>44</v>
      </c>
      <c r="C10610" s="38" t="s">
        <v>5661</v>
      </c>
      <c r="D10610" s="18">
        <v>2022</v>
      </c>
      <c r="E10610" s="18" t="s">
        <v>0</v>
      </c>
      <c r="F10610" s="41">
        <v>5</v>
      </c>
      <c r="G10610" s="4">
        <v>65</v>
      </c>
      <c r="H10610" s="18">
        <f>0.07311695*(1000)</f>
        <v>73.116950000000003</v>
      </c>
      <c r="I10610" s="90"/>
      <c r="J10610" s="90"/>
    </row>
    <row r="10611" spans="1:10" s="15" customFormat="1" ht="16.5" hidden="1" customHeight="1" outlineLevel="1" x14ac:dyDescent="0.25">
      <c r="A10611" s="18">
        <v>4066</v>
      </c>
      <c r="B10611" s="4" t="s">
        <v>44</v>
      </c>
      <c r="C10611" s="38" t="s">
        <v>5662</v>
      </c>
      <c r="D10611" s="18">
        <v>2022</v>
      </c>
      <c r="E10611" s="18" t="s">
        <v>0</v>
      </c>
      <c r="F10611" s="41">
        <v>7</v>
      </c>
      <c r="G10611" s="4">
        <v>87</v>
      </c>
      <c r="H10611" s="18">
        <f>0.09862931*(1000)</f>
        <v>98.629310000000004</v>
      </c>
      <c r="I10611" s="90"/>
      <c r="J10611" s="90"/>
    </row>
    <row r="10612" spans="1:10" s="15" customFormat="1" ht="16.5" hidden="1" customHeight="1" outlineLevel="1" x14ac:dyDescent="0.25">
      <c r="A10612" s="18">
        <v>4068</v>
      </c>
      <c r="B10612" s="4" t="s">
        <v>44</v>
      </c>
      <c r="C10612" s="38" t="s">
        <v>5663</v>
      </c>
      <c r="D10612" s="18">
        <v>2022</v>
      </c>
      <c r="E10612" s="18" t="s">
        <v>0</v>
      </c>
      <c r="F10612" s="41">
        <v>3</v>
      </c>
      <c r="G10612" s="4">
        <v>26</v>
      </c>
      <c r="H10612" s="18">
        <f>0.04487763*(1000)</f>
        <v>44.877630000000003</v>
      </c>
      <c r="I10612" s="90"/>
      <c r="J10612" s="90"/>
    </row>
    <row r="10613" spans="1:10" s="15" customFormat="1" ht="16.5" hidden="1" customHeight="1" outlineLevel="1" x14ac:dyDescent="0.25">
      <c r="A10613" s="18">
        <v>4069</v>
      </c>
      <c r="B10613" s="4" t="s">
        <v>44</v>
      </c>
      <c r="C10613" s="38" t="s">
        <v>5664</v>
      </c>
      <c r="D10613" s="18">
        <v>2022</v>
      </c>
      <c r="E10613" s="18" t="s">
        <v>0</v>
      </c>
      <c r="F10613" s="41">
        <v>2</v>
      </c>
      <c r="G10613" s="4">
        <v>27</v>
      </c>
      <c r="H10613" s="18">
        <f>0.0350713*(1000)</f>
        <v>35.071300000000001</v>
      </c>
      <c r="I10613" s="90"/>
      <c r="J10613" s="90"/>
    </row>
    <row r="10614" spans="1:10" s="15" customFormat="1" ht="16.5" hidden="1" customHeight="1" outlineLevel="1" x14ac:dyDescent="0.25">
      <c r="A10614" s="18">
        <v>4070</v>
      </c>
      <c r="B10614" s="4" t="s">
        <v>44</v>
      </c>
      <c r="C10614" s="38" t="s">
        <v>5665</v>
      </c>
      <c r="D10614" s="18">
        <v>2022</v>
      </c>
      <c r="E10614" s="18" t="s">
        <v>0</v>
      </c>
      <c r="F10614" s="41">
        <v>9</v>
      </c>
      <c r="G10614" s="4">
        <v>84</v>
      </c>
      <c r="H10614" s="18">
        <f>0.10345176*(1000)</f>
        <v>103.45176000000001</v>
      </c>
      <c r="I10614" s="90"/>
      <c r="J10614" s="90"/>
    </row>
    <row r="10615" spans="1:10" s="15" customFormat="1" ht="16.5" hidden="1" customHeight="1" outlineLevel="1" x14ac:dyDescent="0.25">
      <c r="A10615" s="18">
        <v>4071</v>
      </c>
      <c r="B10615" s="4" t="s">
        <v>44</v>
      </c>
      <c r="C10615" s="38" t="s">
        <v>5666</v>
      </c>
      <c r="D10615" s="18">
        <v>2022</v>
      </c>
      <c r="E10615" s="18" t="s">
        <v>0</v>
      </c>
      <c r="F10615" s="41">
        <v>3</v>
      </c>
      <c r="G10615" s="4">
        <v>35</v>
      </c>
      <c r="H10615" s="18">
        <f>0.03714834*(1000)</f>
        <v>37.148340000000005</v>
      </c>
      <c r="I10615" s="90"/>
      <c r="J10615" s="90"/>
    </row>
    <row r="10616" spans="1:10" s="15" customFormat="1" ht="16.5" hidden="1" customHeight="1" outlineLevel="1" x14ac:dyDescent="0.25">
      <c r="A10616" s="18">
        <v>4072</v>
      </c>
      <c r="B10616" s="4" t="s">
        <v>44</v>
      </c>
      <c r="C10616" s="38" t="s">
        <v>5667</v>
      </c>
      <c r="D10616" s="18">
        <v>2022</v>
      </c>
      <c r="E10616" s="18" t="s">
        <v>0</v>
      </c>
      <c r="F10616" s="41">
        <v>3</v>
      </c>
      <c r="G10616" s="4">
        <v>40</v>
      </c>
      <c r="H10616" s="18">
        <f>0.04487763*(1000)</f>
        <v>44.877630000000003</v>
      </c>
      <c r="I10616" s="90"/>
      <c r="J10616" s="90"/>
    </row>
    <row r="10617" spans="1:10" s="15" customFormat="1" ht="16.5" hidden="1" customHeight="1" outlineLevel="1" x14ac:dyDescent="0.25">
      <c r="A10617" s="18">
        <v>4073</v>
      </c>
      <c r="B10617" s="4" t="s">
        <v>44</v>
      </c>
      <c r="C10617" s="38" t="s">
        <v>5668</v>
      </c>
      <c r="D10617" s="18">
        <v>2022</v>
      </c>
      <c r="E10617" s="18" t="s">
        <v>0</v>
      </c>
      <c r="F10617" s="41">
        <v>3</v>
      </c>
      <c r="G10617" s="4">
        <v>35</v>
      </c>
      <c r="H10617" s="18">
        <f>0.033647*(1000)</f>
        <v>33.647000000000006</v>
      </c>
      <c r="I10617" s="90"/>
      <c r="J10617" s="90"/>
    </row>
    <row r="10618" spans="1:10" s="15" customFormat="1" ht="16.5" hidden="1" customHeight="1" outlineLevel="1" x14ac:dyDescent="0.25">
      <c r="A10618" s="18">
        <v>4074</v>
      </c>
      <c r="B10618" s="4" t="s">
        <v>44</v>
      </c>
      <c r="C10618" s="38" t="s">
        <v>5669</v>
      </c>
      <c r="D10618" s="18">
        <v>2022</v>
      </c>
      <c r="E10618" s="18" t="s">
        <v>0</v>
      </c>
      <c r="F10618" s="41">
        <v>5</v>
      </c>
      <c r="G10618" s="4">
        <v>65</v>
      </c>
      <c r="H10618" s="18">
        <f>0.06065989*(1000)</f>
        <v>60.659890000000004</v>
      </c>
      <c r="I10618" s="90"/>
      <c r="J10618" s="90"/>
    </row>
    <row r="10619" spans="1:10" s="15" customFormat="1" ht="16.5" hidden="1" customHeight="1" outlineLevel="1" x14ac:dyDescent="0.25">
      <c r="A10619" s="18">
        <v>4075</v>
      </c>
      <c r="B10619" s="4" t="s">
        <v>44</v>
      </c>
      <c r="C10619" s="38" t="s">
        <v>5670</v>
      </c>
      <c r="D10619" s="18">
        <v>2022</v>
      </c>
      <c r="E10619" s="18" t="s">
        <v>0</v>
      </c>
      <c r="F10619" s="41">
        <v>3</v>
      </c>
      <c r="G10619" s="4">
        <v>35</v>
      </c>
      <c r="H10619" s="18">
        <f>0.033647*(1000)</f>
        <v>33.647000000000006</v>
      </c>
      <c r="I10619" s="90"/>
      <c r="J10619" s="90"/>
    </row>
    <row r="10620" spans="1:10" s="15" customFormat="1" ht="16.5" hidden="1" customHeight="1" outlineLevel="1" x14ac:dyDescent="0.25">
      <c r="A10620" s="18">
        <v>4076</v>
      </c>
      <c r="B10620" s="4" t="s">
        <v>44</v>
      </c>
      <c r="C10620" s="38" t="s">
        <v>5671</v>
      </c>
      <c r="D10620" s="18">
        <v>2022</v>
      </c>
      <c r="E10620" s="18" t="s">
        <v>0</v>
      </c>
      <c r="F10620" s="41">
        <v>2</v>
      </c>
      <c r="G10620" s="4">
        <v>25</v>
      </c>
      <c r="H10620" s="18">
        <f>0.02384067*(1000)</f>
        <v>23.840670000000003</v>
      </c>
      <c r="I10620" s="90"/>
      <c r="J10620" s="90"/>
    </row>
    <row r="10621" spans="1:10" s="15" customFormat="1" ht="16.5" hidden="1" customHeight="1" outlineLevel="1" x14ac:dyDescent="0.25">
      <c r="A10621" s="18">
        <v>4078</v>
      </c>
      <c r="B10621" s="4" t="s">
        <v>44</v>
      </c>
      <c r="C10621" s="38" t="s">
        <v>5672</v>
      </c>
      <c r="D10621" s="18">
        <v>2022</v>
      </c>
      <c r="E10621" s="18" t="s">
        <v>0</v>
      </c>
      <c r="F10621" s="41">
        <v>1</v>
      </c>
      <c r="G10621" s="4">
        <v>10</v>
      </c>
      <c r="H10621" s="18">
        <f>0.01377039*(1000)</f>
        <v>13.770390000000001</v>
      </c>
      <c r="I10621" s="90"/>
      <c r="J10621" s="90"/>
    </row>
    <row r="10622" spans="1:10" s="15" customFormat="1" ht="16.5" hidden="1" customHeight="1" outlineLevel="1" x14ac:dyDescent="0.25">
      <c r="A10622" s="18">
        <v>4079</v>
      </c>
      <c r="B10622" s="4" t="s">
        <v>44</v>
      </c>
      <c r="C10622" s="38" t="s">
        <v>5673</v>
      </c>
      <c r="D10622" s="18">
        <v>2022</v>
      </c>
      <c r="E10622" s="18" t="s">
        <v>0</v>
      </c>
      <c r="F10622" s="41">
        <v>5</v>
      </c>
      <c r="G10622" s="4">
        <v>64</v>
      </c>
      <c r="H10622" s="18">
        <f>0.06039597*(1000)</f>
        <v>60.395969999999998</v>
      </c>
      <c r="I10622" s="90"/>
      <c r="J10622" s="90"/>
    </row>
    <row r="10623" spans="1:10" s="15" customFormat="1" ht="16.5" hidden="1" customHeight="1" outlineLevel="1" x14ac:dyDescent="0.25">
      <c r="A10623" s="18">
        <v>4080</v>
      </c>
      <c r="B10623" s="4" t="s">
        <v>44</v>
      </c>
      <c r="C10623" s="38" t="s">
        <v>5674</v>
      </c>
      <c r="D10623" s="18">
        <v>2022</v>
      </c>
      <c r="E10623" s="18" t="s">
        <v>0</v>
      </c>
      <c r="F10623" s="41">
        <v>1</v>
      </c>
      <c r="G10623" s="4">
        <v>11.33</v>
      </c>
      <c r="H10623" s="18">
        <f>0.01377039*(1000)</f>
        <v>13.770390000000001</v>
      </c>
      <c r="I10623" s="90"/>
      <c r="J10623" s="90"/>
    </row>
    <row r="10624" spans="1:10" s="15" customFormat="1" ht="16.5" hidden="1" customHeight="1" outlineLevel="1" x14ac:dyDescent="0.25">
      <c r="A10624" s="18">
        <v>4082</v>
      </c>
      <c r="B10624" s="4" t="s">
        <v>44</v>
      </c>
      <c r="C10624" s="38" t="s">
        <v>5675</v>
      </c>
      <c r="D10624" s="18">
        <v>2022</v>
      </c>
      <c r="E10624" s="18" t="s">
        <v>0</v>
      </c>
      <c r="F10624" s="41">
        <v>1</v>
      </c>
      <c r="G10624" s="4">
        <v>15</v>
      </c>
      <c r="H10624" s="18">
        <f>0.01403432*(1000)</f>
        <v>14.034319999999999</v>
      </c>
      <c r="I10624" s="90"/>
      <c r="J10624" s="90"/>
    </row>
    <row r="10625" spans="1:10" s="15" customFormat="1" ht="16.5" hidden="1" customHeight="1" outlineLevel="1" x14ac:dyDescent="0.25">
      <c r="A10625" s="18">
        <v>4083</v>
      </c>
      <c r="B10625" s="4" t="s">
        <v>44</v>
      </c>
      <c r="C10625" s="38" t="s">
        <v>5676</v>
      </c>
      <c r="D10625" s="18">
        <v>2022</v>
      </c>
      <c r="E10625" s="18" t="s">
        <v>0</v>
      </c>
      <c r="F10625" s="41">
        <v>1</v>
      </c>
      <c r="G10625" s="4">
        <v>15</v>
      </c>
      <c r="H10625" s="18">
        <f>0.01403432*(1000)</f>
        <v>14.034319999999999</v>
      </c>
      <c r="I10625" s="90"/>
      <c r="J10625" s="90"/>
    </row>
    <row r="10626" spans="1:10" s="15" customFormat="1" ht="16.5" hidden="1" customHeight="1" outlineLevel="1" x14ac:dyDescent="0.25">
      <c r="A10626" s="18">
        <v>4085</v>
      </c>
      <c r="B10626" s="4" t="s">
        <v>44</v>
      </c>
      <c r="C10626" s="38" t="s">
        <v>5677</v>
      </c>
      <c r="D10626" s="18">
        <v>2022</v>
      </c>
      <c r="E10626" s="18" t="s">
        <v>0</v>
      </c>
      <c r="F10626" s="41">
        <v>1</v>
      </c>
      <c r="G10626" s="4">
        <v>15</v>
      </c>
      <c r="H10626" s="18">
        <f>0.01403432*(1000)</f>
        <v>14.034319999999999</v>
      </c>
      <c r="I10626" s="90"/>
      <c r="J10626" s="90"/>
    </row>
    <row r="10627" spans="1:10" s="15" customFormat="1" ht="16.5" hidden="1" customHeight="1" outlineLevel="1" x14ac:dyDescent="0.25">
      <c r="A10627" s="18">
        <v>4086</v>
      </c>
      <c r="B10627" s="4" t="s">
        <v>44</v>
      </c>
      <c r="C10627" s="38" t="s">
        <v>5678</v>
      </c>
      <c r="D10627" s="18">
        <v>2022</v>
      </c>
      <c r="E10627" s="18" t="s">
        <v>0</v>
      </c>
      <c r="F10627" s="41">
        <v>1</v>
      </c>
      <c r="G10627" s="4">
        <v>3.08</v>
      </c>
      <c r="H10627" s="18">
        <f>0.0137704*(1000)</f>
        <v>13.7704</v>
      </c>
      <c r="I10627" s="90"/>
      <c r="J10627" s="90"/>
    </row>
    <row r="10628" spans="1:10" s="15" customFormat="1" ht="16.5" hidden="1" customHeight="1" outlineLevel="1" x14ac:dyDescent="0.25">
      <c r="A10628" s="18">
        <v>4090</v>
      </c>
      <c r="B10628" s="4" t="s">
        <v>44</v>
      </c>
      <c r="C10628" s="38" t="s">
        <v>5679</v>
      </c>
      <c r="D10628" s="18">
        <v>2022</v>
      </c>
      <c r="E10628" s="18" t="s">
        <v>0</v>
      </c>
      <c r="F10628" s="41">
        <v>1</v>
      </c>
      <c r="G10628" s="4">
        <v>10</v>
      </c>
      <c r="H10628" s="18">
        <f>0.01403436*(1000)</f>
        <v>14.03436</v>
      </c>
      <c r="I10628" s="90"/>
      <c r="J10628" s="90"/>
    </row>
    <row r="10629" spans="1:10" s="15" customFormat="1" ht="16.5" hidden="1" customHeight="1" outlineLevel="1" x14ac:dyDescent="0.25">
      <c r="A10629" s="18">
        <v>4091</v>
      </c>
      <c r="B10629" s="4" t="s">
        <v>44</v>
      </c>
      <c r="C10629" s="38" t="s">
        <v>5680</v>
      </c>
      <c r="D10629" s="18">
        <v>2022</v>
      </c>
      <c r="E10629" s="18" t="s">
        <v>0</v>
      </c>
      <c r="F10629" s="41">
        <v>1</v>
      </c>
      <c r="G10629" s="4">
        <v>79</v>
      </c>
      <c r="H10629" s="18">
        <f>0.01403434*(1000)</f>
        <v>14.034339999999998</v>
      </c>
      <c r="I10629" s="90"/>
      <c r="J10629" s="90"/>
    </row>
    <row r="10630" spans="1:10" s="15" customFormat="1" ht="16.5" hidden="1" customHeight="1" outlineLevel="1" x14ac:dyDescent="0.25">
      <c r="A10630" s="18">
        <v>4092</v>
      </c>
      <c r="B10630" s="4" t="s">
        <v>44</v>
      </c>
      <c r="C10630" s="38" t="s">
        <v>5681</v>
      </c>
      <c r="D10630" s="18">
        <v>2022</v>
      </c>
      <c r="E10630" s="18" t="s">
        <v>0</v>
      </c>
      <c r="F10630" s="41">
        <v>1</v>
      </c>
      <c r="G10630" s="4">
        <v>15</v>
      </c>
      <c r="H10630" s="18">
        <f>0.01403432*(1000)</f>
        <v>14.034319999999999</v>
      </c>
      <c r="I10630" s="90"/>
      <c r="J10630" s="90"/>
    </row>
    <row r="10631" spans="1:10" s="15" customFormat="1" ht="16.5" hidden="1" customHeight="1" outlineLevel="1" x14ac:dyDescent="0.25">
      <c r="A10631" s="18">
        <v>4093</v>
      </c>
      <c r="B10631" s="4" t="s">
        <v>44</v>
      </c>
      <c r="C10631" s="38" t="s">
        <v>5682</v>
      </c>
      <c r="D10631" s="18">
        <v>2022</v>
      </c>
      <c r="E10631" s="18" t="s">
        <v>0</v>
      </c>
      <c r="F10631" s="41">
        <v>1</v>
      </c>
      <c r="G10631" s="4">
        <v>15</v>
      </c>
      <c r="H10631" s="18">
        <f>0.01403434*(1000)</f>
        <v>14.034339999999998</v>
      </c>
      <c r="I10631" s="90"/>
      <c r="J10631" s="90"/>
    </row>
    <row r="10632" spans="1:10" s="15" customFormat="1" ht="16.5" hidden="1" customHeight="1" outlineLevel="1" x14ac:dyDescent="0.25">
      <c r="A10632" s="18">
        <v>4094</v>
      </c>
      <c r="B10632" s="4" t="s">
        <v>44</v>
      </c>
      <c r="C10632" s="38" t="s">
        <v>5683</v>
      </c>
      <c r="D10632" s="18">
        <v>2022</v>
      </c>
      <c r="E10632" s="18" t="s">
        <v>0</v>
      </c>
      <c r="F10632" s="41">
        <v>1</v>
      </c>
      <c r="G10632" s="4">
        <v>14</v>
      </c>
      <c r="H10632" s="18">
        <f>0.01377039*(1000)</f>
        <v>13.770390000000001</v>
      </c>
      <c r="I10632" s="90"/>
      <c r="J10632" s="90"/>
    </row>
    <row r="10633" spans="1:10" s="15" customFormat="1" ht="16.5" hidden="1" customHeight="1" outlineLevel="1" x14ac:dyDescent="0.25">
      <c r="A10633" s="18">
        <v>4095</v>
      </c>
      <c r="B10633" s="4" t="s">
        <v>44</v>
      </c>
      <c r="C10633" s="38" t="s">
        <v>5684</v>
      </c>
      <c r="D10633" s="18">
        <v>2022</v>
      </c>
      <c r="E10633" s="18" t="s">
        <v>0</v>
      </c>
      <c r="F10633" s="41">
        <v>1</v>
      </c>
      <c r="G10633" s="4">
        <v>14</v>
      </c>
      <c r="H10633" s="18">
        <f>0.01403434*(1000)</f>
        <v>14.034339999999998</v>
      </c>
      <c r="I10633" s="90"/>
      <c r="J10633" s="90"/>
    </row>
    <row r="10634" spans="1:10" s="15" customFormat="1" ht="16.5" hidden="1" customHeight="1" outlineLevel="1" x14ac:dyDescent="0.25">
      <c r="A10634" s="18">
        <v>4096</v>
      </c>
      <c r="B10634" s="4" t="s">
        <v>44</v>
      </c>
      <c r="C10634" s="38" t="s">
        <v>5685</v>
      </c>
      <c r="D10634" s="18">
        <v>2022</v>
      </c>
      <c r="E10634" s="18" t="s">
        <v>0</v>
      </c>
      <c r="F10634" s="41">
        <v>1</v>
      </c>
      <c r="G10634" s="4">
        <v>14</v>
      </c>
      <c r="H10634" s="18">
        <f>0.01377039*(1000)</f>
        <v>13.770390000000001</v>
      </c>
      <c r="I10634" s="90"/>
      <c r="J10634" s="90"/>
    </row>
    <row r="10635" spans="1:10" s="15" customFormat="1" ht="16.5" hidden="1" customHeight="1" outlineLevel="1" x14ac:dyDescent="0.25">
      <c r="A10635" s="18">
        <v>4097</v>
      </c>
      <c r="B10635" s="4" t="s">
        <v>44</v>
      </c>
      <c r="C10635" s="38" t="s">
        <v>5686</v>
      </c>
      <c r="D10635" s="18">
        <v>2022</v>
      </c>
      <c r="E10635" s="18" t="s">
        <v>0</v>
      </c>
      <c r="F10635" s="41">
        <v>1</v>
      </c>
      <c r="G10635" s="4">
        <v>79</v>
      </c>
      <c r="H10635" s="18">
        <f>0.01399669*(1000)</f>
        <v>13.996690000000001</v>
      </c>
      <c r="I10635" s="90"/>
      <c r="J10635" s="90"/>
    </row>
    <row r="10636" spans="1:10" s="15" customFormat="1" ht="16.5" hidden="1" customHeight="1" outlineLevel="1" x14ac:dyDescent="0.25">
      <c r="A10636" s="18">
        <v>4098</v>
      </c>
      <c r="B10636" s="4" t="s">
        <v>44</v>
      </c>
      <c r="C10636" s="38" t="s">
        <v>5687</v>
      </c>
      <c r="D10636" s="18">
        <v>2022</v>
      </c>
      <c r="E10636" s="18" t="s">
        <v>0</v>
      </c>
      <c r="F10636" s="41">
        <v>1</v>
      </c>
      <c r="G10636" s="4">
        <v>15</v>
      </c>
      <c r="H10636" s="18">
        <f>0.01399668*(1000)</f>
        <v>13.99668</v>
      </c>
      <c r="I10636" s="90"/>
      <c r="J10636" s="90"/>
    </row>
    <row r="10637" spans="1:10" s="15" customFormat="1" ht="16.5" hidden="1" customHeight="1" outlineLevel="1" x14ac:dyDescent="0.25">
      <c r="A10637" s="18">
        <v>4102</v>
      </c>
      <c r="B10637" s="4" t="s">
        <v>44</v>
      </c>
      <c r="C10637" s="38" t="s">
        <v>5688</v>
      </c>
      <c r="D10637" s="18">
        <v>2022</v>
      </c>
      <c r="E10637" s="18" t="s">
        <v>0</v>
      </c>
      <c r="F10637" s="41">
        <v>1</v>
      </c>
      <c r="G10637" s="4">
        <v>9.9</v>
      </c>
      <c r="H10637" s="18">
        <f>0.01373273*(1000)</f>
        <v>13.73273</v>
      </c>
      <c r="I10637" s="90"/>
      <c r="J10637" s="90"/>
    </row>
    <row r="10638" spans="1:10" s="15" customFormat="1" ht="16.5" hidden="1" customHeight="1" outlineLevel="1" x14ac:dyDescent="0.25">
      <c r="A10638" s="18">
        <v>4104</v>
      </c>
      <c r="B10638" s="4" t="s">
        <v>44</v>
      </c>
      <c r="C10638" s="38" t="s">
        <v>5689</v>
      </c>
      <c r="D10638" s="18">
        <v>2022</v>
      </c>
      <c r="E10638" s="18" t="s">
        <v>0</v>
      </c>
      <c r="F10638" s="41">
        <v>1</v>
      </c>
      <c r="G10638" s="4">
        <v>15</v>
      </c>
      <c r="H10638" s="18">
        <f>0.01373272*(1000)</f>
        <v>13.73272</v>
      </c>
      <c r="I10638" s="90"/>
      <c r="J10638" s="90"/>
    </row>
    <row r="10639" spans="1:10" s="15" customFormat="1" ht="16.5" hidden="1" customHeight="1" outlineLevel="1" x14ac:dyDescent="0.25">
      <c r="A10639" s="18">
        <v>4105</v>
      </c>
      <c r="B10639" s="4" t="s">
        <v>44</v>
      </c>
      <c r="C10639" s="38" t="s">
        <v>5690</v>
      </c>
      <c r="D10639" s="18">
        <v>2022</v>
      </c>
      <c r="E10639" s="18" t="s">
        <v>0</v>
      </c>
      <c r="F10639" s="41">
        <v>1</v>
      </c>
      <c r="G10639" s="4">
        <v>15</v>
      </c>
      <c r="H10639" s="18">
        <f>0.01399669*(1000)</f>
        <v>13.996690000000001</v>
      </c>
      <c r="I10639" s="90"/>
      <c r="J10639" s="90"/>
    </row>
    <row r="10640" spans="1:10" s="15" customFormat="1" ht="16.5" hidden="1" customHeight="1" outlineLevel="1" x14ac:dyDescent="0.25">
      <c r="A10640" s="18">
        <v>4106</v>
      </c>
      <c r="B10640" s="4" t="s">
        <v>44</v>
      </c>
      <c r="C10640" s="38" t="s">
        <v>5691</v>
      </c>
      <c r="D10640" s="18">
        <v>2022</v>
      </c>
      <c r="E10640" s="18" t="s">
        <v>0</v>
      </c>
      <c r="F10640" s="41">
        <v>1</v>
      </c>
      <c r="G10640" s="4">
        <v>15</v>
      </c>
      <c r="H10640" s="18">
        <f>0.01399668*(1000)</f>
        <v>13.99668</v>
      </c>
      <c r="I10640" s="90"/>
      <c r="J10640" s="90"/>
    </row>
    <row r="10641" spans="1:10" s="15" customFormat="1" ht="16.5" hidden="1" customHeight="1" outlineLevel="1" x14ac:dyDescent="0.25">
      <c r="A10641" s="18">
        <v>4107</v>
      </c>
      <c r="B10641" s="4" t="s">
        <v>44</v>
      </c>
      <c r="C10641" s="38" t="s">
        <v>5692</v>
      </c>
      <c r="D10641" s="18">
        <v>2022</v>
      </c>
      <c r="E10641" s="18" t="s">
        <v>0</v>
      </c>
      <c r="F10641" s="41">
        <v>1</v>
      </c>
      <c r="G10641" s="4">
        <v>15</v>
      </c>
      <c r="H10641" s="18">
        <f>0.0139967*(1000)</f>
        <v>13.996700000000001</v>
      </c>
      <c r="I10641" s="90"/>
      <c r="J10641" s="90"/>
    </row>
    <row r="10642" spans="1:10" s="15" customFormat="1" ht="16.5" hidden="1" customHeight="1" outlineLevel="1" x14ac:dyDescent="0.25">
      <c r="A10642" s="18">
        <v>4108</v>
      </c>
      <c r="B10642" s="4" t="s">
        <v>44</v>
      </c>
      <c r="C10642" s="38" t="s">
        <v>5693</v>
      </c>
      <c r="D10642" s="18">
        <v>2022</v>
      </c>
      <c r="E10642" s="18" t="s">
        <v>0</v>
      </c>
      <c r="F10642" s="41">
        <v>1</v>
      </c>
      <c r="G10642" s="4">
        <v>15</v>
      </c>
      <c r="H10642" s="18">
        <f>0.01373272*(1000)</f>
        <v>13.73272</v>
      </c>
      <c r="I10642" s="90"/>
      <c r="J10642" s="90"/>
    </row>
    <row r="10643" spans="1:10" s="15" customFormat="1" ht="16.5" hidden="1" customHeight="1" outlineLevel="1" x14ac:dyDescent="0.25">
      <c r="A10643" s="18">
        <v>4109</v>
      </c>
      <c r="B10643" s="4" t="s">
        <v>44</v>
      </c>
      <c r="C10643" s="38" t="s">
        <v>5694</v>
      </c>
      <c r="D10643" s="18">
        <v>2022</v>
      </c>
      <c r="E10643" s="18" t="s">
        <v>0</v>
      </c>
      <c r="F10643" s="41">
        <v>1</v>
      </c>
      <c r="G10643" s="4">
        <v>15</v>
      </c>
      <c r="H10643" s="18">
        <f>0.0139967*(1000)</f>
        <v>13.996700000000001</v>
      </c>
      <c r="I10643" s="90"/>
      <c r="J10643" s="90"/>
    </row>
    <row r="10644" spans="1:10" s="15" customFormat="1" ht="16.5" hidden="1" customHeight="1" outlineLevel="1" x14ac:dyDescent="0.25">
      <c r="A10644" s="18">
        <v>4110</v>
      </c>
      <c r="B10644" s="4" t="s">
        <v>44</v>
      </c>
      <c r="C10644" s="38" t="s">
        <v>5695</v>
      </c>
      <c r="D10644" s="18">
        <v>2022</v>
      </c>
      <c r="E10644" s="18" t="s">
        <v>0</v>
      </c>
      <c r="F10644" s="41">
        <v>1</v>
      </c>
      <c r="G10644" s="4">
        <v>15</v>
      </c>
      <c r="H10644" s="18">
        <f>0.01399668*(1000)</f>
        <v>13.99668</v>
      </c>
      <c r="I10644" s="90"/>
      <c r="J10644" s="90"/>
    </row>
    <row r="10645" spans="1:10" s="15" customFormat="1" ht="16.5" hidden="1" customHeight="1" outlineLevel="1" x14ac:dyDescent="0.25">
      <c r="A10645" s="18">
        <v>4111</v>
      </c>
      <c r="B10645" s="4" t="s">
        <v>44</v>
      </c>
      <c r="C10645" s="38" t="s">
        <v>5696</v>
      </c>
      <c r="D10645" s="18">
        <v>2022</v>
      </c>
      <c r="E10645" s="18" t="s">
        <v>0</v>
      </c>
      <c r="F10645" s="41">
        <v>1</v>
      </c>
      <c r="G10645" s="4">
        <v>5</v>
      </c>
      <c r="H10645" s="18">
        <f>0.0146211*(1000)</f>
        <v>14.6211</v>
      </c>
      <c r="I10645" s="90"/>
      <c r="J10645" s="90"/>
    </row>
    <row r="10646" spans="1:10" s="15" customFormat="1" ht="16.5" hidden="1" customHeight="1" outlineLevel="1" x14ac:dyDescent="0.25">
      <c r="A10646" s="18">
        <v>2868</v>
      </c>
      <c r="B10646" s="4" t="s">
        <v>44</v>
      </c>
      <c r="C10646" s="38" t="s">
        <v>2244</v>
      </c>
      <c r="D10646" s="18">
        <v>2022</v>
      </c>
      <c r="E10646" s="18" t="s">
        <v>0</v>
      </c>
      <c r="F10646" s="41">
        <v>1</v>
      </c>
      <c r="G10646" s="4">
        <v>150</v>
      </c>
      <c r="H10646" s="18">
        <f>0.101706*(1000)</f>
        <v>101.706</v>
      </c>
      <c r="I10646" s="90"/>
      <c r="J10646" s="90"/>
    </row>
    <row r="10647" spans="1:10" s="15" customFormat="1" ht="16.5" hidden="1" customHeight="1" outlineLevel="1" x14ac:dyDescent="0.25">
      <c r="A10647" s="18">
        <v>3015</v>
      </c>
      <c r="B10647" s="4" t="s">
        <v>44</v>
      </c>
      <c r="C10647" s="38" t="s">
        <v>2245</v>
      </c>
      <c r="D10647" s="18">
        <v>2022</v>
      </c>
      <c r="E10647" s="18" t="s">
        <v>0</v>
      </c>
      <c r="F10647" s="41">
        <v>1</v>
      </c>
      <c r="G10647" s="4">
        <v>24</v>
      </c>
      <c r="H10647" s="18">
        <f>0.14060254*(1000)</f>
        <v>140.60254</v>
      </c>
      <c r="I10647" s="90"/>
      <c r="J10647" s="90"/>
    </row>
    <row r="10648" spans="1:10" s="15" customFormat="1" ht="16.5" hidden="1" customHeight="1" outlineLevel="1" x14ac:dyDescent="0.25">
      <c r="A10648" s="18">
        <v>3016</v>
      </c>
      <c r="B10648" s="4" t="s">
        <v>44</v>
      </c>
      <c r="C10648" s="38" t="s">
        <v>2246</v>
      </c>
      <c r="D10648" s="18">
        <v>2022</v>
      </c>
      <c r="E10648" s="18" t="s">
        <v>0</v>
      </c>
      <c r="F10648" s="41">
        <v>1</v>
      </c>
      <c r="G10648" s="4">
        <v>24</v>
      </c>
      <c r="H10648" s="18">
        <f>0.162732*(1000)</f>
        <v>162.732</v>
      </c>
      <c r="I10648" s="90"/>
      <c r="J10648" s="90"/>
    </row>
    <row r="10649" spans="1:10" s="15" customFormat="1" ht="16.5" hidden="1" customHeight="1" outlineLevel="1" x14ac:dyDescent="0.25">
      <c r="A10649" s="18">
        <v>1044</v>
      </c>
      <c r="B10649" s="4" t="s">
        <v>44</v>
      </c>
      <c r="C10649" s="38" t="s">
        <v>5697</v>
      </c>
      <c r="D10649" s="18">
        <v>2022</v>
      </c>
      <c r="E10649" s="18" t="s">
        <v>0</v>
      </c>
      <c r="F10649" s="41">
        <v>2</v>
      </c>
      <c r="G10649" s="4">
        <v>30</v>
      </c>
      <c r="H10649" s="18">
        <v>86.535219999999995</v>
      </c>
      <c r="I10649" s="90"/>
      <c r="J10649" s="90"/>
    </row>
    <row r="10650" spans="1:10" s="15" customFormat="1" ht="16.5" hidden="1" customHeight="1" outlineLevel="1" x14ac:dyDescent="0.25">
      <c r="A10650" s="18">
        <v>1055</v>
      </c>
      <c r="B10650" s="4" t="s">
        <v>44</v>
      </c>
      <c r="C10650" s="38" t="s">
        <v>5698</v>
      </c>
      <c r="D10650" s="18">
        <v>2022</v>
      </c>
      <c r="E10650" s="18" t="s">
        <v>0</v>
      </c>
      <c r="F10650" s="41">
        <v>1</v>
      </c>
      <c r="G10650" s="4">
        <v>15</v>
      </c>
      <c r="H10650" s="18">
        <v>53.388809999999999</v>
      </c>
      <c r="I10650" s="90"/>
      <c r="J10650" s="90"/>
    </row>
    <row r="10651" spans="1:10" s="15" customFormat="1" ht="16.5" hidden="1" customHeight="1" outlineLevel="1" x14ac:dyDescent="0.25">
      <c r="A10651" s="18">
        <v>1061</v>
      </c>
      <c r="B10651" s="4" t="s">
        <v>44</v>
      </c>
      <c r="C10651" s="38" t="s">
        <v>5699</v>
      </c>
      <c r="D10651" s="18">
        <v>2022</v>
      </c>
      <c r="E10651" s="18" t="s">
        <v>0</v>
      </c>
      <c r="F10651" s="41">
        <v>1</v>
      </c>
      <c r="G10651" s="4">
        <v>60</v>
      </c>
      <c r="H10651" s="18">
        <v>47.115630000000003</v>
      </c>
      <c r="I10651" s="90"/>
      <c r="J10651" s="90"/>
    </row>
    <row r="10652" spans="1:10" s="15" customFormat="1" ht="16.5" hidden="1" customHeight="1" outlineLevel="1" x14ac:dyDescent="0.25">
      <c r="A10652" s="18">
        <v>1121</v>
      </c>
      <c r="B10652" s="4" t="s">
        <v>44</v>
      </c>
      <c r="C10652" s="38" t="s">
        <v>5700</v>
      </c>
      <c r="D10652" s="18">
        <v>2022</v>
      </c>
      <c r="E10652" s="18" t="s">
        <v>0</v>
      </c>
      <c r="F10652" s="41">
        <v>1</v>
      </c>
      <c r="G10652" s="4">
        <v>50</v>
      </c>
      <c r="H10652" s="18">
        <v>53.265700000000002</v>
      </c>
      <c r="I10652" s="90"/>
      <c r="J10652" s="90"/>
    </row>
    <row r="10653" spans="1:10" s="15" customFormat="1" ht="16.5" hidden="1" customHeight="1" outlineLevel="1" x14ac:dyDescent="0.25">
      <c r="A10653" s="18">
        <v>1122</v>
      </c>
      <c r="B10653" s="4" t="s">
        <v>44</v>
      </c>
      <c r="C10653" s="38" t="s">
        <v>5701</v>
      </c>
      <c r="D10653" s="18">
        <v>2022</v>
      </c>
      <c r="E10653" s="18" t="s">
        <v>0</v>
      </c>
      <c r="F10653" s="41">
        <v>1</v>
      </c>
      <c r="G10653" s="4">
        <v>15</v>
      </c>
      <c r="H10653" s="18">
        <v>42.335760000000001</v>
      </c>
      <c r="I10653" s="90"/>
      <c r="J10653" s="90"/>
    </row>
    <row r="10654" spans="1:10" s="15" customFormat="1" ht="16.5" hidden="1" customHeight="1" outlineLevel="1" x14ac:dyDescent="0.25">
      <c r="A10654" s="18">
        <v>1123</v>
      </c>
      <c r="B10654" s="4" t="s">
        <v>44</v>
      </c>
      <c r="C10654" s="38" t="s">
        <v>5702</v>
      </c>
      <c r="D10654" s="18">
        <v>2022</v>
      </c>
      <c r="E10654" s="18" t="s">
        <v>0</v>
      </c>
      <c r="F10654" s="41">
        <v>1</v>
      </c>
      <c r="G10654" s="4">
        <v>15</v>
      </c>
      <c r="H10654" s="18">
        <v>47.260330000000003</v>
      </c>
      <c r="I10654" s="90"/>
      <c r="J10654" s="90"/>
    </row>
    <row r="10655" spans="1:10" s="15" customFormat="1" ht="16.5" hidden="1" customHeight="1" outlineLevel="1" x14ac:dyDescent="0.25">
      <c r="A10655" s="18">
        <v>1160</v>
      </c>
      <c r="B10655" s="4" t="s">
        <v>44</v>
      </c>
      <c r="C10655" s="38" t="s">
        <v>5703</v>
      </c>
      <c r="D10655" s="18">
        <v>2022</v>
      </c>
      <c r="E10655" s="18" t="s">
        <v>0</v>
      </c>
      <c r="F10655" s="41">
        <v>1</v>
      </c>
      <c r="G10655" s="4">
        <v>15</v>
      </c>
      <c r="H10655" s="18">
        <v>43.98583</v>
      </c>
      <c r="I10655" s="90"/>
      <c r="J10655" s="90"/>
    </row>
    <row r="10656" spans="1:10" s="15" customFormat="1" ht="16.5" hidden="1" customHeight="1" outlineLevel="1" x14ac:dyDescent="0.25">
      <c r="A10656" s="18">
        <v>1161</v>
      </c>
      <c r="B10656" s="4" t="s">
        <v>44</v>
      </c>
      <c r="C10656" s="38" t="s">
        <v>5704</v>
      </c>
      <c r="D10656" s="18">
        <v>2022</v>
      </c>
      <c r="E10656" s="18" t="s">
        <v>0</v>
      </c>
      <c r="F10656" s="41">
        <v>1</v>
      </c>
      <c r="G10656" s="4">
        <v>15</v>
      </c>
      <c r="H10656" s="18">
        <v>40.71555</v>
      </c>
      <c r="I10656" s="90"/>
      <c r="J10656" s="90"/>
    </row>
    <row r="10657" spans="1:10" s="15" customFormat="1" ht="16.5" hidden="1" customHeight="1" outlineLevel="1" x14ac:dyDescent="0.25">
      <c r="A10657" s="18">
        <v>1178</v>
      </c>
      <c r="B10657" s="4" t="s">
        <v>44</v>
      </c>
      <c r="C10657" s="38" t="s">
        <v>5705</v>
      </c>
      <c r="D10657" s="18">
        <v>2022</v>
      </c>
      <c r="E10657" s="18" t="s">
        <v>0</v>
      </c>
      <c r="F10657" s="41">
        <v>1</v>
      </c>
      <c r="G10657" s="4">
        <v>15</v>
      </c>
      <c r="H10657" s="18">
        <v>42.137129999999999</v>
      </c>
      <c r="I10657" s="90"/>
      <c r="J10657" s="90"/>
    </row>
    <row r="10658" spans="1:10" s="15" customFormat="1" ht="16.5" hidden="1" customHeight="1" outlineLevel="1" x14ac:dyDescent="0.25">
      <c r="A10658" s="18">
        <v>1223</v>
      </c>
      <c r="B10658" s="4" t="s">
        <v>44</v>
      </c>
      <c r="C10658" s="38" t="s">
        <v>5706</v>
      </c>
      <c r="D10658" s="18">
        <v>2022</v>
      </c>
      <c r="E10658" s="18" t="s">
        <v>0</v>
      </c>
      <c r="F10658" s="41">
        <v>1</v>
      </c>
      <c r="G10658" s="4">
        <v>15</v>
      </c>
      <c r="H10658" s="18">
        <v>33.591650000000001</v>
      </c>
      <c r="I10658" s="90"/>
      <c r="J10658" s="90"/>
    </row>
    <row r="10659" spans="1:10" s="15" customFormat="1" ht="16.5" hidden="1" customHeight="1" outlineLevel="1" x14ac:dyDescent="0.25">
      <c r="A10659" s="18">
        <v>1252</v>
      </c>
      <c r="B10659" s="4" t="s">
        <v>44</v>
      </c>
      <c r="C10659" s="38" t="s">
        <v>5707</v>
      </c>
      <c r="D10659" s="18">
        <v>2022</v>
      </c>
      <c r="E10659" s="18" t="s">
        <v>0</v>
      </c>
      <c r="F10659" s="41">
        <v>1</v>
      </c>
      <c r="G10659" s="4">
        <v>15</v>
      </c>
      <c r="H10659" s="18">
        <v>42.78342</v>
      </c>
      <c r="I10659" s="90"/>
      <c r="J10659" s="90"/>
    </row>
    <row r="10660" spans="1:10" s="15" customFormat="1" ht="16.5" hidden="1" customHeight="1" outlineLevel="1" x14ac:dyDescent="0.25">
      <c r="A10660" s="18">
        <v>1270</v>
      </c>
      <c r="B10660" s="4" t="s">
        <v>44</v>
      </c>
      <c r="C10660" s="38" t="s">
        <v>5708</v>
      </c>
      <c r="D10660" s="18">
        <v>2022</v>
      </c>
      <c r="E10660" s="18" t="s">
        <v>0</v>
      </c>
      <c r="F10660" s="41">
        <v>1</v>
      </c>
      <c r="G10660" s="4">
        <v>15</v>
      </c>
      <c r="H10660" s="18">
        <v>34.623370000000001</v>
      </c>
      <c r="I10660" s="90"/>
      <c r="J10660" s="90"/>
    </row>
    <row r="10661" spans="1:10" s="15" customFormat="1" ht="16.5" hidden="1" customHeight="1" outlineLevel="1" x14ac:dyDescent="0.25">
      <c r="A10661" s="18">
        <v>1284</v>
      </c>
      <c r="B10661" s="4" t="s">
        <v>44</v>
      </c>
      <c r="C10661" s="38" t="s">
        <v>5709</v>
      </c>
      <c r="D10661" s="18">
        <v>2022</v>
      </c>
      <c r="E10661" s="18" t="s">
        <v>0</v>
      </c>
      <c r="F10661" s="41">
        <v>1</v>
      </c>
      <c r="G10661" s="4">
        <v>15</v>
      </c>
      <c r="H10661" s="18">
        <v>47.775500000000001</v>
      </c>
      <c r="I10661" s="90"/>
      <c r="J10661" s="90"/>
    </row>
    <row r="10662" spans="1:10" s="15" customFormat="1" ht="16.5" hidden="1" customHeight="1" outlineLevel="1" x14ac:dyDescent="0.25">
      <c r="A10662" s="18">
        <v>1418</v>
      </c>
      <c r="B10662" s="4" t="s">
        <v>44</v>
      </c>
      <c r="C10662" s="38" t="s">
        <v>5710</v>
      </c>
      <c r="D10662" s="18">
        <v>2022</v>
      </c>
      <c r="E10662" s="18" t="s">
        <v>0</v>
      </c>
      <c r="F10662" s="41">
        <v>1</v>
      </c>
      <c r="G10662" s="4">
        <v>12</v>
      </c>
      <c r="H10662" s="18">
        <v>36.114310000000003</v>
      </c>
      <c r="I10662" s="90"/>
      <c r="J10662" s="90"/>
    </row>
    <row r="10663" spans="1:10" s="15" customFormat="1" ht="16.5" hidden="1" customHeight="1" outlineLevel="1" x14ac:dyDescent="0.25">
      <c r="A10663" s="18">
        <v>1307</v>
      </c>
      <c r="B10663" s="4" t="s">
        <v>44</v>
      </c>
      <c r="C10663" s="38" t="s">
        <v>5711</v>
      </c>
      <c r="D10663" s="18">
        <v>2022</v>
      </c>
      <c r="E10663" s="18" t="s">
        <v>0</v>
      </c>
      <c r="F10663" s="41">
        <v>1</v>
      </c>
      <c r="G10663" s="4">
        <v>15</v>
      </c>
      <c r="H10663" s="18">
        <v>62.32367</v>
      </c>
      <c r="I10663" s="90"/>
      <c r="J10663" s="90"/>
    </row>
    <row r="10664" spans="1:10" s="15" customFormat="1" ht="16.5" hidden="1" customHeight="1" outlineLevel="1" x14ac:dyDescent="0.25">
      <c r="A10664" s="18">
        <v>1210</v>
      </c>
      <c r="B10664" s="4" t="s">
        <v>44</v>
      </c>
      <c r="C10664" s="38" t="s">
        <v>5712</v>
      </c>
      <c r="D10664" s="18">
        <v>2022</v>
      </c>
      <c r="E10664" s="18" t="s">
        <v>0</v>
      </c>
      <c r="F10664" s="41">
        <v>1</v>
      </c>
      <c r="G10664" s="4">
        <v>15</v>
      </c>
      <c r="H10664" s="18">
        <v>38.413550000000001</v>
      </c>
      <c r="I10664" s="90"/>
      <c r="J10664" s="90"/>
    </row>
    <row r="10665" spans="1:10" s="15" customFormat="1" ht="16.5" hidden="1" customHeight="1" outlineLevel="1" x14ac:dyDescent="0.25">
      <c r="A10665" s="18">
        <v>1089</v>
      </c>
      <c r="B10665" s="4" t="s">
        <v>44</v>
      </c>
      <c r="C10665" s="38" t="s">
        <v>5713</v>
      </c>
      <c r="D10665" s="18">
        <v>2022</v>
      </c>
      <c r="E10665" s="18" t="s">
        <v>0</v>
      </c>
      <c r="F10665" s="41">
        <v>1</v>
      </c>
      <c r="G10665" s="4">
        <v>7.5</v>
      </c>
      <c r="H10665" s="18">
        <v>54.667949999999998</v>
      </c>
      <c r="I10665" s="90"/>
      <c r="J10665" s="90"/>
    </row>
    <row r="10666" spans="1:10" s="15" customFormat="1" ht="16.5" hidden="1" customHeight="1" outlineLevel="1" x14ac:dyDescent="0.25">
      <c r="A10666" s="18">
        <v>1096</v>
      </c>
      <c r="B10666" s="4" t="s">
        <v>44</v>
      </c>
      <c r="C10666" s="38" t="s">
        <v>5714</v>
      </c>
      <c r="D10666" s="18">
        <v>2022</v>
      </c>
      <c r="E10666" s="18" t="s">
        <v>0</v>
      </c>
      <c r="F10666" s="41">
        <v>1</v>
      </c>
      <c r="G10666" s="4">
        <v>10</v>
      </c>
      <c r="H10666" s="18">
        <v>56.56474</v>
      </c>
      <c r="I10666" s="90"/>
      <c r="J10666" s="90"/>
    </row>
    <row r="10667" spans="1:10" s="15" customFormat="1" ht="16.5" hidden="1" customHeight="1" outlineLevel="1" x14ac:dyDescent="0.25">
      <c r="A10667" s="18">
        <v>1097</v>
      </c>
      <c r="B10667" s="4" t="s">
        <v>44</v>
      </c>
      <c r="C10667" s="38" t="s">
        <v>5715</v>
      </c>
      <c r="D10667" s="18">
        <v>2022</v>
      </c>
      <c r="E10667" s="18" t="s">
        <v>0</v>
      </c>
      <c r="F10667" s="41">
        <v>1</v>
      </c>
      <c r="G10667" s="4">
        <v>15</v>
      </c>
      <c r="H10667" s="18">
        <v>57.350670000000001</v>
      </c>
      <c r="I10667" s="90"/>
      <c r="J10667" s="90"/>
    </row>
    <row r="10668" spans="1:10" s="15" customFormat="1" ht="16.5" hidden="1" customHeight="1" outlineLevel="1" x14ac:dyDescent="0.25">
      <c r="A10668" s="18">
        <v>1098</v>
      </c>
      <c r="B10668" s="4" t="s">
        <v>44</v>
      </c>
      <c r="C10668" s="38" t="s">
        <v>5716</v>
      </c>
      <c r="D10668" s="18">
        <v>2022</v>
      </c>
      <c r="E10668" s="18" t="s">
        <v>0</v>
      </c>
      <c r="F10668" s="41">
        <v>1</v>
      </c>
      <c r="G10668" s="4">
        <v>10</v>
      </c>
      <c r="H10668" s="18">
        <v>55.497529999999998</v>
      </c>
      <c r="I10668" s="90"/>
      <c r="J10668" s="90"/>
    </row>
    <row r="10669" spans="1:10" s="15" customFormat="1" ht="16.5" hidden="1" customHeight="1" outlineLevel="1" x14ac:dyDescent="0.25">
      <c r="A10669" s="18">
        <v>1151</v>
      </c>
      <c r="B10669" s="4" t="s">
        <v>44</v>
      </c>
      <c r="C10669" s="38" t="s">
        <v>5717</v>
      </c>
      <c r="D10669" s="18">
        <v>2022</v>
      </c>
      <c r="E10669" s="18" t="s">
        <v>0</v>
      </c>
      <c r="F10669" s="41">
        <v>1</v>
      </c>
      <c r="G10669" s="4">
        <v>12.9</v>
      </c>
      <c r="H10669" s="18">
        <v>38.853920000000002</v>
      </c>
      <c r="I10669" s="90"/>
      <c r="J10669" s="90"/>
    </row>
    <row r="10670" spans="1:10" s="15" customFormat="1" ht="16.5" hidden="1" customHeight="1" outlineLevel="1" x14ac:dyDescent="0.25">
      <c r="A10670" s="18">
        <v>1220</v>
      </c>
      <c r="B10670" s="4" t="s">
        <v>44</v>
      </c>
      <c r="C10670" s="38" t="s">
        <v>5718</v>
      </c>
      <c r="D10670" s="18">
        <v>2022</v>
      </c>
      <c r="E10670" s="18" t="s">
        <v>0</v>
      </c>
      <c r="F10670" s="41">
        <v>1</v>
      </c>
      <c r="G10670" s="4">
        <v>15</v>
      </c>
      <c r="H10670" s="18">
        <v>41.550669999999997</v>
      </c>
      <c r="I10670" s="90"/>
      <c r="J10670" s="90"/>
    </row>
    <row r="10671" spans="1:10" s="15" customFormat="1" ht="16.5" hidden="1" customHeight="1" outlineLevel="1" x14ac:dyDescent="0.25">
      <c r="A10671" s="18">
        <v>1233</v>
      </c>
      <c r="B10671" s="4" t="s">
        <v>44</v>
      </c>
      <c r="C10671" s="38" t="s">
        <v>5719</v>
      </c>
      <c r="D10671" s="18">
        <v>2022</v>
      </c>
      <c r="E10671" s="18" t="s">
        <v>0</v>
      </c>
      <c r="F10671" s="41">
        <v>1</v>
      </c>
      <c r="G10671" s="4">
        <v>15</v>
      </c>
      <c r="H10671" s="18">
        <v>43.655679999999997</v>
      </c>
      <c r="I10671" s="90"/>
      <c r="J10671" s="90"/>
    </row>
    <row r="10672" spans="1:10" s="15" customFormat="1" ht="16.5" hidden="1" customHeight="1" outlineLevel="1" x14ac:dyDescent="0.25">
      <c r="A10672" s="18">
        <v>1234</v>
      </c>
      <c r="B10672" s="4" t="s">
        <v>44</v>
      </c>
      <c r="C10672" s="38" t="s">
        <v>5720</v>
      </c>
      <c r="D10672" s="18">
        <v>2022</v>
      </c>
      <c r="E10672" s="18" t="s">
        <v>0</v>
      </c>
      <c r="F10672" s="41">
        <v>1</v>
      </c>
      <c r="G10672" s="4">
        <v>10</v>
      </c>
      <c r="H10672" s="18">
        <v>39.847290000000001</v>
      </c>
      <c r="I10672" s="90"/>
      <c r="J10672" s="90"/>
    </row>
    <row r="10673" spans="1:10" s="15" customFormat="1" ht="16.5" hidden="1" customHeight="1" outlineLevel="1" x14ac:dyDescent="0.25">
      <c r="A10673" s="18">
        <v>1235</v>
      </c>
      <c r="B10673" s="4" t="s">
        <v>44</v>
      </c>
      <c r="C10673" s="38" t="s">
        <v>5721</v>
      </c>
      <c r="D10673" s="18">
        <v>2022</v>
      </c>
      <c r="E10673" s="18" t="s">
        <v>0</v>
      </c>
      <c r="F10673" s="41">
        <v>1</v>
      </c>
      <c r="G10673" s="4">
        <v>10</v>
      </c>
      <c r="H10673" s="18">
        <v>40.894889999999997</v>
      </c>
      <c r="I10673" s="90"/>
      <c r="J10673" s="90"/>
    </row>
    <row r="10674" spans="1:10" s="15" customFormat="1" ht="16.5" hidden="1" customHeight="1" outlineLevel="1" x14ac:dyDescent="0.25">
      <c r="A10674" s="18">
        <v>1239</v>
      </c>
      <c r="B10674" s="4" t="s">
        <v>44</v>
      </c>
      <c r="C10674" s="38" t="s">
        <v>5722</v>
      </c>
      <c r="D10674" s="18">
        <v>2022</v>
      </c>
      <c r="E10674" s="18" t="s">
        <v>0</v>
      </c>
      <c r="F10674" s="41">
        <v>1</v>
      </c>
      <c r="G10674" s="4">
        <v>15</v>
      </c>
      <c r="H10674" s="18">
        <v>47.152790000000003</v>
      </c>
      <c r="I10674" s="90"/>
      <c r="J10674" s="90"/>
    </row>
    <row r="10675" spans="1:10" s="15" customFormat="1" ht="16.5" hidden="1" customHeight="1" outlineLevel="1" x14ac:dyDescent="0.25">
      <c r="A10675" s="18">
        <v>1318</v>
      </c>
      <c r="B10675" s="4" t="s">
        <v>44</v>
      </c>
      <c r="C10675" s="38" t="s">
        <v>5723</v>
      </c>
      <c r="D10675" s="18">
        <v>2022</v>
      </c>
      <c r="E10675" s="18" t="s">
        <v>0</v>
      </c>
      <c r="F10675" s="41">
        <v>1</v>
      </c>
      <c r="G10675" s="4">
        <v>10</v>
      </c>
      <c r="H10675" s="18">
        <v>60.427759999999999</v>
      </c>
      <c r="I10675" s="90"/>
      <c r="J10675" s="90"/>
    </row>
    <row r="10676" spans="1:10" s="15" customFormat="1" ht="16.5" hidden="1" customHeight="1" outlineLevel="1" x14ac:dyDescent="0.25">
      <c r="A10676" s="18">
        <v>1405</v>
      </c>
      <c r="B10676" s="4" t="s">
        <v>44</v>
      </c>
      <c r="C10676" s="38" t="s">
        <v>5724</v>
      </c>
      <c r="D10676" s="18">
        <v>2022</v>
      </c>
      <c r="E10676" s="18" t="s">
        <v>0</v>
      </c>
      <c r="F10676" s="41">
        <v>1</v>
      </c>
      <c r="G10676" s="4">
        <v>10</v>
      </c>
      <c r="H10676" s="18">
        <v>37.648600000000002</v>
      </c>
      <c r="I10676" s="90"/>
      <c r="J10676" s="90"/>
    </row>
    <row r="10677" spans="1:10" s="15" customFormat="1" ht="16.5" hidden="1" customHeight="1" outlineLevel="1" x14ac:dyDescent="0.25">
      <c r="A10677" s="18">
        <v>1304</v>
      </c>
      <c r="B10677" s="4" t="s">
        <v>44</v>
      </c>
      <c r="C10677" s="38" t="s">
        <v>5725</v>
      </c>
      <c r="D10677" s="18">
        <v>2022</v>
      </c>
      <c r="E10677" s="18" t="s">
        <v>0</v>
      </c>
      <c r="F10677" s="41">
        <v>1</v>
      </c>
      <c r="G10677" s="4">
        <v>15</v>
      </c>
      <c r="H10677" s="18">
        <v>61.438830000000003</v>
      </c>
      <c r="I10677" s="90"/>
      <c r="J10677" s="90"/>
    </row>
    <row r="10678" spans="1:10" s="15" customFormat="1" ht="16.5" hidden="1" customHeight="1" outlineLevel="1" x14ac:dyDescent="0.25">
      <c r="A10678" s="18">
        <v>1305</v>
      </c>
      <c r="B10678" s="4" t="s">
        <v>44</v>
      </c>
      <c r="C10678" s="38" t="s">
        <v>5726</v>
      </c>
      <c r="D10678" s="18">
        <v>2022</v>
      </c>
      <c r="E10678" s="18" t="s">
        <v>0</v>
      </c>
      <c r="F10678" s="41">
        <v>1</v>
      </c>
      <c r="G10678" s="4">
        <v>15</v>
      </c>
      <c r="H10678" s="18">
        <v>63.389650000000003</v>
      </c>
      <c r="I10678" s="90"/>
      <c r="J10678" s="90"/>
    </row>
    <row r="10679" spans="1:10" s="15" customFormat="1" ht="16.5" hidden="1" customHeight="1" outlineLevel="1" x14ac:dyDescent="0.25">
      <c r="A10679" s="18">
        <v>1306</v>
      </c>
      <c r="B10679" s="4" t="s">
        <v>44</v>
      </c>
      <c r="C10679" s="38" t="s">
        <v>5727</v>
      </c>
      <c r="D10679" s="18">
        <v>2022</v>
      </c>
      <c r="E10679" s="18" t="s">
        <v>0</v>
      </c>
      <c r="F10679" s="41">
        <v>1</v>
      </c>
      <c r="G10679" s="4">
        <v>15</v>
      </c>
      <c r="H10679" s="18">
        <v>62.820740000000001</v>
      </c>
      <c r="I10679" s="90"/>
      <c r="J10679" s="90"/>
    </row>
    <row r="10680" spans="1:10" s="15" customFormat="1" ht="16.5" hidden="1" customHeight="1" outlineLevel="1" x14ac:dyDescent="0.25">
      <c r="A10680" s="18">
        <v>1372</v>
      </c>
      <c r="B10680" s="4" t="s">
        <v>44</v>
      </c>
      <c r="C10680" s="38" t="s">
        <v>5728</v>
      </c>
      <c r="D10680" s="18">
        <v>2022</v>
      </c>
      <c r="E10680" s="18" t="s">
        <v>0</v>
      </c>
      <c r="F10680" s="41">
        <v>1</v>
      </c>
      <c r="G10680" s="4">
        <v>10</v>
      </c>
      <c r="H10680" s="18">
        <v>36.178669999999997</v>
      </c>
      <c r="I10680" s="90"/>
      <c r="J10680" s="90"/>
    </row>
    <row r="10681" spans="1:10" s="15" customFormat="1" ht="16.5" hidden="1" customHeight="1" outlineLevel="1" x14ac:dyDescent="0.25">
      <c r="A10681" s="18">
        <v>1448</v>
      </c>
      <c r="B10681" s="4" t="s">
        <v>44</v>
      </c>
      <c r="C10681" s="38" t="s">
        <v>5729</v>
      </c>
      <c r="D10681" s="18">
        <v>2022</v>
      </c>
      <c r="E10681" s="18" t="s">
        <v>0</v>
      </c>
      <c r="F10681" s="41">
        <v>1</v>
      </c>
      <c r="G10681" s="4">
        <v>15</v>
      </c>
      <c r="H10681" s="18">
        <v>42.914639999999999</v>
      </c>
      <c r="I10681" s="90"/>
      <c r="J10681" s="90"/>
    </row>
    <row r="10682" spans="1:10" s="15" customFormat="1" ht="16.5" hidden="1" customHeight="1" outlineLevel="1" x14ac:dyDescent="0.25">
      <c r="A10682" s="18">
        <v>1407</v>
      </c>
      <c r="B10682" s="4" t="s">
        <v>44</v>
      </c>
      <c r="C10682" s="38" t="s">
        <v>5730</v>
      </c>
      <c r="D10682" s="18">
        <v>2022</v>
      </c>
      <c r="E10682" s="18" t="s">
        <v>0</v>
      </c>
      <c r="F10682" s="41">
        <v>1</v>
      </c>
      <c r="G10682" s="4">
        <v>15</v>
      </c>
      <c r="H10682" s="18">
        <v>36.584400000000002</v>
      </c>
      <c r="I10682" s="90"/>
      <c r="J10682" s="90"/>
    </row>
    <row r="10683" spans="1:10" s="15" customFormat="1" ht="16.5" hidden="1" customHeight="1" outlineLevel="1" x14ac:dyDescent="0.25">
      <c r="A10683" s="18">
        <v>1413</v>
      </c>
      <c r="B10683" s="4" t="s">
        <v>44</v>
      </c>
      <c r="C10683" s="38" t="s">
        <v>5731</v>
      </c>
      <c r="D10683" s="18">
        <v>2022</v>
      </c>
      <c r="E10683" s="18" t="s">
        <v>0</v>
      </c>
      <c r="F10683" s="41">
        <v>1</v>
      </c>
      <c r="G10683" s="4">
        <v>15</v>
      </c>
      <c r="H10683" s="18">
        <v>36.64584</v>
      </c>
      <c r="I10683" s="90"/>
      <c r="J10683" s="90"/>
    </row>
    <row r="10684" spans="1:10" s="15" customFormat="1" ht="16.5" hidden="1" customHeight="1" outlineLevel="1" x14ac:dyDescent="0.25">
      <c r="A10684" s="18">
        <v>1443</v>
      </c>
      <c r="B10684" s="4" t="s">
        <v>44</v>
      </c>
      <c r="C10684" s="38" t="s">
        <v>5732</v>
      </c>
      <c r="D10684" s="18">
        <v>2022</v>
      </c>
      <c r="E10684" s="18" t="s">
        <v>0</v>
      </c>
      <c r="F10684" s="41">
        <v>1</v>
      </c>
      <c r="G10684" s="4">
        <v>15</v>
      </c>
      <c r="H10684" s="18">
        <v>40.352539999999998</v>
      </c>
      <c r="I10684" s="90"/>
      <c r="J10684" s="90"/>
    </row>
    <row r="10685" spans="1:10" s="15" customFormat="1" ht="16.5" hidden="1" customHeight="1" outlineLevel="1" x14ac:dyDescent="0.25">
      <c r="A10685" s="18">
        <v>1082</v>
      </c>
      <c r="B10685" s="4" t="s">
        <v>44</v>
      </c>
      <c r="C10685" s="38" t="s">
        <v>5733</v>
      </c>
      <c r="D10685" s="18">
        <v>2022</v>
      </c>
      <c r="E10685" s="18" t="s">
        <v>0</v>
      </c>
      <c r="F10685" s="41">
        <v>1</v>
      </c>
      <c r="G10685" s="4">
        <v>15</v>
      </c>
      <c r="H10685" s="18">
        <v>68.708150000000003</v>
      </c>
      <c r="I10685" s="90"/>
      <c r="J10685" s="90"/>
    </row>
    <row r="10686" spans="1:10" s="15" customFormat="1" ht="16.5" hidden="1" customHeight="1" outlineLevel="1" x14ac:dyDescent="0.25">
      <c r="A10686" s="18">
        <v>1083</v>
      </c>
      <c r="B10686" s="4" t="s">
        <v>44</v>
      </c>
      <c r="C10686" s="38" t="s">
        <v>5734</v>
      </c>
      <c r="D10686" s="18">
        <v>2022</v>
      </c>
      <c r="E10686" s="18" t="s">
        <v>0</v>
      </c>
      <c r="F10686" s="41">
        <v>1</v>
      </c>
      <c r="G10686" s="4">
        <v>10</v>
      </c>
      <c r="H10686" s="18">
        <v>46.08522</v>
      </c>
      <c r="I10686" s="90"/>
      <c r="J10686" s="90"/>
    </row>
    <row r="10687" spans="1:10" s="15" customFormat="1" ht="16.5" hidden="1" customHeight="1" outlineLevel="1" x14ac:dyDescent="0.25">
      <c r="A10687" s="18">
        <v>1108</v>
      </c>
      <c r="B10687" s="4" t="s">
        <v>44</v>
      </c>
      <c r="C10687" s="38" t="s">
        <v>5735</v>
      </c>
      <c r="D10687" s="18">
        <v>2022</v>
      </c>
      <c r="E10687" s="18" t="s">
        <v>0</v>
      </c>
      <c r="F10687" s="41">
        <v>1</v>
      </c>
      <c r="G10687" s="4">
        <v>15</v>
      </c>
      <c r="H10687" s="18">
        <v>43.129370000000002</v>
      </c>
      <c r="I10687" s="90"/>
      <c r="J10687" s="90"/>
    </row>
    <row r="10688" spans="1:10" s="15" customFormat="1" ht="16.5" hidden="1" customHeight="1" outlineLevel="1" x14ac:dyDescent="0.25">
      <c r="A10688" s="18">
        <v>1148</v>
      </c>
      <c r="B10688" s="4" t="s">
        <v>44</v>
      </c>
      <c r="C10688" s="38" t="s">
        <v>5736</v>
      </c>
      <c r="D10688" s="18">
        <v>2022</v>
      </c>
      <c r="E10688" s="18" t="s">
        <v>0</v>
      </c>
      <c r="F10688" s="41">
        <v>1</v>
      </c>
      <c r="G10688" s="4">
        <v>4</v>
      </c>
      <c r="H10688" s="18">
        <v>33.656930000000003</v>
      </c>
      <c r="I10688" s="90"/>
      <c r="J10688" s="90"/>
    </row>
    <row r="10689" spans="1:10" s="15" customFormat="1" ht="16.5" hidden="1" customHeight="1" outlineLevel="1" x14ac:dyDescent="0.25">
      <c r="A10689" s="18">
        <v>1141</v>
      </c>
      <c r="B10689" s="4" t="s">
        <v>44</v>
      </c>
      <c r="C10689" s="38" t="s">
        <v>5737</v>
      </c>
      <c r="D10689" s="18">
        <v>2022</v>
      </c>
      <c r="E10689" s="18" t="s">
        <v>0</v>
      </c>
      <c r="F10689" s="41">
        <v>1</v>
      </c>
      <c r="G10689" s="4">
        <v>15</v>
      </c>
      <c r="H10689" s="18">
        <v>39.422069999999998</v>
      </c>
      <c r="I10689" s="90"/>
      <c r="J10689" s="90"/>
    </row>
    <row r="10690" spans="1:10" s="15" customFormat="1" ht="16.5" hidden="1" customHeight="1" outlineLevel="1" x14ac:dyDescent="0.25">
      <c r="A10690" s="18">
        <v>1156</v>
      </c>
      <c r="B10690" s="4" t="s">
        <v>44</v>
      </c>
      <c r="C10690" s="38" t="s">
        <v>5738</v>
      </c>
      <c r="D10690" s="18">
        <v>2022</v>
      </c>
      <c r="E10690" s="18" t="s">
        <v>0</v>
      </c>
      <c r="F10690" s="41">
        <v>1</v>
      </c>
      <c r="G10690" s="4">
        <v>15</v>
      </c>
      <c r="H10690" s="18">
        <v>43.10463</v>
      </c>
      <c r="I10690" s="90"/>
      <c r="J10690" s="90"/>
    </row>
    <row r="10691" spans="1:10" s="15" customFormat="1" ht="16.5" hidden="1" customHeight="1" outlineLevel="1" x14ac:dyDescent="0.25">
      <c r="A10691" s="18">
        <v>1208</v>
      </c>
      <c r="B10691" s="4" t="s">
        <v>44</v>
      </c>
      <c r="C10691" s="38" t="s">
        <v>5739</v>
      </c>
      <c r="D10691" s="18">
        <v>2022</v>
      </c>
      <c r="E10691" s="18" t="s">
        <v>0</v>
      </c>
      <c r="F10691" s="41">
        <v>1</v>
      </c>
      <c r="G10691" s="4">
        <v>10</v>
      </c>
      <c r="H10691" s="18">
        <v>42.972769999999997</v>
      </c>
      <c r="I10691" s="90"/>
      <c r="J10691" s="90"/>
    </row>
    <row r="10692" spans="1:10" s="15" customFormat="1" ht="16.5" hidden="1" customHeight="1" outlineLevel="1" x14ac:dyDescent="0.25">
      <c r="A10692" s="18">
        <v>1209</v>
      </c>
      <c r="B10692" s="4" t="s">
        <v>44</v>
      </c>
      <c r="C10692" s="38" t="s">
        <v>5740</v>
      </c>
      <c r="D10692" s="18">
        <v>2022</v>
      </c>
      <c r="E10692" s="18" t="s">
        <v>0</v>
      </c>
      <c r="F10692" s="41">
        <v>1</v>
      </c>
      <c r="G10692" s="4">
        <v>10</v>
      </c>
      <c r="H10692" s="18">
        <v>45.254869999999997</v>
      </c>
      <c r="I10692" s="90"/>
      <c r="J10692" s="90"/>
    </row>
    <row r="10693" spans="1:10" s="15" customFormat="1" ht="16.5" hidden="1" customHeight="1" outlineLevel="1" x14ac:dyDescent="0.25">
      <c r="A10693" s="18">
        <v>1184</v>
      </c>
      <c r="B10693" s="4" t="s">
        <v>44</v>
      </c>
      <c r="C10693" s="38" t="s">
        <v>5741</v>
      </c>
      <c r="D10693" s="18">
        <v>2022</v>
      </c>
      <c r="E10693" s="18" t="s">
        <v>0</v>
      </c>
      <c r="F10693" s="41">
        <v>1</v>
      </c>
      <c r="G10693" s="4">
        <v>10</v>
      </c>
      <c r="H10693" s="18">
        <v>36.296529999999997</v>
      </c>
      <c r="I10693" s="90"/>
      <c r="J10693" s="90"/>
    </row>
    <row r="10694" spans="1:10" s="15" customFormat="1" ht="16.5" hidden="1" customHeight="1" outlineLevel="1" x14ac:dyDescent="0.25">
      <c r="A10694" s="18">
        <v>1194</v>
      </c>
      <c r="B10694" s="4" t="s">
        <v>44</v>
      </c>
      <c r="C10694" s="38" t="s">
        <v>5742</v>
      </c>
      <c r="D10694" s="18">
        <v>2022</v>
      </c>
      <c r="E10694" s="18" t="s">
        <v>0</v>
      </c>
      <c r="F10694" s="41">
        <v>1</v>
      </c>
      <c r="G10694" s="4">
        <v>10</v>
      </c>
      <c r="H10694" s="18">
        <v>34.787280000000003</v>
      </c>
      <c r="I10694" s="90"/>
      <c r="J10694" s="90"/>
    </row>
    <row r="10695" spans="1:10" s="15" customFormat="1" ht="16.5" hidden="1" customHeight="1" outlineLevel="1" x14ac:dyDescent="0.25">
      <c r="A10695" s="18">
        <v>1193</v>
      </c>
      <c r="B10695" s="4" t="s">
        <v>44</v>
      </c>
      <c r="C10695" s="38" t="s">
        <v>5743</v>
      </c>
      <c r="D10695" s="18">
        <v>2022</v>
      </c>
      <c r="E10695" s="18" t="s">
        <v>0</v>
      </c>
      <c r="F10695" s="41">
        <v>1</v>
      </c>
      <c r="G10695" s="4">
        <v>10</v>
      </c>
      <c r="H10695" s="18">
        <v>34.74465</v>
      </c>
      <c r="I10695" s="90"/>
      <c r="J10695" s="90"/>
    </row>
    <row r="10696" spans="1:10" s="15" customFormat="1" ht="16.5" hidden="1" customHeight="1" outlineLevel="1" x14ac:dyDescent="0.25">
      <c r="A10696" s="18">
        <v>1216</v>
      </c>
      <c r="B10696" s="4" t="s">
        <v>44</v>
      </c>
      <c r="C10696" s="38" t="s">
        <v>5744</v>
      </c>
      <c r="D10696" s="18">
        <v>2022</v>
      </c>
      <c r="E10696" s="18" t="s">
        <v>0</v>
      </c>
      <c r="F10696" s="41">
        <v>1</v>
      </c>
      <c r="G10696" s="4">
        <v>10</v>
      </c>
      <c r="H10696" s="18">
        <v>40.400860000000002</v>
      </c>
      <c r="I10696" s="90"/>
      <c r="J10696" s="90"/>
    </row>
    <row r="10697" spans="1:10" s="15" customFormat="1" ht="16.5" hidden="1" customHeight="1" outlineLevel="1" x14ac:dyDescent="0.25">
      <c r="A10697" s="18">
        <v>1276</v>
      </c>
      <c r="B10697" s="4" t="s">
        <v>44</v>
      </c>
      <c r="C10697" s="38" t="s">
        <v>5745</v>
      </c>
      <c r="D10697" s="18">
        <v>2022</v>
      </c>
      <c r="E10697" s="18" t="s">
        <v>0</v>
      </c>
      <c r="F10697" s="41">
        <v>1</v>
      </c>
      <c r="G10697" s="4">
        <v>15</v>
      </c>
      <c r="H10697" s="18">
        <v>33.428179999999998</v>
      </c>
      <c r="I10697" s="90"/>
      <c r="J10697" s="90"/>
    </row>
    <row r="10698" spans="1:10" s="15" customFormat="1" ht="16.5" hidden="1" customHeight="1" outlineLevel="1" x14ac:dyDescent="0.25">
      <c r="A10698" s="18">
        <v>1286</v>
      </c>
      <c r="B10698" s="4" t="s">
        <v>44</v>
      </c>
      <c r="C10698" s="38" t="s">
        <v>5746</v>
      </c>
      <c r="D10698" s="18">
        <v>2022</v>
      </c>
      <c r="E10698" s="18" t="s">
        <v>0</v>
      </c>
      <c r="F10698" s="41">
        <v>1</v>
      </c>
      <c r="G10698" s="4">
        <v>15</v>
      </c>
      <c r="H10698" s="18">
        <v>41.658909999999999</v>
      </c>
      <c r="I10698" s="90"/>
      <c r="J10698" s="90"/>
    </row>
    <row r="10699" spans="1:10" s="15" customFormat="1" ht="16.5" hidden="1" customHeight="1" outlineLevel="1" x14ac:dyDescent="0.25">
      <c r="A10699" s="18">
        <v>1396</v>
      </c>
      <c r="B10699" s="4" t="s">
        <v>44</v>
      </c>
      <c r="C10699" s="38" t="s">
        <v>5747</v>
      </c>
      <c r="D10699" s="18">
        <v>2022</v>
      </c>
      <c r="E10699" s="18" t="s">
        <v>0</v>
      </c>
      <c r="F10699" s="41">
        <v>1</v>
      </c>
      <c r="G10699" s="4">
        <v>15</v>
      </c>
      <c r="H10699" s="18">
        <v>65.21378</v>
      </c>
      <c r="I10699" s="90"/>
      <c r="J10699" s="90"/>
    </row>
    <row r="10700" spans="1:10" s="15" customFormat="1" ht="16.5" hidden="1" customHeight="1" outlineLevel="1" x14ac:dyDescent="0.25">
      <c r="A10700" s="18">
        <v>1330</v>
      </c>
      <c r="B10700" s="4" t="s">
        <v>44</v>
      </c>
      <c r="C10700" s="38" t="s">
        <v>5748</v>
      </c>
      <c r="D10700" s="18">
        <v>2022</v>
      </c>
      <c r="E10700" s="18" t="s">
        <v>0</v>
      </c>
      <c r="F10700" s="41">
        <v>1</v>
      </c>
      <c r="G10700" s="4">
        <v>10</v>
      </c>
      <c r="H10700" s="18">
        <v>68.216179999999994</v>
      </c>
      <c r="I10700" s="90"/>
      <c r="J10700" s="90"/>
    </row>
    <row r="10701" spans="1:10" s="15" customFormat="1" ht="16.5" hidden="1" customHeight="1" outlineLevel="1" x14ac:dyDescent="0.25">
      <c r="A10701" s="18">
        <v>1341</v>
      </c>
      <c r="B10701" s="4" t="s">
        <v>44</v>
      </c>
      <c r="C10701" s="38" t="s">
        <v>5749</v>
      </c>
      <c r="D10701" s="18">
        <v>2022</v>
      </c>
      <c r="E10701" s="18" t="s">
        <v>0</v>
      </c>
      <c r="F10701" s="41">
        <v>1</v>
      </c>
      <c r="G10701" s="4">
        <v>15</v>
      </c>
      <c r="H10701" s="18">
        <v>38.476990000000001</v>
      </c>
      <c r="I10701" s="90"/>
      <c r="J10701" s="90"/>
    </row>
    <row r="10702" spans="1:10" s="15" customFormat="1" ht="16.5" hidden="1" customHeight="1" outlineLevel="1" x14ac:dyDescent="0.25">
      <c r="A10702" s="18">
        <v>1389</v>
      </c>
      <c r="B10702" s="4" t="s">
        <v>44</v>
      </c>
      <c r="C10702" s="38" t="s">
        <v>5750</v>
      </c>
      <c r="D10702" s="18">
        <v>2022</v>
      </c>
      <c r="E10702" s="18" t="s">
        <v>0</v>
      </c>
      <c r="F10702" s="41">
        <v>1</v>
      </c>
      <c r="G10702" s="4">
        <v>15</v>
      </c>
      <c r="H10702" s="18">
        <v>57.830880000000001</v>
      </c>
      <c r="I10702" s="90"/>
      <c r="J10702" s="90"/>
    </row>
    <row r="10703" spans="1:10" s="15" customFormat="1" ht="16.5" hidden="1" customHeight="1" outlineLevel="1" x14ac:dyDescent="0.25">
      <c r="A10703" s="18">
        <v>1390</v>
      </c>
      <c r="B10703" s="4" t="s">
        <v>44</v>
      </c>
      <c r="C10703" s="38" t="s">
        <v>5751</v>
      </c>
      <c r="D10703" s="18">
        <v>2022</v>
      </c>
      <c r="E10703" s="18" t="s">
        <v>0</v>
      </c>
      <c r="F10703" s="41">
        <v>1</v>
      </c>
      <c r="G10703" s="4">
        <v>10</v>
      </c>
      <c r="H10703" s="18">
        <v>61.299909999999997</v>
      </c>
      <c r="I10703" s="90"/>
      <c r="J10703" s="90"/>
    </row>
    <row r="10704" spans="1:10" s="15" customFormat="1" ht="16.5" hidden="1" customHeight="1" outlineLevel="1" x14ac:dyDescent="0.25">
      <c r="A10704" s="18">
        <v>1073</v>
      </c>
      <c r="B10704" s="4" t="s">
        <v>44</v>
      </c>
      <c r="C10704" s="38" t="s">
        <v>5752</v>
      </c>
      <c r="D10704" s="18">
        <v>2022</v>
      </c>
      <c r="E10704" s="18" t="s">
        <v>0</v>
      </c>
      <c r="F10704" s="41">
        <v>1</v>
      </c>
      <c r="G10704" s="4">
        <v>20</v>
      </c>
      <c r="H10704" s="18">
        <v>44.950040000000001</v>
      </c>
      <c r="I10704" s="90"/>
      <c r="J10704" s="90"/>
    </row>
    <row r="10705" spans="1:10" s="15" customFormat="1" ht="16.5" hidden="1" customHeight="1" outlineLevel="1" x14ac:dyDescent="0.25">
      <c r="A10705" s="18">
        <v>1164</v>
      </c>
      <c r="B10705" s="4" t="s">
        <v>44</v>
      </c>
      <c r="C10705" s="38" t="s">
        <v>5753</v>
      </c>
      <c r="D10705" s="18">
        <v>2022</v>
      </c>
      <c r="E10705" s="18" t="s">
        <v>0</v>
      </c>
      <c r="F10705" s="41">
        <v>1</v>
      </c>
      <c r="G10705" s="4">
        <v>15</v>
      </c>
      <c r="H10705" s="18">
        <v>53.912640000000003</v>
      </c>
      <c r="I10705" s="90"/>
      <c r="J10705" s="90"/>
    </row>
    <row r="10706" spans="1:10" s="15" customFormat="1" ht="16.5" hidden="1" customHeight="1" outlineLevel="1" x14ac:dyDescent="0.25">
      <c r="A10706" s="18">
        <v>1205</v>
      </c>
      <c r="B10706" s="4" t="s">
        <v>44</v>
      </c>
      <c r="C10706" s="38" t="s">
        <v>5754</v>
      </c>
      <c r="D10706" s="18">
        <v>2022</v>
      </c>
      <c r="E10706" s="18" t="s">
        <v>0</v>
      </c>
      <c r="F10706" s="41">
        <v>1</v>
      </c>
      <c r="G10706" s="4">
        <v>15</v>
      </c>
      <c r="H10706" s="18">
        <v>39.213679999999997</v>
      </c>
      <c r="I10706" s="90"/>
      <c r="J10706" s="90"/>
    </row>
    <row r="10707" spans="1:10" s="15" customFormat="1" ht="16.5" hidden="1" customHeight="1" outlineLevel="1" x14ac:dyDescent="0.25">
      <c r="A10707" s="18">
        <v>1244</v>
      </c>
      <c r="B10707" s="4" t="s">
        <v>44</v>
      </c>
      <c r="C10707" s="38" t="s">
        <v>5755</v>
      </c>
      <c r="D10707" s="18">
        <v>2022</v>
      </c>
      <c r="E10707" s="18" t="s">
        <v>0</v>
      </c>
      <c r="F10707" s="41">
        <v>1</v>
      </c>
      <c r="G10707" s="4">
        <v>15</v>
      </c>
      <c r="H10707" s="18">
        <v>43.24915</v>
      </c>
      <c r="I10707" s="90"/>
      <c r="J10707" s="90"/>
    </row>
    <row r="10708" spans="1:10" s="15" customFormat="1" ht="16.5" hidden="1" customHeight="1" outlineLevel="1" x14ac:dyDescent="0.25">
      <c r="A10708" s="18">
        <v>1246</v>
      </c>
      <c r="B10708" s="4" t="s">
        <v>44</v>
      </c>
      <c r="C10708" s="38" t="s">
        <v>5756</v>
      </c>
      <c r="D10708" s="18">
        <v>2022</v>
      </c>
      <c r="E10708" s="18" t="s">
        <v>0</v>
      </c>
      <c r="F10708" s="41">
        <v>1</v>
      </c>
      <c r="G10708" s="4">
        <v>10</v>
      </c>
      <c r="H10708" s="18">
        <v>53.918219999999998</v>
      </c>
      <c r="I10708" s="90"/>
      <c r="J10708" s="90"/>
    </row>
    <row r="10709" spans="1:10" s="15" customFormat="1" ht="16.5" hidden="1" customHeight="1" outlineLevel="1" x14ac:dyDescent="0.25">
      <c r="A10709" s="18">
        <v>1248</v>
      </c>
      <c r="B10709" s="4" t="s">
        <v>44</v>
      </c>
      <c r="C10709" s="38" t="s">
        <v>5757</v>
      </c>
      <c r="D10709" s="18">
        <v>2022</v>
      </c>
      <c r="E10709" s="18" t="s">
        <v>0</v>
      </c>
      <c r="F10709" s="41">
        <v>1</v>
      </c>
      <c r="G10709" s="4">
        <v>10</v>
      </c>
      <c r="H10709" s="18">
        <v>46.094259999999998</v>
      </c>
      <c r="I10709" s="90"/>
      <c r="J10709" s="90"/>
    </row>
    <row r="10710" spans="1:10" s="15" customFormat="1" ht="16.5" hidden="1" customHeight="1" outlineLevel="1" x14ac:dyDescent="0.25">
      <c r="A10710" s="18">
        <v>1290</v>
      </c>
      <c r="B10710" s="4" t="s">
        <v>44</v>
      </c>
      <c r="C10710" s="38" t="s">
        <v>5758</v>
      </c>
      <c r="D10710" s="18">
        <v>2022</v>
      </c>
      <c r="E10710" s="18" t="s">
        <v>0</v>
      </c>
      <c r="F10710" s="41">
        <v>1</v>
      </c>
      <c r="G10710" s="4">
        <v>15</v>
      </c>
      <c r="H10710" s="18">
        <v>44.476759999999999</v>
      </c>
      <c r="I10710" s="90"/>
      <c r="J10710" s="90"/>
    </row>
    <row r="10711" spans="1:10" s="15" customFormat="1" ht="16.5" hidden="1" customHeight="1" outlineLevel="1" x14ac:dyDescent="0.25">
      <c r="A10711" s="18">
        <v>1297</v>
      </c>
      <c r="B10711" s="4" t="s">
        <v>44</v>
      </c>
      <c r="C10711" s="38" t="s">
        <v>5759</v>
      </c>
      <c r="D10711" s="18">
        <v>2022</v>
      </c>
      <c r="E10711" s="18" t="s">
        <v>0</v>
      </c>
      <c r="F10711" s="41">
        <v>1</v>
      </c>
      <c r="G10711" s="4">
        <v>15</v>
      </c>
      <c r="H10711" s="18">
        <v>51.792439999999999</v>
      </c>
      <c r="I10711" s="90"/>
      <c r="J10711" s="90"/>
    </row>
    <row r="10712" spans="1:10" s="15" customFormat="1" ht="16.5" hidden="1" customHeight="1" outlineLevel="1" x14ac:dyDescent="0.25">
      <c r="A10712" s="18">
        <v>1310</v>
      </c>
      <c r="B10712" s="4" t="s">
        <v>44</v>
      </c>
      <c r="C10712" s="38" t="s">
        <v>5760</v>
      </c>
      <c r="D10712" s="18">
        <v>2022</v>
      </c>
      <c r="E10712" s="18" t="s">
        <v>0</v>
      </c>
      <c r="F10712" s="41">
        <v>1</v>
      </c>
      <c r="G10712" s="4">
        <v>15</v>
      </c>
      <c r="H10712" s="18">
        <v>50.672580000000004</v>
      </c>
      <c r="I10712" s="90"/>
      <c r="J10712" s="90"/>
    </row>
    <row r="10713" spans="1:10" s="15" customFormat="1" ht="16.5" hidden="1" customHeight="1" outlineLevel="1" x14ac:dyDescent="0.25">
      <c r="A10713" s="18">
        <v>1402</v>
      </c>
      <c r="B10713" s="4" t="s">
        <v>44</v>
      </c>
      <c r="C10713" s="38" t="s">
        <v>5761</v>
      </c>
      <c r="D10713" s="18">
        <v>2022</v>
      </c>
      <c r="E10713" s="18" t="s">
        <v>0</v>
      </c>
      <c r="F10713" s="41">
        <v>1</v>
      </c>
      <c r="G10713" s="4">
        <v>10</v>
      </c>
      <c r="H10713" s="18">
        <v>42.638539999999999</v>
      </c>
      <c r="I10713" s="90"/>
      <c r="J10713" s="90"/>
    </row>
    <row r="10714" spans="1:10" s="15" customFormat="1" ht="16.5" hidden="1" customHeight="1" outlineLevel="1" x14ac:dyDescent="0.25">
      <c r="A10714" s="18">
        <v>1403</v>
      </c>
      <c r="B10714" s="4" t="s">
        <v>44</v>
      </c>
      <c r="C10714" s="38" t="s">
        <v>5762</v>
      </c>
      <c r="D10714" s="18">
        <v>2022</v>
      </c>
      <c r="E10714" s="18" t="s">
        <v>0</v>
      </c>
      <c r="F10714" s="41">
        <v>1</v>
      </c>
      <c r="G10714" s="4">
        <v>10</v>
      </c>
      <c r="H10714" s="18">
        <v>46.796889999999998</v>
      </c>
      <c r="I10714" s="90"/>
      <c r="J10714" s="90"/>
    </row>
    <row r="10715" spans="1:10" s="15" customFormat="1" ht="16.5" hidden="1" customHeight="1" outlineLevel="1" x14ac:dyDescent="0.25">
      <c r="A10715" s="18">
        <v>1200</v>
      </c>
      <c r="B10715" s="4" t="s">
        <v>44</v>
      </c>
      <c r="C10715" s="38" t="s">
        <v>5763</v>
      </c>
      <c r="D10715" s="18">
        <v>2022</v>
      </c>
      <c r="E10715" s="18" t="s">
        <v>0</v>
      </c>
      <c r="F10715" s="41">
        <v>1</v>
      </c>
      <c r="G10715" s="4">
        <v>10</v>
      </c>
      <c r="H10715" s="18">
        <v>40.640360000000001</v>
      </c>
      <c r="I10715" s="90"/>
      <c r="J10715" s="90"/>
    </row>
    <row r="10716" spans="1:10" s="15" customFormat="1" ht="16.5" hidden="1" customHeight="1" outlineLevel="1" x14ac:dyDescent="0.25">
      <c r="A10716" s="18">
        <v>1359</v>
      </c>
      <c r="B10716" s="4" t="s">
        <v>44</v>
      </c>
      <c r="C10716" s="38" t="s">
        <v>5764</v>
      </c>
      <c r="D10716" s="18">
        <v>2022</v>
      </c>
      <c r="E10716" s="18" t="s">
        <v>0</v>
      </c>
      <c r="F10716" s="41">
        <v>1</v>
      </c>
      <c r="G10716" s="4">
        <v>15</v>
      </c>
      <c r="H10716" s="18">
        <v>40.79589</v>
      </c>
      <c r="I10716" s="90"/>
      <c r="J10716" s="90"/>
    </row>
    <row r="10717" spans="1:10" s="15" customFormat="1" ht="16.5" hidden="1" customHeight="1" outlineLevel="1" x14ac:dyDescent="0.25">
      <c r="A10717" s="18">
        <v>1360</v>
      </c>
      <c r="B10717" s="4" t="s">
        <v>44</v>
      </c>
      <c r="C10717" s="38" t="s">
        <v>5765</v>
      </c>
      <c r="D10717" s="18">
        <v>2022</v>
      </c>
      <c r="E10717" s="18" t="s">
        <v>0</v>
      </c>
      <c r="F10717" s="41">
        <v>1</v>
      </c>
      <c r="G10717" s="4">
        <v>10</v>
      </c>
      <c r="H10717" s="18">
        <v>53.976849999999999</v>
      </c>
      <c r="I10717" s="90"/>
      <c r="J10717" s="90"/>
    </row>
    <row r="10718" spans="1:10" s="15" customFormat="1" ht="16.5" hidden="1" customHeight="1" outlineLevel="1" x14ac:dyDescent="0.25">
      <c r="A10718" s="18">
        <v>1167</v>
      </c>
      <c r="B10718" s="4" t="s">
        <v>44</v>
      </c>
      <c r="C10718" s="38" t="s">
        <v>5766</v>
      </c>
      <c r="D10718" s="18">
        <v>2022</v>
      </c>
      <c r="E10718" s="18" t="s">
        <v>0</v>
      </c>
      <c r="F10718" s="41">
        <v>1</v>
      </c>
      <c r="G10718" s="4">
        <v>10</v>
      </c>
      <c r="H10718" s="18">
        <v>40.422899999999998</v>
      </c>
      <c r="I10718" s="90"/>
      <c r="J10718" s="90"/>
    </row>
    <row r="10719" spans="1:10" s="15" customFormat="1" ht="16.5" hidden="1" customHeight="1" outlineLevel="1" x14ac:dyDescent="0.25">
      <c r="A10719" s="18">
        <v>1314</v>
      </c>
      <c r="B10719" s="4" t="s">
        <v>44</v>
      </c>
      <c r="C10719" s="38" t="s">
        <v>5767</v>
      </c>
      <c r="D10719" s="18">
        <v>2022</v>
      </c>
      <c r="E10719" s="18" t="s">
        <v>0</v>
      </c>
      <c r="F10719" s="41">
        <v>1</v>
      </c>
      <c r="G10719" s="4">
        <v>10</v>
      </c>
      <c r="H10719" s="18">
        <v>43.15466</v>
      </c>
      <c r="I10719" s="90"/>
      <c r="J10719" s="90"/>
    </row>
    <row r="10720" spans="1:10" s="15" customFormat="1" ht="16.5" hidden="1" customHeight="1" outlineLevel="1" x14ac:dyDescent="0.25">
      <c r="A10720" s="18">
        <v>1362</v>
      </c>
      <c r="B10720" s="4" t="s">
        <v>44</v>
      </c>
      <c r="C10720" s="38" t="s">
        <v>5768</v>
      </c>
      <c r="D10720" s="18">
        <v>2022</v>
      </c>
      <c r="E10720" s="18" t="s">
        <v>0</v>
      </c>
      <c r="F10720" s="41">
        <v>1</v>
      </c>
      <c r="G10720" s="4">
        <v>15</v>
      </c>
      <c r="H10720" s="18">
        <v>41.020989999999998</v>
      </c>
      <c r="I10720" s="90"/>
      <c r="J10720" s="90"/>
    </row>
    <row r="10721" spans="1:10" s="15" customFormat="1" ht="16.5" hidden="1" customHeight="1" outlineLevel="1" x14ac:dyDescent="0.25">
      <c r="A10721" s="18">
        <v>1363</v>
      </c>
      <c r="B10721" s="4" t="s">
        <v>44</v>
      </c>
      <c r="C10721" s="38" t="s">
        <v>5769</v>
      </c>
      <c r="D10721" s="18">
        <v>2022</v>
      </c>
      <c r="E10721" s="18" t="s">
        <v>0</v>
      </c>
      <c r="F10721" s="41">
        <v>1</v>
      </c>
      <c r="G10721" s="4">
        <v>10</v>
      </c>
      <c r="H10721" s="18">
        <v>39.98019</v>
      </c>
      <c r="I10721" s="90"/>
      <c r="J10721" s="90"/>
    </row>
    <row r="10722" spans="1:10" s="15" customFormat="1" ht="16.5" hidden="1" customHeight="1" outlineLevel="1" x14ac:dyDescent="0.25">
      <c r="A10722" s="18">
        <v>1144</v>
      </c>
      <c r="B10722" s="4" t="s">
        <v>44</v>
      </c>
      <c r="C10722" s="38" t="s">
        <v>5770</v>
      </c>
      <c r="D10722" s="18">
        <v>2022</v>
      </c>
      <c r="E10722" s="18" t="s">
        <v>0</v>
      </c>
      <c r="F10722" s="41">
        <v>1</v>
      </c>
      <c r="G10722" s="4">
        <v>15</v>
      </c>
      <c r="H10722" s="18">
        <v>50.807389999999998</v>
      </c>
      <c r="I10722" s="90"/>
      <c r="J10722" s="90"/>
    </row>
    <row r="10723" spans="1:10" s="15" customFormat="1" ht="16.5" hidden="1" customHeight="1" outlineLevel="1" x14ac:dyDescent="0.25">
      <c r="A10723" s="18">
        <v>1171</v>
      </c>
      <c r="B10723" s="4" t="s">
        <v>44</v>
      </c>
      <c r="C10723" s="38" t="s">
        <v>5771</v>
      </c>
      <c r="D10723" s="18">
        <v>2022</v>
      </c>
      <c r="E10723" s="18" t="s">
        <v>0</v>
      </c>
      <c r="F10723" s="41">
        <v>1</v>
      </c>
      <c r="G10723" s="4">
        <v>10</v>
      </c>
      <c r="H10723" s="18">
        <v>46.302549999999997</v>
      </c>
      <c r="I10723" s="90"/>
      <c r="J10723" s="90"/>
    </row>
    <row r="10724" spans="1:10" s="15" customFormat="1" ht="16.5" hidden="1" customHeight="1" outlineLevel="1" x14ac:dyDescent="0.25">
      <c r="A10724" s="18">
        <v>1173</v>
      </c>
      <c r="B10724" s="4" t="s">
        <v>44</v>
      </c>
      <c r="C10724" s="38" t="s">
        <v>5772</v>
      </c>
      <c r="D10724" s="18">
        <v>2022</v>
      </c>
      <c r="E10724" s="18" t="s">
        <v>0</v>
      </c>
      <c r="F10724" s="41">
        <v>1</v>
      </c>
      <c r="G10724" s="4">
        <v>15</v>
      </c>
      <c r="H10724" s="18">
        <v>41.212389999999999</v>
      </c>
      <c r="I10724" s="90"/>
      <c r="J10724" s="90"/>
    </row>
    <row r="10725" spans="1:10" s="15" customFormat="1" ht="16.5" hidden="1" customHeight="1" outlineLevel="1" x14ac:dyDescent="0.25">
      <c r="A10725" s="18">
        <v>1188</v>
      </c>
      <c r="B10725" s="4" t="s">
        <v>44</v>
      </c>
      <c r="C10725" s="38" t="s">
        <v>5773</v>
      </c>
      <c r="D10725" s="18">
        <v>2022</v>
      </c>
      <c r="E10725" s="18" t="s">
        <v>0</v>
      </c>
      <c r="F10725" s="41">
        <v>1</v>
      </c>
      <c r="G10725" s="4">
        <v>10</v>
      </c>
      <c r="H10725" s="18">
        <v>40.819969999999998</v>
      </c>
      <c r="I10725" s="90"/>
      <c r="J10725" s="90"/>
    </row>
    <row r="10726" spans="1:10" s="15" customFormat="1" ht="16.5" hidden="1" customHeight="1" outlineLevel="1" x14ac:dyDescent="0.25">
      <c r="A10726" s="18">
        <v>1113</v>
      </c>
      <c r="B10726" s="4" t="s">
        <v>44</v>
      </c>
      <c r="C10726" s="38" t="s">
        <v>5774</v>
      </c>
      <c r="D10726" s="18">
        <v>2022</v>
      </c>
      <c r="E10726" s="18" t="s">
        <v>0</v>
      </c>
      <c r="F10726" s="41">
        <v>1</v>
      </c>
      <c r="G10726" s="4">
        <v>10</v>
      </c>
      <c r="H10726" s="18">
        <v>43.487720000000003</v>
      </c>
      <c r="I10726" s="90"/>
      <c r="J10726" s="90"/>
    </row>
    <row r="10727" spans="1:10" s="15" customFormat="1" ht="16.5" hidden="1" customHeight="1" outlineLevel="1" x14ac:dyDescent="0.25">
      <c r="A10727" s="18">
        <v>1219</v>
      </c>
      <c r="B10727" s="4" t="s">
        <v>44</v>
      </c>
      <c r="C10727" s="38" t="s">
        <v>5775</v>
      </c>
      <c r="D10727" s="18">
        <v>2022</v>
      </c>
      <c r="E10727" s="18" t="s">
        <v>0</v>
      </c>
      <c r="F10727" s="41">
        <v>1</v>
      </c>
      <c r="G10727" s="4">
        <v>10</v>
      </c>
      <c r="H10727" s="18">
        <v>39.026890000000002</v>
      </c>
      <c r="I10727" s="90"/>
      <c r="J10727" s="90"/>
    </row>
    <row r="10728" spans="1:10" s="15" customFormat="1" ht="16.5" hidden="1" customHeight="1" outlineLevel="1" x14ac:dyDescent="0.25">
      <c r="A10728" s="18">
        <v>1281</v>
      </c>
      <c r="B10728" s="4" t="s">
        <v>44</v>
      </c>
      <c r="C10728" s="38" t="s">
        <v>5776</v>
      </c>
      <c r="D10728" s="18">
        <v>2022</v>
      </c>
      <c r="E10728" s="18" t="s">
        <v>0</v>
      </c>
      <c r="F10728" s="41">
        <v>1</v>
      </c>
      <c r="G10728" s="4">
        <v>10</v>
      </c>
      <c r="H10728" s="18">
        <v>50.454700000000003</v>
      </c>
      <c r="I10728" s="90"/>
      <c r="J10728" s="90"/>
    </row>
    <row r="10729" spans="1:10" s="15" customFormat="1" ht="16.5" hidden="1" customHeight="1" outlineLevel="1" x14ac:dyDescent="0.25">
      <c r="A10729" s="18">
        <v>1428</v>
      </c>
      <c r="B10729" s="4" t="s">
        <v>44</v>
      </c>
      <c r="C10729" s="38" t="s">
        <v>5777</v>
      </c>
      <c r="D10729" s="18">
        <v>2022</v>
      </c>
      <c r="E10729" s="18" t="s">
        <v>0</v>
      </c>
      <c r="F10729" s="41">
        <v>1</v>
      </c>
      <c r="G10729" s="4">
        <v>10</v>
      </c>
      <c r="H10729" s="18">
        <v>57.468910000000001</v>
      </c>
      <c r="I10729" s="90"/>
      <c r="J10729" s="90"/>
    </row>
    <row r="10730" spans="1:10" s="15" customFormat="1" ht="16.5" hidden="1" customHeight="1" outlineLevel="1" x14ac:dyDescent="0.25">
      <c r="A10730" s="18">
        <v>1429</v>
      </c>
      <c r="B10730" s="4" t="s">
        <v>44</v>
      </c>
      <c r="C10730" s="38" t="s">
        <v>5778</v>
      </c>
      <c r="D10730" s="18">
        <v>2022</v>
      </c>
      <c r="E10730" s="18" t="s">
        <v>0</v>
      </c>
      <c r="F10730" s="41">
        <v>1</v>
      </c>
      <c r="G10730" s="4">
        <v>10</v>
      </c>
      <c r="H10730" s="18">
        <v>53.955840000000002</v>
      </c>
      <c r="I10730" s="90"/>
      <c r="J10730" s="90"/>
    </row>
    <row r="10731" spans="1:10" s="15" customFormat="1" ht="16.5" hidden="1" customHeight="1" outlineLevel="1" x14ac:dyDescent="0.25">
      <c r="A10731" s="18">
        <v>1424</v>
      </c>
      <c r="B10731" s="4" t="s">
        <v>44</v>
      </c>
      <c r="C10731" s="38" t="s">
        <v>5779</v>
      </c>
      <c r="D10731" s="18">
        <v>2022</v>
      </c>
      <c r="E10731" s="18" t="s">
        <v>0</v>
      </c>
      <c r="F10731" s="41">
        <v>1</v>
      </c>
      <c r="G10731" s="4">
        <v>15</v>
      </c>
      <c r="H10731" s="18">
        <v>54.964480000000002</v>
      </c>
      <c r="I10731" s="90"/>
      <c r="J10731" s="90"/>
    </row>
    <row r="10732" spans="1:10" s="15" customFormat="1" ht="16.5" hidden="1" customHeight="1" outlineLevel="1" x14ac:dyDescent="0.25">
      <c r="A10732" s="18">
        <v>1423</v>
      </c>
      <c r="B10732" s="4" t="s">
        <v>44</v>
      </c>
      <c r="C10732" s="38" t="s">
        <v>5780</v>
      </c>
      <c r="D10732" s="18">
        <v>2022</v>
      </c>
      <c r="E10732" s="18" t="s">
        <v>0</v>
      </c>
      <c r="F10732" s="41">
        <v>1</v>
      </c>
      <c r="G10732" s="4">
        <v>10</v>
      </c>
      <c r="H10732" s="18">
        <v>59.050780000000003</v>
      </c>
      <c r="I10732" s="90"/>
      <c r="J10732" s="90"/>
    </row>
    <row r="10733" spans="1:10" s="15" customFormat="1" ht="16.5" hidden="1" customHeight="1" outlineLevel="1" x14ac:dyDescent="0.25">
      <c r="A10733" s="18">
        <v>1422</v>
      </c>
      <c r="B10733" s="4" t="s">
        <v>44</v>
      </c>
      <c r="C10733" s="38" t="s">
        <v>5781</v>
      </c>
      <c r="D10733" s="18">
        <v>2022</v>
      </c>
      <c r="E10733" s="18" t="s">
        <v>0</v>
      </c>
      <c r="F10733" s="41">
        <v>1</v>
      </c>
      <c r="G10733" s="4">
        <v>10</v>
      </c>
      <c r="H10733" s="18">
        <v>58.687519999999999</v>
      </c>
      <c r="I10733" s="90"/>
      <c r="J10733" s="90"/>
    </row>
    <row r="10734" spans="1:10" s="15" customFormat="1" ht="16.5" hidden="1" customHeight="1" outlineLevel="1" x14ac:dyDescent="0.25">
      <c r="A10734" s="18">
        <v>1321</v>
      </c>
      <c r="B10734" s="4" t="s">
        <v>44</v>
      </c>
      <c r="C10734" s="38" t="s">
        <v>5782</v>
      </c>
      <c r="D10734" s="18">
        <v>2022</v>
      </c>
      <c r="E10734" s="18" t="s">
        <v>0</v>
      </c>
      <c r="F10734" s="41">
        <v>1</v>
      </c>
      <c r="G10734" s="4">
        <v>15</v>
      </c>
      <c r="H10734" s="18">
        <v>64.873170000000002</v>
      </c>
      <c r="I10734" s="90"/>
      <c r="J10734" s="90"/>
    </row>
    <row r="10735" spans="1:10" s="15" customFormat="1" ht="16.5" hidden="1" customHeight="1" outlineLevel="1" x14ac:dyDescent="0.25">
      <c r="A10735" s="18">
        <v>1116</v>
      </c>
      <c r="B10735" s="4" t="s">
        <v>44</v>
      </c>
      <c r="C10735" s="38" t="s">
        <v>5783</v>
      </c>
      <c r="D10735" s="18">
        <v>2022</v>
      </c>
      <c r="E10735" s="18" t="s">
        <v>0</v>
      </c>
      <c r="F10735" s="41">
        <v>1</v>
      </c>
      <c r="G10735" s="4">
        <v>15</v>
      </c>
      <c r="H10735" s="18">
        <v>52.422229999999999</v>
      </c>
      <c r="I10735" s="90"/>
      <c r="J10735" s="90"/>
    </row>
    <row r="10736" spans="1:10" s="15" customFormat="1" ht="16.5" hidden="1" customHeight="1" outlineLevel="1" x14ac:dyDescent="0.25">
      <c r="A10736" s="18">
        <v>1112</v>
      </c>
      <c r="B10736" s="4" t="s">
        <v>44</v>
      </c>
      <c r="C10736" s="38" t="s">
        <v>5784</v>
      </c>
      <c r="D10736" s="18">
        <v>2022</v>
      </c>
      <c r="E10736" s="18" t="s">
        <v>0</v>
      </c>
      <c r="F10736" s="41">
        <v>1</v>
      </c>
      <c r="G10736" s="4">
        <v>15</v>
      </c>
      <c r="H10736" s="18">
        <v>68.662059999999997</v>
      </c>
      <c r="I10736" s="90"/>
      <c r="J10736" s="90"/>
    </row>
    <row r="10737" spans="1:10" s="15" customFormat="1" ht="16.5" hidden="1" customHeight="1" outlineLevel="1" x14ac:dyDescent="0.25">
      <c r="A10737" s="18">
        <v>1129</v>
      </c>
      <c r="B10737" s="4" t="s">
        <v>44</v>
      </c>
      <c r="C10737" s="38" t="s">
        <v>5785</v>
      </c>
      <c r="D10737" s="18">
        <v>2022</v>
      </c>
      <c r="E10737" s="18" t="s">
        <v>0</v>
      </c>
      <c r="F10737" s="41">
        <v>1</v>
      </c>
      <c r="G10737" s="4">
        <v>12</v>
      </c>
      <c r="H10737" s="18">
        <v>34.621499999999997</v>
      </c>
      <c r="I10737" s="90"/>
      <c r="J10737" s="90"/>
    </row>
    <row r="10738" spans="1:10" s="15" customFormat="1" ht="16.5" hidden="1" customHeight="1" outlineLevel="1" x14ac:dyDescent="0.25">
      <c r="A10738" s="18">
        <v>1140</v>
      </c>
      <c r="B10738" s="4" t="s">
        <v>44</v>
      </c>
      <c r="C10738" s="38" t="s">
        <v>5786</v>
      </c>
      <c r="D10738" s="18">
        <v>2022</v>
      </c>
      <c r="E10738" s="18" t="s">
        <v>0</v>
      </c>
      <c r="F10738" s="41">
        <v>1</v>
      </c>
      <c r="G10738" s="4">
        <v>10</v>
      </c>
      <c r="H10738" s="18">
        <v>43.646900000000002</v>
      </c>
      <c r="I10738" s="90"/>
      <c r="J10738" s="90"/>
    </row>
    <row r="10739" spans="1:10" s="15" customFormat="1" ht="16.5" hidden="1" customHeight="1" outlineLevel="1" x14ac:dyDescent="0.25">
      <c r="A10739" s="18">
        <v>1145</v>
      </c>
      <c r="B10739" s="4" t="s">
        <v>44</v>
      </c>
      <c r="C10739" s="38" t="s">
        <v>5787</v>
      </c>
      <c r="D10739" s="18">
        <v>2022</v>
      </c>
      <c r="E10739" s="18" t="s">
        <v>0</v>
      </c>
      <c r="F10739" s="41">
        <v>1</v>
      </c>
      <c r="G10739" s="4">
        <v>15</v>
      </c>
      <c r="H10739" s="18">
        <v>52.007460000000002</v>
      </c>
      <c r="I10739" s="90"/>
      <c r="J10739" s="90"/>
    </row>
    <row r="10740" spans="1:10" s="15" customFormat="1" ht="16.5" hidden="1" customHeight="1" outlineLevel="1" x14ac:dyDescent="0.25">
      <c r="A10740" s="18">
        <v>1157</v>
      </c>
      <c r="B10740" s="4" t="s">
        <v>44</v>
      </c>
      <c r="C10740" s="38" t="s">
        <v>5788</v>
      </c>
      <c r="D10740" s="18">
        <v>2022</v>
      </c>
      <c r="E10740" s="18" t="s">
        <v>0</v>
      </c>
      <c r="F10740" s="41">
        <v>1</v>
      </c>
      <c r="G10740" s="4">
        <v>12</v>
      </c>
      <c r="H10740" s="18">
        <v>51.891289999999998</v>
      </c>
      <c r="I10740" s="90"/>
      <c r="J10740" s="90"/>
    </row>
    <row r="10741" spans="1:10" s="15" customFormat="1" ht="16.5" hidden="1" customHeight="1" outlineLevel="1" x14ac:dyDescent="0.25">
      <c r="A10741" s="18">
        <v>1191</v>
      </c>
      <c r="B10741" s="4" t="s">
        <v>44</v>
      </c>
      <c r="C10741" s="38" t="s">
        <v>5789</v>
      </c>
      <c r="D10741" s="18">
        <v>2022</v>
      </c>
      <c r="E10741" s="18" t="s">
        <v>0</v>
      </c>
      <c r="F10741" s="41">
        <v>1</v>
      </c>
      <c r="G10741" s="4">
        <v>9</v>
      </c>
      <c r="H10741" s="18">
        <v>33.916029999999999</v>
      </c>
      <c r="I10741" s="90"/>
      <c r="J10741" s="90"/>
    </row>
    <row r="10742" spans="1:10" s="15" customFormat="1" ht="16.5" hidden="1" customHeight="1" outlineLevel="1" x14ac:dyDescent="0.25">
      <c r="A10742" s="18">
        <v>1237</v>
      </c>
      <c r="B10742" s="4" t="s">
        <v>44</v>
      </c>
      <c r="C10742" s="38" t="s">
        <v>5790</v>
      </c>
      <c r="D10742" s="18">
        <v>2022</v>
      </c>
      <c r="E10742" s="18" t="s">
        <v>0</v>
      </c>
      <c r="F10742" s="41">
        <v>1</v>
      </c>
      <c r="G10742" s="4">
        <v>15</v>
      </c>
      <c r="H10742" s="18">
        <v>53.987810000000003</v>
      </c>
      <c r="I10742" s="90"/>
      <c r="J10742" s="90"/>
    </row>
    <row r="10743" spans="1:10" s="15" customFormat="1" ht="16.5" hidden="1" customHeight="1" outlineLevel="1" x14ac:dyDescent="0.25">
      <c r="A10743" s="18">
        <v>1408</v>
      </c>
      <c r="B10743" s="4" t="s">
        <v>44</v>
      </c>
      <c r="C10743" s="38" t="s">
        <v>5791</v>
      </c>
      <c r="D10743" s="18">
        <v>2022</v>
      </c>
      <c r="E10743" s="18" t="s">
        <v>0</v>
      </c>
      <c r="F10743" s="41">
        <v>1</v>
      </c>
      <c r="G10743" s="4">
        <v>8</v>
      </c>
      <c r="H10743" s="18">
        <v>56.748849999999997</v>
      </c>
      <c r="I10743" s="90"/>
      <c r="J10743" s="90"/>
    </row>
    <row r="10744" spans="1:10" s="15" customFormat="1" ht="16.5" hidden="1" customHeight="1" outlineLevel="1" x14ac:dyDescent="0.25">
      <c r="A10744" s="18">
        <v>1393</v>
      </c>
      <c r="B10744" s="4" t="s">
        <v>44</v>
      </c>
      <c r="C10744" s="38" t="s">
        <v>5792</v>
      </c>
      <c r="D10744" s="18">
        <v>2022</v>
      </c>
      <c r="E10744" s="18" t="s">
        <v>0</v>
      </c>
      <c r="F10744" s="41">
        <v>1</v>
      </c>
      <c r="G10744" s="4">
        <v>12</v>
      </c>
      <c r="H10744" s="18">
        <v>64.794449999999998</v>
      </c>
      <c r="I10744" s="90"/>
      <c r="J10744" s="90"/>
    </row>
    <row r="10745" spans="1:10" s="15" customFormat="1" ht="16.5" hidden="1" customHeight="1" outlineLevel="1" x14ac:dyDescent="0.25">
      <c r="A10745" s="18">
        <v>1392</v>
      </c>
      <c r="B10745" s="4" t="s">
        <v>44</v>
      </c>
      <c r="C10745" s="38" t="s">
        <v>5793</v>
      </c>
      <c r="D10745" s="18">
        <v>2022</v>
      </c>
      <c r="E10745" s="18" t="s">
        <v>0</v>
      </c>
      <c r="F10745" s="41">
        <v>1</v>
      </c>
      <c r="G10745" s="4">
        <v>12</v>
      </c>
      <c r="H10745" s="18">
        <v>52.73686</v>
      </c>
      <c r="I10745" s="90"/>
      <c r="J10745" s="90"/>
    </row>
    <row r="10746" spans="1:10" s="15" customFormat="1" ht="16.5" hidden="1" customHeight="1" outlineLevel="1" x14ac:dyDescent="0.25">
      <c r="A10746" s="18">
        <v>1322</v>
      </c>
      <c r="B10746" s="4" t="s">
        <v>44</v>
      </c>
      <c r="C10746" s="38" t="s">
        <v>5794</v>
      </c>
      <c r="D10746" s="18">
        <v>2022</v>
      </c>
      <c r="E10746" s="18" t="s">
        <v>0</v>
      </c>
      <c r="F10746" s="41">
        <v>1</v>
      </c>
      <c r="G10746" s="4">
        <v>15</v>
      </c>
      <c r="H10746" s="18">
        <v>53.144950000000001</v>
      </c>
      <c r="I10746" s="90"/>
      <c r="J10746" s="90"/>
    </row>
    <row r="10747" spans="1:10" s="15" customFormat="1" ht="16.5" hidden="1" customHeight="1" outlineLevel="1" x14ac:dyDescent="0.25">
      <c r="A10747" s="18">
        <v>1368</v>
      </c>
      <c r="B10747" s="4" t="s">
        <v>44</v>
      </c>
      <c r="C10747" s="38" t="s">
        <v>5795</v>
      </c>
      <c r="D10747" s="18">
        <v>2022</v>
      </c>
      <c r="E10747" s="18" t="s">
        <v>0</v>
      </c>
      <c r="F10747" s="41">
        <v>1</v>
      </c>
      <c r="G10747" s="4">
        <v>10</v>
      </c>
      <c r="H10747" s="18">
        <v>49.251280000000001</v>
      </c>
      <c r="I10747" s="90"/>
      <c r="J10747" s="90"/>
    </row>
    <row r="10748" spans="1:10" s="15" customFormat="1" ht="16.5" hidden="1" customHeight="1" outlineLevel="1" x14ac:dyDescent="0.25">
      <c r="A10748" s="18">
        <v>1370</v>
      </c>
      <c r="B10748" s="4" t="s">
        <v>44</v>
      </c>
      <c r="C10748" s="38" t="s">
        <v>5796</v>
      </c>
      <c r="D10748" s="18">
        <v>2022</v>
      </c>
      <c r="E10748" s="18" t="s">
        <v>0</v>
      </c>
      <c r="F10748" s="41">
        <v>1</v>
      </c>
      <c r="G10748" s="4">
        <v>12</v>
      </c>
      <c r="H10748" s="18">
        <v>41.831789999999998</v>
      </c>
      <c r="I10748" s="90"/>
      <c r="J10748" s="90"/>
    </row>
    <row r="10749" spans="1:10" s="15" customFormat="1" ht="16.5" hidden="1" customHeight="1" outlineLevel="1" x14ac:dyDescent="0.25">
      <c r="A10749" s="18">
        <v>1274</v>
      </c>
      <c r="B10749" s="4" t="s">
        <v>44</v>
      </c>
      <c r="C10749" s="38" t="s">
        <v>5797</v>
      </c>
      <c r="D10749" s="18">
        <v>2022</v>
      </c>
      <c r="E10749" s="18" t="s">
        <v>0</v>
      </c>
      <c r="F10749" s="41">
        <v>1</v>
      </c>
      <c r="G10749" s="4">
        <v>15</v>
      </c>
      <c r="H10749" s="18">
        <v>45.338180000000001</v>
      </c>
      <c r="I10749" s="90"/>
      <c r="J10749" s="90"/>
    </row>
    <row r="10750" spans="1:10" s="15" customFormat="1" ht="16.5" hidden="1" customHeight="1" outlineLevel="1" x14ac:dyDescent="0.25">
      <c r="A10750" s="18">
        <v>1285</v>
      </c>
      <c r="B10750" s="4" t="s">
        <v>44</v>
      </c>
      <c r="C10750" s="38" t="s">
        <v>5798</v>
      </c>
      <c r="D10750" s="18">
        <v>2022</v>
      </c>
      <c r="E10750" s="18" t="s">
        <v>0</v>
      </c>
      <c r="F10750" s="41">
        <v>1</v>
      </c>
      <c r="G10750" s="4">
        <v>15</v>
      </c>
      <c r="H10750" s="18">
        <v>48.91621</v>
      </c>
      <c r="I10750" s="90"/>
      <c r="J10750" s="90"/>
    </row>
    <row r="10751" spans="1:10" s="15" customFormat="1" ht="16.5" hidden="1" customHeight="1" outlineLevel="1" x14ac:dyDescent="0.25">
      <c r="A10751" s="18">
        <v>1334</v>
      </c>
      <c r="B10751" s="4" t="s">
        <v>44</v>
      </c>
      <c r="C10751" s="38" t="s">
        <v>5799</v>
      </c>
      <c r="D10751" s="18">
        <v>2022</v>
      </c>
      <c r="E10751" s="18" t="s">
        <v>0</v>
      </c>
      <c r="F10751" s="41">
        <v>1</v>
      </c>
      <c r="G10751" s="4">
        <v>15</v>
      </c>
      <c r="H10751" s="18">
        <v>45.769159999999999</v>
      </c>
      <c r="I10751" s="90"/>
      <c r="J10751" s="90"/>
    </row>
    <row r="10752" spans="1:10" s="15" customFormat="1" ht="16.5" hidden="1" customHeight="1" outlineLevel="1" x14ac:dyDescent="0.25">
      <c r="A10752" s="18">
        <v>1395</v>
      </c>
      <c r="B10752" s="4" t="s">
        <v>44</v>
      </c>
      <c r="C10752" s="38" t="s">
        <v>5800</v>
      </c>
      <c r="D10752" s="18">
        <v>2022</v>
      </c>
      <c r="E10752" s="18" t="s">
        <v>0</v>
      </c>
      <c r="F10752" s="41">
        <v>1</v>
      </c>
      <c r="G10752" s="4">
        <v>10</v>
      </c>
      <c r="H10752" s="18">
        <v>37.439340000000001</v>
      </c>
      <c r="I10752" s="90"/>
      <c r="J10752" s="90"/>
    </row>
    <row r="10753" spans="1:10" s="15" customFormat="1" ht="16.5" hidden="1" customHeight="1" outlineLevel="1" x14ac:dyDescent="0.25">
      <c r="A10753" s="18">
        <v>1440</v>
      </c>
      <c r="B10753" s="4" t="s">
        <v>44</v>
      </c>
      <c r="C10753" s="38" t="s">
        <v>5801</v>
      </c>
      <c r="D10753" s="18">
        <v>2022</v>
      </c>
      <c r="E10753" s="18" t="s">
        <v>0</v>
      </c>
      <c r="F10753" s="41">
        <v>1</v>
      </c>
      <c r="G10753" s="4">
        <v>10</v>
      </c>
      <c r="H10753" s="18">
        <v>40.855060000000002</v>
      </c>
      <c r="I10753" s="90"/>
      <c r="J10753" s="90"/>
    </row>
    <row r="10754" spans="1:10" s="15" customFormat="1" ht="16.5" hidden="1" customHeight="1" outlineLevel="1" x14ac:dyDescent="0.25">
      <c r="A10754" s="18">
        <v>1051</v>
      </c>
      <c r="B10754" s="4" t="s">
        <v>44</v>
      </c>
      <c r="C10754" s="38" t="s">
        <v>5802</v>
      </c>
      <c r="D10754" s="18">
        <v>2022</v>
      </c>
      <c r="E10754" s="18" t="s">
        <v>0</v>
      </c>
      <c r="F10754" s="41">
        <v>1</v>
      </c>
      <c r="G10754" s="4">
        <v>10</v>
      </c>
      <c r="H10754" s="18">
        <v>38.90428</v>
      </c>
      <c r="I10754" s="90"/>
      <c r="J10754" s="90"/>
    </row>
    <row r="10755" spans="1:10" s="15" customFormat="1" ht="16.5" hidden="1" customHeight="1" outlineLevel="1" x14ac:dyDescent="0.25">
      <c r="A10755" s="18">
        <v>1068</v>
      </c>
      <c r="B10755" s="4" t="s">
        <v>44</v>
      </c>
      <c r="C10755" s="38" t="s">
        <v>5803</v>
      </c>
      <c r="D10755" s="18">
        <v>2022</v>
      </c>
      <c r="E10755" s="18" t="s">
        <v>0</v>
      </c>
      <c r="F10755" s="41">
        <v>1</v>
      </c>
      <c r="G10755" s="4">
        <v>5</v>
      </c>
      <c r="H10755" s="18">
        <v>38.930019999999999</v>
      </c>
      <c r="I10755" s="90"/>
      <c r="J10755" s="90"/>
    </row>
    <row r="10756" spans="1:10" s="15" customFormat="1" ht="16.5" hidden="1" customHeight="1" outlineLevel="1" x14ac:dyDescent="0.25">
      <c r="A10756" s="18">
        <v>1154</v>
      </c>
      <c r="B10756" s="4" t="s">
        <v>44</v>
      </c>
      <c r="C10756" s="38" t="s">
        <v>5804</v>
      </c>
      <c r="D10756" s="18">
        <v>2022</v>
      </c>
      <c r="E10756" s="18" t="s">
        <v>0</v>
      </c>
      <c r="F10756" s="41">
        <v>1</v>
      </c>
      <c r="G10756" s="4">
        <v>15</v>
      </c>
      <c r="H10756" s="18">
        <v>43.780540000000002</v>
      </c>
      <c r="I10756" s="90"/>
      <c r="J10756" s="90"/>
    </row>
    <row r="10757" spans="1:10" s="15" customFormat="1" ht="16.5" hidden="1" customHeight="1" outlineLevel="1" x14ac:dyDescent="0.25">
      <c r="A10757" s="18">
        <v>1227</v>
      </c>
      <c r="B10757" s="4" t="s">
        <v>44</v>
      </c>
      <c r="C10757" s="38" t="s">
        <v>5805</v>
      </c>
      <c r="D10757" s="18">
        <v>2022</v>
      </c>
      <c r="E10757" s="18" t="s">
        <v>0</v>
      </c>
      <c r="F10757" s="41">
        <v>1</v>
      </c>
      <c r="G10757" s="4">
        <v>15</v>
      </c>
      <c r="H10757" s="18">
        <v>33.102460000000001</v>
      </c>
      <c r="I10757" s="90"/>
      <c r="J10757" s="90"/>
    </row>
    <row r="10758" spans="1:10" s="15" customFormat="1" ht="16.5" hidden="1" customHeight="1" outlineLevel="1" x14ac:dyDescent="0.25">
      <c r="A10758" s="18">
        <v>1420</v>
      </c>
      <c r="B10758" s="4" t="s">
        <v>44</v>
      </c>
      <c r="C10758" s="38" t="s">
        <v>5806</v>
      </c>
      <c r="D10758" s="18">
        <v>2022</v>
      </c>
      <c r="E10758" s="18" t="s">
        <v>0</v>
      </c>
      <c r="F10758" s="41">
        <v>1</v>
      </c>
      <c r="G10758" s="4">
        <v>15</v>
      </c>
      <c r="H10758" s="18">
        <v>33.99465</v>
      </c>
      <c r="I10758" s="90"/>
      <c r="J10758" s="90"/>
    </row>
    <row r="10759" spans="1:10" s="15" customFormat="1" ht="16.5" hidden="1" customHeight="1" outlineLevel="1" x14ac:dyDescent="0.25">
      <c r="A10759" s="18">
        <v>1338</v>
      </c>
      <c r="B10759" s="4" t="s">
        <v>44</v>
      </c>
      <c r="C10759" s="38" t="s">
        <v>5807</v>
      </c>
      <c r="D10759" s="18">
        <v>2022</v>
      </c>
      <c r="E10759" s="18" t="s">
        <v>0</v>
      </c>
      <c r="F10759" s="41">
        <v>1</v>
      </c>
      <c r="G10759" s="4">
        <v>10</v>
      </c>
      <c r="H10759" s="18">
        <v>34.47972</v>
      </c>
      <c r="I10759" s="90"/>
      <c r="J10759" s="90"/>
    </row>
    <row r="10760" spans="1:10" s="15" customFormat="1" ht="16.5" hidden="1" customHeight="1" outlineLevel="1" x14ac:dyDescent="0.25">
      <c r="A10760" s="18">
        <v>1373</v>
      </c>
      <c r="B10760" s="4" t="s">
        <v>44</v>
      </c>
      <c r="C10760" s="38" t="s">
        <v>5808</v>
      </c>
      <c r="D10760" s="18">
        <v>2022</v>
      </c>
      <c r="E10760" s="18" t="s">
        <v>0</v>
      </c>
      <c r="F10760" s="41">
        <v>1</v>
      </c>
      <c r="G10760" s="4">
        <v>15</v>
      </c>
      <c r="H10760" s="18">
        <v>41.608049999999999</v>
      </c>
      <c r="I10760" s="90"/>
      <c r="J10760" s="90"/>
    </row>
    <row r="10761" spans="1:10" s="15" customFormat="1" ht="16.5" hidden="1" customHeight="1" outlineLevel="1" x14ac:dyDescent="0.25">
      <c r="A10761" s="18">
        <v>1348</v>
      </c>
      <c r="B10761" s="4" t="s">
        <v>44</v>
      </c>
      <c r="C10761" s="38" t="s">
        <v>5809</v>
      </c>
      <c r="D10761" s="18">
        <v>2022</v>
      </c>
      <c r="E10761" s="18" t="s">
        <v>0</v>
      </c>
      <c r="F10761" s="41">
        <v>1</v>
      </c>
      <c r="G10761" s="4">
        <v>7.5</v>
      </c>
      <c r="H10761" s="18">
        <v>94.058890000000005</v>
      </c>
      <c r="I10761" s="90"/>
      <c r="J10761" s="90"/>
    </row>
    <row r="10762" spans="1:10" s="15" customFormat="1" ht="16.5" hidden="1" customHeight="1" outlineLevel="1" x14ac:dyDescent="0.25">
      <c r="A10762" s="18">
        <v>1070</v>
      </c>
      <c r="B10762" s="4" t="s">
        <v>44</v>
      </c>
      <c r="C10762" s="38" t="s">
        <v>5810</v>
      </c>
      <c r="D10762" s="18">
        <v>2022</v>
      </c>
      <c r="E10762" s="18" t="s">
        <v>0</v>
      </c>
      <c r="F10762" s="41">
        <v>1</v>
      </c>
      <c r="G10762" s="4">
        <v>15</v>
      </c>
      <c r="H10762" s="18">
        <v>130.49606</v>
      </c>
      <c r="I10762" s="90"/>
      <c r="J10762" s="90"/>
    </row>
    <row r="10763" spans="1:10" s="15" customFormat="1" ht="16.5" hidden="1" customHeight="1" outlineLevel="1" x14ac:dyDescent="0.25">
      <c r="A10763" s="18">
        <v>1412</v>
      </c>
      <c r="B10763" s="4" t="s">
        <v>44</v>
      </c>
      <c r="C10763" s="38" t="s">
        <v>5811</v>
      </c>
      <c r="D10763" s="18">
        <v>2022</v>
      </c>
      <c r="E10763" s="18" t="s">
        <v>0</v>
      </c>
      <c r="F10763" s="41">
        <v>1</v>
      </c>
      <c r="G10763" s="4">
        <v>15</v>
      </c>
      <c r="H10763" s="18">
        <v>33.466160000000002</v>
      </c>
      <c r="I10763" s="90"/>
      <c r="J10763" s="90"/>
    </row>
    <row r="10764" spans="1:10" s="15" customFormat="1" ht="16.5" hidden="1" customHeight="1" outlineLevel="1" x14ac:dyDescent="0.25">
      <c r="A10764" s="18">
        <v>1324</v>
      </c>
      <c r="B10764" s="4" t="s">
        <v>44</v>
      </c>
      <c r="C10764" s="38" t="s">
        <v>5812</v>
      </c>
      <c r="D10764" s="18">
        <v>2022</v>
      </c>
      <c r="E10764" s="18" t="s">
        <v>0</v>
      </c>
      <c r="F10764" s="41">
        <v>1</v>
      </c>
      <c r="G10764" s="4">
        <v>15</v>
      </c>
      <c r="H10764" s="18">
        <v>36.723219999999998</v>
      </c>
      <c r="I10764" s="90"/>
      <c r="J10764" s="90"/>
    </row>
    <row r="10765" spans="1:10" s="15" customFormat="1" ht="16.5" hidden="1" customHeight="1" outlineLevel="1" x14ac:dyDescent="0.25">
      <c r="A10765" s="18">
        <v>1406</v>
      </c>
      <c r="B10765" s="4" t="s">
        <v>44</v>
      </c>
      <c r="C10765" s="38" t="s">
        <v>5813</v>
      </c>
      <c r="D10765" s="18">
        <v>2022</v>
      </c>
      <c r="E10765" s="18" t="s">
        <v>0</v>
      </c>
      <c r="F10765" s="41">
        <v>1</v>
      </c>
      <c r="G10765" s="4">
        <v>10</v>
      </c>
      <c r="H10765" s="18">
        <v>35.893079999999998</v>
      </c>
      <c r="I10765" s="90"/>
      <c r="J10765" s="90"/>
    </row>
    <row r="10766" spans="1:10" s="15" customFormat="1" ht="16.5" hidden="1" customHeight="1" outlineLevel="1" x14ac:dyDescent="0.25">
      <c r="A10766" s="18">
        <v>1444</v>
      </c>
      <c r="B10766" s="4" t="s">
        <v>44</v>
      </c>
      <c r="C10766" s="38" t="s">
        <v>5814</v>
      </c>
      <c r="D10766" s="18">
        <v>2022</v>
      </c>
      <c r="E10766" s="18" t="s">
        <v>0</v>
      </c>
      <c r="F10766" s="41">
        <v>1</v>
      </c>
      <c r="G10766" s="4">
        <v>10</v>
      </c>
      <c r="H10766" s="18">
        <v>39.840040000000002</v>
      </c>
      <c r="I10766" s="90"/>
      <c r="J10766" s="90"/>
    </row>
    <row r="10767" spans="1:10" s="15" customFormat="1" ht="16.5" hidden="1" customHeight="1" outlineLevel="1" x14ac:dyDescent="0.25">
      <c r="A10767" s="18">
        <v>1347</v>
      </c>
      <c r="B10767" s="4" t="s">
        <v>44</v>
      </c>
      <c r="C10767" s="38" t="s">
        <v>5815</v>
      </c>
      <c r="D10767" s="18">
        <v>2022</v>
      </c>
      <c r="E10767" s="18" t="s">
        <v>0</v>
      </c>
      <c r="F10767" s="41">
        <v>1</v>
      </c>
      <c r="G10767" s="4">
        <v>11.5</v>
      </c>
      <c r="H10767" s="18">
        <v>37.63364</v>
      </c>
      <c r="I10767" s="90"/>
      <c r="J10767" s="90"/>
    </row>
    <row r="10768" spans="1:10" s="15" customFormat="1" ht="16.5" hidden="1" customHeight="1" outlineLevel="1" x14ac:dyDescent="0.25">
      <c r="A10768" s="18">
        <v>1238</v>
      </c>
      <c r="B10768" s="4" t="s">
        <v>44</v>
      </c>
      <c r="C10768" s="38" t="s">
        <v>5816</v>
      </c>
      <c r="D10768" s="18">
        <v>2022</v>
      </c>
      <c r="E10768" s="18" t="s">
        <v>0</v>
      </c>
      <c r="F10768" s="41">
        <v>1</v>
      </c>
      <c r="G10768" s="4">
        <v>10</v>
      </c>
      <c r="H10768" s="18">
        <v>34.252290000000002</v>
      </c>
      <c r="I10768" s="90"/>
      <c r="J10768" s="90"/>
    </row>
    <row r="10769" spans="1:10" s="15" customFormat="1" ht="16.5" hidden="1" customHeight="1" outlineLevel="1" x14ac:dyDescent="0.25">
      <c r="A10769" s="18">
        <v>1226</v>
      </c>
      <c r="B10769" s="4" t="s">
        <v>44</v>
      </c>
      <c r="C10769" s="38" t="s">
        <v>5817</v>
      </c>
      <c r="D10769" s="18">
        <v>2022</v>
      </c>
      <c r="E10769" s="18" t="s">
        <v>0</v>
      </c>
      <c r="F10769" s="41">
        <v>1</v>
      </c>
      <c r="G10769" s="4">
        <v>10</v>
      </c>
      <c r="H10769" s="18">
        <v>35.23536</v>
      </c>
      <c r="I10769" s="90"/>
      <c r="J10769" s="90"/>
    </row>
    <row r="10770" spans="1:10" s="15" customFormat="1" ht="16.5" hidden="1" customHeight="1" outlineLevel="1" x14ac:dyDescent="0.25">
      <c r="A10770" s="18">
        <v>1222</v>
      </c>
      <c r="B10770" s="4" t="s">
        <v>44</v>
      </c>
      <c r="C10770" s="38" t="s">
        <v>5818</v>
      </c>
      <c r="D10770" s="18">
        <v>2022</v>
      </c>
      <c r="E10770" s="18" t="s">
        <v>0</v>
      </c>
      <c r="F10770" s="41">
        <v>1</v>
      </c>
      <c r="G10770" s="4">
        <v>15</v>
      </c>
      <c r="H10770" s="18">
        <v>39.6006</v>
      </c>
      <c r="I10770" s="90"/>
      <c r="J10770" s="90"/>
    </row>
    <row r="10771" spans="1:10" s="15" customFormat="1" ht="16.5" hidden="1" customHeight="1" outlineLevel="1" x14ac:dyDescent="0.25">
      <c r="A10771" s="18">
        <v>1483</v>
      </c>
      <c r="B10771" s="4" t="s">
        <v>44</v>
      </c>
      <c r="C10771" s="38" t="s">
        <v>5819</v>
      </c>
      <c r="D10771" s="18">
        <v>2022</v>
      </c>
      <c r="E10771" s="18" t="s">
        <v>0</v>
      </c>
      <c r="F10771" s="41">
        <v>1</v>
      </c>
      <c r="G10771" s="4">
        <v>15</v>
      </c>
      <c r="H10771" s="18">
        <v>40.364910000000002</v>
      </c>
      <c r="I10771" s="90"/>
      <c r="J10771" s="90"/>
    </row>
    <row r="10772" spans="1:10" s="15" customFormat="1" ht="16.5" hidden="1" customHeight="1" outlineLevel="1" x14ac:dyDescent="0.25">
      <c r="A10772" s="18">
        <v>1452</v>
      </c>
      <c r="B10772" s="4" t="s">
        <v>44</v>
      </c>
      <c r="C10772" s="38" t="s">
        <v>5820</v>
      </c>
      <c r="D10772" s="18">
        <v>2022</v>
      </c>
      <c r="E10772" s="18" t="s">
        <v>0</v>
      </c>
      <c r="F10772" s="41">
        <v>1</v>
      </c>
      <c r="G10772" s="4">
        <v>10</v>
      </c>
      <c r="H10772" s="18">
        <v>45.90719</v>
      </c>
      <c r="I10772" s="90"/>
      <c r="J10772" s="90"/>
    </row>
    <row r="10773" spans="1:10" s="15" customFormat="1" ht="16.5" hidden="1" customHeight="1" outlineLevel="1" x14ac:dyDescent="0.25">
      <c r="A10773" s="18">
        <v>1296</v>
      </c>
      <c r="B10773" s="4" t="s">
        <v>44</v>
      </c>
      <c r="C10773" s="38" t="s">
        <v>5821</v>
      </c>
      <c r="D10773" s="18">
        <v>2022</v>
      </c>
      <c r="E10773" s="18" t="s">
        <v>0</v>
      </c>
      <c r="F10773" s="41">
        <v>1</v>
      </c>
      <c r="G10773" s="4">
        <v>10</v>
      </c>
      <c r="H10773" s="18">
        <v>42.89987</v>
      </c>
      <c r="I10773" s="90"/>
      <c r="J10773" s="90"/>
    </row>
    <row r="10774" spans="1:10" s="15" customFormat="1" ht="16.5" hidden="1" customHeight="1" outlineLevel="1" x14ac:dyDescent="0.25">
      <c r="A10774" s="18">
        <v>1166</v>
      </c>
      <c r="B10774" s="4" t="s">
        <v>44</v>
      </c>
      <c r="C10774" s="38" t="s">
        <v>5822</v>
      </c>
      <c r="D10774" s="18">
        <v>2022</v>
      </c>
      <c r="E10774" s="18" t="s">
        <v>0</v>
      </c>
      <c r="F10774" s="41">
        <v>1</v>
      </c>
      <c r="G10774" s="4">
        <v>15</v>
      </c>
      <c r="H10774" s="18">
        <v>45.900530000000003</v>
      </c>
      <c r="I10774" s="90"/>
      <c r="J10774" s="90"/>
    </row>
    <row r="10775" spans="1:10" s="15" customFormat="1" ht="16.5" hidden="1" customHeight="1" outlineLevel="1" x14ac:dyDescent="0.25">
      <c r="A10775" s="18">
        <v>1165</v>
      </c>
      <c r="B10775" s="4" t="s">
        <v>44</v>
      </c>
      <c r="C10775" s="38" t="s">
        <v>5823</v>
      </c>
      <c r="D10775" s="18">
        <v>2022</v>
      </c>
      <c r="E10775" s="18" t="s">
        <v>0</v>
      </c>
      <c r="F10775" s="41">
        <v>1</v>
      </c>
      <c r="G10775" s="4">
        <v>10</v>
      </c>
      <c r="H10775" s="18">
        <v>39.112009999999998</v>
      </c>
      <c r="I10775" s="90"/>
      <c r="J10775" s="90"/>
    </row>
    <row r="10776" spans="1:10" s="15" customFormat="1" ht="16.5" hidden="1" customHeight="1" outlineLevel="1" x14ac:dyDescent="0.25">
      <c r="A10776" s="18">
        <v>1399</v>
      </c>
      <c r="B10776" s="4" t="s">
        <v>44</v>
      </c>
      <c r="C10776" s="38" t="s">
        <v>5824</v>
      </c>
      <c r="D10776" s="18">
        <v>2022</v>
      </c>
      <c r="E10776" s="18" t="s">
        <v>0</v>
      </c>
      <c r="F10776" s="41">
        <v>1</v>
      </c>
      <c r="G10776" s="4">
        <v>10</v>
      </c>
      <c r="H10776" s="18">
        <v>48.382739999999998</v>
      </c>
      <c r="I10776" s="90"/>
      <c r="J10776" s="90"/>
    </row>
    <row r="10777" spans="1:10" s="15" customFormat="1" ht="16.5" hidden="1" customHeight="1" outlineLevel="1" x14ac:dyDescent="0.25">
      <c r="A10777" s="18">
        <v>1451</v>
      </c>
      <c r="B10777" s="4" t="s">
        <v>44</v>
      </c>
      <c r="C10777" s="38" t="s">
        <v>5825</v>
      </c>
      <c r="D10777" s="18">
        <v>2022</v>
      </c>
      <c r="E10777" s="18" t="s">
        <v>0</v>
      </c>
      <c r="F10777" s="41">
        <v>1</v>
      </c>
      <c r="G10777" s="4">
        <v>5</v>
      </c>
      <c r="H10777" s="18">
        <v>43.459679999999999</v>
      </c>
      <c r="I10777" s="90"/>
      <c r="J10777" s="90"/>
    </row>
    <row r="10778" spans="1:10" s="15" customFormat="1" ht="16.5" hidden="1" customHeight="1" outlineLevel="1" x14ac:dyDescent="0.25">
      <c r="A10778" s="18">
        <v>1311</v>
      </c>
      <c r="B10778" s="4" t="s">
        <v>44</v>
      </c>
      <c r="C10778" s="38" t="s">
        <v>5826</v>
      </c>
      <c r="D10778" s="18">
        <v>2022</v>
      </c>
      <c r="E10778" s="18" t="s">
        <v>0</v>
      </c>
      <c r="F10778" s="41">
        <v>1</v>
      </c>
      <c r="G10778" s="4">
        <v>10</v>
      </c>
      <c r="H10778" s="18">
        <v>46.3949</v>
      </c>
      <c r="I10778" s="90"/>
      <c r="J10778" s="90"/>
    </row>
    <row r="10779" spans="1:10" s="15" customFormat="1" ht="16.5" hidden="1" customHeight="1" outlineLevel="1" x14ac:dyDescent="0.25">
      <c r="A10779" s="18">
        <v>1409</v>
      </c>
      <c r="B10779" s="4" t="s">
        <v>44</v>
      </c>
      <c r="C10779" s="38" t="s">
        <v>5827</v>
      </c>
      <c r="D10779" s="18">
        <v>2022</v>
      </c>
      <c r="E10779" s="18" t="s">
        <v>0</v>
      </c>
      <c r="F10779" s="41">
        <v>1</v>
      </c>
      <c r="G10779" s="4">
        <v>10</v>
      </c>
      <c r="H10779" s="18">
        <v>89.700040000000001</v>
      </c>
      <c r="I10779" s="90"/>
      <c r="J10779" s="90"/>
    </row>
    <row r="10780" spans="1:10" s="15" customFormat="1" ht="16.5" hidden="1" customHeight="1" outlineLevel="1" x14ac:dyDescent="0.25">
      <c r="A10780" s="18">
        <v>1328</v>
      </c>
      <c r="B10780" s="4" t="s">
        <v>44</v>
      </c>
      <c r="C10780" s="38" t="s">
        <v>5828</v>
      </c>
      <c r="D10780" s="18">
        <v>2022</v>
      </c>
      <c r="E10780" s="18" t="s">
        <v>0</v>
      </c>
      <c r="F10780" s="41">
        <v>1</v>
      </c>
      <c r="G10780" s="4">
        <v>15</v>
      </c>
      <c r="H10780" s="18">
        <v>38.271180000000001</v>
      </c>
      <c r="I10780" s="90"/>
      <c r="J10780" s="90"/>
    </row>
    <row r="10781" spans="1:10" s="15" customFormat="1" ht="16.5" hidden="1" customHeight="1" outlineLevel="1" x14ac:dyDescent="0.25">
      <c r="A10781" s="18">
        <v>1187</v>
      </c>
      <c r="B10781" s="4" t="s">
        <v>44</v>
      </c>
      <c r="C10781" s="38" t="s">
        <v>5829</v>
      </c>
      <c r="D10781" s="18">
        <v>2022</v>
      </c>
      <c r="E10781" s="18" t="s">
        <v>0</v>
      </c>
      <c r="F10781" s="41">
        <v>1</v>
      </c>
      <c r="G10781" s="4">
        <v>15</v>
      </c>
      <c r="H10781" s="18">
        <v>31.806660000000001</v>
      </c>
      <c r="I10781" s="90"/>
      <c r="J10781" s="90"/>
    </row>
    <row r="10782" spans="1:10" s="15" customFormat="1" ht="16.5" hidden="1" customHeight="1" outlineLevel="1" x14ac:dyDescent="0.25">
      <c r="A10782" s="18">
        <v>1291</v>
      </c>
      <c r="B10782" s="4" t="s">
        <v>44</v>
      </c>
      <c r="C10782" s="38" t="s">
        <v>2249</v>
      </c>
      <c r="D10782" s="18">
        <v>2022</v>
      </c>
      <c r="E10782" s="18" t="s">
        <v>0</v>
      </c>
      <c r="F10782" s="41">
        <v>1</v>
      </c>
      <c r="G10782" s="4">
        <v>15</v>
      </c>
      <c r="H10782" s="18">
        <v>73.42313</v>
      </c>
      <c r="I10782" s="90"/>
      <c r="J10782" s="90"/>
    </row>
    <row r="10783" spans="1:10" s="15" customFormat="1" ht="16.5" hidden="1" customHeight="1" outlineLevel="1" x14ac:dyDescent="0.25">
      <c r="A10783" s="18">
        <v>1079</v>
      </c>
      <c r="B10783" s="4" t="s">
        <v>44</v>
      </c>
      <c r="C10783" s="38" t="s">
        <v>2250</v>
      </c>
      <c r="D10783" s="18">
        <v>2022</v>
      </c>
      <c r="E10783" s="18" t="s">
        <v>0</v>
      </c>
      <c r="F10783" s="41">
        <v>3</v>
      </c>
      <c r="G10783" s="4">
        <v>35</v>
      </c>
      <c r="H10783" s="18">
        <v>141.36573999999999</v>
      </c>
      <c r="I10783" s="90"/>
      <c r="J10783" s="90"/>
    </row>
    <row r="10784" spans="1:10" s="15" customFormat="1" ht="16.5" hidden="1" customHeight="1" outlineLevel="1" x14ac:dyDescent="0.25">
      <c r="A10784" s="18">
        <v>1094</v>
      </c>
      <c r="B10784" s="4" t="s">
        <v>44</v>
      </c>
      <c r="C10784" s="38" t="s">
        <v>2251</v>
      </c>
      <c r="D10784" s="18">
        <v>2022</v>
      </c>
      <c r="E10784" s="18" t="s">
        <v>0</v>
      </c>
      <c r="F10784" s="41">
        <v>1</v>
      </c>
      <c r="G10784" s="4">
        <v>10</v>
      </c>
      <c r="H10784" s="18">
        <v>71.742769999999993</v>
      </c>
      <c r="I10784" s="90"/>
      <c r="J10784" s="90"/>
    </row>
    <row r="10785" spans="1:10" s="15" customFormat="1" ht="16.5" hidden="1" customHeight="1" outlineLevel="1" x14ac:dyDescent="0.25">
      <c r="A10785" s="18">
        <v>1138</v>
      </c>
      <c r="B10785" s="4" t="s">
        <v>44</v>
      </c>
      <c r="C10785" s="38" t="s">
        <v>2252</v>
      </c>
      <c r="D10785" s="18">
        <v>2022</v>
      </c>
      <c r="E10785" s="18" t="s">
        <v>0</v>
      </c>
      <c r="F10785" s="41">
        <v>1</v>
      </c>
      <c r="G10785" s="4">
        <v>10</v>
      </c>
      <c r="H10785" s="18">
        <v>54.257840000000002</v>
      </c>
      <c r="I10785" s="90"/>
      <c r="J10785" s="90"/>
    </row>
    <row r="10786" spans="1:10" s="15" customFormat="1" ht="16.5" hidden="1" customHeight="1" outlineLevel="1" x14ac:dyDescent="0.25">
      <c r="A10786" s="18">
        <v>1092</v>
      </c>
      <c r="B10786" s="4" t="s">
        <v>44</v>
      </c>
      <c r="C10786" s="38" t="s">
        <v>5830</v>
      </c>
      <c r="D10786" s="18">
        <v>2022</v>
      </c>
      <c r="E10786" s="18" t="s">
        <v>0</v>
      </c>
      <c r="F10786" s="41">
        <v>1</v>
      </c>
      <c r="G10786" s="4">
        <v>14.32</v>
      </c>
      <c r="H10786" s="18">
        <v>97.881889999999999</v>
      </c>
      <c r="I10786" s="90"/>
      <c r="J10786" s="90"/>
    </row>
    <row r="10787" spans="1:10" s="15" customFormat="1" ht="16.5" hidden="1" customHeight="1" outlineLevel="1" x14ac:dyDescent="0.25">
      <c r="A10787" s="18">
        <v>1214</v>
      </c>
      <c r="B10787" s="4" t="s">
        <v>44</v>
      </c>
      <c r="C10787" s="38" t="s">
        <v>5831</v>
      </c>
      <c r="D10787" s="18">
        <v>2022</v>
      </c>
      <c r="E10787" s="18" t="s">
        <v>0</v>
      </c>
      <c r="F10787" s="41">
        <v>1</v>
      </c>
      <c r="G10787" s="4">
        <v>5</v>
      </c>
      <c r="H10787" s="18">
        <v>81.462370000000007</v>
      </c>
      <c r="I10787" s="90"/>
      <c r="J10787" s="90"/>
    </row>
    <row r="10788" spans="1:10" s="15" customFormat="1" ht="16.5" hidden="1" customHeight="1" outlineLevel="1" x14ac:dyDescent="0.25">
      <c r="A10788" s="18">
        <v>1302</v>
      </c>
      <c r="B10788" s="4" t="s">
        <v>44</v>
      </c>
      <c r="C10788" s="38" t="s">
        <v>5832</v>
      </c>
      <c r="D10788" s="18">
        <v>2022</v>
      </c>
      <c r="E10788" s="18" t="s">
        <v>0</v>
      </c>
      <c r="F10788" s="41">
        <v>1</v>
      </c>
      <c r="G10788" s="4">
        <v>15</v>
      </c>
      <c r="H10788" s="18">
        <v>80.935910000000007</v>
      </c>
      <c r="I10788" s="90"/>
      <c r="J10788" s="90"/>
    </row>
    <row r="10789" spans="1:10" s="15" customFormat="1" ht="16.5" hidden="1" customHeight="1" outlineLevel="1" x14ac:dyDescent="0.25">
      <c r="A10789" s="18">
        <v>1377</v>
      </c>
      <c r="B10789" s="4" t="s">
        <v>44</v>
      </c>
      <c r="C10789" s="38" t="s">
        <v>5833</v>
      </c>
      <c r="D10789" s="18">
        <v>2022</v>
      </c>
      <c r="E10789" s="18" t="s">
        <v>0</v>
      </c>
      <c r="F10789" s="41">
        <v>1</v>
      </c>
      <c r="G10789" s="4">
        <v>15</v>
      </c>
      <c r="H10789" s="18">
        <v>78.586110000000005</v>
      </c>
      <c r="I10789" s="90"/>
      <c r="J10789" s="90"/>
    </row>
    <row r="10790" spans="1:10" s="15" customFormat="1" ht="16.5" hidden="1" customHeight="1" outlineLevel="1" x14ac:dyDescent="0.25">
      <c r="A10790" s="18">
        <v>1382</v>
      </c>
      <c r="B10790" s="4" t="s">
        <v>44</v>
      </c>
      <c r="C10790" s="38" t="s">
        <v>5834</v>
      </c>
      <c r="D10790" s="18">
        <v>2022</v>
      </c>
      <c r="E10790" s="18" t="s">
        <v>0</v>
      </c>
      <c r="F10790" s="41">
        <v>1</v>
      </c>
      <c r="G10790" s="4">
        <v>15</v>
      </c>
      <c r="H10790" s="18">
        <v>78.673060000000007</v>
      </c>
      <c r="I10790" s="90"/>
      <c r="J10790" s="90"/>
    </row>
    <row r="10791" spans="1:10" s="15" customFormat="1" ht="16.5" hidden="1" customHeight="1" outlineLevel="1" x14ac:dyDescent="0.25">
      <c r="A10791" s="18">
        <v>1414</v>
      </c>
      <c r="B10791" s="4" t="s">
        <v>44</v>
      </c>
      <c r="C10791" s="38" t="s">
        <v>5835</v>
      </c>
      <c r="D10791" s="18">
        <v>2022</v>
      </c>
      <c r="E10791" s="18" t="s">
        <v>0</v>
      </c>
      <c r="F10791" s="41">
        <v>1</v>
      </c>
      <c r="G10791" s="4">
        <v>15</v>
      </c>
      <c r="H10791" s="18">
        <v>81.501260000000002</v>
      </c>
      <c r="I10791" s="90"/>
      <c r="J10791" s="90"/>
    </row>
    <row r="10792" spans="1:10" s="15" customFormat="1" ht="16.5" hidden="1" customHeight="1" outlineLevel="1" x14ac:dyDescent="0.25">
      <c r="A10792" s="18">
        <v>1411</v>
      </c>
      <c r="B10792" s="4" t="s">
        <v>44</v>
      </c>
      <c r="C10792" s="38" t="s">
        <v>5836</v>
      </c>
      <c r="D10792" s="18">
        <v>2022</v>
      </c>
      <c r="E10792" s="18" t="s">
        <v>0</v>
      </c>
      <c r="F10792" s="41">
        <v>1</v>
      </c>
      <c r="G10792" s="4">
        <v>15</v>
      </c>
      <c r="H10792" s="18">
        <v>84.287409999999994</v>
      </c>
      <c r="I10792" s="90"/>
      <c r="J10792" s="90"/>
    </row>
    <row r="10793" spans="1:10" s="15" customFormat="1" ht="16.5" hidden="1" customHeight="1" outlineLevel="1" x14ac:dyDescent="0.25">
      <c r="A10793" s="18">
        <v>1455</v>
      </c>
      <c r="B10793" s="4" t="s">
        <v>44</v>
      </c>
      <c r="C10793" s="38" t="s">
        <v>5837</v>
      </c>
      <c r="D10793" s="18">
        <v>2022</v>
      </c>
      <c r="E10793" s="18" t="s">
        <v>0</v>
      </c>
      <c r="F10793" s="41">
        <v>1</v>
      </c>
      <c r="G10793" s="4">
        <v>15</v>
      </c>
      <c r="H10793" s="18">
        <v>86.227609999999999</v>
      </c>
      <c r="I10793" s="90"/>
      <c r="J10793" s="90"/>
    </row>
    <row r="10794" spans="1:10" s="15" customFormat="1" ht="16.5" hidden="1" customHeight="1" outlineLevel="1" x14ac:dyDescent="0.25">
      <c r="A10794" s="18">
        <v>1473</v>
      </c>
      <c r="B10794" s="4" t="s">
        <v>44</v>
      </c>
      <c r="C10794" s="38" t="s">
        <v>5838</v>
      </c>
      <c r="D10794" s="18">
        <v>2022</v>
      </c>
      <c r="E10794" s="18" t="s">
        <v>0</v>
      </c>
      <c r="F10794" s="41">
        <v>1</v>
      </c>
      <c r="G10794" s="4">
        <v>10</v>
      </c>
      <c r="H10794" s="18">
        <v>86.207790000000003</v>
      </c>
      <c r="I10794" s="90"/>
      <c r="J10794" s="90"/>
    </row>
    <row r="10795" spans="1:10" s="15" customFormat="1" ht="16.5" hidden="1" customHeight="1" outlineLevel="1" x14ac:dyDescent="0.25">
      <c r="A10795" s="18">
        <v>1476</v>
      </c>
      <c r="B10795" s="4" t="s">
        <v>44</v>
      </c>
      <c r="C10795" s="38" t="s">
        <v>5839</v>
      </c>
      <c r="D10795" s="18">
        <v>2022</v>
      </c>
      <c r="E10795" s="18" t="s">
        <v>0</v>
      </c>
      <c r="F10795" s="41">
        <v>1</v>
      </c>
      <c r="G10795" s="4">
        <v>12</v>
      </c>
      <c r="H10795" s="18">
        <v>86.479950000000002</v>
      </c>
      <c r="I10795" s="90"/>
      <c r="J10795" s="90"/>
    </row>
    <row r="10796" spans="1:10" s="15" customFormat="1" ht="16.5" hidden="1" customHeight="1" outlineLevel="1" x14ac:dyDescent="0.25">
      <c r="A10796" s="18">
        <v>1137</v>
      </c>
      <c r="B10796" s="4" t="s">
        <v>44</v>
      </c>
      <c r="C10796" s="38" t="s">
        <v>5840</v>
      </c>
      <c r="D10796" s="18">
        <v>2022</v>
      </c>
      <c r="E10796" s="18" t="s">
        <v>0</v>
      </c>
      <c r="F10796" s="41">
        <v>1</v>
      </c>
      <c r="G10796" s="4">
        <v>15</v>
      </c>
      <c r="H10796" s="18">
        <v>80.540080000000003</v>
      </c>
      <c r="I10796" s="90"/>
      <c r="J10796" s="90"/>
    </row>
    <row r="10797" spans="1:10" s="15" customFormat="1" ht="16.5" hidden="1" customHeight="1" outlineLevel="1" x14ac:dyDescent="0.25">
      <c r="A10797" s="18">
        <v>1255</v>
      </c>
      <c r="B10797" s="4" t="s">
        <v>44</v>
      </c>
      <c r="C10797" s="38" t="s">
        <v>5841</v>
      </c>
      <c r="D10797" s="18">
        <v>2022</v>
      </c>
      <c r="E10797" s="18" t="s">
        <v>0</v>
      </c>
      <c r="F10797" s="41">
        <v>1</v>
      </c>
      <c r="G10797" s="4">
        <v>10</v>
      </c>
      <c r="H10797" s="18">
        <v>81.526499999999999</v>
      </c>
      <c r="I10797" s="90"/>
      <c r="J10797" s="90"/>
    </row>
    <row r="10798" spans="1:10" s="15" customFormat="1" ht="16.5" hidden="1" customHeight="1" outlineLevel="1" x14ac:dyDescent="0.25">
      <c r="A10798" s="18">
        <v>1256</v>
      </c>
      <c r="B10798" s="4" t="s">
        <v>44</v>
      </c>
      <c r="C10798" s="38" t="s">
        <v>5842</v>
      </c>
      <c r="D10798" s="18">
        <v>2022</v>
      </c>
      <c r="E10798" s="18" t="s">
        <v>0</v>
      </c>
      <c r="F10798" s="41">
        <v>1</v>
      </c>
      <c r="G10798" s="4">
        <v>15</v>
      </c>
      <c r="H10798" s="18">
        <v>85.061710000000005</v>
      </c>
      <c r="I10798" s="90"/>
      <c r="J10798" s="90"/>
    </row>
    <row r="10799" spans="1:10" s="15" customFormat="1" ht="16.5" hidden="1" customHeight="1" outlineLevel="1" x14ac:dyDescent="0.25">
      <c r="A10799" s="18">
        <v>1283</v>
      </c>
      <c r="B10799" s="4" t="s">
        <v>44</v>
      </c>
      <c r="C10799" s="38" t="s">
        <v>5843</v>
      </c>
      <c r="D10799" s="18">
        <v>2022</v>
      </c>
      <c r="E10799" s="18" t="s">
        <v>0</v>
      </c>
      <c r="F10799" s="41">
        <v>1</v>
      </c>
      <c r="G10799" s="4">
        <v>15</v>
      </c>
      <c r="H10799" s="18">
        <v>85.193719999999999</v>
      </c>
      <c r="I10799" s="90"/>
      <c r="J10799" s="90"/>
    </row>
    <row r="10800" spans="1:10" s="15" customFormat="1" ht="16.5" hidden="1" customHeight="1" outlineLevel="1" x14ac:dyDescent="0.25">
      <c r="A10800" s="18">
        <v>1342</v>
      </c>
      <c r="B10800" s="4" t="s">
        <v>44</v>
      </c>
      <c r="C10800" s="38" t="s">
        <v>5844</v>
      </c>
      <c r="D10800" s="18">
        <v>2022</v>
      </c>
      <c r="E10800" s="18" t="s">
        <v>0</v>
      </c>
      <c r="F10800" s="41">
        <v>1</v>
      </c>
      <c r="G10800" s="4">
        <v>15</v>
      </c>
      <c r="H10800" s="18">
        <v>80.760549999999995</v>
      </c>
      <c r="I10800" s="90"/>
      <c r="J10800" s="90"/>
    </row>
    <row r="10801" spans="1:10" s="15" customFormat="1" ht="16.5" hidden="1" customHeight="1" outlineLevel="1" x14ac:dyDescent="0.25">
      <c r="A10801" s="18">
        <v>1381</v>
      </c>
      <c r="B10801" s="4" t="s">
        <v>44</v>
      </c>
      <c r="C10801" s="38" t="s">
        <v>5845</v>
      </c>
      <c r="D10801" s="18">
        <v>2022</v>
      </c>
      <c r="E10801" s="18" t="s">
        <v>0</v>
      </c>
      <c r="F10801" s="41">
        <v>1</v>
      </c>
      <c r="G10801" s="4">
        <v>15</v>
      </c>
      <c r="H10801" s="18">
        <v>78.673069999999996</v>
      </c>
      <c r="I10801" s="90"/>
      <c r="J10801" s="90"/>
    </row>
    <row r="10802" spans="1:10" s="15" customFormat="1" ht="16.5" hidden="1" customHeight="1" outlineLevel="1" x14ac:dyDescent="0.25">
      <c r="A10802" s="18">
        <v>1487</v>
      </c>
      <c r="B10802" s="4" t="s">
        <v>44</v>
      </c>
      <c r="C10802" s="38" t="s">
        <v>2832</v>
      </c>
      <c r="D10802" s="18">
        <v>2022</v>
      </c>
      <c r="E10802" s="18" t="s">
        <v>0</v>
      </c>
      <c r="F10802" s="41">
        <v>1</v>
      </c>
      <c r="G10802" s="4">
        <v>150</v>
      </c>
      <c r="H10802" s="18">
        <v>44.125349999999997</v>
      </c>
      <c r="I10802" s="90"/>
      <c r="J10802" s="90"/>
    </row>
    <row r="10803" spans="1:10" s="15" customFormat="1" ht="16.5" hidden="1" customHeight="1" outlineLevel="1" x14ac:dyDescent="0.25">
      <c r="A10803" s="18">
        <v>1486</v>
      </c>
      <c r="B10803" s="4" t="s">
        <v>44</v>
      </c>
      <c r="C10803" s="38" t="s">
        <v>2898</v>
      </c>
      <c r="D10803" s="18">
        <v>2022</v>
      </c>
      <c r="E10803" s="18" t="s">
        <v>0</v>
      </c>
      <c r="F10803" s="41">
        <v>1</v>
      </c>
      <c r="G10803" s="4">
        <v>40</v>
      </c>
      <c r="H10803" s="18">
        <v>157.52896000000001</v>
      </c>
      <c r="I10803" s="90"/>
      <c r="J10803" s="90"/>
    </row>
    <row r="10804" spans="1:10" s="15" customFormat="1" ht="16.5" hidden="1" customHeight="1" outlineLevel="1" x14ac:dyDescent="0.25">
      <c r="A10804" s="18">
        <v>1547</v>
      </c>
      <c r="B10804" s="4" t="s">
        <v>44</v>
      </c>
      <c r="C10804" s="38" t="s">
        <v>2253</v>
      </c>
      <c r="D10804" s="18">
        <v>2022</v>
      </c>
      <c r="E10804" s="18" t="s">
        <v>0</v>
      </c>
      <c r="F10804" s="41">
        <v>4</v>
      </c>
      <c r="G10804" s="4">
        <v>52</v>
      </c>
      <c r="H10804" s="18">
        <v>137.0154</v>
      </c>
      <c r="I10804" s="90"/>
      <c r="J10804" s="90"/>
    </row>
    <row r="10805" spans="1:10" s="15" customFormat="1" ht="16.5" hidden="1" customHeight="1" outlineLevel="1" x14ac:dyDescent="0.25">
      <c r="A10805" s="18">
        <v>1206</v>
      </c>
      <c r="B10805" s="4" t="s">
        <v>44</v>
      </c>
      <c r="C10805" s="38" t="s">
        <v>2833</v>
      </c>
      <c r="D10805" s="18">
        <v>2022</v>
      </c>
      <c r="E10805" s="18" t="s">
        <v>0</v>
      </c>
      <c r="F10805" s="41">
        <v>1</v>
      </c>
      <c r="G10805" s="4">
        <v>150</v>
      </c>
      <c r="H10805" s="18">
        <v>27.545380000000002</v>
      </c>
      <c r="I10805" s="90"/>
      <c r="J10805" s="90"/>
    </row>
    <row r="10806" spans="1:10" s="15" customFormat="1" ht="16.5" hidden="1" customHeight="1" outlineLevel="1" x14ac:dyDescent="0.25">
      <c r="A10806" s="18">
        <v>1065</v>
      </c>
      <c r="B10806" s="4" t="s">
        <v>44</v>
      </c>
      <c r="C10806" s="38" t="s">
        <v>5846</v>
      </c>
      <c r="D10806" s="18">
        <v>2022</v>
      </c>
      <c r="E10806" s="18" t="s">
        <v>0</v>
      </c>
      <c r="F10806" s="41">
        <v>1</v>
      </c>
      <c r="G10806" s="4">
        <v>15</v>
      </c>
      <c r="H10806" s="18">
        <v>62.319769999999998</v>
      </c>
      <c r="I10806" s="90"/>
      <c r="J10806" s="90"/>
    </row>
    <row r="10807" spans="1:10" s="15" customFormat="1" ht="16.5" hidden="1" customHeight="1" outlineLevel="1" x14ac:dyDescent="0.25">
      <c r="A10807" s="18">
        <v>1087</v>
      </c>
      <c r="B10807" s="4" t="s">
        <v>44</v>
      </c>
      <c r="C10807" s="38" t="s">
        <v>5847</v>
      </c>
      <c r="D10807" s="18">
        <v>2022</v>
      </c>
      <c r="E10807" s="18" t="s">
        <v>0</v>
      </c>
      <c r="F10807" s="41">
        <v>2</v>
      </c>
      <c r="G10807" s="4">
        <v>30</v>
      </c>
      <c r="H10807" s="18">
        <v>95.923919999999995</v>
      </c>
      <c r="I10807" s="90"/>
      <c r="J10807" s="90"/>
    </row>
    <row r="10808" spans="1:10" s="15" customFormat="1" ht="16.5" hidden="1" customHeight="1" outlineLevel="1" x14ac:dyDescent="0.25">
      <c r="A10808" s="18">
        <v>1067</v>
      </c>
      <c r="B10808" s="4" t="s">
        <v>44</v>
      </c>
      <c r="C10808" s="38" t="s">
        <v>3991</v>
      </c>
      <c r="D10808" s="18">
        <v>2022</v>
      </c>
      <c r="E10808" s="18" t="s">
        <v>0</v>
      </c>
      <c r="F10808" s="41">
        <v>3</v>
      </c>
      <c r="G10808" s="4">
        <v>50</v>
      </c>
      <c r="H10808" s="18">
        <v>132.68106</v>
      </c>
      <c r="I10808" s="90"/>
      <c r="J10808" s="90"/>
    </row>
    <row r="10809" spans="1:10" s="15" customFormat="1" ht="16.5" hidden="1" customHeight="1" outlineLevel="1" x14ac:dyDescent="0.25">
      <c r="A10809" s="18">
        <v>1479</v>
      </c>
      <c r="B10809" s="4" t="s">
        <v>44</v>
      </c>
      <c r="C10809" s="38" t="s">
        <v>5848</v>
      </c>
      <c r="D10809" s="18">
        <v>2022</v>
      </c>
      <c r="E10809" s="18" t="s">
        <v>0</v>
      </c>
      <c r="F10809" s="41">
        <v>1</v>
      </c>
      <c r="G10809" s="4">
        <v>15</v>
      </c>
      <c r="H10809" s="18">
        <v>83.002189999999999</v>
      </c>
      <c r="I10809" s="90"/>
      <c r="J10809" s="90"/>
    </row>
    <row r="10810" spans="1:10" s="15" customFormat="1" ht="16.5" hidden="1" customHeight="1" outlineLevel="1" x14ac:dyDescent="0.25">
      <c r="A10810" s="18">
        <v>1358</v>
      </c>
      <c r="B10810" s="4" t="s">
        <v>44</v>
      </c>
      <c r="C10810" s="38" t="s">
        <v>2257</v>
      </c>
      <c r="D10810" s="18">
        <v>2022</v>
      </c>
      <c r="E10810" s="18" t="s">
        <v>0</v>
      </c>
      <c r="F10810" s="41">
        <v>1</v>
      </c>
      <c r="G10810" s="4">
        <v>15</v>
      </c>
      <c r="H10810" s="18">
        <v>65.968590000000006</v>
      </c>
      <c r="I10810" s="90"/>
      <c r="J10810" s="90"/>
    </row>
    <row r="10811" spans="1:10" s="15" customFormat="1" ht="16.5" hidden="1" customHeight="1" outlineLevel="1" x14ac:dyDescent="0.25">
      <c r="A10811" s="18">
        <v>1536</v>
      </c>
      <c r="B10811" s="4" t="s">
        <v>44</v>
      </c>
      <c r="C10811" s="38" t="s">
        <v>5849</v>
      </c>
      <c r="D10811" s="18">
        <v>2022</v>
      </c>
      <c r="E10811" s="18" t="s">
        <v>0</v>
      </c>
      <c r="F10811" s="41">
        <v>1</v>
      </c>
      <c r="G10811" s="4">
        <v>15</v>
      </c>
      <c r="H10811" s="18">
        <v>88.14631</v>
      </c>
      <c r="I10811" s="90"/>
      <c r="J10811" s="90"/>
    </row>
    <row r="10812" spans="1:10" s="15" customFormat="1" ht="16.5" hidden="1" customHeight="1" outlineLevel="1" x14ac:dyDescent="0.25">
      <c r="A10812" s="18">
        <v>1521</v>
      </c>
      <c r="B10812" s="4" t="s">
        <v>44</v>
      </c>
      <c r="C10812" s="38" t="s">
        <v>5850</v>
      </c>
      <c r="D10812" s="18">
        <v>2022</v>
      </c>
      <c r="E10812" s="18" t="s">
        <v>0</v>
      </c>
      <c r="F10812" s="41">
        <v>1</v>
      </c>
      <c r="G10812" s="4">
        <v>9.5</v>
      </c>
      <c r="H10812" s="18">
        <v>90.682079999999999</v>
      </c>
      <c r="I10812" s="90"/>
      <c r="J10812" s="90"/>
    </row>
    <row r="10813" spans="1:10" s="15" customFormat="1" ht="16.5" hidden="1" customHeight="1" outlineLevel="1" x14ac:dyDescent="0.25">
      <c r="A10813" s="18">
        <v>1475</v>
      </c>
      <c r="B10813" s="4" t="s">
        <v>44</v>
      </c>
      <c r="C10813" s="38" t="s">
        <v>5851</v>
      </c>
      <c r="D10813" s="18">
        <v>2022</v>
      </c>
      <c r="E10813" s="18" t="s">
        <v>0</v>
      </c>
      <c r="F10813" s="41">
        <v>1</v>
      </c>
      <c r="G10813" s="4">
        <v>15</v>
      </c>
      <c r="H10813" s="18">
        <v>90.342820000000003</v>
      </c>
      <c r="I10813" s="90"/>
      <c r="J10813" s="90"/>
    </row>
    <row r="10814" spans="1:10" s="15" customFormat="1" ht="16.5" hidden="1" customHeight="1" outlineLevel="1" x14ac:dyDescent="0.25">
      <c r="A10814" s="18">
        <v>1221</v>
      </c>
      <c r="B10814" s="4" t="s">
        <v>44</v>
      </c>
      <c r="C10814" s="38" t="s">
        <v>2258</v>
      </c>
      <c r="D10814" s="18">
        <v>2022</v>
      </c>
      <c r="E10814" s="18" t="s">
        <v>0</v>
      </c>
      <c r="F10814" s="41">
        <v>1</v>
      </c>
      <c r="G10814" s="4">
        <v>15</v>
      </c>
      <c r="H10814" s="18">
        <v>74.334599999999995</v>
      </c>
      <c r="I10814" s="90"/>
      <c r="J10814" s="90"/>
    </row>
    <row r="10815" spans="1:10" s="15" customFormat="1" ht="16.5" hidden="1" customHeight="1" outlineLevel="1" x14ac:dyDescent="0.25">
      <c r="A10815" s="18">
        <v>1195</v>
      </c>
      <c r="B10815" s="4" t="s">
        <v>44</v>
      </c>
      <c r="C10815" s="38" t="s">
        <v>2259</v>
      </c>
      <c r="D10815" s="18">
        <v>2022</v>
      </c>
      <c r="E10815" s="18" t="s">
        <v>0</v>
      </c>
      <c r="F10815" s="41">
        <v>1</v>
      </c>
      <c r="G10815" s="4">
        <v>15</v>
      </c>
      <c r="H10815" s="18">
        <v>49.187600000000003</v>
      </c>
      <c r="I10815" s="90"/>
      <c r="J10815" s="90"/>
    </row>
    <row r="10816" spans="1:10" s="15" customFormat="1" ht="16.5" hidden="1" customHeight="1" outlineLevel="1" x14ac:dyDescent="0.25">
      <c r="A10816" s="18">
        <v>1456</v>
      </c>
      <c r="B10816" s="4" t="s">
        <v>44</v>
      </c>
      <c r="C10816" s="38" t="s">
        <v>5852</v>
      </c>
      <c r="D10816" s="18">
        <v>2022</v>
      </c>
      <c r="E10816" s="18" t="s">
        <v>0</v>
      </c>
      <c r="F10816" s="41">
        <v>1</v>
      </c>
      <c r="G10816" s="4">
        <v>10</v>
      </c>
      <c r="H10816" s="18">
        <v>86.996020000000001</v>
      </c>
      <c r="I10816" s="90"/>
      <c r="J10816" s="90"/>
    </row>
    <row r="10817" spans="1:10" s="15" customFormat="1" ht="16.5" hidden="1" customHeight="1" outlineLevel="1" x14ac:dyDescent="0.25">
      <c r="A10817" s="18">
        <v>1506</v>
      </c>
      <c r="B10817" s="4" t="s">
        <v>44</v>
      </c>
      <c r="C10817" s="38" t="s">
        <v>5853</v>
      </c>
      <c r="D10817" s="18">
        <v>2022</v>
      </c>
      <c r="E10817" s="18" t="s">
        <v>0</v>
      </c>
      <c r="F10817" s="41">
        <v>1</v>
      </c>
      <c r="G10817" s="4">
        <v>15</v>
      </c>
      <c r="H10817" s="18">
        <v>85.170680000000004</v>
      </c>
      <c r="I10817" s="90"/>
      <c r="J10817" s="90"/>
    </row>
    <row r="10818" spans="1:10" s="15" customFormat="1" ht="16.5" hidden="1" customHeight="1" outlineLevel="1" x14ac:dyDescent="0.25">
      <c r="A10818" s="18">
        <v>1459</v>
      </c>
      <c r="B10818" s="4" t="s">
        <v>44</v>
      </c>
      <c r="C10818" s="38" t="s">
        <v>5854</v>
      </c>
      <c r="D10818" s="18">
        <v>2022</v>
      </c>
      <c r="E10818" s="18" t="s">
        <v>0</v>
      </c>
      <c r="F10818" s="41">
        <v>1</v>
      </c>
      <c r="G10818" s="4">
        <v>10</v>
      </c>
      <c r="H10818" s="18">
        <v>85.073089999999993</v>
      </c>
      <c r="I10818" s="90"/>
      <c r="J10818" s="90"/>
    </row>
    <row r="10819" spans="1:10" s="15" customFormat="1" ht="16.5" hidden="1" customHeight="1" outlineLevel="1" x14ac:dyDescent="0.25">
      <c r="A10819" s="18">
        <v>1503</v>
      </c>
      <c r="B10819" s="4" t="s">
        <v>44</v>
      </c>
      <c r="C10819" s="38" t="s">
        <v>5855</v>
      </c>
      <c r="D10819" s="18">
        <v>2022</v>
      </c>
      <c r="E10819" s="18" t="s">
        <v>0</v>
      </c>
      <c r="F10819" s="41">
        <v>1</v>
      </c>
      <c r="G10819" s="4">
        <v>14</v>
      </c>
      <c r="H10819" s="18">
        <v>86.879540000000006</v>
      </c>
      <c r="I10819" s="90"/>
      <c r="J10819" s="90"/>
    </row>
    <row r="10820" spans="1:10" s="15" customFormat="1" ht="16.5" hidden="1" customHeight="1" outlineLevel="1" x14ac:dyDescent="0.25">
      <c r="A10820" s="18">
        <v>1504</v>
      </c>
      <c r="B10820" s="4" t="s">
        <v>44</v>
      </c>
      <c r="C10820" s="38" t="s">
        <v>5856</v>
      </c>
      <c r="D10820" s="18">
        <v>2022</v>
      </c>
      <c r="E10820" s="18" t="s">
        <v>0</v>
      </c>
      <c r="F10820" s="41">
        <v>1</v>
      </c>
      <c r="G10820" s="4">
        <v>14</v>
      </c>
      <c r="H10820" s="18">
        <v>86.847430000000003</v>
      </c>
      <c r="I10820" s="90"/>
      <c r="J10820" s="90"/>
    </row>
    <row r="10821" spans="1:10" s="15" customFormat="1" ht="16.5" hidden="1" customHeight="1" outlineLevel="1" x14ac:dyDescent="0.25">
      <c r="A10821" s="18">
        <v>1134</v>
      </c>
      <c r="B10821" s="4" t="s">
        <v>44</v>
      </c>
      <c r="C10821" s="38" t="s">
        <v>5857</v>
      </c>
      <c r="D10821" s="18">
        <v>2022</v>
      </c>
      <c r="E10821" s="18" t="s">
        <v>0</v>
      </c>
      <c r="F10821" s="41">
        <v>1</v>
      </c>
      <c r="G10821" s="4">
        <v>10</v>
      </c>
      <c r="H10821" s="18">
        <v>26.882750000000001</v>
      </c>
      <c r="I10821" s="90"/>
      <c r="J10821" s="90"/>
    </row>
    <row r="10822" spans="1:10" s="15" customFormat="1" ht="16.5" hidden="1" customHeight="1" outlineLevel="1" x14ac:dyDescent="0.25">
      <c r="A10822" s="18">
        <v>1159</v>
      </c>
      <c r="B10822" s="4" t="s">
        <v>44</v>
      </c>
      <c r="C10822" s="38" t="s">
        <v>5858</v>
      </c>
      <c r="D10822" s="18">
        <v>2022</v>
      </c>
      <c r="E10822" s="18" t="s">
        <v>0</v>
      </c>
      <c r="F10822" s="41">
        <v>1</v>
      </c>
      <c r="G10822" s="4">
        <v>15</v>
      </c>
      <c r="H10822" s="18">
        <v>36.490160000000003</v>
      </c>
      <c r="I10822" s="90"/>
      <c r="J10822" s="90"/>
    </row>
    <row r="10823" spans="1:10" s="15" customFormat="1" ht="16.5" hidden="1" customHeight="1" outlineLevel="1" x14ac:dyDescent="0.25">
      <c r="A10823" s="18">
        <v>1269</v>
      </c>
      <c r="B10823" s="4" t="s">
        <v>44</v>
      </c>
      <c r="C10823" s="38" t="s">
        <v>5859</v>
      </c>
      <c r="D10823" s="18">
        <v>2022</v>
      </c>
      <c r="E10823" s="18" t="s">
        <v>0</v>
      </c>
      <c r="F10823" s="41">
        <v>1</v>
      </c>
      <c r="G10823" s="4">
        <v>15</v>
      </c>
      <c r="H10823" s="18">
        <v>34.019820000000003</v>
      </c>
      <c r="I10823" s="90"/>
      <c r="J10823" s="90"/>
    </row>
    <row r="10824" spans="1:10" s="15" customFormat="1" ht="16.5" hidden="1" customHeight="1" outlineLevel="1" x14ac:dyDescent="0.25">
      <c r="A10824" s="18">
        <v>1175</v>
      </c>
      <c r="B10824" s="4" t="s">
        <v>44</v>
      </c>
      <c r="C10824" s="38" t="s">
        <v>5860</v>
      </c>
      <c r="D10824" s="18">
        <v>2022</v>
      </c>
      <c r="E10824" s="18" t="s">
        <v>0</v>
      </c>
      <c r="F10824" s="41">
        <v>1</v>
      </c>
      <c r="G10824" s="4">
        <v>15</v>
      </c>
      <c r="H10824" s="18">
        <v>36.645710000000001</v>
      </c>
      <c r="I10824" s="90"/>
      <c r="J10824" s="90"/>
    </row>
    <row r="10825" spans="1:10" s="15" customFormat="1" ht="16.5" hidden="1" customHeight="1" outlineLevel="1" x14ac:dyDescent="0.25">
      <c r="A10825" s="18">
        <v>1339</v>
      </c>
      <c r="B10825" s="4" t="s">
        <v>44</v>
      </c>
      <c r="C10825" s="38" t="s">
        <v>5861</v>
      </c>
      <c r="D10825" s="18">
        <v>2022</v>
      </c>
      <c r="E10825" s="18" t="s">
        <v>0</v>
      </c>
      <c r="F10825" s="41">
        <v>1</v>
      </c>
      <c r="G10825" s="4">
        <v>15</v>
      </c>
      <c r="H10825" s="18">
        <v>34.73583</v>
      </c>
      <c r="I10825" s="90"/>
      <c r="J10825" s="90"/>
    </row>
    <row r="10826" spans="1:10" s="15" customFormat="1" ht="16.5" hidden="1" customHeight="1" outlineLevel="1" x14ac:dyDescent="0.25">
      <c r="A10826" s="18">
        <v>1379</v>
      </c>
      <c r="B10826" s="4" t="s">
        <v>44</v>
      </c>
      <c r="C10826" s="38" t="s">
        <v>5862</v>
      </c>
      <c r="D10826" s="18">
        <v>2022</v>
      </c>
      <c r="E10826" s="18" t="s">
        <v>0</v>
      </c>
      <c r="F10826" s="41">
        <v>1</v>
      </c>
      <c r="G10826" s="4">
        <v>15</v>
      </c>
      <c r="H10826" s="18">
        <v>38.084859999999999</v>
      </c>
      <c r="I10826" s="90"/>
      <c r="J10826" s="90"/>
    </row>
    <row r="10827" spans="1:10" s="15" customFormat="1" ht="16.5" hidden="1" customHeight="1" outlineLevel="1" x14ac:dyDescent="0.25">
      <c r="A10827" s="18">
        <v>1380</v>
      </c>
      <c r="B10827" s="4" t="s">
        <v>44</v>
      </c>
      <c r="C10827" s="38" t="s">
        <v>5863</v>
      </c>
      <c r="D10827" s="18">
        <v>2022</v>
      </c>
      <c r="E10827" s="18" t="s">
        <v>0</v>
      </c>
      <c r="F10827" s="41">
        <v>1</v>
      </c>
      <c r="G10827" s="4">
        <v>15</v>
      </c>
      <c r="H10827" s="18">
        <v>33.371780000000001</v>
      </c>
      <c r="I10827" s="90"/>
      <c r="J10827" s="90"/>
    </row>
    <row r="10828" spans="1:10" s="15" customFormat="1" ht="16.5" hidden="1" customHeight="1" outlineLevel="1" x14ac:dyDescent="0.25">
      <c r="A10828" s="18">
        <v>1436</v>
      </c>
      <c r="B10828" s="4" t="s">
        <v>44</v>
      </c>
      <c r="C10828" s="38" t="s">
        <v>5864</v>
      </c>
      <c r="D10828" s="18">
        <v>2022</v>
      </c>
      <c r="E10828" s="18" t="s">
        <v>0</v>
      </c>
      <c r="F10828" s="41">
        <v>1</v>
      </c>
      <c r="G10828" s="4">
        <v>15</v>
      </c>
      <c r="H10828" s="18">
        <v>38.202109999999998</v>
      </c>
      <c r="I10828" s="90"/>
      <c r="J10828" s="90"/>
    </row>
    <row r="10829" spans="1:10" s="15" customFormat="1" ht="16.5" hidden="1" customHeight="1" outlineLevel="1" x14ac:dyDescent="0.25">
      <c r="A10829" s="18">
        <v>1528</v>
      </c>
      <c r="B10829" s="4" t="s">
        <v>44</v>
      </c>
      <c r="C10829" s="38" t="s">
        <v>5865</v>
      </c>
      <c r="D10829" s="18">
        <v>2022</v>
      </c>
      <c r="E10829" s="18" t="s">
        <v>0</v>
      </c>
      <c r="F10829" s="41">
        <v>1</v>
      </c>
      <c r="G10829" s="4">
        <v>7</v>
      </c>
      <c r="H10829" s="18">
        <v>29.749590000000001</v>
      </c>
      <c r="I10829" s="90"/>
      <c r="J10829" s="90"/>
    </row>
    <row r="10830" spans="1:10" s="15" customFormat="1" ht="16.5" hidden="1" customHeight="1" outlineLevel="1" x14ac:dyDescent="0.25">
      <c r="A10830" s="18">
        <v>1533</v>
      </c>
      <c r="B10830" s="4" t="s">
        <v>44</v>
      </c>
      <c r="C10830" s="38" t="s">
        <v>5866</v>
      </c>
      <c r="D10830" s="18">
        <v>2022</v>
      </c>
      <c r="E10830" s="18" t="s">
        <v>0</v>
      </c>
      <c r="F10830" s="41">
        <v>1</v>
      </c>
      <c r="G10830" s="4">
        <v>10</v>
      </c>
      <c r="H10830" s="18">
        <v>40.349409999999999</v>
      </c>
      <c r="I10830" s="90"/>
      <c r="J10830" s="90"/>
    </row>
    <row r="10831" spans="1:10" s="15" customFormat="1" ht="16.5" hidden="1" customHeight="1" outlineLevel="1" x14ac:dyDescent="0.25">
      <c r="A10831" s="18">
        <v>1316</v>
      </c>
      <c r="B10831" s="4" t="s">
        <v>44</v>
      </c>
      <c r="C10831" s="38" t="s">
        <v>2260</v>
      </c>
      <c r="D10831" s="18">
        <v>2022</v>
      </c>
      <c r="E10831" s="18" t="s">
        <v>0</v>
      </c>
      <c r="F10831" s="41">
        <v>1</v>
      </c>
      <c r="G10831" s="4">
        <v>50</v>
      </c>
      <c r="H10831" s="18">
        <v>43.117429999999999</v>
      </c>
      <c r="I10831" s="90"/>
      <c r="J10831" s="90"/>
    </row>
    <row r="10832" spans="1:10" s="15" customFormat="1" ht="16.5" hidden="1" customHeight="1" outlineLevel="1" x14ac:dyDescent="0.25">
      <c r="A10832" s="18">
        <v>1202</v>
      </c>
      <c r="B10832" s="4" t="s">
        <v>44</v>
      </c>
      <c r="C10832" s="38" t="s">
        <v>5867</v>
      </c>
      <c r="D10832" s="18">
        <v>2022</v>
      </c>
      <c r="E10832" s="18" t="s">
        <v>0</v>
      </c>
      <c r="F10832" s="41">
        <v>1</v>
      </c>
      <c r="G10832" s="4">
        <v>10</v>
      </c>
      <c r="H10832" s="18">
        <v>43.094119999999997</v>
      </c>
      <c r="I10832" s="90"/>
      <c r="J10832" s="90"/>
    </row>
    <row r="10833" spans="1:10" s="15" customFormat="1" ht="16.5" hidden="1" customHeight="1" outlineLevel="1" x14ac:dyDescent="0.25">
      <c r="A10833" s="18">
        <v>1292</v>
      </c>
      <c r="B10833" s="4" t="s">
        <v>44</v>
      </c>
      <c r="C10833" s="38" t="s">
        <v>5868</v>
      </c>
      <c r="D10833" s="18">
        <v>2022</v>
      </c>
      <c r="E10833" s="18" t="s">
        <v>0</v>
      </c>
      <c r="F10833" s="41">
        <v>1</v>
      </c>
      <c r="G10833" s="4">
        <v>10</v>
      </c>
      <c r="H10833" s="18">
        <v>48.123710000000003</v>
      </c>
      <c r="I10833" s="90"/>
      <c r="J10833" s="90"/>
    </row>
    <row r="10834" spans="1:10" s="15" customFormat="1" ht="16.5" hidden="1" customHeight="1" outlineLevel="1" x14ac:dyDescent="0.25">
      <c r="A10834" s="18">
        <v>1294</v>
      </c>
      <c r="B10834" s="4" t="s">
        <v>44</v>
      </c>
      <c r="C10834" s="38" t="s">
        <v>5869</v>
      </c>
      <c r="D10834" s="18">
        <v>2022</v>
      </c>
      <c r="E10834" s="18" t="s">
        <v>0</v>
      </c>
      <c r="F10834" s="41">
        <v>1</v>
      </c>
      <c r="G10834" s="4">
        <v>10</v>
      </c>
      <c r="H10834" s="18">
        <v>50.650030000000001</v>
      </c>
      <c r="I10834" s="90"/>
      <c r="J10834" s="90"/>
    </row>
    <row r="10835" spans="1:10" s="15" customFormat="1" ht="16.5" hidden="1" customHeight="1" outlineLevel="1" x14ac:dyDescent="0.25">
      <c r="A10835" s="18">
        <v>1295</v>
      </c>
      <c r="B10835" s="4" t="s">
        <v>44</v>
      </c>
      <c r="C10835" s="38" t="s">
        <v>5870</v>
      </c>
      <c r="D10835" s="18">
        <v>2022</v>
      </c>
      <c r="E10835" s="18" t="s">
        <v>0</v>
      </c>
      <c r="F10835" s="41">
        <v>1</v>
      </c>
      <c r="G10835" s="4">
        <v>10</v>
      </c>
      <c r="H10835" s="18">
        <v>48.205060000000003</v>
      </c>
      <c r="I10835" s="90"/>
      <c r="J10835" s="90"/>
    </row>
    <row r="10836" spans="1:10" s="15" customFormat="1" ht="16.5" hidden="1" customHeight="1" outlineLevel="1" x14ac:dyDescent="0.25">
      <c r="A10836" s="18">
        <v>1315</v>
      </c>
      <c r="B10836" s="4" t="s">
        <v>44</v>
      </c>
      <c r="C10836" s="38" t="s">
        <v>5871</v>
      </c>
      <c r="D10836" s="18">
        <v>2022</v>
      </c>
      <c r="E10836" s="18" t="s">
        <v>0</v>
      </c>
      <c r="F10836" s="41">
        <v>1</v>
      </c>
      <c r="G10836" s="4">
        <v>10</v>
      </c>
      <c r="H10836" s="18">
        <v>47.775539999999999</v>
      </c>
      <c r="I10836" s="90"/>
      <c r="J10836" s="90"/>
    </row>
    <row r="10837" spans="1:10" s="15" customFormat="1" ht="16.5" hidden="1" customHeight="1" outlineLevel="1" x14ac:dyDescent="0.25">
      <c r="A10837" s="18">
        <v>1364</v>
      </c>
      <c r="B10837" s="4" t="s">
        <v>44</v>
      </c>
      <c r="C10837" s="38" t="s">
        <v>5872</v>
      </c>
      <c r="D10837" s="18">
        <v>2022</v>
      </c>
      <c r="E10837" s="18" t="s">
        <v>0</v>
      </c>
      <c r="F10837" s="41">
        <v>1</v>
      </c>
      <c r="G10837" s="4">
        <v>30</v>
      </c>
      <c r="H10837" s="18">
        <v>48.490540000000003</v>
      </c>
      <c r="I10837" s="90"/>
      <c r="J10837" s="90"/>
    </row>
    <row r="10838" spans="1:10" s="15" customFormat="1" ht="16.5" hidden="1" customHeight="1" outlineLevel="1" x14ac:dyDescent="0.25">
      <c r="A10838" s="18">
        <v>1453</v>
      </c>
      <c r="B10838" s="4" t="s">
        <v>44</v>
      </c>
      <c r="C10838" s="38" t="s">
        <v>5873</v>
      </c>
      <c r="D10838" s="18">
        <v>2022</v>
      </c>
      <c r="E10838" s="18" t="s">
        <v>0</v>
      </c>
      <c r="F10838" s="41">
        <v>1</v>
      </c>
      <c r="G10838" s="4">
        <v>10</v>
      </c>
      <c r="H10838" s="18">
        <v>45.316180000000003</v>
      </c>
      <c r="I10838" s="90"/>
      <c r="J10838" s="90"/>
    </row>
    <row r="10839" spans="1:10" s="15" customFormat="1" ht="16.5" hidden="1" customHeight="1" outlineLevel="1" x14ac:dyDescent="0.25">
      <c r="A10839" s="18">
        <v>1484</v>
      </c>
      <c r="B10839" s="4" t="s">
        <v>44</v>
      </c>
      <c r="C10839" s="38" t="s">
        <v>5874</v>
      </c>
      <c r="D10839" s="18">
        <v>2022</v>
      </c>
      <c r="E10839" s="18" t="s">
        <v>0</v>
      </c>
      <c r="F10839" s="41">
        <v>1</v>
      </c>
      <c r="G10839" s="4">
        <v>10</v>
      </c>
      <c r="H10839" s="18">
        <v>53.510590000000001</v>
      </c>
      <c r="I10839" s="90"/>
      <c r="J10839" s="90"/>
    </row>
    <row r="10840" spans="1:10" s="15" customFormat="1" ht="16.5" hidden="1" customHeight="1" outlineLevel="1" x14ac:dyDescent="0.25">
      <c r="A10840" s="18">
        <v>1080</v>
      </c>
      <c r="B10840" s="4" t="s">
        <v>44</v>
      </c>
      <c r="C10840" s="38" t="s">
        <v>5875</v>
      </c>
      <c r="D10840" s="18">
        <v>2022</v>
      </c>
      <c r="E10840" s="18" t="s">
        <v>0</v>
      </c>
      <c r="F10840" s="41">
        <v>1</v>
      </c>
      <c r="G10840" s="4">
        <v>5.5</v>
      </c>
      <c r="H10840" s="18">
        <v>47.956159999999997</v>
      </c>
      <c r="I10840" s="90"/>
      <c r="J10840" s="90"/>
    </row>
    <row r="10841" spans="1:10" s="15" customFormat="1" ht="16.5" hidden="1" customHeight="1" outlineLevel="1" x14ac:dyDescent="0.25">
      <c r="A10841" s="18">
        <v>1207</v>
      </c>
      <c r="B10841" s="4" t="s">
        <v>44</v>
      </c>
      <c r="C10841" s="38" t="s">
        <v>5876</v>
      </c>
      <c r="D10841" s="18">
        <v>2022</v>
      </c>
      <c r="E10841" s="18" t="s">
        <v>0</v>
      </c>
      <c r="F10841" s="41">
        <v>1</v>
      </c>
      <c r="G10841" s="4">
        <v>10</v>
      </c>
      <c r="H10841" s="18">
        <v>44.824689999999997</v>
      </c>
      <c r="I10841" s="90"/>
      <c r="J10841" s="90"/>
    </row>
    <row r="10842" spans="1:10" s="15" customFormat="1" ht="16.5" hidden="1" customHeight="1" outlineLevel="1" x14ac:dyDescent="0.25">
      <c r="A10842" s="18">
        <v>1236</v>
      </c>
      <c r="B10842" s="4" t="s">
        <v>44</v>
      </c>
      <c r="C10842" s="38" t="s">
        <v>5877</v>
      </c>
      <c r="D10842" s="18">
        <v>2022</v>
      </c>
      <c r="E10842" s="18" t="s">
        <v>0</v>
      </c>
      <c r="F10842" s="41">
        <v>1</v>
      </c>
      <c r="G10842" s="4">
        <v>10</v>
      </c>
      <c r="H10842" s="18">
        <v>40.863199999999999</v>
      </c>
      <c r="I10842" s="90"/>
      <c r="J10842" s="90"/>
    </row>
    <row r="10843" spans="1:10" s="15" customFormat="1" ht="16.5" hidden="1" customHeight="1" outlineLevel="1" x14ac:dyDescent="0.25">
      <c r="A10843" s="18">
        <v>1275</v>
      </c>
      <c r="B10843" s="4" t="s">
        <v>44</v>
      </c>
      <c r="C10843" s="38" t="s">
        <v>5878</v>
      </c>
      <c r="D10843" s="18">
        <v>2022</v>
      </c>
      <c r="E10843" s="18" t="s">
        <v>0</v>
      </c>
      <c r="F10843" s="41">
        <v>1</v>
      </c>
      <c r="G10843" s="4">
        <v>10</v>
      </c>
      <c r="H10843" s="18">
        <v>43.507240000000003</v>
      </c>
      <c r="I10843" s="90"/>
      <c r="J10843" s="90"/>
    </row>
    <row r="10844" spans="1:10" s="15" customFormat="1" ht="16.5" hidden="1" customHeight="1" outlineLevel="1" x14ac:dyDescent="0.25">
      <c r="A10844" s="18">
        <v>1425</v>
      </c>
      <c r="B10844" s="4" t="s">
        <v>44</v>
      </c>
      <c r="C10844" s="38" t="s">
        <v>5879</v>
      </c>
      <c r="D10844" s="18">
        <v>2022</v>
      </c>
      <c r="E10844" s="18" t="s">
        <v>0</v>
      </c>
      <c r="F10844" s="41">
        <v>1</v>
      </c>
      <c r="G10844" s="4">
        <v>15</v>
      </c>
      <c r="H10844" s="18">
        <v>32.320010000000003</v>
      </c>
      <c r="I10844" s="90"/>
      <c r="J10844" s="90"/>
    </row>
    <row r="10845" spans="1:10" s="15" customFormat="1" ht="16.5" hidden="1" customHeight="1" outlineLevel="1" x14ac:dyDescent="0.25">
      <c r="A10845" s="18">
        <v>1493</v>
      </c>
      <c r="B10845" s="4" t="s">
        <v>44</v>
      </c>
      <c r="C10845" s="38" t="s">
        <v>5880</v>
      </c>
      <c r="D10845" s="18">
        <v>2022</v>
      </c>
      <c r="E10845" s="18" t="s">
        <v>0</v>
      </c>
      <c r="F10845" s="41">
        <v>1</v>
      </c>
      <c r="G10845" s="4">
        <v>10</v>
      </c>
      <c r="H10845" s="18">
        <v>35.636139999999997</v>
      </c>
      <c r="I10845" s="90"/>
      <c r="J10845" s="90"/>
    </row>
    <row r="10846" spans="1:10" s="15" customFormat="1" ht="16.5" hidden="1" customHeight="1" outlineLevel="1" x14ac:dyDescent="0.25">
      <c r="A10846" s="18">
        <v>1052</v>
      </c>
      <c r="B10846" s="4" t="s">
        <v>44</v>
      </c>
      <c r="C10846" s="38" t="s">
        <v>5881</v>
      </c>
      <c r="D10846" s="18">
        <v>2022</v>
      </c>
      <c r="E10846" s="18" t="s">
        <v>0</v>
      </c>
      <c r="F10846" s="41">
        <v>1</v>
      </c>
      <c r="G10846" s="4">
        <v>10</v>
      </c>
      <c r="H10846" s="18">
        <v>74.33511</v>
      </c>
      <c r="I10846" s="90"/>
      <c r="J10846" s="90"/>
    </row>
    <row r="10847" spans="1:10" s="15" customFormat="1" ht="16.5" hidden="1" customHeight="1" outlineLevel="1" x14ac:dyDescent="0.25">
      <c r="A10847" s="18">
        <v>1131</v>
      </c>
      <c r="B10847" s="4" t="s">
        <v>44</v>
      </c>
      <c r="C10847" s="38" t="s">
        <v>5882</v>
      </c>
      <c r="D10847" s="18">
        <v>2022</v>
      </c>
      <c r="E10847" s="18" t="s">
        <v>0</v>
      </c>
      <c r="F10847" s="41">
        <v>1</v>
      </c>
      <c r="G10847" s="4">
        <v>15</v>
      </c>
      <c r="H10847" s="18">
        <v>42.004069999999999</v>
      </c>
      <c r="I10847" s="90"/>
      <c r="J10847" s="90"/>
    </row>
    <row r="10848" spans="1:10" s="15" customFormat="1" ht="16.5" hidden="1" customHeight="1" outlineLevel="1" x14ac:dyDescent="0.25">
      <c r="A10848" s="18">
        <v>1146</v>
      </c>
      <c r="B10848" s="4" t="s">
        <v>44</v>
      </c>
      <c r="C10848" s="38" t="s">
        <v>5883</v>
      </c>
      <c r="D10848" s="18">
        <v>2022</v>
      </c>
      <c r="E10848" s="18" t="s">
        <v>0</v>
      </c>
      <c r="F10848" s="41">
        <v>1</v>
      </c>
      <c r="G10848" s="4">
        <v>10</v>
      </c>
      <c r="H10848" s="18">
        <v>52.71125</v>
      </c>
      <c r="I10848" s="90"/>
      <c r="J10848" s="90"/>
    </row>
    <row r="10849" spans="1:10" s="15" customFormat="1" ht="16.5" hidden="1" customHeight="1" outlineLevel="1" x14ac:dyDescent="0.25">
      <c r="A10849" s="18">
        <v>1149</v>
      </c>
      <c r="B10849" s="4" t="s">
        <v>44</v>
      </c>
      <c r="C10849" s="38" t="s">
        <v>5884</v>
      </c>
      <c r="D10849" s="18">
        <v>2022</v>
      </c>
      <c r="E10849" s="18" t="s">
        <v>0</v>
      </c>
      <c r="F10849" s="41">
        <v>1</v>
      </c>
      <c r="G10849" s="4">
        <v>15</v>
      </c>
      <c r="H10849" s="18">
        <v>48.982729999999997</v>
      </c>
      <c r="I10849" s="90"/>
      <c r="J10849" s="90"/>
    </row>
    <row r="10850" spans="1:10" s="15" customFormat="1" ht="16.5" hidden="1" customHeight="1" outlineLevel="1" x14ac:dyDescent="0.25">
      <c r="A10850" s="18">
        <v>1505</v>
      </c>
      <c r="B10850" s="4" t="s">
        <v>44</v>
      </c>
      <c r="C10850" s="38" t="s">
        <v>5885</v>
      </c>
      <c r="D10850" s="18">
        <v>2022</v>
      </c>
      <c r="E10850" s="18" t="s">
        <v>0</v>
      </c>
      <c r="F10850" s="41">
        <v>1</v>
      </c>
      <c r="G10850" s="4">
        <v>10</v>
      </c>
      <c r="H10850" s="18">
        <v>43.742100000000001</v>
      </c>
      <c r="I10850" s="90"/>
      <c r="J10850" s="90"/>
    </row>
    <row r="10851" spans="1:10" s="15" customFormat="1" ht="16.5" hidden="1" customHeight="1" outlineLevel="1" x14ac:dyDescent="0.25">
      <c r="A10851" s="18">
        <v>1500</v>
      </c>
      <c r="B10851" s="4" t="s">
        <v>44</v>
      </c>
      <c r="C10851" s="38" t="s">
        <v>5886</v>
      </c>
      <c r="D10851" s="18">
        <v>2022</v>
      </c>
      <c r="E10851" s="18" t="s">
        <v>0</v>
      </c>
      <c r="F10851" s="41">
        <v>1</v>
      </c>
      <c r="G10851" s="4">
        <v>12</v>
      </c>
      <c r="H10851" s="18">
        <v>24.801909999999999</v>
      </c>
      <c r="I10851" s="90"/>
      <c r="J10851" s="90"/>
    </row>
    <row r="10852" spans="1:10" s="15" customFormat="1" ht="16.5" hidden="1" customHeight="1" outlineLevel="1" x14ac:dyDescent="0.25">
      <c r="A10852" s="18">
        <v>1446</v>
      </c>
      <c r="B10852" s="4" t="s">
        <v>44</v>
      </c>
      <c r="C10852" s="38" t="s">
        <v>5887</v>
      </c>
      <c r="D10852" s="18">
        <v>2022</v>
      </c>
      <c r="E10852" s="18" t="s">
        <v>0</v>
      </c>
      <c r="F10852" s="41">
        <v>1</v>
      </c>
      <c r="G10852" s="4">
        <v>10</v>
      </c>
      <c r="H10852" s="18">
        <v>39.332250000000002</v>
      </c>
      <c r="I10852" s="90"/>
      <c r="J10852" s="90"/>
    </row>
    <row r="10853" spans="1:10" s="15" customFormat="1" ht="16.5" hidden="1" customHeight="1" outlineLevel="1" x14ac:dyDescent="0.25">
      <c r="A10853" s="18">
        <v>1142</v>
      </c>
      <c r="B10853" s="4" t="s">
        <v>44</v>
      </c>
      <c r="C10853" s="38" t="s">
        <v>5888</v>
      </c>
      <c r="D10853" s="18">
        <v>2022</v>
      </c>
      <c r="E10853" s="18" t="s">
        <v>0</v>
      </c>
      <c r="F10853" s="41">
        <v>1</v>
      </c>
      <c r="G10853" s="4">
        <v>10</v>
      </c>
      <c r="H10853" s="18">
        <v>38.592860000000002</v>
      </c>
      <c r="I10853" s="90"/>
      <c r="J10853" s="90"/>
    </row>
    <row r="10854" spans="1:10" s="15" customFormat="1" ht="16.5" hidden="1" customHeight="1" outlineLevel="1" x14ac:dyDescent="0.25">
      <c r="A10854" s="18">
        <v>1523</v>
      </c>
      <c r="B10854" s="4" t="s">
        <v>44</v>
      </c>
      <c r="C10854" s="38" t="s">
        <v>5889</v>
      </c>
      <c r="D10854" s="18">
        <v>2022</v>
      </c>
      <c r="E10854" s="18" t="s">
        <v>0</v>
      </c>
      <c r="F10854" s="41">
        <v>1</v>
      </c>
      <c r="G10854" s="4">
        <v>10</v>
      </c>
      <c r="H10854" s="18">
        <v>43.155459999999998</v>
      </c>
      <c r="I10854" s="90"/>
      <c r="J10854" s="90"/>
    </row>
    <row r="10855" spans="1:10" s="15" customFormat="1" ht="16.5" hidden="1" customHeight="1" outlineLevel="1" x14ac:dyDescent="0.25">
      <c r="A10855" s="18">
        <v>1125</v>
      </c>
      <c r="B10855" s="4" t="s">
        <v>44</v>
      </c>
      <c r="C10855" s="38" t="s">
        <v>5890</v>
      </c>
      <c r="D10855" s="18">
        <v>2022</v>
      </c>
      <c r="E10855" s="18" t="s">
        <v>0</v>
      </c>
      <c r="F10855" s="41">
        <v>2</v>
      </c>
      <c r="G10855" s="4">
        <v>30</v>
      </c>
      <c r="H10855" s="18">
        <v>116.72546</v>
      </c>
      <c r="I10855" s="90"/>
      <c r="J10855" s="90"/>
    </row>
    <row r="10856" spans="1:10" s="15" customFormat="1" ht="16.5" hidden="1" customHeight="1" outlineLevel="1" x14ac:dyDescent="0.25">
      <c r="A10856" s="18">
        <v>1361</v>
      </c>
      <c r="B10856" s="4" t="s">
        <v>44</v>
      </c>
      <c r="C10856" s="38" t="s">
        <v>5891</v>
      </c>
      <c r="D10856" s="18">
        <v>2022</v>
      </c>
      <c r="E10856" s="18" t="s">
        <v>0</v>
      </c>
      <c r="F10856" s="41">
        <v>1</v>
      </c>
      <c r="G10856" s="4">
        <v>10</v>
      </c>
      <c r="H10856" s="18">
        <v>46.818600000000004</v>
      </c>
      <c r="I10856" s="90"/>
      <c r="J10856" s="90"/>
    </row>
    <row r="10857" spans="1:10" s="15" customFormat="1" ht="16.5" hidden="1" customHeight="1" outlineLevel="1" x14ac:dyDescent="0.25">
      <c r="A10857" s="18">
        <v>1247</v>
      </c>
      <c r="B10857" s="4" t="s">
        <v>44</v>
      </c>
      <c r="C10857" s="38" t="s">
        <v>5892</v>
      </c>
      <c r="D10857" s="18">
        <v>2022</v>
      </c>
      <c r="E10857" s="18" t="s">
        <v>0</v>
      </c>
      <c r="F10857" s="41">
        <v>1</v>
      </c>
      <c r="G10857" s="4">
        <v>15</v>
      </c>
      <c r="H10857" s="18">
        <v>48.378329999999998</v>
      </c>
      <c r="I10857" s="90"/>
      <c r="J10857" s="90"/>
    </row>
    <row r="10858" spans="1:10" s="15" customFormat="1" ht="16.5" hidden="1" customHeight="1" outlineLevel="1" x14ac:dyDescent="0.25">
      <c r="A10858" s="18">
        <v>1201</v>
      </c>
      <c r="B10858" s="4" t="s">
        <v>44</v>
      </c>
      <c r="C10858" s="38" t="s">
        <v>5893</v>
      </c>
      <c r="D10858" s="18">
        <v>2022</v>
      </c>
      <c r="E10858" s="18" t="s">
        <v>0</v>
      </c>
      <c r="F10858" s="41">
        <v>1</v>
      </c>
      <c r="G10858" s="4">
        <v>10</v>
      </c>
      <c r="H10858" s="18">
        <v>46.786639999999998</v>
      </c>
      <c r="I10858" s="90"/>
      <c r="J10858" s="90"/>
    </row>
    <row r="10859" spans="1:10" s="15" customFormat="1" ht="16.5" hidden="1" customHeight="1" outlineLevel="1" x14ac:dyDescent="0.25">
      <c r="A10859" s="18">
        <v>1168</v>
      </c>
      <c r="B10859" s="4" t="s">
        <v>44</v>
      </c>
      <c r="C10859" s="38" t="s">
        <v>5894</v>
      </c>
      <c r="D10859" s="18">
        <v>2022</v>
      </c>
      <c r="E10859" s="18" t="s">
        <v>0</v>
      </c>
      <c r="F10859" s="41">
        <v>1</v>
      </c>
      <c r="G10859" s="4">
        <v>10</v>
      </c>
      <c r="H10859" s="18">
        <v>47.54401</v>
      </c>
      <c r="I10859" s="90"/>
      <c r="J10859" s="90"/>
    </row>
    <row r="10860" spans="1:10" s="15" customFormat="1" ht="16.5" hidden="1" customHeight="1" outlineLevel="1" x14ac:dyDescent="0.25">
      <c r="A10860" s="18">
        <v>1538</v>
      </c>
      <c r="B10860" s="4" t="s">
        <v>44</v>
      </c>
      <c r="C10860" s="38" t="s">
        <v>5895</v>
      </c>
      <c r="D10860" s="18">
        <v>2022</v>
      </c>
      <c r="E10860" s="18" t="s">
        <v>0</v>
      </c>
      <c r="F10860" s="41">
        <v>1</v>
      </c>
      <c r="G10860" s="4">
        <v>10</v>
      </c>
      <c r="H10860" s="18">
        <v>43.350859999999997</v>
      </c>
      <c r="I10860" s="90"/>
      <c r="J10860" s="90"/>
    </row>
    <row r="10861" spans="1:10" s="15" customFormat="1" ht="16.5" hidden="1" customHeight="1" outlineLevel="1" x14ac:dyDescent="0.25">
      <c r="A10861" s="18">
        <v>1293</v>
      </c>
      <c r="B10861" s="4" t="s">
        <v>44</v>
      </c>
      <c r="C10861" s="38" t="s">
        <v>5896</v>
      </c>
      <c r="D10861" s="18">
        <v>2022</v>
      </c>
      <c r="E10861" s="18" t="s">
        <v>0</v>
      </c>
      <c r="F10861" s="41">
        <v>1</v>
      </c>
      <c r="G10861" s="4">
        <v>10</v>
      </c>
      <c r="H10861" s="18">
        <v>45.084960000000002</v>
      </c>
      <c r="I10861" s="90"/>
      <c r="J10861" s="90"/>
    </row>
    <row r="10862" spans="1:10" s="15" customFormat="1" ht="16.5" hidden="1" customHeight="1" outlineLevel="1" x14ac:dyDescent="0.25">
      <c r="A10862" s="18">
        <v>1243</v>
      </c>
      <c r="B10862" s="4" t="s">
        <v>44</v>
      </c>
      <c r="C10862" s="38" t="s">
        <v>5897</v>
      </c>
      <c r="D10862" s="18">
        <v>2022</v>
      </c>
      <c r="E10862" s="18" t="s">
        <v>0</v>
      </c>
      <c r="F10862" s="41">
        <v>1</v>
      </c>
      <c r="G10862" s="4">
        <v>10</v>
      </c>
      <c r="H10862" s="18">
        <v>48.893569999999997</v>
      </c>
      <c r="I10862" s="90"/>
      <c r="J10862" s="90"/>
    </row>
    <row r="10863" spans="1:10" s="15" customFormat="1" ht="16.5" hidden="1" customHeight="1" outlineLevel="1" x14ac:dyDescent="0.25">
      <c r="A10863" s="18">
        <v>1426</v>
      </c>
      <c r="B10863" s="4" t="s">
        <v>44</v>
      </c>
      <c r="C10863" s="38" t="s">
        <v>5898</v>
      </c>
      <c r="D10863" s="18">
        <v>2022</v>
      </c>
      <c r="E10863" s="18" t="s">
        <v>0</v>
      </c>
      <c r="F10863" s="41">
        <v>1</v>
      </c>
      <c r="G10863" s="4">
        <v>15</v>
      </c>
      <c r="H10863" s="18">
        <v>39.483910000000002</v>
      </c>
      <c r="I10863" s="90"/>
      <c r="J10863" s="90"/>
    </row>
    <row r="10864" spans="1:10" s="15" customFormat="1" ht="16.5" hidden="1" customHeight="1" outlineLevel="1" x14ac:dyDescent="0.25">
      <c r="A10864" s="18">
        <v>1225</v>
      </c>
      <c r="B10864" s="4" t="s">
        <v>44</v>
      </c>
      <c r="C10864" s="38" t="s">
        <v>5899</v>
      </c>
      <c r="D10864" s="18">
        <v>2022</v>
      </c>
      <c r="E10864" s="18" t="s">
        <v>0</v>
      </c>
      <c r="F10864" s="41">
        <v>1</v>
      </c>
      <c r="G10864" s="4">
        <v>15</v>
      </c>
      <c r="H10864" s="18">
        <v>35.738939999999999</v>
      </c>
      <c r="I10864" s="90"/>
      <c r="J10864" s="90"/>
    </row>
    <row r="10865" spans="1:10" s="15" customFormat="1" ht="16.5" hidden="1" customHeight="1" outlineLevel="1" x14ac:dyDescent="0.25">
      <c r="A10865" s="18">
        <v>1250</v>
      </c>
      <c r="B10865" s="4" t="s">
        <v>44</v>
      </c>
      <c r="C10865" s="38" t="s">
        <v>5900</v>
      </c>
      <c r="D10865" s="18">
        <v>2022</v>
      </c>
      <c r="E10865" s="18" t="s">
        <v>0</v>
      </c>
      <c r="F10865" s="41">
        <v>1</v>
      </c>
      <c r="G10865" s="4">
        <v>15</v>
      </c>
      <c r="H10865" s="18">
        <v>38.710889999999999</v>
      </c>
      <c r="I10865" s="90"/>
      <c r="J10865" s="90"/>
    </row>
    <row r="10866" spans="1:10" s="15" customFormat="1" ht="16.5" hidden="1" customHeight="1" outlineLevel="1" x14ac:dyDescent="0.25">
      <c r="A10866" s="18">
        <v>1262</v>
      </c>
      <c r="B10866" s="4" t="s">
        <v>44</v>
      </c>
      <c r="C10866" s="38" t="s">
        <v>5901</v>
      </c>
      <c r="D10866" s="18">
        <v>2022</v>
      </c>
      <c r="E10866" s="18" t="s">
        <v>0</v>
      </c>
      <c r="F10866" s="41">
        <v>1</v>
      </c>
      <c r="G10866" s="4">
        <v>10</v>
      </c>
      <c r="H10866" s="18">
        <v>42.29289</v>
      </c>
      <c r="I10866" s="90"/>
      <c r="J10866" s="90"/>
    </row>
    <row r="10867" spans="1:10" s="15" customFormat="1" ht="16.5" hidden="1" customHeight="1" outlineLevel="1" x14ac:dyDescent="0.25">
      <c r="A10867" s="18">
        <v>1107</v>
      </c>
      <c r="B10867" s="4" t="s">
        <v>44</v>
      </c>
      <c r="C10867" s="38" t="s">
        <v>5902</v>
      </c>
      <c r="D10867" s="18">
        <v>2022</v>
      </c>
      <c r="E10867" s="18" t="s">
        <v>0</v>
      </c>
      <c r="F10867" s="41">
        <v>1</v>
      </c>
      <c r="G10867" s="4">
        <v>53.84</v>
      </c>
      <c r="H10867" s="18">
        <v>63.997860000000003</v>
      </c>
      <c r="I10867" s="90"/>
      <c r="J10867" s="90"/>
    </row>
    <row r="10868" spans="1:10" s="15" customFormat="1" ht="16.5" hidden="1" customHeight="1" outlineLevel="1" x14ac:dyDescent="0.25">
      <c r="A10868" s="18">
        <v>1332</v>
      </c>
      <c r="B10868" s="4" t="s">
        <v>44</v>
      </c>
      <c r="C10868" s="38" t="s">
        <v>5903</v>
      </c>
      <c r="D10868" s="18">
        <v>2022</v>
      </c>
      <c r="E10868" s="18" t="s">
        <v>0</v>
      </c>
      <c r="F10868" s="41">
        <v>1</v>
      </c>
      <c r="G10868" s="4">
        <v>15</v>
      </c>
      <c r="H10868" s="18">
        <v>44.73272</v>
      </c>
      <c r="I10868" s="90"/>
      <c r="J10868" s="90"/>
    </row>
    <row r="10869" spans="1:10" s="15" customFormat="1" ht="16.5" hidden="1" customHeight="1" outlineLevel="1" x14ac:dyDescent="0.25">
      <c r="A10869" s="18">
        <v>1299</v>
      </c>
      <c r="B10869" s="4" t="s">
        <v>44</v>
      </c>
      <c r="C10869" s="38" t="s">
        <v>5904</v>
      </c>
      <c r="D10869" s="18">
        <v>2022</v>
      </c>
      <c r="E10869" s="18" t="s">
        <v>0</v>
      </c>
      <c r="F10869" s="41">
        <v>1</v>
      </c>
      <c r="G10869" s="4">
        <v>10</v>
      </c>
      <c r="H10869" s="18">
        <v>26.997969999999999</v>
      </c>
      <c r="I10869" s="90"/>
      <c r="J10869" s="90"/>
    </row>
    <row r="10870" spans="1:10" s="15" customFormat="1" ht="16.5" hidden="1" customHeight="1" outlineLevel="1" x14ac:dyDescent="0.25">
      <c r="A10870" s="18">
        <v>1568</v>
      </c>
      <c r="B10870" s="4" t="s">
        <v>44</v>
      </c>
      <c r="C10870" s="38" t="s">
        <v>5905</v>
      </c>
      <c r="D10870" s="18">
        <v>2022</v>
      </c>
      <c r="E10870" s="18" t="s">
        <v>0</v>
      </c>
      <c r="F10870" s="41">
        <v>1</v>
      </c>
      <c r="G10870" s="4">
        <v>15</v>
      </c>
      <c r="H10870" s="18">
        <v>26.403600000000001</v>
      </c>
      <c r="I10870" s="90"/>
      <c r="J10870" s="90"/>
    </row>
    <row r="10871" spans="1:10" s="15" customFormat="1" ht="16.5" hidden="1" customHeight="1" outlineLevel="1" x14ac:dyDescent="0.25">
      <c r="A10871" s="18">
        <v>1102</v>
      </c>
      <c r="B10871" s="4" t="s">
        <v>44</v>
      </c>
      <c r="C10871" s="38" t="s">
        <v>5906</v>
      </c>
      <c r="D10871" s="18">
        <v>2022</v>
      </c>
      <c r="E10871" s="18" t="s">
        <v>0</v>
      </c>
      <c r="F10871" s="41">
        <v>1</v>
      </c>
      <c r="G10871" s="4">
        <v>15</v>
      </c>
      <c r="H10871" s="18">
        <v>41.390169999999998</v>
      </c>
      <c r="I10871" s="90"/>
      <c r="J10871" s="90"/>
    </row>
    <row r="10872" spans="1:10" s="15" customFormat="1" ht="16.5" hidden="1" customHeight="1" outlineLevel="1" x14ac:dyDescent="0.25">
      <c r="A10872" s="18">
        <v>1525</v>
      </c>
      <c r="B10872" s="4" t="s">
        <v>44</v>
      </c>
      <c r="C10872" s="38" t="s">
        <v>5907</v>
      </c>
      <c r="D10872" s="18">
        <v>2022</v>
      </c>
      <c r="E10872" s="18" t="s">
        <v>0</v>
      </c>
      <c r="F10872" s="41">
        <v>1</v>
      </c>
      <c r="G10872" s="4">
        <v>15</v>
      </c>
      <c r="H10872" s="18">
        <v>27.6084</v>
      </c>
      <c r="I10872" s="90"/>
      <c r="J10872" s="90"/>
    </row>
    <row r="10873" spans="1:10" s="15" customFormat="1" ht="16.5" hidden="1" customHeight="1" outlineLevel="1" x14ac:dyDescent="0.25">
      <c r="A10873" s="18">
        <v>1513</v>
      </c>
      <c r="B10873" s="4" t="s">
        <v>44</v>
      </c>
      <c r="C10873" s="38" t="s">
        <v>5908</v>
      </c>
      <c r="D10873" s="18">
        <v>2022</v>
      </c>
      <c r="E10873" s="18" t="s">
        <v>0</v>
      </c>
      <c r="F10873" s="41">
        <v>1</v>
      </c>
      <c r="G10873" s="4">
        <v>10</v>
      </c>
      <c r="H10873" s="18">
        <v>38.969439999999999</v>
      </c>
      <c r="I10873" s="90"/>
      <c r="J10873" s="90"/>
    </row>
    <row r="10874" spans="1:10" s="15" customFormat="1" ht="16.5" hidden="1" customHeight="1" outlineLevel="1" x14ac:dyDescent="0.25">
      <c r="A10874" s="18">
        <v>1481</v>
      </c>
      <c r="B10874" s="4" t="s">
        <v>44</v>
      </c>
      <c r="C10874" s="38" t="s">
        <v>5909</v>
      </c>
      <c r="D10874" s="18">
        <v>2022</v>
      </c>
      <c r="E10874" s="18" t="s">
        <v>0</v>
      </c>
      <c r="F10874" s="41">
        <v>1</v>
      </c>
      <c r="G10874" s="4">
        <v>15</v>
      </c>
      <c r="H10874" s="18">
        <v>45.531030000000001</v>
      </c>
      <c r="I10874" s="90"/>
      <c r="J10874" s="90"/>
    </row>
    <row r="10875" spans="1:10" s="15" customFormat="1" ht="16.5" hidden="1" customHeight="1" outlineLevel="1" x14ac:dyDescent="0.25">
      <c r="A10875" s="18">
        <v>1594</v>
      </c>
      <c r="B10875" s="4" t="s">
        <v>44</v>
      </c>
      <c r="C10875" s="38" t="s">
        <v>5910</v>
      </c>
      <c r="D10875" s="18">
        <v>2022</v>
      </c>
      <c r="E10875" s="18" t="s">
        <v>0</v>
      </c>
      <c r="F10875" s="41">
        <v>1</v>
      </c>
      <c r="G10875" s="4">
        <v>10</v>
      </c>
      <c r="H10875" s="18">
        <v>20.496880000000001</v>
      </c>
      <c r="I10875" s="90"/>
      <c r="J10875" s="90"/>
    </row>
    <row r="10876" spans="1:10" s="15" customFormat="1" ht="16.5" hidden="1" customHeight="1" outlineLevel="1" x14ac:dyDescent="0.25">
      <c r="A10876" s="18">
        <v>1595</v>
      </c>
      <c r="B10876" s="4" t="s">
        <v>44</v>
      </c>
      <c r="C10876" s="38" t="s">
        <v>5911</v>
      </c>
      <c r="D10876" s="18">
        <v>2022</v>
      </c>
      <c r="E10876" s="18" t="s">
        <v>0</v>
      </c>
      <c r="F10876" s="41">
        <v>1</v>
      </c>
      <c r="G10876" s="4">
        <v>15</v>
      </c>
      <c r="H10876" s="18">
        <v>20.496870000000001</v>
      </c>
      <c r="I10876" s="90"/>
      <c r="J10876" s="90"/>
    </row>
    <row r="10877" spans="1:10" s="15" customFormat="1" ht="16.5" hidden="1" customHeight="1" outlineLevel="1" x14ac:dyDescent="0.25">
      <c r="A10877" s="18">
        <v>1567</v>
      </c>
      <c r="B10877" s="4" t="s">
        <v>44</v>
      </c>
      <c r="C10877" s="38" t="s">
        <v>5912</v>
      </c>
      <c r="D10877" s="18">
        <v>2022</v>
      </c>
      <c r="E10877" s="18" t="s">
        <v>0</v>
      </c>
      <c r="F10877" s="41">
        <v>1</v>
      </c>
      <c r="G10877" s="4">
        <v>10</v>
      </c>
      <c r="H10877" s="18">
        <v>26.947420000000001</v>
      </c>
      <c r="I10877" s="90"/>
      <c r="J10877" s="90"/>
    </row>
    <row r="10878" spans="1:10" s="15" customFormat="1" ht="16.5" hidden="1" customHeight="1" outlineLevel="1" x14ac:dyDescent="0.25">
      <c r="A10878" s="18">
        <v>1555</v>
      </c>
      <c r="B10878" s="4" t="s">
        <v>44</v>
      </c>
      <c r="C10878" s="38" t="s">
        <v>5913</v>
      </c>
      <c r="D10878" s="18">
        <v>2022</v>
      </c>
      <c r="E10878" s="18" t="s">
        <v>0</v>
      </c>
      <c r="F10878" s="41">
        <v>1</v>
      </c>
      <c r="G10878" s="4">
        <v>10</v>
      </c>
      <c r="H10878" s="18">
        <v>27.47073</v>
      </c>
      <c r="I10878" s="90"/>
      <c r="J10878" s="90"/>
    </row>
    <row r="10879" spans="1:10" s="15" customFormat="1" ht="16.5" hidden="1" customHeight="1" outlineLevel="1" x14ac:dyDescent="0.25">
      <c r="A10879" s="18">
        <v>1549</v>
      </c>
      <c r="B10879" s="4" t="s">
        <v>44</v>
      </c>
      <c r="C10879" s="38" t="s">
        <v>5914</v>
      </c>
      <c r="D10879" s="18">
        <v>2022</v>
      </c>
      <c r="E10879" s="18" t="s">
        <v>0</v>
      </c>
      <c r="F10879" s="41">
        <v>1</v>
      </c>
      <c r="G10879" s="4">
        <v>10</v>
      </c>
      <c r="H10879" s="18">
        <v>27.648389999999999</v>
      </c>
      <c r="I10879" s="90"/>
      <c r="J10879" s="90"/>
    </row>
    <row r="10880" spans="1:10" s="15" customFormat="1" ht="16.5" hidden="1" customHeight="1" outlineLevel="1" x14ac:dyDescent="0.25">
      <c r="A10880" s="18">
        <v>1597</v>
      </c>
      <c r="B10880" s="4" t="s">
        <v>44</v>
      </c>
      <c r="C10880" s="38" t="s">
        <v>5915</v>
      </c>
      <c r="D10880" s="18">
        <v>2022</v>
      </c>
      <c r="E10880" s="18" t="s">
        <v>0</v>
      </c>
      <c r="F10880" s="41">
        <v>1</v>
      </c>
      <c r="G10880" s="4">
        <v>15</v>
      </c>
      <c r="H10880" s="18">
        <v>19.454840000000001</v>
      </c>
      <c r="I10880" s="90"/>
      <c r="J10880" s="90"/>
    </row>
    <row r="10881" spans="1:10" s="15" customFormat="1" ht="16.5" hidden="1" customHeight="1" outlineLevel="1" x14ac:dyDescent="0.25">
      <c r="A10881" s="18">
        <v>1472</v>
      </c>
      <c r="B10881" s="4" t="s">
        <v>44</v>
      </c>
      <c r="C10881" s="38" t="s">
        <v>5916</v>
      </c>
      <c r="D10881" s="18">
        <v>2022</v>
      </c>
      <c r="E10881" s="18" t="s">
        <v>0</v>
      </c>
      <c r="F10881" s="41">
        <v>1</v>
      </c>
      <c r="G10881" s="4">
        <v>11.74</v>
      </c>
      <c r="H10881" s="18">
        <v>43.993499999999997</v>
      </c>
      <c r="I10881" s="90"/>
      <c r="J10881" s="90"/>
    </row>
    <row r="10882" spans="1:10" s="15" customFormat="1" ht="16.5" hidden="1" customHeight="1" outlineLevel="1" x14ac:dyDescent="0.25">
      <c r="A10882" s="18">
        <v>1152</v>
      </c>
      <c r="B10882" s="4" t="s">
        <v>44</v>
      </c>
      <c r="C10882" s="38" t="s">
        <v>5917</v>
      </c>
      <c r="D10882" s="18">
        <v>2022</v>
      </c>
      <c r="E10882" s="18" t="s">
        <v>0</v>
      </c>
      <c r="F10882" s="41">
        <v>1</v>
      </c>
      <c r="G10882" s="4">
        <v>10</v>
      </c>
      <c r="H10882" s="18">
        <v>36.728580000000001</v>
      </c>
      <c r="I10882" s="90"/>
      <c r="J10882" s="90"/>
    </row>
    <row r="10883" spans="1:10" s="15" customFormat="1" ht="16.5" hidden="1" customHeight="1" outlineLevel="1" x14ac:dyDescent="0.25">
      <c r="A10883" s="18">
        <v>1517</v>
      </c>
      <c r="B10883" s="4" t="s">
        <v>44</v>
      </c>
      <c r="C10883" s="38" t="s">
        <v>5918</v>
      </c>
      <c r="D10883" s="18">
        <v>2022</v>
      </c>
      <c r="E10883" s="18" t="s">
        <v>0</v>
      </c>
      <c r="F10883" s="41">
        <v>1</v>
      </c>
      <c r="G10883" s="4">
        <v>15</v>
      </c>
      <c r="H10883" s="18">
        <v>28.380590000000002</v>
      </c>
      <c r="I10883" s="90"/>
      <c r="J10883" s="90"/>
    </row>
    <row r="10884" spans="1:10" s="15" customFormat="1" ht="16.5" hidden="1" customHeight="1" outlineLevel="1" x14ac:dyDescent="0.25">
      <c r="A10884" s="18">
        <v>1346</v>
      </c>
      <c r="B10884" s="4" t="s">
        <v>44</v>
      </c>
      <c r="C10884" s="38" t="s">
        <v>5919</v>
      </c>
      <c r="D10884" s="18">
        <v>2022</v>
      </c>
      <c r="E10884" s="18" t="s">
        <v>0</v>
      </c>
      <c r="F10884" s="41">
        <v>1</v>
      </c>
      <c r="G10884" s="4">
        <v>11.5</v>
      </c>
      <c r="H10884" s="18">
        <v>29.349150000000002</v>
      </c>
      <c r="I10884" s="90"/>
      <c r="J10884" s="90"/>
    </row>
    <row r="10885" spans="1:10" s="15" customFormat="1" ht="16.5" hidden="1" customHeight="1" outlineLevel="1" x14ac:dyDescent="0.25">
      <c r="A10885" s="18">
        <v>1059</v>
      </c>
      <c r="B10885" s="4" t="s">
        <v>44</v>
      </c>
      <c r="C10885" s="38" t="s">
        <v>5920</v>
      </c>
      <c r="D10885" s="18">
        <v>2022</v>
      </c>
      <c r="E10885" s="18" t="s">
        <v>0</v>
      </c>
      <c r="F10885" s="41">
        <v>1</v>
      </c>
      <c r="G10885" s="4">
        <v>15</v>
      </c>
      <c r="H10885" s="18">
        <v>72.895859999999999</v>
      </c>
      <c r="I10885" s="90"/>
      <c r="J10885" s="90"/>
    </row>
    <row r="10886" spans="1:10" s="15" customFormat="1" ht="16.5" hidden="1" customHeight="1" outlineLevel="1" x14ac:dyDescent="0.25">
      <c r="A10886" s="18">
        <v>1058</v>
      </c>
      <c r="B10886" s="4" t="s">
        <v>44</v>
      </c>
      <c r="C10886" s="38" t="s">
        <v>5921</v>
      </c>
      <c r="D10886" s="18">
        <v>2022</v>
      </c>
      <c r="E10886" s="18" t="s">
        <v>0</v>
      </c>
      <c r="F10886" s="41">
        <v>1</v>
      </c>
      <c r="G10886" s="4">
        <v>15</v>
      </c>
      <c r="H10886" s="18">
        <v>54.167459999999998</v>
      </c>
      <c r="I10886" s="90"/>
      <c r="J10886" s="90"/>
    </row>
    <row r="10887" spans="1:10" s="15" customFormat="1" ht="16.5" hidden="1" customHeight="1" outlineLevel="1" x14ac:dyDescent="0.25">
      <c r="A10887" s="18">
        <v>1064</v>
      </c>
      <c r="B10887" s="4" t="s">
        <v>44</v>
      </c>
      <c r="C10887" s="38" t="s">
        <v>5922</v>
      </c>
      <c r="D10887" s="18">
        <v>2022</v>
      </c>
      <c r="E10887" s="18" t="s">
        <v>0</v>
      </c>
      <c r="F10887" s="41">
        <v>1</v>
      </c>
      <c r="G10887" s="4">
        <v>15</v>
      </c>
      <c r="H10887" s="18">
        <v>64.419569999999993</v>
      </c>
      <c r="I10887" s="90"/>
      <c r="J10887" s="90"/>
    </row>
    <row r="10888" spans="1:10" s="15" customFormat="1" ht="16.5" hidden="1" customHeight="1" outlineLevel="1" x14ac:dyDescent="0.25">
      <c r="A10888" s="18">
        <v>1103</v>
      </c>
      <c r="B10888" s="4" t="s">
        <v>44</v>
      </c>
      <c r="C10888" s="38" t="s">
        <v>5923</v>
      </c>
      <c r="D10888" s="18">
        <v>2022</v>
      </c>
      <c r="E10888" s="18" t="s">
        <v>0</v>
      </c>
      <c r="F10888" s="41">
        <v>1</v>
      </c>
      <c r="G10888" s="4">
        <v>15</v>
      </c>
      <c r="H10888" s="18">
        <v>82.14152</v>
      </c>
      <c r="I10888" s="90"/>
      <c r="J10888" s="90"/>
    </row>
    <row r="10889" spans="1:10" s="15" customFormat="1" ht="16.5" hidden="1" customHeight="1" outlineLevel="1" x14ac:dyDescent="0.25">
      <c r="A10889" s="18">
        <v>1072</v>
      </c>
      <c r="B10889" s="4" t="s">
        <v>44</v>
      </c>
      <c r="C10889" s="38" t="s">
        <v>5924</v>
      </c>
      <c r="D10889" s="18">
        <v>2022</v>
      </c>
      <c r="E10889" s="18" t="s">
        <v>0</v>
      </c>
      <c r="F10889" s="41">
        <v>1</v>
      </c>
      <c r="G10889" s="4">
        <v>15</v>
      </c>
      <c r="H10889" s="18">
        <v>56.087829999999997</v>
      </c>
      <c r="I10889" s="90"/>
      <c r="J10889" s="90"/>
    </row>
    <row r="10890" spans="1:10" s="15" customFormat="1" ht="16.5" hidden="1" customHeight="1" outlineLevel="1" x14ac:dyDescent="0.25">
      <c r="A10890" s="18">
        <v>1176</v>
      </c>
      <c r="B10890" s="4" t="s">
        <v>44</v>
      </c>
      <c r="C10890" s="38" t="s">
        <v>5925</v>
      </c>
      <c r="D10890" s="18">
        <v>2022</v>
      </c>
      <c r="E10890" s="18" t="s">
        <v>0</v>
      </c>
      <c r="F10890" s="41">
        <v>1</v>
      </c>
      <c r="G10890" s="4">
        <v>15</v>
      </c>
      <c r="H10890" s="18">
        <v>56.383980000000001</v>
      </c>
      <c r="I10890" s="90"/>
      <c r="J10890" s="90"/>
    </row>
    <row r="10891" spans="1:10" s="15" customFormat="1" ht="16.5" hidden="1" customHeight="1" outlineLevel="1" x14ac:dyDescent="0.25">
      <c r="A10891" s="18">
        <v>1179</v>
      </c>
      <c r="B10891" s="4" t="s">
        <v>44</v>
      </c>
      <c r="C10891" s="38" t="s">
        <v>5926</v>
      </c>
      <c r="D10891" s="18">
        <v>2022</v>
      </c>
      <c r="E10891" s="18" t="s">
        <v>0</v>
      </c>
      <c r="F10891" s="41">
        <v>1</v>
      </c>
      <c r="G10891" s="4">
        <v>15</v>
      </c>
      <c r="H10891" s="18">
        <v>40.05283</v>
      </c>
      <c r="I10891" s="90"/>
      <c r="J10891" s="90"/>
    </row>
    <row r="10892" spans="1:10" s="15" customFormat="1" ht="16.5" hidden="1" customHeight="1" outlineLevel="1" x14ac:dyDescent="0.25">
      <c r="A10892" s="18">
        <v>1215</v>
      </c>
      <c r="B10892" s="4" t="s">
        <v>44</v>
      </c>
      <c r="C10892" s="38" t="s">
        <v>5927</v>
      </c>
      <c r="D10892" s="18">
        <v>2022</v>
      </c>
      <c r="E10892" s="18" t="s">
        <v>0</v>
      </c>
      <c r="F10892" s="41">
        <v>1</v>
      </c>
      <c r="G10892" s="4">
        <v>13</v>
      </c>
      <c r="H10892" s="18">
        <v>34.396630000000002</v>
      </c>
      <c r="I10892" s="90"/>
      <c r="J10892" s="90"/>
    </row>
    <row r="10893" spans="1:10" s="15" customFormat="1" ht="16.5" hidden="1" customHeight="1" outlineLevel="1" x14ac:dyDescent="0.25">
      <c r="A10893" s="18">
        <v>1259</v>
      </c>
      <c r="B10893" s="4" t="s">
        <v>44</v>
      </c>
      <c r="C10893" s="38" t="s">
        <v>5928</v>
      </c>
      <c r="D10893" s="18">
        <v>2022</v>
      </c>
      <c r="E10893" s="18" t="s">
        <v>0</v>
      </c>
      <c r="F10893" s="41">
        <v>1</v>
      </c>
      <c r="G10893" s="4">
        <v>15</v>
      </c>
      <c r="H10893" s="18">
        <v>37.455849999999998</v>
      </c>
      <c r="I10893" s="90"/>
      <c r="J10893" s="90"/>
    </row>
    <row r="10894" spans="1:10" s="15" customFormat="1" ht="16.5" hidden="1" customHeight="1" outlineLevel="1" x14ac:dyDescent="0.25">
      <c r="A10894" s="18">
        <v>1534</v>
      </c>
      <c r="B10894" s="4" t="s">
        <v>44</v>
      </c>
      <c r="C10894" s="38" t="s">
        <v>5929</v>
      </c>
      <c r="D10894" s="18">
        <v>2022</v>
      </c>
      <c r="E10894" s="18" t="s">
        <v>0</v>
      </c>
      <c r="F10894" s="41">
        <v>1</v>
      </c>
      <c r="G10894" s="4">
        <v>10</v>
      </c>
      <c r="H10894" s="18">
        <v>45.203119999999998</v>
      </c>
      <c r="I10894" s="90"/>
      <c r="J10894" s="90"/>
    </row>
    <row r="10895" spans="1:10" s="15" customFormat="1" ht="16.5" hidden="1" customHeight="1" outlineLevel="1" x14ac:dyDescent="0.25">
      <c r="A10895" s="18">
        <v>1535</v>
      </c>
      <c r="B10895" s="4" t="s">
        <v>44</v>
      </c>
      <c r="C10895" s="38" t="s">
        <v>5930</v>
      </c>
      <c r="D10895" s="18">
        <v>2022</v>
      </c>
      <c r="E10895" s="18" t="s">
        <v>0</v>
      </c>
      <c r="F10895" s="41">
        <v>1</v>
      </c>
      <c r="G10895" s="4">
        <v>15</v>
      </c>
      <c r="H10895" s="18">
        <v>43.985790000000001</v>
      </c>
      <c r="I10895" s="90"/>
      <c r="J10895" s="90"/>
    </row>
    <row r="10896" spans="1:10" s="15" customFormat="1" ht="16.5" hidden="1" customHeight="1" outlineLevel="1" x14ac:dyDescent="0.25">
      <c r="A10896" s="18">
        <v>1404</v>
      </c>
      <c r="B10896" s="4" t="s">
        <v>44</v>
      </c>
      <c r="C10896" s="38" t="s">
        <v>5931</v>
      </c>
      <c r="D10896" s="18">
        <v>2022</v>
      </c>
      <c r="E10896" s="18" t="s">
        <v>0</v>
      </c>
      <c r="F10896" s="41">
        <v>1</v>
      </c>
      <c r="G10896" s="4">
        <v>10</v>
      </c>
      <c r="H10896" s="18">
        <v>47.006889999999999</v>
      </c>
      <c r="I10896" s="90"/>
      <c r="J10896" s="90"/>
    </row>
    <row r="10897" spans="1:10" s="15" customFormat="1" ht="16.5" hidden="1" customHeight="1" outlineLevel="1" x14ac:dyDescent="0.25">
      <c r="A10897" s="18">
        <v>1400</v>
      </c>
      <c r="B10897" s="4" t="s">
        <v>44</v>
      </c>
      <c r="C10897" s="38" t="s">
        <v>5932</v>
      </c>
      <c r="D10897" s="18">
        <v>2022</v>
      </c>
      <c r="E10897" s="18" t="s">
        <v>0</v>
      </c>
      <c r="F10897" s="41">
        <v>1</v>
      </c>
      <c r="G10897" s="4">
        <v>13.87</v>
      </c>
      <c r="H10897" s="18">
        <v>41.962510000000002</v>
      </c>
      <c r="I10897" s="90"/>
      <c r="J10897" s="90"/>
    </row>
    <row r="10898" spans="1:10" s="15" customFormat="1" ht="16.5" hidden="1" customHeight="1" outlineLevel="1" x14ac:dyDescent="0.25">
      <c r="A10898" s="18">
        <v>1312</v>
      </c>
      <c r="B10898" s="4" t="s">
        <v>44</v>
      </c>
      <c r="C10898" s="38" t="s">
        <v>5933</v>
      </c>
      <c r="D10898" s="18">
        <v>2022</v>
      </c>
      <c r="E10898" s="18" t="s">
        <v>0</v>
      </c>
      <c r="F10898" s="41">
        <v>1</v>
      </c>
      <c r="G10898" s="4">
        <v>10</v>
      </c>
      <c r="H10898" s="18">
        <v>39.046149999999997</v>
      </c>
      <c r="I10898" s="90"/>
      <c r="J10898" s="90"/>
    </row>
    <row r="10899" spans="1:10" s="15" customFormat="1" ht="16.5" hidden="1" customHeight="1" outlineLevel="1" x14ac:dyDescent="0.25">
      <c r="A10899" s="18">
        <v>1203</v>
      </c>
      <c r="B10899" s="4" t="s">
        <v>44</v>
      </c>
      <c r="C10899" s="38" t="s">
        <v>5934</v>
      </c>
      <c r="D10899" s="18">
        <v>2022</v>
      </c>
      <c r="E10899" s="18" t="s">
        <v>0</v>
      </c>
      <c r="F10899" s="41">
        <v>1</v>
      </c>
      <c r="G10899" s="4">
        <v>15</v>
      </c>
      <c r="H10899" s="18">
        <v>54.768389999999997</v>
      </c>
      <c r="I10899" s="90"/>
      <c r="J10899" s="90"/>
    </row>
    <row r="10900" spans="1:10" s="15" customFormat="1" ht="16.5" hidden="1" customHeight="1" outlineLevel="1" x14ac:dyDescent="0.25">
      <c r="A10900" s="18">
        <v>1169</v>
      </c>
      <c r="B10900" s="4" t="s">
        <v>44</v>
      </c>
      <c r="C10900" s="38" t="s">
        <v>5935</v>
      </c>
      <c r="D10900" s="18">
        <v>2022</v>
      </c>
      <c r="E10900" s="18" t="s">
        <v>0</v>
      </c>
      <c r="F10900" s="41">
        <v>1</v>
      </c>
      <c r="G10900" s="4">
        <v>10</v>
      </c>
      <c r="H10900" s="18">
        <v>52.673810000000003</v>
      </c>
      <c r="I10900" s="90"/>
      <c r="J10900" s="90"/>
    </row>
    <row r="10901" spans="1:10" s="15" customFormat="1" ht="16.5" hidden="1" customHeight="1" outlineLevel="1" x14ac:dyDescent="0.25">
      <c r="A10901" s="18">
        <v>1126</v>
      </c>
      <c r="B10901" s="4" t="s">
        <v>44</v>
      </c>
      <c r="C10901" s="38" t="s">
        <v>5936</v>
      </c>
      <c r="D10901" s="18">
        <v>2022</v>
      </c>
      <c r="E10901" s="18" t="s">
        <v>0</v>
      </c>
      <c r="F10901" s="41">
        <v>1</v>
      </c>
      <c r="G10901" s="4">
        <v>10</v>
      </c>
      <c r="H10901" s="18">
        <v>60.327979999999997</v>
      </c>
      <c r="I10901" s="90"/>
      <c r="J10901" s="90"/>
    </row>
    <row r="10902" spans="1:10" s="15" customFormat="1" ht="16.5" hidden="1" customHeight="1" outlineLevel="1" x14ac:dyDescent="0.25">
      <c r="A10902" s="18">
        <v>1537</v>
      </c>
      <c r="B10902" s="4" t="s">
        <v>44</v>
      </c>
      <c r="C10902" s="38" t="s">
        <v>5937</v>
      </c>
      <c r="D10902" s="18">
        <v>2022</v>
      </c>
      <c r="E10902" s="18" t="s">
        <v>0</v>
      </c>
      <c r="F10902" s="41">
        <v>1</v>
      </c>
      <c r="G10902" s="4">
        <v>10</v>
      </c>
      <c r="H10902" s="18">
        <v>43.162660000000002</v>
      </c>
      <c r="I10902" s="90"/>
      <c r="J10902" s="90"/>
    </row>
    <row r="10903" spans="1:10" s="15" customFormat="1" ht="16.5" hidden="1" customHeight="1" outlineLevel="1" x14ac:dyDescent="0.25">
      <c r="A10903" s="18">
        <v>1084</v>
      </c>
      <c r="B10903" s="4" t="s">
        <v>44</v>
      </c>
      <c r="C10903" s="38" t="s">
        <v>5938</v>
      </c>
      <c r="D10903" s="18">
        <v>2022</v>
      </c>
      <c r="E10903" s="18" t="s">
        <v>0</v>
      </c>
      <c r="F10903" s="41">
        <v>1</v>
      </c>
      <c r="G10903" s="4">
        <v>10</v>
      </c>
      <c r="H10903" s="18">
        <v>51.739199999999997</v>
      </c>
      <c r="I10903" s="90"/>
      <c r="J10903" s="90"/>
    </row>
    <row r="10904" spans="1:10" s="15" customFormat="1" ht="16.5" hidden="1" customHeight="1" outlineLevel="1" x14ac:dyDescent="0.25">
      <c r="A10904" s="18">
        <v>1204</v>
      </c>
      <c r="B10904" s="4" t="s">
        <v>44</v>
      </c>
      <c r="C10904" s="38" t="s">
        <v>5939</v>
      </c>
      <c r="D10904" s="18">
        <v>2022</v>
      </c>
      <c r="E10904" s="18" t="s">
        <v>0</v>
      </c>
      <c r="F10904" s="41">
        <v>1</v>
      </c>
      <c r="G10904" s="4">
        <v>15</v>
      </c>
      <c r="H10904" s="18">
        <v>54.881410000000002</v>
      </c>
      <c r="I10904" s="90"/>
      <c r="J10904" s="90"/>
    </row>
    <row r="10905" spans="1:10" s="15" customFormat="1" ht="16.5" hidden="1" customHeight="1" outlineLevel="1" x14ac:dyDescent="0.25">
      <c r="A10905" s="18">
        <v>1621</v>
      </c>
      <c r="B10905" s="4" t="s">
        <v>44</v>
      </c>
      <c r="C10905" s="38" t="s">
        <v>5940</v>
      </c>
      <c r="D10905" s="18">
        <v>2022</v>
      </c>
      <c r="E10905" s="18" t="s">
        <v>0</v>
      </c>
      <c r="F10905" s="41">
        <v>1</v>
      </c>
      <c r="G10905" s="4">
        <v>15</v>
      </c>
      <c r="H10905" s="18">
        <v>19.513359999999999</v>
      </c>
      <c r="I10905" s="90"/>
      <c r="J10905" s="90"/>
    </row>
    <row r="10906" spans="1:10" s="15" customFormat="1" ht="16.5" hidden="1" customHeight="1" outlineLevel="1" x14ac:dyDescent="0.25">
      <c r="A10906" s="18">
        <v>1627</v>
      </c>
      <c r="B10906" s="4" t="s">
        <v>44</v>
      </c>
      <c r="C10906" s="38" t="s">
        <v>5941</v>
      </c>
      <c r="D10906" s="18">
        <v>2022</v>
      </c>
      <c r="E10906" s="18" t="s">
        <v>0</v>
      </c>
      <c r="F10906" s="41">
        <v>1</v>
      </c>
      <c r="G10906" s="4">
        <v>40</v>
      </c>
      <c r="H10906" s="18">
        <v>20.464320000000001</v>
      </c>
      <c r="I10906" s="90"/>
      <c r="J10906" s="90"/>
    </row>
    <row r="10907" spans="1:10" s="15" customFormat="1" ht="16.5" hidden="1" customHeight="1" outlineLevel="1" x14ac:dyDescent="0.25">
      <c r="A10907" s="18">
        <v>1445</v>
      </c>
      <c r="B10907" s="4" t="s">
        <v>44</v>
      </c>
      <c r="C10907" s="38" t="s">
        <v>5942</v>
      </c>
      <c r="D10907" s="18">
        <v>2022</v>
      </c>
      <c r="E10907" s="18" t="s">
        <v>0</v>
      </c>
      <c r="F10907" s="41">
        <v>1</v>
      </c>
      <c r="G10907" s="4">
        <v>10</v>
      </c>
      <c r="H10907" s="18">
        <v>36.522120000000001</v>
      </c>
      <c r="I10907" s="90"/>
      <c r="J10907" s="90"/>
    </row>
    <row r="10908" spans="1:10" s="15" customFormat="1" ht="16.5" hidden="1" customHeight="1" outlineLevel="1" x14ac:dyDescent="0.25">
      <c r="A10908" s="18">
        <v>1438</v>
      </c>
      <c r="B10908" s="4" t="s">
        <v>44</v>
      </c>
      <c r="C10908" s="38" t="s">
        <v>5943</v>
      </c>
      <c r="D10908" s="18">
        <v>2022</v>
      </c>
      <c r="E10908" s="18" t="s">
        <v>0</v>
      </c>
      <c r="F10908" s="41">
        <v>1</v>
      </c>
      <c r="G10908" s="4">
        <v>15</v>
      </c>
      <c r="H10908" s="18">
        <v>45.898330000000001</v>
      </c>
      <c r="I10908" s="90"/>
      <c r="J10908" s="90"/>
    </row>
    <row r="10909" spans="1:10" s="15" customFormat="1" ht="16.5" hidden="1" customHeight="1" outlineLevel="1" x14ac:dyDescent="0.25">
      <c r="A10909" s="18">
        <v>1427</v>
      </c>
      <c r="B10909" s="4" t="s">
        <v>44</v>
      </c>
      <c r="C10909" s="38" t="s">
        <v>5944</v>
      </c>
      <c r="D10909" s="18">
        <v>2022</v>
      </c>
      <c r="E10909" s="18" t="s">
        <v>0</v>
      </c>
      <c r="F10909" s="41">
        <v>1</v>
      </c>
      <c r="G10909" s="4">
        <v>15</v>
      </c>
      <c r="H10909" s="18">
        <v>34.098860000000002</v>
      </c>
      <c r="I10909" s="90"/>
      <c r="J10909" s="90"/>
    </row>
    <row r="10910" spans="1:10" s="15" customFormat="1" ht="16.5" hidden="1" customHeight="1" outlineLevel="1" x14ac:dyDescent="0.25">
      <c r="A10910" s="18">
        <v>1394</v>
      </c>
      <c r="B10910" s="4" t="s">
        <v>44</v>
      </c>
      <c r="C10910" s="38" t="s">
        <v>5945</v>
      </c>
      <c r="D10910" s="18">
        <v>2022</v>
      </c>
      <c r="E10910" s="18" t="s">
        <v>0</v>
      </c>
      <c r="F10910" s="41">
        <v>1</v>
      </c>
      <c r="G10910" s="4">
        <v>10</v>
      </c>
      <c r="H10910" s="18">
        <v>33.057929999999999</v>
      </c>
      <c r="I10910" s="90"/>
      <c r="J10910" s="90"/>
    </row>
    <row r="10911" spans="1:10" s="15" customFormat="1" ht="16.5" hidden="1" customHeight="1" outlineLevel="1" x14ac:dyDescent="0.25">
      <c r="A10911" s="18">
        <v>1081</v>
      </c>
      <c r="B10911" s="4" t="s">
        <v>44</v>
      </c>
      <c r="C10911" s="38" t="s">
        <v>5946</v>
      </c>
      <c r="D10911" s="18">
        <v>2022</v>
      </c>
      <c r="E10911" s="18" t="s">
        <v>0</v>
      </c>
      <c r="F10911" s="41">
        <v>1</v>
      </c>
      <c r="G10911" s="4">
        <v>15</v>
      </c>
      <c r="H10911" s="18">
        <v>43.036850000000001</v>
      </c>
      <c r="I10911" s="90"/>
      <c r="J10911" s="90"/>
    </row>
    <row r="10912" spans="1:10" s="15" customFormat="1" ht="16.5" hidden="1" customHeight="1" outlineLevel="1" x14ac:dyDescent="0.25">
      <c r="A10912" s="18">
        <v>1111</v>
      </c>
      <c r="B10912" s="4" t="s">
        <v>44</v>
      </c>
      <c r="C10912" s="38" t="s">
        <v>5947</v>
      </c>
      <c r="D10912" s="18">
        <v>2022</v>
      </c>
      <c r="E10912" s="18" t="s">
        <v>0</v>
      </c>
      <c r="F10912" s="41">
        <v>1</v>
      </c>
      <c r="G10912" s="4">
        <v>7.5</v>
      </c>
      <c r="H10912" s="18">
        <v>47.949930000000002</v>
      </c>
      <c r="I10912" s="90"/>
      <c r="J10912" s="90"/>
    </row>
    <row r="10913" spans="1:10" s="15" customFormat="1" ht="16.5" hidden="1" customHeight="1" outlineLevel="1" x14ac:dyDescent="0.25">
      <c r="A10913" s="18">
        <v>1118</v>
      </c>
      <c r="B10913" s="4" t="s">
        <v>44</v>
      </c>
      <c r="C10913" s="38" t="s">
        <v>5948</v>
      </c>
      <c r="D10913" s="18">
        <v>2022</v>
      </c>
      <c r="E10913" s="18" t="s">
        <v>0</v>
      </c>
      <c r="F10913" s="41">
        <v>1</v>
      </c>
      <c r="G10913" s="4">
        <v>5</v>
      </c>
      <c r="H10913" s="18">
        <v>63.230629999999998</v>
      </c>
      <c r="I10913" s="90"/>
      <c r="J10913" s="90"/>
    </row>
    <row r="10914" spans="1:10" s="15" customFormat="1" ht="16.5" hidden="1" customHeight="1" outlineLevel="1" x14ac:dyDescent="0.25">
      <c r="A10914" s="18">
        <v>1391</v>
      </c>
      <c r="B10914" s="4" t="s">
        <v>44</v>
      </c>
      <c r="C10914" s="38" t="s">
        <v>5949</v>
      </c>
      <c r="D10914" s="18">
        <v>2022</v>
      </c>
      <c r="E10914" s="18" t="s">
        <v>0</v>
      </c>
      <c r="F10914" s="41">
        <v>1</v>
      </c>
      <c r="G10914" s="4">
        <v>10</v>
      </c>
      <c r="H10914" s="18">
        <v>23.755220000000001</v>
      </c>
      <c r="I10914" s="90"/>
      <c r="J10914" s="90"/>
    </row>
    <row r="10915" spans="1:10" s="15" customFormat="1" ht="16.5" hidden="1" customHeight="1" outlineLevel="1" x14ac:dyDescent="0.25">
      <c r="A10915" s="18">
        <v>1460</v>
      </c>
      <c r="B10915" s="4" t="s">
        <v>44</v>
      </c>
      <c r="C10915" s="38" t="s">
        <v>5950</v>
      </c>
      <c r="D10915" s="18">
        <v>2022</v>
      </c>
      <c r="E10915" s="18" t="s">
        <v>0</v>
      </c>
      <c r="F10915" s="41">
        <v>1</v>
      </c>
      <c r="G10915" s="4">
        <v>10</v>
      </c>
      <c r="H10915" s="18">
        <v>23.460129999999999</v>
      </c>
      <c r="I10915" s="90"/>
      <c r="J10915" s="90"/>
    </row>
    <row r="10916" spans="1:10" s="15" customFormat="1" ht="16.5" hidden="1" customHeight="1" outlineLevel="1" x14ac:dyDescent="0.25">
      <c r="A10916" s="18">
        <v>1531</v>
      </c>
      <c r="B10916" s="4" t="s">
        <v>44</v>
      </c>
      <c r="C10916" s="38" t="s">
        <v>5951</v>
      </c>
      <c r="D10916" s="18">
        <v>2022</v>
      </c>
      <c r="E10916" s="18" t="s">
        <v>0</v>
      </c>
      <c r="F10916" s="41">
        <v>1</v>
      </c>
      <c r="G10916" s="4">
        <v>10</v>
      </c>
      <c r="H10916" s="18">
        <v>23.870629999999998</v>
      </c>
      <c r="I10916" s="90"/>
      <c r="J10916" s="90"/>
    </row>
    <row r="10917" spans="1:10" s="15" customFormat="1" ht="16.5" hidden="1" customHeight="1" outlineLevel="1" x14ac:dyDescent="0.25">
      <c r="A10917" s="18">
        <v>1532</v>
      </c>
      <c r="B10917" s="4" t="s">
        <v>44</v>
      </c>
      <c r="C10917" s="38" t="s">
        <v>5952</v>
      </c>
      <c r="D10917" s="18">
        <v>2022</v>
      </c>
      <c r="E10917" s="18" t="s">
        <v>0</v>
      </c>
      <c r="F10917" s="41">
        <v>1</v>
      </c>
      <c r="G10917" s="4">
        <v>10</v>
      </c>
      <c r="H10917" s="18">
        <v>23.860959999999999</v>
      </c>
      <c r="I10917" s="90"/>
      <c r="J10917" s="90"/>
    </row>
    <row r="10918" spans="1:10" s="15" customFormat="1" ht="16.5" hidden="1" customHeight="1" outlineLevel="1" x14ac:dyDescent="0.25">
      <c r="A10918" s="18">
        <v>1251</v>
      </c>
      <c r="B10918" s="4" t="s">
        <v>44</v>
      </c>
      <c r="C10918" s="38" t="s">
        <v>5953</v>
      </c>
      <c r="D10918" s="18">
        <v>2022</v>
      </c>
      <c r="E10918" s="18" t="s">
        <v>0</v>
      </c>
      <c r="F10918" s="41">
        <v>1</v>
      </c>
      <c r="G10918" s="4">
        <v>15</v>
      </c>
      <c r="H10918" s="18">
        <v>24.039619999999999</v>
      </c>
      <c r="I10918" s="90"/>
      <c r="J10918" s="90"/>
    </row>
    <row r="10919" spans="1:10" s="15" customFormat="1" ht="16.5" hidden="1" customHeight="1" outlineLevel="1" x14ac:dyDescent="0.25">
      <c r="A10919" s="18">
        <v>1260</v>
      </c>
      <c r="B10919" s="4" t="s">
        <v>44</v>
      </c>
      <c r="C10919" s="38" t="s">
        <v>5954</v>
      </c>
      <c r="D10919" s="18">
        <v>2022</v>
      </c>
      <c r="E10919" s="18" t="s">
        <v>0</v>
      </c>
      <c r="F10919" s="41">
        <v>1</v>
      </c>
      <c r="G10919" s="4">
        <v>10</v>
      </c>
      <c r="H10919" s="18">
        <v>23.93337</v>
      </c>
      <c r="I10919" s="90"/>
      <c r="J10919" s="90"/>
    </row>
    <row r="10920" spans="1:10" s="15" customFormat="1" ht="16.5" hidden="1" customHeight="1" outlineLevel="1" x14ac:dyDescent="0.25">
      <c r="A10920" s="18">
        <v>1217</v>
      </c>
      <c r="B10920" s="4" t="s">
        <v>44</v>
      </c>
      <c r="C10920" s="38" t="s">
        <v>5955</v>
      </c>
      <c r="D10920" s="18">
        <v>2022</v>
      </c>
      <c r="E10920" s="18" t="s">
        <v>0</v>
      </c>
      <c r="F10920" s="41">
        <v>1</v>
      </c>
      <c r="G10920" s="4">
        <v>10</v>
      </c>
      <c r="H10920" s="18">
        <v>23.86253</v>
      </c>
      <c r="I10920" s="90"/>
      <c r="J10920" s="90"/>
    </row>
    <row r="10921" spans="1:10" s="15" customFormat="1" ht="16.5" hidden="1" customHeight="1" outlineLevel="1" x14ac:dyDescent="0.25">
      <c r="A10921" s="18">
        <v>1117</v>
      </c>
      <c r="B10921" s="4" t="s">
        <v>44</v>
      </c>
      <c r="C10921" s="38" t="s">
        <v>5956</v>
      </c>
      <c r="D10921" s="18">
        <v>2022</v>
      </c>
      <c r="E10921" s="18" t="s">
        <v>0</v>
      </c>
      <c r="F10921" s="41">
        <v>1</v>
      </c>
      <c r="G10921" s="4">
        <v>10</v>
      </c>
      <c r="H10921" s="18">
        <v>32.602209999999999</v>
      </c>
      <c r="I10921" s="90"/>
      <c r="J10921" s="90"/>
    </row>
    <row r="10922" spans="1:10" s="15" customFormat="1" ht="16.5" hidden="1" customHeight="1" outlineLevel="1" x14ac:dyDescent="0.25">
      <c r="A10922" s="18">
        <v>1602</v>
      </c>
      <c r="B10922" s="4" t="s">
        <v>44</v>
      </c>
      <c r="C10922" s="38" t="s">
        <v>5957</v>
      </c>
      <c r="D10922" s="18">
        <v>2022</v>
      </c>
      <c r="E10922" s="18" t="s">
        <v>0</v>
      </c>
      <c r="F10922" s="41">
        <v>1</v>
      </c>
      <c r="G10922" s="4">
        <v>9</v>
      </c>
      <c r="H10922" s="18">
        <v>21.374549999999999</v>
      </c>
      <c r="I10922" s="90"/>
      <c r="J10922" s="90"/>
    </row>
    <row r="10923" spans="1:10" s="15" customFormat="1" ht="16.5" hidden="1" customHeight="1" outlineLevel="1" x14ac:dyDescent="0.25">
      <c r="A10923" s="18">
        <v>1600</v>
      </c>
      <c r="B10923" s="4" t="s">
        <v>44</v>
      </c>
      <c r="C10923" s="38" t="s">
        <v>5958</v>
      </c>
      <c r="D10923" s="18">
        <v>2022</v>
      </c>
      <c r="E10923" s="18" t="s">
        <v>0</v>
      </c>
      <c r="F10923" s="41">
        <v>1</v>
      </c>
      <c r="G10923" s="4">
        <v>15</v>
      </c>
      <c r="H10923" s="18">
        <v>21.36281</v>
      </c>
      <c r="I10923" s="90"/>
      <c r="J10923" s="90"/>
    </row>
    <row r="10924" spans="1:10" s="15" customFormat="1" ht="16.5" hidden="1" customHeight="1" outlineLevel="1" x14ac:dyDescent="0.25">
      <c r="A10924" s="18">
        <v>1300</v>
      </c>
      <c r="B10924" s="4" t="s">
        <v>44</v>
      </c>
      <c r="C10924" s="38" t="s">
        <v>5959</v>
      </c>
      <c r="D10924" s="18">
        <v>2022</v>
      </c>
      <c r="E10924" s="18" t="s">
        <v>0</v>
      </c>
      <c r="F10924" s="41">
        <v>1</v>
      </c>
      <c r="G10924" s="4">
        <v>70</v>
      </c>
      <c r="H10924" s="18">
        <v>106.99420000000001</v>
      </c>
      <c r="I10924" s="90"/>
      <c r="J10924" s="90"/>
    </row>
    <row r="10925" spans="1:10" s="15" customFormat="1" ht="16.5" hidden="1" customHeight="1" outlineLevel="1" x14ac:dyDescent="0.25">
      <c r="A10925" s="18">
        <v>1629</v>
      </c>
      <c r="B10925" s="4" t="s">
        <v>44</v>
      </c>
      <c r="C10925" s="38" t="s">
        <v>5960</v>
      </c>
      <c r="D10925" s="18">
        <v>2022</v>
      </c>
      <c r="E10925" s="18" t="s">
        <v>0</v>
      </c>
      <c r="F10925" s="41">
        <v>1</v>
      </c>
      <c r="G10925" s="4">
        <v>10</v>
      </c>
      <c r="H10925" s="18">
        <v>20.372979999999998</v>
      </c>
      <c r="I10925" s="90"/>
      <c r="J10925" s="90"/>
    </row>
    <row r="10926" spans="1:10" s="15" customFormat="1" ht="16.5" hidden="1" customHeight="1" outlineLevel="1" x14ac:dyDescent="0.25">
      <c r="A10926" s="18">
        <v>1467</v>
      </c>
      <c r="B10926" s="4" t="s">
        <v>44</v>
      </c>
      <c r="C10926" s="38" t="s">
        <v>2263</v>
      </c>
      <c r="D10926" s="18">
        <v>2022</v>
      </c>
      <c r="E10926" s="18" t="s">
        <v>0</v>
      </c>
      <c r="F10926" s="41">
        <v>1</v>
      </c>
      <c r="G10926" s="4">
        <v>15</v>
      </c>
      <c r="H10926" s="18">
        <v>43.774450000000002</v>
      </c>
      <c r="I10926" s="90"/>
      <c r="J10926" s="90"/>
    </row>
    <row r="10927" spans="1:10" s="15" customFormat="1" ht="16.5" hidden="1" customHeight="1" outlineLevel="1" x14ac:dyDescent="0.25">
      <c r="A10927" s="18">
        <v>1585</v>
      </c>
      <c r="B10927" s="4" t="s">
        <v>44</v>
      </c>
      <c r="C10927" s="38" t="s">
        <v>5961</v>
      </c>
      <c r="D10927" s="18">
        <v>2022</v>
      </c>
      <c r="E10927" s="18" t="s">
        <v>0</v>
      </c>
      <c r="F10927" s="41">
        <v>1</v>
      </c>
      <c r="G10927" s="4">
        <v>15</v>
      </c>
      <c r="H10927" s="18">
        <v>29.345410000000001</v>
      </c>
      <c r="I10927" s="90"/>
      <c r="J10927" s="90"/>
    </row>
    <row r="10928" spans="1:10" s="15" customFormat="1" ht="16.5" hidden="1" customHeight="1" outlineLevel="1" x14ac:dyDescent="0.25">
      <c r="A10928" s="18">
        <v>1574</v>
      </c>
      <c r="B10928" s="4" t="s">
        <v>44</v>
      </c>
      <c r="C10928" s="38" t="s">
        <v>5962</v>
      </c>
      <c r="D10928" s="18">
        <v>2022</v>
      </c>
      <c r="E10928" s="18" t="s">
        <v>0</v>
      </c>
      <c r="F10928" s="41">
        <v>1</v>
      </c>
      <c r="G10928" s="4">
        <v>11</v>
      </c>
      <c r="H10928" s="18">
        <v>29.348510000000001</v>
      </c>
      <c r="I10928" s="90"/>
      <c r="J10928" s="90"/>
    </row>
    <row r="10929" spans="1:10" s="15" customFormat="1" ht="16.5" hidden="1" customHeight="1" outlineLevel="1" x14ac:dyDescent="0.25">
      <c r="A10929" s="18">
        <v>1544</v>
      </c>
      <c r="B10929" s="4" t="s">
        <v>44</v>
      </c>
      <c r="C10929" s="38" t="s">
        <v>5963</v>
      </c>
      <c r="D10929" s="18">
        <v>2022</v>
      </c>
      <c r="E10929" s="18" t="s">
        <v>0</v>
      </c>
      <c r="F10929" s="41">
        <v>1</v>
      </c>
      <c r="G10929" s="4">
        <v>11.5</v>
      </c>
      <c r="H10929" s="18">
        <v>29.530819999999999</v>
      </c>
      <c r="I10929" s="90"/>
      <c r="J10929" s="90"/>
    </row>
    <row r="10930" spans="1:10" s="15" customFormat="1" ht="16.5" hidden="1" customHeight="1" outlineLevel="1" x14ac:dyDescent="0.25">
      <c r="A10930" s="18">
        <v>1539</v>
      </c>
      <c r="B10930" s="4" t="s">
        <v>44</v>
      </c>
      <c r="C10930" s="38" t="s">
        <v>5964</v>
      </c>
      <c r="D10930" s="18">
        <v>2022</v>
      </c>
      <c r="E10930" s="18" t="s">
        <v>0</v>
      </c>
      <c r="F10930" s="41">
        <v>1</v>
      </c>
      <c r="G10930" s="4">
        <v>10</v>
      </c>
      <c r="H10930" s="18">
        <v>27.992619999999999</v>
      </c>
      <c r="I10930" s="90"/>
      <c r="J10930" s="90"/>
    </row>
    <row r="10931" spans="1:10" s="15" customFormat="1" ht="16.5" hidden="1" customHeight="1" outlineLevel="1" x14ac:dyDescent="0.25">
      <c r="A10931" s="18">
        <v>1540</v>
      </c>
      <c r="B10931" s="4" t="s">
        <v>44</v>
      </c>
      <c r="C10931" s="38" t="s">
        <v>5965</v>
      </c>
      <c r="D10931" s="18">
        <v>2022</v>
      </c>
      <c r="E10931" s="18" t="s">
        <v>0</v>
      </c>
      <c r="F10931" s="41">
        <v>1</v>
      </c>
      <c r="G10931" s="4">
        <v>10</v>
      </c>
      <c r="H10931" s="18">
        <v>29.114439999999998</v>
      </c>
      <c r="I10931" s="90"/>
      <c r="J10931" s="90"/>
    </row>
    <row r="10932" spans="1:10" s="15" customFormat="1" ht="16.5" hidden="1" customHeight="1" outlineLevel="1" x14ac:dyDescent="0.25">
      <c r="A10932" s="18">
        <v>1518</v>
      </c>
      <c r="B10932" s="4" t="s">
        <v>44</v>
      </c>
      <c r="C10932" s="38" t="s">
        <v>5966</v>
      </c>
      <c r="D10932" s="18">
        <v>2022</v>
      </c>
      <c r="E10932" s="18" t="s">
        <v>0</v>
      </c>
      <c r="F10932" s="41">
        <v>1</v>
      </c>
      <c r="G10932" s="4">
        <v>5</v>
      </c>
      <c r="H10932" s="18">
        <v>27.587070000000001</v>
      </c>
      <c r="I10932" s="90"/>
      <c r="J10932" s="90"/>
    </row>
    <row r="10933" spans="1:10" s="15" customFormat="1" ht="16.5" hidden="1" customHeight="1" outlineLevel="1" x14ac:dyDescent="0.25">
      <c r="A10933" s="18">
        <v>1543</v>
      </c>
      <c r="B10933" s="4" t="s">
        <v>44</v>
      </c>
      <c r="C10933" s="38" t="s">
        <v>5967</v>
      </c>
      <c r="D10933" s="18">
        <v>2022</v>
      </c>
      <c r="E10933" s="18" t="s">
        <v>0</v>
      </c>
      <c r="F10933" s="41">
        <v>1</v>
      </c>
      <c r="G10933" s="4">
        <v>10</v>
      </c>
      <c r="H10933" s="18">
        <v>28.80339</v>
      </c>
      <c r="I10933" s="90"/>
      <c r="J10933" s="90"/>
    </row>
    <row r="10934" spans="1:10" s="15" customFormat="1" ht="16.5" hidden="1" customHeight="1" outlineLevel="1" x14ac:dyDescent="0.25">
      <c r="A10934" s="18">
        <v>1516</v>
      </c>
      <c r="B10934" s="4" t="s">
        <v>44</v>
      </c>
      <c r="C10934" s="38" t="s">
        <v>5968</v>
      </c>
      <c r="D10934" s="18">
        <v>2022</v>
      </c>
      <c r="E10934" s="18" t="s">
        <v>0</v>
      </c>
      <c r="F10934" s="41">
        <v>1</v>
      </c>
      <c r="G10934" s="4">
        <v>15</v>
      </c>
      <c r="H10934" s="18">
        <v>28.28978</v>
      </c>
      <c r="I10934" s="90"/>
      <c r="J10934" s="90"/>
    </row>
    <row r="10935" spans="1:10" s="15" customFormat="1" ht="16.5" hidden="1" customHeight="1" outlineLevel="1" x14ac:dyDescent="0.25">
      <c r="A10935" s="18">
        <v>1480</v>
      </c>
      <c r="B10935" s="4" t="s">
        <v>44</v>
      </c>
      <c r="C10935" s="38" t="s">
        <v>5969</v>
      </c>
      <c r="D10935" s="18">
        <v>2022</v>
      </c>
      <c r="E10935" s="18" t="s">
        <v>0</v>
      </c>
      <c r="F10935" s="41">
        <v>1</v>
      </c>
      <c r="G10935" s="4">
        <v>14</v>
      </c>
      <c r="H10935" s="18">
        <v>47.325870000000002</v>
      </c>
      <c r="I10935" s="90"/>
      <c r="J10935" s="90"/>
    </row>
    <row r="10936" spans="1:10" s="15" customFormat="1" ht="16.5" hidden="1" customHeight="1" outlineLevel="1" x14ac:dyDescent="0.25">
      <c r="A10936" s="18">
        <v>1211</v>
      </c>
      <c r="B10936" s="4" t="s">
        <v>44</v>
      </c>
      <c r="C10936" s="38" t="s">
        <v>5970</v>
      </c>
      <c r="D10936" s="18">
        <v>2022</v>
      </c>
      <c r="E10936" s="18" t="s">
        <v>0</v>
      </c>
      <c r="F10936" s="41">
        <v>1</v>
      </c>
      <c r="G10936" s="4">
        <v>15</v>
      </c>
      <c r="H10936" s="18">
        <v>29.51773</v>
      </c>
      <c r="I10936" s="90"/>
      <c r="J10936" s="90"/>
    </row>
    <row r="10937" spans="1:10" s="15" customFormat="1" ht="16.5" hidden="1" customHeight="1" outlineLevel="1" x14ac:dyDescent="0.25">
      <c r="A10937" s="18">
        <v>1478</v>
      </c>
      <c r="B10937" s="4" t="s">
        <v>44</v>
      </c>
      <c r="C10937" s="38" t="s">
        <v>5971</v>
      </c>
      <c r="D10937" s="18">
        <v>2022</v>
      </c>
      <c r="E10937" s="18" t="s">
        <v>0</v>
      </c>
      <c r="F10937" s="41">
        <v>1</v>
      </c>
      <c r="G10937" s="4">
        <v>11.5</v>
      </c>
      <c r="H10937" s="18">
        <v>29.14348</v>
      </c>
      <c r="I10937" s="90"/>
      <c r="J10937" s="90"/>
    </row>
    <row r="10938" spans="1:10" s="15" customFormat="1" ht="16.5" hidden="1" customHeight="1" outlineLevel="1" x14ac:dyDescent="0.25">
      <c r="A10938" s="18">
        <v>1542</v>
      </c>
      <c r="B10938" s="4" t="s">
        <v>44</v>
      </c>
      <c r="C10938" s="38" t="s">
        <v>5972</v>
      </c>
      <c r="D10938" s="18">
        <v>2022</v>
      </c>
      <c r="E10938" s="18" t="s">
        <v>0</v>
      </c>
      <c r="F10938" s="41">
        <v>1</v>
      </c>
      <c r="G10938" s="4">
        <v>10</v>
      </c>
      <c r="H10938" s="18">
        <v>28.895720000000001</v>
      </c>
      <c r="I10938" s="90"/>
      <c r="J10938" s="90"/>
    </row>
    <row r="10939" spans="1:10" s="15" customFormat="1" ht="16.5" hidden="1" customHeight="1" outlineLevel="1" x14ac:dyDescent="0.25">
      <c r="A10939" s="18">
        <v>1431</v>
      </c>
      <c r="B10939" s="4" t="s">
        <v>44</v>
      </c>
      <c r="C10939" s="38" t="s">
        <v>2265</v>
      </c>
      <c r="D10939" s="18">
        <v>2022</v>
      </c>
      <c r="E10939" s="18" t="s">
        <v>0</v>
      </c>
      <c r="F10939" s="41">
        <v>1</v>
      </c>
      <c r="G10939" s="4">
        <v>10</v>
      </c>
      <c r="H10939" s="18">
        <v>86.677850000000007</v>
      </c>
      <c r="I10939" s="90"/>
      <c r="J10939" s="90"/>
    </row>
    <row r="10940" spans="1:10" s="15" customFormat="1" ht="16.5" hidden="1" customHeight="1" outlineLevel="1" x14ac:dyDescent="0.25">
      <c r="A10940" s="18">
        <v>1432</v>
      </c>
      <c r="B10940" s="4" t="s">
        <v>44</v>
      </c>
      <c r="C10940" s="38" t="s">
        <v>2266</v>
      </c>
      <c r="D10940" s="18">
        <v>2022</v>
      </c>
      <c r="E10940" s="18" t="s">
        <v>0</v>
      </c>
      <c r="F10940" s="41">
        <v>1</v>
      </c>
      <c r="G10940" s="4">
        <v>10</v>
      </c>
      <c r="H10940" s="18">
        <v>85.210419999999999</v>
      </c>
      <c r="I10940" s="90"/>
      <c r="J10940" s="90"/>
    </row>
    <row r="10941" spans="1:10" s="15" customFormat="1" ht="16.5" hidden="1" customHeight="1" outlineLevel="1" x14ac:dyDescent="0.25">
      <c r="A10941" s="18">
        <v>1546</v>
      </c>
      <c r="B10941" s="4" t="s">
        <v>44</v>
      </c>
      <c r="C10941" s="38" t="s">
        <v>2267</v>
      </c>
      <c r="D10941" s="18">
        <v>2022</v>
      </c>
      <c r="E10941" s="18" t="s">
        <v>0</v>
      </c>
      <c r="F10941" s="41">
        <v>1</v>
      </c>
      <c r="G10941" s="4">
        <v>10</v>
      </c>
      <c r="H10941" s="18">
        <v>79.431190000000001</v>
      </c>
      <c r="I10941" s="90"/>
      <c r="J10941" s="90"/>
    </row>
    <row r="10942" spans="1:10" s="15" customFormat="1" ht="16.5" hidden="1" customHeight="1" outlineLevel="1" x14ac:dyDescent="0.25">
      <c r="A10942" s="18">
        <v>1571</v>
      </c>
      <c r="B10942" s="4" t="s">
        <v>44</v>
      </c>
      <c r="C10942" s="38" t="s">
        <v>5973</v>
      </c>
      <c r="D10942" s="18">
        <v>2022</v>
      </c>
      <c r="E10942" s="18" t="s">
        <v>0</v>
      </c>
      <c r="F10942" s="41">
        <v>1</v>
      </c>
      <c r="G10942" s="4">
        <v>10</v>
      </c>
      <c r="H10942" s="18">
        <v>27.743770000000001</v>
      </c>
      <c r="I10942" s="90"/>
      <c r="J10942" s="90"/>
    </row>
    <row r="10943" spans="1:10" s="15" customFormat="1" ht="16.5" hidden="1" customHeight="1" outlineLevel="1" x14ac:dyDescent="0.25">
      <c r="A10943" s="18">
        <v>1656</v>
      </c>
      <c r="B10943" s="4" t="s">
        <v>44</v>
      </c>
      <c r="C10943" s="38" t="s">
        <v>5974</v>
      </c>
      <c r="D10943" s="18">
        <v>2022</v>
      </c>
      <c r="E10943" s="18" t="s">
        <v>0</v>
      </c>
      <c r="F10943" s="41">
        <v>1</v>
      </c>
      <c r="G10943" s="4">
        <v>10</v>
      </c>
      <c r="H10943" s="18">
        <v>21.623889999999999</v>
      </c>
      <c r="I10943" s="90"/>
      <c r="J10943" s="90"/>
    </row>
    <row r="10944" spans="1:10" s="15" customFormat="1" ht="16.5" hidden="1" customHeight="1" outlineLevel="1" x14ac:dyDescent="0.25">
      <c r="A10944" s="18">
        <v>1657</v>
      </c>
      <c r="B10944" s="4" t="s">
        <v>44</v>
      </c>
      <c r="C10944" s="38" t="s">
        <v>5975</v>
      </c>
      <c r="D10944" s="18">
        <v>2022</v>
      </c>
      <c r="E10944" s="18" t="s">
        <v>0</v>
      </c>
      <c r="F10944" s="41">
        <v>1</v>
      </c>
      <c r="G10944" s="4">
        <v>15</v>
      </c>
      <c r="H10944" s="18">
        <v>21.58127</v>
      </c>
      <c r="I10944" s="90"/>
      <c r="J10944" s="90"/>
    </row>
    <row r="10945" spans="1:10" s="15" customFormat="1" ht="16.5" hidden="1" customHeight="1" outlineLevel="1" x14ac:dyDescent="0.25">
      <c r="A10945" s="18">
        <v>1658</v>
      </c>
      <c r="B10945" s="4" t="s">
        <v>44</v>
      </c>
      <c r="C10945" s="38" t="s">
        <v>5976</v>
      </c>
      <c r="D10945" s="18">
        <v>2022</v>
      </c>
      <c r="E10945" s="18" t="s">
        <v>0</v>
      </c>
      <c r="F10945" s="41">
        <v>1</v>
      </c>
      <c r="G10945" s="4">
        <v>15</v>
      </c>
      <c r="H10945" s="18">
        <v>20.353010000000001</v>
      </c>
      <c r="I10945" s="90"/>
      <c r="J10945" s="90"/>
    </row>
    <row r="10946" spans="1:10" s="15" customFormat="1" ht="16.5" hidden="1" customHeight="1" outlineLevel="1" x14ac:dyDescent="0.25">
      <c r="A10946" s="18">
        <v>1556</v>
      </c>
      <c r="B10946" s="4" t="s">
        <v>44</v>
      </c>
      <c r="C10946" s="38" t="s">
        <v>5977</v>
      </c>
      <c r="D10946" s="18">
        <v>2022</v>
      </c>
      <c r="E10946" s="18" t="s">
        <v>0</v>
      </c>
      <c r="F10946" s="41">
        <v>1</v>
      </c>
      <c r="G10946" s="4">
        <v>15</v>
      </c>
      <c r="H10946" s="18">
        <v>27.641110000000001</v>
      </c>
      <c r="I10946" s="90"/>
      <c r="J10946" s="90"/>
    </row>
    <row r="10947" spans="1:10" s="15" customFormat="1" ht="16.5" hidden="1" customHeight="1" outlineLevel="1" x14ac:dyDescent="0.25">
      <c r="A10947" s="18">
        <v>1416</v>
      </c>
      <c r="B10947" s="4" t="s">
        <v>44</v>
      </c>
      <c r="C10947" s="38" t="s">
        <v>5978</v>
      </c>
      <c r="D10947" s="18">
        <v>2022</v>
      </c>
      <c r="E10947" s="18" t="s">
        <v>0</v>
      </c>
      <c r="F10947" s="41">
        <v>1</v>
      </c>
      <c r="G10947" s="4">
        <v>15</v>
      </c>
      <c r="H10947" s="18">
        <v>25.94896</v>
      </c>
      <c r="I10947" s="90"/>
      <c r="J10947" s="90"/>
    </row>
    <row r="10948" spans="1:10" s="15" customFormat="1" ht="16.5" hidden="1" customHeight="1" outlineLevel="1" x14ac:dyDescent="0.25">
      <c r="A10948" s="18">
        <v>1383</v>
      </c>
      <c r="B10948" s="4" t="s">
        <v>44</v>
      </c>
      <c r="C10948" s="38" t="s">
        <v>5979</v>
      </c>
      <c r="D10948" s="18">
        <v>2022</v>
      </c>
      <c r="E10948" s="18" t="s">
        <v>0</v>
      </c>
      <c r="F10948" s="41">
        <v>1</v>
      </c>
      <c r="G10948" s="4">
        <v>15</v>
      </c>
      <c r="H10948" s="18">
        <v>27.371600000000001</v>
      </c>
      <c r="I10948" s="90"/>
      <c r="J10948" s="90"/>
    </row>
    <row r="10949" spans="1:10" s="15" customFormat="1" ht="16.5" hidden="1" customHeight="1" outlineLevel="1" x14ac:dyDescent="0.25">
      <c r="A10949" s="18">
        <v>1659</v>
      </c>
      <c r="B10949" s="4" t="s">
        <v>44</v>
      </c>
      <c r="C10949" s="38" t="s">
        <v>5980</v>
      </c>
      <c r="D10949" s="18">
        <v>2022</v>
      </c>
      <c r="E10949" s="18" t="s">
        <v>0</v>
      </c>
      <c r="F10949" s="41">
        <v>1</v>
      </c>
      <c r="G10949" s="4">
        <v>15</v>
      </c>
      <c r="H10949" s="18">
        <v>20.32394</v>
      </c>
      <c r="I10949" s="90"/>
      <c r="J10949" s="90"/>
    </row>
    <row r="10950" spans="1:10" s="15" customFormat="1" ht="16.5" hidden="1" customHeight="1" outlineLevel="1" x14ac:dyDescent="0.25">
      <c r="A10950" s="18">
        <v>1569</v>
      </c>
      <c r="B10950" s="4" t="s">
        <v>44</v>
      </c>
      <c r="C10950" s="38" t="s">
        <v>5981</v>
      </c>
      <c r="D10950" s="18">
        <v>2022</v>
      </c>
      <c r="E10950" s="18" t="s">
        <v>0</v>
      </c>
      <c r="F10950" s="41">
        <v>1</v>
      </c>
      <c r="G10950" s="4">
        <v>10</v>
      </c>
      <c r="H10950" s="18">
        <v>28.20553</v>
      </c>
      <c r="I10950" s="90"/>
      <c r="J10950" s="90"/>
    </row>
    <row r="10951" spans="1:10" s="15" customFormat="1" ht="16.5" hidden="1" customHeight="1" outlineLevel="1" x14ac:dyDescent="0.25">
      <c r="A10951" s="18">
        <v>1378</v>
      </c>
      <c r="B10951" s="4" t="s">
        <v>44</v>
      </c>
      <c r="C10951" s="38" t="s">
        <v>5982</v>
      </c>
      <c r="D10951" s="18">
        <v>2022</v>
      </c>
      <c r="E10951" s="18" t="s">
        <v>0</v>
      </c>
      <c r="F10951" s="41">
        <v>1</v>
      </c>
      <c r="G10951" s="4">
        <v>15</v>
      </c>
      <c r="H10951" s="18">
        <v>27.528220000000001</v>
      </c>
      <c r="I10951" s="90"/>
      <c r="J10951" s="90"/>
    </row>
    <row r="10952" spans="1:10" s="15" customFormat="1" ht="16.5" hidden="1" customHeight="1" outlineLevel="1" x14ac:dyDescent="0.25">
      <c r="A10952" s="18">
        <v>1660</v>
      </c>
      <c r="B10952" s="4" t="s">
        <v>44</v>
      </c>
      <c r="C10952" s="38" t="s">
        <v>5983</v>
      </c>
      <c r="D10952" s="18">
        <v>2022</v>
      </c>
      <c r="E10952" s="18" t="s">
        <v>0</v>
      </c>
      <c r="F10952" s="41">
        <v>1</v>
      </c>
      <c r="G10952" s="4">
        <v>15</v>
      </c>
      <c r="H10952" s="18">
        <v>20.434280000000001</v>
      </c>
      <c r="I10952" s="90"/>
      <c r="J10952" s="90"/>
    </row>
    <row r="10953" spans="1:10" s="15" customFormat="1" ht="16.5" hidden="1" customHeight="1" outlineLevel="1" x14ac:dyDescent="0.25">
      <c r="A10953" s="18">
        <v>1582</v>
      </c>
      <c r="B10953" s="4" t="s">
        <v>44</v>
      </c>
      <c r="C10953" s="38" t="s">
        <v>5984</v>
      </c>
      <c r="D10953" s="18">
        <v>2022</v>
      </c>
      <c r="E10953" s="18" t="s">
        <v>0</v>
      </c>
      <c r="F10953" s="41">
        <v>1</v>
      </c>
      <c r="G10953" s="4">
        <v>12</v>
      </c>
      <c r="H10953" s="18">
        <v>27.355149999999998</v>
      </c>
      <c r="I10953" s="90"/>
      <c r="J10953" s="90"/>
    </row>
    <row r="10954" spans="1:10" s="15" customFormat="1" ht="16.5" hidden="1" customHeight="1" outlineLevel="1" x14ac:dyDescent="0.25">
      <c r="A10954" s="18">
        <v>1661</v>
      </c>
      <c r="B10954" s="4" t="s">
        <v>44</v>
      </c>
      <c r="C10954" s="38" t="s">
        <v>5985</v>
      </c>
      <c r="D10954" s="18">
        <v>2022</v>
      </c>
      <c r="E10954" s="18" t="s">
        <v>0</v>
      </c>
      <c r="F10954" s="41">
        <v>1</v>
      </c>
      <c r="G10954" s="4">
        <v>9</v>
      </c>
      <c r="H10954" s="18">
        <v>20.406030000000001</v>
      </c>
      <c r="I10954" s="90"/>
      <c r="J10954" s="90"/>
    </row>
    <row r="10955" spans="1:10" s="15" customFormat="1" ht="16.5" hidden="1" customHeight="1" outlineLevel="1" x14ac:dyDescent="0.25">
      <c r="A10955" s="18">
        <v>1662</v>
      </c>
      <c r="B10955" s="4" t="s">
        <v>44</v>
      </c>
      <c r="C10955" s="38" t="s">
        <v>5986</v>
      </c>
      <c r="D10955" s="18">
        <v>2022</v>
      </c>
      <c r="E10955" s="18" t="s">
        <v>0</v>
      </c>
      <c r="F10955" s="41">
        <v>1</v>
      </c>
      <c r="G10955" s="4">
        <v>15</v>
      </c>
      <c r="H10955" s="18">
        <v>20.582090000000001</v>
      </c>
      <c r="I10955" s="90"/>
      <c r="J10955" s="90"/>
    </row>
    <row r="10956" spans="1:10" s="15" customFormat="1" ht="16.5" hidden="1" customHeight="1" outlineLevel="1" x14ac:dyDescent="0.25">
      <c r="A10956" s="18">
        <v>1586</v>
      </c>
      <c r="B10956" s="4" t="s">
        <v>44</v>
      </c>
      <c r="C10956" s="38" t="s">
        <v>5987</v>
      </c>
      <c r="D10956" s="18">
        <v>2022</v>
      </c>
      <c r="E10956" s="18" t="s">
        <v>0</v>
      </c>
      <c r="F10956" s="41">
        <v>1</v>
      </c>
      <c r="G10956" s="4">
        <v>15</v>
      </c>
      <c r="H10956" s="18">
        <v>27.349409999999999</v>
      </c>
      <c r="I10956" s="90"/>
      <c r="J10956" s="90"/>
    </row>
    <row r="10957" spans="1:10" s="15" customFormat="1" ht="16.5" hidden="1" customHeight="1" outlineLevel="1" x14ac:dyDescent="0.25">
      <c r="A10957" s="18">
        <v>1651</v>
      </c>
      <c r="B10957" s="4" t="s">
        <v>44</v>
      </c>
      <c r="C10957" s="38" t="s">
        <v>5988</v>
      </c>
      <c r="D10957" s="18">
        <v>2022</v>
      </c>
      <c r="E10957" s="18" t="s">
        <v>0</v>
      </c>
      <c r="F10957" s="41">
        <v>1</v>
      </c>
      <c r="G10957" s="4">
        <v>15</v>
      </c>
      <c r="H10957" s="18">
        <v>20.391559999999998</v>
      </c>
      <c r="I10957" s="90"/>
      <c r="J10957" s="90"/>
    </row>
    <row r="10958" spans="1:10" s="15" customFormat="1" ht="16.5" hidden="1" customHeight="1" outlineLevel="1" x14ac:dyDescent="0.25">
      <c r="A10958" s="18">
        <v>1558</v>
      </c>
      <c r="B10958" s="4" t="s">
        <v>44</v>
      </c>
      <c r="C10958" s="38" t="s">
        <v>5989</v>
      </c>
      <c r="D10958" s="18">
        <v>2022</v>
      </c>
      <c r="E10958" s="18" t="s">
        <v>0</v>
      </c>
      <c r="F10958" s="41">
        <v>1</v>
      </c>
      <c r="G10958" s="4">
        <v>15</v>
      </c>
      <c r="H10958" s="18">
        <v>27.349409999999999</v>
      </c>
      <c r="I10958" s="90"/>
      <c r="J10958" s="90"/>
    </row>
    <row r="10959" spans="1:10" s="15" customFormat="1" ht="16.5" hidden="1" customHeight="1" outlineLevel="1" x14ac:dyDescent="0.25">
      <c r="A10959" s="18">
        <v>1301</v>
      </c>
      <c r="B10959" s="4" t="s">
        <v>44</v>
      </c>
      <c r="C10959" s="38" t="s">
        <v>5990</v>
      </c>
      <c r="D10959" s="18">
        <v>2022</v>
      </c>
      <c r="E10959" s="18" t="s">
        <v>0</v>
      </c>
      <c r="F10959" s="41">
        <v>1</v>
      </c>
      <c r="G10959" s="4">
        <v>14</v>
      </c>
      <c r="H10959" s="18">
        <v>27.582529999999998</v>
      </c>
      <c r="I10959" s="90"/>
      <c r="J10959" s="90"/>
    </row>
    <row r="10960" spans="1:10" s="15" customFormat="1" ht="16.5" hidden="1" customHeight="1" outlineLevel="1" x14ac:dyDescent="0.25">
      <c r="A10960" s="18">
        <v>1652</v>
      </c>
      <c r="B10960" s="4" t="s">
        <v>44</v>
      </c>
      <c r="C10960" s="38" t="s">
        <v>5991</v>
      </c>
      <c r="D10960" s="18">
        <v>2022</v>
      </c>
      <c r="E10960" s="18" t="s">
        <v>0</v>
      </c>
      <c r="F10960" s="41">
        <v>1</v>
      </c>
      <c r="G10960" s="4">
        <v>15</v>
      </c>
      <c r="H10960" s="18">
        <v>20.391549999999999</v>
      </c>
      <c r="I10960" s="90"/>
      <c r="J10960" s="90"/>
    </row>
    <row r="10961" spans="1:10" s="15" customFormat="1" ht="16.5" hidden="1" customHeight="1" outlineLevel="1" x14ac:dyDescent="0.25">
      <c r="A10961" s="18">
        <v>1336</v>
      </c>
      <c r="B10961" s="4" t="s">
        <v>44</v>
      </c>
      <c r="C10961" s="38" t="s">
        <v>5992</v>
      </c>
      <c r="D10961" s="18">
        <v>2022</v>
      </c>
      <c r="E10961" s="18" t="s">
        <v>0</v>
      </c>
      <c r="F10961" s="41">
        <v>1</v>
      </c>
      <c r="G10961" s="4">
        <v>10</v>
      </c>
      <c r="H10961" s="18">
        <v>27.122769999999999</v>
      </c>
      <c r="I10961" s="90"/>
      <c r="J10961" s="90"/>
    </row>
    <row r="10962" spans="1:10" s="15" customFormat="1" ht="16.5" hidden="1" customHeight="1" outlineLevel="1" x14ac:dyDescent="0.25">
      <c r="A10962" s="18">
        <v>1511</v>
      </c>
      <c r="B10962" s="4" t="s">
        <v>44</v>
      </c>
      <c r="C10962" s="38" t="s">
        <v>5993</v>
      </c>
      <c r="D10962" s="18">
        <v>2022</v>
      </c>
      <c r="E10962" s="18" t="s">
        <v>0</v>
      </c>
      <c r="F10962" s="41">
        <v>1</v>
      </c>
      <c r="G10962" s="4">
        <v>14</v>
      </c>
      <c r="H10962" s="18">
        <v>29.015250000000002</v>
      </c>
      <c r="I10962" s="90"/>
      <c r="J10962" s="90"/>
    </row>
    <row r="10963" spans="1:10" s="15" customFormat="1" ht="16.5" hidden="1" customHeight="1" outlineLevel="1" x14ac:dyDescent="0.25">
      <c r="A10963" s="18">
        <v>1510</v>
      </c>
      <c r="B10963" s="4" t="s">
        <v>44</v>
      </c>
      <c r="C10963" s="38" t="s">
        <v>5994</v>
      </c>
      <c r="D10963" s="18">
        <v>2022</v>
      </c>
      <c r="E10963" s="18" t="s">
        <v>0</v>
      </c>
      <c r="F10963" s="41">
        <v>1</v>
      </c>
      <c r="G10963" s="4">
        <v>14</v>
      </c>
      <c r="H10963" s="18">
        <v>29.015250000000002</v>
      </c>
      <c r="I10963" s="90"/>
      <c r="J10963" s="90"/>
    </row>
    <row r="10964" spans="1:10" s="15" customFormat="1" ht="16.5" hidden="1" customHeight="1" outlineLevel="1" x14ac:dyDescent="0.25">
      <c r="A10964" s="18">
        <v>1512</v>
      </c>
      <c r="B10964" s="4" t="s">
        <v>44</v>
      </c>
      <c r="C10964" s="38" t="s">
        <v>5995</v>
      </c>
      <c r="D10964" s="18">
        <v>2022</v>
      </c>
      <c r="E10964" s="18" t="s">
        <v>0</v>
      </c>
      <c r="F10964" s="41">
        <v>1</v>
      </c>
      <c r="G10964" s="4">
        <v>14</v>
      </c>
      <c r="H10964" s="18">
        <v>29.015219999999999</v>
      </c>
      <c r="I10964" s="90"/>
      <c r="J10964" s="90"/>
    </row>
    <row r="10965" spans="1:10" s="15" customFormat="1" ht="16.5" hidden="1" customHeight="1" outlineLevel="1" x14ac:dyDescent="0.25">
      <c r="A10965" s="18">
        <v>1485</v>
      </c>
      <c r="B10965" s="4" t="s">
        <v>44</v>
      </c>
      <c r="C10965" s="38" t="s">
        <v>5996</v>
      </c>
      <c r="D10965" s="18">
        <v>2022</v>
      </c>
      <c r="E10965" s="18" t="s">
        <v>0</v>
      </c>
      <c r="F10965" s="41">
        <v>1</v>
      </c>
      <c r="G10965" s="4">
        <v>14</v>
      </c>
      <c r="H10965" s="18">
        <v>36.839280000000002</v>
      </c>
      <c r="I10965" s="90"/>
      <c r="J10965" s="90"/>
    </row>
    <row r="10966" spans="1:10" s="15" customFormat="1" ht="16.5" hidden="1" customHeight="1" outlineLevel="1" x14ac:dyDescent="0.25">
      <c r="A10966" s="18">
        <v>1626</v>
      </c>
      <c r="B10966" s="4" t="s">
        <v>44</v>
      </c>
      <c r="C10966" s="38" t="s">
        <v>5997</v>
      </c>
      <c r="D10966" s="18">
        <v>2022</v>
      </c>
      <c r="E10966" s="18" t="s">
        <v>0</v>
      </c>
      <c r="F10966" s="41">
        <v>1</v>
      </c>
      <c r="G10966" s="4">
        <v>10</v>
      </c>
      <c r="H10966" s="18">
        <v>20.923310000000001</v>
      </c>
      <c r="I10966" s="90"/>
      <c r="J10966" s="90"/>
    </row>
    <row r="10967" spans="1:10" s="15" customFormat="1" ht="16.5" hidden="1" customHeight="1" outlineLevel="1" x14ac:dyDescent="0.25">
      <c r="A10967" s="18">
        <v>1622</v>
      </c>
      <c r="B10967" s="4" t="s">
        <v>44</v>
      </c>
      <c r="C10967" s="38" t="s">
        <v>5998</v>
      </c>
      <c r="D10967" s="18">
        <v>2022</v>
      </c>
      <c r="E10967" s="18" t="s">
        <v>0</v>
      </c>
      <c r="F10967" s="41">
        <v>1</v>
      </c>
      <c r="G10967" s="4">
        <v>15</v>
      </c>
      <c r="H10967" s="18">
        <v>20.190079999999998</v>
      </c>
      <c r="I10967" s="90"/>
      <c r="J10967" s="90"/>
    </row>
    <row r="10968" spans="1:10" s="15" customFormat="1" ht="16.5" hidden="1" customHeight="1" outlineLevel="1" x14ac:dyDescent="0.25">
      <c r="A10968" s="18">
        <v>1620</v>
      </c>
      <c r="B10968" s="4" t="s">
        <v>44</v>
      </c>
      <c r="C10968" s="38" t="s">
        <v>5999</v>
      </c>
      <c r="D10968" s="18">
        <v>2022</v>
      </c>
      <c r="E10968" s="18" t="s">
        <v>0</v>
      </c>
      <c r="F10968" s="41">
        <v>1</v>
      </c>
      <c r="G10968" s="4">
        <v>10</v>
      </c>
      <c r="H10968" s="18">
        <v>20.587530000000001</v>
      </c>
      <c r="I10968" s="90"/>
      <c r="J10968" s="90"/>
    </row>
    <row r="10969" spans="1:10" s="15" customFormat="1" ht="16.5" hidden="1" customHeight="1" outlineLevel="1" x14ac:dyDescent="0.25">
      <c r="A10969" s="18">
        <v>1625</v>
      </c>
      <c r="B10969" s="4" t="s">
        <v>44</v>
      </c>
      <c r="C10969" s="38" t="s">
        <v>6000</v>
      </c>
      <c r="D10969" s="18">
        <v>2022</v>
      </c>
      <c r="E10969" s="18" t="s">
        <v>0</v>
      </c>
      <c r="F10969" s="41">
        <v>1</v>
      </c>
      <c r="G10969" s="4">
        <v>10</v>
      </c>
      <c r="H10969" s="18">
        <v>20.158169999999998</v>
      </c>
      <c r="I10969" s="90"/>
      <c r="J10969" s="90"/>
    </row>
    <row r="10970" spans="1:10" s="15" customFormat="1" ht="16.5" hidden="1" customHeight="1" outlineLevel="1" x14ac:dyDescent="0.25">
      <c r="A10970" s="18">
        <v>1619</v>
      </c>
      <c r="B10970" s="4" t="s">
        <v>44</v>
      </c>
      <c r="C10970" s="38" t="s">
        <v>6001</v>
      </c>
      <c r="D10970" s="18">
        <v>2022</v>
      </c>
      <c r="E10970" s="18" t="s">
        <v>0</v>
      </c>
      <c r="F10970" s="41">
        <v>1</v>
      </c>
      <c r="G10970" s="4">
        <v>15</v>
      </c>
      <c r="H10970" s="18">
        <v>20.587530000000001</v>
      </c>
      <c r="I10970" s="90"/>
      <c r="J10970" s="90"/>
    </row>
    <row r="10971" spans="1:10" s="15" customFormat="1" ht="16.5" hidden="1" customHeight="1" outlineLevel="1" x14ac:dyDescent="0.25">
      <c r="A10971" s="18">
        <v>1623</v>
      </c>
      <c r="B10971" s="4" t="s">
        <v>44</v>
      </c>
      <c r="C10971" s="38" t="s">
        <v>6002</v>
      </c>
      <c r="D10971" s="18">
        <v>2022</v>
      </c>
      <c r="E10971" s="18" t="s">
        <v>0</v>
      </c>
      <c r="F10971" s="41">
        <v>1</v>
      </c>
      <c r="G10971" s="4">
        <v>10</v>
      </c>
      <c r="H10971" s="18">
        <v>20.19012</v>
      </c>
      <c r="I10971" s="90"/>
      <c r="J10971" s="90"/>
    </row>
    <row r="10972" spans="1:10" s="15" customFormat="1" ht="16.5" hidden="1" customHeight="1" outlineLevel="1" x14ac:dyDescent="0.25">
      <c r="A10972" s="18">
        <v>1618</v>
      </c>
      <c r="B10972" s="4" t="s">
        <v>44</v>
      </c>
      <c r="C10972" s="38" t="s">
        <v>6003</v>
      </c>
      <c r="D10972" s="18">
        <v>2022</v>
      </c>
      <c r="E10972" s="18" t="s">
        <v>0</v>
      </c>
      <c r="F10972" s="41">
        <v>1</v>
      </c>
      <c r="G10972" s="4">
        <v>15</v>
      </c>
      <c r="H10972" s="18">
        <v>20.587579999999999</v>
      </c>
      <c r="I10972" s="90"/>
      <c r="J10972" s="90"/>
    </row>
    <row r="10973" spans="1:10" s="15" customFormat="1" ht="16.5" hidden="1" customHeight="1" outlineLevel="1" x14ac:dyDescent="0.25">
      <c r="A10973" s="18">
        <v>1617</v>
      </c>
      <c r="B10973" s="4" t="s">
        <v>44</v>
      </c>
      <c r="C10973" s="38" t="s">
        <v>6004</v>
      </c>
      <c r="D10973" s="18">
        <v>2022</v>
      </c>
      <c r="E10973" s="18" t="s">
        <v>0</v>
      </c>
      <c r="F10973" s="41">
        <v>1</v>
      </c>
      <c r="G10973" s="4">
        <v>15</v>
      </c>
      <c r="H10973" s="18">
        <v>20.587579999999999</v>
      </c>
      <c r="I10973" s="90"/>
      <c r="J10973" s="90"/>
    </row>
    <row r="10974" spans="1:10" s="15" customFormat="1" ht="16.5" hidden="1" customHeight="1" outlineLevel="1" x14ac:dyDescent="0.25">
      <c r="A10974" s="18">
        <v>1410</v>
      </c>
      <c r="B10974" s="4" t="s">
        <v>44</v>
      </c>
      <c r="C10974" s="38" t="s">
        <v>6005</v>
      </c>
      <c r="D10974" s="18">
        <v>2022</v>
      </c>
      <c r="E10974" s="18" t="s">
        <v>0</v>
      </c>
      <c r="F10974" s="41">
        <v>1</v>
      </c>
      <c r="G10974" s="4">
        <v>5</v>
      </c>
      <c r="H10974" s="18">
        <v>53.881999999999998</v>
      </c>
      <c r="I10974" s="90"/>
      <c r="J10974" s="90"/>
    </row>
    <row r="10975" spans="1:10" s="15" customFormat="1" ht="16.5" hidden="1" customHeight="1" outlineLevel="1" x14ac:dyDescent="0.25">
      <c r="A10975" s="18">
        <v>1353</v>
      </c>
      <c r="B10975" s="4" t="s">
        <v>44</v>
      </c>
      <c r="C10975" s="38" t="s">
        <v>6006</v>
      </c>
      <c r="D10975" s="18">
        <v>2022</v>
      </c>
      <c r="E10975" s="18" t="s">
        <v>0</v>
      </c>
      <c r="F10975" s="41">
        <v>1</v>
      </c>
      <c r="G10975" s="4">
        <v>10</v>
      </c>
      <c r="H10975" s="18">
        <v>26.2971</v>
      </c>
      <c r="I10975" s="90"/>
      <c r="J10975" s="90"/>
    </row>
    <row r="10976" spans="1:10" s="15" customFormat="1" ht="16.5" hidden="1" customHeight="1" outlineLevel="1" x14ac:dyDescent="0.25">
      <c r="A10976" s="18">
        <v>1091</v>
      </c>
      <c r="B10976" s="4" t="s">
        <v>44</v>
      </c>
      <c r="C10976" s="38" t="s">
        <v>6007</v>
      </c>
      <c r="D10976" s="18">
        <v>2022</v>
      </c>
      <c r="E10976" s="18" t="s">
        <v>0</v>
      </c>
      <c r="F10976" s="41">
        <v>1</v>
      </c>
      <c r="G10976" s="4">
        <v>15</v>
      </c>
      <c r="H10976" s="18">
        <v>34.563160000000003</v>
      </c>
      <c r="I10976" s="90"/>
      <c r="J10976" s="90"/>
    </row>
    <row r="10977" spans="1:10" s="15" customFormat="1" ht="16.5" hidden="1" customHeight="1" outlineLevel="1" x14ac:dyDescent="0.25">
      <c r="A10977" s="18">
        <v>1437</v>
      </c>
      <c r="B10977" s="4" t="s">
        <v>44</v>
      </c>
      <c r="C10977" s="38" t="s">
        <v>6008</v>
      </c>
      <c r="D10977" s="18">
        <v>2022</v>
      </c>
      <c r="E10977" s="18" t="s">
        <v>0</v>
      </c>
      <c r="F10977" s="41">
        <v>1</v>
      </c>
      <c r="G10977" s="4">
        <v>10</v>
      </c>
      <c r="H10977" s="18">
        <v>26.615690000000001</v>
      </c>
      <c r="I10977" s="90"/>
      <c r="J10977" s="90"/>
    </row>
    <row r="10978" spans="1:10" s="15" customFormat="1" ht="16.5" hidden="1" customHeight="1" outlineLevel="1" x14ac:dyDescent="0.25">
      <c r="A10978" s="18">
        <v>1120</v>
      </c>
      <c r="B10978" s="4" t="s">
        <v>44</v>
      </c>
      <c r="C10978" s="38" t="s">
        <v>6009</v>
      </c>
      <c r="D10978" s="18">
        <v>2022</v>
      </c>
      <c r="E10978" s="18" t="s">
        <v>0</v>
      </c>
      <c r="F10978" s="41">
        <v>1</v>
      </c>
      <c r="G10978" s="4">
        <v>15</v>
      </c>
      <c r="H10978" s="18">
        <v>35.29101</v>
      </c>
      <c r="I10978" s="90"/>
      <c r="J10978" s="90"/>
    </row>
    <row r="10979" spans="1:10" s="15" customFormat="1" ht="16.5" hidden="1" customHeight="1" outlineLevel="1" x14ac:dyDescent="0.25">
      <c r="A10979" s="18">
        <v>1076</v>
      </c>
      <c r="B10979" s="4" t="s">
        <v>44</v>
      </c>
      <c r="C10979" s="38" t="s">
        <v>6010</v>
      </c>
      <c r="D10979" s="18">
        <v>2022</v>
      </c>
      <c r="E10979" s="18" t="s">
        <v>0</v>
      </c>
      <c r="F10979" s="41">
        <v>1</v>
      </c>
      <c r="G10979" s="4">
        <v>10.79</v>
      </c>
      <c r="H10979" s="18">
        <v>34.417389999999997</v>
      </c>
      <c r="I10979" s="90"/>
      <c r="J10979" s="90"/>
    </row>
    <row r="10980" spans="1:10" s="15" customFormat="1" ht="16.5" hidden="1" customHeight="1" outlineLevel="1" x14ac:dyDescent="0.25">
      <c r="A10980" s="18">
        <v>1119</v>
      </c>
      <c r="B10980" s="4" t="s">
        <v>44</v>
      </c>
      <c r="C10980" s="38" t="s">
        <v>6011</v>
      </c>
      <c r="D10980" s="18">
        <v>2022</v>
      </c>
      <c r="E10980" s="18" t="s">
        <v>0</v>
      </c>
      <c r="F10980" s="41">
        <v>1</v>
      </c>
      <c r="G10980" s="4">
        <v>10</v>
      </c>
      <c r="H10980" s="18">
        <v>34.524479999999997</v>
      </c>
      <c r="I10980" s="90"/>
      <c r="J10980" s="90"/>
    </row>
    <row r="10981" spans="1:10" s="15" customFormat="1" ht="16.5" hidden="1" customHeight="1" outlineLevel="1" x14ac:dyDescent="0.25">
      <c r="A10981" s="18">
        <v>1457</v>
      </c>
      <c r="B10981" s="4" t="s">
        <v>44</v>
      </c>
      <c r="C10981" s="38" t="s">
        <v>6012</v>
      </c>
      <c r="D10981" s="18">
        <v>2022</v>
      </c>
      <c r="E10981" s="18" t="s">
        <v>0</v>
      </c>
      <c r="F10981" s="41">
        <v>1</v>
      </c>
      <c r="G10981" s="4">
        <v>10</v>
      </c>
      <c r="H10981" s="18">
        <v>25.540939999999999</v>
      </c>
      <c r="I10981" s="90"/>
      <c r="J10981" s="90"/>
    </row>
    <row r="10982" spans="1:10" s="15" customFormat="1" ht="16.5" hidden="1" customHeight="1" outlineLevel="1" x14ac:dyDescent="0.25">
      <c r="A10982" s="18">
        <v>1192</v>
      </c>
      <c r="B10982" s="4" t="s">
        <v>44</v>
      </c>
      <c r="C10982" s="38" t="s">
        <v>6013</v>
      </c>
      <c r="D10982" s="18">
        <v>2022</v>
      </c>
      <c r="E10982" s="18" t="s">
        <v>0</v>
      </c>
      <c r="F10982" s="41">
        <v>1</v>
      </c>
      <c r="G10982" s="4">
        <v>15</v>
      </c>
      <c r="H10982" s="18">
        <v>32.142670000000003</v>
      </c>
      <c r="I10982" s="90"/>
      <c r="J10982" s="90"/>
    </row>
    <row r="10983" spans="1:10" s="15" customFormat="1" ht="16.5" hidden="1" customHeight="1" outlineLevel="1" x14ac:dyDescent="0.25">
      <c r="A10983" s="18">
        <v>1289</v>
      </c>
      <c r="B10983" s="4" t="s">
        <v>44</v>
      </c>
      <c r="C10983" s="38" t="s">
        <v>6014</v>
      </c>
      <c r="D10983" s="18">
        <v>2022</v>
      </c>
      <c r="E10983" s="18" t="s">
        <v>0</v>
      </c>
      <c r="F10983" s="41">
        <v>1</v>
      </c>
      <c r="G10983" s="4">
        <v>11.68</v>
      </c>
      <c r="H10983" s="18">
        <v>25.702279999999998</v>
      </c>
      <c r="I10983" s="90"/>
      <c r="J10983" s="90"/>
    </row>
    <row r="10984" spans="1:10" s="15" customFormat="1" ht="16.5" hidden="1" customHeight="1" outlineLevel="1" x14ac:dyDescent="0.25">
      <c r="A10984" s="18">
        <v>1641</v>
      </c>
      <c r="B10984" s="4" t="s">
        <v>44</v>
      </c>
      <c r="C10984" s="38" t="s">
        <v>6015</v>
      </c>
      <c r="D10984" s="18">
        <v>2022</v>
      </c>
      <c r="E10984" s="18" t="s">
        <v>0</v>
      </c>
      <c r="F10984" s="41">
        <v>1</v>
      </c>
      <c r="G10984" s="4">
        <v>10</v>
      </c>
      <c r="H10984" s="18">
        <v>21.734159999999999</v>
      </c>
      <c r="I10984" s="90"/>
      <c r="J10984" s="90"/>
    </row>
    <row r="10985" spans="1:10" s="15" customFormat="1" ht="16.5" hidden="1" customHeight="1" outlineLevel="1" x14ac:dyDescent="0.25">
      <c r="A10985" s="18">
        <v>1642</v>
      </c>
      <c r="B10985" s="4" t="s">
        <v>44</v>
      </c>
      <c r="C10985" s="38" t="s">
        <v>6016</v>
      </c>
      <c r="D10985" s="18">
        <v>2022</v>
      </c>
      <c r="E10985" s="18" t="s">
        <v>0</v>
      </c>
      <c r="F10985" s="41">
        <v>1</v>
      </c>
      <c r="G10985" s="4">
        <v>10</v>
      </c>
      <c r="H10985" s="18">
        <v>20.861640000000001</v>
      </c>
      <c r="I10985" s="90"/>
      <c r="J10985" s="90"/>
    </row>
    <row r="10986" spans="1:10" s="15" customFormat="1" ht="16.5" hidden="1" customHeight="1" outlineLevel="1" x14ac:dyDescent="0.25">
      <c r="A10986" s="18">
        <v>1644</v>
      </c>
      <c r="B10986" s="4" t="s">
        <v>44</v>
      </c>
      <c r="C10986" s="38" t="s">
        <v>6017</v>
      </c>
      <c r="D10986" s="18">
        <v>2022</v>
      </c>
      <c r="E10986" s="18" t="s">
        <v>0</v>
      </c>
      <c r="F10986" s="41">
        <v>1</v>
      </c>
      <c r="G10986" s="4">
        <v>10</v>
      </c>
      <c r="H10986" s="18">
        <v>20.861609999999999</v>
      </c>
      <c r="I10986" s="90"/>
      <c r="J10986" s="90"/>
    </row>
    <row r="10987" spans="1:10" s="15" customFormat="1" ht="16.5" hidden="1" customHeight="1" outlineLevel="1" x14ac:dyDescent="0.25">
      <c r="A10987" s="18">
        <v>1643</v>
      </c>
      <c r="B10987" s="4" t="s">
        <v>44</v>
      </c>
      <c r="C10987" s="38" t="s">
        <v>6018</v>
      </c>
      <c r="D10987" s="18">
        <v>2022</v>
      </c>
      <c r="E10987" s="18" t="s">
        <v>0</v>
      </c>
      <c r="F10987" s="41">
        <v>1</v>
      </c>
      <c r="G10987" s="4">
        <v>10</v>
      </c>
      <c r="H10987" s="18">
        <v>20.861319999999999</v>
      </c>
      <c r="I10987" s="90"/>
      <c r="J10987" s="90"/>
    </row>
    <row r="10988" spans="1:10" s="15" customFormat="1" ht="16.5" hidden="1" customHeight="1" outlineLevel="1" x14ac:dyDescent="0.25">
      <c r="A10988" s="18">
        <v>1634</v>
      </c>
      <c r="B10988" s="4" t="s">
        <v>44</v>
      </c>
      <c r="C10988" s="38" t="s">
        <v>6019</v>
      </c>
      <c r="D10988" s="18">
        <v>2022</v>
      </c>
      <c r="E10988" s="18" t="s">
        <v>0</v>
      </c>
      <c r="F10988" s="41">
        <v>1</v>
      </c>
      <c r="G10988" s="4">
        <v>15</v>
      </c>
      <c r="H10988" s="18">
        <v>20.151540000000001</v>
      </c>
      <c r="I10988" s="90"/>
      <c r="J10988" s="90"/>
    </row>
    <row r="10989" spans="1:10" s="15" customFormat="1" ht="16.5" hidden="1" customHeight="1" outlineLevel="1" x14ac:dyDescent="0.25">
      <c r="A10989" s="18">
        <v>1559</v>
      </c>
      <c r="B10989" s="4" t="s">
        <v>44</v>
      </c>
      <c r="C10989" s="38" t="s">
        <v>6020</v>
      </c>
      <c r="D10989" s="18">
        <v>2022</v>
      </c>
      <c r="E10989" s="18" t="s">
        <v>0</v>
      </c>
      <c r="F10989" s="41">
        <v>1</v>
      </c>
      <c r="G10989" s="4">
        <v>11</v>
      </c>
      <c r="H10989" s="18">
        <v>28.317489999999999</v>
      </c>
      <c r="I10989" s="90"/>
      <c r="J10989" s="90"/>
    </row>
    <row r="10990" spans="1:10" s="15" customFormat="1" ht="16.5" hidden="1" customHeight="1" outlineLevel="1" x14ac:dyDescent="0.25">
      <c r="A10990" s="18">
        <v>1560</v>
      </c>
      <c r="B10990" s="4" t="s">
        <v>44</v>
      </c>
      <c r="C10990" s="38" t="s">
        <v>6021</v>
      </c>
      <c r="D10990" s="18">
        <v>2022</v>
      </c>
      <c r="E10990" s="18" t="s">
        <v>0</v>
      </c>
      <c r="F10990" s="41">
        <v>1</v>
      </c>
      <c r="G10990" s="4">
        <v>10</v>
      </c>
      <c r="H10990" s="18">
        <v>29.830819999999999</v>
      </c>
      <c r="I10990" s="90"/>
      <c r="J10990" s="90"/>
    </row>
    <row r="10991" spans="1:10" s="15" customFormat="1" ht="16.5" hidden="1" customHeight="1" outlineLevel="1" x14ac:dyDescent="0.25">
      <c r="A10991" s="18">
        <v>1635</v>
      </c>
      <c r="B10991" s="4" t="s">
        <v>44</v>
      </c>
      <c r="C10991" s="38" t="s">
        <v>6022</v>
      </c>
      <c r="D10991" s="18">
        <v>2022</v>
      </c>
      <c r="E10991" s="18" t="s">
        <v>0</v>
      </c>
      <c r="F10991" s="41">
        <v>1</v>
      </c>
      <c r="G10991" s="4">
        <v>10</v>
      </c>
      <c r="H10991" s="18">
        <v>20.337399999999999</v>
      </c>
      <c r="I10991" s="90"/>
      <c r="J10991" s="90"/>
    </row>
    <row r="10992" spans="1:10" s="15" customFormat="1" ht="16.5" hidden="1" customHeight="1" outlineLevel="1" x14ac:dyDescent="0.25">
      <c r="A10992" s="18">
        <v>1636</v>
      </c>
      <c r="B10992" s="4" t="s">
        <v>44</v>
      </c>
      <c r="C10992" s="38" t="s">
        <v>6023</v>
      </c>
      <c r="D10992" s="18">
        <v>2022</v>
      </c>
      <c r="E10992" s="18" t="s">
        <v>0</v>
      </c>
      <c r="F10992" s="41">
        <v>1</v>
      </c>
      <c r="G10992" s="4">
        <v>10</v>
      </c>
      <c r="H10992" s="18">
        <v>20.208839999999999</v>
      </c>
      <c r="I10992" s="90"/>
      <c r="J10992" s="90"/>
    </row>
    <row r="10993" spans="1:10" s="15" customFormat="1" ht="16.5" hidden="1" customHeight="1" outlineLevel="1" x14ac:dyDescent="0.25">
      <c r="A10993" s="18">
        <v>1639</v>
      </c>
      <c r="B10993" s="4" t="s">
        <v>44</v>
      </c>
      <c r="C10993" s="38" t="s">
        <v>6024</v>
      </c>
      <c r="D10993" s="18">
        <v>2022</v>
      </c>
      <c r="E10993" s="18" t="s">
        <v>0</v>
      </c>
      <c r="F10993" s="41">
        <v>1</v>
      </c>
      <c r="G10993" s="4">
        <v>4.5</v>
      </c>
      <c r="H10993" s="18">
        <v>20.208819999999999</v>
      </c>
      <c r="I10993" s="90"/>
      <c r="J10993" s="90"/>
    </row>
    <row r="10994" spans="1:10" s="15" customFormat="1" ht="16.5" hidden="1" customHeight="1" outlineLevel="1" x14ac:dyDescent="0.25">
      <c r="A10994" s="18">
        <v>1637</v>
      </c>
      <c r="B10994" s="4" t="s">
        <v>44</v>
      </c>
      <c r="C10994" s="38" t="s">
        <v>6025</v>
      </c>
      <c r="D10994" s="18">
        <v>2022</v>
      </c>
      <c r="E10994" s="18" t="s">
        <v>0</v>
      </c>
      <c r="F10994" s="41">
        <v>1</v>
      </c>
      <c r="G10994" s="4">
        <v>13.5</v>
      </c>
      <c r="H10994" s="18">
        <v>20.336449999999999</v>
      </c>
      <c r="I10994" s="90"/>
      <c r="J10994" s="90"/>
    </row>
    <row r="10995" spans="1:10" s="15" customFormat="1" ht="16.5" hidden="1" customHeight="1" outlineLevel="1" x14ac:dyDescent="0.25">
      <c r="A10995" s="18">
        <v>1596</v>
      </c>
      <c r="B10995" s="4" t="s">
        <v>44</v>
      </c>
      <c r="C10995" s="38" t="s">
        <v>6026</v>
      </c>
      <c r="D10995" s="18">
        <v>2022</v>
      </c>
      <c r="E10995" s="18" t="s">
        <v>0</v>
      </c>
      <c r="F10995" s="41">
        <v>1</v>
      </c>
      <c r="G10995" s="4">
        <v>10</v>
      </c>
      <c r="H10995" s="18">
        <v>20.69511</v>
      </c>
      <c r="I10995" s="90"/>
      <c r="J10995" s="90"/>
    </row>
    <row r="10996" spans="1:10" s="15" customFormat="1" ht="16.5" hidden="1" customHeight="1" outlineLevel="1" x14ac:dyDescent="0.25">
      <c r="A10996" s="18">
        <v>1638</v>
      </c>
      <c r="B10996" s="4" t="s">
        <v>44</v>
      </c>
      <c r="C10996" s="38" t="s">
        <v>6027</v>
      </c>
      <c r="D10996" s="18">
        <v>2022</v>
      </c>
      <c r="E10996" s="18" t="s">
        <v>0</v>
      </c>
      <c r="F10996" s="41">
        <v>1</v>
      </c>
      <c r="G10996" s="4">
        <v>10</v>
      </c>
      <c r="H10996" s="18">
        <v>20.015930000000001</v>
      </c>
      <c r="I10996" s="90"/>
      <c r="J10996" s="90"/>
    </row>
    <row r="10997" spans="1:10" s="15" customFormat="1" ht="16.5" hidden="1" customHeight="1" outlineLevel="1" x14ac:dyDescent="0.25">
      <c r="A10997" s="18">
        <v>1640</v>
      </c>
      <c r="B10997" s="4" t="s">
        <v>44</v>
      </c>
      <c r="C10997" s="38" t="s">
        <v>6028</v>
      </c>
      <c r="D10997" s="18">
        <v>2022</v>
      </c>
      <c r="E10997" s="18" t="s">
        <v>0</v>
      </c>
      <c r="F10997" s="41">
        <v>1</v>
      </c>
      <c r="G10997" s="4">
        <v>10</v>
      </c>
      <c r="H10997" s="18">
        <v>20.337340000000001</v>
      </c>
      <c r="I10997" s="90"/>
      <c r="J10997" s="90"/>
    </row>
    <row r="10998" spans="1:10" s="15" customFormat="1" ht="16.5" hidden="1" customHeight="1" outlineLevel="1" x14ac:dyDescent="0.25">
      <c r="A10998" s="18">
        <v>1615</v>
      </c>
      <c r="B10998" s="4" t="s">
        <v>44</v>
      </c>
      <c r="C10998" s="38" t="s">
        <v>6029</v>
      </c>
      <c r="D10998" s="18">
        <v>2022</v>
      </c>
      <c r="E10998" s="18" t="s">
        <v>0</v>
      </c>
      <c r="F10998" s="41">
        <v>1</v>
      </c>
      <c r="G10998" s="4">
        <v>10</v>
      </c>
      <c r="H10998" s="18">
        <v>21.12482</v>
      </c>
      <c r="I10998" s="90"/>
      <c r="J10998" s="90"/>
    </row>
    <row r="10999" spans="1:10" s="15" customFormat="1" ht="16.5" hidden="1" customHeight="1" outlineLevel="1" x14ac:dyDescent="0.25">
      <c r="A10999" s="18">
        <v>1613</v>
      </c>
      <c r="B10999" s="4" t="s">
        <v>44</v>
      </c>
      <c r="C10999" s="38" t="s">
        <v>6030</v>
      </c>
      <c r="D10999" s="18">
        <v>2022</v>
      </c>
      <c r="E10999" s="18" t="s">
        <v>0</v>
      </c>
      <c r="F10999" s="41">
        <v>1</v>
      </c>
      <c r="G10999" s="4">
        <v>10</v>
      </c>
      <c r="H10999" s="18">
        <v>21.12481</v>
      </c>
      <c r="I10999" s="90"/>
      <c r="J10999" s="90"/>
    </row>
    <row r="11000" spans="1:10" s="15" customFormat="1" ht="16.5" hidden="1" customHeight="1" outlineLevel="1" x14ac:dyDescent="0.25">
      <c r="A11000" s="18">
        <v>1575</v>
      </c>
      <c r="B11000" s="4" t="s">
        <v>44</v>
      </c>
      <c r="C11000" s="38" t="s">
        <v>6031</v>
      </c>
      <c r="D11000" s="18">
        <v>2022</v>
      </c>
      <c r="E11000" s="18" t="s">
        <v>0</v>
      </c>
      <c r="F11000" s="41">
        <v>1</v>
      </c>
      <c r="G11000" s="4">
        <v>10</v>
      </c>
      <c r="H11000" s="18">
        <v>29.487079999999999</v>
      </c>
      <c r="I11000" s="90"/>
      <c r="J11000" s="90"/>
    </row>
    <row r="11001" spans="1:10" s="15" customFormat="1" ht="16.5" hidden="1" customHeight="1" outlineLevel="1" x14ac:dyDescent="0.25">
      <c r="A11001" s="18">
        <v>1550</v>
      </c>
      <c r="B11001" s="4" t="s">
        <v>44</v>
      </c>
      <c r="C11001" s="38" t="s">
        <v>6032</v>
      </c>
      <c r="D11001" s="18">
        <v>2022</v>
      </c>
      <c r="E11001" s="18" t="s">
        <v>0</v>
      </c>
      <c r="F11001" s="41">
        <v>1</v>
      </c>
      <c r="G11001" s="4">
        <v>12</v>
      </c>
      <c r="H11001" s="18">
        <v>29.54571</v>
      </c>
      <c r="I11001" s="90"/>
      <c r="J11001" s="90"/>
    </row>
    <row r="11002" spans="1:10" s="15" customFormat="1" ht="16.5" hidden="1" customHeight="1" outlineLevel="1" x14ac:dyDescent="0.25">
      <c r="A11002" s="18">
        <v>1498</v>
      </c>
      <c r="B11002" s="4" t="s">
        <v>44</v>
      </c>
      <c r="C11002" s="38" t="s">
        <v>6033</v>
      </c>
      <c r="D11002" s="18">
        <v>2022</v>
      </c>
      <c r="E11002" s="18" t="s">
        <v>0</v>
      </c>
      <c r="F11002" s="41">
        <v>1</v>
      </c>
      <c r="G11002" s="4">
        <v>10</v>
      </c>
      <c r="H11002" s="18">
        <v>28.922560000000001</v>
      </c>
      <c r="I11002" s="90"/>
      <c r="J11002" s="90"/>
    </row>
    <row r="11003" spans="1:10" s="15" customFormat="1" ht="16.5" hidden="1" customHeight="1" outlineLevel="1" x14ac:dyDescent="0.25">
      <c r="A11003" s="18">
        <v>1614</v>
      </c>
      <c r="B11003" s="4" t="s">
        <v>44</v>
      </c>
      <c r="C11003" s="38" t="s">
        <v>6034</v>
      </c>
      <c r="D11003" s="18">
        <v>2022</v>
      </c>
      <c r="E11003" s="18" t="s">
        <v>0</v>
      </c>
      <c r="F11003" s="41">
        <v>1</v>
      </c>
      <c r="G11003" s="4">
        <v>10</v>
      </c>
      <c r="H11003" s="18">
        <v>21.190799999999999</v>
      </c>
      <c r="I11003" s="90"/>
      <c r="J11003" s="90"/>
    </row>
    <row r="11004" spans="1:10" s="15" customFormat="1" ht="16.5" hidden="1" customHeight="1" outlineLevel="1" x14ac:dyDescent="0.25">
      <c r="A11004" s="18">
        <v>1319</v>
      </c>
      <c r="B11004" s="4" t="s">
        <v>44</v>
      </c>
      <c r="C11004" s="38" t="s">
        <v>6035</v>
      </c>
      <c r="D11004" s="18">
        <v>2022</v>
      </c>
      <c r="E11004" s="18" t="s">
        <v>0</v>
      </c>
      <c r="F11004" s="41">
        <v>1</v>
      </c>
      <c r="G11004" s="4">
        <v>10</v>
      </c>
      <c r="H11004" s="18">
        <v>29.63109</v>
      </c>
      <c r="I11004" s="90"/>
      <c r="J11004" s="90"/>
    </row>
    <row r="11005" spans="1:10" s="15" customFormat="1" ht="16.5" hidden="1" customHeight="1" outlineLevel="1" x14ac:dyDescent="0.25">
      <c r="A11005" s="18">
        <v>1325</v>
      </c>
      <c r="B11005" s="4" t="s">
        <v>44</v>
      </c>
      <c r="C11005" s="38" t="s">
        <v>6036</v>
      </c>
      <c r="D11005" s="18">
        <v>2022</v>
      </c>
      <c r="E11005" s="18" t="s">
        <v>0</v>
      </c>
      <c r="F11005" s="41">
        <v>1</v>
      </c>
      <c r="G11005" s="4">
        <v>11.5</v>
      </c>
      <c r="H11005" s="18">
        <v>30.42014</v>
      </c>
      <c r="I11005" s="90"/>
      <c r="J11005" s="90"/>
    </row>
    <row r="11006" spans="1:10" s="15" customFormat="1" ht="16.5" hidden="1" customHeight="1" outlineLevel="1" x14ac:dyDescent="0.25">
      <c r="A11006" s="18">
        <v>1671</v>
      </c>
      <c r="B11006" s="4" t="s">
        <v>44</v>
      </c>
      <c r="C11006" s="38" t="s">
        <v>6037</v>
      </c>
      <c r="D11006" s="18">
        <v>2022</v>
      </c>
      <c r="E11006" s="18" t="s">
        <v>0</v>
      </c>
      <c r="F11006" s="41">
        <v>1</v>
      </c>
      <c r="G11006" s="4">
        <v>15</v>
      </c>
      <c r="H11006" s="18">
        <v>21.483689999999999</v>
      </c>
      <c r="I11006" s="90"/>
      <c r="J11006" s="90"/>
    </row>
    <row r="11007" spans="1:10" s="15" customFormat="1" ht="16.5" hidden="1" customHeight="1" outlineLevel="1" x14ac:dyDescent="0.25">
      <c r="A11007" s="18">
        <v>1672</v>
      </c>
      <c r="B11007" s="4" t="s">
        <v>44</v>
      </c>
      <c r="C11007" s="38" t="s">
        <v>6038</v>
      </c>
      <c r="D11007" s="18">
        <v>2022</v>
      </c>
      <c r="E11007" s="18" t="s">
        <v>0</v>
      </c>
      <c r="F11007" s="41">
        <v>1</v>
      </c>
      <c r="G11007" s="4">
        <v>15</v>
      </c>
      <c r="H11007" s="18">
        <v>21.233460000000001</v>
      </c>
      <c r="I11007" s="90"/>
      <c r="J11007" s="90"/>
    </row>
    <row r="11008" spans="1:10" s="15" customFormat="1" ht="16.5" hidden="1" customHeight="1" outlineLevel="1" x14ac:dyDescent="0.25">
      <c r="A11008" s="18">
        <v>1673</v>
      </c>
      <c r="B11008" s="4" t="s">
        <v>44</v>
      </c>
      <c r="C11008" s="38" t="s">
        <v>6039</v>
      </c>
      <c r="D11008" s="18">
        <v>2022</v>
      </c>
      <c r="E11008" s="18" t="s">
        <v>0</v>
      </c>
      <c r="F11008" s="41">
        <v>1</v>
      </c>
      <c r="G11008" s="4">
        <v>15</v>
      </c>
      <c r="H11008" s="18">
        <v>21.10247</v>
      </c>
      <c r="I11008" s="90"/>
      <c r="J11008" s="90"/>
    </row>
    <row r="11009" spans="1:10" s="15" customFormat="1" ht="16.5" hidden="1" customHeight="1" outlineLevel="1" x14ac:dyDescent="0.25">
      <c r="A11009" s="18">
        <v>1541</v>
      </c>
      <c r="B11009" s="4" t="s">
        <v>44</v>
      </c>
      <c r="C11009" s="38" t="s">
        <v>6040</v>
      </c>
      <c r="D11009" s="18">
        <v>2022</v>
      </c>
      <c r="E11009" s="18" t="s">
        <v>0</v>
      </c>
      <c r="F11009" s="41">
        <v>1</v>
      </c>
      <c r="G11009" s="4">
        <v>15</v>
      </c>
      <c r="H11009" s="18">
        <v>27.186509999999998</v>
      </c>
      <c r="I11009" s="90"/>
      <c r="J11009" s="90"/>
    </row>
    <row r="11010" spans="1:10" s="15" customFormat="1" ht="16.5" hidden="1" customHeight="1" outlineLevel="1" x14ac:dyDescent="0.25">
      <c r="A11010" s="18">
        <v>1670</v>
      </c>
      <c r="B11010" s="4" t="s">
        <v>44</v>
      </c>
      <c r="C11010" s="38" t="s">
        <v>6041</v>
      </c>
      <c r="D11010" s="18">
        <v>2022</v>
      </c>
      <c r="E11010" s="18" t="s">
        <v>0</v>
      </c>
      <c r="F11010" s="41">
        <v>1</v>
      </c>
      <c r="G11010" s="4">
        <v>15</v>
      </c>
      <c r="H11010" s="18">
        <v>21.645320000000002</v>
      </c>
      <c r="I11010" s="90"/>
      <c r="J11010" s="90"/>
    </row>
    <row r="11011" spans="1:10" s="15" customFormat="1" ht="16.5" hidden="1" customHeight="1" outlineLevel="1" x14ac:dyDescent="0.25">
      <c r="A11011" s="18">
        <v>1185</v>
      </c>
      <c r="B11011" s="4" t="s">
        <v>44</v>
      </c>
      <c r="C11011" s="38" t="s">
        <v>6042</v>
      </c>
      <c r="D11011" s="18">
        <v>2022</v>
      </c>
      <c r="E11011" s="18" t="s">
        <v>0</v>
      </c>
      <c r="F11011" s="41">
        <v>1</v>
      </c>
      <c r="G11011" s="4">
        <v>15</v>
      </c>
      <c r="H11011" s="18">
        <v>25.963450000000002</v>
      </c>
      <c r="I11011" s="90"/>
      <c r="J11011" s="90"/>
    </row>
    <row r="11012" spans="1:10" s="15" customFormat="1" ht="16.5" hidden="1" customHeight="1" outlineLevel="1" x14ac:dyDescent="0.25">
      <c r="A11012" s="18">
        <v>1683</v>
      </c>
      <c r="B11012" s="4" t="s">
        <v>44</v>
      </c>
      <c r="C11012" s="38" t="s">
        <v>6043</v>
      </c>
      <c r="D11012" s="18">
        <v>2022</v>
      </c>
      <c r="E11012" s="18" t="s">
        <v>0</v>
      </c>
      <c r="F11012" s="41">
        <v>1</v>
      </c>
      <c r="G11012" s="4">
        <v>15</v>
      </c>
      <c r="H11012" s="18">
        <v>21.986609999999999</v>
      </c>
      <c r="I11012" s="90"/>
      <c r="J11012" s="90"/>
    </row>
    <row r="11013" spans="1:10" s="15" customFormat="1" ht="16.5" hidden="1" customHeight="1" outlineLevel="1" x14ac:dyDescent="0.25">
      <c r="A11013" s="18">
        <v>1681</v>
      </c>
      <c r="B11013" s="4" t="s">
        <v>44</v>
      </c>
      <c r="C11013" s="38" t="s">
        <v>6044</v>
      </c>
      <c r="D11013" s="18">
        <v>2022</v>
      </c>
      <c r="E11013" s="18" t="s">
        <v>0</v>
      </c>
      <c r="F11013" s="41">
        <v>1</v>
      </c>
      <c r="G11013" s="4">
        <v>15</v>
      </c>
      <c r="H11013" s="18">
        <v>20.721609999999998</v>
      </c>
      <c r="I11013" s="90"/>
      <c r="J11013" s="90"/>
    </row>
    <row r="11014" spans="1:10" s="15" customFormat="1" ht="16.5" hidden="1" customHeight="1" outlineLevel="1" x14ac:dyDescent="0.25">
      <c r="A11014" s="18">
        <v>1682</v>
      </c>
      <c r="B11014" s="4" t="s">
        <v>44</v>
      </c>
      <c r="C11014" s="38" t="s">
        <v>6045</v>
      </c>
      <c r="D11014" s="18">
        <v>2022</v>
      </c>
      <c r="E11014" s="18" t="s">
        <v>0</v>
      </c>
      <c r="F11014" s="41">
        <v>1</v>
      </c>
      <c r="G11014" s="4">
        <v>15</v>
      </c>
      <c r="H11014" s="18">
        <v>19.475529999999999</v>
      </c>
      <c r="I11014" s="90"/>
      <c r="J11014" s="90"/>
    </row>
    <row r="11015" spans="1:10" s="15" customFormat="1" ht="16.5" hidden="1" customHeight="1" outlineLevel="1" x14ac:dyDescent="0.25">
      <c r="A11015" s="18">
        <v>1298</v>
      </c>
      <c r="B11015" s="4" t="s">
        <v>44</v>
      </c>
      <c r="C11015" s="38" t="s">
        <v>6046</v>
      </c>
      <c r="D11015" s="18">
        <v>2022</v>
      </c>
      <c r="E11015" s="18" t="s">
        <v>0</v>
      </c>
      <c r="F11015" s="41">
        <v>1</v>
      </c>
      <c r="G11015" s="4">
        <v>14.8</v>
      </c>
      <c r="H11015" s="18">
        <v>25.83239</v>
      </c>
      <c r="I11015" s="90"/>
      <c r="J11015" s="90"/>
    </row>
    <row r="11016" spans="1:10" s="15" customFormat="1" ht="16.5" hidden="1" customHeight="1" outlineLevel="1" x14ac:dyDescent="0.25">
      <c r="A11016" s="18">
        <v>1689</v>
      </c>
      <c r="B11016" s="4" t="s">
        <v>44</v>
      </c>
      <c r="C11016" s="38" t="s">
        <v>6047</v>
      </c>
      <c r="D11016" s="18">
        <v>2022</v>
      </c>
      <c r="E11016" s="18" t="s">
        <v>0</v>
      </c>
      <c r="F11016" s="41">
        <v>1</v>
      </c>
      <c r="G11016" s="4">
        <v>10</v>
      </c>
      <c r="H11016" s="18">
        <v>19.890170000000001</v>
      </c>
      <c r="I11016" s="90"/>
      <c r="J11016" s="90"/>
    </row>
    <row r="11017" spans="1:10" s="15" customFormat="1" ht="16.5" hidden="1" customHeight="1" outlineLevel="1" x14ac:dyDescent="0.25">
      <c r="A11017" s="18">
        <v>1530</v>
      </c>
      <c r="B11017" s="4" t="s">
        <v>44</v>
      </c>
      <c r="C11017" s="38" t="s">
        <v>6048</v>
      </c>
      <c r="D11017" s="18">
        <v>2022</v>
      </c>
      <c r="E11017" s="18" t="s">
        <v>0</v>
      </c>
      <c r="F11017" s="41">
        <v>1</v>
      </c>
      <c r="G11017" s="4">
        <v>12</v>
      </c>
      <c r="H11017" s="18">
        <v>26.234400000000001</v>
      </c>
      <c r="I11017" s="90"/>
      <c r="J11017" s="90"/>
    </row>
    <row r="11018" spans="1:10" s="15" customFormat="1" ht="16.5" hidden="1" customHeight="1" outlineLevel="1" x14ac:dyDescent="0.25">
      <c r="A11018" s="18">
        <v>1690</v>
      </c>
      <c r="B11018" s="4" t="s">
        <v>44</v>
      </c>
      <c r="C11018" s="38" t="s">
        <v>6049</v>
      </c>
      <c r="D11018" s="18">
        <v>2022</v>
      </c>
      <c r="E11018" s="18" t="s">
        <v>0</v>
      </c>
      <c r="F11018" s="41">
        <v>1</v>
      </c>
      <c r="G11018" s="4">
        <v>12</v>
      </c>
      <c r="H11018" s="18">
        <v>19.903870000000001</v>
      </c>
      <c r="I11018" s="90"/>
      <c r="J11018" s="90"/>
    </row>
    <row r="11019" spans="1:10" s="15" customFormat="1" ht="16.5" hidden="1" customHeight="1" outlineLevel="1" x14ac:dyDescent="0.25">
      <c r="A11019" s="18">
        <v>1496</v>
      </c>
      <c r="B11019" s="4" t="s">
        <v>44</v>
      </c>
      <c r="C11019" s="38" t="s">
        <v>6050</v>
      </c>
      <c r="D11019" s="18">
        <v>2022</v>
      </c>
      <c r="E11019" s="18" t="s">
        <v>0</v>
      </c>
      <c r="F11019" s="41">
        <v>1</v>
      </c>
      <c r="G11019" s="4">
        <v>15</v>
      </c>
      <c r="H11019" s="18">
        <v>27.299669999999999</v>
      </c>
      <c r="I11019" s="90"/>
      <c r="J11019" s="90"/>
    </row>
    <row r="11020" spans="1:10" s="15" customFormat="1" ht="16.5" hidden="1" customHeight="1" outlineLevel="1" x14ac:dyDescent="0.25">
      <c r="A11020" s="18">
        <v>1705</v>
      </c>
      <c r="B11020" s="4" t="s">
        <v>44</v>
      </c>
      <c r="C11020" s="38" t="s">
        <v>6051</v>
      </c>
      <c r="D11020" s="18">
        <v>2022</v>
      </c>
      <c r="E11020" s="18" t="s">
        <v>0</v>
      </c>
      <c r="F11020" s="41">
        <v>1</v>
      </c>
      <c r="G11020" s="4">
        <v>15</v>
      </c>
      <c r="H11020" s="18">
        <v>20.50919</v>
      </c>
      <c r="I11020" s="90"/>
      <c r="J11020" s="90"/>
    </row>
    <row r="11021" spans="1:10" s="15" customFormat="1" ht="16.5" hidden="1" customHeight="1" outlineLevel="1" x14ac:dyDescent="0.25">
      <c r="A11021" s="18">
        <v>1707</v>
      </c>
      <c r="B11021" s="4" t="s">
        <v>44</v>
      </c>
      <c r="C11021" s="38" t="s">
        <v>6052</v>
      </c>
      <c r="D11021" s="18">
        <v>2022</v>
      </c>
      <c r="E11021" s="18" t="s">
        <v>0</v>
      </c>
      <c r="F11021" s="41">
        <v>1</v>
      </c>
      <c r="G11021" s="4">
        <v>10</v>
      </c>
      <c r="H11021" s="18">
        <v>20.904240000000001</v>
      </c>
      <c r="I11021" s="90"/>
      <c r="J11021" s="90"/>
    </row>
    <row r="11022" spans="1:10" s="15" customFormat="1" ht="16.5" hidden="1" customHeight="1" outlineLevel="1" x14ac:dyDescent="0.25">
      <c r="A11022" s="18">
        <v>1709</v>
      </c>
      <c r="B11022" s="4" t="s">
        <v>44</v>
      </c>
      <c r="C11022" s="38" t="s">
        <v>6053</v>
      </c>
      <c r="D11022" s="18">
        <v>2022</v>
      </c>
      <c r="E11022" s="18" t="s">
        <v>0</v>
      </c>
      <c r="F11022" s="41">
        <v>1</v>
      </c>
      <c r="G11022" s="4">
        <v>13</v>
      </c>
      <c r="H11022" s="18">
        <v>20.553899999999999</v>
      </c>
      <c r="I11022" s="90"/>
      <c r="J11022" s="90"/>
    </row>
    <row r="11023" spans="1:10" s="15" customFormat="1" ht="16.5" hidden="1" customHeight="1" outlineLevel="1" x14ac:dyDescent="0.25">
      <c r="A11023" s="18">
        <v>1100</v>
      </c>
      <c r="B11023" s="4" t="s">
        <v>44</v>
      </c>
      <c r="C11023" s="38" t="s">
        <v>6054</v>
      </c>
      <c r="D11023" s="18">
        <v>2022</v>
      </c>
      <c r="E11023" s="18" t="s">
        <v>0</v>
      </c>
      <c r="F11023" s="41">
        <v>1</v>
      </c>
      <c r="G11023" s="4">
        <v>10</v>
      </c>
      <c r="H11023" s="18">
        <v>35.061709999999998</v>
      </c>
      <c r="I11023" s="90"/>
      <c r="J11023" s="90"/>
    </row>
    <row r="11024" spans="1:10" s="15" customFormat="1" ht="16.5" hidden="1" customHeight="1" outlineLevel="1" x14ac:dyDescent="0.25">
      <c r="A11024" s="18">
        <v>1257</v>
      </c>
      <c r="B11024" s="4" t="s">
        <v>44</v>
      </c>
      <c r="C11024" s="38" t="s">
        <v>6055</v>
      </c>
      <c r="D11024" s="18">
        <v>2022</v>
      </c>
      <c r="E11024" s="18" t="s">
        <v>0</v>
      </c>
      <c r="F11024" s="41">
        <v>1</v>
      </c>
      <c r="G11024" s="4">
        <v>15</v>
      </c>
      <c r="H11024" s="18">
        <v>29.501200000000001</v>
      </c>
      <c r="I11024" s="90"/>
      <c r="J11024" s="90"/>
    </row>
    <row r="11025" spans="1:10" s="15" customFormat="1" ht="16.5" hidden="1" customHeight="1" outlineLevel="1" x14ac:dyDescent="0.25">
      <c r="A11025" s="18">
        <v>1258</v>
      </c>
      <c r="B11025" s="4" t="s">
        <v>44</v>
      </c>
      <c r="C11025" s="38" t="s">
        <v>6056</v>
      </c>
      <c r="D11025" s="18">
        <v>2022</v>
      </c>
      <c r="E11025" s="18" t="s">
        <v>0</v>
      </c>
      <c r="F11025" s="41">
        <v>1</v>
      </c>
      <c r="G11025" s="4">
        <v>5</v>
      </c>
      <c r="H11025" s="18">
        <v>26.593620000000001</v>
      </c>
      <c r="I11025" s="90"/>
      <c r="J11025" s="90"/>
    </row>
    <row r="11026" spans="1:10" s="15" customFormat="1" ht="16.5" hidden="1" customHeight="1" outlineLevel="1" x14ac:dyDescent="0.25">
      <c r="A11026" s="18">
        <v>1278</v>
      </c>
      <c r="B11026" s="4" t="s">
        <v>44</v>
      </c>
      <c r="C11026" s="38" t="s">
        <v>6057</v>
      </c>
      <c r="D11026" s="18">
        <v>2022</v>
      </c>
      <c r="E11026" s="18" t="s">
        <v>0</v>
      </c>
      <c r="F11026" s="41">
        <v>1</v>
      </c>
      <c r="G11026" s="4">
        <v>15</v>
      </c>
      <c r="H11026" s="18">
        <v>28.355229999999999</v>
      </c>
      <c r="I11026" s="90"/>
      <c r="J11026" s="90"/>
    </row>
    <row r="11027" spans="1:10" s="15" customFormat="1" ht="16.5" hidden="1" customHeight="1" outlineLevel="1" x14ac:dyDescent="0.25">
      <c r="A11027" s="18">
        <v>1340</v>
      </c>
      <c r="B11027" s="4" t="s">
        <v>44</v>
      </c>
      <c r="C11027" s="38" t="s">
        <v>6058</v>
      </c>
      <c r="D11027" s="18">
        <v>2022</v>
      </c>
      <c r="E11027" s="18" t="s">
        <v>0</v>
      </c>
      <c r="F11027" s="41">
        <v>1</v>
      </c>
      <c r="G11027" s="4">
        <v>15</v>
      </c>
      <c r="H11027" s="18">
        <v>27.216280000000001</v>
      </c>
      <c r="I11027" s="90"/>
      <c r="J11027" s="90"/>
    </row>
    <row r="11028" spans="1:10" s="15" customFormat="1" ht="16.5" hidden="1" customHeight="1" outlineLevel="1" x14ac:dyDescent="0.25">
      <c r="A11028" s="18">
        <v>1355</v>
      </c>
      <c r="B11028" s="4" t="s">
        <v>44</v>
      </c>
      <c r="C11028" s="38" t="s">
        <v>6059</v>
      </c>
      <c r="D11028" s="18">
        <v>2022</v>
      </c>
      <c r="E11028" s="18" t="s">
        <v>0</v>
      </c>
      <c r="F11028" s="41">
        <v>1</v>
      </c>
      <c r="G11028" s="4">
        <v>36.450000000000003</v>
      </c>
      <c r="H11028" s="18">
        <v>27.109559999999998</v>
      </c>
      <c r="I11028" s="90"/>
      <c r="J11028" s="90"/>
    </row>
    <row r="11029" spans="1:10" s="15" customFormat="1" ht="16.5" hidden="1" customHeight="1" outlineLevel="1" x14ac:dyDescent="0.25">
      <c r="A11029" s="18">
        <v>1415</v>
      </c>
      <c r="B11029" s="4" t="s">
        <v>44</v>
      </c>
      <c r="C11029" s="38" t="s">
        <v>6060</v>
      </c>
      <c r="D11029" s="18">
        <v>2022</v>
      </c>
      <c r="E11029" s="18" t="s">
        <v>0</v>
      </c>
      <c r="F11029" s="41">
        <v>1</v>
      </c>
      <c r="G11029" s="4">
        <v>15</v>
      </c>
      <c r="H11029" s="18">
        <v>27.49531</v>
      </c>
      <c r="I11029" s="90"/>
      <c r="J11029" s="90"/>
    </row>
    <row r="11030" spans="1:10" s="15" customFormat="1" ht="16.5" hidden="1" customHeight="1" outlineLevel="1" x14ac:dyDescent="0.25">
      <c r="A11030" s="18">
        <v>1419</v>
      </c>
      <c r="B11030" s="4" t="s">
        <v>44</v>
      </c>
      <c r="C11030" s="38" t="s">
        <v>6061</v>
      </c>
      <c r="D11030" s="18">
        <v>2022</v>
      </c>
      <c r="E11030" s="18" t="s">
        <v>0</v>
      </c>
      <c r="F11030" s="41">
        <v>1</v>
      </c>
      <c r="G11030" s="4">
        <v>15</v>
      </c>
      <c r="H11030" s="18">
        <v>25.665479999999999</v>
      </c>
      <c r="I11030" s="90"/>
      <c r="J11030" s="90"/>
    </row>
    <row r="11031" spans="1:10" s="15" customFormat="1" ht="16.5" hidden="1" customHeight="1" outlineLevel="1" x14ac:dyDescent="0.25">
      <c r="A11031" s="18">
        <v>1497</v>
      </c>
      <c r="B11031" s="4" t="s">
        <v>44</v>
      </c>
      <c r="C11031" s="38" t="s">
        <v>6062</v>
      </c>
      <c r="D11031" s="18">
        <v>2022</v>
      </c>
      <c r="E11031" s="18" t="s">
        <v>0</v>
      </c>
      <c r="F11031" s="41">
        <v>1</v>
      </c>
      <c r="G11031" s="4">
        <v>15</v>
      </c>
      <c r="H11031" s="18">
        <v>27.315380000000001</v>
      </c>
      <c r="I11031" s="90"/>
      <c r="J11031" s="90"/>
    </row>
    <row r="11032" spans="1:10" s="15" customFormat="1" ht="16.5" hidden="1" customHeight="1" outlineLevel="1" x14ac:dyDescent="0.25">
      <c r="A11032" s="18">
        <v>1494</v>
      </c>
      <c r="B11032" s="4" t="s">
        <v>44</v>
      </c>
      <c r="C11032" s="38" t="s">
        <v>6063</v>
      </c>
      <c r="D11032" s="18">
        <v>2022</v>
      </c>
      <c r="E11032" s="18" t="s">
        <v>0</v>
      </c>
      <c r="F11032" s="41">
        <v>1</v>
      </c>
      <c r="G11032" s="4">
        <v>15</v>
      </c>
      <c r="H11032" s="18">
        <v>27.249890000000001</v>
      </c>
      <c r="I11032" s="90"/>
      <c r="J11032" s="90"/>
    </row>
    <row r="11033" spans="1:10" s="15" customFormat="1" ht="16.5" hidden="1" customHeight="1" outlineLevel="1" x14ac:dyDescent="0.25">
      <c r="A11033" s="18">
        <v>1703</v>
      </c>
      <c r="B11033" s="4" t="s">
        <v>44</v>
      </c>
      <c r="C11033" s="38" t="s">
        <v>6064</v>
      </c>
      <c r="D11033" s="18">
        <v>2022</v>
      </c>
      <c r="E11033" s="18" t="s">
        <v>0</v>
      </c>
      <c r="F11033" s="41">
        <v>1</v>
      </c>
      <c r="G11033" s="4">
        <v>14.8</v>
      </c>
      <c r="H11033" s="18">
        <v>20.48678</v>
      </c>
      <c r="I11033" s="90"/>
      <c r="J11033" s="90"/>
    </row>
    <row r="11034" spans="1:10" s="15" customFormat="1" ht="16.5" hidden="1" customHeight="1" outlineLevel="1" x14ac:dyDescent="0.25">
      <c r="A11034" s="18">
        <v>1702</v>
      </c>
      <c r="B11034" s="4" t="s">
        <v>44</v>
      </c>
      <c r="C11034" s="38" t="s">
        <v>6065</v>
      </c>
      <c r="D11034" s="18">
        <v>2022</v>
      </c>
      <c r="E11034" s="18" t="s">
        <v>0</v>
      </c>
      <c r="F11034" s="41">
        <v>1</v>
      </c>
      <c r="G11034" s="4">
        <v>15</v>
      </c>
      <c r="H11034" s="18">
        <v>20.509170000000001</v>
      </c>
      <c r="I11034" s="90"/>
      <c r="J11034" s="90"/>
    </row>
    <row r="11035" spans="1:10" s="15" customFormat="1" ht="16.5" hidden="1" customHeight="1" outlineLevel="1" x14ac:dyDescent="0.25">
      <c r="A11035" s="18">
        <v>1609</v>
      </c>
      <c r="B11035" s="4" t="s">
        <v>44</v>
      </c>
      <c r="C11035" s="38" t="s">
        <v>6066</v>
      </c>
      <c r="D11035" s="18">
        <v>2022</v>
      </c>
      <c r="E11035" s="18" t="s">
        <v>0</v>
      </c>
      <c r="F11035" s="41">
        <v>1</v>
      </c>
      <c r="G11035" s="4">
        <v>71</v>
      </c>
      <c r="H11035" s="18">
        <v>62.396479999999997</v>
      </c>
      <c r="I11035" s="90"/>
      <c r="J11035" s="90"/>
    </row>
    <row r="11036" spans="1:10" s="15" customFormat="1" ht="16.5" hidden="1" customHeight="1" outlineLevel="1" x14ac:dyDescent="0.25">
      <c r="A11036" s="18">
        <v>1624</v>
      </c>
      <c r="B11036" s="4" t="s">
        <v>44</v>
      </c>
      <c r="C11036" s="38" t="s">
        <v>6067</v>
      </c>
      <c r="D11036" s="18">
        <v>2022</v>
      </c>
      <c r="E11036" s="18" t="s">
        <v>0</v>
      </c>
      <c r="F11036" s="41">
        <v>1</v>
      </c>
      <c r="G11036" s="4">
        <v>15</v>
      </c>
      <c r="H11036" s="18">
        <v>21.391870000000001</v>
      </c>
      <c r="I11036" s="90"/>
      <c r="J11036" s="90"/>
    </row>
    <row r="11037" spans="1:10" s="15" customFormat="1" ht="16.5" hidden="1" customHeight="1" outlineLevel="1" x14ac:dyDescent="0.25">
      <c r="A11037" s="18">
        <v>1697</v>
      </c>
      <c r="B11037" s="4" t="s">
        <v>44</v>
      </c>
      <c r="C11037" s="38" t="s">
        <v>6068</v>
      </c>
      <c r="D11037" s="18">
        <v>2022</v>
      </c>
      <c r="E11037" s="18" t="s">
        <v>0</v>
      </c>
      <c r="F11037" s="41">
        <v>1</v>
      </c>
      <c r="G11037" s="4">
        <v>11</v>
      </c>
      <c r="H11037" s="18">
        <v>20.13729</v>
      </c>
      <c r="I11037" s="90"/>
      <c r="J11037" s="90"/>
    </row>
    <row r="11038" spans="1:10" s="15" customFormat="1" ht="16.5" hidden="1" customHeight="1" outlineLevel="1" x14ac:dyDescent="0.25">
      <c r="A11038" s="18">
        <v>1677</v>
      </c>
      <c r="B11038" s="4" t="s">
        <v>44</v>
      </c>
      <c r="C11038" s="38" t="s">
        <v>6069</v>
      </c>
      <c r="D11038" s="18">
        <v>2022</v>
      </c>
      <c r="E11038" s="18" t="s">
        <v>0</v>
      </c>
      <c r="F11038" s="41">
        <v>1</v>
      </c>
      <c r="G11038" s="4">
        <v>15</v>
      </c>
      <c r="H11038" s="18">
        <v>21.961279999999999</v>
      </c>
      <c r="I11038" s="90"/>
      <c r="J11038" s="90"/>
    </row>
    <row r="11039" spans="1:10" s="15" customFormat="1" ht="16.5" hidden="1" customHeight="1" outlineLevel="1" x14ac:dyDescent="0.25">
      <c r="A11039" s="18">
        <v>1675</v>
      </c>
      <c r="B11039" s="4" t="s">
        <v>44</v>
      </c>
      <c r="C11039" s="38" t="s">
        <v>6070</v>
      </c>
      <c r="D11039" s="18">
        <v>2022</v>
      </c>
      <c r="E11039" s="18" t="s">
        <v>0</v>
      </c>
      <c r="F11039" s="41">
        <v>1</v>
      </c>
      <c r="G11039" s="4">
        <v>15</v>
      </c>
      <c r="H11039" s="18">
        <v>22.147880000000001</v>
      </c>
      <c r="I11039" s="90"/>
      <c r="J11039" s="90"/>
    </row>
    <row r="11040" spans="1:10" s="15" customFormat="1" ht="16.5" hidden="1" customHeight="1" outlineLevel="1" x14ac:dyDescent="0.25">
      <c r="A11040" s="18">
        <v>1470</v>
      </c>
      <c r="B11040" s="4" t="s">
        <v>44</v>
      </c>
      <c r="C11040" s="38" t="s">
        <v>6071</v>
      </c>
      <c r="D11040" s="18">
        <v>2022</v>
      </c>
      <c r="E11040" s="18" t="s">
        <v>0</v>
      </c>
      <c r="F11040" s="41">
        <v>1</v>
      </c>
      <c r="G11040" s="4">
        <v>10</v>
      </c>
      <c r="H11040" s="18">
        <v>26.091909999999999</v>
      </c>
      <c r="I11040" s="90"/>
      <c r="J11040" s="90"/>
    </row>
    <row r="11041" spans="1:10" s="15" customFormat="1" ht="16.5" hidden="1" customHeight="1" outlineLevel="1" x14ac:dyDescent="0.25">
      <c r="A11041" s="18">
        <v>1447</v>
      </c>
      <c r="B11041" s="4" t="s">
        <v>44</v>
      </c>
      <c r="C11041" s="38" t="s">
        <v>6072</v>
      </c>
      <c r="D11041" s="18">
        <v>2022</v>
      </c>
      <c r="E11041" s="18" t="s">
        <v>0</v>
      </c>
      <c r="F11041" s="41">
        <v>1</v>
      </c>
      <c r="G11041" s="4">
        <v>15</v>
      </c>
      <c r="H11041" s="18">
        <v>27.098769999999998</v>
      </c>
      <c r="I11041" s="90"/>
      <c r="J11041" s="90"/>
    </row>
    <row r="11042" spans="1:10" s="15" customFormat="1" ht="16.5" hidden="1" customHeight="1" outlineLevel="1" x14ac:dyDescent="0.25">
      <c r="A11042" s="18">
        <v>1716</v>
      </c>
      <c r="B11042" s="4" t="s">
        <v>44</v>
      </c>
      <c r="C11042" s="38" t="s">
        <v>6073</v>
      </c>
      <c r="D11042" s="18">
        <v>2022</v>
      </c>
      <c r="E11042" s="18" t="s">
        <v>0</v>
      </c>
      <c r="F11042" s="41">
        <v>1</v>
      </c>
      <c r="G11042" s="4">
        <v>15</v>
      </c>
      <c r="H11042" s="18">
        <v>20.41048</v>
      </c>
      <c r="I11042" s="90"/>
      <c r="J11042" s="90"/>
    </row>
    <row r="11043" spans="1:10" s="15" customFormat="1" ht="16.5" hidden="1" customHeight="1" outlineLevel="1" x14ac:dyDescent="0.25">
      <c r="A11043" s="18">
        <v>1630</v>
      </c>
      <c r="B11043" s="4" t="s">
        <v>44</v>
      </c>
      <c r="C11043" s="38" t="s">
        <v>6074</v>
      </c>
      <c r="D11043" s="18">
        <v>2022</v>
      </c>
      <c r="E11043" s="18" t="s">
        <v>0</v>
      </c>
      <c r="F11043" s="41">
        <v>1</v>
      </c>
      <c r="G11043" s="4">
        <v>10</v>
      </c>
      <c r="H11043" s="18">
        <v>20.86525</v>
      </c>
      <c r="I11043" s="90"/>
      <c r="J11043" s="90"/>
    </row>
    <row r="11044" spans="1:10" s="15" customFormat="1" ht="16.5" hidden="1" customHeight="1" outlineLevel="1" x14ac:dyDescent="0.25">
      <c r="A11044" s="18">
        <v>1501</v>
      </c>
      <c r="B11044" s="4" t="s">
        <v>44</v>
      </c>
      <c r="C11044" s="38" t="s">
        <v>3117</v>
      </c>
      <c r="D11044" s="18">
        <v>2022</v>
      </c>
      <c r="E11044" s="18" t="s">
        <v>0</v>
      </c>
      <c r="F11044" s="41">
        <v>1</v>
      </c>
      <c r="G11044" s="4">
        <v>12</v>
      </c>
      <c r="H11044" s="18">
        <v>38.836379999999998</v>
      </c>
      <c r="I11044" s="90"/>
      <c r="J11044" s="90"/>
    </row>
    <row r="11045" spans="1:10" s="15" customFormat="1" ht="16.5" hidden="1" customHeight="1" outlineLevel="1" x14ac:dyDescent="0.25">
      <c r="A11045" s="18">
        <v>1592</v>
      </c>
      <c r="B11045" s="4" t="s">
        <v>44</v>
      </c>
      <c r="C11045" s="38" t="s">
        <v>2268</v>
      </c>
      <c r="D11045" s="18">
        <v>2022</v>
      </c>
      <c r="E11045" s="18" t="s">
        <v>0</v>
      </c>
      <c r="F11045" s="41">
        <v>1</v>
      </c>
      <c r="G11045" s="4">
        <v>30</v>
      </c>
      <c r="H11045" s="18">
        <v>22.807079999999999</v>
      </c>
      <c r="I11045" s="90"/>
      <c r="J11045" s="90"/>
    </row>
    <row r="11046" spans="1:10" s="15" customFormat="1" ht="16.5" hidden="1" customHeight="1" outlineLevel="1" x14ac:dyDescent="0.25">
      <c r="A11046" s="18">
        <v>1374</v>
      </c>
      <c r="B11046" s="4" t="s">
        <v>44</v>
      </c>
      <c r="C11046" s="38" t="s">
        <v>2269</v>
      </c>
      <c r="D11046" s="18">
        <v>2022</v>
      </c>
      <c r="E11046" s="18" t="s">
        <v>0</v>
      </c>
      <c r="F11046" s="41">
        <v>1</v>
      </c>
      <c r="G11046" s="4">
        <v>15</v>
      </c>
      <c r="H11046" s="18">
        <v>32.611870000000003</v>
      </c>
      <c r="I11046" s="90"/>
      <c r="J11046" s="90"/>
    </row>
    <row r="11047" spans="1:10" s="15" customFormat="1" ht="16.5" hidden="1" customHeight="1" outlineLevel="1" x14ac:dyDescent="0.25">
      <c r="A11047" s="18">
        <v>1196</v>
      </c>
      <c r="B11047" s="4" t="s">
        <v>44</v>
      </c>
      <c r="C11047" s="38" t="s">
        <v>2270</v>
      </c>
      <c r="D11047" s="18">
        <v>2022</v>
      </c>
      <c r="E11047" s="18" t="s">
        <v>0</v>
      </c>
      <c r="F11047" s="41">
        <v>1</v>
      </c>
      <c r="G11047" s="4">
        <v>15</v>
      </c>
      <c r="H11047" s="18">
        <v>44.449509999999997</v>
      </c>
      <c r="I11047" s="90"/>
      <c r="J11047" s="90"/>
    </row>
    <row r="11048" spans="1:10" s="15" customFormat="1" ht="16.5" hidden="1" customHeight="1" outlineLevel="1" x14ac:dyDescent="0.25">
      <c r="A11048" s="18">
        <v>1590</v>
      </c>
      <c r="B11048" s="4" t="s">
        <v>44</v>
      </c>
      <c r="C11048" s="38" t="s">
        <v>2271</v>
      </c>
      <c r="D11048" s="18">
        <v>2022</v>
      </c>
      <c r="E11048" s="18" t="s">
        <v>0</v>
      </c>
      <c r="F11048" s="41">
        <v>1</v>
      </c>
      <c r="G11048" s="4">
        <v>30</v>
      </c>
      <c r="H11048" s="18">
        <v>40.30303</v>
      </c>
      <c r="I11048" s="90"/>
      <c r="J11048" s="90"/>
    </row>
    <row r="11049" spans="1:10" s="15" customFormat="1" ht="16.5" hidden="1" customHeight="1" outlineLevel="1" x14ac:dyDescent="0.25">
      <c r="A11049" s="18">
        <v>1150</v>
      </c>
      <c r="B11049" s="4" t="s">
        <v>44</v>
      </c>
      <c r="C11049" s="38" t="s">
        <v>2272</v>
      </c>
      <c r="D11049" s="18">
        <v>2022</v>
      </c>
      <c r="E11049" s="18" t="s">
        <v>0</v>
      </c>
      <c r="F11049" s="41">
        <v>1</v>
      </c>
      <c r="G11049" s="4">
        <v>15</v>
      </c>
      <c r="H11049" s="18">
        <v>36.52122</v>
      </c>
      <c r="I11049" s="90"/>
      <c r="J11049" s="90"/>
    </row>
    <row r="11050" spans="1:10" s="15" customFormat="1" ht="16.5" hidden="1" customHeight="1" outlineLevel="1" x14ac:dyDescent="0.25">
      <c r="A11050" s="18">
        <v>1591</v>
      </c>
      <c r="B11050" s="4" t="s">
        <v>44</v>
      </c>
      <c r="C11050" s="38" t="s">
        <v>2273</v>
      </c>
      <c r="D11050" s="18">
        <v>2022</v>
      </c>
      <c r="E11050" s="18" t="s">
        <v>0</v>
      </c>
      <c r="F11050" s="41">
        <v>1</v>
      </c>
      <c r="G11050" s="4">
        <v>25</v>
      </c>
      <c r="H11050" s="18">
        <v>38.581510000000002</v>
      </c>
      <c r="I11050" s="90"/>
      <c r="J11050" s="90"/>
    </row>
    <row r="11051" spans="1:10" s="15" customFormat="1" ht="16.5" hidden="1" customHeight="1" outlineLevel="1" x14ac:dyDescent="0.25">
      <c r="A11051" s="18">
        <v>1589</v>
      </c>
      <c r="B11051" s="4" t="s">
        <v>44</v>
      </c>
      <c r="C11051" s="38" t="s">
        <v>2274</v>
      </c>
      <c r="D11051" s="18">
        <v>2022</v>
      </c>
      <c r="E11051" s="18" t="s">
        <v>0</v>
      </c>
      <c r="F11051" s="41">
        <v>1</v>
      </c>
      <c r="G11051" s="4">
        <v>100.6</v>
      </c>
      <c r="H11051" s="18">
        <v>42.331180000000003</v>
      </c>
      <c r="I11051" s="90"/>
      <c r="J11051" s="90"/>
    </row>
    <row r="11052" spans="1:10" s="15" customFormat="1" ht="16.5" hidden="1" customHeight="1" outlineLevel="1" x14ac:dyDescent="0.25">
      <c r="A11052" s="18">
        <v>1162</v>
      </c>
      <c r="B11052" s="4" t="s">
        <v>44</v>
      </c>
      <c r="C11052" s="38" t="s">
        <v>2275</v>
      </c>
      <c r="D11052" s="18">
        <v>2022</v>
      </c>
      <c r="E11052" s="18" t="s">
        <v>0</v>
      </c>
      <c r="F11052" s="41">
        <v>1</v>
      </c>
      <c r="G11052" s="4">
        <v>15</v>
      </c>
      <c r="H11052" s="18">
        <v>47.104309999999998</v>
      </c>
      <c r="I11052" s="90"/>
      <c r="J11052" s="90"/>
    </row>
    <row r="11053" spans="1:10" s="15" customFormat="1" ht="16.5" hidden="1" customHeight="1" outlineLevel="1" x14ac:dyDescent="0.25">
      <c r="A11053" s="18">
        <v>1700</v>
      </c>
      <c r="B11053" s="4" t="s">
        <v>44</v>
      </c>
      <c r="C11053" s="38" t="s">
        <v>6075</v>
      </c>
      <c r="D11053" s="18">
        <v>2022</v>
      </c>
      <c r="E11053" s="18" t="s">
        <v>0</v>
      </c>
      <c r="F11053" s="41">
        <v>1</v>
      </c>
      <c r="G11053" s="4">
        <v>15</v>
      </c>
      <c r="H11053" s="18">
        <v>20.086320000000001</v>
      </c>
      <c r="I11053" s="90"/>
      <c r="J11053" s="90"/>
    </row>
    <row r="11054" spans="1:10" s="15" customFormat="1" ht="16.5" hidden="1" customHeight="1" outlineLevel="1" x14ac:dyDescent="0.25">
      <c r="A11054" s="18">
        <v>1688</v>
      </c>
      <c r="B11054" s="4" t="s">
        <v>44</v>
      </c>
      <c r="C11054" s="38" t="s">
        <v>6076</v>
      </c>
      <c r="D11054" s="18">
        <v>2022</v>
      </c>
      <c r="E11054" s="18" t="s">
        <v>0</v>
      </c>
      <c r="F11054" s="41">
        <v>1</v>
      </c>
      <c r="G11054" s="4">
        <v>14.8</v>
      </c>
      <c r="H11054" s="18">
        <v>20.25977</v>
      </c>
      <c r="I11054" s="90"/>
      <c r="J11054" s="90"/>
    </row>
    <row r="11055" spans="1:10" s="15" customFormat="1" ht="16.5" hidden="1" customHeight="1" outlineLevel="1" x14ac:dyDescent="0.25">
      <c r="A11055" s="18">
        <v>1691</v>
      </c>
      <c r="B11055" s="4" t="s">
        <v>44</v>
      </c>
      <c r="C11055" s="38" t="s">
        <v>6077</v>
      </c>
      <c r="D11055" s="18">
        <v>2022</v>
      </c>
      <c r="E11055" s="18" t="s">
        <v>0</v>
      </c>
      <c r="F11055" s="41">
        <v>1</v>
      </c>
      <c r="G11055" s="4">
        <v>10</v>
      </c>
      <c r="H11055" s="18">
        <v>20.092510000000001</v>
      </c>
      <c r="I11055" s="90"/>
      <c r="J11055" s="90"/>
    </row>
    <row r="11056" spans="1:10" s="15" customFormat="1" ht="16.5" hidden="1" customHeight="1" outlineLevel="1" x14ac:dyDescent="0.25">
      <c r="A11056" s="18">
        <v>1713</v>
      </c>
      <c r="B11056" s="4" t="s">
        <v>44</v>
      </c>
      <c r="C11056" s="38" t="s">
        <v>6078</v>
      </c>
      <c r="D11056" s="18">
        <v>2022</v>
      </c>
      <c r="E11056" s="18" t="s">
        <v>0</v>
      </c>
      <c r="F11056" s="41">
        <v>1</v>
      </c>
      <c r="G11056" s="4">
        <v>15</v>
      </c>
      <c r="H11056" s="18">
        <v>21.11138</v>
      </c>
      <c r="I11056" s="90"/>
      <c r="J11056" s="90"/>
    </row>
    <row r="11057" spans="1:10" s="15" customFormat="1" ht="16.5" hidden="1" customHeight="1" outlineLevel="1" x14ac:dyDescent="0.25">
      <c r="A11057" s="18">
        <v>1335</v>
      </c>
      <c r="B11057" s="4" t="s">
        <v>44</v>
      </c>
      <c r="C11057" s="38" t="s">
        <v>2276</v>
      </c>
      <c r="D11057" s="18">
        <v>2022</v>
      </c>
      <c r="E11057" s="18" t="s">
        <v>0</v>
      </c>
      <c r="F11057" s="41">
        <v>1</v>
      </c>
      <c r="G11057" s="4">
        <v>15</v>
      </c>
      <c r="H11057" s="18">
        <v>72.431610000000006</v>
      </c>
      <c r="I11057" s="90"/>
      <c r="J11057" s="90"/>
    </row>
    <row r="11058" spans="1:10" s="15" customFormat="1" ht="16.5" hidden="1" customHeight="1" outlineLevel="1" x14ac:dyDescent="0.25">
      <c r="A11058" s="18">
        <v>1519</v>
      </c>
      <c r="B11058" s="4" t="s">
        <v>44</v>
      </c>
      <c r="C11058" s="38" t="s">
        <v>2277</v>
      </c>
      <c r="D11058" s="18">
        <v>2022</v>
      </c>
      <c r="E11058" s="18" t="s">
        <v>0</v>
      </c>
      <c r="F11058" s="41">
        <v>1</v>
      </c>
      <c r="G11058" s="4">
        <v>15</v>
      </c>
      <c r="H11058" s="18">
        <v>66.889690000000002</v>
      </c>
      <c r="I11058" s="90"/>
      <c r="J11058" s="90"/>
    </row>
    <row r="11059" spans="1:10" s="15" customFormat="1" ht="16.5" hidden="1" customHeight="1" outlineLevel="1" x14ac:dyDescent="0.25">
      <c r="A11059" s="18">
        <v>1110</v>
      </c>
      <c r="B11059" s="4" t="s">
        <v>44</v>
      </c>
      <c r="C11059" s="38" t="s">
        <v>2279</v>
      </c>
      <c r="D11059" s="18">
        <v>2022</v>
      </c>
      <c r="E11059" s="18" t="s">
        <v>0</v>
      </c>
      <c r="F11059" s="41">
        <v>1</v>
      </c>
      <c r="G11059" s="4">
        <v>15</v>
      </c>
      <c r="H11059" s="18">
        <v>39.9176</v>
      </c>
      <c r="I11059" s="90"/>
      <c r="J11059" s="90"/>
    </row>
    <row r="11060" spans="1:10" s="15" customFormat="1" ht="16.5" hidden="1" customHeight="1" outlineLevel="1" x14ac:dyDescent="0.25">
      <c r="A11060" s="18">
        <v>1104</v>
      </c>
      <c r="B11060" s="4" t="s">
        <v>44</v>
      </c>
      <c r="C11060" s="38" t="s">
        <v>2281</v>
      </c>
      <c r="D11060" s="18">
        <v>2022</v>
      </c>
      <c r="E11060" s="18" t="s">
        <v>0</v>
      </c>
      <c r="F11060" s="41">
        <v>1</v>
      </c>
      <c r="G11060" s="4">
        <v>10</v>
      </c>
      <c r="H11060" s="18">
        <v>51.30518</v>
      </c>
      <c r="I11060" s="90"/>
      <c r="J11060" s="90"/>
    </row>
    <row r="11061" spans="1:10" s="15" customFormat="1" ht="16.5" hidden="1" customHeight="1" outlineLevel="1" x14ac:dyDescent="0.25">
      <c r="A11061" s="18">
        <v>1469</v>
      </c>
      <c r="B11061" s="4" t="s">
        <v>44</v>
      </c>
      <c r="C11061" s="38" t="s">
        <v>2282</v>
      </c>
      <c r="D11061" s="18">
        <v>2022</v>
      </c>
      <c r="E11061" s="18" t="s">
        <v>0</v>
      </c>
      <c r="F11061" s="41">
        <v>1</v>
      </c>
      <c r="G11061" s="4">
        <v>15</v>
      </c>
      <c r="H11061" s="18">
        <v>86.523330000000001</v>
      </c>
      <c r="I11061" s="90"/>
      <c r="J11061" s="90"/>
    </row>
    <row r="11062" spans="1:10" s="15" customFormat="1" ht="16.5" hidden="1" customHeight="1" outlineLevel="1" x14ac:dyDescent="0.25">
      <c r="A11062" s="18">
        <v>1434</v>
      </c>
      <c r="B11062" s="4" t="s">
        <v>44</v>
      </c>
      <c r="C11062" s="38" t="s">
        <v>2283</v>
      </c>
      <c r="D11062" s="18">
        <v>2022</v>
      </c>
      <c r="E11062" s="18" t="s">
        <v>0</v>
      </c>
      <c r="F11062" s="41">
        <v>1</v>
      </c>
      <c r="G11062" s="4">
        <v>25</v>
      </c>
      <c r="H11062" s="18">
        <v>48.64781</v>
      </c>
      <c r="I11062" s="90"/>
      <c r="J11062" s="90"/>
    </row>
    <row r="11063" spans="1:10" s="15" customFormat="1" ht="16.5" hidden="1" customHeight="1" outlineLevel="1" x14ac:dyDescent="0.25">
      <c r="A11063" s="18">
        <v>1050</v>
      </c>
      <c r="B11063" s="4" t="s">
        <v>44</v>
      </c>
      <c r="C11063" s="38" t="s">
        <v>2284</v>
      </c>
      <c r="D11063" s="18">
        <v>2022</v>
      </c>
      <c r="E11063" s="18" t="s">
        <v>0</v>
      </c>
      <c r="F11063" s="41">
        <v>1</v>
      </c>
      <c r="G11063" s="4">
        <v>15</v>
      </c>
      <c r="H11063" s="18">
        <v>47.849449999999997</v>
      </c>
      <c r="I11063" s="90"/>
      <c r="J11063" s="90"/>
    </row>
    <row r="11064" spans="1:10" s="15" customFormat="1" ht="16.5" hidden="1" customHeight="1" outlineLevel="1" x14ac:dyDescent="0.25">
      <c r="A11064" s="18">
        <v>1490</v>
      </c>
      <c r="B11064" s="4" t="s">
        <v>44</v>
      </c>
      <c r="C11064" s="38" t="s">
        <v>2286</v>
      </c>
      <c r="D11064" s="18">
        <v>2022</v>
      </c>
      <c r="E11064" s="18" t="s">
        <v>0</v>
      </c>
      <c r="F11064" s="41">
        <v>1</v>
      </c>
      <c r="G11064" s="4">
        <v>80</v>
      </c>
      <c r="H11064" s="18">
        <v>80.945989999999995</v>
      </c>
      <c r="I11064" s="90"/>
      <c r="J11064" s="90"/>
    </row>
    <row r="11065" spans="1:10" s="15" customFormat="1" ht="16.5" hidden="1" customHeight="1" outlineLevel="1" x14ac:dyDescent="0.25">
      <c r="A11065" s="18">
        <v>1520</v>
      </c>
      <c r="B11065" s="4" t="s">
        <v>44</v>
      </c>
      <c r="C11065" s="38" t="s">
        <v>2289</v>
      </c>
      <c r="D11065" s="18">
        <v>2022</v>
      </c>
      <c r="E11065" s="18" t="s">
        <v>0</v>
      </c>
      <c r="F11065" s="41">
        <v>1</v>
      </c>
      <c r="G11065" s="4">
        <v>50</v>
      </c>
      <c r="H11065" s="18">
        <v>40.565359999999998</v>
      </c>
      <c r="I11065" s="90"/>
      <c r="J11065" s="90"/>
    </row>
    <row r="11066" spans="1:10" s="15" customFormat="1" ht="16.5" hidden="1" customHeight="1" outlineLevel="1" x14ac:dyDescent="0.25">
      <c r="A11066" s="18">
        <v>1329</v>
      </c>
      <c r="B11066" s="4" t="s">
        <v>44</v>
      </c>
      <c r="C11066" s="38" t="s">
        <v>2290</v>
      </c>
      <c r="D11066" s="18">
        <v>2022</v>
      </c>
      <c r="E11066" s="18" t="s">
        <v>0</v>
      </c>
      <c r="F11066" s="41">
        <v>1</v>
      </c>
      <c r="G11066" s="4">
        <v>15</v>
      </c>
      <c r="H11066" s="18">
        <v>55.910319999999999</v>
      </c>
      <c r="I11066" s="90"/>
      <c r="J11066" s="90"/>
    </row>
    <row r="11067" spans="1:10" s="15" customFormat="1" ht="16.5" hidden="1" customHeight="1" outlineLevel="1" x14ac:dyDescent="0.25">
      <c r="A11067" s="18">
        <v>1143</v>
      </c>
      <c r="B11067" s="4" t="s">
        <v>44</v>
      </c>
      <c r="C11067" s="38" t="s">
        <v>6079</v>
      </c>
      <c r="D11067" s="18">
        <v>2022</v>
      </c>
      <c r="E11067" s="18" t="s">
        <v>0</v>
      </c>
      <c r="F11067" s="41">
        <v>1</v>
      </c>
      <c r="G11067" s="4">
        <v>15</v>
      </c>
      <c r="H11067" s="18">
        <v>29.025110000000002</v>
      </c>
      <c r="I11067" s="90"/>
      <c r="J11067" s="90"/>
    </row>
    <row r="11068" spans="1:10" s="15" customFormat="1" ht="16.5" hidden="1" customHeight="1" outlineLevel="1" x14ac:dyDescent="0.25">
      <c r="A11068" s="18">
        <v>1303</v>
      </c>
      <c r="B11068" s="4" t="s">
        <v>44</v>
      </c>
      <c r="C11068" s="38" t="s">
        <v>6080</v>
      </c>
      <c r="D11068" s="18">
        <v>2022</v>
      </c>
      <c r="E11068" s="18" t="s">
        <v>0</v>
      </c>
      <c r="F11068" s="41">
        <v>1</v>
      </c>
      <c r="G11068" s="4">
        <v>15</v>
      </c>
      <c r="H11068" s="18">
        <v>26.06983</v>
      </c>
      <c r="I11068" s="90"/>
      <c r="J11068" s="90"/>
    </row>
    <row r="11069" spans="1:10" s="15" customFormat="1" ht="16.5" hidden="1" customHeight="1" outlineLevel="1" x14ac:dyDescent="0.25">
      <c r="A11069" s="18">
        <v>1267</v>
      </c>
      <c r="B11069" s="4" t="s">
        <v>44</v>
      </c>
      <c r="C11069" s="38" t="s">
        <v>6081</v>
      </c>
      <c r="D11069" s="18">
        <v>2022</v>
      </c>
      <c r="E11069" s="18" t="s">
        <v>0</v>
      </c>
      <c r="F11069" s="41">
        <v>1</v>
      </c>
      <c r="G11069" s="4">
        <v>15</v>
      </c>
      <c r="H11069" s="18">
        <v>29.173719999999999</v>
      </c>
      <c r="I11069" s="90"/>
      <c r="J11069" s="90"/>
    </row>
    <row r="11070" spans="1:10" s="15" customFormat="1" ht="16.5" hidden="1" customHeight="1" outlineLevel="1" x14ac:dyDescent="0.25">
      <c r="A11070" s="18">
        <v>1266</v>
      </c>
      <c r="B11070" s="4" t="s">
        <v>44</v>
      </c>
      <c r="C11070" s="38" t="s">
        <v>6082</v>
      </c>
      <c r="D11070" s="18">
        <v>2022</v>
      </c>
      <c r="E11070" s="18" t="s">
        <v>0</v>
      </c>
      <c r="F11070" s="41">
        <v>1</v>
      </c>
      <c r="G11070" s="4">
        <v>15</v>
      </c>
      <c r="H11070" s="18">
        <v>29.1737</v>
      </c>
      <c r="I11070" s="90"/>
      <c r="J11070" s="90"/>
    </row>
    <row r="11071" spans="1:10" s="15" customFormat="1" ht="16.5" hidden="1" customHeight="1" outlineLevel="1" x14ac:dyDescent="0.25">
      <c r="A11071" s="18">
        <v>1748</v>
      </c>
      <c r="B11071" s="4" t="s">
        <v>44</v>
      </c>
      <c r="C11071" s="38" t="s">
        <v>6083</v>
      </c>
      <c r="D11071" s="18">
        <v>2022</v>
      </c>
      <c r="E11071" s="18" t="s">
        <v>0</v>
      </c>
      <c r="F11071" s="41">
        <v>1</v>
      </c>
      <c r="G11071" s="4">
        <v>15</v>
      </c>
      <c r="H11071" s="18">
        <v>21.274419999999999</v>
      </c>
      <c r="I11071" s="90"/>
      <c r="J11071" s="90"/>
    </row>
    <row r="11072" spans="1:10" s="15" customFormat="1" ht="16.5" hidden="1" customHeight="1" outlineLevel="1" x14ac:dyDescent="0.25">
      <c r="A11072" s="18">
        <v>1751</v>
      </c>
      <c r="B11072" s="4" t="s">
        <v>44</v>
      </c>
      <c r="C11072" s="38" t="s">
        <v>6084</v>
      </c>
      <c r="D11072" s="18">
        <v>2022</v>
      </c>
      <c r="E11072" s="18" t="s">
        <v>0</v>
      </c>
      <c r="F11072" s="41">
        <v>1</v>
      </c>
      <c r="G11072" s="4">
        <v>10</v>
      </c>
      <c r="H11072" s="18">
        <v>21.46724</v>
      </c>
      <c r="I11072" s="90"/>
      <c r="J11072" s="90"/>
    </row>
    <row r="11073" spans="1:10" s="15" customFormat="1" ht="16.5" hidden="1" customHeight="1" outlineLevel="1" x14ac:dyDescent="0.25">
      <c r="A11073" s="18">
        <v>1752</v>
      </c>
      <c r="B11073" s="4" t="s">
        <v>44</v>
      </c>
      <c r="C11073" s="38" t="s">
        <v>6085</v>
      </c>
      <c r="D11073" s="18">
        <v>2022</v>
      </c>
      <c r="E11073" s="18" t="s">
        <v>0</v>
      </c>
      <c r="F11073" s="41">
        <v>1</v>
      </c>
      <c r="G11073" s="4">
        <v>15</v>
      </c>
      <c r="H11073" s="18">
        <v>21.27441</v>
      </c>
      <c r="I11073" s="90"/>
      <c r="J11073" s="90"/>
    </row>
    <row r="11074" spans="1:10" s="15" customFormat="1" ht="16.5" hidden="1" customHeight="1" outlineLevel="1" x14ac:dyDescent="0.25">
      <c r="A11074" s="18">
        <v>1086</v>
      </c>
      <c r="B11074" s="4" t="s">
        <v>44</v>
      </c>
      <c r="C11074" s="38" t="s">
        <v>6086</v>
      </c>
      <c r="D11074" s="18">
        <v>2022</v>
      </c>
      <c r="E11074" s="18" t="s">
        <v>0</v>
      </c>
      <c r="F11074" s="41">
        <v>1</v>
      </c>
      <c r="G11074" s="4">
        <v>15</v>
      </c>
      <c r="H11074" s="18">
        <v>36.86936</v>
      </c>
      <c r="I11074" s="90"/>
      <c r="J11074" s="90"/>
    </row>
    <row r="11075" spans="1:10" s="15" customFormat="1" ht="16.5" hidden="1" customHeight="1" outlineLevel="1" x14ac:dyDescent="0.25">
      <c r="A11075" s="18">
        <v>1753</v>
      </c>
      <c r="B11075" s="4" t="s">
        <v>44</v>
      </c>
      <c r="C11075" s="38" t="s">
        <v>6087</v>
      </c>
      <c r="D11075" s="18">
        <v>2022</v>
      </c>
      <c r="E11075" s="18" t="s">
        <v>0</v>
      </c>
      <c r="F11075" s="41">
        <v>1</v>
      </c>
      <c r="G11075" s="4">
        <v>12</v>
      </c>
      <c r="H11075" s="18">
        <v>21.27441</v>
      </c>
      <c r="I11075" s="90"/>
      <c r="J11075" s="90"/>
    </row>
    <row r="11076" spans="1:10" s="15" customFormat="1" ht="16.5" hidden="1" customHeight="1" outlineLevel="1" x14ac:dyDescent="0.25">
      <c r="A11076" s="18">
        <v>1754</v>
      </c>
      <c r="B11076" s="4" t="s">
        <v>44</v>
      </c>
      <c r="C11076" s="38" t="s">
        <v>6088</v>
      </c>
      <c r="D11076" s="18">
        <v>2022</v>
      </c>
      <c r="E11076" s="18" t="s">
        <v>0</v>
      </c>
      <c r="F11076" s="41">
        <v>1</v>
      </c>
      <c r="G11076" s="4">
        <v>15</v>
      </c>
      <c r="H11076" s="18">
        <v>21.27441</v>
      </c>
      <c r="I11076" s="90"/>
      <c r="J11076" s="90"/>
    </row>
    <row r="11077" spans="1:10" s="15" customFormat="1" ht="16.5" hidden="1" customHeight="1" outlineLevel="1" x14ac:dyDescent="0.25">
      <c r="A11077" s="18">
        <v>1755</v>
      </c>
      <c r="B11077" s="4" t="s">
        <v>44</v>
      </c>
      <c r="C11077" s="38" t="s">
        <v>6089</v>
      </c>
      <c r="D11077" s="18">
        <v>2022</v>
      </c>
      <c r="E11077" s="18" t="s">
        <v>0</v>
      </c>
      <c r="F11077" s="41">
        <v>1</v>
      </c>
      <c r="G11077" s="4">
        <v>10</v>
      </c>
      <c r="H11077" s="18">
        <v>21.27441</v>
      </c>
      <c r="I11077" s="90"/>
      <c r="J11077" s="90"/>
    </row>
    <row r="11078" spans="1:10" s="15" customFormat="1" ht="16.5" hidden="1" customHeight="1" outlineLevel="1" x14ac:dyDescent="0.25">
      <c r="A11078" s="18">
        <v>1756</v>
      </c>
      <c r="B11078" s="4" t="s">
        <v>44</v>
      </c>
      <c r="C11078" s="38" t="s">
        <v>6090</v>
      </c>
      <c r="D11078" s="18">
        <v>2022</v>
      </c>
      <c r="E11078" s="18" t="s">
        <v>0</v>
      </c>
      <c r="F11078" s="41">
        <v>1</v>
      </c>
      <c r="G11078" s="4">
        <v>10</v>
      </c>
      <c r="H11078" s="18">
        <v>21.27441</v>
      </c>
      <c r="I11078" s="90"/>
      <c r="J11078" s="90"/>
    </row>
    <row r="11079" spans="1:10" s="15" customFormat="1" ht="16.5" hidden="1" customHeight="1" outlineLevel="1" x14ac:dyDescent="0.25">
      <c r="A11079" s="18">
        <v>1757</v>
      </c>
      <c r="B11079" s="4" t="s">
        <v>44</v>
      </c>
      <c r="C11079" s="38" t="s">
        <v>6091</v>
      </c>
      <c r="D11079" s="18">
        <v>2022</v>
      </c>
      <c r="E11079" s="18" t="s">
        <v>0</v>
      </c>
      <c r="F11079" s="41">
        <v>1</v>
      </c>
      <c r="G11079" s="4">
        <v>10</v>
      </c>
      <c r="H11079" s="18">
        <v>22.63495</v>
      </c>
      <c r="I11079" s="90"/>
      <c r="J11079" s="90"/>
    </row>
    <row r="11080" spans="1:10" s="15" customFormat="1" ht="16.5" hidden="1" customHeight="1" outlineLevel="1" x14ac:dyDescent="0.25">
      <c r="A11080" s="18">
        <v>1309</v>
      </c>
      <c r="B11080" s="4" t="s">
        <v>44</v>
      </c>
      <c r="C11080" s="38" t="s">
        <v>2292</v>
      </c>
      <c r="D11080" s="18">
        <v>2022</v>
      </c>
      <c r="E11080" s="18" t="s">
        <v>0</v>
      </c>
      <c r="F11080" s="41">
        <v>1</v>
      </c>
      <c r="G11080" s="4">
        <v>10</v>
      </c>
      <c r="H11080" s="18">
        <v>74.227339999999998</v>
      </c>
      <c r="I11080" s="90"/>
      <c r="J11080" s="90"/>
    </row>
    <row r="11081" spans="1:10" s="15" customFormat="1" ht="16.5" hidden="1" customHeight="1" outlineLevel="1" x14ac:dyDescent="0.25">
      <c r="A11081" s="18">
        <v>1170</v>
      </c>
      <c r="B11081" s="4" t="s">
        <v>44</v>
      </c>
      <c r="C11081" s="38" t="s">
        <v>2293</v>
      </c>
      <c r="D11081" s="18">
        <v>2022</v>
      </c>
      <c r="E11081" s="18" t="s">
        <v>0</v>
      </c>
      <c r="F11081" s="41">
        <v>1</v>
      </c>
      <c r="G11081" s="4">
        <v>15</v>
      </c>
      <c r="H11081" s="18">
        <v>68.544229999999999</v>
      </c>
      <c r="I11081" s="90"/>
      <c r="J11081" s="90"/>
    </row>
    <row r="11082" spans="1:10" s="15" customFormat="1" ht="16.5" hidden="1" customHeight="1" outlineLevel="1" x14ac:dyDescent="0.25">
      <c r="A11082" s="18">
        <v>1397</v>
      </c>
      <c r="B11082" s="4" t="s">
        <v>44</v>
      </c>
      <c r="C11082" s="38" t="s">
        <v>2294</v>
      </c>
      <c r="D11082" s="18">
        <v>2022</v>
      </c>
      <c r="E11082" s="18" t="s">
        <v>0</v>
      </c>
      <c r="F11082" s="41">
        <v>1</v>
      </c>
      <c r="G11082" s="4">
        <v>15</v>
      </c>
      <c r="H11082" s="18">
        <v>67.901709999999994</v>
      </c>
      <c r="I11082" s="90"/>
      <c r="J11082" s="90"/>
    </row>
    <row r="11083" spans="1:10" s="15" customFormat="1" ht="16.5" hidden="1" customHeight="1" outlineLevel="1" x14ac:dyDescent="0.25">
      <c r="A11083" s="18">
        <v>1450</v>
      </c>
      <c r="B11083" s="4" t="s">
        <v>44</v>
      </c>
      <c r="C11083" s="38" t="s">
        <v>2295</v>
      </c>
      <c r="D11083" s="18">
        <v>2022</v>
      </c>
      <c r="E11083" s="18" t="s">
        <v>0</v>
      </c>
      <c r="F11083" s="41">
        <v>1</v>
      </c>
      <c r="G11083" s="4">
        <v>15</v>
      </c>
      <c r="H11083" s="18">
        <v>51.050849999999997</v>
      </c>
      <c r="I11083" s="90"/>
      <c r="J11083" s="90"/>
    </row>
    <row r="11084" spans="1:10" s="15" customFormat="1" ht="16.5" hidden="1" customHeight="1" outlineLevel="1" x14ac:dyDescent="0.25">
      <c r="A11084" s="18">
        <v>1242</v>
      </c>
      <c r="B11084" s="4" t="s">
        <v>44</v>
      </c>
      <c r="C11084" s="38" t="s">
        <v>2296</v>
      </c>
      <c r="D11084" s="18">
        <v>2022</v>
      </c>
      <c r="E11084" s="18" t="s">
        <v>0</v>
      </c>
      <c r="F11084" s="41">
        <v>1</v>
      </c>
      <c r="G11084" s="4">
        <v>15</v>
      </c>
      <c r="H11084" s="18">
        <v>70.093699999999998</v>
      </c>
      <c r="I11084" s="90"/>
      <c r="J11084" s="90"/>
    </row>
    <row r="11085" spans="1:10" s="15" customFormat="1" ht="16.5" hidden="1" customHeight="1" outlineLevel="1" x14ac:dyDescent="0.25">
      <c r="A11085" s="18">
        <v>1093</v>
      </c>
      <c r="B11085" s="4" t="s">
        <v>44</v>
      </c>
      <c r="C11085" s="38" t="s">
        <v>2297</v>
      </c>
      <c r="D11085" s="18">
        <v>2022</v>
      </c>
      <c r="E11085" s="18" t="s">
        <v>0</v>
      </c>
      <c r="F11085" s="41">
        <v>1</v>
      </c>
      <c r="G11085" s="4">
        <v>10</v>
      </c>
      <c r="H11085" s="18">
        <v>47.30574</v>
      </c>
      <c r="I11085" s="90"/>
      <c r="J11085" s="90"/>
    </row>
    <row r="11086" spans="1:10" s="15" customFormat="1" ht="16.5" hidden="1" customHeight="1" outlineLevel="1" x14ac:dyDescent="0.25">
      <c r="A11086" s="18">
        <v>1095</v>
      </c>
      <c r="B11086" s="4" t="s">
        <v>44</v>
      </c>
      <c r="C11086" s="38" t="s">
        <v>2298</v>
      </c>
      <c r="D11086" s="18">
        <v>2022</v>
      </c>
      <c r="E11086" s="18" t="s">
        <v>0</v>
      </c>
      <c r="F11086" s="41">
        <v>1</v>
      </c>
      <c r="G11086" s="4">
        <v>15</v>
      </c>
      <c r="H11086" s="18">
        <v>50.169440000000002</v>
      </c>
      <c r="I11086" s="90"/>
      <c r="J11086" s="90"/>
    </row>
    <row r="11087" spans="1:10" s="15" customFormat="1" ht="16.5" hidden="1" customHeight="1" outlineLevel="1" x14ac:dyDescent="0.25">
      <c r="A11087" s="18">
        <v>1449</v>
      </c>
      <c r="B11087" s="4" t="s">
        <v>44</v>
      </c>
      <c r="C11087" s="38" t="s">
        <v>2299</v>
      </c>
      <c r="D11087" s="18">
        <v>2022</v>
      </c>
      <c r="E11087" s="18" t="s">
        <v>0</v>
      </c>
      <c r="F11087" s="41">
        <v>1</v>
      </c>
      <c r="G11087" s="4">
        <v>14</v>
      </c>
      <c r="H11087" s="18">
        <v>64.346289999999996</v>
      </c>
      <c r="I11087" s="90"/>
      <c r="J11087" s="90"/>
    </row>
    <row r="11088" spans="1:10" s="15" customFormat="1" ht="16.5" hidden="1" customHeight="1" outlineLevel="1" x14ac:dyDescent="0.25">
      <c r="A11088" s="18">
        <v>1139</v>
      </c>
      <c r="B11088" s="4" t="s">
        <v>44</v>
      </c>
      <c r="C11088" s="38" t="s">
        <v>2300</v>
      </c>
      <c r="D11088" s="18">
        <v>2022</v>
      </c>
      <c r="E11088" s="18" t="s">
        <v>0</v>
      </c>
      <c r="F11088" s="41">
        <v>1</v>
      </c>
      <c r="G11088" s="4">
        <v>10</v>
      </c>
      <c r="H11088" s="18">
        <v>64.929599999999994</v>
      </c>
      <c r="I11088" s="90"/>
      <c r="J11088" s="90"/>
    </row>
    <row r="11089" spans="1:10" s="15" customFormat="1" ht="16.5" hidden="1" customHeight="1" outlineLevel="1" x14ac:dyDescent="0.25">
      <c r="A11089" s="18">
        <v>1128</v>
      </c>
      <c r="B11089" s="4" t="s">
        <v>44</v>
      </c>
      <c r="C11089" s="38" t="s">
        <v>2301</v>
      </c>
      <c r="D11089" s="18">
        <v>2022</v>
      </c>
      <c r="E11089" s="18" t="s">
        <v>0</v>
      </c>
      <c r="F11089" s="41">
        <v>1</v>
      </c>
      <c r="G11089" s="4">
        <v>15</v>
      </c>
      <c r="H11089" s="18">
        <v>46.614730000000002</v>
      </c>
      <c r="I11089" s="90"/>
      <c r="J11089" s="90"/>
    </row>
    <row r="11090" spans="1:10" s="15" customFormat="1" ht="16.5" hidden="1" customHeight="1" outlineLevel="1" x14ac:dyDescent="0.25">
      <c r="A11090" s="18">
        <v>1722</v>
      </c>
      <c r="B11090" s="4" t="s">
        <v>44</v>
      </c>
      <c r="C11090" s="38" t="s">
        <v>6092</v>
      </c>
      <c r="D11090" s="18">
        <v>2022</v>
      </c>
      <c r="E11090" s="18" t="s">
        <v>0</v>
      </c>
      <c r="F11090" s="41">
        <v>1</v>
      </c>
      <c r="G11090" s="4">
        <v>10</v>
      </c>
      <c r="H11090" s="18">
        <v>18.413450000000001</v>
      </c>
      <c r="I11090" s="90"/>
      <c r="J11090" s="90"/>
    </row>
    <row r="11091" spans="1:10" s="15" customFormat="1" ht="16.5" hidden="1" customHeight="1" outlineLevel="1" x14ac:dyDescent="0.25">
      <c r="A11091" s="18">
        <v>1646</v>
      </c>
      <c r="B11091" s="4" t="s">
        <v>44</v>
      </c>
      <c r="C11091" s="38" t="s">
        <v>6093</v>
      </c>
      <c r="D11091" s="18">
        <v>2022</v>
      </c>
      <c r="E11091" s="18" t="s">
        <v>0</v>
      </c>
      <c r="F11091" s="41">
        <v>1</v>
      </c>
      <c r="G11091" s="4">
        <v>15</v>
      </c>
      <c r="H11091" s="18">
        <v>20.26483</v>
      </c>
      <c r="I11091" s="90"/>
      <c r="J11091" s="90"/>
    </row>
    <row r="11092" spans="1:10" s="15" customFormat="1" ht="16.5" hidden="1" customHeight="1" outlineLevel="1" x14ac:dyDescent="0.25">
      <c r="A11092" s="18">
        <v>1648</v>
      </c>
      <c r="B11092" s="4" t="s">
        <v>44</v>
      </c>
      <c r="C11092" s="38" t="s">
        <v>6094</v>
      </c>
      <c r="D11092" s="18">
        <v>2022</v>
      </c>
      <c r="E11092" s="18" t="s">
        <v>0</v>
      </c>
      <c r="F11092" s="41">
        <v>1</v>
      </c>
      <c r="G11092" s="4">
        <v>10</v>
      </c>
      <c r="H11092" s="18">
        <v>20.26483</v>
      </c>
      <c r="I11092" s="90"/>
      <c r="J11092" s="90"/>
    </row>
    <row r="11093" spans="1:10" s="15" customFormat="1" ht="16.5" hidden="1" customHeight="1" outlineLevel="1" x14ac:dyDescent="0.25">
      <c r="A11093" s="18">
        <v>1732</v>
      </c>
      <c r="B11093" s="4" t="s">
        <v>44</v>
      </c>
      <c r="C11093" s="38" t="s">
        <v>6095</v>
      </c>
      <c r="D11093" s="18">
        <v>2022</v>
      </c>
      <c r="E11093" s="18" t="s">
        <v>0</v>
      </c>
      <c r="F11093" s="41">
        <v>1</v>
      </c>
      <c r="G11093" s="4">
        <v>10</v>
      </c>
      <c r="H11093" s="18">
        <v>38.099080000000001</v>
      </c>
      <c r="I11093" s="90"/>
      <c r="J11093" s="90"/>
    </row>
    <row r="11094" spans="1:10" s="15" customFormat="1" ht="16.5" hidden="1" customHeight="1" outlineLevel="1" x14ac:dyDescent="0.25">
      <c r="A11094" s="18">
        <v>1645</v>
      </c>
      <c r="B11094" s="4" t="s">
        <v>44</v>
      </c>
      <c r="C11094" s="38" t="s">
        <v>6096</v>
      </c>
      <c r="D11094" s="18">
        <v>2022</v>
      </c>
      <c r="E11094" s="18" t="s">
        <v>0</v>
      </c>
      <c r="F11094" s="41">
        <v>1</v>
      </c>
      <c r="G11094" s="4">
        <v>15</v>
      </c>
      <c r="H11094" s="18">
        <v>21.615970000000001</v>
      </c>
      <c r="I11094" s="90"/>
      <c r="J11094" s="90"/>
    </row>
    <row r="11095" spans="1:10" s="15" customFormat="1" ht="16.5" hidden="1" customHeight="1" outlineLevel="1" x14ac:dyDescent="0.25">
      <c r="A11095" s="18">
        <v>1733</v>
      </c>
      <c r="B11095" s="4" t="s">
        <v>44</v>
      </c>
      <c r="C11095" s="38" t="s">
        <v>6097</v>
      </c>
      <c r="D11095" s="18">
        <v>2022</v>
      </c>
      <c r="E11095" s="18" t="s">
        <v>0</v>
      </c>
      <c r="F11095" s="41">
        <v>1</v>
      </c>
      <c r="G11095" s="4">
        <v>13.5</v>
      </c>
      <c r="H11095" s="18">
        <v>37.945799999999998</v>
      </c>
      <c r="I11095" s="90"/>
      <c r="J11095" s="90"/>
    </row>
    <row r="11096" spans="1:10" s="15" customFormat="1" ht="16.5" hidden="1" customHeight="1" outlineLevel="1" x14ac:dyDescent="0.25">
      <c r="A11096" s="18">
        <v>1699</v>
      </c>
      <c r="B11096" s="4" t="s">
        <v>44</v>
      </c>
      <c r="C11096" s="38" t="s">
        <v>6098</v>
      </c>
      <c r="D11096" s="18">
        <v>2022</v>
      </c>
      <c r="E11096" s="18" t="s">
        <v>0</v>
      </c>
      <c r="F11096" s="41">
        <v>1</v>
      </c>
      <c r="G11096" s="4">
        <v>13.5</v>
      </c>
      <c r="H11096" s="18">
        <v>19.87799</v>
      </c>
      <c r="I11096" s="90"/>
      <c r="J11096" s="90"/>
    </row>
    <row r="11097" spans="1:10" s="15" customFormat="1" ht="16.5" hidden="1" customHeight="1" outlineLevel="1" x14ac:dyDescent="0.25">
      <c r="A11097" s="18">
        <v>1693</v>
      </c>
      <c r="B11097" s="4" t="s">
        <v>44</v>
      </c>
      <c r="C11097" s="38" t="s">
        <v>6099</v>
      </c>
      <c r="D11097" s="18">
        <v>2022</v>
      </c>
      <c r="E11097" s="18" t="s">
        <v>0</v>
      </c>
      <c r="F11097" s="41">
        <v>1</v>
      </c>
      <c r="G11097" s="4">
        <v>10</v>
      </c>
      <c r="H11097" s="18">
        <v>19.334009999999999</v>
      </c>
      <c r="I11097" s="90"/>
      <c r="J11097" s="90"/>
    </row>
    <row r="11098" spans="1:10" s="15" customFormat="1" ht="16.5" hidden="1" customHeight="1" outlineLevel="1" x14ac:dyDescent="0.25">
      <c r="A11098" s="18">
        <v>1679</v>
      </c>
      <c r="B11098" s="4" t="s">
        <v>44</v>
      </c>
      <c r="C11098" s="38" t="s">
        <v>6100</v>
      </c>
      <c r="D11098" s="18">
        <v>2022</v>
      </c>
      <c r="E11098" s="18" t="s">
        <v>0</v>
      </c>
      <c r="F11098" s="41">
        <v>1</v>
      </c>
      <c r="G11098" s="4">
        <v>15</v>
      </c>
      <c r="H11098" s="18">
        <v>20.90635</v>
      </c>
      <c r="I11098" s="90"/>
      <c r="J11098" s="90"/>
    </row>
    <row r="11099" spans="1:10" s="15" customFormat="1" ht="16.5" hidden="1" customHeight="1" outlineLevel="1" x14ac:dyDescent="0.25">
      <c r="A11099" s="18">
        <v>1715</v>
      </c>
      <c r="B11099" s="4" t="s">
        <v>44</v>
      </c>
      <c r="C11099" s="38" t="s">
        <v>6101</v>
      </c>
      <c r="D11099" s="18">
        <v>2022</v>
      </c>
      <c r="E11099" s="18" t="s">
        <v>0</v>
      </c>
      <c r="F11099" s="41">
        <v>1</v>
      </c>
      <c r="G11099" s="4">
        <v>10</v>
      </c>
      <c r="H11099" s="18">
        <v>20.804849999999998</v>
      </c>
      <c r="I11099" s="90"/>
      <c r="J11099" s="90"/>
    </row>
    <row r="11100" spans="1:10" s="15" customFormat="1" ht="16.5" hidden="1" customHeight="1" outlineLevel="1" x14ac:dyDescent="0.25">
      <c r="A11100" s="18">
        <v>1678</v>
      </c>
      <c r="B11100" s="4" t="s">
        <v>44</v>
      </c>
      <c r="C11100" s="38" t="s">
        <v>6102</v>
      </c>
      <c r="D11100" s="18">
        <v>2022</v>
      </c>
      <c r="E11100" s="18" t="s">
        <v>0</v>
      </c>
      <c r="F11100" s="41">
        <v>1</v>
      </c>
      <c r="G11100" s="4">
        <v>10</v>
      </c>
      <c r="H11100" s="18">
        <v>21.62838</v>
      </c>
      <c r="I11100" s="90"/>
      <c r="J11100" s="90"/>
    </row>
    <row r="11101" spans="1:10" s="15" customFormat="1" ht="16.5" hidden="1" customHeight="1" outlineLevel="1" x14ac:dyDescent="0.25">
      <c r="A11101" s="18">
        <v>1727</v>
      </c>
      <c r="B11101" s="4" t="s">
        <v>44</v>
      </c>
      <c r="C11101" s="38" t="s">
        <v>6103</v>
      </c>
      <c r="D11101" s="18">
        <v>2022</v>
      </c>
      <c r="E11101" s="18" t="s">
        <v>0</v>
      </c>
      <c r="F11101" s="41">
        <v>1</v>
      </c>
      <c r="G11101" s="4">
        <v>14.5</v>
      </c>
      <c r="H11101" s="18">
        <v>22.475660000000001</v>
      </c>
      <c r="I11101" s="90"/>
      <c r="J11101" s="90"/>
    </row>
    <row r="11102" spans="1:10" s="15" customFormat="1" ht="16.5" hidden="1" customHeight="1" outlineLevel="1" x14ac:dyDescent="0.25">
      <c r="A11102" s="18">
        <v>1726</v>
      </c>
      <c r="B11102" s="4" t="s">
        <v>44</v>
      </c>
      <c r="C11102" s="38" t="s">
        <v>6104</v>
      </c>
      <c r="D11102" s="18">
        <v>2022</v>
      </c>
      <c r="E11102" s="18" t="s">
        <v>0</v>
      </c>
      <c r="F11102" s="41">
        <v>1</v>
      </c>
      <c r="G11102" s="4">
        <v>14.5</v>
      </c>
      <c r="H11102" s="18">
        <v>22.467469999999999</v>
      </c>
      <c r="I11102" s="90"/>
      <c r="J11102" s="90"/>
    </row>
    <row r="11103" spans="1:10" s="15" customFormat="1" ht="16.5" hidden="1" customHeight="1" outlineLevel="1" x14ac:dyDescent="0.25">
      <c r="A11103" s="18">
        <v>1725</v>
      </c>
      <c r="B11103" s="4" t="s">
        <v>44</v>
      </c>
      <c r="C11103" s="38" t="s">
        <v>6105</v>
      </c>
      <c r="D11103" s="18">
        <v>2022</v>
      </c>
      <c r="E11103" s="18" t="s">
        <v>0</v>
      </c>
      <c r="F11103" s="41">
        <v>1</v>
      </c>
      <c r="G11103" s="4">
        <v>13.8</v>
      </c>
      <c r="H11103" s="18">
        <v>22.005680000000002</v>
      </c>
      <c r="I11103" s="90"/>
      <c r="J11103" s="90"/>
    </row>
    <row r="11104" spans="1:10" s="15" customFormat="1" ht="16.5" hidden="1" customHeight="1" outlineLevel="1" x14ac:dyDescent="0.25">
      <c r="A11104" s="18">
        <v>1730</v>
      </c>
      <c r="B11104" s="4" t="s">
        <v>44</v>
      </c>
      <c r="C11104" s="38" t="s">
        <v>6106</v>
      </c>
      <c r="D11104" s="18">
        <v>2022</v>
      </c>
      <c r="E11104" s="18" t="s">
        <v>0</v>
      </c>
      <c r="F11104" s="41">
        <v>1</v>
      </c>
      <c r="G11104" s="4">
        <v>7.5</v>
      </c>
      <c r="H11104" s="18">
        <v>40.187330000000003</v>
      </c>
      <c r="I11104" s="90"/>
      <c r="J11104" s="90"/>
    </row>
    <row r="11105" spans="1:10" s="15" customFormat="1" ht="16.5" hidden="1" customHeight="1" outlineLevel="1" x14ac:dyDescent="0.25">
      <c r="A11105" s="18">
        <v>1724</v>
      </c>
      <c r="B11105" s="4" t="s">
        <v>44</v>
      </c>
      <c r="C11105" s="38" t="s">
        <v>6107</v>
      </c>
      <c r="D11105" s="18">
        <v>2022</v>
      </c>
      <c r="E11105" s="18" t="s">
        <v>0</v>
      </c>
      <c r="F11105" s="41">
        <v>1</v>
      </c>
      <c r="G11105" s="4">
        <v>7.5</v>
      </c>
      <c r="H11105" s="18">
        <v>22.03762</v>
      </c>
      <c r="I11105" s="90"/>
      <c r="J11105" s="90"/>
    </row>
    <row r="11106" spans="1:10" s="15" customFormat="1" ht="16.5" hidden="1" customHeight="1" outlineLevel="1" x14ac:dyDescent="0.25">
      <c r="A11106" s="18">
        <v>1729</v>
      </c>
      <c r="B11106" s="4" t="s">
        <v>44</v>
      </c>
      <c r="C11106" s="38" t="s">
        <v>6108</v>
      </c>
      <c r="D11106" s="18">
        <v>2022</v>
      </c>
      <c r="E11106" s="18" t="s">
        <v>0</v>
      </c>
      <c r="F11106" s="41">
        <v>1</v>
      </c>
      <c r="G11106" s="4">
        <v>15</v>
      </c>
      <c r="H11106" s="18">
        <v>40.186109999999999</v>
      </c>
      <c r="I11106" s="90"/>
      <c r="J11106" s="90"/>
    </row>
    <row r="11107" spans="1:10" s="15" customFormat="1" ht="16.5" hidden="1" customHeight="1" outlineLevel="1" x14ac:dyDescent="0.25">
      <c r="A11107" s="18">
        <v>1666</v>
      </c>
      <c r="B11107" s="4" t="s">
        <v>44</v>
      </c>
      <c r="C11107" s="38" t="s">
        <v>6109</v>
      </c>
      <c r="D11107" s="18">
        <v>2022</v>
      </c>
      <c r="E11107" s="18" t="s">
        <v>0</v>
      </c>
      <c r="F11107" s="41">
        <v>1</v>
      </c>
      <c r="G11107" s="4">
        <v>15</v>
      </c>
      <c r="H11107" s="18">
        <v>23.151309999999999</v>
      </c>
      <c r="I11107" s="90"/>
      <c r="J11107" s="90"/>
    </row>
    <row r="11108" spans="1:10" s="15" customFormat="1" ht="16.5" hidden="1" customHeight="1" outlineLevel="1" x14ac:dyDescent="0.25">
      <c r="A11108" s="18">
        <v>1583</v>
      </c>
      <c r="B11108" s="4" t="s">
        <v>44</v>
      </c>
      <c r="C11108" s="38" t="s">
        <v>6110</v>
      </c>
      <c r="D11108" s="18">
        <v>2022</v>
      </c>
      <c r="E11108" s="18" t="s">
        <v>0</v>
      </c>
      <c r="F11108" s="41">
        <v>1</v>
      </c>
      <c r="G11108" s="4">
        <v>15</v>
      </c>
      <c r="H11108" s="18">
        <v>27.56466</v>
      </c>
      <c r="I11108" s="90"/>
      <c r="J11108" s="90"/>
    </row>
    <row r="11109" spans="1:10" s="15" customFormat="1" ht="16.5" hidden="1" customHeight="1" outlineLevel="1" x14ac:dyDescent="0.25">
      <c r="A11109" s="18">
        <v>1734</v>
      </c>
      <c r="B11109" s="4" t="s">
        <v>44</v>
      </c>
      <c r="C11109" s="38" t="s">
        <v>6111</v>
      </c>
      <c r="D11109" s="18">
        <v>2022</v>
      </c>
      <c r="E11109" s="18" t="s">
        <v>0</v>
      </c>
      <c r="F11109" s="41">
        <v>1</v>
      </c>
      <c r="G11109" s="4">
        <v>10</v>
      </c>
      <c r="H11109" s="18">
        <v>20.456869999999999</v>
      </c>
      <c r="I11109" s="90"/>
      <c r="J11109" s="90"/>
    </row>
    <row r="11110" spans="1:10" s="15" customFormat="1" ht="16.5" hidden="1" customHeight="1" outlineLevel="1" x14ac:dyDescent="0.25">
      <c r="A11110" s="18">
        <v>1183</v>
      </c>
      <c r="B11110" s="4" t="s">
        <v>44</v>
      </c>
      <c r="C11110" s="38" t="s">
        <v>2302</v>
      </c>
      <c r="D11110" s="18">
        <v>2022</v>
      </c>
      <c r="E11110" s="18" t="s">
        <v>0</v>
      </c>
      <c r="F11110" s="41">
        <v>2</v>
      </c>
      <c r="G11110" s="4">
        <v>30</v>
      </c>
      <c r="H11110" s="18">
        <v>66.840879999999999</v>
      </c>
      <c r="I11110" s="90"/>
      <c r="J11110" s="90"/>
    </row>
    <row r="11111" spans="1:10" s="15" customFormat="1" ht="16.5" hidden="1" customHeight="1" outlineLevel="1" x14ac:dyDescent="0.25">
      <c r="A11111" s="18">
        <v>1746</v>
      </c>
      <c r="B11111" s="4" t="s">
        <v>44</v>
      </c>
      <c r="C11111" s="38" t="s">
        <v>6112</v>
      </c>
      <c r="D11111" s="18">
        <v>2022</v>
      </c>
      <c r="E11111" s="18" t="s">
        <v>0</v>
      </c>
      <c r="F11111" s="41">
        <v>1</v>
      </c>
      <c r="G11111" s="4">
        <v>10</v>
      </c>
      <c r="H11111" s="18">
        <v>22.110209999999999</v>
      </c>
      <c r="I11111" s="90"/>
      <c r="J11111" s="90"/>
    </row>
    <row r="11112" spans="1:10" s="15" customFormat="1" ht="16.5" hidden="1" customHeight="1" outlineLevel="1" x14ac:dyDescent="0.25">
      <c r="A11112" s="18">
        <v>1468</v>
      </c>
      <c r="B11112" s="4" t="s">
        <v>44</v>
      </c>
      <c r="C11112" s="38" t="s">
        <v>2303</v>
      </c>
      <c r="D11112" s="18">
        <v>2022</v>
      </c>
      <c r="E11112" s="18" t="s">
        <v>0</v>
      </c>
      <c r="F11112" s="41">
        <v>1</v>
      </c>
      <c r="G11112" s="4">
        <v>10</v>
      </c>
      <c r="H11112" s="18">
        <v>76.311890000000005</v>
      </c>
      <c r="I11112" s="90"/>
      <c r="J11112" s="90"/>
    </row>
    <row r="11113" spans="1:10" s="15" customFormat="1" ht="16.5" hidden="1" customHeight="1" outlineLevel="1" x14ac:dyDescent="0.25">
      <c r="A11113" s="18">
        <v>1719</v>
      </c>
      <c r="B11113" s="4" t="s">
        <v>44</v>
      </c>
      <c r="C11113" s="38" t="s">
        <v>2304</v>
      </c>
      <c r="D11113" s="18">
        <v>2022</v>
      </c>
      <c r="E11113" s="18" t="s">
        <v>0</v>
      </c>
      <c r="F11113" s="41">
        <v>1</v>
      </c>
      <c r="G11113" s="4">
        <v>10</v>
      </c>
      <c r="H11113" s="18">
        <v>82.205789999999993</v>
      </c>
      <c r="I11113" s="90"/>
      <c r="J11113" s="90"/>
    </row>
    <row r="11114" spans="1:10" s="15" customFormat="1" ht="16.5" hidden="1" customHeight="1" outlineLevel="1" x14ac:dyDescent="0.25">
      <c r="A11114" s="18">
        <v>1229</v>
      </c>
      <c r="B11114" s="4" t="s">
        <v>44</v>
      </c>
      <c r="C11114" s="38" t="s">
        <v>2305</v>
      </c>
      <c r="D11114" s="18">
        <v>2022</v>
      </c>
      <c r="E11114" s="18" t="s">
        <v>0</v>
      </c>
      <c r="F11114" s="41">
        <v>1</v>
      </c>
      <c r="G11114" s="4">
        <v>15</v>
      </c>
      <c r="H11114" s="18">
        <v>39.868499999999997</v>
      </c>
      <c r="I11114" s="90"/>
      <c r="J11114" s="90"/>
    </row>
    <row r="11115" spans="1:10" s="15" customFormat="1" ht="16.5" hidden="1" customHeight="1" outlineLevel="1" x14ac:dyDescent="0.25">
      <c r="A11115" s="18">
        <v>1320</v>
      </c>
      <c r="B11115" s="4" t="s">
        <v>44</v>
      </c>
      <c r="C11115" s="38" t="s">
        <v>2306</v>
      </c>
      <c r="D11115" s="18">
        <v>2022</v>
      </c>
      <c r="E11115" s="18" t="s">
        <v>0</v>
      </c>
      <c r="F11115" s="41">
        <v>1</v>
      </c>
      <c r="G11115" s="4">
        <v>15</v>
      </c>
      <c r="H11115" s="18">
        <v>46.248759999999997</v>
      </c>
      <c r="I11115" s="90"/>
      <c r="J11115" s="90"/>
    </row>
    <row r="11116" spans="1:10" s="15" customFormat="1" ht="16.5" hidden="1" customHeight="1" outlineLevel="1" x14ac:dyDescent="0.25">
      <c r="A11116" s="18">
        <v>1664</v>
      </c>
      <c r="B11116" s="4" t="s">
        <v>44</v>
      </c>
      <c r="C11116" s="38" t="s">
        <v>2307</v>
      </c>
      <c r="D11116" s="18">
        <v>2022</v>
      </c>
      <c r="E11116" s="18" t="s">
        <v>0</v>
      </c>
      <c r="F11116" s="41">
        <v>1</v>
      </c>
      <c r="G11116" s="4">
        <v>15</v>
      </c>
      <c r="H11116" s="18">
        <v>84.366579999999999</v>
      </c>
      <c r="I11116" s="90"/>
      <c r="J11116" s="90"/>
    </row>
    <row r="11117" spans="1:10" s="15" customFormat="1" ht="16.5" hidden="1" customHeight="1" outlineLevel="1" x14ac:dyDescent="0.25">
      <c r="A11117" s="18">
        <v>1057</v>
      </c>
      <c r="B11117" s="4" t="s">
        <v>44</v>
      </c>
      <c r="C11117" s="38" t="s">
        <v>2309</v>
      </c>
      <c r="D11117" s="18">
        <v>2022</v>
      </c>
      <c r="E11117" s="18" t="s">
        <v>0</v>
      </c>
      <c r="F11117" s="41">
        <v>1</v>
      </c>
      <c r="G11117" s="4">
        <v>15</v>
      </c>
      <c r="H11117" s="18">
        <v>36.524709999999999</v>
      </c>
      <c r="I11117" s="90"/>
      <c r="J11117" s="90"/>
    </row>
    <row r="11118" spans="1:10" s="15" customFormat="1" ht="16.5" hidden="1" customHeight="1" outlineLevel="1" x14ac:dyDescent="0.25">
      <c r="A11118" s="18">
        <v>1132</v>
      </c>
      <c r="B11118" s="4" t="s">
        <v>44</v>
      </c>
      <c r="C11118" s="38" t="s">
        <v>2310</v>
      </c>
      <c r="D11118" s="18">
        <v>2022</v>
      </c>
      <c r="E11118" s="18" t="s">
        <v>0</v>
      </c>
      <c r="F11118" s="41">
        <v>1</v>
      </c>
      <c r="G11118" s="4">
        <v>15</v>
      </c>
      <c r="H11118" s="18">
        <v>57.55742</v>
      </c>
      <c r="I11118" s="90"/>
      <c r="J11118" s="90"/>
    </row>
    <row r="11119" spans="1:10" s="15" customFormat="1" ht="16.5" hidden="1" customHeight="1" outlineLevel="1" x14ac:dyDescent="0.25">
      <c r="A11119" s="18">
        <v>1075</v>
      </c>
      <c r="B11119" s="4" t="s">
        <v>44</v>
      </c>
      <c r="C11119" s="38" t="s">
        <v>2311</v>
      </c>
      <c r="D11119" s="18">
        <v>2022</v>
      </c>
      <c r="E11119" s="18" t="s">
        <v>0</v>
      </c>
      <c r="F11119" s="41">
        <v>1</v>
      </c>
      <c r="G11119" s="4">
        <v>15</v>
      </c>
      <c r="H11119" s="18">
        <v>39.853230000000003</v>
      </c>
      <c r="I11119" s="90"/>
      <c r="J11119" s="90"/>
    </row>
    <row r="11120" spans="1:10" s="15" customFormat="1" ht="16.5" hidden="1" customHeight="1" outlineLevel="1" x14ac:dyDescent="0.25">
      <c r="A11120" s="18">
        <v>1491</v>
      </c>
      <c r="B11120" s="4" t="s">
        <v>44</v>
      </c>
      <c r="C11120" s="38" t="s">
        <v>2313</v>
      </c>
      <c r="D11120" s="18">
        <v>2022</v>
      </c>
      <c r="E11120" s="18" t="s">
        <v>0</v>
      </c>
      <c r="F11120" s="41">
        <v>1</v>
      </c>
      <c r="G11120" s="4">
        <v>15</v>
      </c>
      <c r="H11120" s="18">
        <v>48.802100000000003</v>
      </c>
      <c r="I11120" s="90"/>
      <c r="J11120" s="90"/>
    </row>
    <row r="11121" spans="1:10" s="15" customFormat="1" ht="16.5" hidden="1" customHeight="1" outlineLevel="1" x14ac:dyDescent="0.25">
      <c r="A11121" s="18">
        <v>1263</v>
      </c>
      <c r="B11121" s="4" t="s">
        <v>44</v>
      </c>
      <c r="C11121" s="38" t="s">
        <v>2314</v>
      </c>
      <c r="D11121" s="18">
        <v>2022</v>
      </c>
      <c r="E11121" s="18" t="s">
        <v>0</v>
      </c>
      <c r="F11121" s="41">
        <v>1</v>
      </c>
      <c r="G11121" s="4">
        <v>15</v>
      </c>
      <c r="H11121" s="18">
        <v>56.780209999999997</v>
      </c>
      <c r="I11121" s="90"/>
      <c r="J11121" s="90"/>
    </row>
    <row r="11122" spans="1:10" s="15" customFormat="1" ht="16.5" hidden="1" customHeight="1" outlineLevel="1" x14ac:dyDescent="0.25">
      <c r="A11122" s="18">
        <v>1720</v>
      </c>
      <c r="B11122" s="4" t="s">
        <v>44</v>
      </c>
      <c r="C11122" s="38" t="s">
        <v>2902</v>
      </c>
      <c r="D11122" s="18">
        <v>2022</v>
      </c>
      <c r="E11122" s="18" t="s">
        <v>0</v>
      </c>
      <c r="F11122" s="41">
        <v>1</v>
      </c>
      <c r="G11122" s="4">
        <v>11.5</v>
      </c>
      <c r="H11122" s="18">
        <v>65.696730000000002</v>
      </c>
      <c r="I11122" s="90"/>
      <c r="J11122" s="90"/>
    </row>
    <row r="11123" spans="1:10" s="15" customFormat="1" ht="16.5" hidden="1" customHeight="1" outlineLevel="1" x14ac:dyDescent="0.25">
      <c r="A11123" s="18">
        <v>1738</v>
      </c>
      <c r="B11123" s="4" t="s">
        <v>44</v>
      </c>
      <c r="C11123" s="38" t="s">
        <v>6113</v>
      </c>
      <c r="D11123" s="18">
        <v>2022</v>
      </c>
      <c r="E11123" s="18" t="s">
        <v>0</v>
      </c>
      <c r="F11123" s="41">
        <v>1</v>
      </c>
      <c r="G11123" s="4">
        <v>15</v>
      </c>
      <c r="H11123" s="18">
        <v>20.840900000000001</v>
      </c>
      <c r="I11123" s="90"/>
      <c r="J11123" s="90"/>
    </row>
    <row r="11124" spans="1:10" s="15" customFormat="1" ht="16.5" hidden="1" customHeight="1" outlineLevel="1" x14ac:dyDescent="0.25">
      <c r="A11124" s="18">
        <v>1088</v>
      </c>
      <c r="B11124" s="4" t="s">
        <v>44</v>
      </c>
      <c r="C11124" s="38" t="s">
        <v>6114</v>
      </c>
      <c r="D11124" s="18">
        <v>2022</v>
      </c>
      <c r="E11124" s="18" t="s">
        <v>0</v>
      </c>
      <c r="F11124" s="41">
        <v>1</v>
      </c>
      <c r="G11124" s="4">
        <v>7.5</v>
      </c>
      <c r="H11124" s="18">
        <v>34.350090000000002</v>
      </c>
      <c r="I11124" s="90"/>
      <c r="J11124" s="90"/>
    </row>
    <row r="11125" spans="1:10" s="15" customFormat="1" ht="16.5" hidden="1" customHeight="1" outlineLevel="1" x14ac:dyDescent="0.25">
      <c r="A11125" s="18">
        <v>1182</v>
      </c>
      <c r="B11125" s="4" t="s">
        <v>44</v>
      </c>
      <c r="C11125" s="38" t="s">
        <v>6115</v>
      </c>
      <c r="D11125" s="18">
        <v>2022</v>
      </c>
      <c r="E11125" s="18" t="s">
        <v>0</v>
      </c>
      <c r="F11125" s="41">
        <v>1</v>
      </c>
      <c r="G11125" s="4">
        <v>7.5</v>
      </c>
      <c r="H11125" s="18">
        <v>25.870930000000001</v>
      </c>
      <c r="I11125" s="90"/>
      <c r="J11125" s="90"/>
    </row>
    <row r="11126" spans="1:10" s="15" customFormat="1" ht="16.5" hidden="1" customHeight="1" outlineLevel="1" x14ac:dyDescent="0.25">
      <c r="A11126" s="18">
        <v>1736</v>
      </c>
      <c r="B11126" s="4" t="s">
        <v>44</v>
      </c>
      <c r="C11126" s="38" t="s">
        <v>6116</v>
      </c>
      <c r="D11126" s="18">
        <v>2022</v>
      </c>
      <c r="E11126" s="18" t="s">
        <v>0</v>
      </c>
      <c r="F11126" s="41">
        <v>1</v>
      </c>
      <c r="G11126" s="4">
        <v>15</v>
      </c>
      <c r="H11126" s="18">
        <v>20.297630000000002</v>
      </c>
      <c r="I11126" s="90"/>
      <c r="J11126" s="90"/>
    </row>
    <row r="11127" spans="1:10" s="15" customFormat="1" ht="16.5" hidden="1" customHeight="1" outlineLevel="1" x14ac:dyDescent="0.25">
      <c r="A11127" s="18">
        <v>1477</v>
      </c>
      <c r="B11127" s="4" t="s">
        <v>44</v>
      </c>
      <c r="C11127" s="38" t="s">
        <v>6117</v>
      </c>
      <c r="D11127" s="18">
        <v>2022</v>
      </c>
      <c r="E11127" s="18" t="s">
        <v>0</v>
      </c>
      <c r="F11127" s="41">
        <v>1</v>
      </c>
      <c r="G11127" s="4">
        <v>10</v>
      </c>
      <c r="H11127" s="18">
        <v>26.655180000000001</v>
      </c>
      <c r="I11127" s="90"/>
      <c r="J11127" s="90"/>
    </row>
    <row r="11128" spans="1:10" s="15" customFormat="1" ht="16.5" hidden="1" customHeight="1" outlineLevel="1" x14ac:dyDescent="0.25">
      <c r="A11128" s="18">
        <v>1742</v>
      </c>
      <c r="B11128" s="4" t="s">
        <v>44</v>
      </c>
      <c r="C11128" s="38" t="s">
        <v>6118</v>
      </c>
      <c r="D11128" s="18">
        <v>2022</v>
      </c>
      <c r="E11128" s="18" t="s">
        <v>0</v>
      </c>
      <c r="F11128" s="41">
        <v>1</v>
      </c>
      <c r="G11128" s="4">
        <v>15</v>
      </c>
      <c r="H11128" s="18">
        <v>20.381309999999999</v>
      </c>
      <c r="I11128" s="90"/>
      <c r="J11128" s="90"/>
    </row>
    <row r="11129" spans="1:10" s="15" customFormat="1" ht="16.5" hidden="1" customHeight="1" outlineLevel="1" x14ac:dyDescent="0.25">
      <c r="A11129" s="18">
        <v>1743</v>
      </c>
      <c r="B11129" s="4" t="s">
        <v>44</v>
      </c>
      <c r="C11129" s="38" t="s">
        <v>6119</v>
      </c>
      <c r="D11129" s="18">
        <v>2022</v>
      </c>
      <c r="E11129" s="18" t="s">
        <v>0</v>
      </c>
      <c r="F11129" s="41">
        <v>1</v>
      </c>
      <c r="G11129" s="4">
        <v>10</v>
      </c>
      <c r="H11129" s="18">
        <v>21.259340000000002</v>
      </c>
      <c r="I11129" s="90"/>
      <c r="J11129" s="90"/>
    </row>
    <row r="11130" spans="1:10" s="15" customFormat="1" ht="16.5" hidden="1" customHeight="1" outlineLevel="1" x14ac:dyDescent="0.25">
      <c r="A11130" s="18">
        <v>1745</v>
      </c>
      <c r="B11130" s="4" t="s">
        <v>44</v>
      </c>
      <c r="C11130" s="38" t="s">
        <v>6120</v>
      </c>
      <c r="D11130" s="18">
        <v>2022</v>
      </c>
      <c r="E11130" s="18" t="s">
        <v>0</v>
      </c>
      <c r="F11130" s="41">
        <v>1</v>
      </c>
      <c r="G11130" s="4">
        <v>10</v>
      </c>
      <c r="H11130" s="18">
        <v>21.595549999999999</v>
      </c>
      <c r="I11130" s="90"/>
      <c r="J11130" s="90"/>
    </row>
    <row r="11131" spans="1:10" s="15" customFormat="1" ht="16.5" hidden="1" customHeight="1" outlineLevel="1" x14ac:dyDescent="0.25">
      <c r="A11131" s="18">
        <v>1740</v>
      </c>
      <c r="B11131" s="4" t="s">
        <v>44</v>
      </c>
      <c r="C11131" s="38" t="s">
        <v>6121</v>
      </c>
      <c r="D11131" s="18">
        <v>2022</v>
      </c>
      <c r="E11131" s="18" t="s">
        <v>0</v>
      </c>
      <c r="F11131" s="41">
        <v>1</v>
      </c>
      <c r="G11131" s="4">
        <v>15</v>
      </c>
      <c r="H11131" s="18">
        <v>22.117270000000001</v>
      </c>
      <c r="I11131" s="90"/>
      <c r="J11131" s="90"/>
    </row>
    <row r="11132" spans="1:10" s="15" customFormat="1" ht="16.5" hidden="1" customHeight="1" outlineLevel="1" x14ac:dyDescent="0.25">
      <c r="A11132" s="18">
        <v>1739</v>
      </c>
      <c r="B11132" s="4" t="s">
        <v>44</v>
      </c>
      <c r="C11132" s="38" t="s">
        <v>6122</v>
      </c>
      <c r="D11132" s="18">
        <v>2022</v>
      </c>
      <c r="E11132" s="18" t="s">
        <v>0</v>
      </c>
      <c r="F11132" s="41">
        <v>1</v>
      </c>
      <c r="G11132" s="4">
        <v>15</v>
      </c>
      <c r="H11132" s="18">
        <v>20.372240000000001</v>
      </c>
      <c r="I11132" s="90"/>
      <c r="J11132" s="90"/>
    </row>
    <row r="11133" spans="1:10" s="15" customFormat="1" ht="16.5" hidden="1" customHeight="1" outlineLevel="1" x14ac:dyDescent="0.25">
      <c r="A11133" s="18">
        <v>1744</v>
      </c>
      <c r="B11133" s="4" t="s">
        <v>44</v>
      </c>
      <c r="C11133" s="38" t="s">
        <v>6123</v>
      </c>
      <c r="D11133" s="18">
        <v>2022</v>
      </c>
      <c r="E11133" s="18" t="s">
        <v>0</v>
      </c>
      <c r="F11133" s="41">
        <v>1</v>
      </c>
      <c r="G11133" s="4">
        <v>10</v>
      </c>
      <c r="H11133" s="18">
        <v>20.974820000000001</v>
      </c>
      <c r="I11133" s="90"/>
      <c r="J11133" s="90"/>
    </row>
    <row r="11134" spans="1:10" s="15" customFormat="1" ht="16.5" hidden="1" customHeight="1" outlineLevel="1" x14ac:dyDescent="0.25">
      <c r="A11134" s="18">
        <v>1741</v>
      </c>
      <c r="B11134" s="4" t="s">
        <v>44</v>
      </c>
      <c r="C11134" s="38" t="s">
        <v>6124</v>
      </c>
      <c r="D11134" s="18">
        <v>2022</v>
      </c>
      <c r="E11134" s="18" t="s">
        <v>0</v>
      </c>
      <c r="F11134" s="41">
        <v>1</v>
      </c>
      <c r="G11134" s="4">
        <v>11</v>
      </c>
      <c r="H11134" s="18">
        <v>20.950620000000001</v>
      </c>
      <c r="I11134" s="90"/>
      <c r="J11134" s="90"/>
    </row>
    <row r="11135" spans="1:10" s="15" customFormat="1" ht="16.5" hidden="1" customHeight="1" outlineLevel="1" x14ac:dyDescent="0.25">
      <c r="A11135" s="18">
        <v>1735</v>
      </c>
      <c r="B11135" s="4" t="s">
        <v>44</v>
      </c>
      <c r="C11135" s="38" t="s">
        <v>6125</v>
      </c>
      <c r="D11135" s="18">
        <v>2022</v>
      </c>
      <c r="E11135" s="18" t="s">
        <v>0</v>
      </c>
      <c r="F11135" s="41">
        <v>1</v>
      </c>
      <c r="G11135" s="4">
        <v>15</v>
      </c>
      <c r="H11135" s="18">
        <v>20.99973</v>
      </c>
      <c r="I11135" s="90"/>
      <c r="J11135" s="90"/>
    </row>
    <row r="11136" spans="1:10" s="15" customFormat="1" ht="16.5" hidden="1" customHeight="1" outlineLevel="1" x14ac:dyDescent="0.25">
      <c r="A11136" s="18">
        <v>1737</v>
      </c>
      <c r="B11136" s="4" t="s">
        <v>44</v>
      </c>
      <c r="C11136" s="38" t="s">
        <v>6126</v>
      </c>
      <c r="D11136" s="18">
        <v>2022</v>
      </c>
      <c r="E11136" s="18" t="s">
        <v>0</v>
      </c>
      <c r="F11136" s="41">
        <v>1</v>
      </c>
      <c r="G11136" s="4">
        <v>10</v>
      </c>
      <c r="H11136" s="18">
        <v>21.400739999999999</v>
      </c>
      <c r="I11136" s="90"/>
      <c r="J11136" s="90"/>
    </row>
    <row r="11137" spans="1:10" s="15" customFormat="1" ht="16.5" hidden="1" customHeight="1" outlineLevel="1" x14ac:dyDescent="0.25">
      <c r="A11137" s="18">
        <v>1317</v>
      </c>
      <c r="B11137" s="4" t="s">
        <v>44</v>
      </c>
      <c r="C11137" s="38" t="s">
        <v>2315</v>
      </c>
      <c r="D11137" s="18">
        <v>2022</v>
      </c>
      <c r="E11137" s="18" t="s">
        <v>0</v>
      </c>
      <c r="F11137" s="41">
        <v>1</v>
      </c>
      <c r="G11137" s="4">
        <v>11.5</v>
      </c>
      <c r="H11137" s="18">
        <v>35.730620000000002</v>
      </c>
      <c r="I11137" s="90"/>
      <c r="J11137" s="90"/>
    </row>
    <row r="11138" spans="1:10" s="15" customFormat="1" ht="16.5" hidden="1" customHeight="1" outlineLevel="1" x14ac:dyDescent="0.25">
      <c r="A11138" s="18">
        <v>1366</v>
      </c>
      <c r="B11138" s="4" t="s">
        <v>44</v>
      </c>
      <c r="C11138" s="38" t="s">
        <v>2316</v>
      </c>
      <c r="D11138" s="18">
        <v>2022</v>
      </c>
      <c r="E11138" s="18" t="s">
        <v>0</v>
      </c>
      <c r="F11138" s="41">
        <v>1</v>
      </c>
      <c r="G11138" s="4">
        <v>12</v>
      </c>
      <c r="H11138" s="18">
        <v>44.294640000000001</v>
      </c>
      <c r="I11138" s="90"/>
      <c r="J11138" s="90"/>
    </row>
    <row r="11139" spans="1:10" s="15" customFormat="1" ht="16.5" hidden="1" customHeight="1" outlineLevel="1" x14ac:dyDescent="0.25">
      <c r="A11139" s="18">
        <v>1665</v>
      </c>
      <c r="B11139" s="4" t="s">
        <v>44</v>
      </c>
      <c r="C11139" s="38" t="s">
        <v>2318</v>
      </c>
      <c r="D11139" s="18">
        <v>2022</v>
      </c>
      <c r="E11139" s="18" t="s">
        <v>0</v>
      </c>
      <c r="F11139" s="41">
        <v>1</v>
      </c>
      <c r="G11139" s="4">
        <v>10</v>
      </c>
      <c r="H11139" s="18">
        <v>79.265370000000004</v>
      </c>
      <c r="I11139" s="90"/>
      <c r="J11139" s="90"/>
    </row>
    <row r="11140" spans="1:10" s="15" customFormat="1" ht="16.5" hidden="1" customHeight="1" outlineLevel="1" x14ac:dyDescent="0.25">
      <c r="A11140" s="18">
        <v>1782</v>
      </c>
      <c r="B11140" s="4" t="s">
        <v>44</v>
      </c>
      <c r="C11140" s="38" t="s">
        <v>6127</v>
      </c>
      <c r="D11140" s="18">
        <v>2022</v>
      </c>
      <c r="E11140" s="18" t="s">
        <v>0</v>
      </c>
      <c r="F11140" s="41">
        <v>1</v>
      </c>
      <c r="G11140" s="4">
        <v>10</v>
      </c>
      <c r="H11140" s="18">
        <v>37.76437</v>
      </c>
      <c r="I11140" s="90"/>
      <c r="J11140" s="90"/>
    </row>
    <row r="11141" spans="1:10" s="15" customFormat="1" ht="16.5" hidden="1" customHeight="1" outlineLevel="1" x14ac:dyDescent="0.25">
      <c r="A11141" s="18">
        <v>1778</v>
      </c>
      <c r="B11141" s="4" t="s">
        <v>44</v>
      </c>
      <c r="C11141" s="38" t="s">
        <v>6128</v>
      </c>
      <c r="D11141" s="18">
        <v>2022</v>
      </c>
      <c r="E11141" s="18" t="s">
        <v>0</v>
      </c>
      <c r="F11141" s="41">
        <v>1</v>
      </c>
      <c r="G11141" s="4">
        <v>15</v>
      </c>
      <c r="H11141" s="18">
        <v>38.218150000000001</v>
      </c>
      <c r="I11141" s="90"/>
      <c r="J11141" s="90"/>
    </row>
    <row r="11142" spans="1:10" s="15" customFormat="1" ht="16.5" hidden="1" customHeight="1" outlineLevel="1" x14ac:dyDescent="0.25">
      <c r="A11142" s="18">
        <v>1776</v>
      </c>
      <c r="B11142" s="4" t="s">
        <v>44</v>
      </c>
      <c r="C11142" s="38" t="s">
        <v>6129</v>
      </c>
      <c r="D11142" s="18">
        <v>2022</v>
      </c>
      <c r="E11142" s="18" t="s">
        <v>0</v>
      </c>
      <c r="F11142" s="41">
        <v>1</v>
      </c>
      <c r="G11142" s="4">
        <v>15</v>
      </c>
      <c r="H11142" s="18">
        <v>37.81617</v>
      </c>
      <c r="I11142" s="90"/>
      <c r="J11142" s="90"/>
    </row>
    <row r="11143" spans="1:10" s="15" customFormat="1" ht="16.5" hidden="1" customHeight="1" outlineLevel="1" x14ac:dyDescent="0.25">
      <c r="A11143" s="18">
        <v>1789</v>
      </c>
      <c r="B11143" s="4" t="s">
        <v>44</v>
      </c>
      <c r="C11143" s="38" t="s">
        <v>6130</v>
      </c>
      <c r="D11143" s="18">
        <v>2022</v>
      </c>
      <c r="E11143" s="18" t="s">
        <v>0</v>
      </c>
      <c r="F11143" s="41">
        <v>1</v>
      </c>
      <c r="G11143" s="4">
        <v>15</v>
      </c>
      <c r="H11143" s="18">
        <v>37.640729999999998</v>
      </c>
      <c r="I11143" s="90"/>
      <c r="J11143" s="90"/>
    </row>
    <row r="11144" spans="1:10" s="15" customFormat="1" ht="16.5" hidden="1" customHeight="1" outlineLevel="1" x14ac:dyDescent="0.25">
      <c r="A11144" s="18">
        <v>1791</v>
      </c>
      <c r="B11144" s="4" t="s">
        <v>44</v>
      </c>
      <c r="C11144" s="38" t="s">
        <v>6131</v>
      </c>
      <c r="D11144" s="18">
        <v>2022</v>
      </c>
      <c r="E11144" s="18" t="s">
        <v>0</v>
      </c>
      <c r="F11144" s="41">
        <v>1</v>
      </c>
      <c r="G11144" s="4">
        <v>10</v>
      </c>
      <c r="H11144" s="18">
        <v>37.650010000000002</v>
      </c>
      <c r="I11144" s="90"/>
      <c r="J11144" s="90"/>
    </row>
    <row r="11145" spans="1:10" s="15" customFormat="1" ht="16.5" hidden="1" customHeight="1" outlineLevel="1" x14ac:dyDescent="0.25">
      <c r="A11145" s="18">
        <v>1775</v>
      </c>
      <c r="B11145" s="4" t="s">
        <v>44</v>
      </c>
      <c r="C11145" s="38" t="s">
        <v>6132</v>
      </c>
      <c r="D11145" s="18">
        <v>2022</v>
      </c>
      <c r="E11145" s="18" t="s">
        <v>0</v>
      </c>
      <c r="F11145" s="41">
        <v>1</v>
      </c>
      <c r="G11145" s="4">
        <v>15</v>
      </c>
      <c r="H11145" s="18">
        <v>20.45778</v>
      </c>
      <c r="I11145" s="90"/>
      <c r="J11145" s="90"/>
    </row>
    <row r="11146" spans="1:10" s="15" customFormat="1" ht="16.5" hidden="1" customHeight="1" outlineLevel="1" x14ac:dyDescent="0.25">
      <c r="A11146" s="18">
        <v>1790</v>
      </c>
      <c r="B11146" s="4" t="s">
        <v>44</v>
      </c>
      <c r="C11146" s="38" t="s">
        <v>6133</v>
      </c>
      <c r="D11146" s="18">
        <v>2022</v>
      </c>
      <c r="E11146" s="18" t="s">
        <v>0</v>
      </c>
      <c r="F11146" s="41">
        <v>1</v>
      </c>
      <c r="G11146" s="4">
        <v>10</v>
      </c>
      <c r="H11146" s="18">
        <v>40.176090000000002</v>
      </c>
      <c r="I11146" s="90"/>
      <c r="J11146" s="90"/>
    </row>
    <row r="11147" spans="1:10" s="15" customFormat="1" ht="16.5" hidden="1" customHeight="1" outlineLevel="1" x14ac:dyDescent="0.25">
      <c r="A11147" s="18">
        <v>1774</v>
      </c>
      <c r="B11147" s="4" t="s">
        <v>44</v>
      </c>
      <c r="C11147" s="38" t="s">
        <v>6134</v>
      </c>
      <c r="D11147" s="18">
        <v>2022</v>
      </c>
      <c r="E11147" s="18" t="s">
        <v>0</v>
      </c>
      <c r="F11147" s="41">
        <v>1</v>
      </c>
      <c r="G11147" s="4">
        <v>10</v>
      </c>
      <c r="H11147" s="18">
        <v>38.228209999999997</v>
      </c>
      <c r="I11147" s="90"/>
      <c r="J11147" s="90"/>
    </row>
    <row r="11148" spans="1:10" s="15" customFormat="1" ht="16.5" hidden="1" customHeight="1" outlineLevel="1" x14ac:dyDescent="0.25">
      <c r="A11148" s="18">
        <v>1780</v>
      </c>
      <c r="B11148" s="4" t="s">
        <v>44</v>
      </c>
      <c r="C11148" s="38" t="s">
        <v>6135</v>
      </c>
      <c r="D11148" s="18">
        <v>2022</v>
      </c>
      <c r="E11148" s="18" t="s">
        <v>0</v>
      </c>
      <c r="F11148" s="41">
        <v>1</v>
      </c>
      <c r="G11148" s="4">
        <v>9</v>
      </c>
      <c r="H11148" s="18">
        <v>37.671570000000003</v>
      </c>
      <c r="I11148" s="90"/>
      <c r="J11148" s="90"/>
    </row>
    <row r="11149" spans="1:10" s="15" customFormat="1" ht="16.5" hidden="1" customHeight="1" outlineLevel="1" x14ac:dyDescent="0.25">
      <c r="A11149" s="18">
        <v>1786</v>
      </c>
      <c r="B11149" s="4" t="s">
        <v>44</v>
      </c>
      <c r="C11149" s="38" t="s">
        <v>6136</v>
      </c>
      <c r="D11149" s="18">
        <v>2022</v>
      </c>
      <c r="E11149" s="18" t="s">
        <v>0</v>
      </c>
      <c r="F11149" s="41">
        <v>1</v>
      </c>
      <c r="G11149" s="4">
        <v>15</v>
      </c>
      <c r="H11149" s="18">
        <v>37.76435</v>
      </c>
      <c r="I11149" s="90"/>
      <c r="J11149" s="90"/>
    </row>
    <row r="11150" spans="1:10" s="15" customFormat="1" ht="16.5" hidden="1" customHeight="1" outlineLevel="1" x14ac:dyDescent="0.25">
      <c r="A11150" s="18">
        <v>1787</v>
      </c>
      <c r="B11150" s="4" t="s">
        <v>44</v>
      </c>
      <c r="C11150" s="38" t="s">
        <v>6137</v>
      </c>
      <c r="D11150" s="18">
        <v>2022</v>
      </c>
      <c r="E11150" s="18" t="s">
        <v>0</v>
      </c>
      <c r="F11150" s="41">
        <v>1</v>
      </c>
      <c r="G11150" s="4">
        <v>15</v>
      </c>
      <c r="H11150" s="18">
        <v>37.76437</v>
      </c>
      <c r="I11150" s="90"/>
      <c r="J11150" s="90"/>
    </row>
    <row r="11151" spans="1:10" s="15" customFormat="1" ht="16.5" hidden="1" customHeight="1" outlineLevel="1" x14ac:dyDescent="0.25">
      <c r="A11151" s="18">
        <v>1783</v>
      </c>
      <c r="B11151" s="4" t="s">
        <v>44</v>
      </c>
      <c r="C11151" s="38" t="s">
        <v>6138</v>
      </c>
      <c r="D11151" s="18">
        <v>2022</v>
      </c>
      <c r="E11151" s="18" t="s">
        <v>0</v>
      </c>
      <c r="F11151" s="41">
        <v>1</v>
      </c>
      <c r="G11151" s="4">
        <v>15</v>
      </c>
      <c r="H11151" s="18">
        <v>37.717979999999997</v>
      </c>
      <c r="I11151" s="90"/>
      <c r="J11151" s="90"/>
    </row>
    <row r="11152" spans="1:10" s="15" customFormat="1" ht="16.5" hidden="1" customHeight="1" outlineLevel="1" x14ac:dyDescent="0.25">
      <c r="A11152" s="18">
        <v>1784</v>
      </c>
      <c r="B11152" s="4" t="s">
        <v>44</v>
      </c>
      <c r="C11152" s="38" t="s">
        <v>6139</v>
      </c>
      <c r="D11152" s="18">
        <v>2022</v>
      </c>
      <c r="E11152" s="18" t="s">
        <v>0</v>
      </c>
      <c r="F11152" s="41">
        <v>1</v>
      </c>
      <c r="G11152" s="4">
        <v>15</v>
      </c>
      <c r="H11152" s="18">
        <v>19.947649999999999</v>
      </c>
      <c r="I11152" s="90"/>
      <c r="J11152" s="90"/>
    </row>
    <row r="11153" spans="1:10" s="15" customFormat="1" ht="16.5" hidden="1" customHeight="1" outlineLevel="1" x14ac:dyDescent="0.25">
      <c r="A11153" s="18">
        <v>1572</v>
      </c>
      <c r="B11153" s="4" t="s">
        <v>44</v>
      </c>
      <c r="C11153" s="38" t="s">
        <v>6140</v>
      </c>
      <c r="D11153" s="18">
        <v>2022</v>
      </c>
      <c r="E11153" s="18" t="s">
        <v>0</v>
      </c>
      <c r="F11153" s="41">
        <v>1</v>
      </c>
      <c r="G11153" s="4">
        <v>30</v>
      </c>
      <c r="H11153" s="18">
        <v>43.944899999999997</v>
      </c>
      <c r="I11153" s="90"/>
      <c r="J11153" s="90"/>
    </row>
    <row r="11154" spans="1:10" s="15" customFormat="1" ht="16.5" hidden="1" customHeight="1" outlineLevel="1" x14ac:dyDescent="0.25">
      <c r="A11154" s="18">
        <v>1570</v>
      </c>
      <c r="B11154" s="4" t="s">
        <v>44</v>
      </c>
      <c r="C11154" s="38" t="s">
        <v>6141</v>
      </c>
      <c r="D11154" s="18">
        <v>2022</v>
      </c>
      <c r="E11154" s="18" t="s">
        <v>0</v>
      </c>
      <c r="F11154" s="41">
        <v>1</v>
      </c>
      <c r="G11154" s="4">
        <v>15</v>
      </c>
      <c r="H11154" s="18">
        <v>27.048290000000001</v>
      </c>
      <c r="I11154" s="90"/>
      <c r="J11154" s="90"/>
    </row>
    <row r="11155" spans="1:10" s="15" customFormat="1" ht="16.5" hidden="1" customHeight="1" outlineLevel="1" x14ac:dyDescent="0.25">
      <c r="A11155" s="18">
        <v>1527</v>
      </c>
      <c r="B11155" s="4" t="s">
        <v>44</v>
      </c>
      <c r="C11155" s="38" t="s">
        <v>6142</v>
      </c>
      <c r="D11155" s="18">
        <v>2022</v>
      </c>
      <c r="E11155" s="18" t="s">
        <v>0</v>
      </c>
      <c r="F11155" s="41">
        <v>1</v>
      </c>
      <c r="G11155" s="4">
        <v>15</v>
      </c>
      <c r="H11155" s="18">
        <v>27.074200000000001</v>
      </c>
      <c r="I11155" s="90"/>
      <c r="J11155" s="90"/>
    </row>
    <row r="11156" spans="1:10" s="15" customFormat="1" ht="16.5" hidden="1" customHeight="1" outlineLevel="1" x14ac:dyDescent="0.25">
      <c r="A11156" s="18">
        <v>1136</v>
      </c>
      <c r="B11156" s="4" t="s">
        <v>44</v>
      </c>
      <c r="C11156" s="38" t="s">
        <v>6143</v>
      </c>
      <c r="D11156" s="18">
        <v>2022</v>
      </c>
      <c r="E11156" s="18" t="s">
        <v>0</v>
      </c>
      <c r="F11156" s="41">
        <v>1</v>
      </c>
      <c r="G11156" s="4">
        <v>15</v>
      </c>
      <c r="H11156" s="18">
        <v>44.777329999999999</v>
      </c>
      <c r="I11156" s="90"/>
      <c r="J11156" s="90"/>
    </row>
    <row r="11157" spans="1:10" s="15" customFormat="1" ht="16.5" hidden="1" customHeight="1" outlineLevel="1" x14ac:dyDescent="0.25">
      <c r="A11157" s="18">
        <v>1180</v>
      </c>
      <c r="B11157" s="4" t="s">
        <v>44</v>
      </c>
      <c r="C11157" s="38" t="s">
        <v>6144</v>
      </c>
      <c r="D11157" s="18">
        <v>2022</v>
      </c>
      <c r="E11157" s="18" t="s">
        <v>0</v>
      </c>
      <c r="F11157" s="41">
        <v>2</v>
      </c>
      <c r="G11157" s="4">
        <v>30</v>
      </c>
      <c r="H11157" s="18">
        <v>47.541179999999997</v>
      </c>
      <c r="I11157" s="90"/>
      <c r="J11157" s="90"/>
    </row>
    <row r="11158" spans="1:10" s="15" customFormat="1" ht="16.5" hidden="1" customHeight="1" outlineLevel="1" x14ac:dyDescent="0.25">
      <c r="A11158" s="18">
        <v>1272</v>
      </c>
      <c r="B11158" s="4" t="s">
        <v>44</v>
      </c>
      <c r="C11158" s="38" t="s">
        <v>6145</v>
      </c>
      <c r="D11158" s="18">
        <v>2022</v>
      </c>
      <c r="E11158" s="18" t="s">
        <v>0</v>
      </c>
      <c r="F11158" s="41">
        <v>1</v>
      </c>
      <c r="G11158" s="4">
        <v>15</v>
      </c>
      <c r="H11158" s="18">
        <v>26.936800000000002</v>
      </c>
      <c r="I11158" s="90"/>
      <c r="J11158" s="90"/>
    </row>
    <row r="11159" spans="1:10" s="15" customFormat="1" ht="16.5" hidden="1" customHeight="1" outlineLevel="1" x14ac:dyDescent="0.25">
      <c r="A11159" s="18">
        <v>1474</v>
      </c>
      <c r="B11159" s="4" t="s">
        <v>44</v>
      </c>
      <c r="C11159" s="38" t="s">
        <v>6146</v>
      </c>
      <c r="D11159" s="18">
        <v>2022</v>
      </c>
      <c r="E11159" s="18" t="s">
        <v>0</v>
      </c>
      <c r="F11159" s="41">
        <v>1</v>
      </c>
      <c r="G11159" s="4">
        <v>15</v>
      </c>
      <c r="H11159" s="18">
        <v>29.796779999999998</v>
      </c>
      <c r="I11159" s="90"/>
      <c r="J11159" s="90"/>
    </row>
    <row r="11160" spans="1:10" s="15" customFormat="1" ht="16.5" hidden="1" customHeight="1" outlineLevel="1" x14ac:dyDescent="0.25">
      <c r="A11160" s="18">
        <v>1777</v>
      </c>
      <c r="B11160" s="4" t="s">
        <v>44</v>
      </c>
      <c r="C11160" s="38" t="s">
        <v>6147</v>
      </c>
      <c r="D11160" s="18">
        <v>2022</v>
      </c>
      <c r="E11160" s="18" t="s">
        <v>0</v>
      </c>
      <c r="F11160" s="41">
        <v>1</v>
      </c>
      <c r="G11160" s="4">
        <v>15</v>
      </c>
      <c r="H11160" s="18">
        <v>37.816160000000004</v>
      </c>
      <c r="I11160" s="90"/>
      <c r="J11160" s="90"/>
    </row>
    <row r="11161" spans="1:10" s="15" customFormat="1" ht="16.5" hidden="1" customHeight="1" outlineLevel="1" x14ac:dyDescent="0.25">
      <c r="A11161" s="18">
        <v>1781</v>
      </c>
      <c r="B11161" s="4" t="s">
        <v>44</v>
      </c>
      <c r="C11161" s="38" t="s">
        <v>6148</v>
      </c>
      <c r="D11161" s="18">
        <v>2022</v>
      </c>
      <c r="E11161" s="18" t="s">
        <v>0</v>
      </c>
      <c r="F11161" s="41">
        <v>1</v>
      </c>
      <c r="G11161" s="4">
        <v>15</v>
      </c>
      <c r="H11161" s="18">
        <v>37.877989999999997</v>
      </c>
      <c r="I11161" s="90"/>
      <c r="J11161" s="90"/>
    </row>
    <row r="11162" spans="1:10" s="15" customFormat="1" ht="16.5" hidden="1" customHeight="1" outlineLevel="1" x14ac:dyDescent="0.25">
      <c r="A11162" s="18">
        <v>1124</v>
      </c>
      <c r="B11162" s="4" t="s">
        <v>44</v>
      </c>
      <c r="C11162" s="38" t="s">
        <v>2320</v>
      </c>
      <c r="D11162" s="18">
        <v>2022</v>
      </c>
      <c r="E11162" s="18" t="s">
        <v>0</v>
      </c>
      <c r="F11162" s="41">
        <v>1</v>
      </c>
      <c r="G11162" s="4">
        <v>15</v>
      </c>
      <c r="H11162" s="18">
        <v>49.598140000000001</v>
      </c>
      <c r="I11162" s="90"/>
      <c r="J11162" s="90"/>
    </row>
    <row r="11163" spans="1:10" s="15" customFormat="1" ht="16.5" hidden="1" customHeight="1" outlineLevel="1" x14ac:dyDescent="0.25">
      <c r="A11163" s="18">
        <v>1232</v>
      </c>
      <c r="B11163" s="4" t="s">
        <v>44</v>
      </c>
      <c r="C11163" s="38" t="s">
        <v>2323</v>
      </c>
      <c r="D11163" s="18">
        <v>2022</v>
      </c>
      <c r="E11163" s="18" t="s">
        <v>0</v>
      </c>
      <c r="F11163" s="41">
        <v>1</v>
      </c>
      <c r="G11163" s="4">
        <v>15</v>
      </c>
      <c r="H11163" s="18">
        <v>55.975839999999998</v>
      </c>
      <c r="I11163" s="90"/>
      <c r="J11163" s="90"/>
    </row>
    <row r="11164" spans="1:10" s="15" customFormat="1" ht="16.5" hidden="1" customHeight="1" outlineLevel="1" x14ac:dyDescent="0.25">
      <c r="A11164" s="18">
        <v>1731</v>
      </c>
      <c r="B11164" s="4" t="s">
        <v>44</v>
      </c>
      <c r="C11164" s="38" t="s">
        <v>6149</v>
      </c>
      <c r="D11164" s="18">
        <v>2022</v>
      </c>
      <c r="E11164" s="18" t="s">
        <v>0</v>
      </c>
      <c r="F11164" s="41">
        <v>1</v>
      </c>
      <c r="G11164" s="4">
        <v>5</v>
      </c>
      <c r="H11164" s="18">
        <v>12.13636</v>
      </c>
      <c r="I11164" s="90"/>
      <c r="J11164" s="90"/>
    </row>
    <row r="11165" spans="1:10" s="15" customFormat="1" ht="16.5" hidden="1" customHeight="1" outlineLevel="1" x14ac:dyDescent="0.25">
      <c r="A11165" s="18">
        <v>1647</v>
      </c>
      <c r="B11165" s="4" t="s">
        <v>44</v>
      </c>
      <c r="C11165" s="38" t="s">
        <v>6150</v>
      </c>
      <c r="D11165" s="18">
        <v>2022</v>
      </c>
      <c r="E11165" s="18" t="s">
        <v>0</v>
      </c>
      <c r="F11165" s="41">
        <v>1</v>
      </c>
      <c r="G11165" s="4">
        <v>10</v>
      </c>
      <c r="H11165" s="18">
        <v>20.734690000000001</v>
      </c>
      <c r="I11165" s="90"/>
      <c r="J11165" s="90"/>
    </row>
    <row r="11166" spans="1:10" s="15" customFormat="1" ht="16.5" hidden="1" customHeight="1" outlineLevel="1" x14ac:dyDescent="0.25">
      <c r="A11166" s="18">
        <v>1721</v>
      </c>
      <c r="B11166" s="4" t="s">
        <v>44</v>
      </c>
      <c r="C11166" s="38" t="s">
        <v>6151</v>
      </c>
      <c r="D11166" s="18">
        <v>2022</v>
      </c>
      <c r="E11166" s="18" t="s">
        <v>0</v>
      </c>
      <c r="F11166" s="41">
        <v>1</v>
      </c>
      <c r="G11166" s="4">
        <v>15</v>
      </c>
      <c r="H11166" s="18">
        <v>18.89282</v>
      </c>
      <c r="I11166" s="90"/>
      <c r="J11166" s="90"/>
    </row>
    <row r="11167" spans="1:10" s="15" customFormat="1" ht="16.5" hidden="1" customHeight="1" outlineLevel="1" x14ac:dyDescent="0.25">
      <c r="A11167" s="18">
        <v>1723</v>
      </c>
      <c r="B11167" s="4" t="s">
        <v>44</v>
      </c>
      <c r="C11167" s="38" t="s">
        <v>6152</v>
      </c>
      <c r="D11167" s="18">
        <v>2022</v>
      </c>
      <c r="E11167" s="18" t="s">
        <v>0</v>
      </c>
      <c r="F11167" s="41">
        <v>1</v>
      </c>
      <c r="G11167" s="4">
        <v>15</v>
      </c>
      <c r="H11167" s="18">
        <v>37.011879999999998</v>
      </c>
      <c r="I11167" s="90"/>
      <c r="J11167" s="90"/>
    </row>
    <row r="11168" spans="1:10" s="15" customFormat="1" ht="16.5" hidden="1" customHeight="1" outlineLevel="1" x14ac:dyDescent="0.25">
      <c r="A11168" s="18">
        <v>1758</v>
      </c>
      <c r="B11168" s="4" t="s">
        <v>44</v>
      </c>
      <c r="C11168" s="38" t="s">
        <v>6153</v>
      </c>
      <c r="D11168" s="18">
        <v>2022</v>
      </c>
      <c r="E11168" s="18" t="s">
        <v>0</v>
      </c>
      <c r="F11168" s="41">
        <v>1</v>
      </c>
      <c r="G11168" s="4">
        <v>10</v>
      </c>
      <c r="H11168" s="18">
        <v>37.853990000000003</v>
      </c>
      <c r="I11168" s="90"/>
      <c r="J11168" s="90"/>
    </row>
    <row r="11169" spans="1:10" s="15" customFormat="1" ht="16.5" hidden="1" customHeight="1" outlineLevel="1" x14ac:dyDescent="0.25">
      <c r="A11169" s="18">
        <v>1667</v>
      </c>
      <c r="B11169" s="4" t="s">
        <v>44</v>
      </c>
      <c r="C11169" s="38" t="s">
        <v>6154</v>
      </c>
      <c r="D11169" s="18">
        <v>2022</v>
      </c>
      <c r="E11169" s="18" t="s">
        <v>0</v>
      </c>
      <c r="F11169" s="41">
        <v>1</v>
      </c>
      <c r="G11169" s="4">
        <v>15</v>
      </c>
      <c r="H11169" s="18">
        <v>23.590250000000001</v>
      </c>
      <c r="I11169" s="90"/>
      <c r="J11169" s="90"/>
    </row>
    <row r="11170" spans="1:10" s="15" customFormat="1" ht="16.5" hidden="1" customHeight="1" outlineLevel="1" x14ac:dyDescent="0.25">
      <c r="A11170" s="18">
        <v>1762</v>
      </c>
      <c r="B11170" s="4" t="s">
        <v>44</v>
      </c>
      <c r="C11170" s="38" t="s">
        <v>6155</v>
      </c>
      <c r="D11170" s="18">
        <v>2022</v>
      </c>
      <c r="E11170" s="18" t="s">
        <v>0</v>
      </c>
      <c r="F11170" s="41">
        <v>1</v>
      </c>
      <c r="G11170" s="4">
        <v>30</v>
      </c>
      <c r="H11170" s="18">
        <v>39.692369999999997</v>
      </c>
      <c r="I11170" s="90"/>
      <c r="J11170" s="90"/>
    </row>
    <row r="11171" spans="1:10" s="15" customFormat="1" ht="16.5" hidden="1" customHeight="1" outlineLevel="1" x14ac:dyDescent="0.25">
      <c r="A11171" s="18">
        <v>1351</v>
      </c>
      <c r="B11171" s="4" t="s">
        <v>44</v>
      </c>
      <c r="C11171" s="38" t="s">
        <v>2325</v>
      </c>
      <c r="D11171" s="18">
        <v>2022</v>
      </c>
      <c r="E11171" s="18" t="s">
        <v>0</v>
      </c>
      <c r="F11171" s="41">
        <v>1</v>
      </c>
      <c r="G11171" s="4">
        <v>15</v>
      </c>
      <c r="H11171" s="18">
        <v>46.994250000000001</v>
      </c>
      <c r="I11171" s="90"/>
      <c r="J11171" s="90"/>
    </row>
    <row r="11172" spans="1:10" s="15" customFormat="1" ht="16.5" hidden="1" customHeight="1" outlineLevel="1" x14ac:dyDescent="0.25">
      <c r="A11172" s="18">
        <v>1045</v>
      </c>
      <c r="B11172" s="4" t="s">
        <v>44</v>
      </c>
      <c r="C11172" s="38" t="s">
        <v>2326</v>
      </c>
      <c r="D11172" s="18">
        <v>2022</v>
      </c>
      <c r="E11172" s="18" t="s">
        <v>0</v>
      </c>
      <c r="F11172" s="41">
        <v>1</v>
      </c>
      <c r="G11172" s="4">
        <v>15</v>
      </c>
      <c r="H11172" s="18">
        <v>53.549520000000001</v>
      </c>
      <c r="I11172" s="90"/>
      <c r="J11172" s="90"/>
    </row>
    <row r="11173" spans="1:10" s="15" customFormat="1" ht="16.5" hidden="1" customHeight="1" outlineLevel="1" x14ac:dyDescent="0.25">
      <c r="A11173" s="18">
        <v>1106</v>
      </c>
      <c r="B11173" s="4" t="s">
        <v>44</v>
      </c>
      <c r="C11173" s="38" t="s">
        <v>2328</v>
      </c>
      <c r="D11173" s="18">
        <v>2022</v>
      </c>
      <c r="E11173" s="18" t="s">
        <v>0</v>
      </c>
      <c r="F11173" s="41">
        <v>1</v>
      </c>
      <c r="G11173" s="4">
        <v>15</v>
      </c>
      <c r="H11173" s="18">
        <v>34.299669999999999</v>
      </c>
      <c r="I11173" s="90"/>
      <c r="J11173" s="90"/>
    </row>
    <row r="11174" spans="1:10" s="15" customFormat="1" ht="16.5" hidden="1" customHeight="1" outlineLevel="1" x14ac:dyDescent="0.25">
      <c r="A11174" s="18">
        <v>1385</v>
      </c>
      <c r="B11174" s="4" t="s">
        <v>44</v>
      </c>
      <c r="C11174" s="38" t="s">
        <v>2329</v>
      </c>
      <c r="D11174" s="18">
        <v>2022</v>
      </c>
      <c r="E11174" s="18" t="s">
        <v>0</v>
      </c>
      <c r="F11174" s="41">
        <v>1</v>
      </c>
      <c r="G11174" s="4">
        <v>15</v>
      </c>
      <c r="H11174" s="18">
        <v>60.506920000000001</v>
      </c>
      <c r="I11174" s="90"/>
      <c r="J11174" s="90"/>
    </row>
    <row r="11175" spans="1:10" s="15" customFormat="1" ht="16.5" hidden="1" customHeight="1" outlineLevel="1" x14ac:dyDescent="0.25">
      <c r="A11175" s="18">
        <v>1163</v>
      </c>
      <c r="B11175" s="4" t="s">
        <v>44</v>
      </c>
      <c r="C11175" s="38" t="s">
        <v>2330</v>
      </c>
      <c r="D11175" s="18">
        <v>2022</v>
      </c>
      <c r="E11175" s="18" t="s">
        <v>0</v>
      </c>
      <c r="F11175" s="41">
        <v>1</v>
      </c>
      <c r="G11175" s="4">
        <v>15</v>
      </c>
      <c r="H11175" s="18">
        <v>44.706240000000001</v>
      </c>
      <c r="I11175" s="90"/>
      <c r="J11175" s="90"/>
    </row>
    <row r="11176" spans="1:10" s="15" customFormat="1" ht="16.5" hidden="1" customHeight="1" outlineLevel="1" x14ac:dyDescent="0.25">
      <c r="A11176" s="18">
        <v>1198</v>
      </c>
      <c r="B11176" s="4" t="s">
        <v>44</v>
      </c>
      <c r="C11176" s="38" t="s">
        <v>2331</v>
      </c>
      <c r="D11176" s="18">
        <v>2022</v>
      </c>
      <c r="E11176" s="18" t="s">
        <v>0</v>
      </c>
      <c r="F11176" s="41">
        <v>1</v>
      </c>
      <c r="G11176" s="4">
        <v>10</v>
      </c>
      <c r="H11176" s="18">
        <v>65.718249999999998</v>
      </c>
      <c r="I11176" s="90"/>
      <c r="J11176" s="90"/>
    </row>
    <row r="11177" spans="1:10" s="15" customFormat="1" ht="16.5" hidden="1" customHeight="1" outlineLevel="1" x14ac:dyDescent="0.25">
      <c r="A11177" s="18">
        <v>1264</v>
      </c>
      <c r="B11177" s="4" t="s">
        <v>44</v>
      </c>
      <c r="C11177" s="38" t="s">
        <v>2333</v>
      </c>
      <c r="D11177" s="18">
        <v>2022</v>
      </c>
      <c r="E11177" s="18" t="s">
        <v>0</v>
      </c>
      <c r="F11177" s="41">
        <v>1</v>
      </c>
      <c r="G11177" s="4">
        <v>15</v>
      </c>
      <c r="H11177" s="18">
        <v>71.71002</v>
      </c>
      <c r="I11177" s="90"/>
      <c r="J11177" s="90"/>
    </row>
    <row r="11178" spans="1:10" s="15" customFormat="1" ht="16.5" hidden="1" customHeight="1" outlineLevel="1" x14ac:dyDescent="0.25">
      <c r="A11178" s="18">
        <v>1046</v>
      </c>
      <c r="B11178" s="4" t="s">
        <v>44</v>
      </c>
      <c r="C11178" s="38" t="s">
        <v>2334</v>
      </c>
      <c r="D11178" s="18">
        <v>2022</v>
      </c>
      <c r="E11178" s="18" t="s">
        <v>0</v>
      </c>
      <c r="F11178" s="41">
        <v>1</v>
      </c>
      <c r="G11178" s="4">
        <v>0.5</v>
      </c>
      <c r="H11178" s="18">
        <v>50.828560000000003</v>
      </c>
      <c r="I11178" s="90"/>
      <c r="J11178" s="90"/>
    </row>
    <row r="11179" spans="1:10" s="15" customFormat="1" ht="16.5" hidden="1" customHeight="1" outlineLevel="1" x14ac:dyDescent="0.25">
      <c r="A11179" s="18">
        <v>1759</v>
      </c>
      <c r="B11179" s="4" t="s">
        <v>44</v>
      </c>
      <c r="C11179" s="38" t="s">
        <v>6156</v>
      </c>
      <c r="D11179" s="18">
        <v>2022</v>
      </c>
      <c r="E11179" s="18" t="s">
        <v>0</v>
      </c>
      <c r="F11179" s="41">
        <v>1</v>
      </c>
      <c r="G11179" s="4">
        <v>10</v>
      </c>
      <c r="H11179" s="18">
        <v>19.77468</v>
      </c>
      <c r="I11179" s="90"/>
      <c r="J11179" s="90"/>
    </row>
    <row r="11180" spans="1:10" s="15" customFormat="1" ht="16.5" hidden="1" customHeight="1" outlineLevel="1" x14ac:dyDescent="0.25">
      <c r="A11180" s="18">
        <v>1760</v>
      </c>
      <c r="B11180" s="4" t="s">
        <v>44</v>
      </c>
      <c r="C11180" s="38" t="s">
        <v>6157</v>
      </c>
      <c r="D11180" s="18">
        <v>2022</v>
      </c>
      <c r="E11180" s="18" t="s">
        <v>0</v>
      </c>
      <c r="F11180" s="41">
        <v>1</v>
      </c>
      <c r="G11180" s="4">
        <v>10</v>
      </c>
      <c r="H11180" s="18">
        <v>19.95609</v>
      </c>
      <c r="I11180" s="90"/>
      <c r="J11180" s="90"/>
    </row>
    <row r="11181" spans="1:10" s="15" customFormat="1" ht="16.5" hidden="1" customHeight="1" outlineLevel="1" x14ac:dyDescent="0.25">
      <c r="A11181" s="18">
        <v>1772</v>
      </c>
      <c r="B11181" s="4" t="s">
        <v>44</v>
      </c>
      <c r="C11181" s="38" t="s">
        <v>6158</v>
      </c>
      <c r="D11181" s="18">
        <v>2022</v>
      </c>
      <c r="E11181" s="18" t="s">
        <v>0</v>
      </c>
      <c r="F11181" s="41">
        <v>1</v>
      </c>
      <c r="G11181" s="4">
        <v>15</v>
      </c>
      <c r="H11181" s="18">
        <v>38.492100000000001</v>
      </c>
      <c r="I11181" s="90"/>
      <c r="J11181" s="90"/>
    </row>
    <row r="11182" spans="1:10" s="15" customFormat="1" ht="16.5" hidden="1" customHeight="1" outlineLevel="1" x14ac:dyDescent="0.25">
      <c r="A11182" s="18">
        <v>1773</v>
      </c>
      <c r="B11182" s="4" t="s">
        <v>44</v>
      </c>
      <c r="C11182" s="38" t="s">
        <v>6159</v>
      </c>
      <c r="D11182" s="18">
        <v>2022</v>
      </c>
      <c r="E11182" s="18" t="s">
        <v>0</v>
      </c>
      <c r="F11182" s="41">
        <v>1</v>
      </c>
      <c r="G11182" s="4">
        <v>10</v>
      </c>
      <c r="H11182" s="18">
        <v>38.287239999999997</v>
      </c>
      <c r="I11182" s="90"/>
      <c r="J11182" s="90"/>
    </row>
    <row r="11183" spans="1:10" s="15" customFormat="1" ht="16.5" hidden="1" customHeight="1" outlineLevel="1" x14ac:dyDescent="0.25">
      <c r="A11183" s="18">
        <v>1747</v>
      </c>
      <c r="B11183" s="4" t="s">
        <v>44</v>
      </c>
      <c r="C11183" s="38" t="s">
        <v>6160</v>
      </c>
      <c r="D11183" s="18">
        <v>2022</v>
      </c>
      <c r="E11183" s="18" t="s">
        <v>0</v>
      </c>
      <c r="F11183" s="41">
        <v>1</v>
      </c>
      <c r="G11183" s="4">
        <v>15</v>
      </c>
      <c r="H11183" s="18">
        <v>22.51708</v>
      </c>
      <c r="I11183" s="90"/>
      <c r="J11183" s="90"/>
    </row>
    <row r="11184" spans="1:10" s="15" customFormat="1" ht="16.5" hidden="1" customHeight="1" outlineLevel="1" x14ac:dyDescent="0.25">
      <c r="A11184" s="18">
        <v>1280</v>
      </c>
      <c r="B11184" s="4" t="s">
        <v>44</v>
      </c>
      <c r="C11184" s="38" t="s">
        <v>6161</v>
      </c>
      <c r="D11184" s="18">
        <v>2022</v>
      </c>
      <c r="E11184" s="18" t="s">
        <v>0</v>
      </c>
      <c r="F11184" s="41">
        <v>1</v>
      </c>
      <c r="G11184" s="4">
        <v>1.5</v>
      </c>
      <c r="H11184" s="18">
        <v>45.670850000000002</v>
      </c>
      <c r="I11184" s="90"/>
      <c r="J11184" s="90"/>
    </row>
    <row r="11185" spans="1:10" s="15" customFormat="1" ht="16.5" hidden="1" customHeight="1" outlineLevel="1" x14ac:dyDescent="0.25">
      <c r="A11185" s="18">
        <v>1770</v>
      </c>
      <c r="B11185" s="4" t="s">
        <v>44</v>
      </c>
      <c r="C11185" s="38" t="s">
        <v>6162</v>
      </c>
      <c r="D11185" s="18">
        <v>2022</v>
      </c>
      <c r="E11185" s="18" t="s">
        <v>0</v>
      </c>
      <c r="F11185" s="41">
        <v>1</v>
      </c>
      <c r="G11185" s="4">
        <v>7</v>
      </c>
      <c r="H11185" s="18">
        <v>38.03763</v>
      </c>
      <c r="I11185" s="90"/>
      <c r="J11185" s="90"/>
    </row>
    <row r="11186" spans="1:10" s="15" customFormat="1" ht="16.5" hidden="1" customHeight="1" outlineLevel="1" x14ac:dyDescent="0.25">
      <c r="A11186" s="18">
        <v>1771</v>
      </c>
      <c r="B11186" s="4" t="s">
        <v>44</v>
      </c>
      <c r="C11186" s="38" t="s">
        <v>6163</v>
      </c>
      <c r="D11186" s="18">
        <v>2022</v>
      </c>
      <c r="E11186" s="18" t="s">
        <v>0</v>
      </c>
      <c r="F11186" s="41">
        <v>1</v>
      </c>
      <c r="G11186" s="4">
        <v>8</v>
      </c>
      <c r="H11186" s="18">
        <v>38.10859</v>
      </c>
      <c r="I11186" s="90"/>
      <c r="J11186" s="90"/>
    </row>
    <row r="11187" spans="1:10" s="15" customFormat="1" ht="16.5" hidden="1" customHeight="1" outlineLevel="1" x14ac:dyDescent="0.25">
      <c r="A11187" s="18">
        <v>1764</v>
      </c>
      <c r="B11187" s="4" t="s">
        <v>44</v>
      </c>
      <c r="C11187" s="38" t="s">
        <v>6164</v>
      </c>
      <c r="D11187" s="18">
        <v>2022</v>
      </c>
      <c r="E11187" s="18" t="s">
        <v>0</v>
      </c>
      <c r="F11187" s="41">
        <v>1</v>
      </c>
      <c r="G11187" s="4">
        <v>6</v>
      </c>
      <c r="H11187" s="18">
        <v>36.777290000000001</v>
      </c>
      <c r="I11187" s="90"/>
      <c r="J11187" s="90"/>
    </row>
    <row r="11188" spans="1:10" s="15" customFormat="1" ht="16.5" hidden="1" customHeight="1" outlineLevel="1" x14ac:dyDescent="0.25">
      <c r="A11188" s="18">
        <v>1763</v>
      </c>
      <c r="B11188" s="4" t="s">
        <v>44</v>
      </c>
      <c r="C11188" s="38" t="s">
        <v>6165</v>
      </c>
      <c r="D11188" s="18">
        <v>2022</v>
      </c>
      <c r="E11188" s="18" t="s">
        <v>0</v>
      </c>
      <c r="F11188" s="41">
        <v>1</v>
      </c>
      <c r="G11188" s="4">
        <v>14.5</v>
      </c>
      <c r="H11188" s="18">
        <v>36.481870000000001</v>
      </c>
      <c r="I11188" s="90"/>
      <c r="J11188" s="90"/>
    </row>
    <row r="11189" spans="1:10" s="15" customFormat="1" ht="16.5" hidden="1" customHeight="1" outlineLevel="1" x14ac:dyDescent="0.25">
      <c r="A11189" s="18">
        <v>1766</v>
      </c>
      <c r="B11189" s="4" t="s">
        <v>44</v>
      </c>
      <c r="C11189" s="38" t="s">
        <v>6166</v>
      </c>
      <c r="D11189" s="18">
        <v>2022</v>
      </c>
      <c r="E11189" s="18" t="s">
        <v>0</v>
      </c>
      <c r="F11189" s="41">
        <v>1</v>
      </c>
      <c r="G11189" s="4">
        <v>13</v>
      </c>
      <c r="H11189" s="18">
        <v>39.495809999999999</v>
      </c>
      <c r="I11189" s="90"/>
      <c r="J11189" s="90"/>
    </row>
    <row r="11190" spans="1:10" s="15" customFormat="1" ht="16.5" hidden="1" customHeight="1" outlineLevel="1" x14ac:dyDescent="0.25">
      <c r="A11190" s="18">
        <v>1765</v>
      </c>
      <c r="B11190" s="4" t="s">
        <v>44</v>
      </c>
      <c r="C11190" s="38" t="s">
        <v>6167</v>
      </c>
      <c r="D11190" s="18">
        <v>2022</v>
      </c>
      <c r="E11190" s="18" t="s">
        <v>0</v>
      </c>
      <c r="F11190" s="41">
        <v>1</v>
      </c>
      <c r="G11190" s="4">
        <v>13</v>
      </c>
      <c r="H11190" s="18">
        <v>38.76484</v>
      </c>
      <c r="I11190" s="90"/>
      <c r="J11190" s="90"/>
    </row>
    <row r="11191" spans="1:10" s="15" customFormat="1" ht="16.5" hidden="1" customHeight="1" outlineLevel="1" x14ac:dyDescent="0.25">
      <c r="A11191" s="18">
        <v>1357</v>
      </c>
      <c r="B11191" s="4" t="s">
        <v>44</v>
      </c>
      <c r="C11191" s="38" t="s">
        <v>2337</v>
      </c>
      <c r="D11191" s="18">
        <v>2022</v>
      </c>
      <c r="E11191" s="18" t="s">
        <v>0</v>
      </c>
      <c r="F11191" s="41">
        <v>1</v>
      </c>
      <c r="G11191" s="4">
        <v>15</v>
      </c>
      <c r="H11191" s="18">
        <v>47.785469999999997</v>
      </c>
      <c r="I11191" s="90"/>
      <c r="J11191" s="90"/>
    </row>
    <row r="11192" spans="1:10" s="15" customFormat="1" ht="16.5" hidden="1" customHeight="1" outlineLevel="1" x14ac:dyDescent="0.25">
      <c r="A11192" s="18">
        <v>1345</v>
      </c>
      <c r="B11192" s="4" t="s">
        <v>44</v>
      </c>
      <c r="C11192" s="38" t="s">
        <v>2338</v>
      </c>
      <c r="D11192" s="18">
        <v>2022</v>
      </c>
      <c r="E11192" s="18" t="s">
        <v>0</v>
      </c>
      <c r="F11192" s="41">
        <v>1</v>
      </c>
      <c r="G11192" s="4">
        <v>10</v>
      </c>
      <c r="H11192" s="18">
        <v>37.127319999999997</v>
      </c>
      <c r="I11192" s="90"/>
      <c r="J11192" s="90"/>
    </row>
    <row r="11193" spans="1:10" s="15" customFormat="1" ht="16.5" hidden="1" customHeight="1" outlineLevel="1" x14ac:dyDescent="0.25">
      <c r="A11193" s="18">
        <v>1323</v>
      </c>
      <c r="B11193" s="4" t="s">
        <v>44</v>
      </c>
      <c r="C11193" s="38" t="s">
        <v>2339</v>
      </c>
      <c r="D11193" s="18">
        <v>2022</v>
      </c>
      <c r="E11193" s="18" t="s">
        <v>0</v>
      </c>
      <c r="F11193" s="41">
        <v>1</v>
      </c>
      <c r="G11193" s="4">
        <v>10</v>
      </c>
      <c r="H11193" s="18">
        <v>50.44706</v>
      </c>
      <c r="I11193" s="90"/>
      <c r="J11193" s="90"/>
    </row>
    <row r="11194" spans="1:10" s="15" customFormat="1" ht="16.5" hidden="1" customHeight="1" outlineLevel="1" x14ac:dyDescent="0.25">
      <c r="A11194" s="18">
        <v>1048</v>
      </c>
      <c r="B11194" s="4" t="s">
        <v>44</v>
      </c>
      <c r="C11194" s="38" t="s">
        <v>2340</v>
      </c>
      <c r="D11194" s="18">
        <v>2022</v>
      </c>
      <c r="E11194" s="18" t="s">
        <v>0</v>
      </c>
      <c r="F11194" s="41">
        <v>1</v>
      </c>
      <c r="G11194" s="4">
        <v>10</v>
      </c>
      <c r="H11194" s="18">
        <v>50.38353</v>
      </c>
      <c r="I11194" s="90"/>
      <c r="J11194" s="90"/>
    </row>
    <row r="11195" spans="1:10" s="15" customFormat="1" ht="16.5" hidden="1" customHeight="1" outlineLevel="1" x14ac:dyDescent="0.25">
      <c r="A11195" s="18">
        <v>1181</v>
      </c>
      <c r="B11195" s="4" t="s">
        <v>44</v>
      </c>
      <c r="C11195" s="38" t="s">
        <v>2342</v>
      </c>
      <c r="D11195" s="18">
        <v>2022</v>
      </c>
      <c r="E11195" s="18" t="s">
        <v>0</v>
      </c>
      <c r="F11195" s="41">
        <v>1</v>
      </c>
      <c r="G11195" s="4">
        <v>11.5</v>
      </c>
      <c r="H11195" s="18">
        <v>46.348019999999998</v>
      </c>
      <c r="I11195" s="90"/>
      <c r="J11195" s="90"/>
    </row>
    <row r="11196" spans="1:10" s="15" customFormat="1" ht="16.5" hidden="1" customHeight="1" outlineLevel="1" x14ac:dyDescent="0.25">
      <c r="A11196" s="18">
        <v>1174</v>
      </c>
      <c r="B11196" s="4" t="s">
        <v>44</v>
      </c>
      <c r="C11196" s="38" t="s">
        <v>2343</v>
      </c>
      <c r="D11196" s="18">
        <v>2022</v>
      </c>
      <c r="E11196" s="18" t="s">
        <v>0</v>
      </c>
      <c r="F11196" s="41">
        <v>1</v>
      </c>
      <c r="G11196" s="4">
        <v>15</v>
      </c>
      <c r="H11196" s="18">
        <v>25.054829999999999</v>
      </c>
      <c r="I11196" s="90"/>
      <c r="J11196" s="90"/>
    </row>
    <row r="11197" spans="1:10" s="15" customFormat="1" ht="16.5" hidden="1" customHeight="1" outlineLevel="1" x14ac:dyDescent="0.25">
      <c r="A11197" s="18">
        <v>1212</v>
      </c>
      <c r="B11197" s="4" t="s">
        <v>44</v>
      </c>
      <c r="C11197" s="38" t="s">
        <v>2344</v>
      </c>
      <c r="D11197" s="18">
        <v>2022</v>
      </c>
      <c r="E11197" s="18" t="s">
        <v>0</v>
      </c>
      <c r="F11197" s="41">
        <v>1</v>
      </c>
      <c r="G11197" s="4">
        <v>15</v>
      </c>
      <c r="H11197" s="18">
        <v>31.65944</v>
      </c>
      <c r="I11197" s="90"/>
      <c r="J11197" s="90"/>
    </row>
    <row r="11198" spans="1:10" s="15" customFormat="1" ht="16.5" hidden="1" customHeight="1" outlineLevel="1" x14ac:dyDescent="0.25">
      <c r="A11198" s="18">
        <v>1153</v>
      </c>
      <c r="B11198" s="4" t="s">
        <v>44</v>
      </c>
      <c r="C11198" s="38" t="s">
        <v>2345</v>
      </c>
      <c r="D11198" s="18">
        <v>2022</v>
      </c>
      <c r="E11198" s="18" t="s">
        <v>0</v>
      </c>
      <c r="F11198" s="41">
        <v>1</v>
      </c>
      <c r="G11198" s="4">
        <v>15</v>
      </c>
      <c r="H11198" s="18">
        <v>37.831609999999998</v>
      </c>
      <c r="I11198" s="90"/>
      <c r="J11198" s="90"/>
    </row>
    <row r="11199" spans="1:10" s="15" customFormat="1" ht="16.5" hidden="1" customHeight="1" outlineLevel="1" x14ac:dyDescent="0.25">
      <c r="A11199" s="18">
        <v>1224</v>
      </c>
      <c r="B11199" s="4" t="s">
        <v>44</v>
      </c>
      <c r="C11199" s="38" t="s">
        <v>2346</v>
      </c>
      <c r="D11199" s="18">
        <v>2022</v>
      </c>
      <c r="E11199" s="18" t="s">
        <v>0</v>
      </c>
      <c r="F11199" s="41">
        <v>1</v>
      </c>
      <c r="G11199" s="4">
        <v>15</v>
      </c>
      <c r="H11199" s="18">
        <v>40.605870000000003</v>
      </c>
      <c r="I11199" s="90"/>
      <c r="J11199" s="90"/>
    </row>
    <row r="11200" spans="1:10" s="15" customFormat="1" ht="16.5" hidden="1" customHeight="1" outlineLevel="1" x14ac:dyDescent="0.25">
      <c r="A11200" s="18">
        <v>1240</v>
      </c>
      <c r="B11200" s="4" t="s">
        <v>44</v>
      </c>
      <c r="C11200" s="38" t="s">
        <v>2347</v>
      </c>
      <c r="D11200" s="18">
        <v>2022</v>
      </c>
      <c r="E11200" s="18" t="s">
        <v>0</v>
      </c>
      <c r="F11200" s="41">
        <v>1</v>
      </c>
      <c r="G11200" s="4">
        <v>15</v>
      </c>
      <c r="H11200" s="18">
        <v>36.350589999999997</v>
      </c>
      <c r="I11200" s="90"/>
      <c r="J11200" s="90"/>
    </row>
    <row r="11201" spans="1:10" s="15" customFormat="1" ht="16.5" hidden="1" customHeight="1" outlineLevel="1" x14ac:dyDescent="0.25">
      <c r="A11201" s="18">
        <v>1633</v>
      </c>
      <c r="B11201" s="4" t="s">
        <v>44</v>
      </c>
      <c r="C11201" s="38" t="s">
        <v>2348</v>
      </c>
      <c r="D11201" s="18">
        <v>2022</v>
      </c>
      <c r="E11201" s="18" t="s">
        <v>0</v>
      </c>
      <c r="F11201" s="41">
        <v>1</v>
      </c>
      <c r="G11201" s="4">
        <v>15</v>
      </c>
      <c r="H11201" s="18">
        <v>79.206659999999999</v>
      </c>
      <c r="I11201" s="90"/>
      <c r="J11201" s="90"/>
    </row>
    <row r="11202" spans="1:10" s="15" customFormat="1" ht="16.5" hidden="1" customHeight="1" outlineLevel="1" x14ac:dyDescent="0.25">
      <c r="A11202" s="18">
        <v>1077</v>
      </c>
      <c r="B11202" s="4" t="s">
        <v>44</v>
      </c>
      <c r="C11202" s="38" t="s">
        <v>2349</v>
      </c>
      <c r="D11202" s="18">
        <v>2022</v>
      </c>
      <c r="E11202" s="18" t="s">
        <v>0</v>
      </c>
      <c r="F11202" s="41">
        <v>1</v>
      </c>
      <c r="G11202" s="4">
        <v>10</v>
      </c>
      <c r="H11202" s="18">
        <v>40.653419999999997</v>
      </c>
      <c r="I11202" s="90"/>
      <c r="J11202" s="90"/>
    </row>
    <row r="11203" spans="1:10" s="15" customFormat="1" ht="16.5" hidden="1" customHeight="1" outlineLevel="1" x14ac:dyDescent="0.25">
      <c r="A11203" s="18">
        <v>1326</v>
      </c>
      <c r="B11203" s="4" t="s">
        <v>44</v>
      </c>
      <c r="C11203" s="38" t="s">
        <v>2350</v>
      </c>
      <c r="D11203" s="18">
        <v>2022</v>
      </c>
      <c r="E11203" s="18" t="s">
        <v>0</v>
      </c>
      <c r="F11203" s="41">
        <v>1</v>
      </c>
      <c r="G11203" s="4">
        <v>15</v>
      </c>
      <c r="H11203" s="18">
        <v>52.097029999999997</v>
      </c>
      <c r="I11203" s="90"/>
      <c r="J11203" s="90"/>
    </row>
    <row r="11204" spans="1:10" s="15" customFormat="1" ht="16.5" hidden="1" customHeight="1" outlineLevel="1" x14ac:dyDescent="0.25">
      <c r="A11204" s="18">
        <v>1349</v>
      </c>
      <c r="B11204" s="4" t="s">
        <v>44</v>
      </c>
      <c r="C11204" s="38" t="s">
        <v>2351</v>
      </c>
      <c r="D11204" s="18">
        <v>2022</v>
      </c>
      <c r="E11204" s="18" t="s">
        <v>0</v>
      </c>
      <c r="F11204" s="41">
        <v>1</v>
      </c>
      <c r="G11204" s="4">
        <v>15</v>
      </c>
      <c r="H11204" s="18">
        <v>49.063969999999998</v>
      </c>
      <c r="I11204" s="90"/>
      <c r="J11204" s="90"/>
    </row>
    <row r="11205" spans="1:10" s="15" customFormat="1" ht="16.5" hidden="1" customHeight="1" outlineLevel="1" x14ac:dyDescent="0.25">
      <c r="A11205" s="18">
        <v>1802</v>
      </c>
      <c r="B11205" s="4" t="s">
        <v>44</v>
      </c>
      <c r="C11205" s="38" t="s">
        <v>6168</v>
      </c>
      <c r="D11205" s="18">
        <v>2022</v>
      </c>
      <c r="E11205" s="18" t="s">
        <v>0</v>
      </c>
      <c r="F11205" s="41">
        <v>1</v>
      </c>
      <c r="G11205" s="4">
        <v>15</v>
      </c>
      <c r="H11205" s="18">
        <v>19.495450000000002</v>
      </c>
      <c r="I11205" s="90"/>
      <c r="J11205" s="90"/>
    </row>
    <row r="11206" spans="1:10" s="15" customFormat="1" ht="16.5" hidden="1" customHeight="1" outlineLevel="1" x14ac:dyDescent="0.25">
      <c r="A11206" s="18">
        <v>1803</v>
      </c>
      <c r="B11206" s="4" t="s">
        <v>44</v>
      </c>
      <c r="C11206" s="38" t="s">
        <v>6169</v>
      </c>
      <c r="D11206" s="18">
        <v>2022</v>
      </c>
      <c r="E11206" s="18" t="s">
        <v>0</v>
      </c>
      <c r="F11206" s="41">
        <v>1</v>
      </c>
      <c r="G11206" s="4">
        <v>15</v>
      </c>
      <c r="H11206" s="18">
        <v>19.860610000000001</v>
      </c>
      <c r="I11206" s="90"/>
      <c r="J11206" s="90"/>
    </row>
    <row r="11207" spans="1:10" s="15" customFormat="1" ht="16.5" hidden="1" customHeight="1" outlineLevel="1" x14ac:dyDescent="0.25">
      <c r="A11207" s="18">
        <v>1804</v>
      </c>
      <c r="B11207" s="4" t="s">
        <v>44</v>
      </c>
      <c r="C11207" s="38" t="s">
        <v>6170</v>
      </c>
      <c r="D11207" s="18">
        <v>2022</v>
      </c>
      <c r="E11207" s="18" t="s">
        <v>0</v>
      </c>
      <c r="F11207" s="41">
        <v>1</v>
      </c>
      <c r="G11207" s="4">
        <v>12.5</v>
      </c>
      <c r="H11207" s="18">
        <v>21.16142</v>
      </c>
      <c r="I11207" s="90"/>
      <c r="J11207" s="90"/>
    </row>
    <row r="11208" spans="1:10" s="15" customFormat="1" ht="16.5" hidden="1" customHeight="1" outlineLevel="1" x14ac:dyDescent="0.25">
      <c r="A11208" s="18">
        <v>1805</v>
      </c>
      <c r="B11208" s="4" t="s">
        <v>44</v>
      </c>
      <c r="C11208" s="38" t="s">
        <v>6171</v>
      </c>
      <c r="D11208" s="18">
        <v>2022</v>
      </c>
      <c r="E11208" s="18" t="s">
        <v>0</v>
      </c>
      <c r="F11208" s="41">
        <v>1</v>
      </c>
      <c r="G11208" s="4">
        <v>15</v>
      </c>
      <c r="H11208" s="18">
        <v>21.16142</v>
      </c>
      <c r="I11208" s="90"/>
      <c r="J11208" s="90"/>
    </row>
    <row r="11209" spans="1:10" s="15" customFormat="1" ht="16.5" hidden="1" customHeight="1" outlineLevel="1" x14ac:dyDescent="0.25">
      <c r="A11209" s="18">
        <v>1417</v>
      </c>
      <c r="B11209" s="4" t="s">
        <v>44</v>
      </c>
      <c r="C11209" s="38" t="s">
        <v>6172</v>
      </c>
      <c r="D11209" s="18">
        <v>2022</v>
      </c>
      <c r="E11209" s="18" t="s">
        <v>0</v>
      </c>
      <c r="F11209" s="41">
        <v>1</v>
      </c>
      <c r="G11209" s="4">
        <v>15</v>
      </c>
      <c r="H11209" s="18">
        <v>43.4968</v>
      </c>
      <c r="I11209" s="90"/>
      <c r="J11209" s="90"/>
    </row>
    <row r="11210" spans="1:10" s="15" customFormat="1" ht="16.5" hidden="1" customHeight="1" outlineLevel="1" x14ac:dyDescent="0.25">
      <c r="A11210" s="18">
        <v>1807</v>
      </c>
      <c r="B11210" s="4" t="s">
        <v>44</v>
      </c>
      <c r="C11210" s="38" t="s">
        <v>6173</v>
      </c>
      <c r="D11210" s="18">
        <v>2022</v>
      </c>
      <c r="E11210" s="18" t="s">
        <v>0</v>
      </c>
      <c r="F11210" s="41">
        <v>1</v>
      </c>
      <c r="G11210" s="4">
        <v>10</v>
      </c>
      <c r="H11210" s="18">
        <v>20.333069999999999</v>
      </c>
      <c r="I11210" s="90"/>
      <c r="J11210" s="90"/>
    </row>
    <row r="11211" spans="1:10" s="15" customFormat="1" ht="16.5" hidden="1" customHeight="1" outlineLevel="1" x14ac:dyDescent="0.25">
      <c r="A11211" s="18">
        <v>1808</v>
      </c>
      <c r="B11211" s="4" t="s">
        <v>44</v>
      </c>
      <c r="C11211" s="38" t="s">
        <v>6174</v>
      </c>
      <c r="D11211" s="18">
        <v>2022</v>
      </c>
      <c r="E11211" s="18" t="s">
        <v>0</v>
      </c>
      <c r="F11211" s="41">
        <v>1</v>
      </c>
      <c r="G11211" s="4">
        <v>15</v>
      </c>
      <c r="H11211" s="18">
        <v>20.333069999999999</v>
      </c>
      <c r="I11211" s="90"/>
      <c r="J11211" s="90"/>
    </row>
    <row r="11212" spans="1:10" s="15" customFormat="1" ht="16.5" hidden="1" customHeight="1" outlineLevel="1" x14ac:dyDescent="0.25">
      <c r="A11212" s="18">
        <v>1811</v>
      </c>
      <c r="B11212" s="4" t="s">
        <v>44</v>
      </c>
      <c r="C11212" s="38" t="s">
        <v>6175</v>
      </c>
      <c r="D11212" s="18">
        <v>2022</v>
      </c>
      <c r="E11212" s="18" t="s">
        <v>0</v>
      </c>
      <c r="F11212" s="41">
        <v>1</v>
      </c>
      <c r="G11212" s="4">
        <v>5</v>
      </c>
      <c r="H11212" s="18">
        <v>20.311150000000001</v>
      </c>
      <c r="I11212" s="90"/>
      <c r="J11212" s="90"/>
    </row>
    <row r="11213" spans="1:10" s="15" customFormat="1" ht="16.5" hidden="1" customHeight="1" outlineLevel="1" x14ac:dyDescent="0.25">
      <c r="A11213" s="18">
        <v>1812</v>
      </c>
      <c r="B11213" s="4" t="s">
        <v>44</v>
      </c>
      <c r="C11213" s="38" t="s">
        <v>6176</v>
      </c>
      <c r="D11213" s="18">
        <v>2022</v>
      </c>
      <c r="E11213" s="18" t="s">
        <v>0</v>
      </c>
      <c r="F11213" s="41">
        <v>1</v>
      </c>
      <c r="G11213" s="4">
        <v>10</v>
      </c>
      <c r="H11213" s="18">
        <v>20.311150000000001</v>
      </c>
      <c r="I11213" s="90"/>
      <c r="J11213" s="90"/>
    </row>
    <row r="11214" spans="1:10" s="15" customFormat="1" ht="16.5" hidden="1" customHeight="1" outlineLevel="1" x14ac:dyDescent="0.25">
      <c r="A11214" s="18">
        <v>1810</v>
      </c>
      <c r="B11214" s="4" t="s">
        <v>44</v>
      </c>
      <c r="C11214" s="38" t="s">
        <v>6177</v>
      </c>
      <c r="D11214" s="18">
        <v>2022</v>
      </c>
      <c r="E11214" s="18" t="s">
        <v>0</v>
      </c>
      <c r="F11214" s="41">
        <v>1</v>
      </c>
      <c r="G11214" s="4">
        <v>15</v>
      </c>
      <c r="H11214" s="18">
        <v>20.311150000000001</v>
      </c>
      <c r="I11214" s="90"/>
      <c r="J11214" s="90"/>
    </row>
    <row r="11215" spans="1:10" s="15" customFormat="1" ht="16.5" hidden="1" customHeight="1" outlineLevel="1" x14ac:dyDescent="0.25">
      <c r="A11215" s="18">
        <v>1354</v>
      </c>
      <c r="B11215" s="4" t="s">
        <v>44</v>
      </c>
      <c r="C11215" s="38" t="s">
        <v>6178</v>
      </c>
      <c r="D11215" s="18">
        <v>2022</v>
      </c>
      <c r="E11215" s="18" t="s">
        <v>0</v>
      </c>
      <c r="F11215" s="41">
        <v>1</v>
      </c>
      <c r="G11215" s="4">
        <v>15</v>
      </c>
      <c r="H11215" s="18">
        <v>27.022300000000001</v>
      </c>
      <c r="I11215" s="90"/>
      <c r="J11215" s="90"/>
    </row>
    <row r="11216" spans="1:10" s="15" customFormat="1" ht="16.5" hidden="1" customHeight="1" outlineLevel="1" x14ac:dyDescent="0.25">
      <c r="A11216" s="18">
        <v>1375</v>
      </c>
      <c r="B11216" s="4" t="s">
        <v>44</v>
      </c>
      <c r="C11216" s="38" t="s">
        <v>6179</v>
      </c>
      <c r="D11216" s="18">
        <v>2022</v>
      </c>
      <c r="E11216" s="18" t="s">
        <v>0</v>
      </c>
      <c r="F11216" s="41">
        <v>1</v>
      </c>
      <c r="G11216" s="4">
        <v>15</v>
      </c>
      <c r="H11216" s="18">
        <v>29.615210000000001</v>
      </c>
      <c r="I11216" s="90"/>
      <c r="J11216" s="90"/>
    </row>
    <row r="11217" spans="1:10" s="15" customFormat="1" ht="16.5" hidden="1" customHeight="1" outlineLevel="1" x14ac:dyDescent="0.25">
      <c r="A11217" s="18">
        <v>1268</v>
      </c>
      <c r="B11217" s="4" t="s">
        <v>44</v>
      </c>
      <c r="C11217" s="38" t="s">
        <v>6180</v>
      </c>
      <c r="D11217" s="18">
        <v>2022</v>
      </c>
      <c r="E11217" s="18" t="s">
        <v>0</v>
      </c>
      <c r="F11217" s="41">
        <v>1</v>
      </c>
      <c r="G11217" s="4">
        <v>15</v>
      </c>
      <c r="H11217" s="18">
        <v>25.882200000000001</v>
      </c>
      <c r="I11217" s="90"/>
      <c r="J11217" s="90"/>
    </row>
    <row r="11218" spans="1:10" s="15" customFormat="1" ht="16.5" hidden="1" customHeight="1" outlineLevel="1" x14ac:dyDescent="0.25">
      <c r="A11218" s="18">
        <v>1085</v>
      </c>
      <c r="B11218" s="4" t="s">
        <v>44</v>
      </c>
      <c r="C11218" s="38" t="s">
        <v>2354</v>
      </c>
      <c r="D11218" s="18">
        <v>2022</v>
      </c>
      <c r="E11218" s="18" t="s">
        <v>0</v>
      </c>
      <c r="F11218" s="41">
        <v>1</v>
      </c>
      <c r="G11218" s="4">
        <v>15</v>
      </c>
      <c r="H11218" s="18">
        <v>28.272410000000001</v>
      </c>
      <c r="I11218" s="90"/>
      <c r="J11218" s="90"/>
    </row>
    <row r="11219" spans="1:10" s="15" customFormat="1" ht="16.5" hidden="1" customHeight="1" outlineLevel="1" x14ac:dyDescent="0.25">
      <c r="A11219" s="18">
        <v>1386</v>
      </c>
      <c r="B11219" s="4" t="s">
        <v>44</v>
      </c>
      <c r="C11219" s="38" t="s">
        <v>2355</v>
      </c>
      <c r="D11219" s="18">
        <v>2022</v>
      </c>
      <c r="E11219" s="18" t="s">
        <v>0</v>
      </c>
      <c r="F11219" s="41">
        <v>1</v>
      </c>
      <c r="G11219" s="4">
        <v>15</v>
      </c>
      <c r="H11219" s="18">
        <v>45.971069999999997</v>
      </c>
      <c r="I11219" s="90"/>
      <c r="J11219" s="90"/>
    </row>
    <row r="11220" spans="1:10" s="15" customFormat="1" ht="16.5" hidden="1" customHeight="1" outlineLevel="1" x14ac:dyDescent="0.25">
      <c r="A11220" s="18">
        <v>1482</v>
      </c>
      <c r="B11220" s="4" t="s">
        <v>44</v>
      </c>
      <c r="C11220" s="38" t="s">
        <v>2356</v>
      </c>
      <c r="D11220" s="18">
        <v>2022</v>
      </c>
      <c r="E11220" s="18" t="s">
        <v>0</v>
      </c>
      <c r="F11220" s="41">
        <v>1</v>
      </c>
      <c r="G11220" s="4">
        <v>10</v>
      </c>
      <c r="H11220" s="18">
        <v>58.35642</v>
      </c>
      <c r="I11220" s="90"/>
      <c r="J11220" s="90"/>
    </row>
    <row r="11221" spans="1:10" s="15" customFormat="1" ht="16.5" hidden="1" customHeight="1" outlineLevel="1" x14ac:dyDescent="0.25">
      <c r="A11221" s="18">
        <v>1509</v>
      </c>
      <c r="B11221" s="4" t="s">
        <v>44</v>
      </c>
      <c r="C11221" s="38" t="s">
        <v>2357</v>
      </c>
      <c r="D11221" s="18">
        <v>2022</v>
      </c>
      <c r="E11221" s="18" t="s">
        <v>0</v>
      </c>
      <c r="F11221" s="41">
        <v>1</v>
      </c>
      <c r="G11221" s="4">
        <v>15</v>
      </c>
      <c r="H11221" s="18">
        <v>35.291589999999999</v>
      </c>
      <c r="I11221" s="90"/>
      <c r="J11221" s="90"/>
    </row>
    <row r="11222" spans="1:10" s="15" customFormat="1" ht="16.5" hidden="1" customHeight="1" outlineLevel="1" x14ac:dyDescent="0.25">
      <c r="A11222" s="18">
        <v>1588</v>
      </c>
      <c r="B11222" s="4" t="s">
        <v>44</v>
      </c>
      <c r="C11222" s="38" t="s">
        <v>2358</v>
      </c>
      <c r="D11222" s="18">
        <v>2022</v>
      </c>
      <c r="E11222" s="18" t="s">
        <v>0</v>
      </c>
      <c r="F11222" s="41">
        <v>1</v>
      </c>
      <c r="G11222" s="4">
        <v>15</v>
      </c>
      <c r="H11222" s="18">
        <v>52.671889999999998</v>
      </c>
      <c r="I11222" s="90"/>
      <c r="J11222" s="90"/>
    </row>
    <row r="11223" spans="1:10" s="15" customFormat="1" ht="16.5" hidden="1" customHeight="1" outlineLevel="1" x14ac:dyDescent="0.25">
      <c r="A11223" s="18">
        <v>1607</v>
      </c>
      <c r="B11223" s="4" t="s">
        <v>44</v>
      </c>
      <c r="C11223" s="38" t="s">
        <v>2359</v>
      </c>
      <c r="D11223" s="18">
        <v>2022</v>
      </c>
      <c r="E11223" s="18" t="s">
        <v>0</v>
      </c>
      <c r="F11223" s="41">
        <v>1</v>
      </c>
      <c r="G11223" s="4">
        <v>15</v>
      </c>
      <c r="H11223" s="18">
        <v>52.189030000000002</v>
      </c>
      <c r="I11223" s="90"/>
      <c r="J11223" s="90"/>
    </row>
    <row r="11224" spans="1:10" s="15" customFormat="1" ht="16.5" hidden="1" customHeight="1" outlineLevel="1" x14ac:dyDescent="0.25">
      <c r="A11224" s="18">
        <v>1576</v>
      </c>
      <c r="B11224" s="4" t="s">
        <v>44</v>
      </c>
      <c r="C11224" s="38" t="s">
        <v>2360</v>
      </c>
      <c r="D11224" s="18">
        <v>2022</v>
      </c>
      <c r="E11224" s="18" t="s">
        <v>0</v>
      </c>
      <c r="F11224" s="41">
        <v>1</v>
      </c>
      <c r="G11224" s="4">
        <v>15</v>
      </c>
      <c r="H11224" s="18">
        <v>39.171219999999998</v>
      </c>
      <c r="I11224" s="90"/>
      <c r="J11224" s="90"/>
    </row>
    <row r="11225" spans="1:10" s="15" customFormat="1" ht="16.5" hidden="1" customHeight="1" outlineLevel="1" x14ac:dyDescent="0.25">
      <c r="A11225" s="18">
        <v>1578</v>
      </c>
      <c r="B11225" s="4" t="s">
        <v>44</v>
      </c>
      <c r="C11225" s="38" t="s">
        <v>3142</v>
      </c>
      <c r="D11225" s="18">
        <v>2022</v>
      </c>
      <c r="E11225" s="18" t="s">
        <v>0</v>
      </c>
      <c r="F11225" s="41">
        <v>1</v>
      </c>
      <c r="G11225" s="4">
        <v>70</v>
      </c>
      <c r="H11225" s="18">
        <v>49.122480000000003</v>
      </c>
      <c r="I11225" s="90"/>
      <c r="J11225" s="90"/>
    </row>
    <row r="11226" spans="1:10" s="15" customFormat="1" ht="16.5" hidden="1" customHeight="1" outlineLevel="1" x14ac:dyDescent="0.25">
      <c r="A11226" s="18">
        <v>1577</v>
      </c>
      <c r="B11226" s="4" t="s">
        <v>44</v>
      </c>
      <c r="C11226" s="38" t="s">
        <v>2361</v>
      </c>
      <c r="D11226" s="18">
        <v>2022</v>
      </c>
      <c r="E11226" s="18" t="s">
        <v>0</v>
      </c>
      <c r="F11226" s="41">
        <v>1</v>
      </c>
      <c r="G11226" s="4">
        <v>7.5</v>
      </c>
      <c r="H11226" s="18">
        <v>56.397120000000001</v>
      </c>
      <c r="I11226" s="90"/>
      <c r="J11226" s="90"/>
    </row>
    <row r="11227" spans="1:10" s="15" customFormat="1" ht="16.5" hidden="1" customHeight="1" outlineLevel="1" x14ac:dyDescent="0.25">
      <c r="A11227" s="18">
        <v>1398</v>
      </c>
      <c r="B11227" s="4" t="s">
        <v>44</v>
      </c>
      <c r="C11227" s="38" t="s">
        <v>2362</v>
      </c>
      <c r="D11227" s="18">
        <v>2022</v>
      </c>
      <c r="E11227" s="18" t="s">
        <v>0</v>
      </c>
      <c r="F11227" s="41">
        <v>1</v>
      </c>
      <c r="G11227" s="4">
        <v>15</v>
      </c>
      <c r="H11227" s="18">
        <v>37.387880000000003</v>
      </c>
      <c r="I11227" s="90"/>
      <c r="J11227" s="90"/>
    </row>
    <row r="11228" spans="1:10" s="15" customFormat="1" ht="16.5" hidden="1" customHeight="1" outlineLevel="1" x14ac:dyDescent="0.25">
      <c r="A11228" s="18">
        <v>1199</v>
      </c>
      <c r="B11228" s="4" t="s">
        <v>44</v>
      </c>
      <c r="C11228" s="38" t="s">
        <v>2363</v>
      </c>
      <c r="D11228" s="18">
        <v>2022</v>
      </c>
      <c r="E11228" s="18" t="s">
        <v>0</v>
      </c>
      <c r="F11228" s="41">
        <v>1</v>
      </c>
      <c r="G11228" s="4">
        <v>15</v>
      </c>
      <c r="H11228" s="18">
        <v>58.009950000000003</v>
      </c>
      <c r="I11228" s="90"/>
      <c r="J11228" s="90"/>
    </row>
    <row r="11229" spans="1:10" s="15" customFormat="1" ht="16.5" hidden="1" customHeight="1" outlineLevel="1" x14ac:dyDescent="0.25">
      <c r="A11229" s="18">
        <v>1508</v>
      </c>
      <c r="B11229" s="4" t="s">
        <v>44</v>
      </c>
      <c r="C11229" s="38" t="s">
        <v>2364</v>
      </c>
      <c r="D11229" s="18">
        <v>2022</v>
      </c>
      <c r="E11229" s="18" t="s">
        <v>0</v>
      </c>
      <c r="F11229" s="41">
        <v>1</v>
      </c>
      <c r="G11229" s="4">
        <v>15</v>
      </c>
      <c r="H11229" s="18">
        <v>58.226889999999997</v>
      </c>
      <c r="I11229" s="90"/>
      <c r="J11229" s="90"/>
    </row>
    <row r="11230" spans="1:10" s="15" customFormat="1" ht="16.5" hidden="1" customHeight="1" outlineLevel="1" x14ac:dyDescent="0.25">
      <c r="A11230" s="18">
        <v>1127</v>
      </c>
      <c r="B11230" s="4" t="s">
        <v>44</v>
      </c>
      <c r="C11230" s="38" t="s">
        <v>2365</v>
      </c>
      <c r="D11230" s="18">
        <v>2022</v>
      </c>
      <c r="E11230" s="18" t="s">
        <v>0</v>
      </c>
      <c r="F11230" s="41">
        <v>1</v>
      </c>
      <c r="G11230" s="4">
        <v>15</v>
      </c>
      <c r="H11230" s="18">
        <v>43.304130000000001</v>
      </c>
      <c r="I11230" s="90"/>
      <c r="J11230" s="90"/>
    </row>
    <row r="11231" spans="1:10" s="15" customFormat="1" ht="16.5" hidden="1" customHeight="1" outlineLevel="1" x14ac:dyDescent="0.25">
      <c r="A11231" s="18">
        <v>1794</v>
      </c>
      <c r="B11231" s="4" t="s">
        <v>44</v>
      </c>
      <c r="C11231" s="38" t="s">
        <v>6181</v>
      </c>
      <c r="D11231" s="18">
        <v>2022</v>
      </c>
      <c r="E11231" s="18" t="s">
        <v>0</v>
      </c>
      <c r="F11231" s="41">
        <v>1</v>
      </c>
      <c r="G11231" s="4">
        <v>10</v>
      </c>
      <c r="H11231" s="18">
        <v>37.667470000000002</v>
      </c>
      <c r="I11231" s="90"/>
      <c r="J11231" s="90"/>
    </row>
    <row r="11232" spans="1:10" s="15" customFormat="1" ht="16.5" hidden="1" customHeight="1" outlineLevel="1" x14ac:dyDescent="0.25">
      <c r="A11232" s="18">
        <v>1526</v>
      </c>
      <c r="B11232" s="4" t="s">
        <v>44</v>
      </c>
      <c r="C11232" s="38" t="s">
        <v>6182</v>
      </c>
      <c r="D11232" s="18">
        <v>2022</v>
      </c>
      <c r="E11232" s="18" t="s">
        <v>0</v>
      </c>
      <c r="F11232" s="41">
        <v>1</v>
      </c>
      <c r="G11232" s="4">
        <v>15</v>
      </c>
      <c r="H11232" s="18">
        <v>43.950600000000001</v>
      </c>
      <c r="I11232" s="90"/>
      <c r="J11232" s="90"/>
    </row>
    <row r="11233" spans="1:10" s="15" customFormat="1" ht="16.5" hidden="1" customHeight="1" outlineLevel="1" x14ac:dyDescent="0.25">
      <c r="A11233" s="18">
        <v>1714</v>
      </c>
      <c r="B11233" s="4" t="s">
        <v>44</v>
      </c>
      <c r="C11233" s="38" t="s">
        <v>6183</v>
      </c>
      <c r="D11233" s="18">
        <v>2022</v>
      </c>
      <c r="E11233" s="18" t="s">
        <v>0</v>
      </c>
      <c r="F11233" s="41">
        <v>1</v>
      </c>
      <c r="G11233" s="4">
        <v>5</v>
      </c>
      <c r="H11233" s="18">
        <v>22.473520000000001</v>
      </c>
      <c r="I11233" s="90"/>
      <c r="J11233" s="90"/>
    </row>
    <row r="11234" spans="1:10" s="15" customFormat="1" ht="16.5" hidden="1" customHeight="1" outlineLevel="1" x14ac:dyDescent="0.25">
      <c r="A11234" s="18">
        <v>1147</v>
      </c>
      <c r="B11234" s="4" t="s">
        <v>44</v>
      </c>
      <c r="C11234" s="38" t="s">
        <v>2366</v>
      </c>
      <c r="D11234" s="18">
        <v>2022</v>
      </c>
      <c r="E11234" s="18" t="s">
        <v>0</v>
      </c>
      <c r="F11234" s="41">
        <v>1</v>
      </c>
      <c r="G11234" s="4">
        <v>15</v>
      </c>
      <c r="H11234" s="18">
        <v>43.881630000000001</v>
      </c>
      <c r="I11234" s="90"/>
      <c r="J11234" s="90"/>
    </row>
    <row r="11235" spans="1:10" s="15" customFormat="1" ht="16.5" hidden="1" customHeight="1" outlineLevel="1" x14ac:dyDescent="0.25">
      <c r="A11235" s="18">
        <v>1049</v>
      </c>
      <c r="B11235" s="4" t="s">
        <v>44</v>
      </c>
      <c r="C11235" s="38" t="s">
        <v>2367</v>
      </c>
      <c r="D11235" s="18">
        <v>2022</v>
      </c>
      <c r="E11235" s="18" t="s">
        <v>0</v>
      </c>
      <c r="F11235" s="41">
        <v>1</v>
      </c>
      <c r="G11235" s="4">
        <v>15</v>
      </c>
      <c r="H11235" s="18">
        <v>40.174639999999997</v>
      </c>
      <c r="I11235" s="90"/>
      <c r="J11235" s="90"/>
    </row>
    <row r="11236" spans="1:10" s="15" customFormat="1" ht="16.5" hidden="1" customHeight="1" outlineLevel="1" x14ac:dyDescent="0.25">
      <c r="A11236" s="18">
        <v>1430</v>
      </c>
      <c r="B11236" s="4" t="s">
        <v>44</v>
      </c>
      <c r="C11236" s="38" t="s">
        <v>2368</v>
      </c>
      <c r="D11236" s="18">
        <v>2022</v>
      </c>
      <c r="E11236" s="18" t="s">
        <v>0</v>
      </c>
      <c r="F11236" s="41">
        <v>1</v>
      </c>
      <c r="G11236" s="4">
        <v>15</v>
      </c>
      <c r="H11236" s="18">
        <v>27.14612</v>
      </c>
      <c r="I11236" s="90"/>
      <c r="J11236" s="90"/>
    </row>
    <row r="11237" spans="1:10" s="15" customFormat="1" ht="16.5" hidden="1" customHeight="1" outlineLevel="1" x14ac:dyDescent="0.25">
      <c r="A11237" s="18">
        <v>1279</v>
      </c>
      <c r="B11237" s="4" t="s">
        <v>44</v>
      </c>
      <c r="C11237" s="38" t="s">
        <v>6184</v>
      </c>
      <c r="D11237" s="18">
        <v>2022</v>
      </c>
      <c r="E11237" s="18" t="s">
        <v>0</v>
      </c>
      <c r="F11237" s="41">
        <v>1</v>
      </c>
      <c r="G11237" s="4">
        <v>10</v>
      </c>
      <c r="H11237" s="18">
        <v>28.35267</v>
      </c>
      <c r="I11237" s="90"/>
      <c r="J11237" s="90"/>
    </row>
    <row r="11238" spans="1:10" s="15" customFormat="1" ht="16.5" hidden="1" customHeight="1" outlineLevel="1" x14ac:dyDescent="0.25">
      <c r="A11238" s="18">
        <v>1333</v>
      </c>
      <c r="B11238" s="4" t="s">
        <v>44</v>
      </c>
      <c r="C11238" s="38" t="s">
        <v>6185</v>
      </c>
      <c r="D11238" s="18">
        <v>2022</v>
      </c>
      <c r="E11238" s="18" t="s">
        <v>0</v>
      </c>
      <c r="F11238" s="41">
        <v>1</v>
      </c>
      <c r="G11238" s="4">
        <v>11</v>
      </c>
      <c r="H11238" s="18">
        <v>44.414149999999999</v>
      </c>
      <c r="I11238" s="90"/>
      <c r="J11238" s="90"/>
    </row>
    <row r="11239" spans="1:10" s="15" customFormat="1" ht="16.5" hidden="1" customHeight="1" outlineLevel="1" x14ac:dyDescent="0.25">
      <c r="A11239" s="18">
        <v>1282</v>
      </c>
      <c r="B11239" s="4" t="s">
        <v>44</v>
      </c>
      <c r="C11239" s="38" t="s">
        <v>6186</v>
      </c>
      <c r="D11239" s="18">
        <v>2022</v>
      </c>
      <c r="E11239" s="18" t="s">
        <v>0</v>
      </c>
      <c r="F11239" s="41">
        <v>1</v>
      </c>
      <c r="G11239" s="4">
        <v>15</v>
      </c>
      <c r="H11239" s="18">
        <v>44.60595</v>
      </c>
      <c r="I11239" s="90"/>
      <c r="J11239" s="90"/>
    </row>
    <row r="11240" spans="1:10" s="15" customFormat="1" ht="16.5" hidden="1" customHeight="1" outlineLevel="1" x14ac:dyDescent="0.25">
      <c r="A11240" s="18">
        <v>1062</v>
      </c>
      <c r="B11240" s="4" t="s">
        <v>44</v>
      </c>
      <c r="C11240" s="38" t="s">
        <v>6187</v>
      </c>
      <c r="D11240" s="18">
        <v>2022</v>
      </c>
      <c r="E11240" s="18" t="s">
        <v>0</v>
      </c>
      <c r="F11240" s="41">
        <v>1</v>
      </c>
      <c r="G11240" s="4">
        <v>5</v>
      </c>
      <c r="H11240" s="18">
        <v>57.436309999999999</v>
      </c>
      <c r="I11240" s="90"/>
      <c r="J11240" s="90"/>
    </row>
    <row r="11241" spans="1:10" s="15" customFormat="1" ht="16.5" hidden="1" customHeight="1" outlineLevel="1" x14ac:dyDescent="0.25">
      <c r="A11241" s="18">
        <v>1561</v>
      </c>
      <c r="B11241" s="4" t="s">
        <v>44</v>
      </c>
      <c r="C11241" s="38" t="s">
        <v>6188</v>
      </c>
      <c r="D11241" s="18">
        <v>2022</v>
      </c>
      <c r="E11241" s="18" t="s">
        <v>0</v>
      </c>
      <c r="F11241" s="41">
        <v>1</v>
      </c>
      <c r="G11241" s="4">
        <v>50</v>
      </c>
      <c r="H11241" s="18">
        <v>49.349429999999998</v>
      </c>
      <c r="I11241" s="90"/>
      <c r="J11241" s="90"/>
    </row>
    <row r="11242" spans="1:10" s="15" customFormat="1" ht="16.5" hidden="1" customHeight="1" outlineLevel="1" x14ac:dyDescent="0.25">
      <c r="A11242" s="18">
        <v>1668</v>
      </c>
      <c r="B11242" s="4" t="s">
        <v>44</v>
      </c>
      <c r="C11242" s="38" t="s">
        <v>6189</v>
      </c>
      <c r="D11242" s="18">
        <v>2022</v>
      </c>
      <c r="E11242" s="18" t="s">
        <v>0</v>
      </c>
      <c r="F11242" s="41">
        <v>1</v>
      </c>
      <c r="G11242" s="4">
        <v>15</v>
      </c>
      <c r="H11242" s="18">
        <v>22.50311</v>
      </c>
      <c r="I11242" s="90"/>
      <c r="J11242" s="90"/>
    </row>
    <row r="11243" spans="1:10" s="15" customFormat="1" ht="16.5" hidden="1" customHeight="1" outlineLevel="1" x14ac:dyDescent="0.25">
      <c r="A11243" s="18">
        <v>1761</v>
      </c>
      <c r="B11243" s="4" t="s">
        <v>44</v>
      </c>
      <c r="C11243" s="38" t="s">
        <v>6190</v>
      </c>
      <c r="D11243" s="18">
        <v>2022</v>
      </c>
      <c r="E11243" s="18" t="s">
        <v>0</v>
      </c>
      <c r="F11243" s="41">
        <v>1</v>
      </c>
      <c r="G11243" s="4">
        <v>2</v>
      </c>
      <c r="H11243" s="18">
        <v>40.701230000000002</v>
      </c>
      <c r="I11243" s="90"/>
      <c r="J11243" s="90"/>
    </row>
    <row r="11244" spans="1:10" s="15" customFormat="1" ht="16.5" hidden="1" customHeight="1" outlineLevel="1" x14ac:dyDescent="0.25">
      <c r="A11244" s="18">
        <v>1565</v>
      </c>
      <c r="B11244" s="4" t="s">
        <v>44</v>
      </c>
      <c r="C11244" s="38" t="s">
        <v>6191</v>
      </c>
      <c r="D11244" s="18">
        <v>2022</v>
      </c>
      <c r="E11244" s="18" t="s">
        <v>0</v>
      </c>
      <c r="F11244" s="41">
        <v>1</v>
      </c>
      <c r="G11244" s="4">
        <v>11</v>
      </c>
      <c r="H11244" s="18">
        <v>45.766640000000002</v>
      </c>
      <c r="I11244" s="90"/>
      <c r="J11244" s="90"/>
    </row>
    <row r="11245" spans="1:10" s="15" customFormat="1" ht="16.5" hidden="1" customHeight="1" outlineLevel="1" x14ac:dyDescent="0.25">
      <c r="A11245" s="18">
        <v>1277</v>
      </c>
      <c r="B11245" s="4" t="s">
        <v>44</v>
      </c>
      <c r="C11245" s="38" t="s">
        <v>6192</v>
      </c>
      <c r="D11245" s="18">
        <v>2022</v>
      </c>
      <c r="E11245" s="18" t="s">
        <v>0</v>
      </c>
      <c r="F11245" s="41">
        <v>1</v>
      </c>
      <c r="G11245" s="4">
        <v>10</v>
      </c>
      <c r="H11245" s="18">
        <v>43.394190000000002</v>
      </c>
      <c r="I11245" s="90"/>
      <c r="J11245" s="90"/>
    </row>
    <row r="11246" spans="1:10" s="15" customFormat="1" ht="16.5" hidden="1" customHeight="1" outlineLevel="1" x14ac:dyDescent="0.25">
      <c r="A11246" s="18">
        <v>1818</v>
      </c>
      <c r="B11246" s="4" t="s">
        <v>44</v>
      </c>
      <c r="C11246" s="38" t="s">
        <v>6193</v>
      </c>
      <c r="D11246" s="18">
        <v>2022</v>
      </c>
      <c r="E11246" s="18" t="s">
        <v>0</v>
      </c>
      <c r="F11246" s="41">
        <v>1</v>
      </c>
      <c r="G11246" s="4">
        <v>10</v>
      </c>
      <c r="H11246" s="18">
        <v>22.84834</v>
      </c>
      <c r="I11246" s="90"/>
      <c r="J11246" s="90"/>
    </row>
    <row r="11247" spans="1:10" s="15" customFormat="1" ht="16.5" hidden="1" customHeight="1" outlineLevel="1" x14ac:dyDescent="0.25">
      <c r="A11247" s="18">
        <v>1819</v>
      </c>
      <c r="B11247" s="4" t="s">
        <v>44</v>
      </c>
      <c r="C11247" s="38" t="s">
        <v>6194</v>
      </c>
      <c r="D11247" s="18">
        <v>2022</v>
      </c>
      <c r="E11247" s="18" t="s">
        <v>0</v>
      </c>
      <c r="F11247" s="41">
        <v>1</v>
      </c>
      <c r="G11247" s="4">
        <v>13</v>
      </c>
      <c r="H11247" s="18">
        <v>40.710619999999999</v>
      </c>
      <c r="I11247" s="90"/>
      <c r="J11247" s="90"/>
    </row>
    <row r="11248" spans="1:10" s="15" customFormat="1" ht="16.5" hidden="1" customHeight="1" outlineLevel="1" x14ac:dyDescent="0.25">
      <c r="A11248" s="18">
        <v>1581</v>
      </c>
      <c r="B11248" s="4" t="s">
        <v>44</v>
      </c>
      <c r="C11248" s="38" t="s">
        <v>2370</v>
      </c>
      <c r="D11248" s="18">
        <v>2022</v>
      </c>
      <c r="E11248" s="18" t="s">
        <v>0</v>
      </c>
      <c r="F11248" s="41">
        <v>1</v>
      </c>
      <c r="G11248" s="4">
        <v>15</v>
      </c>
      <c r="H11248" s="18">
        <v>26.938189999999999</v>
      </c>
      <c r="I11248" s="90"/>
      <c r="J11248" s="90"/>
    </row>
    <row r="11249" spans="1:10" s="15" customFormat="1" ht="16.5" hidden="1" customHeight="1" outlineLevel="1" x14ac:dyDescent="0.25">
      <c r="A11249" s="18">
        <v>1606</v>
      </c>
      <c r="B11249" s="4" t="s">
        <v>44</v>
      </c>
      <c r="C11249" s="38" t="s">
        <v>2371</v>
      </c>
      <c r="D11249" s="18">
        <v>2022</v>
      </c>
      <c r="E11249" s="18" t="s">
        <v>0</v>
      </c>
      <c r="F11249" s="41">
        <v>1</v>
      </c>
      <c r="G11249" s="4">
        <v>15</v>
      </c>
      <c r="H11249" s="18">
        <v>26.232790000000001</v>
      </c>
      <c r="I11249" s="90"/>
      <c r="J11249" s="90"/>
    </row>
    <row r="11250" spans="1:10" s="15" customFormat="1" ht="16.5" hidden="1" customHeight="1" outlineLevel="1" x14ac:dyDescent="0.25">
      <c r="A11250" s="18">
        <v>1718</v>
      </c>
      <c r="B11250" s="4" t="s">
        <v>44</v>
      </c>
      <c r="C11250" s="38" t="s">
        <v>2372</v>
      </c>
      <c r="D11250" s="18">
        <v>2022</v>
      </c>
      <c r="E11250" s="18" t="s">
        <v>0</v>
      </c>
      <c r="F11250" s="41">
        <v>1</v>
      </c>
      <c r="G11250" s="4">
        <v>7.5</v>
      </c>
      <c r="H11250" s="18">
        <v>22.300080000000001</v>
      </c>
      <c r="I11250" s="90"/>
      <c r="J11250" s="90"/>
    </row>
    <row r="11251" spans="1:10" s="15" customFormat="1" ht="16.5" hidden="1" customHeight="1" outlineLevel="1" x14ac:dyDescent="0.25">
      <c r="A11251" s="18">
        <v>1611</v>
      </c>
      <c r="B11251" s="4" t="s">
        <v>44</v>
      </c>
      <c r="C11251" s="38" t="s">
        <v>2373</v>
      </c>
      <c r="D11251" s="18">
        <v>2022</v>
      </c>
      <c r="E11251" s="18" t="s">
        <v>0</v>
      </c>
      <c r="F11251" s="41">
        <v>1</v>
      </c>
      <c r="G11251" s="4">
        <v>15</v>
      </c>
      <c r="H11251" s="18">
        <v>28.116569999999999</v>
      </c>
      <c r="I11251" s="90"/>
      <c r="J11251" s="90"/>
    </row>
    <row r="11252" spans="1:10" s="15" customFormat="1" ht="16.5" hidden="1" customHeight="1" outlineLevel="1" x14ac:dyDescent="0.25">
      <c r="A11252" s="18">
        <v>1579</v>
      </c>
      <c r="B11252" s="4" t="s">
        <v>44</v>
      </c>
      <c r="C11252" s="38" t="s">
        <v>2374</v>
      </c>
      <c r="D11252" s="18">
        <v>2022</v>
      </c>
      <c r="E11252" s="18" t="s">
        <v>0</v>
      </c>
      <c r="F11252" s="41">
        <v>1</v>
      </c>
      <c r="G11252" s="4">
        <v>15</v>
      </c>
      <c r="H11252" s="18">
        <v>24.205749999999998</v>
      </c>
      <c r="I11252" s="90"/>
      <c r="J11252" s="90"/>
    </row>
    <row r="11253" spans="1:10" s="15" customFormat="1" ht="16.5" hidden="1" customHeight="1" outlineLevel="1" x14ac:dyDescent="0.25">
      <c r="A11253" s="18">
        <v>1612</v>
      </c>
      <c r="B11253" s="4" t="s">
        <v>44</v>
      </c>
      <c r="C11253" s="38" t="s">
        <v>2375</v>
      </c>
      <c r="D11253" s="18">
        <v>2022</v>
      </c>
      <c r="E11253" s="18" t="s">
        <v>0</v>
      </c>
      <c r="F11253" s="41">
        <v>1</v>
      </c>
      <c r="G11253" s="4">
        <v>10</v>
      </c>
      <c r="H11253" s="18">
        <v>47.694049999999997</v>
      </c>
      <c r="I11253" s="90"/>
      <c r="J11253" s="90"/>
    </row>
    <row r="11254" spans="1:10" s="15" customFormat="1" ht="16.5" hidden="1" customHeight="1" outlineLevel="1" x14ac:dyDescent="0.25">
      <c r="A11254" s="18">
        <v>1610</v>
      </c>
      <c r="B11254" s="4" t="s">
        <v>44</v>
      </c>
      <c r="C11254" s="38" t="s">
        <v>2376</v>
      </c>
      <c r="D11254" s="18">
        <v>2022</v>
      </c>
      <c r="E11254" s="18" t="s">
        <v>0</v>
      </c>
      <c r="F11254" s="41">
        <v>1</v>
      </c>
      <c r="G11254" s="4">
        <v>15</v>
      </c>
      <c r="H11254" s="18">
        <v>23.990410000000001</v>
      </c>
      <c r="I11254" s="90"/>
      <c r="J11254" s="90"/>
    </row>
    <row r="11255" spans="1:10" s="15" customFormat="1" ht="16.5" hidden="1" customHeight="1" outlineLevel="1" x14ac:dyDescent="0.25">
      <c r="A11255" s="18">
        <v>1562</v>
      </c>
      <c r="B11255" s="4" t="s">
        <v>44</v>
      </c>
      <c r="C11255" s="38" t="s">
        <v>6195</v>
      </c>
      <c r="D11255" s="18">
        <v>2022</v>
      </c>
      <c r="E11255" s="18" t="s">
        <v>0</v>
      </c>
      <c r="F11255" s="41">
        <v>1</v>
      </c>
      <c r="G11255" s="4">
        <v>11</v>
      </c>
      <c r="H11255" s="18">
        <v>47.962159999999997</v>
      </c>
      <c r="I11255" s="90"/>
      <c r="J11255" s="90"/>
    </row>
    <row r="11256" spans="1:10" s="15" customFormat="1" ht="16.5" hidden="1" customHeight="1" outlineLevel="1" x14ac:dyDescent="0.25">
      <c r="A11256" s="18">
        <v>1554</v>
      </c>
      <c r="B11256" s="4" t="s">
        <v>44</v>
      </c>
      <c r="C11256" s="38" t="s">
        <v>6196</v>
      </c>
      <c r="D11256" s="18">
        <v>2022</v>
      </c>
      <c r="E11256" s="18" t="s">
        <v>0</v>
      </c>
      <c r="F11256" s="41">
        <v>1</v>
      </c>
      <c r="G11256" s="4">
        <v>11</v>
      </c>
      <c r="H11256" s="18">
        <v>48.560920000000003</v>
      </c>
      <c r="I11256" s="90"/>
      <c r="J11256" s="90"/>
    </row>
    <row r="11257" spans="1:10" s="15" customFormat="1" ht="16.5" hidden="1" customHeight="1" outlineLevel="1" x14ac:dyDescent="0.25">
      <c r="A11257" s="18">
        <v>1820</v>
      </c>
      <c r="B11257" s="4" t="s">
        <v>44</v>
      </c>
      <c r="C11257" s="38" t="s">
        <v>6197</v>
      </c>
      <c r="D11257" s="18">
        <v>2022</v>
      </c>
      <c r="E11257" s="18" t="s">
        <v>0</v>
      </c>
      <c r="F11257" s="41">
        <v>1</v>
      </c>
      <c r="G11257" s="4">
        <v>10</v>
      </c>
      <c r="H11257" s="18">
        <v>39.786650000000002</v>
      </c>
      <c r="I11257" s="90"/>
      <c r="J11257" s="90"/>
    </row>
    <row r="11258" spans="1:10" s="15" customFormat="1" ht="16.5" hidden="1" customHeight="1" outlineLevel="1" x14ac:dyDescent="0.25">
      <c r="A11258" s="18">
        <v>1821</v>
      </c>
      <c r="B11258" s="4" t="s">
        <v>44</v>
      </c>
      <c r="C11258" s="38" t="s">
        <v>6198</v>
      </c>
      <c r="D11258" s="18">
        <v>2022</v>
      </c>
      <c r="E11258" s="18" t="s">
        <v>0</v>
      </c>
      <c r="F11258" s="41">
        <v>1</v>
      </c>
      <c r="G11258" s="4">
        <v>9.5</v>
      </c>
      <c r="H11258" s="18">
        <v>39.59478</v>
      </c>
      <c r="I11258" s="90"/>
      <c r="J11258" s="90"/>
    </row>
    <row r="11259" spans="1:10" s="15" customFormat="1" ht="16.5" hidden="1" customHeight="1" outlineLevel="1" x14ac:dyDescent="0.25">
      <c r="A11259" s="18">
        <v>1495</v>
      </c>
      <c r="B11259" s="4" t="s">
        <v>44</v>
      </c>
      <c r="C11259" s="38" t="s">
        <v>6199</v>
      </c>
      <c r="D11259" s="18">
        <v>2022</v>
      </c>
      <c r="E11259" s="18" t="s">
        <v>0</v>
      </c>
      <c r="F11259" s="41">
        <v>1</v>
      </c>
      <c r="G11259" s="4">
        <v>9.5</v>
      </c>
      <c r="H11259" s="18">
        <v>47.759900000000002</v>
      </c>
      <c r="I11259" s="90"/>
      <c r="J11259" s="90"/>
    </row>
    <row r="11260" spans="1:10" s="15" customFormat="1" ht="16.5" hidden="1" customHeight="1" outlineLevel="1" x14ac:dyDescent="0.25">
      <c r="A11260" s="18">
        <v>1608</v>
      </c>
      <c r="B11260" s="4" t="s">
        <v>44</v>
      </c>
      <c r="C11260" s="38" t="s">
        <v>2377</v>
      </c>
      <c r="D11260" s="18">
        <v>2022</v>
      </c>
      <c r="E11260" s="18" t="s">
        <v>0</v>
      </c>
      <c r="F11260" s="41">
        <v>1</v>
      </c>
      <c r="G11260" s="4">
        <v>75</v>
      </c>
      <c r="H11260" s="18">
        <v>62.887169999999998</v>
      </c>
      <c r="I11260" s="90"/>
      <c r="J11260" s="90"/>
    </row>
    <row r="11261" spans="1:10" s="15" customFormat="1" ht="16.5" hidden="1" customHeight="1" outlineLevel="1" x14ac:dyDescent="0.25">
      <c r="A11261" s="18">
        <v>1043</v>
      </c>
      <c r="B11261" s="4" t="s">
        <v>44</v>
      </c>
      <c r="C11261" s="38" t="s">
        <v>2378</v>
      </c>
      <c r="D11261" s="18">
        <v>2022</v>
      </c>
      <c r="E11261" s="18" t="s">
        <v>0</v>
      </c>
      <c r="F11261" s="41">
        <v>1</v>
      </c>
      <c r="G11261" s="4">
        <v>15</v>
      </c>
      <c r="H11261" s="18">
        <v>37.546930000000003</v>
      </c>
      <c r="I11261" s="90"/>
      <c r="J11261" s="90"/>
    </row>
    <row r="11262" spans="1:10" s="15" customFormat="1" ht="16.5" hidden="1" customHeight="1" outlineLevel="1" x14ac:dyDescent="0.25">
      <c r="A11262" s="18">
        <v>1797</v>
      </c>
      <c r="B11262" s="4" t="s">
        <v>44</v>
      </c>
      <c r="C11262" s="38" t="s">
        <v>6200</v>
      </c>
      <c r="D11262" s="18">
        <v>2022</v>
      </c>
      <c r="E11262" s="18" t="s">
        <v>0</v>
      </c>
      <c r="F11262" s="41">
        <v>1</v>
      </c>
      <c r="G11262" s="4">
        <v>15</v>
      </c>
      <c r="H11262" s="18">
        <v>38.980930000000001</v>
      </c>
      <c r="I11262" s="90"/>
      <c r="J11262" s="90"/>
    </row>
    <row r="11263" spans="1:10" s="15" customFormat="1" ht="16.5" hidden="1" customHeight="1" outlineLevel="1" x14ac:dyDescent="0.25">
      <c r="A11263" s="18">
        <v>1796</v>
      </c>
      <c r="B11263" s="4" t="s">
        <v>44</v>
      </c>
      <c r="C11263" s="38" t="s">
        <v>6201</v>
      </c>
      <c r="D11263" s="18">
        <v>2022</v>
      </c>
      <c r="E11263" s="18" t="s">
        <v>0</v>
      </c>
      <c r="F11263" s="41">
        <v>1</v>
      </c>
      <c r="G11263" s="4">
        <v>50</v>
      </c>
      <c r="H11263" s="18">
        <v>36.406640000000003</v>
      </c>
      <c r="I11263" s="90"/>
      <c r="J11263" s="90"/>
    </row>
    <row r="11264" spans="1:10" s="15" customFormat="1" ht="16.5" hidden="1" customHeight="1" outlineLevel="1" x14ac:dyDescent="0.25">
      <c r="A11264" s="18">
        <v>1799</v>
      </c>
      <c r="B11264" s="4" t="s">
        <v>44</v>
      </c>
      <c r="C11264" s="38" t="s">
        <v>6202</v>
      </c>
      <c r="D11264" s="18">
        <v>2022</v>
      </c>
      <c r="E11264" s="18" t="s">
        <v>0</v>
      </c>
      <c r="F11264" s="41">
        <v>1</v>
      </c>
      <c r="G11264" s="4">
        <v>12</v>
      </c>
      <c r="H11264" s="18">
        <v>38.414819999999999</v>
      </c>
      <c r="I11264" s="90"/>
      <c r="J11264" s="90"/>
    </row>
    <row r="11265" spans="1:10" s="15" customFormat="1" ht="16.5" hidden="1" customHeight="1" outlineLevel="1" x14ac:dyDescent="0.25">
      <c r="A11265" s="18">
        <v>1800</v>
      </c>
      <c r="B11265" s="4" t="s">
        <v>44</v>
      </c>
      <c r="C11265" s="38" t="s">
        <v>6203</v>
      </c>
      <c r="D11265" s="18">
        <v>2022</v>
      </c>
      <c r="E11265" s="18" t="s">
        <v>0</v>
      </c>
      <c r="F11265" s="41">
        <v>1</v>
      </c>
      <c r="G11265" s="4">
        <v>12</v>
      </c>
      <c r="H11265" s="18">
        <v>40.875959999999999</v>
      </c>
      <c r="I11265" s="90"/>
      <c r="J11265" s="90"/>
    </row>
    <row r="11266" spans="1:10" s="15" customFormat="1" ht="16.5" hidden="1" customHeight="1" outlineLevel="1" x14ac:dyDescent="0.25">
      <c r="A11266" s="18">
        <v>1801</v>
      </c>
      <c r="B11266" s="4" t="s">
        <v>44</v>
      </c>
      <c r="C11266" s="38" t="s">
        <v>6204</v>
      </c>
      <c r="D11266" s="18">
        <v>2022</v>
      </c>
      <c r="E11266" s="18" t="s">
        <v>0</v>
      </c>
      <c r="F11266" s="41">
        <v>1</v>
      </c>
      <c r="G11266" s="4">
        <v>10</v>
      </c>
      <c r="H11266" s="18">
        <v>38.286940000000001</v>
      </c>
      <c r="I11266" s="90"/>
      <c r="J11266" s="90"/>
    </row>
    <row r="11267" spans="1:10" s="15" customFormat="1" ht="16.5" hidden="1" customHeight="1" outlineLevel="1" x14ac:dyDescent="0.25">
      <c r="A11267" s="18">
        <v>1795</v>
      </c>
      <c r="B11267" s="4" t="s">
        <v>44</v>
      </c>
      <c r="C11267" s="38" t="s">
        <v>6205</v>
      </c>
      <c r="D11267" s="18">
        <v>2022</v>
      </c>
      <c r="E11267" s="18" t="s">
        <v>0</v>
      </c>
      <c r="F11267" s="41">
        <v>1</v>
      </c>
      <c r="G11267" s="4">
        <v>11.5</v>
      </c>
      <c r="H11267" s="18">
        <v>40.647919999999999</v>
      </c>
      <c r="I11267" s="90"/>
      <c r="J11267" s="90"/>
    </row>
    <row r="11268" spans="1:10" s="15" customFormat="1" ht="16.5" hidden="1" customHeight="1" outlineLevel="1" x14ac:dyDescent="0.25">
      <c r="A11268" s="18">
        <v>1189</v>
      </c>
      <c r="B11268" s="4" t="s">
        <v>44</v>
      </c>
      <c r="C11268" s="38" t="s">
        <v>2379</v>
      </c>
      <c r="D11268" s="18">
        <v>2022</v>
      </c>
      <c r="E11268" s="18" t="s">
        <v>0</v>
      </c>
      <c r="F11268" s="41">
        <v>1</v>
      </c>
      <c r="G11268" s="4">
        <v>11.5</v>
      </c>
      <c r="H11268" s="18">
        <v>49.993400000000001</v>
      </c>
      <c r="I11268" s="90"/>
      <c r="J11268" s="90"/>
    </row>
    <row r="11269" spans="1:10" s="15" customFormat="1" ht="16.5" hidden="1" customHeight="1" outlineLevel="1" x14ac:dyDescent="0.25">
      <c r="A11269" s="18">
        <v>1356</v>
      </c>
      <c r="B11269" s="4" t="s">
        <v>44</v>
      </c>
      <c r="C11269" s="38" t="s">
        <v>2381</v>
      </c>
      <c r="D11269" s="18">
        <v>2022</v>
      </c>
      <c r="E11269" s="18" t="s">
        <v>0</v>
      </c>
      <c r="F11269" s="41">
        <v>1</v>
      </c>
      <c r="G11269" s="4">
        <v>9.5</v>
      </c>
      <c r="H11269" s="18">
        <v>41.61168</v>
      </c>
      <c r="I11269" s="90"/>
      <c r="J11269" s="90"/>
    </row>
    <row r="11270" spans="1:10" s="15" customFormat="1" ht="16.5" hidden="1" customHeight="1" outlineLevel="1" x14ac:dyDescent="0.25">
      <c r="A11270" s="18">
        <v>1580</v>
      </c>
      <c r="B11270" s="4" t="s">
        <v>44</v>
      </c>
      <c r="C11270" s="38" t="s">
        <v>2382</v>
      </c>
      <c r="D11270" s="18">
        <v>2022</v>
      </c>
      <c r="E11270" s="18" t="s">
        <v>0</v>
      </c>
      <c r="F11270" s="41">
        <v>1</v>
      </c>
      <c r="G11270" s="4">
        <v>15</v>
      </c>
      <c r="H11270" s="18">
        <v>45.779389999999999</v>
      </c>
      <c r="I11270" s="90"/>
      <c r="J11270" s="90"/>
    </row>
    <row r="11271" spans="1:10" s="15" customFormat="1" ht="16.5" hidden="1" customHeight="1" outlineLevel="1" x14ac:dyDescent="0.25">
      <c r="A11271" s="18">
        <v>1816</v>
      </c>
      <c r="B11271" s="4" t="s">
        <v>44</v>
      </c>
      <c r="C11271" s="38" t="s">
        <v>6206</v>
      </c>
      <c r="D11271" s="18">
        <v>2022</v>
      </c>
      <c r="E11271" s="18" t="s">
        <v>0</v>
      </c>
      <c r="F11271" s="41">
        <v>1</v>
      </c>
      <c r="G11271" s="4">
        <v>15</v>
      </c>
      <c r="H11271" s="18">
        <v>43.163409999999999</v>
      </c>
      <c r="I11271" s="90"/>
      <c r="J11271" s="90"/>
    </row>
    <row r="11272" spans="1:10" s="15" customFormat="1" ht="16.5" hidden="1" customHeight="1" outlineLevel="1" x14ac:dyDescent="0.25">
      <c r="A11272" s="18">
        <v>1815</v>
      </c>
      <c r="B11272" s="4" t="s">
        <v>44</v>
      </c>
      <c r="C11272" s="38" t="s">
        <v>6207</v>
      </c>
      <c r="D11272" s="18">
        <v>2022</v>
      </c>
      <c r="E11272" s="18" t="s">
        <v>0</v>
      </c>
      <c r="F11272" s="41">
        <v>1</v>
      </c>
      <c r="G11272" s="4">
        <v>12</v>
      </c>
      <c r="H11272" s="18">
        <v>38.44258</v>
      </c>
      <c r="I11272" s="90"/>
      <c r="J11272" s="90"/>
    </row>
    <row r="11273" spans="1:10" s="15" customFormat="1" ht="16.5" hidden="1" customHeight="1" outlineLevel="1" x14ac:dyDescent="0.25">
      <c r="A11273" s="18">
        <v>634</v>
      </c>
      <c r="B11273" s="4" t="s">
        <v>44</v>
      </c>
      <c r="C11273" s="38" t="s">
        <v>6208</v>
      </c>
      <c r="D11273" s="18">
        <v>2022</v>
      </c>
      <c r="E11273" s="18" t="s">
        <v>0</v>
      </c>
      <c r="F11273" s="41">
        <v>1</v>
      </c>
      <c r="G11273" s="4">
        <v>15</v>
      </c>
      <c r="H11273" s="18">
        <v>31.843610000000002</v>
      </c>
      <c r="I11273" s="90"/>
      <c r="J11273" s="90"/>
    </row>
    <row r="11274" spans="1:10" s="15" customFormat="1" ht="16.5" hidden="1" customHeight="1" outlineLevel="1" x14ac:dyDescent="0.25">
      <c r="A11274" s="18">
        <v>507</v>
      </c>
      <c r="B11274" s="4" t="s">
        <v>44</v>
      </c>
      <c r="C11274" s="38" t="s">
        <v>4089</v>
      </c>
      <c r="D11274" s="18">
        <v>2022</v>
      </c>
      <c r="E11274" s="18" t="s">
        <v>0</v>
      </c>
      <c r="F11274" s="41">
        <v>1</v>
      </c>
      <c r="G11274" s="4">
        <v>25</v>
      </c>
      <c r="H11274" s="18">
        <v>31.5</v>
      </c>
      <c r="I11274" s="90"/>
      <c r="J11274" s="90"/>
    </row>
    <row r="11275" spans="1:10" s="15" customFormat="1" ht="16.5" hidden="1" customHeight="1" outlineLevel="1" x14ac:dyDescent="0.25">
      <c r="A11275" s="18">
        <v>483</v>
      </c>
      <c r="B11275" s="4" t="s">
        <v>44</v>
      </c>
      <c r="C11275" s="38" t="s">
        <v>2384</v>
      </c>
      <c r="D11275" s="18">
        <v>2022</v>
      </c>
      <c r="E11275" s="18" t="s">
        <v>0</v>
      </c>
      <c r="F11275" s="41">
        <v>1</v>
      </c>
      <c r="G11275" s="4">
        <v>15</v>
      </c>
      <c r="H11275" s="18">
        <v>25.23142</v>
      </c>
      <c r="I11275" s="90"/>
      <c r="J11275" s="90"/>
    </row>
    <row r="11276" spans="1:10" s="15" customFormat="1" ht="16.5" hidden="1" customHeight="1" outlineLevel="1" x14ac:dyDescent="0.25">
      <c r="A11276" s="18">
        <v>494</v>
      </c>
      <c r="B11276" s="4" t="s">
        <v>44</v>
      </c>
      <c r="C11276" s="38" t="s">
        <v>2385</v>
      </c>
      <c r="D11276" s="18">
        <v>2022</v>
      </c>
      <c r="E11276" s="18" t="s">
        <v>0</v>
      </c>
      <c r="F11276" s="41">
        <v>1</v>
      </c>
      <c r="G11276" s="4">
        <v>15</v>
      </c>
      <c r="H11276" s="18">
        <v>25.633800000000001</v>
      </c>
      <c r="I11276" s="90"/>
      <c r="J11276" s="90"/>
    </row>
    <row r="11277" spans="1:10" s="15" customFormat="1" ht="16.5" hidden="1" customHeight="1" outlineLevel="1" x14ac:dyDescent="0.25">
      <c r="A11277" s="18">
        <v>495</v>
      </c>
      <c r="B11277" s="4" t="s">
        <v>44</v>
      </c>
      <c r="C11277" s="38" t="s">
        <v>2386</v>
      </c>
      <c r="D11277" s="18">
        <v>2022</v>
      </c>
      <c r="E11277" s="18" t="s">
        <v>0</v>
      </c>
      <c r="F11277" s="41">
        <v>2</v>
      </c>
      <c r="G11277" s="4">
        <v>48</v>
      </c>
      <c r="H11277" s="18">
        <v>40.257680000000001</v>
      </c>
      <c r="I11277" s="90"/>
      <c r="J11277" s="90"/>
    </row>
    <row r="11278" spans="1:10" s="15" customFormat="1" ht="16.5" hidden="1" customHeight="1" outlineLevel="1" x14ac:dyDescent="0.25">
      <c r="A11278" s="18">
        <v>764</v>
      </c>
      <c r="B11278" s="4" t="s">
        <v>44</v>
      </c>
      <c r="C11278" s="38" t="s">
        <v>6209</v>
      </c>
      <c r="D11278" s="18">
        <v>2022</v>
      </c>
      <c r="E11278" s="18" t="s">
        <v>0</v>
      </c>
      <c r="F11278" s="41">
        <v>1</v>
      </c>
      <c r="G11278" s="4">
        <v>14</v>
      </c>
      <c r="H11278" s="18">
        <v>27.521470000000001</v>
      </c>
      <c r="I11278" s="90"/>
      <c r="J11278" s="90"/>
    </row>
    <row r="11279" spans="1:10" s="15" customFormat="1" ht="16.5" hidden="1" customHeight="1" outlineLevel="1" x14ac:dyDescent="0.25">
      <c r="A11279" s="18">
        <v>765</v>
      </c>
      <c r="B11279" s="4" t="s">
        <v>44</v>
      </c>
      <c r="C11279" s="38" t="s">
        <v>6210</v>
      </c>
      <c r="D11279" s="18">
        <v>2022</v>
      </c>
      <c r="E11279" s="18" t="s">
        <v>0</v>
      </c>
      <c r="F11279" s="41">
        <v>1</v>
      </c>
      <c r="G11279" s="4">
        <v>14</v>
      </c>
      <c r="H11279" s="18">
        <v>28.615739999999999</v>
      </c>
      <c r="I11279" s="90"/>
      <c r="J11279" s="90"/>
    </row>
    <row r="11280" spans="1:10" s="15" customFormat="1" ht="16.5" hidden="1" customHeight="1" outlineLevel="1" x14ac:dyDescent="0.25">
      <c r="A11280" s="18">
        <v>771</v>
      </c>
      <c r="B11280" s="4" t="s">
        <v>44</v>
      </c>
      <c r="C11280" s="38" t="s">
        <v>6211</v>
      </c>
      <c r="D11280" s="18">
        <v>2022</v>
      </c>
      <c r="E11280" s="18" t="s">
        <v>0</v>
      </c>
      <c r="F11280" s="41">
        <v>1</v>
      </c>
      <c r="G11280" s="4">
        <v>14</v>
      </c>
      <c r="H11280" s="18">
        <v>26.95065</v>
      </c>
      <c r="I11280" s="90"/>
      <c r="J11280" s="90"/>
    </row>
    <row r="11281" spans="1:10" s="15" customFormat="1" ht="16.5" hidden="1" customHeight="1" outlineLevel="1" x14ac:dyDescent="0.25">
      <c r="A11281" s="18">
        <v>770</v>
      </c>
      <c r="B11281" s="4" t="s">
        <v>44</v>
      </c>
      <c r="C11281" s="38" t="s">
        <v>6212</v>
      </c>
      <c r="D11281" s="18">
        <v>2022</v>
      </c>
      <c r="E11281" s="18" t="s">
        <v>0</v>
      </c>
      <c r="F11281" s="41">
        <v>1</v>
      </c>
      <c r="G11281" s="4">
        <v>14</v>
      </c>
      <c r="H11281" s="18">
        <v>28.596800000000002</v>
      </c>
      <c r="I11281" s="90"/>
      <c r="J11281" s="90"/>
    </row>
    <row r="11282" spans="1:10" s="15" customFormat="1" ht="16.5" hidden="1" customHeight="1" outlineLevel="1" x14ac:dyDescent="0.25">
      <c r="A11282" s="18">
        <v>769</v>
      </c>
      <c r="B11282" s="4" t="s">
        <v>44</v>
      </c>
      <c r="C11282" s="38" t="s">
        <v>6213</v>
      </c>
      <c r="D11282" s="18">
        <v>2022</v>
      </c>
      <c r="E11282" s="18" t="s">
        <v>0</v>
      </c>
      <c r="F11282" s="41">
        <v>1</v>
      </c>
      <c r="G11282" s="4">
        <v>14</v>
      </c>
      <c r="H11282" s="18">
        <v>29.471039999999999</v>
      </c>
      <c r="I11282" s="90"/>
      <c r="J11282" s="90"/>
    </row>
    <row r="11283" spans="1:10" s="15" customFormat="1" ht="16.5" hidden="1" customHeight="1" outlineLevel="1" x14ac:dyDescent="0.25">
      <c r="A11283" s="18">
        <v>768</v>
      </c>
      <c r="B11283" s="4" t="s">
        <v>44</v>
      </c>
      <c r="C11283" s="38" t="s">
        <v>6214</v>
      </c>
      <c r="D11283" s="18">
        <v>2022</v>
      </c>
      <c r="E11283" s="18" t="s">
        <v>0</v>
      </c>
      <c r="F11283" s="41">
        <v>1</v>
      </c>
      <c r="G11283" s="4">
        <v>14</v>
      </c>
      <c r="H11283" s="18">
        <v>26.456019999999999</v>
      </c>
      <c r="I11283" s="90"/>
      <c r="J11283" s="90"/>
    </row>
    <row r="11284" spans="1:10" s="15" customFormat="1" ht="16.5" hidden="1" customHeight="1" outlineLevel="1" x14ac:dyDescent="0.25">
      <c r="A11284" s="18">
        <v>767</v>
      </c>
      <c r="B11284" s="4" t="s">
        <v>44</v>
      </c>
      <c r="C11284" s="38" t="s">
        <v>6215</v>
      </c>
      <c r="D11284" s="18">
        <v>2022</v>
      </c>
      <c r="E11284" s="18" t="s">
        <v>0</v>
      </c>
      <c r="F11284" s="41">
        <v>1</v>
      </c>
      <c r="G11284" s="4">
        <v>14</v>
      </c>
      <c r="H11284" s="18">
        <v>26.772069999999999</v>
      </c>
      <c r="I11284" s="90"/>
      <c r="J11284" s="90"/>
    </row>
    <row r="11285" spans="1:10" s="15" customFormat="1" ht="16.5" hidden="1" customHeight="1" outlineLevel="1" x14ac:dyDescent="0.25">
      <c r="A11285" s="18">
        <v>766</v>
      </c>
      <c r="B11285" s="4" t="s">
        <v>44</v>
      </c>
      <c r="C11285" s="38" t="s">
        <v>6216</v>
      </c>
      <c r="D11285" s="18">
        <v>2022</v>
      </c>
      <c r="E11285" s="18" t="s">
        <v>0</v>
      </c>
      <c r="F11285" s="41">
        <v>1</v>
      </c>
      <c r="G11285" s="4">
        <v>14</v>
      </c>
      <c r="H11285" s="18">
        <v>26.757480000000001</v>
      </c>
      <c r="I11285" s="90"/>
      <c r="J11285" s="90"/>
    </row>
    <row r="11286" spans="1:10" s="15" customFormat="1" ht="16.5" hidden="1" customHeight="1" outlineLevel="1" x14ac:dyDescent="0.25">
      <c r="A11286" s="18">
        <v>763</v>
      </c>
      <c r="B11286" s="4" t="s">
        <v>44</v>
      </c>
      <c r="C11286" s="38" t="s">
        <v>6217</v>
      </c>
      <c r="D11286" s="18">
        <v>2022</v>
      </c>
      <c r="E11286" s="18" t="s">
        <v>0</v>
      </c>
      <c r="F11286" s="41">
        <v>1</v>
      </c>
      <c r="G11286" s="4">
        <v>14</v>
      </c>
      <c r="H11286" s="18">
        <v>27.236190000000001</v>
      </c>
      <c r="I11286" s="90"/>
      <c r="J11286" s="90"/>
    </row>
    <row r="11287" spans="1:10" s="15" customFormat="1" ht="16.5" hidden="1" customHeight="1" outlineLevel="1" x14ac:dyDescent="0.25">
      <c r="A11287" s="18">
        <v>527</v>
      </c>
      <c r="B11287" s="4" t="s">
        <v>44</v>
      </c>
      <c r="C11287" s="38" t="s">
        <v>2388</v>
      </c>
      <c r="D11287" s="18">
        <v>2022</v>
      </c>
      <c r="E11287" s="18" t="s">
        <v>0</v>
      </c>
      <c r="F11287" s="41">
        <v>1</v>
      </c>
      <c r="G11287" s="4">
        <v>15</v>
      </c>
      <c r="H11287" s="18">
        <v>31.620819999999998</v>
      </c>
      <c r="I11287" s="90"/>
      <c r="J11287" s="90"/>
    </row>
    <row r="11288" spans="1:10" s="15" customFormat="1" ht="16.5" hidden="1" customHeight="1" outlineLevel="1" x14ac:dyDescent="0.25">
      <c r="A11288" s="18">
        <v>528</v>
      </c>
      <c r="B11288" s="4" t="s">
        <v>44</v>
      </c>
      <c r="C11288" s="38" t="s">
        <v>2390</v>
      </c>
      <c r="D11288" s="18">
        <v>2022</v>
      </c>
      <c r="E11288" s="18" t="s">
        <v>0</v>
      </c>
      <c r="F11288" s="41">
        <v>1</v>
      </c>
      <c r="G11288" s="4">
        <v>25</v>
      </c>
      <c r="H11288" s="18">
        <v>69.056449999999998</v>
      </c>
      <c r="I11288" s="90"/>
      <c r="J11288" s="90"/>
    </row>
    <row r="11289" spans="1:10" s="15" customFormat="1" ht="16.5" hidden="1" customHeight="1" outlineLevel="1" x14ac:dyDescent="0.25">
      <c r="A11289" s="18">
        <v>806</v>
      </c>
      <c r="B11289" s="4" t="s">
        <v>44</v>
      </c>
      <c r="C11289" s="38" t="s">
        <v>6218</v>
      </c>
      <c r="D11289" s="18">
        <v>2022</v>
      </c>
      <c r="E11289" s="18" t="s">
        <v>0</v>
      </c>
      <c r="F11289" s="41">
        <v>1</v>
      </c>
      <c r="G11289" s="4">
        <v>10</v>
      </c>
      <c r="H11289" s="18">
        <v>27.42567</v>
      </c>
      <c r="I11289" s="90"/>
      <c r="J11289" s="90"/>
    </row>
    <row r="11290" spans="1:10" s="15" customFormat="1" ht="16.5" hidden="1" customHeight="1" outlineLevel="1" x14ac:dyDescent="0.25">
      <c r="A11290" s="18">
        <v>772</v>
      </c>
      <c r="B11290" s="4" t="s">
        <v>44</v>
      </c>
      <c r="C11290" s="38" t="s">
        <v>6219</v>
      </c>
      <c r="D11290" s="18">
        <v>2022</v>
      </c>
      <c r="E11290" s="18" t="s">
        <v>0</v>
      </c>
      <c r="F11290" s="41">
        <v>1</v>
      </c>
      <c r="G11290" s="4">
        <v>14</v>
      </c>
      <c r="H11290" s="18">
        <v>25.252179999999999</v>
      </c>
      <c r="I11290" s="90"/>
      <c r="J11290" s="90"/>
    </row>
    <row r="11291" spans="1:10" s="15" customFormat="1" ht="16.5" hidden="1" customHeight="1" outlineLevel="1" x14ac:dyDescent="0.25">
      <c r="A11291" s="18">
        <v>748</v>
      </c>
      <c r="B11291" s="4" t="s">
        <v>44</v>
      </c>
      <c r="C11291" s="38" t="s">
        <v>6220</v>
      </c>
      <c r="D11291" s="18">
        <v>2022</v>
      </c>
      <c r="E11291" s="18" t="s">
        <v>0</v>
      </c>
      <c r="F11291" s="41">
        <v>1</v>
      </c>
      <c r="G11291" s="4">
        <v>14.3</v>
      </c>
      <c r="H11291" s="18">
        <v>26.936299999999999</v>
      </c>
      <c r="I11291" s="90"/>
      <c r="J11291" s="90"/>
    </row>
    <row r="11292" spans="1:10" s="15" customFormat="1" ht="16.5" hidden="1" customHeight="1" outlineLevel="1" x14ac:dyDescent="0.25">
      <c r="A11292" s="18">
        <v>716</v>
      </c>
      <c r="B11292" s="4" t="s">
        <v>44</v>
      </c>
      <c r="C11292" s="38" t="s">
        <v>6221</v>
      </c>
      <c r="D11292" s="18">
        <v>2022</v>
      </c>
      <c r="E11292" s="18" t="s">
        <v>0</v>
      </c>
      <c r="F11292" s="41">
        <v>1</v>
      </c>
      <c r="G11292" s="4">
        <v>10</v>
      </c>
      <c r="H11292" s="18">
        <v>26.125689999999999</v>
      </c>
      <c r="I11292" s="90"/>
      <c r="J11292" s="90"/>
    </row>
    <row r="11293" spans="1:10" s="15" customFormat="1" ht="16.5" hidden="1" customHeight="1" outlineLevel="1" x14ac:dyDescent="0.25">
      <c r="A11293" s="18">
        <v>650</v>
      </c>
      <c r="B11293" s="4" t="s">
        <v>44</v>
      </c>
      <c r="C11293" s="38" t="s">
        <v>6222</v>
      </c>
      <c r="D11293" s="18">
        <v>2022</v>
      </c>
      <c r="E11293" s="18" t="s">
        <v>0</v>
      </c>
      <c r="F11293" s="41">
        <v>1</v>
      </c>
      <c r="G11293" s="4">
        <v>15</v>
      </c>
      <c r="H11293" s="18">
        <v>25.740200000000002</v>
      </c>
      <c r="I11293" s="90"/>
      <c r="J11293" s="90"/>
    </row>
    <row r="11294" spans="1:10" s="15" customFormat="1" ht="16.5" hidden="1" customHeight="1" outlineLevel="1" x14ac:dyDescent="0.25">
      <c r="A11294" s="18">
        <v>721</v>
      </c>
      <c r="B11294" s="4" t="s">
        <v>44</v>
      </c>
      <c r="C11294" s="38" t="s">
        <v>6223</v>
      </c>
      <c r="D11294" s="18">
        <v>2022</v>
      </c>
      <c r="E11294" s="18" t="s">
        <v>0</v>
      </c>
      <c r="F11294" s="41">
        <v>1</v>
      </c>
      <c r="G11294" s="4">
        <v>13</v>
      </c>
      <c r="H11294" s="18">
        <v>25.25506</v>
      </c>
      <c r="I11294" s="90"/>
      <c r="J11294" s="90"/>
    </row>
    <row r="11295" spans="1:10" s="15" customFormat="1" ht="16.5" hidden="1" customHeight="1" outlineLevel="1" x14ac:dyDescent="0.25">
      <c r="A11295" s="18">
        <v>513</v>
      </c>
      <c r="B11295" s="4" t="s">
        <v>44</v>
      </c>
      <c r="C11295" s="38" t="s">
        <v>2391</v>
      </c>
      <c r="D11295" s="18">
        <v>2022</v>
      </c>
      <c r="E11295" s="18" t="s">
        <v>0</v>
      </c>
      <c r="F11295" s="41">
        <v>1</v>
      </c>
      <c r="G11295" s="4">
        <v>15</v>
      </c>
      <c r="H11295" s="18">
        <v>30.104410000000001</v>
      </c>
      <c r="I11295" s="90"/>
      <c r="J11295" s="90"/>
    </row>
    <row r="11296" spans="1:10" s="15" customFormat="1" ht="16.5" hidden="1" customHeight="1" outlineLevel="1" x14ac:dyDescent="0.25">
      <c r="A11296" s="18">
        <v>484</v>
      </c>
      <c r="B11296" s="4" t="s">
        <v>44</v>
      </c>
      <c r="C11296" s="38" t="s">
        <v>2392</v>
      </c>
      <c r="D11296" s="18">
        <v>2022</v>
      </c>
      <c r="E11296" s="18" t="s">
        <v>0</v>
      </c>
      <c r="F11296" s="41">
        <v>1</v>
      </c>
      <c r="G11296" s="4">
        <v>15</v>
      </c>
      <c r="H11296" s="18">
        <v>27.527000000000001</v>
      </c>
      <c r="I11296" s="90"/>
      <c r="J11296" s="90"/>
    </row>
    <row r="11297" spans="1:10" s="15" customFormat="1" ht="16.5" hidden="1" customHeight="1" outlineLevel="1" x14ac:dyDescent="0.25">
      <c r="A11297" s="18">
        <v>681</v>
      </c>
      <c r="B11297" s="4" t="s">
        <v>44</v>
      </c>
      <c r="C11297" s="38" t="s">
        <v>6224</v>
      </c>
      <c r="D11297" s="18">
        <v>2022</v>
      </c>
      <c r="E11297" s="18" t="s">
        <v>0</v>
      </c>
      <c r="F11297" s="41">
        <v>1</v>
      </c>
      <c r="G11297" s="4">
        <v>10</v>
      </c>
      <c r="H11297" s="18">
        <v>28.975840000000002</v>
      </c>
      <c r="I11297" s="90"/>
      <c r="J11297" s="90"/>
    </row>
    <row r="11298" spans="1:10" s="15" customFormat="1" ht="16.5" hidden="1" customHeight="1" outlineLevel="1" x14ac:dyDescent="0.25">
      <c r="A11298" s="18">
        <v>689</v>
      </c>
      <c r="B11298" s="4" t="s">
        <v>44</v>
      </c>
      <c r="C11298" s="38" t="s">
        <v>6225</v>
      </c>
      <c r="D11298" s="18">
        <v>2022</v>
      </c>
      <c r="E11298" s="18" t="s">
        <v>0</v>
      </c>
      <c r="F11298" s="41">
        <v>1</v>
      </c>
      <c r="G11298" s="4">
        <v>9</v>
      </c>
      <c r="H11298" s="18">
        <v>24.622150000000001</v>
      </c>
      <c r="I11298" s="90"/>
      <c r="J11298" s="90"/>
    </row>
    <row r="11299" spans="1:10" s="15" customFormat="1" ht="16.5" hidden="1" customHeight="1" outlineLevel="1" x14ac:dyDescent="0.25">
      <c r="A11299" s="18">
        <v>647</v>
      </c>
      <c r="B11299" s="4" t="s">
        <v>44</v>
      </c>
      <c r="C11299" s="38" t="s">
        <v>6226</v>
      </c>
      <c r="D11299" s="18">
        <v>2022</v>
      </c>
      <c r="E11299" s="18" t="s">
        <v>0</v>
      </c>
      <c r="F11299" s="41">
        <v>1</v>
      </c>
      <c r="G11299" s="4">
        <v>15</v>
      </c>
      <c r="H11299" s="18">
        <v>29.644130000000001</v>
      </c>
      <c r="I11299" s="90"/>
      <c r="J11299" s="90"/>
    </row>
    <row r="11300" spans="1:10" s="15" customFormat="1" ht="16.5" hidden="1" customHeight="1" outlineLevel="1" x14ac:dyDescent="0.25">
      <c r="A11300" s="18">
        <v>667</v>
      </c>
      <c r="B11300" s="4" t="s">
        <v>44</v>
      </c>
      <c r="C11300" s="38" t="s">
        <v>6227</v>
      </c>
      <c r="D11300" s="18">
        <v>2022</v>
      </c>
      <c r="E11300" s="18" t="s">
        <v>0</v>
      </c>
      <c r="F11300" s="41">
        <v>1</v>
      </c>
      <c r="G11300" s="4">
        <v>9</v>
      </c>
      <c r="H11300" s="18">
        <v>23.084710000000001</v>
      </c>
      <c r="I11300" s="90"/>
      <c r="J11300" s="90"/>
    </row>
    <row r="11301" spans="1:10" s="15" customFormat="1" ht="16.5" hidden="1" customHeight="1" outlineLevel="1" x14ac:dyDescent="0.25">
      <c r="A11301" s="18">
        <v>604</v>
      </c>
      <c r="B11301" s="4" t="s">
        <v>44</v>
      </c>
      <c r="C11301" s="38" t="s">
        <v>6228</v>
      </c>
      <c r="D11301" s="18">
        <v>2022</v>
      </c>
      <c r="E11301" s="18" t="s">
        <v>0</v>
      </c>
      <c r="F11301" s="41">
        <v>1</v>
      </c>
      <c r="G11301" s="4">
        <v>15</v>
      </c>
      <c r="H11301" s="18">
        <v>26.399750000000001</v>
      </c>
      <c r="I11301" s="90"/>
      <c r="J11301" s="90"/>
    </row>
    <row r="11302" spans="1:10" s="15" customFormat="1" ht="16.5" hidden="1" customHeight="1" outlineLevel="1" x14ac:dyDescent="0.25">
      <c r="A11302" s="18">
        <v>697</v>
      </c>
      <c r="B11302" s="4" t="s">
        <v>44</v>
      </c>
      <c r="C11302" s="38" t="s">
        <v>6229</v>
      </c>
      <c r="D11302" s="18">
        <v>2022</v>
      </c>
      <c r="E11302" s="18" t="s">
        <v>0</v>
      </c>
      <c r="F11302" s="41">
        <v>1</v>
      </c>
      <c r="G11302" s="4">
        <v>9</v>
      </c>
      <c r="H11302" s="18">
        <v>25.818239999999999</v>
      </c>
      <c r="I11302" s="90"/>
      <c r="J11302" s="90"/>
    </row>
    <row r="11303" spans="1:10" s="15" customFormat="1" ht="16.5" hidden="1" customHeight="1" outlineLevel="1" x14ac:dyDescent="0.25">
      <c r="A11303" s="18">
        <v>546</v>
      </c>
      <c r="B11303" s="4" t="s">
        <v>44</v>
      </c>
      <c r="C11303" s="38" t="s">
        <v>2394</v>
      </c>
      <c r="D11303" s="18">
        <v>2022</v>
      </c>
      <c r="E11303" s="18" t="s">
        <v>0</v>
      </c>
      <c r="F11303" s="41">
        <v>3</v>
      </c>
      <c r="G11303" s="4">
        <v>45</v>
      </c>
      <c r="H11303" s="18">
        <v>206.69119000000001</v>
      </c>
      <c r="I11303" s="90"/>
      <c r="J11303" s="90"/>
    </row>
    <row r="11304" spans="1:10" s="15" customFormat="1" ht="16.5" hidden="1" customHeight="1" outlineLevel="1" x14ac:dyDescent="0.25">
      <c r="A11304" s="18">
        <v>537</v>
      </c>
      <c r="B11304" s="4" t="s">
        <v>44</v>
      </c>
      <c r="C11304" s="38" t="s">
        <v>2395</v>
      </c>
      <c r="D11304" s="18">
        <v>2022</v>
      </c>
      <c r="E11304" s="18" t="s">
        <v>0</v>
      </c>
      <c r="F11304" s="41">
        <v>1</v>
      </c>
      <c r="G11304" s="4">
        <v>15</v>
      </c>
      <c r="H11304" s="18">
        <v>52.116059999999997</v>
      </c>
      <c r="I11304" s="90"/>
      <c r="J11304" s="90"/>
    </row>
    <row r="11305" spans="1:10" s="15" customFormat="1" ht="16.5" hidden="1" customHeight="1" outlineLevel="1" x14ac:dyDescent="0.25">
      <c r="A11305" s="18">
        <v>538</v>
      </c>
      <c r="B11305" s="4" t="s">
        <v>44</v>
      </c>
      <c r="C11305" s="38" t="s">
        <v>2396</v>
      </c>
      <c r="D11305" s="18">
        <v>2022</v>
      </c>
      <c r="E11305" s="18" t="s">
        <v>0</v>
      </c>
      <c r="F11305" s="41">
        <v>1</v>
      </c>
      <c r="G11305" s="4">
        <v>15</v>
      </c>
      <c r="H11305" s="18">
        <v>72.531189999999995</v>
      </c>
      <c r="I11305" s="90"/>
      <c r="J11305" s="90"/>
    </row>
    <row r="11306" spans="1:10" s="15" customFormat="1" ht="16.5" hidden="1" customHeight="1" outlineLevel="1" x14ac:dyDescent="0.25">
      <c r="A11306" s="18">
        <v>450</v>
      </c>
      <c r="B11306" s="4" t="s">
        <v>44</v>
      </c>
      <c r="C11306" s="38" t="s">
        <v>2907</v>
      </c>
      <c r="D11306" s="18">
        <v>2022</v>
      </c>
      <c r="E11306" s="18" t="s">
        <v>0</v>
      </c>
      <c r="F11306" s="41">
        <v>1</v>
      </c>
      <c r="G11306" s="4">
        <v>150</v>
      </c>
      <c r="H11306" s="18">
        <v>69.529640000000001</v>
      </c>
      <c r="I11306" s="90"/>
      <c r="J11306" s="90"/>
    </row>
    <row r="11307" spans="1:10" s="15" customFormat="1" ht="16.5" hidden="1" customHeight="1" outlineLevel="1" x14ac:dyDescent="0.25">
      <c r="A11307" s="18">
        <v>549</v>
      </c>
      <c r="B11307" s="4" t="s">
        <v>44</v>
      </c>
      <c r="C11307" s="38" t="s">
        <v>2934</v>
      </c>
      <c r="D11307" s="18">
        <v>2022</v>
      </c>
      <c r="E11307" s="18" t="s">
        <v>0</v>
      </c>
      <c r="F11307" s="41">
        <v>11</v>
      </c>
      <c r="G11307" s="4">
        <v>165</v>
      </c>
      <c r="H11307" s="18">
        <v>445.95173999999997</v>
      </c>
      <c r="I11307" s="90"/>
      <c r="J11307" s="90"/>
    </row>
    <row r="11308" spans="1:10" s="15" customFormat="1" ht="16.5" hidden="1" customHeight="1" outlineLevel="1" x14ac:dyDescent="0.25">
      <c r="A11308" s="18">
        <v>548</v>
      </c>
      <c r="B11308" s="4" t="s">
        <v>44</v>
      </c>
      <c r="C11308" s="38" t="s">
        <v>2397</v>
      </c>
      <c r="D11308" s="18">
        <v>2022</v>
      </c>
      <c r="E11308" s="18" t="s">
        <v>0</v>
      </c>
      <c r="F11308" s="41">
        <v>1</v>
      </c>
      <c r="G11308" s="4">
        <v>15</v>
      </c>
      <c r="H11308" s="18">
        <v>38.406320000000001</v>
      </c>
      <c r="I11308" s="90"/>
      <c r="J11308" s="90"/>
    </row>
    <row r="11309" spans="1:10" s="15" customFormat="1" ht="16.5" hidden="1" customHeight="1" outlineLevel="1" x14ac:dyDescent="0.25">
      <c r="A11309" s="18">
        <v>540</v>
      </c>
      <c r="B11309" s="4" t="s">
        <v>44</v>
      </c>
      <c r="C11309" s="38" t="s">
        <v>6230</v>
      </c>
      <c r="D11309" s="18">
        <v>2022</v>
      </c>
      <c r="E11309" s="18" t="s">
        <v>0</v>
      </c>
      <c r="F11309" s="41">
        <v>1</v>
      </c>
      <c r="G11309" s="4">
        <v>15</v>
      </c>
      <c r="H11309" s="18">
        <v>33.771329999999999</v>
      </c>
      <c r="I11309" s="90"/>
      <c r="J11309" s="90"/>
    </row>
    <row r="11310" spans="1:10" s="15" customFormat="1" ht="16.5" hidden="1" customHeight="1" outlineLevel="1" x14ac:dyDescent="0.25">
      <c r="A11310" s="18">
        <v>539</v>
      </c>
      <c r="B11310" s="4" t="s">
        <v>44</v>
      </c>
      <c r="C11310" s="38" t="s">
        <v>2399</v>
      </c>
      <c r="D11310" s="18">
        <v>2022</v>
      </c>
      <c r="E11310" s="18" t="s">
        <v>0</v>
      </c>
      <c r="F11310" s="41">
        <v>1</v>
      </c>
      <c r="G11310" s="4">
        <v>15</v>
      </c>
      <c r="H11310" s="18">
        <v>34.220570000000002</v>
      </c>
      <c r="I11310" s="90"/>
      <c r="J11310" s="90"/>
    </row>
    <row r="11311" spans="1:10" s="15" customFormat="1" ht="16.5" hidden="1" customHeight="1" outlineLevel="1" x14ac:dyDescent="0.25">
      <c r="A11311" s="18">
        <v>541</v>
      </c>
      <c r="B11311" s="4" t="s">
        <v>44</v>
      </c>
      <c r="C11311" s="38" t="s">
        <v>2400</v>
      </c>
      <c r="D11311" s="18">
        <v>2022</v>
      </c>
      <c r="E11311" s="18" t="s">
        <v>0</v>
      </c>
      <c r="F11311" s="41">
        <v>1</v>
      </c>
      <c r="G11311" s="4">
        <v>15</v>
      </c>
      <c r="H11311" s="18">
        <v>59.176020000000001</v>
      </c>
      <c r="I11311" s="90"/>
      <c r="J11311" s="90"/>
    </row>
    <row r="11312" spans="1:10" s="15" customFormat="1" ht="16.5" hidden="1" customHeight="1" outlineLevel="1" x14ac:dyDescent="0.25">
      <c r="A11312" s="18">
        <v>543</v>
      </c>
      <c r="B11312" s="4" t="s">
        <v>44</v>
      </c>
      <c r="C11312" s="38" t="s">
        <v>2401</v>
      </c>
      <c r="D11312" s="18">
        <v>2022</v>
      </c>
      <c r="E11312" s="18" t="s">
        <v>0</v>
      </c>
      <c r="F11312" s="41">
        <v>3</v>
      </c>
      <c r="G11312" s="4">
        <v>45</v>
      </c>
      <c r="H11312" s="18">
        <v>101.33967</v>
      </c>
      <c r="I11312" s="90"/>
      <c r="J11312" s="90"/>
    </row>
    <row r="11313" spans="1:10" s="15" customFormat="1" ht="16.5" hidden="1" customHeight="1" outlineLevel="1" x14ac:dyDescent="0.25">
      <c r="A11313" s="18">
        <v>542</v>
      </c>
      <c r="B11313" s="4" t="s">
        <v>44</v>
      </c>
      <c r="C11313" s="38" t="s">
        <v>2402</v>
      </c>
      <c r="D11313" s="18">
        <v>2022</v>
      </c>
      <c r="E11313" s="18" t="s">
        <v>0</v>
      </c>
      <c r="F11313" s="41">
        <v>1</v>
      </c>
      <c r="G11313" s="4">
        <v>15</v>
      </c>
      <c r="H11313" s="18">
        <v>33.461019999999998</v>
      </c>
      <c r="I11313" s="90"/>
      <c r="J11313" s="90"/>
    </row>
    <row r="11314" spans="1:10" s="15" customFormat="1" ht="16.5" hidden="1" customHeight="1" outlineLevel="1" x14ac:dyDescent="0.25">
      <c r="A11314" s="18">
        <v>547</v>
      </c>
      <c r="B11314" s="4" t="s">
        <v>44</v>
      </c>
      <c r="C11314" s="38" t="s">
        <v>2403</v>
      </c>
      <c r="D11314" s="18">
        <v>2022</v>
      </c>
      <c r="E11314" s="18" t="s">
        <v>0</v>
      </c>
      <c r="F11314" s="41">
        <v>1</v>
      </c>
      <c r="G11314" s="4">
        <v>15</v>
      </c>
      <c r="H11314" s="18">
        <v>32.747399999999999</v>
      </c>
      <c r="I11314" s="90"/>
      <c r="J11314" s="90"/>
    </row>
    <row r="11315" spans="1:10" s="15" customFormat="1" ht="16.5" hidden="1" customHeight="1" outlineLevel="1" x14ac:dyDescent="0.25">
      <c r="A11315" s="18">
        <v>544</v>
      </c>
      <c r="B11315" s="4" t="s">
        <v>44</v>
      </c>
      <c r="C11315" s="38" t="s">
        <v>2404</v>
      </c>
      <c r="D11315" s="18">
        <v>2022</v>
      </c>
      <c r="E11315" s="18" t="s">
        <v>0</v>
      </c>
      <c r="F11315" s="41">
        <v>1</v>
      </c>
      <c r="G11315" s="4">
        <v>15</v>
      </c>
      <c r="H11315" s="18">
        <v>27.635380000000001</v>
      </c>
      <c r="I11315" s="90"/>
      <c r="J11315" s="90"/>
    </row>
    <row r="11316" spans="1:10" s="15" customFormat="1" ht="16.5" hidden="1" customHeight="1" outlineLevel="1" x14ac:dyDescent="0.25">
      <c r="A11316" s="18">
        <v>534</v>
      </c>
      <c r="B11316" s="4" t="s">
        <v>44</v>
      </c>
      <c r="C11316" s="38" t="s">
        <v>2405</v>
      </c>
      <c r="D11316" s="18">
        <v>2022</v>
      </c>
      <c r="E11316" s="18" t="s">
        <v>0</v>
      </c>
      <c r="F11316" s="41">
        <v>1</v>
      </c>
      <c r="G11316" s="4">
        <v>15</v>
      </c>
      <c r="H11316" s="18">
        <v>90.555700000000002</v>
      </c>
      <c r="I11316" s="90"/>
      <c r="J11316" s="90"/>
    </row>
    <row r="11317" spans="1:10" s="15" customFormat="1" ht="16.5" hidden="1" customHeight="1" outlineLevel="1" x14ac:dyDescent="0.25">
      <c r="A11317" s="18">
        <v>535</v>
      </c>
      <c r="B11317" s="4" t="s">
        <v>44</v>
      </c>
      <c r="C11317" s="38" t="s">
        <v>6231</v>
      </c>
      <c r="D11317" s="18">
        <v>2022</v>
      </c>
      <c r="E11317" s="18" t="s">
        <v>0</v>
      </c>
      <c r="F11317" s="41">
        <v>1</v>
      </c>
      <c r="G11317" s="4">
        <v>15</v>
      </c>
      <c r="H11317" s="18">
        <v>91.960380000000001</v>
      </c>
      <c r="I11317" s="90"/>
      <c r="J11317" s="90"/>
    </row>
    <row r="11318" spans="1:10" s="15" customFormat="1" ht="16.5" hidden="1" customHeight="1" outlineLevel="1" x14ac:dyDescent="0.25">
      <c r="A11318" s="18">
        <v>533</v>
      </c>
      <c r="B11318" s="4" t="s">
        <v>44</v>
      </c>
      <c r="C11318" s="38" t="s">
        <v>2904</v>
      </c>
      <c r="D11318" s="18">
        <v>2022</v>
      </c>
      <c r="E11318" s="18" t="s">
        <v>0</v>
      </c>
      <c r="F11318" s="41">
        <v>1</v>
      </c>
      <c r="G11318" s="4">
        <v>15</v>
      </c>
      <c r="H11318" s="18">
        <v>60.497369999999997</v>
      </c>
      <c r="I11318" s="90"/>
      <c r="J11318" s="90"/>
    </row>
    <row r="11319" spans="1:10" s="15" customFormat="1" ht="16.5" hidden="1" customHeight="1" outlineLevel="1" x14ac:dyDescent="0.25">
      <c r="A11319" s="18">
        <v>678</v>
      </c>
      <c r="B11319" s="4" t="s">
        <v>44</v>
      </c>
      <c r="C11319" s="38" t="s">
        <v>6232</v>
      </c>
      <c r="D11319" s="18">
        <v>2022</v>
      </c>
      <c r="E11319" s="18" t="s">
        <v>0</v>
      </c>
      <c r="F11319" s="41">
        <v>1</v>
      </c>
      <c r="G11319" s="4">
        <v>15</v>
      </c>
      <c r="H11319" s="18">
        <v>24.465009999999999</v>
      </c>
      <c r="I11319" s="90"/>
      <c r="J11319" s="90"/>
    </row>
    <row r="11320" spans="1:10" s="15" customFormat="1" ht="16.5" hidden="1" customHeight="1" outlineLevel="1" x14ac:dyDescent="0.25">
      <c r="A11320" s="18">
        <v>699</v>
      </c>
      <c r="B11320" s="4" t="s">
        <v>44</v>
      </c>
      <c r="C11320" s="38" t="s">
        <v>6233</v>
      </c>
      <c r="D11320" s="18">
        <v>2022</v>
      </c>
      <c r="E11320" s="18" t="s">
        <v>0</v>
      </c>
      <c r="F11320" s="41">
        <v>1</v>
      </c>
      <c r="G11320" s="4">
        <v>15</v>
      </c>
      <c r="H11320" s="18">
        <v>23.616520000000001</v>
      </c>
      <c r="I11320" s="90"/>
      <c r="J11320" s="90"/>
    </row>
    <row r="11321" spans="1:10" s="15" customFormat="1" ht="16.5" hidden="1" customHeight="1" outlineLevel="1" x14ac:dyDescent="0.25">
      <c r="A11321" s="18">
        <v>639</v>
      </c>
      <c r="B11321" s="4" t="s">
        <v>44</v>
      </c>
      <c r="C11321" s="38" t="s">
        <v>6234</v>
      </c>
      <c r="D11321" s="18">
        <v>2022</v>
      </c>
      <c r="E11321" s="18" t="s">
        <v>0</v>
      </c>
      <c r="F11321" s="41">
        <v>1</v>
      </c>
      <c r="G11321" s="4">
        <v>9</v>
      </c>
      <c r="H11321" s="18">
        <v>28.361732</v>
      </c>
      <c r="I11321" s="90"/>
      <c r="J11321" s="90"/>
    </row>
    <row r="11322" spans="1:10" s="15" customFormat="1" ht="16.5" hidden="1" customHeight="1" outlineLevel="1" x14ac:dyDescent="0.25">
      <c r="A11322" s="18">
        <v>608</v>
      </c>
      <c r="B11322" s="4" t="s">
        <v>44</v>
      </c>
      <c r="C11322" s="38" t="s">
        <v>6235</v>
      </c>
      <c r="D11322" s="18">
        <v>2022</v>
      </c>
      <c r="E11322" s="18" t="s">
        <v>0</v>
      </c>
      <c r="F11322" s="41">
        <v>1</v>
      </c>
      <c r="G11322" s="4">
        <v>7</v>
      </c>
      <c r="H11322" s="18">
        <v>28.387969999999999</v>
      </c>
      <c r="I11322" s="90"/>
      <c r="J11322" s="90"/>
    </row>
    <row r="11323" spans="1:10" s="15" customFormat="1" ht="16.5" hidden="1" customHeight="1" outlineLevel="1" x14ac:dyDescent="0.25">
      <c r="A11323" s="18">
        <v>624</v>
      </c>
      <c r="B11323" s="4" t="s">
        <v>44</v>
      </c>
      <c r="C11323" s="38" t="s">
        <v>6236</v>
      </c>
      <c r="D11323" s="18">
        <v>2022</v>
      </c>
      <c r="E11323" s="18" t="s">
        <v>0</v>
      </c>
      <c r="F11323" s="41">
        <v>1</v>
      </c>
      <c r="G11323" s="4">
        <v>9</v>
      </c>
      <c r="H11323" s="18">
        <v>29.990629999999999</v>
      </c>
      <c r="I11323" s="90"/>
      <c r="J11323" s="90"/>
    </row>
    <row r="11324" spans="1:10" s="15" customFormat="1" ht="16.5" hidden="1" customHeight="1" outlineLevel="1" x14ac:dyDescent="0.25">
      <c r="A11324" s="18">
        <v>606</v>
      </c>
      <c r="B11324" s="4" t="s">
        <v>44</v>
      </c>
      <c r="C11324" s="38" t="s">
        <v>6237</v>
      </c>
      <c r="D11324" s="18">
        <v>2022</v>
      </c>
      <c r="E11324" s="18" t="s">
        <v>0</v>
      </c>
      <c r="F11324" s="41">
        <v>1</v>
      </c>
      <c r="G11324" s="4">
        <v>15</v>
      </c>
      <c r="H11324" s="18">
        <v>31.261330000000001</v>
      </c>
      <c r="I11324" s="90"/>
      <c r="J11324" s="90"/>
    </row>
    <row r="11325" spans="1:10" s="15" customFormat="1" ht="16.5" hidden="1" customHeight="1" outlineLevel="1" x14ac:dyDescent="0.25">
      <c r="A11325" s="18">
        <v>613</v>
      </c>
      <c r="B11325" s="4" t="s">
        <v>44</v>
      </c>
      <c r="C11325" s="38" t="s">
        <v>6238</v>
      </c>
      <c r="D11325" s="18">
        <v>2022</v>
      </c>
      <c r="E11325" s="18" t="s">
        <v>0</v>
      </c>
      <c r="F11325" s="41">
        <v>1</v>
      </c>
      <c r="G11325" s="4">
        <v>9</v>
      </c>
      <c r="H11325" s="18">
        <v>29.484220000000001</v>
      </c>
      <c r="I11325" s="90"/>
      <c r="J11325" s="90"/>
    </row>
    <row r="11326" spans="1:10" s="15" customFormat="1" ht="16.5" hidden="1" customHeight="1" outlineLevel="1" x14ac:dyDescent="0.25">
      <c r="A11326" s="18">
        <v>614</v>
      </c>
      <c r="B11326" s="4" t="s">
        <v>44</v>
      </c>
      <c r="C11326" s="38" t="s">
        <v>6239</v>
      </c>
      <c r="D11326" s="18">
        <v>2022</v>
      </c>
      <c r="E11326" s="18" t="s">
        <v>0</v>
      </c>
      <c r="F11326" s="41">
        <v>1</v>
      </c>
      <c r="G11326" s="4">
        <v>15</v>
      </c>
      <c r="H11326" s="18">
        <v>29.48423</v>
      </c>
      <c r="I11326" s="90"/>
      <c r="J11326" s="90"/>
    </row>
    <row r="11327" spans="1:10" s="15" customFormat="1" ht="16.5" hidden="1" customHeight="1" outlineLevel="1" x14ac:dyDescent="0.25">
      <c r="A11327" s="18">
        <v>595</v>
      </c>
      <c r="B11327" s="4" t="s">
        <v>44</v>
      </c>
      <c r="C11327" s="38" t="s">
        <v>6240</v>
      </c>
      <c r="D11327" s="18">
        <v>2022</v>
      </c>
      <c r="E11327" s="18" t="s">
        <v>0</v>
      </c>
      <c r="F11327" s="41">
        <v>1</v>
      </c>
      <c r="G11327" s="4">
        <v>15</v>
      </c>
      <c r="H11327" s="18">
        <v>26.368649999999999</v>
      </c>
      <c r="I11327" s="90"/>
      <c r="J11327" s="90"/>
    </row>
    <row r="11328" spans="1:10" s="15" customFormat="1" ht="16.5" hidden="1" customHeight="1" outlineLevel="1" x14ac:dyDescent="0.25">
      <c r="A11328" s="18">
        <v>505</v>
      </c>
      <c r="B11328" s="4" t="s">
        <v>44</v>
      </c>
      <c r="C11328" s="38" t="s">
        <v>6241</v>
      </c>
      <c r="D11328" s="18">
        <v>2022</v>
      </c>
      <c r="E11328" s="18" t="s">
        <v>0</v>
      </c>
      <c r="F11328" s="41">
        <v>1</v>
      </c>
      <c r="G11328" s="4">
        <v>12</v>
      </c>
      <c r="H11328" s="18">
        <v>30.912649999999999</v>
      </c>
      <c r="I11328" s="90"/>
      <c r="J11328" s="90"/>
    </row>
    <row r="11329" spans="1:10" s="15" customFormat="1" ht="16.5" hidden="1" customHeight="1" outlineLevel="1" x14ac:dyDescent="0.25">
      <c r="A11329" s="18">
        <v>591</v>
      </c>
      <c r="B11329" s="4" t="s">
        <v>44</v>
      </c>
      <c r="C11329" s="38" t="s">
        <v>6242</v>
      </c>
      <c r="D11329" s="18">
        <v>2022</v>
      </c>
      <c r="E11329" s="18" t="s">
        <v>0</v>
      </c>
      <c r="F11329" s="41">
        <v>1</v>
      </c>
      <c r="G11329" s="4">
        <v>9</v>
      </c>
      <c r="H11329" s="18">
        <v>24.22345</v>
      </c>
      <c r="I11329" s="90"/>
      <c r="J11329" s="90"/>
    </row>
    <row r="11330" spans="1:10" s="15" customFormat="1" ht="16.5" hidden="1" customHeight="1" outlineLevel="1" x14ac:dyDescent="0.25">
      <c r="A11330" s="18">
        <v>675</v>
      </c>
      <c r="B11330" s="4" t="s">
        <v>44</v>
      </c>
      <c r="C11330" s="38" t="s">
        <v>6243</v>
      </c>
      <c r="D11330" s="18">
        <v>2022</v>
      </c>
      <c r="E11330" s="18" t="s">
        <v>0</v>
      </c>
      <c r="F11330" s="41">
        <v>1</v>
      </c>
      <c r="G11330" s="4">
        <v>30</v>
      </c>
      <c r="H11330" s="18">
        <v>28.828060000000001</v>
      </c>
      <c r="I11330" s="90"/>
      <c r="J11330" s="90"/>
    </row>
    <row r="11331" spans="1:10" s="15" customFormat="1" ht="16.5" hidden="1" customHeight="1" outlineLevel="1" x14ac:dyDescent="0.25">
      <c r="A11331" s="18">
        <v>732</v>
      </c>
      <c r="B11331" s="4" t="s">
        <v>44</v>
      </c>
      <c r="C11331" s="38" t="s">
        <v>6244</v>
      </c>
      <c r="D11331" s="18">
        <v>2022</v>
      </c>
      <c r="E11331" s="18" t="s">
        <v>0</v>
      </c>
      <c r="F11331" s="41">
        <v>1</v>
      </c>
      <c r="G11331" s="4">
        <v>15</v>
      </c>
      <c r="H11331" s="18">
        <v>30.20091</v>
      </c>
      <c r="I11331" s="90"/>
      <c r="J11331" s="90"/>
    </row>
    <row r="11332" spans="1:10" s="15" customFormat="1" ht="16.5" hidden="1" customHeight="1" outlineLevel="1" x14ac:dyDescent="0.25">
      <c r="A11332" s="18">
        <v>492</v>
      </c>
      <c r="B11332" s="4" t="s">
        <v>44</v>
      </c>
      <c r="C11332" s="38" t="s">
        <v>2837</v>
      </c>
      <c r="D11332" s="18">
        <v>2022</v>
      </c>
      <c r="E11332" s="18" t="s">
        <v>0</v>
      </c>
      <c r="F11332" s="41">
        <v>1</v>
      </c>
      <c r="G11332" s="4">
        <v>15</v>
      </c>
      <c r="H11332" s="18">
        <v>29.81616</v>
      </c>
      <c r="I11332" s="90"/>
      <c r="J11332" s="90"/>
    </row>
    <row r="11333" spans="1:10" s="15" customFormat="1" ht="16.5" hidden="1" customHeight="1" outlineLevel="1" x14ac:dyDescent="0.25">
      <c r="A11333" s="18">
        <v>598</v>
      </c>
      <c r="B11333" s="4" t="s">
        <v>44</v>
      </c>
      <c r="C11333" s="38" t="s">
        <v>6245</v>
      </c>
      <c r="D11333" s="18">
        <v>2022</v>
      </c>
      <c r="E11333" s="18" t="s">
        <v>0</v>
      </c>
      <c r="F11333" s="41">
        <v>1</v>
      </c>
      <c r="G11333" s="4">
        <v>15</v>
      </c>
      <c r="H11333" s="18">
        <v>24.67071</v>
      </c>
      <c r="I11333" s="90"/>
      <c r="J11333" s="90"/>
    </row>
    <row r="11334" spans="1:10" s="15" customFormat="1" ht="16.5" hidden="1" customHeight="1" outlineLevel="1" x14ac:dyDescent="0.25">
      <c r="A11334" s="18">
        <v>512</v>
      </c>
      <c r="B11334" s="4" t="s">
        <v>44</v>
      </c>
      <c r="C11334" s="38" t="s">
        <v>2410</v>
      </c>
      <c r="D11334" s="18">
        <v>2022</v>
      </c>
      <c r="E11334" s="18" t="s">
        <v>0</v>
      </c>
      <c r="F11334" s="41">
        <v>1</v>
      </c>
      <c r="G11334" s="4">
        <v>15</v>
      </c>
      <c r="H11334" s="18">
        <v>34.508330000000001</v>
      </c>
      <c r="I11334" s="90"/>
      <c r="J11334" s="90"/>
    </row>
    <row r="11335" spans="1:10" s="15" customFormat="1" ht="16.5" hidden="1" customHeight="1" outlineLevel="1" x14ac:dyDescent="0.25">
      <c r="A11335" s="18">
        <v>478</v>
      </c>
      <c r="B11335" s="4" t="s">
        <v>44</v>
      </c>
      <c r="C11335" s="38" t="s">
        <v>2411</v>
      </c>
      <c r="D11335" s="18">
        <v>2022</v>
      </c>
      <c r="E11335" s="18" t="s">
        <v>0</v>
      </c>
      <c r="F11335" s="41">
        <v>1</v>
      </c>
      <c r="G11335" s="4">
        <v>15</v>
      </c>
      <c r="H11335" s="18">
        <v>25.0227</v>
      </c>
      <c r="I11335" s="90"/>
      <c r="J11335" s="90"/>
    </row>
    <row r="11336" spans="1:10" s="15" customFormat="1" ht="16.5" hidden="1" customHeight="1" outlineLevel="1" x14ac:dyDescent="0.25">
      <c r="A11336" s="18">
        <v>623</v>
      </c>
      <c r="B11336" s="4" t="s">
        <v>44</v>
      </c>
      <c r="C11336" s="38" t="s">
        <v>6246</v>
      </c>
      <c r="D11336" s="18">
        <v>2022</v>
      </c>
      <c r="E11336" s="18" t="s">
        <v>0</v>
      </c>
      <c r="F11336" s="41">
        <v>1</v>
      </c>
      <c r="G11336" s="4">
        <v>15</v>
      </c>
      <c r="H11336" s="18">
        <v>29.608540000000001</v>
      </c>
      <c r="I11336" s="90"/>
      <c r="J11336" s="90"/>
    </row>
    <row r="11337" spans="1:10" s="15" customFormat="1" ht="16.5" hidden="1" customHeight="1" outlineLevel="1" x14ac:dyDescent="0.25">
      <c r="A11337" s="18">
        <v>597</v>
      </c>
      <c r="B11337" s="4" t="s">
        <v>44</v>
      </c>
      <c r="C11337" s="38" t="s">
        <v>6247</v>
      </c>
      <c r="D11337" s="18">
        <v>2022</v>
      </c>
      <c r="E11337" s="18" t="s">
        <v>0</v>
      </c>
      <c r="F11337" s="41">
        <v>1</v>
      </c>
      <c r="G11337" s="4">
        <v>14</v>
      </c>
      <c r="H11337" s="18">
        <v>24.516069999999999</v>
      </c>
      <c r="I11337" s="90"/>
      <c r="J11337" s="90"/>
    </row>
    <row r="11338" spans="1:10" s="15" customFormat="1" ht="16.5" hidden="1" customHeight="1" outlineLevel="1" x14ac:dyDescent="0.25">
      <c r="A11338" s="18">
        <v>596</v>
      </c>
      <c r="B11338" s="4" t="s">
        <v>44</v>
      </c>
      <c r="C11338" s="38" t="s">
        <v>6248</v>
      </c>
      <c r="D11338" s="18">
        <v>2022</v>
      </c>
      <c r="E11338" s="18" t="s">
        <v>0</v>
      </c>
      <c r="F11338" s="41">
        <v>1</v>
      </c>
      <c r="G11338" s="4">
        <v>13.5</v>
      </c>
      <c r="H11338" s="18">
        <v>24.670670000000001</v>
      </c>
      <c r="I11338" s="90"/>
      <c r="J11338" s="90"/>
    </row>
    <row r="11339" spans="1:10" s="15" customFormat="1" ht="16.5" hidden="1" customHeight="1" outlineLevel="1" x14ac:dyDescent="0.25">
      <c r="A11339" s="18">
        <v>587</v>
      </c>
      <c r="B11339" s="4" t="s">
        <v>44</v>
      </c>
      <c r="C11339" s="38" t="s">
        <v>6249</v>
      </c>
      <c r="D11339" s="18">
        <v>2022</v>
      </c>
      <c r="E11339" s="18" t="s">
        <v>0</v>
      </c>
      <c r="F11339" s="41">
        <v>1</v>
      </c>
      <c r="G11339" s="4">
        <v>5</v>
      </c>
      <c r="H11339" s="18">
        <v>25.602039999999999</v>
      </c>
      <c r="I11339" s="90"/>
      <c r="J11339" s="90"/>
    </row>
    <row r="11340" spans="1:10" s="15" customFormat="1" ht="16.5" hidden="1" customHeight="1" outlineLevel="1" x14ac:dyDescent="0.25">
      <c r="A11340" s="18">
        <v>481</v>
      </c>
      <c r="B11340" s="4" t="s">
        <v>44</v>
      </c>
      <c r="C11340" s="38" t="s">
        <v>2412</v>
      </c>
      <c r="D11340" s="18">
        <v>2022</v>
      </c>
      <c r="E11340" s="18" t="s">
        <v>0</v>
      </c>
      <c r="F11340" s="41">
        <v>1</v>
      </c>
      <c r="G11340" s="4">
        <v>15</v>
      </c>
      <c r="H11340" s="18">
        <v>28.25591</v>
      </c>
      <c r="I11340" s="90"/>
      <c r="J11340" s="90"/>
    </row>
    <row r="11341" spans="1:10" s="15" customFormat="1" ht="16.5" hidden="1" customHeight="1" outlineLevel="1" x14ac:dyDescent="0.25">
      <c r="A11341" s="18">
        <v>641</v>
      </c>
      <c r="B11341" s="4" t="s">
        <v>44</v>
      </c>
      <c r="C11341" s="38" t="s">
        <v>6250</v>
      </c>
      <c r="D11341" s="18">
        <v>2022</v>
      </c>
      <c r="E11341" s="18" t="s">
        <v>0</v>
      </c>
      <c r="F11341" s="41">
        <v>1</v>
      </c>
      <c r="G11341" s="4">
        <v>15</v>
      </c>
      <c r="H11341" s="18">
        <v>31.000139999999998</v>
      </c>
      <c r="I11341" s="90"/>
      <c r="J11341" s="90"/>
    </row>
    <row r="11342" spans="1:10" s="15" customFormat="1" ht="16.5" hidden="1" customHeight="1" outlineLevel="1" x14ac:dyDescent="0.25">
      <c r="A11342" s="18">
        <v>550</v>
      </c>
      <c r="B11342" s="4" t="s">
        <v>44</v>
      </c>
      <c r="C11342" s="38" t="s">
        <v>6251</v>
      </c>
      <c r="D11342" s="18">
        <v>2022</v>
      </c>
      <c r="E11342" s="18" t="s">
        <v>0</v>
      </c>
      <c r="F11342" s="41">
        <v>1</v>
      </c>
      <c r="G11342" s="4">
        <v>10</v>
      </c>
      <c r="H11342" s="18">
        <v>76.880619999999993</v>
      </c>
      <c r="I11342" s="90"/>
      <c r="J11342" s="90"/>
    </row>
    <row r="11343" spans="1:10" s="15" customFormat="1" ht="16.5" hidden="1" customHeight="1" outlineLevel="1" x14ac:dyDescent="0.25">
      <c r="A11343" s="18">
        <v>551</v>
      </c>
      <c r="B11343" s="4" t="s">
        <v>44</v>
      </c>
      <c r="C11343" s="38" t="s">
        <v>2414</v>
      </c>
      <c r="D11343" s="18">
        <v>2022</v>
      </c>
      <c r="E11343" s="18" t="s">
        <v>0</v>
      </c>
      <c r="F11343" s="41">
        <v>1</v>
      </c>
      <c r="G11343" s="4">
        <v>15</v>
      </c>
      <c r="H11343" s="18">
        <v>70.327160000000006</v>
      </c>
      <c r="I11343" s="90"/>
      <c r="J11343" s="90"/>
    </row>
    <row r="11344" spans="1:10" s="15" customFormat="1" ht="16.5" hidden="1" customHeight="1" outlineLevel="1" x14ac:dyDescent="0.25">
      <c r="A11344" s="18">
        <v>552</v>
      </c>
      <c r="B11344" s="4" t="s">
        <v>44</v>
      </c>
      <c r="C11344" s="38" t="s">
        <v>2415</v>
      </c>
      <c r="D11344" s="18">
        <v>2022</v>
      </c>
      <c r="E11344" s="18" t="s">
        <v>0</v>
      </c>
      <c r="F11344" s="41">
        <v>1</v>
      </c>
      <c r="G11344" s="4">
        <v>9</v>
      </c>
      <c r="H11344" s="18">
        <v>75.851349999999996</v>
      </c>
      <c r="I11344" s="90"/>
      <c r="J11344" s="90"/>
    </row>
    <row r="11345" spans="1:10" s="15" customFormat="1" ht="16.5" hidden="1" customHeight="1" outlineLevel="1" x14ac:dyDescent="0.25">
      <c r="A11345" s="18">
        <v>453</v>
      </c>
      <c r="B11345" s="4" t="s">
        <v>44</v>
      </c>
      <c r="C11345" s="38" t="s">
        <v>2838</v>
      </c>
      <c r="D11345" s="18">
        <v>2022</v>
      </c>
      <c r="E11345" s="18" t="s">
        <v>0</v>
      </c>
      <c r="F11345" s="41">
        <v>2</v>
      </c>
      <c r="G11345" s="4">
        <v>15</v>
      </c>
      <c r="H11345" s="18">
        <v>141.04186000000001</v>
      </c>
      <c r="I11345" s="90"/>
      <c r="J11345" s="90"/>
    </row>
    <row r="11346" spans="1:10" s="15" customFormat="1" ht="16.5" hidden="1" customHeight="1" outlineLevel="1" x14ac:dyDescent="0.25">
      <c r="A11346" s="18">
        <v>698</v>
      </c>
      <c r="B11346" s="4" t="s">
        <v>44</v>
      </c>
      <c r="C11346" s="38" t="s">
        <v>6252</v>
      </c>
      <c r="D11346" s="18">
        <v>2022</v>
      </c>
      <c r="E11346" s="18" t="s">
        <v>0</v>
      </c>
      <c r="F11346" s="41">
        <v>1</v>
      </c>
      <c r="G11346" s="4">
        <v>7</v>
      </c>
      <c r="H11346" s="18">
        <v>23.252970000000001</v>
      </c>
      <c r="I11346" s="90"/>
      <c r="J11346" s="90"/>
    </row>
    <row r="11347" spans="1:10" s="15" customFormat="1" ht="16.5" hidden="1" customHeight="1" outlineLevel="1" x14ac:dyDescent="0.25">
      <c r="A11347" s="18">
        <v>762</v>
      </c>
      <c r="B11347" s="4" t="s">
        <v>44</v>
      </c>
      <c r="C11347" s="38" t="s">
        <v>6253</v>
      </c>
      <c r="D11347" s="18">
        <v>2022</v>
      </c>
      <c r="E11347" s="18" t="s">
        <v>0</v>
      </c>
      <c r="F11347" s="41">
        <v>1</v>
      </c>
      <c r="G11347" s="4">
        <v>15</v>
      </c>
      <c r="H11347" s="18">
        <v>26.932680000000001</v>
      </c>
      <c r="I11347" s="90"/>
      <c r="J11347" s="90"/>
    </row>
    <row r="11348" spans="1:10" s="15" customFormat="1" ht="16.5" hidden="1" customHeight="1" outlineLevel="1" x14ac:dyDescent="0.25">
      <c r="A11348" s="18">
        <v>701</v>
      </c>
      <c r="B11348" s="4" t="s">
        <v>44</v>
      </c>
      <c r="C11348" s="38" t="s">
        <v>6254</v>
      </c>
      <c r="D11348" s="18">
        <v>2022</v>
      </c>
      <c r="E11348" s="18" t="s">
        <v>0</v>
      </c>
      <c r="F11348" s="41">
        <v>1</v>
      </c>
      <c r="G11348" s="4">
        <v>15</v>
      </c>
      <c r="H11348" s="18">
        <v>23.426390000000001</v>
      </c>
      <c r="I11348" s="90"/>
      <c r="J11348" s="90"/>
    </row>
    <row r="11349" spans="1:10" s="15" customFormat="1" ht="16.5" hidden="1" customHeight="1" outlineLevel="1" x14ac:dyDescent="0.25">
      <c r="A11349" s="18">
        <v>786</v>
      </c>
      <c r="B11349" s="4" t="s">
        <v>44</v>
      </c>
      <c r="C11349" s="38" t="s">
        <v>6255</v>
      </c>
      <c r="D11349" s="18">
        <v>2022</v>
      </c>
      <c r="E11349" s="18" t="s">
        <v>0</v>
      </c>
      <c r="F11349" s="41">
        <v>1</v>
      </c>
      <c r="G11349" s="4">
        <v>15</v>
      </c>
      <c r="H11349" s="18">
        <v>25.246690000000001</v>
      </c>
      <c r="I11349" s="90"/>
      <c r="J11349" s="90"/>
    </row>
    <row r="11350" spans="1:10" s="15" customFormat="1" ht="16.5" hidden="1" customHeight="1" outlineLevel="1" x14ac:dyDescent="0.25">
      <c r="A11350" s="18">
        <v>618</v>
      </c>
      <c r="B11350" s="4" t="s">
        <v>44</v>
      </c>
      <c r="C11350" s="38" t="s">
        <v>6256</v>
      </c>
      <c r="D11350" s="18">
        <v>2022</v>
      </c>
      <c r="E11350" s="18" t="s">
        <v>0</v>
      </c>
      <c r="F11350" s="41">
        <v>1</v>
      </c>
      <c r="G11350" s="4">
        <v>12.5</v>
      </c>
      <c r="H11350" s="18">
        <v>27.052389999999999</v>
      </c>
      <c r="I11350" s="90"/>
      <c r="J11350" s="90"/>
    </row>
    <row r="11351" spans="1:10" s="15" customFormat="1" ht="16.5" hidden="1" customHeight="1" outlineLevel="1" x14ac:dyDescent="0.25">
      <c r="A11351" s="18">
        <v>744</v>
      </c>
      <c r="B11351" s="4" t="s">
        <v>44</v>
      </c>
      <c r="C11351" s="38" t="s">
        <v>6257</v>
      </c>
      <c r="D11351" s="18">
        <v>2022</v>
      </c>
      <c r="E11351" s="18" t="s">
        <v>0</v>
      </c>
      <c r="F11351" s="41">
        <v>1</v>
      </c>
      <c r="G11351" s="4">
        <v>15</v>
      </c>
      <c r="H11351" s="18">
        <v>24.990290000000002</v>
      </c>
      <c r="I11351" s="90"/>
      <c r="J11351" s="90"/>
    </row>
    <row r="11352" spans="1:10" s="15" customFormat="1" ht="16.5" hidden="1" customHeight="1" outlineLevel="1" x14ac:dyDescent="0.25">
      <c r="A11352" s="18">
        <v>745</v>
      </c>
      <c r="B11352" s="4" t="s">
        <v>44</v>
      </c>
      <c r="C11352" s="38" t="s">
        <v>6258</v>
      </c>
      <c r="D11352" s="18">
        <v>2022</v>
      </c>
      <c r="E11352" s="18" t="s">
        <v>0</v>
      </c>
      <c r="F11352" s="41">
        <v>1</v>
      </c>
      <c r="G11352" s="4">
        <v>5</v>
      </c>
      <c r="H11352" s="18">
        <v>26.65814</v>
      </c>
      <c r="I11352" s="90"/>
      <c r="J11352" s="90"/>
    </row>
    <row r="11353" spans="1:10" s="15" customFormat="1" ht="16.5" hidden="1" customHeight="1" outlineLevel="1" x14ac:dyDescent="0.25">
      <c r="A11353" s="18">
        <v>714</v>
      </c>
      <c r="B11353" s="4" t="s">
        <v>44</v>
      </c>
      <c r="C11353" s="38" t="s">
        <v>6259</v>
      </c>
      <c r="D11353" s="18">
        <v>2022</v>
      </c>
      <c r="E11353" s="18" t="s">
        <v>0</v>
      </c>
      <c r="F11353" s="41">
        <v>1</v>
      </c>
      <c r="G11353" s="4">
        <v>13</v>
      </c>
      <c r="H11353" s="18">
        <v>25.936610000000002</v>
      </c>
      <c r="I11353" s="90"/>
      <c r="J11353" s="90"/>
    </row>
    <row r="11354" spans="1:10" s="15" customFormat="1" ht="16.5" hidden="1" customHeight="1" outlineLevel="1" x14ac:dyDescent="0.25">
      <c r="A11354" s="18">
        <v>746</v>
      </c>
      <c r="B11354" s="4" t="s">
        <v>44</v>
      </c>
      <c r="C11354" s="38" t="s">
        <v>6260</v>
      </c>
      <c r="D11354" s="18">
        <v>2022</v>
      </c>
      <c r="E11354" s="18" t="s">
        <v>0</v>
      </c>
      <c r="F11354" s="41">
        <v>1</v>
      </c>
      <c r="G11354" s="4">
        <v>9</v>
      </c>
      <c r="H11354" s="18">
        <v>25.01398</v>
      </c>
      <c r="I11354" s="90"/>
      <c r="J11354" s="90"/>
    </row>
    <row r="11355" spans="1:10" s="15" customFormat="1" ht="16.5" hidden="1" customHeight="1" outlineLevel="1" x14ac:dyDescent="0.25">
      <c r="A11355" s="18">
        <v>661</v>
      </c>
      <c r="B11355" s="4" t="s">
        <v>44</v>
      </c>
      <c r="C11355" s="38" t="s">
        <v>6261</v>
      </c>
      <c r="D11355" s="18">
        <v>2022</v>
      </c>
      <c r="E11355" s="18" t="s">
        <v>0</v>
      </c>
      <c r="F11355" s="41">
        <v>1</v>
      </c>
      <c r="G11355" s="4">
        <v>15</v>
      </c>
      <c r="H11355" s="18">
        <v>24.526009999999999</v>
      </c>
      <c r="I11355" s="90"/>
      <c r="J11355" s="90"/>
    </row>
    <row r="11356" spans="1:10" s="15" customFormat="1" ht="16.5" hidden="1" customHeight="1" outlineLevel="1" x14ac:dyDescent="0.25">
      <c r="A11356" s="18">
        <v>660</v>
      </c>
      <c r="B11356" s="4" t="s">
        <v>44</v>
      </c>
      <c r="C11356" s="38" t="s">
        <v>6262</v>
      </c>
      <c r="D11356" s="18">
        <v>2022</v>
      </c>
      <c r="E11356" s="18" t="s">
        <v>0</v>
      </c>
      <c r="F11356" s="41">
        <v>1</v>
      </c>
      <c r="G11356" s="4">
        <v>9</v>
      </c>
      <c r="H11356" s="18">
        <v>24.699020000000001</v>
      </c>
      <c r="I11356" s="90"/>
      <c r="J11356" s="90"/>
    </row>
    <row r="11357" spans="1:10" s="15" customFormat="1" ht="16.5" hidden="1" customHeight="1" outlineLevel="1" x14ac:dyDescent="0.25">
      <c r="A11357" s="18">
        <v>720</v>
      </c>
      <c r="B11357" s="4" t="s">
        <v>44</v>
      </c>
      <c r="C11357" s="38" t="s">
        <v>6263</v>
      </c>
      <c r="D11357" s="18">
        <v>2022</v>
      </c>
      <c r="E11357" s="18" t="s">
        <v>0</v>
      </c>
      <c r="F11357" s="41">
        <v>1</v>
      </c>
      <c r="G11357" s="4">
        <v>15</v>
      </c>
      <c r="H11357" s="18">
        <v>25.12255</v>
      </c>
      <c r="I11357" s="90"/>
      <c r="J11357" s="90"/>
    </row>
    <row r="11358" spans="1:10" s="15" customFormat="1" ht="16.5" hidden="1" customHeight="1" outlineLevel="1" x14ac:dyDescent="0.25">
      <c r="A11358" s="18">
        <v>801</v>
      </c>
      <c r="B11358" s="4" t="s">
        <v>44</v>
      </c>
      <c r="C11358" s="38" t="s">
        <v>6264</v>
      </c>
      <c r="D11358" s="18">
        <v>2022</v>
      </c>
      <c r="E11358" s="18" t="s">
        <v>0</v>
      </c>
      <c r="F11358" s="41">
        <v>1</v>
      </c>
      <c r="G11358" s="4">
        <v>14</v>
      </c>
      <c r="H11358" s="18">
        <v>25.1206</v>
      </c>
      <c r="I11358" s="90"/>
      <c r="J11358" s="90"/>
    </row>
    <row r="11359" spans="1:10" s="15" customFormat="1" ht="16.5" hidden="1" customHeight="1" outlineLevel="1" x14ac:dyDescent="0.25">
      <c r="A11359" s="18">
        <v>686</v>
      </c>
      <c r="B11359" s="4" t="s">
        <v>44</v>
      </c>
      <c r="C11359" s="38" t="s">
        <v>6265</v>
      </c>
      <c r="D11359" s="18">
        <v>2022</v>
      </c>
      <c r="E11359" s="18" t="s">
        <v>0</v>
      </c>
      <c r="F11359" s="41">
        <v>1</v>
      </c>
      <c r="G11359" s="4">
        <v>14</v>
      </c>
      <c r="H11359" s="18">
        <v>24.84844</v>
      </c>
      <c r="I11359" s="90"/>
      <c r="J11359" s="90"/>
    </row>
    <row r="11360" spans="1:10" s="15" customFormat="1" ht="16.5" hidden="1" customHeight="1" outlineLevel="1" x14ac:dyDescent="0.25">
      <c r="A11360" s="18">
        <v>665</v>
      </c>
      <c r="B11360" s="4" t="s">
        <v>44</v>
      </c>
      <c r="C11360" s="38" t="s">
        <v>6266</v>
      </c>
      <c r="D11360" s="18">
        <v>2022</v>
      </c>
      <c r="E11360" s="18" t="s">
        <v>0</v>
      </c>
      <c r="F11360" s="41">
        <v>1</v>
      </c>
      <c r="G11360" s="4">
        <v>12</v>
      </c>
      <c r="H11360" s="18">
        <v>24.699000000000002</v>
      </c>
      <c r="I11360" s="90"/>
      <c r="J11360" s="90"/>
    </row>
    <row r="11361" spans="1:10" s="15" customFormat="1" ht="16.5" hidden="1" customHeight="1" outlineLevel="1" x14ac:dyDescent="0.25">
      <c r="A11361" s="18">
        <v>775</v>
      </c>
      <c r="B11361" s="4" t="s">
        <v>44</v>
      </c>
      <c r="C11361" s="38" t="s">
        <v>6267</v>
      </c>
      <c r="D11361" s="18">
        <v>2022</v>
      </c>
      <c r="E11361" s="18" t="s">
        <v>0</v>
      </c>
      <c r="F11361" s="41">
        <v>1</v>
      </c>
      <c r="G11361" s="4">
        <v>12</v>
      </c>
      <c r="H11361" s="18">
        <v>24.981729999999999</v>
      </c>
      <c r="I11361" s="90"/>
      <c r="J11361" s="90"/>
    </row>
    <row r="11362" spans="1:10" s="15" customFormat="1" ht="16.5" hidden="1" customHeight="1" outlineLevel="1" x14ac:dyDescent="0.25">
      <c r="A11362" s="18">
        <v>717</v>
      </c>
      <c r="B11362" s="4" t="s">
        <v>44</v>
      </c>
      <c r="C11362" s="38" t="s">
        <v>6268</v>
      </c>
      <c r="D11362" s="18">
        <v>2022</v>
      </c>
      <c r="E11362" s="18" t="s">
        <v>0</v>
      </c>
      <c r="F11362" s="41">
        <v>1</v>
      </c>
      <c r="G11362" s="4">
        <v>15</v>
      </c>
      <c r="H11362" s="18">
        <v>26.283370000000001</v>
      </c>
      <c r="I11362" s="90"/>
      <c r="J11362" s="90"/>
    </row>
    <row r="11363" spans="1:10" s="15" customFormat="1" ht="16.5" hidden="1" customHeight="1" outlineLevel="1" x14ac:dyDescent="0.25">
      <c r="A11363" s="18">
        <v>615</v>
      </c>
      <c r="B11363" s="4" t="s">
        <v>44</v>
      </c>
      <c r="C11363" s="38" t="s">
        <v>6269</v>
      </c>
      <c r="D11363" s="18">
        <v>2022</v>
      </c>
      <c r="E11363" s="18" t="s">
        <v>0</v>
      </c>
      <c r="F11363" s="41">
        <v>1</v>
      </c>
      <c r="G11363" s="4">
        <v>9</v>
      </c>
      <c r="H11363" s="18">
        <v>27.040109999999999</v>
      </c>
      <c r="I11363" s="90"/>
      <c r="J11363" s="90"/>
    </row>
    <row r="11364" spans="1:10" s="15" customFormat="1" ht="16.5" hidden="1" customHeight="1" outlineLevel="1" x14ac:dyDescent="0.25">
      <c r="A11364" s="18">
        <v>690</v>
      </c>
      <c r="B11364" s="4" t="s">
        <v>44</v>
      </c>
      <c r="C11364" s="38" t="s">
        <v>6270</v>
      </c>
      <c r="D11364" s="18">
        <v>2022</v>
      </c>
      <c r="E11364" s="18" t="s">
        <v>0</v>
      </c>
      <c r="F11364" s="41">
        <v>1</v>
      </c>
      <c r="G11364" s="4">
        <v>15</v>
      </c>
      <c r="H11364" s="18">
        <v>20.040389999999999</v>
      </c>
      <c r="I11364" s="90"/>
      <c r="J11364" s="90"/>
    </row>
    <row r="11365" spans="1:10" s="15" customFormat="1" ht="16.5" hidden="1" customHeight="1" outlineLevel="1" x14ac:dyDescent="0.25">
      <c r="A11365" s="18">
        <v>658</v>
      </c>
      <c r="B11365" s="4" t="s">
        <v>44</v>
      </c>
      <c r="C11365" s="38" t="s">
        <v>6271</v>
      </c>
      <c r="D11365" s="18">
        <v>2022</v>
      </c>
      <c r="E11365" s="18" t="s">
        <v>0</v>
      </c>
      <c r="F11365" s="41">
        <v>1</v>
      </c>
      <c r="G11365" s="4">
        <v>15</v>
      </c>
      <c r="H11365" s="18">
        <v>23.113240000000001</v>
      </c>
      <c r="I11365" s="90"/>
      <c r="J11365" s="90"/>
    </row>
    <row r="11366" spans="1:10" s="15" customFormat="1" ht="16.5" hidden="1" customHeight="1" outlineLevel="1" x14ac:dyDescent="0.25">
      <c r="A11366" s="18">
        <v>685</v>
      </c>
      <c r="B11366" s="4" t="s">
        <v>44</v>
      </c>
      <c r="C11366" s="38" t="s">
        <v>6272</v>
      </c>
      <c r="D11366" s="18">
        <v>2022</v>
      </c>
      <c r="E11366" s="18" t="s">
        <v>0</v>
      </c>
      <c r="F11366" s="41">
        <v>1</v>
      </c>
      <c r="G11366" s="4">
        <v>9</v>
      </c>
      <c r="H11366" s="18">
        <v>23.44875</v>
      </c>
      <c r="I11366" s="90"/>
      <c r="J11366" s="90"/>
    </row>
    <row r="11367" spans="1:10" s="15" customFormat="1" ht="16.5" hidden="1" customHeight="1" outlineLevel="1" x14ac:dyDescent="0.25">
      <c r="A11367" s="18">
        <v>820</v>
      </c>
      <c r="B11367" s="4" t="s">
        <v>44</v>
      </c>
      <c r="C11367" s="38" t="s">
        <v>6273</v>
      </c>
      <c r="D11367" s="18">
        <v>2022</v>
      </c>
      <c r="E11367" s="18" t="s">
        <v>0</v>
      </c>
      <c r="F11367" s="41">
        <v>1</v>
      </c>
      <c r="G11367" s="4">
        <v>15</v>
      </c>
      <c r="H11367" s="18">
        <v>24.889559999999999</v>
      </c>
      <c r="I11367" s="90"/>
      <c r="J11367" s="90"/>
    </row>
    <row r="11368" spans="1:10" s="15" customFormat="1" ht="16.5" hidden="1" customHeight="1" outlineLevel="1" x14ac:dyDescent="0.25">
      <c r="A11368" s="18">
        <v>688</v>
      </c>
      <c r="B11368" s="4" t="s">
        <v>44</v>
      </c>
      <c r="C11368" s="38" t="s">
        <v>6274</v>
      </c>
      <c r="D11368" s="18">
        <v>2022</v>
      </c>
      <c r="E11368" s="18" t="s">
        <v>0</v>
      </c>
      <c r="F11368" s="41">
        <v>1</v>
      </c>
      <c r="G11368" s="4">
        <v>15</v>
      </c>
      <c r="H11368" s="18">
        <v>23.11318</v>
      </c>
      <c r="I11368" s="90"/>
      <c r="J11368" s="90"/>
    </row>
    <row r="11369" spans="1:10" s="15" customFormat="1" ht="16.5" hidden="1" customHeight="1" outlineLevel="1" x14ac:dyDescent="0.25">
      <c r="A11369" s="18">
        <v>691</v>
      </c>
      <c r="B11369" s="4" t="s">
        <v>44</v>
      </c>
      <c r="C11369" s="38" t="s">
        <v>6275</v>
      </c>
      <c r="D11369" s="18">
        <v>2022</v>
      </c>
      <c r="E11369" s="18" t="s">
        <v>0</v>
      </c>
      <c r="F11369" s="41">
        <v>1</v>
      </c>
      <c r="G11369" s="4">
        <v>13</v>
      </c>
      <c r="H11369" s="18">
        <v>23.113240000000001</v>
      </c>
      <c r="I11369" s="90"/>
      <c r="J11369" s="90"/>
    </row>
    <row r="11370" spans="1:10" s="15" customFormat="1" ht="16.5" hidden="1" customHeight="1" outlineLevel="1" x14ac:dyDescent="0.25">
      <c r="A11370" s="18">
        <v>677</v>
      </c>
      <c r="B11370" s="4" t="s">
        <v>44</v>
      </c>
      <c r="C11370" s="38" t="s">
        <v>6276</v>
      </c>
      <c r="D11370" s="18">
        <v>2022</v>
      </c>
      <c r="E11370" s="18" t="s">
        <v>0</v>
      </c>
      <c r="F11370" s="41">
        <v>1</v>
      </c>
      <c r="G11370" s="4">
        <v>15</v>
      </c>
      <c r="H11370" s="18">
        <v>23.113240000000001</v>
      </c>
      <c r="I11370" s="90"/>
      <c r="J11370" s="90"/>
    </row>
    <row r="11371" spans="1:10" s="15" customFormat="1" ht="16.5" hidden="1" customHeight="1" outlineLevel="1" x14ac:dyDescent="0.25">
      <c r="A11371" s="18">
        <v>693</v>
      </c>
      <c r="B11371" s="4" t="s">
        <v>44</v>
      </c>
      <c r="C11371" s="38" t="s">
        <v>6277</v>
      </c>
      <c r="D11371" s="18">
        <v>2022</v>
      </c>
      <c r="E11371" s="18" t="s">
        <v>0</v>
      </c>
      <c r="F11371" s="41">
        <v>1</v>
      </c>
      <c r="G11371" s="4">
        <v>15</v>
      </c>
      <c r="H11371" s="18">
        <v>23.113240000000001</v>
      </c>
      <c r="I11371" s="90"/>
      <c r="J11371" s="90"/>
    </row>
    <row r="11372" spans="1:10" s="15" customFormat="1" ht="16.5" hidden="1" customHeight="1" outlineLevel="1" x14ac:dyDescent="0.25">
      <c r="A11372" s="18">
        <v>671</v>
      </c>
      <c r="B11372" s="4" t="s">
        <v>44</v>
      </c>
      <c r="C11372" s="38" t="s">
        <v>6278</v>
      </c>
      <c r="D11372" s="18">
        <v>2022</v>
      </c>
      <c r="E11372" s="18" t="s">
        <v>0</v>
      </c>
      <c r="F11372" s="41">
        <v>1</v>
      </c>
      <c r="G11372" s="4">
        <v>15</v>
      </c>
      <c r="H11372" s="18">
        <v>23.113219999999998</v>
      </c>
      <c r="I11372" s="90"/>
      <c r="J11372" s="90"/>
    </row>
    <row r="11373" spans="1:10" s="15" customFormat="1" ht="16.5" hidden="1" customHeight="1" outlineLevel="1" x14ac:dyDescent="0.25">
      <c r="A11373" s="18">
        <v>635</v>
      </c>
      <c r="B11373" s="4" t="s">
        <v>44</v>
      </c>
      <c r="C11373" s="38" t="s">
        <v>6279</v>
      </c>
      <c r="D11373" s="18">
        <v>2022</v>
      </c>
      <c r="E11373" s="18" t="s">
        <v>0</v>
      </c>
      <c r="F11373" s="41">
        <v>1</v>
      </c>
      <c r="G11373" s="4">
        <v>9</v>
      </c>
      <c r="H11373" s="18">
        <v>27.005990000000001</v>
      </c>
      <c r="I11373" s="90"/>
      <c r="J11373" s="90"/>
    </row>
    <row r="11374" spans="1:10" s="15" customFormat="1" ht="16.5" hidden="1" customHeight="1" outlineLevel="1" x14ac:dyDescent="0.25">
      <c r="A11374" s="18">
        <v>692</v>
      </c>
      <c r="B11374" s="4" t="s">
        <v>44</v>
      </c>
      <c r="C11374" s="38" t="s">
        <v>6280</v>
      </c>
      <c r="D11374" s="18">
        <v>2022</v>
      </c>
      <c r="E11374" s="18" t="s">
        <v>0</v>
      </c>
      <c r="F11374" s="41">
        <v>1</v>
      </c>
      <c r="G11374" s="4">
        <v>15</v>
      </c>
      <c r="H11374" s="18">
        <v>23.113199999999999</v>
      </c>
      <c r="I11374" s="90"/>
      <c r="J11374" s="90"/>
    </row>
    <row r="11375" spans="1:10" s="15" customFormat="1" ht="16.5" hidden="1" customHeight="1" outlineLevel="1" x14ac:dyDescent="0.25">
      <c r="A11375" s="18">
        <v>636</v>
      </c>
      <c r="B11375" s="4" t="s">
        <v>44</v>
      </c>
      <c r="C11375" s="38" t="s">
        <v>6281</v>
      </c>
      <c r="D11375" s="18">
        <v>2022</v>
      </c>
      <c r="E11375" s="18" t="s">
        <v>0</v>
      </c>
      <c r="F11375" s="41">
        <v>1</v>
      </c>
      <c r="G11375" s="4">
        <v>15</v>
      </c>
      <c r="H11375" s="18">
        <v>27.45336</v>
      </c>
      <c r="I11375" s="90"/>
      <c r="J11375" s="90"/>
    </row>
    <row r="11376" spans="1:10" s="15" customFormat="1" ht="16.5" hidden="1" customHeight="1" outlineLevel="1" x14ac:dyDescent="0.25">
      <c r="A11376" s="18">
        <v>594</v>
      </c>
      <c r="B11376" s="4" t="s">
        <v>44</v>
      </c>
      <c r="C11376" s="38" t="s">
        <v>6282</v>
      </c>
      <c r="D11376" s="18">
        <v>2022</v>
      </c>
      <c r="E11376" s="18" t="s">
        <v>0</v>
      </c>
      <c r="F11376" s="41">
        <v>1</v>
      </c>
      <c r="G11376" s="4">
        <v>15</v>
      </c>
      <c r="H11376" s="18">
        <v>25.655619999999999</v>
      </c>
      <c r="I11376" s="90"/>
      <c r="J11376" s="90"/>
    </row>
    <row r="11377" spans="1:10" s="15" customFormat="1" ht="16.5" hidden="1" customHeight="1" outlineLevel="1" x14ac:dyDescent="0.25">
      <c r="A11377" s="18">
        <v>687</v>
      </c>
      <c r="B11377" s="4" t="s">
        <v>44</v>
      </c>
      <c r="C11377" s="38" t="s">
        <v>6283</v>
      </c>
      <c r="D11377" s="18">
        <v>2022</v>
      </c>
      <c r="E11377" s="18" t="s">
        <v>0</v>
      </c>
      <c r="F11377" s="41">
        <v>1</v>
      </c>
      <c r="G11377" s="4">
        <v>9</v>
      </c>
      <c r="H11377" s="18">
        <v>24.231619999999999</v>
      </c>
      <c r="I11377" s="90"/>
      <c r="J11377" s="90"/>
    </row>
    <row r="11378" spans="1:10" s="15" customFormat="1" ht="16.5" hidden="1" customHeight="1" outlineLevel="1" x14ac:dyDescent="0.25">
      <c r="A11378" s="18">
        <v>626</v>
      </c>
      <c r="B11378" s="4" t="s">
        <v>44</v>
      </c>
      <c r="C11378" s="38" t="s">
        <v>6284</v>
      </c>
      <c r="D11378" s="18">
        <v>2022</v>
      </c>
      <c r="E11378" s="18" t="s">
        <v>0</v>
      </c>
      <c r="F11378" s="41">
        <v>1</v>
      </c>
      <c r="G11378" s="4">
        <v>15</v>
      </c>
      <c r="H11378" s="18">
        <v>27.32161</v>
      </c>
      <c r="I11378" s="90"/>
      <c r="J11378" s="90"/>
    </row>
    <row r="11379" spans="1:10" s="15" customFormat="1" ht="16.5" hidden="1" customHeight="1" outlineLevel="1" x14ac:dyDescent="0.25">
      <c r="A11379" s="18">
        <v>676</v>
      </c>
      <c r="B11379" s="4" t="s">
        <v>44</v>
      </c>
      <c r="C11379" s="38" t="s">
        <v>6285</v>
      </c>
      <c r="D11379" s="18">
        <v>2022</v>
      </c>
      <c r="E11379" s="18" t="s">
        <v>0</v>
      </c>
      <c r="F11379" s="41">
        <v>1</v>
      </c>
      <c r="G11379" s="4">
        <v>15</v>
      </c>
      <c r="H11379" s="18">
        <v>23.113240000000001</v>
      </c>
      <c r="I11379" s="90"/>
      <c r="J11379" s="90"/>
    </row>
    <row r="11380" spans="1:10" s="15" customFormat="1" ht="16.5" hidden="1" customHeight="1" outlineLevel="1" x14ac:dyDescent="0.25">
      <c r="A11380" s="18">
        <v>659</v>
      </c>
      <c r="B11380" s="4" t="s">
        <v>44</v>
      </c>
      <c r="C11380" s="38" t="s">
        <v>6286</v>
      </c>
      <c r="D11380" s="18">
        <v>2022</v>
      </c>
      <c r="E11380" s="18" t="s">
        <v>0</v>
      </c>
      <c r="F11380" s="41">
        <v>1</v>
      </c>
      <c r="G11380" s="4">
        <v>9</v>
      </c>
      <c r="H11380" s="18">
        <v>23.44875</v>
      </c>
      <c r="I11380" s="90"/>
      <c r="J11380" s="90"/>
    </row>
    <row r="11381" spans="1:10" s="15" customFormat="1" ht="16.5" hidden="1" customHeight="1" outlineLevel="1" x14ac:dyDescent="0.25">
      <c r="A11381" s="18">
        <v>652</v>
      </c>
      <c r="B11381" s="4" t="s">
        <v>44</v>
      </c>
      <c r="C11381" s="38" t="s">
        <v>6287</v>
      </c>
      <c r="D11381" s="18">
        <v>2022</v>
      </c>
      <c r="E11381" s="18" t="s">
        <v>0</v>
      </c>
      <c r="F11381" s="41">
        <v>1</v>
      </c>
      <c r="G11381" s="4">
        <v>15</v>
      </c>
      <c r="H11381" s="18">
        <v>23.11317</v>
      </c>
      <c r="I11381" s="90"/>
      <c r="J11381" s="90"/>
    </row>
    <row r="11382" spans="1:10" s="15" customFormat="1" ht="16.5" hidden="1" customHeight="1" outlineLevel="1" x14ac:dyDescent="0.25">
      <c r="A11382" s="18">
        <v>631</v>
      </c>
      <c r="B11382" s="4" t="s">
        <v>44</v>
      </c>
      <c r="C11382" s="38" t="s">
        <v>6288</v>
      </c>
      <c r="D11382" s="18">
        <v>2022</v>
      </c>
      <c r="E11382" s="18" t="s">
        <v>0</v>
      </c>
      <c r="F11382" s="41">
        <v>1</v>
      </c>
      <c r="G11382" s="4">
        <v>5</v>
      </c>
      <c r="H11382" s="18">
        <v>27.273060000000001</v>
      </c>
      <c r="I11382" s="90"/>
      <c r="J11382" s="90"/>
    </row>
    <row r="11383" spans="1:10" s="15" customFormat="1" ht="16.5" hidden="1" customHeight="1" outlineLevel="1" x14ac:dyDescent="0.25">
      <c r="A11383" s="18">
        <v>644</v>
      </c>
      <c r="B11383" s="4" t="s">
        <v>44</v>
      </c>
      <c r="C11383" s="38" t="s">
        <v>6289</v>
      </c>
      <c r="D11383" s="18">
        <v>2022</v>
      </c>
      <c r="E11383" s="18" t="s">
        <v>0</v>
      </c>
      <c r="F11383" s="41">
        <v>1</v>
      </c>
      <c r="G11383" s="4">
        <v>15</v>
      </c>
      <c r="H11383" s="18">
        <v>27.128409999999999</v>
      </c>
      <c r="I11383" s="90"/>
      <c r="J11383" s="90"/>
    </row>
    <row r="11384" spans="1:10" s="15" customFormat="1" ht="16.5" hidden="1" customHeight="1" outlineLevel="1" x14ac:dyDescent="0.25">
      <c r="A11384" s="18">
        <v>632</v>
      </c>
      <c r="B11384" s="4" t="s">
        <v>44</v>
      </c>
      <c r="C11384" s="38" t="s">
        <v>6290</v>
      </c>
      <c r="D11384" s="18">
        <v>2022</v>
      </c>
      <c r="E11384" s="18" t="s">
        <v>0</v>
      </c>
      <c r="F11384" s="41">
        <v>1</v>
      </c>
      <c r="G11384" s="4">
        <v>9</v>
      </c>
      <c r="H11384" s="18">
        <v>26.937529999999999</v>
      </c>
      <c r="I11384" s="90"/>
      <c r="J11384" s="90"/>
    </row>
    <row r="11385" spans="1:10" s="15" customFormat="1" ht="16.5" hidden="1" customHeight="1" outlineLevel="1" x14ac:dyDescent="0.25">
      <c r="A11385" s="18">
        <v>679</v>
      </c>
      <c r="B11385" s="4" t="s">
        <v>44</v>
      </c>
      <c r="C11385" s="38" t="s">
        <v>6291</v>
      </c>
      <c r="D11385" s="18">
        <v>2022</v>
      </c>
      <c r="E11385" s="18" t="s">
        <v>0</v>
      </c>
      <c r="F11385" s="41">
        <v>1</v>
      </c>
      <c r="G11385" s="4">
        <v>15</v>
      </c>
      <c r="H11385" s="18">
        <v>23.113240000000001</v>
      </c>
      <c r="I11385" s="90"/>
      <c r="J11385" s="90"/>
    </row>
    <row r="11386" spans="1:10" s="15" customFormat="1" ht="16.5" hidden="1" customHeight="1" outlineLevel="1" x14ac:dyDescent="0.25">
      <c r="A11386" s="18">
        <v>643</v>
      </c>
      <c r="B11386" s="4" t="s">
        <v>44</v>
      </c>
      <c r="C11386" s="38" t="s">
        <v>6292</v>
      </c>
      <c r="D11386" s="18">
        <v>2022</v>
      </c>
      <c r="E11386" s="18" t="s">
        <v>0</v>
      </c>
      <c r="F11386" s="41">
        <v>1</v>
      </c>
      <c r="G11386" s="4">
        <v>15</v>
      </c>
      <c r="H11386" s="18">
        <v>27.20722</v>
      </c>
      <c r="I11386" s="90"/>
      <c r="J11386" s="90"/>
    </row>
    <row r="11387" spans="1:10" s="15" customFormat="1" ht="16.5" hidden="1" customHeight="1" outlineLevel="1" x14ac:dyDescent="0.25">
      <c r="A11387" s="18">
        <v>680</v>
      </c>
      <c r="B11387" s="4" t="s">
        <v>44</v>
      </c>
      <c r="C11387" s="38" t="s">
        <v>6293</v>
      </c>
      <c r="D11387" s="18">
        <v>2022</v>
      </c>
      <c r="E11387" s="18" t="s">
        <v>0</v>
      </c>
      <c r="F11387" s="41">
        <v>1</v>
      </c>
      <c r="G11387" s="4">
        <v>15</v>
      </c>
      <c r="H11387" s="18">
        <v>23.113240000000001</v>
      </c>
      <c r="I11387" s="90"/>
      <c r="J11387" s="90"/>
    </row>
    <row r="11388" spans="1:10" s="15" customFormat="1" ht="16.5" hidden="1" customHeight="1" outlineLevel="1" x14ac:dyDescent="0.25">
      <c r="A11388" s="18">
        <v>662</v>
      </c>
      <c r="B11388" s="4" t="s">
        <v>44</v>
      </c>
      <c r="C11388" s="38" t="s">
        <v>6294</v>
      </c>
      <c r="D11388" s="18">
        <v>2022</v>
      </c>
      <c r="E11388" s="18" t="s">
        <v>0</v>
      </c>
      <c r="F11388" s="41">
        <v>1</v>
      </c>
      <c r="G11388" s="4">
        <v>9</v>
      </c>
      <c r="H11388" s="18">
        <v>23.560549999999999</v>
      </c>
      <c r="I11388" s="90"/>
      <c r="J11388" s="90"/>
    </row>
    <row r="11389" spans="1:10" s="15" customFormat="1" ht="16.5" hidden="1" customHeight="1" outlineLevel="1" x14ac:dyDescent="0.25">
      <c r="A11389" s="18">
        <v>640</v>
      </c>
      <c r="B11389" s="4" t="s">
        <v>44</v>
      </c>
      <c r="C11389" s="38" t="s">
        <v>6295</v>
      </c>
      <c r="D11389" s="18">
        <v>2022</v>
      </c>
      <c r="E11389" s="18" t="s">
        <v>0</v>
      </c>
      <c r="F11389" s="41">
        <v>1</v>
      </c>
      <c r="G11389" s="4">
        <v>9</v>
      </c>
      <c r="H11389" s="18">
        <v>26.795480000000001</v>
      </c>
      <c r="I11389" s="90"/>
      <c r="J11389" s="90"/>
    </row>
    <row r="11390" spans="1:10" s="15" customFormat="1" ht="16.5" hidden="1" customHeight="1" outlineLevel="1" x14ac:dyDescent="0.25">
      <c r="A11390" s="18">
        <v>796</v>
      </c>
      <c r="B11390" s="4" t="s">
        <v>44</v>
      </c>
      <c r="C11390" s="38" t="s">
        <v>6296</v>
      </c>
      <c r="D11390" s="18">
        <v>2022</v>
      </c>
      <c r="E11390" s="18" t="s">
        <v>0</v>
      </c>
      <c r="F11390" s="41">
        <v>1</v>
      </c>
      <c r="G11390" s="4">
        <v>10</v>
      </c>
      <c r="H11390" s="18">
        <v>24.880469999999999</v>
      </c>
      <c r="I11390" s="90"/>
      <c r="J11390" s="90"/>
    </row>
    <row r="11391" spans="1:10" s="15" customFormat="1" ht="16.5" hidden="1" customHeight="1" outlineLevel="1" x14ac:dyDescent="0.25">
      <c r="A11391" s="18">
        <v>799</v>
      </c>
      <c r="B11391" s="4" t="s">
        <v>44</v>
      </c>
      <c r="C11391" s="38" t="s">
        <v>6297</v>
      </c>
      <c r="D11391" s="18">
        <v>2022</v>
      </c>
      <c r="E11391" s="18" t="s">
        <v>0</v>
      </c>
      <c r="F11391" s="41">
        <v>1</v>
      </c>
      <c r="G11391" s="4">
        <v>9</v>
      </c>
      <c r="H11391" s="18">
        <v>24.99231</v>
      </c>
      <c r="I11391" s="90"/>
      <c r="J11391" s="90"/>
    </row>
    <row r="11392" spans="1:10" s="15" customFormat="1" ht="16.5" hidden="1" customHeight="1" outlineLevel="1" x14ac:dyDescent="0.25">
      <c r="A11392" s="18">
        <v>798</v>
      </c>
      <c r="B11392" s="4" t="s">
        <v>44</v>
      </c>
      <c r="C11392" s="38" t="s">
        <v>6298</v>
      </c>
      <c r="D11392" s="18">
        <v>2022</v>
      </c>
      <c r="E11392" s="18" t="s">
        <v>0</v>
      </c>
      <c r="F11392" s="41">
        <v>1</v>
      </c>
      <c r="G11392" s="4">
        <v>10</v>
      </c>
      <c r="H11392" s="18">
        <v>23.94727</v>
      </c>
      <c r="I11392" s="90"/>
      <c r="J11392" s="90"/>
    </row>
    <row r="11393" spans="1:10" s="15" customFormat="1" ht="16.5" hidden="1" customHeight="1" outlineLevel="1" x14ac:dyDescent="0.25">
      <c r="A11393" s="18">
        <v>610</v>
      </c>
      <c r="B11393" s="4" t="s">
        <v>44</v>
      </c>
      <c r="C11393" s="38" t="s">
        <v>6299</v>
      </c>
      <c r="D11393" s="18">
        <v>2022</v>
      </c>
      <c r="E11393" s="18" t="s">
        <v>0</v>
      </c>
      <c r="F11393" s="41">
        <v>1</v>
      </c>
      <c r="G11393" s="4">
        <v>15</v>
      </c>
      <c r="H11393" s="18">
        <v>26.270320000000002</v>
      </c>
      <c r="I11393" s="90"/>
      <c r="J11393" s="90"/>
    </row>
    <row r="11394" spans="1:10" s="15" customFormat="1" ht="16.5" hidden="1" customHeight="1" outlineLevel="1" x14ac:dyDescent="0.25">
      <c r="A11394" s="18">
        <v>619</v>
      </c>
      <c r="B11394" s="4" t="s">
        <v>44</v>
      </c>
      <c r="C11394" s="38" t="s">
        <v>6300</v>
      </c>
      <c r="D11394" s="18">
        <v>2022</v>
      </c>
      <c r="E11394" s="18" t="s">
        <v>0</v>
      </c>
      <c r="F11394" s="41">
        <v>1</v>
      </c>
      <c r="G11394" s="4">
        <v>15</v>
      </c>
      <c r="H11394" s="18">
        <v>26.668399999999998</v>
      </c>
      <c r="I11394" s="90"/>
      <c r="J11394" s="90"/>
    </row>
    <row r="11395" spans="1:10" s="15" customFormat="1" ht="16.5" hidden="1" customHeight="1" outlineLevel="1" x14ac:dyDescent="0.25">
      <c r="A11395" s="18">
        <v>620</v>
      </c>
      <c r="B11395" s="4" t="s">
        <v>44</v>
      </c>
      <c r="C11395" s="38" t="s">
        <v>6301</v>
      </c>
      <c r="D11395" s="18">
        <v>2022</v>
      </c>
      <c r="E11395" s="18" t="s">
        <v>0</v>
      </c>
      <c r="F11395" s="41">
        <v>1</v>
      </c>
      <c r="G11395" s="4">
        <v>15</v>
      </c>
      <c r="H11395" s="18">
        <v>26.58756</v>
      </c>
      <c r="I11395" s="90"/>
      <c r="J11395" s="90"/>
    </row>
    <row r="11396" spans="1:10" s="15" customFormat="1" ht="16.5" hidden="1" customHeight="1" outlineLevel="1" x14ac:dyDescent="0.25">
      <c r="A11396" s="18">
        <v>725</v>
      </c>
      <c r="B11396" s="4" t="s">
        <v>44</v>
      </c>
      <c r="C11396" s="38" t="s">
        <v>6302</v>
      </c>
      <c r="D11396" s="18">
        <v>2022</v>
      </c>
      <c r="E11396" s="18" t="s">
        <v>0</v>
      </c>
      <c r="F11396" s="41">
        <v>1</v>
      </c>
      <c r="G11396" s="4">
        <v>15</v>
      </c>
      <c r="H11396" s="18">
        <v>24.9803</v>
      </c>
      <c r="I11396" s="90"/>
      <c r="J11396" s="90"/>
    </row>
    <row r="11397" spans="1:10" s="15" customFormat="1" ht="16.5" hidden="1" customHeight="1" outlineLevel="1" x14ac:dyDescent="0.25">
      <c r="A11397" s="18">
        <v>625</v>
      </c>
      <c r="B11397" s="4" t="s">
        <v>44</v>
      </c>
      <c r="C11397" s="38" t="s">
        <v>6303</v>
      </c>
      <c r="D11397" s="18">
        <v>2022</v>
      </c>
      <c r="E11397" s="18" t="s">
        <v>0</v>
      </c>
      <c r="F11397" s="41">
        <v>1</v>
      </c>
      <c r="G11397" s="4">
        <v>15</v>
      </c>
      <c r="H11397" s="18">
        <v>27.832280000000001</v>
      </c>
      <c r="I11397" s="90"/>
      <c r="J11397" s="90"/>
    </row>
    <row r="11398" spans="1:10" s="15" customFormat="1" ht="16.5" hidden="1" customHeight="1" outlineLevel="1" x14ac:dyDescent="0.25">
      <c r="A11398" s="18">
        <v>779</v>
      </c>
      <c r="B11398" s="4" t="s">
        <v>44</v>
      </c>
      <c r="C11398" s="38" t="s">
        <v>6304</v>
      </c>
      <c r="D11398" s="18">
        <v>2022</v>
      </c>
      <c r="E11398" s="18" t="s">
        <v>0</v>
      </c>
      <c r="F11398" s="41">
        <v>1</v>
      </c>
      <c r="G11398" s="4">
        <v>9</v>
      </c>
      <c r="H11398" s="18">
        <v>27.39762</v>
      </c>
      <c r="I11398" s="90"/>
      <c r="J11398" s="90"/>
    </row>
    <row r="11399" spans="1:10" s="15" customFormat="1" ht="16.5" hidden="1" customHeight="1" outlineLevel="1" x14ac:dyDescent="0.25">
      <c r="A11399" s="18">
        <v>718</v>
      </c>
      <c r="B11399" s="4" t="s">
        <v>44</v>
      </c>
      <c r="C11399" s="38" t="s">
        <v>6305</v>
      </c>
      <c r="D11399" s="18">
        <v>2022</v>
      </c>
      <c r="E11399" s="18" t="s">
        <v>0</v>
      </c>
      <c r="F11399" s="41">
        <v>1</v>
      </c>
      <c r="G11399" s="4">
        <v>15</v>
      </c>
      <c r="H11399" s="18">
        <v>25.70354</v>
      </c>
      <c r="I11399" s="90"/>
      <c r="J11399" s="90"/>
    </row>
    <row r="11400" spans="1:10" s="15" customFormat="1" ht="16.5" hidden="1" customHeight="1" outlineLevel="1" x14ac:dyDescent="0.25">
      <c r="A11400" s="18">
        <v>757</v>
      </c>
      <c r="B11400" s="4" t="s">
        <v>44</v>
      </c>
      <c r="C11400" s="38" t="s">
        <v>6306</v>
      </c>
      <c r="D11400" s="18">
        <v>2022</v>
      </c>
      <c r="E11400" s="18" t="s">
        <v>0</v>
      </c>
      <c r="F11400" s="41">
        <v>1</v>
      </c>
      <c r="G11400" s="4">
        <v>15</v>
      </c>
      <c r="H11400" s="18">
        <v>25.119630000000001</v>
      </c>
      <c r="I11400" s="90"/>
      <c r="J11400" s="90"/>
    </row>
    <row r="11401" spans="1:10" s="15" customFormat="1" ht="16.5" hidden="1" customHeight="1" outlineLevel="1" x14ac:dyDescent="0.25">
      <c r="A11401" s="18">
        <v>599</v>
      </c>
      <c r="B11401" s="4" t="s">
        <v>44</v>
      </c>
      <c r="C11401" s="38" t="s">
        <v>6307</v>
      </c>
      <c r="D11401" s="18">
        <v>2022</v>
      </c>
      <c r="E11401" s="18" t="s">
        <v>0</v>
      </c>
      <c r="F11401" s="41">
        <v>1</v>
      </c>
      <c r="G11401" s="4">
        <v>14</v>
      </c>
      <c r="H11401" s="18">
        <v>24.21594</v>
      </c>
      <c r="I11401" s="90"/>
      <c r="J11401" s="90"/>
    </row>
    <row r="11402" spans="1:10" s="15" customFormat="1" ht="16.5" hidden="1" customHeight="1" outlineLevel="1" x14ac:dyDescent="0.25">
      <c r="A11402" s="18">
        <v>753</v>
      </c>
      <c r="B11402" s="4" t="s">
        <v>44</v>
      </c>
      <c r="C11402" s="38" t="s">
        <v>6308</v>
      </c>
      <c r="D11402" s="18">
        <v>2022</v>
      </c>
      <c r="E11402" s="18" t="s">
        <v>0</v>
      </c>
      <c r="F11402" s="41">
        <v>1</v>
      </c>
      <c r="G11402" s="4">
        <v>15</v>
      </c>
      <c r="H11402" s="18">
        <v>24.947019999999998</v>
      </c>
      <c r="I11402" s="90"/>
      <c r="J11402" s="90"/>
    </row>
    <row r="11403" spans="1:10" s="15" customFormat="1" ht="16.5" hidden="1" customHeight="1" outlineLevel="1" x14ac:dyDescent="0.25">
      <c r="A11403" s="18">
        <v>815</v>
      </c>
      <c r="B11403" s="4" t="s">
        <v>44</v>
      </c>
      <c r="C11403" s="38" t="s">
        <v>6309</v>
      </c>
      <c r="D11403" s="18">
        <v>2022</v>
      </c>
      <c r="E11403" s="18" t="s">
        <v>0</v>
      </c>
      <c r="F11403" s="41">
        <v>1</v>
      </c>
      <c r="G11403" s="4">
        <v>15</v>
      </c>
      <c r="H11403" s="18">
        <v>28.35802</v>
      </c>
      <c r="I11403" s="90"/>
      <c r="J11403" s="90"/>
    </row>
    <row r="11404" spans="1:10" s="15" customFormat="1" ht="16.5" hidden="1" customHeight="1" outlineLevel="1" x14ac:dyDescent="0.25">
      <c r="A11404" s="18">
        <v>794</v>
      </c>
      <c r="B11404" s="4" t="s">
        <v>44</v>
      </c>
      <c r="C11404" s="38" t="s">
        <v>6310</v>
      </c>
      <c r="D11404" s="18">
        <v>2022</v>
      </c>
      <c r="E11404" s="18" t="s">
        <v>0</v>
      </c>
      <c r="F11404" s="41">
        <v>1</v>
      </c>
      <c r="G11404" s="4">
        <v>15</v>
      </c>
      <c r="H11404" s="18">
        <v>25.053509999999999</v>
      </c>
      <c r="I11404" s="90"/>
      <c r="J11404" s="90"/>
    </row>
    <row r="11405" spans="1:10" s="15" customFormat="1" ht="16.5" hidden="1" customHeight="1" outlineLevel="1" x14ac:dyDescent="0.25">
      <c r="A11405" s="18">
        <v>810</v>
      </c>
      <c r="B11405" s="4" t="s">
        <v>44</v>
      </c>
      <c r="C11405" s="38" t="s">
        <v>6311</v>
      </c>
      <c r="D11405" s="18">
        <v>2022</v>
      </c>
      <c r="E11405" s="18" t="s">
        <v>0</v>
      </c>
      <c r="F11405" s="41">
        <v>1</v>
      </c>
      <c r="G11405" s="4">
        <v>15</v>
      </c>
      <c r="H11405" s="18">
        <v>25.241340000000001</v>
      </c>
      <c r="I11405" s="90"/>
      <c r="J11405" s="90"/>
    </row>
    <row r="11406" spans="1:10" s="15" customFormat="1" ht="16.5" hidden="1" customHeight="1" outlineLevel="1" x14ac:dyDescent="0.25">
      <c r="A11406" s="18">
        <v>616</v>
      </c>
      <c r="B11406" s="4" t="s">
        <v>44</v>
      </c>
      <c r="C11406" s="38" t="s">
        <v>6312</v>
      </c>
      <c r="D11406" s="18">
        <v>2022</v>
      </c>
      <c r="E11406" s="18" t="s">
        <v>0</v>
      </c>
      <c r="F11406" s="41">
        <v>1</v>
      </c>
      <c r="G11406" s="4">
        <v>15</v>
      </c>
      <c r="H11406" s="18">
        <v>26.137419999999999</v>
      </c>
      <c r="I11406" s="90"/>
      <c r="J11406" s="90"/>
    </row>
    <row r="11407" spans="1:10" s="15" customFormat="1" ht="16.5" hidden="1" customHeight="1" outlineLevel="1" x14ac:dyDescent="0.25">
      <c r="A11407" s="18">
        <v>617</v>
      </c>
      <c r="B11407" s="4" t="s">
        <v>44</v>
      </c>
      <c r="C11407" s="38" t="s">
        <v>6313</v>
      </c>
      <c r="D11407" s="18">
        <v>2022</v>
      </c>
      <c r="E11407" s="18" t="s">
        <v>0</v>
      </c>
      <c r="F11407" s="41">
        <v>1</v>
      </c>
      <c r="G11407" s="4">
        <v>15</v>
      </c>
      <c r="H11407" s="18">
        <v>26.399930000000001</v>
      </c>
      <c r="I11407" s="90"/>
      <c r="J11407" s="90"/>
    </row>
    <row r="11408" spans="1:10" s="15" customFormat="1" ht="16.5" hidden="1" customHeight="1" outlineLevel="1" x14ac:dyDescent="0.25">
      <c r="A11408" s="18">
        <v>628</v>
      </c>
      <c r="B11408" s="4" t="s">
        <v>44</v>
      </c>
      <c r="C11408" s="38" t="s">
        <v>6314</v>
      </c>
      <c r="D11408" s="18">
        <v>2022</v>
      </c>
      <c r="E11408" s="18" t="s">
        <v>0</v>
      </c>
      <c r="F11408" s="41">
        <v>1</v>
      </c>
      <c r="G11408" s="4">
        <v>9</v>
      </c>
      <c r="H11408" s="18">
        <v>28.019549999999999</v>
      </c>
      <c r="I11408" s="90"/>
      <c r="J11408" s="90"/>
    </row>
    <row r="11409" spans="1:10" s="15" customFormat="1" ht="16.5" hidden="1" customHeight="1" outlineLevel="1" x14ac:dyDescent="0.25">
      <c r="A11409" s="18">
        <v>715</v>
      </c>
      <c r="B11409" s="4" t="s">
        <v>44</v>
      </c>
      <c r="C11409" s="38" t="s">
        <v>6315</v>
      </c>
      <c r="D11409" s="18">
        <v>2022</v>
      </c>
      <c r="E11409" s="18" t="s">
        <v>0</v>
      </c>
      <c r="F11409" s="41">
        <v>1</v>
      </c>
      <c r="G11409" s="4">
        <v>14</v>
      </c>
      <c r="H11409" s="18">
        <v>26.000029999999999</v>
      </c>
      <c r="I11409" s="90"/>
      <c r="J11409" s="90"/>
    </row>
    <row r="11410" spans="1:10" s="15" customFormat="1" ht="16.5" hidden="1" customHeight="1" outlineLevel="1" x14ac:dyDescent="0.25">
      <c r="A11410" s="18">
        <v>760</v>
      </c>
      <c r="B11410" s="4" t="s">
        <v>44</v>
      </c>
      <c r="C11410" s="38" t="s">
        <v>6316</v>
      </c>
      <c r="D11410" s="18">
        <v>2022</v>
      </c>
      <c r="E11410" s="18" t="s">
        <v>0</v>
      </c>
      <c r="F11410" s="41">
        <v>1</v>
      </c>
      <c r="G11410" s="4">
        <v>15</v>
      </c>
      <c r="H11410" s="18">
        <v>24.947009999999999</v>
      </c>
      <c r="I11410" s="90"/>
      <c r="J11410" s="90"/>
    </row>
    <row r="11411" spans="1:10" s="15" customFormat="1" ht="16.5" hidden="1" customHeight="1" outlineLevel="1" x14ac:dyDescent="0.25">
      <c r="A11411" s="18">
        <v>589</v>
      </c>
      <c r="B11411" s="4" t="s">
        <v>44</v>
      </c>
      <c r="C11411" s="38" t="s">
        <v>6317</v>
      </c>
      <c r="D11411" s="18">
        <v>2022</v>
      </c>
      <c r="E11411" s="18" t="s">
        <v>0</v>
      </c>
      <c r="F11411" s="41">
        <v>1</v>
      </c>
      <c r="G11411" s="4">
        <v>15</v>
      </c>
      <c r="H11411" s="18">
        <v>24.225580000000001</v>
      </c>
      <c r="I11411" s="90"/>
      <c r="J11411" s="90"/>
    </row>
    <row r="11412" spans="1:10" s="15" customFormat="1" ht="16.5" hidden="1" customHeight="1" outlineLevel="1" x14ac:dyDescent="0.25">
      <c r="A11412" s="18">
        <v>593</v>
      </c>
      <c r="B11412" s="4" t="s">
        <v>44</v>
      </c>
      <c r="C11412" s="38" t="s">
        <v>6318</v>
      </c>
      <c r="D11412" s="18">
        <v>2022</v>
      </c>
      <c r="E11412" s="18" t="s">
        <v>0</v>
      </c>
      <c r="F11412" s="41">
        <v>1</v>
      </c>
      <c r="G11412" s="4">
        <v>13</v>
      </c>
      <c r="H11412" s="18">
        <v>23.912269999999999</v>
      </c>
      <c r="I11412" s="90"/>
      <c r="J11412" s="90"/>
    </row>
    <row r="11413" spans="1:10" s="15" customFormat="1" ht="16.5" hidden="1" customHeight="1" outlineLevel="1" x14ac:dyDescent="0.25">
      <c r="A11413" s="18">
        <v>609</v>
      </c>
      <c r="B11413" s="4" t="s">
        <v>44</v>
      </c>
      <c r="C11413" s="38" t="s">
        <v>6319</v>
      </c>
      <c r="D11413" s="18">
        <v>2022</v>
      </c>
      <c r="E11413" s="18" t="s">
        <v>0</v>
      </c>
      <c r="F11413" s="41">
        <v>1</v>
      </c>
      <c r="G11413" s="4">
        <v>15</v>
      </c>
      <c r="H11413" s="18">
        <v>26.39995</v>
      </c>
      <c r="I11413" s="90"/>
      <c r="J11413" s="90"/>
    </row>
    <row r="11414" spans="1:10" s="15" customFormat="1" ht="16.5" hidden="1" customHeight="1" outlineLevel="1" x14ac:dyDescent="0.25">
      <c r="A11414" s="18">
        <v>723</v>
      </c>
      <c r="B11414" s="4" t="s">
        <v>44</v>
      </c>
      <c r="C11414" s="38" t="s">
        <v>6320</v>
      </c>
      <c r="D11414" s="18">
        <v>2022</v>
      </c>
      <c r="E11414" s="18" t="s">
        <v>0</v>
      </c>
      <c r="F11414" s="41">
        <v>1</v>
      </c>
      <c r="G11414" s="4">
        <v>15</v>
      </c>
      <c r="H11414" s="18">
        <v>25.102689999999999</v>
      </c>
      <c r="I11414" s="90"/>
      <c r="J11414" s="90"/>
    </row>
    <row r="11415" spans="1:10" s="15" customFormat="1" ht="16.5" hidden="1" customHeight="1" outlineLevel="1" x14ac:dyDescent="0.25">
      <c r="A11415" s="18">
        <v>812</v>
      </c>
      <c r="B11415" s="4" t="s">
        <v>44</v>
      </c>
      <c r="C11415" s="38" t="s">
        <v>6321</v>
      </c>
      <c r="D11415" s="18">
        <v>2022</v>
      </c>
      <c r="E11415" s="18" t="s">
        <v>0</v>
      </c>
      <c r="F11415" s="41">
        <v>1</v>
      </c>
      <c r="G11415" s="4">
        <v>14</v>
      </c>
      <c r="H11415" s="18">
        <v>25.24136</v>
      </c>
      <c r="I11415" s="90"/>
      <c r="J11415" s="90"/>
    </row>
    <row r="11416" spans="1:10" s="15" customFormat="1" ht="16.5" hidden="1" customHeight="1" outlineLevel="1" x14ac:dyDescent="0.25">
      <c r="A11416" s="18">
        <v>863</v>
      </c>
      <c r="B11416" s="4" t="s">
        <v>44</v>
      </c>
      <c r="C11416" s="38" t="s">
        <v>6322</v>
      </c>
      <c r="D11416" s="18">
        <v>2022</v>
      </c>
      <c r="E11416" s="18" t="s">
        <v>0</v>
      </c>
      <c r="F11416" s="41">
        <v>1</v>
      </c>
      <c r="G11416" s="4">
        <v>15</v>
      </c>
      <c r="H11416" s="18">
        <v>25.830680000000001</v>
      </c>
      <c r="I11416" s="90"/>
      <c r="J11416" s="90"/>
    </row>
    <row r="11417" spans="1:10" s="15" customFormat="1" ht="16.5" hidden="1" customHeight="1" outlineLevel="1" x14ac:dyDescent="0.25">
      <c r="A11417" s="18">
        <v>511</v>
      </c>
      <c r="B11417" s="4" t="s">
        <v>44</v>
      </c>
      <c r="C11417" s="38" t="s">
        <v>2417</v>
      </c>
      <c r="D11417" s="18">
        <v>2022</v>
      </c>
      <c r="E11417" s="18" t="s">
        <v>0</v>
      </c>
      <c r="F11417" s="41">
        <v>1</v>
      </c>
      <c r="G11417" s="4">
        <v>15</v>
      </c>
      <c r="H11417" s="18">
        <v>30.327940000000002</v>
      </c>
      <c r="I11417" s="90"/>
      <c r="J11417" s="90"/>
    </row>
    <row r="11418" spans="1:10" s="15" customFormat="1" ht="16.5" hidden="1" customHeight="1" outlineLevel="1" x14ac:dyDescent="0.25">
      <c r="A11418" s="18">
        <v>491</v>
      </c>
      <c r="B11418" s="4" t="s">
        <v>44</v>
      </c>
      <c r="C11418" s="38" t="s">
        <v>2418</v>
      </c>
      <c r="D11418" s="18">
        <v>2022</v>
      </c>
      <c r="E11418" s="18" t="s">
        <v>0</v>
      </c>
      <c r="F11418" s="41">
        <v>1</v>
      </c>
      <c r="G11418" s="4">
        <v>15</v>
      </c>
      <c r="H11418" s="18">
        <v>27.26427</v>
      </c>
      <c r="I11418" s="90"/>
      <c r="J11418" s="90"/>
    </row>
    <row r="11419" spans="1:10" s="15" customFormat="1" ht="16.5" hidden="1" customHeight="1" outlineLevel="1" x14ac:dyDescent="0.25">
      <c r="A11419" s="18">
        <v>489</v>
      </c>
      <c r="B11419" s="4" t="s">
        <v>44</v>
      </c>
      <c r="C11419" s="38" t="s">
        <v>2419</v>
      </c>
      <c r="D11419" s="18">
        <v>2022</v>
      </c>
      <c r="E11419" s="18" t="s">
        <v>0</v>
      </c>
      <c r="F11419" s="41">
        <v>1</v>
      </c>
      <c r="G11419" s="4">
        <v>15</v>
      </c>
      <c r="H11419" s="18">
        <v>26.463329999999999</v>
      </c>
      <c r="I11419" s="90"/>
      <c r="J11419" s="90"/>
    </row>
    <row r="11420" spans="1:10" s="15" customFormat="1" ht="16.5" hidden="1" customHeight="1" outlineLevel="1" x14ac:dyDescent="0.25">
      <c r="A11420" s="18">
        <v>669</v>
      </c>
      <c r="B11420" s="4" t="s">
        <v>44</v>
      </c>
      <c r="C11420" s="38" t="s">
        <v>6323</v>
      </c>
      <c r="D11420" s="18">
        <v>2022</v>
      </c>
      <c r="E11420" s="18" t="s">
        <v>0</v>
      </c>
      <c r="F11420" s="41">
        <v>1</v>
      </c>
      <c r="G11420" s="4">
        <v>15</v>
      </c>
      <c r="H11420" s="18">
        <v>26.084350000000001</v>
      </c>
      <c r="I11420" s="90"/>
      <c r="J11420" s="90"/>
    </row>
    <row r="11421" spans="1:10" s="15" customFormat="1" ht="16.5" hidden="1" customHeight="1" outlineLevel="1" x14ac:dyDescent="0.25">
      <c r="A11421" s="18">
        <v>588</v>
      </c>
      <c r="B11421" s="4" t="s">
        <v>44</v>
      </c>
      <c r="C11421" s="38" t="s">
        <v>6324</v>
      </c>
      <c r="D11421" s="18">
        <v>2022</v>
      </c>
      <c r="E11421" s="18" t="s">
        <v>0</v>
      </c>
      <c r="F11421" s="41">
        <v>1</v>
      </c>
      <c r="G11421" s="4">
        <v>30</v>
      </c>
      <c r="H11421" s="18">
        <v>26.718979999999998</v>
      </c>
      <c r="I11421" s="90"/>
      <c r="J11421" s="90"/>
    </row>
    <row r="11422" spans="1:10" s="15" customFormat="1" ht="16.5" hidden="1" customHeight="1" outlineLevel="1" x14ac:dyDescent="0.25">
      <c r="A11422" s="18">
        <v>510</v>
      </c>
      <c r="B11422" s="4" t="s">
        <v>44</v>
      </c>
      <c r="C11422" s="38" t="s">
        <v>2420</v>
      </c>
      <c r="D11422" s="18">
        <v>2022</v>
      </c>
      <c r="E11422" s="18" t="s">
        <v>0</v>
      </c>
      <c r="F11422" s="41">
        <v>1</v>
      </c>
      <c r="G11422" s="4">
        <v>15</v>
      </c>
      <c r="H11422" s="18">
        <v>28.24474</v>
      </c>
      <c r="I11422" s="90"/>
      <c r="J11422" s="90"/>
    </row>
    <row r="11423" spans="1:10" s="15" customFormat="1" ht="16.5" hidden="1" customHeight="1" outlineLevel="1" x14ac:dyDescent="0.25">
      <c r="A11423" s="18">
        <v>510</v>
      </c>
      <c r="B11423" s="4" t="s">
        <v>44</v>
      </c>
      <c r="C11423" s="38" t="s">
        <v>2420</v>
      </c>
      <c r="D11423" s="18">
        <v>2022</v>
      </c>
      <c r="E11423" s="18" t="s">
        <v>0</v>
      </c>
      <c r="F11423" s="41">
        <v>1</v>
      </c>
      <c r="G11423" s="4">
        <v>15</v>
      </c>
      <c r="H11423" s="18">
        <v>28.24474</v>
      </c>
      <c r="I11423" s="90"/>
      <c r="J11423" s="90"/>
    </row>
    <row r="11424" spans="1:10" s="15" customFormat="1" ht="16.5" hidden="1" customHeight="1" outlineLevel="1" x14ac:dyDescent="0.25">
      <c r="A11424" s="18">
        <v>517</v>
      </c>
      <c r="B11424" s="4" t="s">
        <v>44</v>
      </c>
      <c r="C11424" s="38" t="s">
        <v>6325</v>
      </c>
      <c r="D11424" s="18">
        <v>2022</v>
      </c>
      <c r="E11424" s="18" t="s">
        <v>0</v>
      </c>
      <c r="F11424" s="41">
        <v>1</v>
      </c>
      <c r="G11424" s="4">
        <v>15</v>
      </c>
      <c r="H11424" s="18">
        <v>27.925989999999999</v>
      </c>
      <c r="I11424" s="90"/>
      <c r="J11424" s="90"/>
    </row>
    <row r="11425" spans="1:10" s="15" customFormat="1" ht="16.5" hidden="1" customHeight="1" outlineLevel="1" x14ac:dyDescent="0.25">
      <c r="A11425" s="18">
        <v>485</v>
      </c>
      <c r="B11425" s="4" t="s">
        <v>44</v>
      </c>
      <c r="C11425" s="38" t="s">
        <v>2422</v>
      </c>
      <c r="D11425" s="18">
        <v>2022</v>
      </c>
      <c r="E11425" s="18" t="s">
        <v>0</v>
      </c>
      <c r="F11425" s="41">
        <v>1</v>
      </c>
      <c r="G11425" s="4">
        <v>15</v>
      </c>
      <c r="H11425" s="18">
        <v>29.096699999999998</v>
      </c>
      <c r="I11425" s="90"/>
      <c r="J11425" s="90"/>
    </row>
    <row r="11426" spans="1:10" s="15" customFormat="1" ht="16.5" hidden="1" customHeight="1" outlineLevel="1" x14ac:dyDescent="0.25">
      <c r="A11426" s="18">
        <v>554</v>
      </c>
      <c r="B11426" s="4" t="s">
        <v>44</v>
      </c>
      <c r="C11426" s="38" t="s">
        <v>2423</v>
      </c>
      <c r="D11426" s="18">
        <v>2022</v>
      </c>
      <c r="E11426" s="18" t="s">
        <v>0</v>
      </c>
      <c r="F11426" s="41">
        <v>1</v>
      </c>
      <c r="G11426" s="4">
        <v>15</v>
      </c>
      <c r="H11426" s="18">
        <v>33.940539999999999</v>
      </c>
      <c r="I11426" s="90"/>
      <c r="J11426" s="90"/>
    </row>
    <row r="11427" spans="1:10" s="15" customFormat="1" ht="16.5" hidden="1" customHeight="1" outlineLevel="1" x14ac:dyDescent="0.25">
      <c r="A11427" s="18">
        <v>522</v>
      </c>
      <c r="B11427" s="4" t="s">
        <v>44</v>
      </c>
      <c r="C11427" s="38" t="s">
        <v>2425</v>
      </c>
      <c r="D11427" s="18">
        <v>2022</v>
      </c>
      <c r="E11427" s="18" t="s">
        <v>0</v>
      </c>
      <c r="F11427" s="41">
        <v>1</v>
      </c>
      <c r="G11427" s="4">
        <v>15</v>
      </c>
      <c r="H11427" s="18">
        <v>30.961819999999999</v>
      </c>
      <c r="I11427" s="90"/>
      <c r="J11427" s="90"/>
    </row>
    <row r="11428" spans="1:10" s="15" customFormat="1" ht="16.5" hidden="1" customHeight="1" outlineLevel="1" x14ac:dyDescent="0.25">
      <c r="A11428" s="18">
        <v>524</v>
      </c>
      <c r="B11428" s="4" t="s">
        <v>44</v>
      </c>
      <c r="C11428" s="38" t="s">
        <v>2426</v>
      </c>
      <c r="D11428" s="18">
        <v>2022</v>
      </c>
      <c r="E11428" s="18" t="s">
        <v>0</v>
      </c>
      <c r="F11428" s="41">
        <v>1</v>
      </c>
      <c r="G11428" s="4">
        <v>15</v>
      </c>
      <c r="H11428" s="18">
        <v>29.61347</v>
      </c>
      <c r="I11428" s="90"/>
      <c r="J11428" s="90"/>
    </row>
    <row r="11429" spans="1:10" s="15" customFormat="1" ht="16.5" hidden="1" customHeight="1" outlineLevel="1" x14ac:dyDescent="0.25">
      <c r="A11429" s="18">
        <v>869</v>
      </c>
      <c r="B11429" s="4" t="s">
        <v>44</v>
      </c>
      <c r="C11429" s="38" t="s">
        <v>6326</v>
      </c>
      <c r="D11429" s="18">
        <v>2022</v>
      </c>
      <c r="E11429" s="18" t="s">
        <v>0</v>
      </c>
      <c r="F11429" s="41">
        <v>1</v>
      </c>
      <c r="G11429" s="4">
        <v>9</v>
      </c>
      <c r="H11429" s="18">
        <v>27.824940000000002</v>
      </c>
      <c r="I11429" s="90"/>
      <c r="J11429" s="90"/>
    </row>
    <row r="11430" spans="1:10" s="15" customFormat="1" ht="16.5" hidden="1" customHeight="1" outlineLevel="1" x14ac:dyDescent="0.25">
      <c r="A11430" s="18">
        <v>656</v>
      </c>
      <c r="B11430" s="4" t="s">
        <v>43</v>
      </c>
      <c r="C11430" s="38" t="s">
        <v>6327</v>
      </c>
      <c r="D11430" s="18">
        <v>2022</v>
      </c>
      <c r="E11430" s="18" t="s">
        <v>0</v>
      </c>
      <c r="F11430" s="41">
        <v>1</v>
      </c>
      <c r="G11430" s="4">
        <v>15</v>
      </c>
      <c r="H11430" s="18">
        <v>34.346589999999999</v>
      </c>
      <c r="I11430" s="90"/>
      <c r="J11430" s="90"/>
    </row>
    <row r="11431" spans="1:10" s="15" customFormat="1" ht="16.5" hidden="1" customHeight="1" outlineLevel="1" x14ac:dyDescent="0.25">
      <c r="A11431" s="18">
        <v>776</v>
      </c>
      <c r="B11431" s="4" t="s">
        <v>43</v>
      </c>
      <c r="C11431" s="38" t="s">
        <v>6328</v>
      </c>
      <c r="D11431" s="18">
        <v>2022</v>
      </c>
      <c r="E11431" s="18" t="s">
        <v>0</v>
      </c>
      <c r="F11431" s="41">
        <v>1</v>
      </c>
      <c r="G11431" s="4">
        <v>15</v>
      </c>
      <c r="H11431" s="18">
        <v>27.973479999999999</v>
      </c>
      <c r="I11431" s="90"/>
      <c r="J11431" s="90"/>
    </row>
    <row r="11432" spans="1:10" s="15" customFormat="1" ht="16.5" hidden="1" customHeight="1" outlineLevel="1" x14ac:dyDescent="0.25">
      <c r="A11432" s="18">
        <v>730</v>
      </c>
      <c r="B11432" s="4" t="s">
        <v>44</v>
      </c>
      <c r="C11432" s="38" t="s">
        <v>6329</v>
      </c>
      <c r="D11432" s="18">
        <v>2022</v>
      </c>
      <c r="E11432" s="18" t="s">
        <v>0</v>
      </c>
      <c r="F11432" s="41">
        <v>1</v>
      </c>
      <c r="G11432" s="4">
        <v>15</v>
      </c>
      <c r="H11432" s="18">
        <v>29.119540000000001</v>
      </c>
      <c r="I11432" s="90"/>
      <c r="J11432" s="90"/>
    </row>
    <row r="11433" spans="1:10" s="15" customFormat="1" ht="16.5" hidden="1" customHeight="1" outlineLevel="1" x14ac:dyDescent="0.25">
      <c r="A11433" s="18">
        <v>603</v>
      </c>
      <c r="B11433" s="4" t="s">
        <v>44</v>
      </c>
      <c r="C11433" s="38" t="s">
        <v>6330</v>
      </c>
      <c r="D11433" s="18">
        <v>2022</v>
      </c>
      <c r="E11433" s="18" t="s">
        <v>0</v>
      </c>
      <c r="F11433" s="41">
        <v>1</v>
      </c>
      <c r="G11433" s="4">
        <v>15</v>
      </c>
      <c r="H11433" s="18">
        <v>24.922529999999998</v>
      </c>
      <c r="I11433" s="90"/>
      <c r="J11433" s="90"/>
    </row>
    <row r="11434" spans="1:10" s="15" customFormat="1" ht="16.5" hidden="1" customHeight="1" outlineLevel="1" x14ac:dyDescent="0.25">
      <c r="A11434" s="18">
        <v>684</v>
      </c>
      <c r="B11434" s="4" t="s">
        <v>44</v>
      </c>
      <c r="C11434" s="38" t="s">
        <v>6331</v>
      </c>
      <c r="D11434" s="18">
        <v>2022</v>
      </c>
      <c r="E11434" s="18" t="s">
        <v>0</v>
      </c>
      <c r="F11434" s="41">
        <v>1</v>
      </c>
      <c r="G11434" s="4">
        <v>15</v>
      </c>
      <c r="H11434" s="18">
        <v>24.28463</v>
      </c>
      <c r="I11434" s="90"/>
      <c r="J11434" s="90"/>
    </row>
    <row r="11435" spans="1:10" s="15" customFormat="1" ht="16.5" hidden="1" customHeight="1" outlineLevel="1" x14ac:dyDescent="0.25">
      <c r="A11435" s="18">
        <v>602</v>
      </c>
      <c r="B11435" s="4" t="s">
        <v>44</v>
      </c>
      <c r="C11435" s="38" t="s">
        <v>6332</v>
      </c>
      <c r="D11435" s="18">
        <v>2022</v>
      </c>
      <c r="E11435" s="18" t="s">
        <v>0</v>
      </c>
      <c r="F11435" s="41">
        <v>1</v>
      </c>
      <c r="G11435" s="4">
        <v>15</v>
      </c>
      <c r="H11435" s="18">
        <v>24.55735</v>
      </c>
      <c r="I11435" s="90"/>
      <c r="J11435" s="90"/>
    </row>
    <row r="11436" spans="1:10" s="15" customFormat="1" ht="16.5" hidden="1" customHeight="1" outlineLevel="1" x14ac:dyDescent="0.25">
      <c r="A11436" s="18">
        <v>807</v>
      </c>
      <c r="B11436" s="4" t="s">
        <v>44</v>
      </c>
      <c r="C11436" s="38" t="s">
        <v>6333</v>
      </c>
      <c r="D11436" s="18">
        <v>2022</v>
      </c>
      <c r="E11436" s="18" t="s">
        <v>0</v>
      </c>
      <c r="F11436" s="41">
        <v>1</v>
      </c>
      <c r="G11436" s="4">
        <v>15</v>
      </c>
      <c r="H11436" s="18">
        <v>24.671769999999999</v>
      </c>
      <c r="I11436" s="90"/>
      <c r="J11436" s="90"/>
    </row>
    <row r="11437" spans="1:10" s="15" customFormat="1" ht="16.5" hidden="1" customHeight="1" outlineLevel="1" x14ac:dyDescent="0.25">
      <c r="A11437" s="18">
        <v>743</v>
      </c>
      <c r="B11437" s="4" t="s">
        <v>44</v>
      </c>
      <c r="C11437" s="38" t="s">
        <v>6334</v>
      </c>
      <c r="D11437" s="18">
        <v>2022</v>
      </c>
      <c r="E11437" s="18" t="s">
        <v>0</v>
      </c>
      <c r="F11437" s="41">
        <v>1</v>
      </c>
      <c r="G11437" s="4">
        <v>10</v>
      </c>
      <c r="H11437" s="18">
        <v>17.353870000000001</v>
      </c>
      <c r="I11437" s="90"/>
      <c r="J11437" s="90"/>
    </row>
    <row r="11438" spans="1:10" s="15" customFormat="1" ht="16.5" hidden="1" customHeight="1" outlineLevel="1" x14ac:dyDescent="0.25">
      <c r="A11438" s="18">
        <v>740</v>
      </c>
      <c r="B11438" s="4" t="s">
        <v>44</v>
      </c>
      <c r="C11438" s="38" t="s">
        <v>6335</v>
      </c>
      <c r="D11438" s="18">
        <v>2022</v>
      </c>
      <c r="E11438" s="18" t="s">
        <v>0</v>
      </c>
      <c r="F11438" s="41">
        <v>1</v>
      </c>
      <c r="G11438" s="4">
        <v>15</v>
      </c>
      <c r="H11438" s="18">
        <v>24.675180000000001</v>
      </c>
      <c r="I11438" s="90"/>
      <c r="J11438" s="90"/>
    </row>
    <row r="11439" spans="1:10" s="15" customFormat="1" ht="16.5" hidden="1" customHeight="1" outlineLevel="1" x14ac:dyDescent="0.25">
      <c r="A11439" s="18">
        <v>731</v>
      </c>
      <c r="B11439" s="4" t="s">
        <v>44</v>
      </c>
      <c r="C11439" s="38" t="s">
        <v>6336</v>
      </c>
      <c r="D11439" s="18">
        <v>2022</v>
      </c>
      <c r="E11439" s="18" t="s">
        <v>0</v>
      </c>
      <c r="F11439" s="41">
        <v>1</v>
      </c>
      <c r="G11439" s="4">
        <v>15</v>
      </c>
      <c r="H11439" s="18">
        <v>24.552520000000001</v>
      </c>
      <c r="I11439" s="90"/>
      <c r="J11439" s="90"/>
    </row>
    <row r="11440" spans="1:10" s="15" customFormat="1" ht="16.5" hidden="1" customHeight="1" outlineLevel="1" x14ac:dyDescent="0.25">
      <c r="A11440" s="18">
        <v>777</v>
      </c>
      <c r="B11440" s="4" t="s">
        <v>44</v>
      </c>
      <c r="C11440" s="38" t="s">
        <v>6337</v>
      </c>
      <c r="D11440" s="18">
        <v>2022</v>
      </c>
      <c r="E11440" s="18" t="s">
        <v>0</v>
      </c>
      <c r="F11440" s="41">
        <v>1</v>
      </c>
      <c r="G11440" s="4">
        <v>9</v>
      </c>
      <c r="H11440" s="18">
        <v>24.569320000000001</v>
      </c>
      <c r="I11440" s="90"/>
      <c r="J11440" s="90"/>
    </row>
    <row r="11441" spans="1:10" s="15" customFormat="1" ht="16.5" hidden="1" customHeight="1" outlineLevel="1" x14ac:dyDescent="0.25">
      <c r="A11441" s="18">
        <v>759</v>
      </c>
      <c r="B11441" s="4" t="s">
        <v>44</v>
      </c>
      <c r="C11441" s="38" t="s">
        <v>6338</v>
      </c>
      <c r="D11441" s="18">
        <v>2022</v>
      </c>
      <c r="E11441" s="18" t="s">
        <v>0</v>
      </c>
      <c r="F11441" s="41">
        <v>1</v>
      </c>
      <c r="G11441" s="4">
        <v>15</v>
      </c>
      <c r="H11441" s="18">
        <v>25.12593</v>
      </c>
      <c r="I11441" s="90"/>
      <c r="J11441" s="90"/>
    </row>
    <row r="11442" spans="1:10" s="15" customFormat="1" ht="16.5" hidden="1" customHeight="1" outlineLevel="1" x14ac:dyDescent="0.25">
      <c r="A11442" s="18">
        <v>645</v>
      </c>
      <c r="B11442" s="4" t="s">
        <v>44</v>
      </c>
      <c r="C11442" s="38" t="s">
        <v>6339</v>
      </c>
      <c r="D11442" s="18">
        <v>2022</v>
      </c>
      <c r="E11442" s="18" t="s">
        <v>0</v>
      </c>
      <c r="F11442" s="41">
        <v>2</v>
      </c>
      <c r="G11442" s="4">
        <v>30</v>
      </c>
      <c r="H11442" s="18">
        <v>51.931849999999997</v>
      </c>
      <c r="I11442" s="90"/>
      <c r="J11442" s="90"/>
    </row>
    <row r="11443" spans="1:10" s="15" customFormat="1" ht="16.5" hidden="1" customHeight="1" outlineLevel="1" x14ac:dyDescent="0.25">
      <c r="A11443" s="18">
        <v>741</v>
      </c>
      <c r="B11443" s="4" t="s">
        <v>44</v>
      </c>
      <c r="C11443" s="38" t="s">
        <v>6340</v>
      </c>
      <c r="D11443" s="18">
        <v>2022</v>
      </c>
      <c r="E11443" s="18" t="s">
        <v>0</v>
      </c>
      <c r="F11443" s="41">
        <v>1</v>
      </c>
      <c r="G11443" s="4">
        <v>9</v>
      </c>
      <c r="H11443" s="18">
        <v>24.569330000000001</v>
      </c>
      <c r="I11443" s="90"/>
      <c r="J11443" s="90"/>
    </row>
    <row r="11444" spans="1:10" s="15" customFormat="1" ht="16.5" hidden="1" customHeight="1" outlineLevel="1" x14ac:dyDescent="0.25">
      <c r="A11444" s="18">
        <v>842</v>
      </c>
      <c r="B11444" s="4" t="s">
        <v>44</v>
      </c>
      <c r="C11444" s="38" t="s">
        <v>6341</v>
      </c>
      <c r="D11444" s="18">
        <v>2022</v>
      </c>
      <c r="E11444" s="18" t="s">
        <v>0</v>
      </c>
      <c r="F11444" s="41">
        <v>1</v>
      </c>
      <c r="G11444" s="4">
        <v>10</v>
      </c>
      <c r="H11444" s="18">
        <v>25.446449999999999</v>
      </c>
      <c r="I11444" s="90"/>
      <c r="J11444" s="90"/>
    </row>
    <row r="11445" spans="1:10" s="15" customFormat="1" ht="16.5" hidden="1" customHeight="1" outlineLevel="1" x14ac:dyDescent="0.25">
      <c r="A11445" s="18">
        <v>739</v>
      </c>
      <c r="B11445" s="4" t="s">
        <v>44</v>
      </c>
      <c r="C11445" s="38" t="s">
        <v>6342</v>
      </c>
      <c r="D11445" s="18">
        <v>2022</v>
      </c>
      <c r="E11445" s="18" t="s">
        <v>0</v>
      </c>
      <c r="F11445" s="41">
        <v>1</v>
      </c>
      <c r="G11445" s="4">
        <v>9</v>
      </c>
      <c r="H11445" s="18">
        <v>25.394850000000002</v>
      </c>
      <c r="I11445" s="90"/>
      <c r="J11445" s="90"/>
    </row>
    <row r="11446" spans="1:10" s="15" customFormat="1" ht="16.5" hidden="1" customHeight="1" outlineLevel="1" x14ac:dyDescent="0.25">
      <c r="A11446" s="18">
        <v>751</v>
      </c>
      <c r="B11446" s="4" t="s">
        <v>44</v>
      </c>
      <c r="C11446" s="38" t="s">
        <v>6343</v>
      </c>
      <c r="D11446" s="18">
        <v>2022</v>
      </c>
      <c r="E11446" s="18" t="s">
        <v>0</v>
      </c>
      <c r="F11446" s="41">
        <v>1</v>
      </c>
      <c r="G11446" s="4">
        <v>15</v>
      </c>
      <c r="H11446" s="18">
        <v>25.93084</v>
      </c>
      <c r="I11446" s="90"/>
      <c r="J11446" s="90"/>
    </row>
    <row r="11447" spans="1:10" s="15" customFormat="1" ht="16.5" hidden="1" customHeight="1" outlineLevel="1" x14ac:dyDescent="0.25">
      <c r="A11447" s="18">
        <v>781</v>
      </c>
      <c r="B11447" s="4" t="s">
        <v>44</v>
      </c>
      <c r="C11447" s="38" t="s">
        <v>6344</v>
      </c>
      <c r="D11447" s="18">
        <v>2022</v>
      </c>
      <c r="E11447" s="18" t="s">
        <v>0</v>
      </c>
      <c r="F11447" s="41">
        <v>1</v>
      </c>
      <c r="G11447" s="4">
        <v>9</v>
      </c>
      <c r="H11447" s="18">
        <v>24.569330000000001</v>
      </c>
      <c r="I11447" s="90"/>
      <c r="J11447" s="90"/>
    </row>
    <row r="11448" spans="1:10" s="15" customFormat="1" ht="16.5" hidden="1" customHeight="1" outlineLevel="1" x14ac:dyDescent="0.25">
      <c r="A11448" s="18">
        <v>729</v>
      </c>
      <c r="B11448" s="4" t="s">
        <v>44</v>
      </c>
      <c r="C11448" s="38" t="s">
        <v>6345</v>
      </c>
      <c r="D11448" s="18">
        <v>2022</v>
      </c>
      <c r="E11448" s="18" t="s">
        <v>0</v>
      </c>
      <c r="F11448" s="41">
        <v>1</v>
      </c>
      <c r="G11448" s="4">
        <v>9</v>
      </c>
      <c r="H11448" s="18">
        <v>24.552520000000001</v>
      </c>
      <c r="I11448" s="90"/>
      <c r="J11448" s="90"/>
    </row>
    <row r="11449" spans="1:10" s="15" customFormat="1" ht="16.5" hidden="1" customHeight="1" outlineLevel="1" x14ac:dyDescent="0.25">
      <c r="A11449" s="18">
        <v>742</v>
      </c>
      <c r="B11449" s="4" t="s">
        <v>44</v>
      </c>
      <c r="C11449" s="38" t="s">
        <v>6346</v>
      </c>
      <c r="D11449" s="18">
        <v>2022</v>
      </c>
      <c r="E11449" s="18" t="s">
        <v>0</v>
      </c>
      <c r="F11449" s="41">
        <v>1</v>
      </c>
      <c r="G11449" s="4">
        <v>15</v>
      </c>
      <c r="H11449" s="18">
        <v>25.38626</v>
      </c>
      <c r="I11449" s="90"/>
      <c r="J11449" s="90"/>
    </row>
    <row r="11450" spans="1:10" s="15" customFormat="1" ht="16.5" hidden="1" customHeight="1" outlineLevel="1" x14ac:dyDescent="0.25">
      <c r="A11450" s="18">
        <v>755</v>
      </c>
      <c r="B11450" s="4" t="s">
        <v>44</v>
      </c>
      <c r="C11450" s="38" t="s">
        <v>6347</v>
      </c>
      <c r="D11450" s="18">
        <v>2022</v>
      </c>
      <c r="E11450" s="18" t="s">
        <v>0</v>
      </c>
      <c r="F11450" s="41">
        <v>1</v>
      </c>
      <c r="G11450" s="4">
        <v>15</v>
      </c>
      <c r="H11450" s="18">
        <v>24.705549999999999</v>
      </c>
      <c r="I11450" s="90"/>
      <c r="J11450" s="90"/>
    </row>
    <row r="11451" spans="1:10" s="15" customFormat="1" ht="16.5" hidden="1" customHeight="1" outlineLevel="1" x14ac:dyDescent="0.25">
      <c r="A11451" s="18">
        <v>750</v>
      </c>
      <c r="B11451" s="4" t="s">
        <v>44</v>
      </c>
      <c r="C11451" s="38" t="s">
        <v>6348</v>
      </c>
      <c r="D11451" s="18">
        <v>2022</v>
      </c>
      <c r="E11451" s="18" t="s">
        <v>0</v>
      </c>
      <c r="F11451" s="41">
        <v>1</v>
      </c>
      <c r="G11451" s="4">
        <v>15</v>
      </c>
      <c r="H11451" s="18">
        <v>24.569299999999998</v>
      </c>
      <c r="I11451" s="90"/>
      <c r="J11451" s="90"/>
    </row>
    <row r="11452" spans="1:10" s="15" customFormat="1" ht="16.5" hidden="1" customHeight="1" outlineLevel="1" x14ac:dyDescent="0.25">
      <c r="A11452" s="18">
        <v>627</v>
      </c>
      <c r="B11452" s="4" t="s">
        <v>44</v>
      </c>
      <c r="C11452" s="38" t="s">
        <v>6349</v>
      </c>
      <c r="D11452" s="18">
        <v>2022</v>
      </c>
      <c r="E11452" s="18" t="s">
        <v>0</v>
      </c>
      <c r="F11452" s="41">
        <v>1</v>
      </c>
      <c r="G11452" s="4">
        <v>15</v>
      </c>
      <c r="H11452" s="18">
        <v>26.325140000000001</v>
      </c>
      <c r="I11452" s="90"/>
      <c r="J11452" s="90"/>
    </row>
    <row r="11453" spans="1:10" s="15" customFormat="1" ht="16.5" hidden="1" customHeight="1" outlineLevel="1" x14ac:dyDescent="0.25">
      <c r="A11453" s="18">
        <v>778</v>
      </c>
      <c r="B11453" s="4" t="s">
        <v>44</v>
      </c>
      <c r="C11453" s="38" t="s">
        <v>6350</v>
      </c>
      <c r="D11453" s="18">
        <v>2022</v>
      </c>
      <c r="E11453" s="18" t="s">
        <v>0</v>
      </c>
      <c r="F11453" s="41">
        <v>1</v>
      </c>
      <c r="G11453" s="4">
        <v>15</v>
      </c>
      <c r="H11453" s="18">
        <v>24.569330000000001</v>
      </c>
      <c r="I11453" s="90"/>
      <c r="J11453" s="90"/>
    </row>
    <row r="11454" spans="1:10" s="15" customFormat="1" ht="16.5" hidden="1" customHeight="1" outlineLevel="1" x14ac:dyDescent="0.25">
      <c r="A11454" s="18">
        <v>711</v>
      </c>
      <c r="B11454" s="4" t="s">
        <v>44</v>
      </c>
      <c r="C11454" s="38" t="s">
        <v>6351</v>
      </c>
      <c r="D11454" s="18">
        <v>2022</v>
      </c>
      <c r="E11454" s="18" t="s">
        <v>0</v>
      </c>
      <c r="F11454" s="41">
        <v>1</v>
      </c>
      <c r="G11454" s="4">
        <v>15</v>
      </c>
      <c r="H11454" s="18">
        <v>25.459250000000001</v>
      </c>
      <c r="I11454" s="90"/>
      <c r="J11454" s="90"/>
    </row>
    <row r="11455" spans="1:10" s="15" customFormat="1" ht="16.5" hidden="1" customHeight="1" outlineLevel="1" x14ac:dyDescent="0.25">
      <c r="A11455" s="18">
        <v>630</v>
      </c>
      <c r="B11455" s="4" t="s">
        <v>44</v>
      </c>
      <c r="C11455" s="38" t="s">
        <v>6352</v>
      </c>
      <c r="D11455" s="18">
        <v>2022</v>
      </c>
      <c r="E11455" s="18" t="s">
        <v>0</v>
      </c>
      <c r="F11455" s="41">
        <v>1</v>
      </c>
      <c r="G11455" s="4">
        <v>15</v>
      </c>
      <c r="H11455" s="18">
        <v>26.357610000000001</v>
      </c>
      <c r="I11455" s="90"/>
      <c r="J11455" s="90"/>
    </row>
    <row r="11456" spans="1:10" s="15" customFormat="1" ht="16.5" hidden="1" customHeight="1" outlineLevel="1" x14ac:dyDescent="0.25">
      <c r="A11456" s="18">
        <v>590</v>
      </c>
      <c r="B11456" s="4" t="s">
        <v>44</v>
      </c>
      <c r="C11456" s="38" t="s">
        <v>6353</v>
      </c>
      <c r="D11456" s="18">
        <v>2022</v>
      </c>
      <c r="E11456" s="18" t="s">
        <v>0</v>
      </c>
      <c r="F11456" s="41">
        <v>1</v>
      </c>
      <c r="G11456" s="4">
        <v>15</v>
      </c>
      <c r="H11456" s="18">
        <v>22.34158</v>
      </c>
      <c r="I11456" s="90"/>
      <c r="J11456" s="90"/>
    </row>
    <row r="11457" spans="1:10" s="15" customFormat="1" ht="16.5" hidden="1" customHeight="1" outlineLevel="1" x14ac:dyDescent="0.25">
      <c r="A11457" s="18">
        <v>633</v>
      </c>
      <c r="B11457" s="4" t="s">
        <v>44</v>
      </c>
      <c r="C11457" s="38" t="s">
        <v>6354</v>
      </c>
      <c r="D11457" s="18">
        <v>2022</v>
      </c>
      <c r="E11457" s="18" t="s">
        <v>0</v>
      </c>
      <c r="F11457" s="41">
        <v>1</v>
      </c>
      <c r="G11457" s="4">
        <v>15</v>
      </c>
      <c r="H11457" s="18">
        <v>26.387149999999998</v>
      </c>
      <c r="I11457" s="90"/>
      <c r="J11457" s="90"/>
    </row>
    <row r="11458" spans="1:10" s="15" customFormat="1" ht="16.5" hidden="1" customHeight="1" outlineLevel="1" x14ac:dyDescent="0.25">
      <c r="A11458" s="18">
        <v>673</v>
      </c>
      <c r="B11458" s="4" t="s">
        <v>44</v>
      </c>
      <c r="C11458" s="38" t="s">
        <v>6355</v>
      </c>
      <c r="D11458" s="18">
        <v>2022</v>
      </c>
      <c r="E11458" s="18" t="s">
        <v>0</v>
      </c>
      <c r="F11458" s="41">
        <v>1</v>
      </c>
      <c r="G11458" s="4">
        <v>15</v>
      </c>
      <c r="H11458" s="18">
        <v>23.198070000000001</v>
      </c>
      <c r="I11458" s="90"/>
      <c r="J11458" s="90"/>
    </row>
    <row r="11459" spans="1:10" s="15" customFormat="1" ht="16.5" hidden="1" customHeight="1" outlineLevel="1" x14ac:dyDescent="0.25">
      <c r="A11459" s="18">
        <v>761</v>
      </c>
      <c r="B11459" s="4" t="s">
        <v>44</v>
      </c>
      <c r="C11459" s="38" t="s">
        <v>6356</v>
      </c>
      <c r="D11459" s="18">
        <v>2022</v>
      </c>
      <c r="E11459" s="18" t="s">
        <v>0</v>
      </c>
      <c r="F11459" s="41">
        <v>1</v>
      </c>
      <c r="G11459" s="4">
        <v>15</v>
      </c>
      <c r="H11459" s="18">
        <v>24.56934</v>
      </c>
      <c r="I11459" s="90"/>
      <c r="J11459" s="90"/>
    </row>
    <row r="11460" spans="1:10" s="15" customFormat="1" ht="16.5" hidden="1" customHeight="1" outlineLevel="1" x14ac:dyDescent="0.25">
      <c r="A11460" s="18">
        <v>663</v>
      </c>
      <c r="B11460" s="4" t="s">
        <v>44</v>
      </c>
      <c r="C11460" s="38" t="s">
        <v>6357</v>
      </c>
      <c r="D11460" s="18">
        <v>2022</v>
      </c>
      <c r="E11460" s="18" t="s">
        <v>0</v>
      </c>
      <c r="F11460" s="41">
        <v>1</v>
      </c>
      <c r="G11460" s="4">
        <v>15</v>
      </c>
      <c r="H11460" s="18">
        <v>27.38937</v>
      </c>
      <c r="I11460" s="90"/>
      <c r="J11460" s="90"/>
    </row>
    <row r="11461" spans="1:10" s="15" customFormat="1" ht="16.5" hidden="1" customHeight="1" outlineLevel="1" x14ac:dyDescent="0.25">
      <c r="A11461" s="18">
        <v>722</v>
      </c>
      <c r="B11461" s="4" t="s">
        <v>44</v>
      </c>
      <c r="C11461" s="38" t="s">
        <v>6358</v>
      </c>
      <c r="D11461" s="18">
        <v>2022</v>
      </c>
      <c r="E11461" s="18" t="s">
        <v>0</v>
      </c>
      <c r="F11461" s="41">
        <v>1</v>
      </c>
      <c r="G11461" s="4">
        <v>15</v>
      </c>
      <c r="H11461" s="18">
        <v>24.68871</v>
      </c>
      <c r="I11461" s="90"/>
      <c r="J11461" s="90"/>
    </row>
    <row r="11462" spans="1:10" s="15" customFormat="1" ht="16.5" hidden="1" customHeight="1" outlineLevel="1" x14ac:dyDescent="0.25">
      <c r="A11462" s="18">
        <v>664</v>
      </c>
      <c r="B11462" s="4" t="s">
        <v>44</v>
      </c>
      <c r="C11462" s="38" t="s">
        <v>6359</v>
      </c>
      <c r="D11462" s="18">
        <v>2022</v>
      </c>
      <c r="E11462" s="18" t="s">
        <v>0</v>
      </c>
      <c r="F11462" s="41">
        <v>1</v>
      </c>
      <c r="G11462" s="4">
        <v>15</v>
      </c>
      <c r="H11462" s="18">
        <v>22.92305</v>
      </c>
      <c r="I11462" s="90"/>
      <c r="J11462" s="90"/>
    </row>
    <row r="11463" spans="1:10" s="15" customFormat="1" ht="16.5" hidden="1" customHeight="1" outlineLevel="1" x14ac:dyDescent="0.25">
      <c r="A11463" s="18">
        <v>704</v>
      </c>
      <c r="B11463" s="4" t="s">
        <v>44</v>
      </c>
      <c r="C11463" s="38" t="s">
        <v>6360</v>
      </c>
      <c r="D11463" s="18">
        <v>2022</v>
      </c>
      <c r="E11463" s="18" t="s">
        <v>0</v>
      </c>
      <c r="F11463" s="41">
        <v>1</v>
      </c>
      <c r="G11463" s="4">
        <v>9</v>
      </c>
      <c r="H11463" s="18">
        <v>22.936969999999999</v>
      </c>
      <c r="I11463" s="90"/>
      <c r="J11463" s="90"/>
    </row>
    <row r="11464" spans="1:10" s="15" customFormat="1" ht="16.5" hidden="1" customHeight="1" outlineLevel="1" x14ac:dyDescent="0.25">
      <c r="A11464" s="18">
        <v>707</v>
      </c>
      <c r="B11464" s="4" t="s">
        <v>44</v>
      </c>
      <c r="C11464" s="38" t="s">
        <v>6361</v>
      </c>
      <c r="D11464" s="18">
        <v>2022</v>
      </c>
      <c r="E11464" s="18" t="s">
        <v>0</v>
      </c>
      <c r="F11464" s="41">
        <v>1</v>
      </c>
      <c r="G11464" s="4">
        <v>15</v>
      </c>
      <c r="H11464" s="18">
        <v>22.937000000000001</v>
      </c>
      <c r="I11464" s="90"/>
      <c r="J11464" s="90"/>
    </row>
    <row r="11465" spans="1:10" s="15" customFormat="1" ht="16.5" hidden="1" customHeight="1" outlineLevel="1" x14ac:dyDescent="0.25">
      <c r="A11465" s="18">
        <v>605</v>
      </c>
      <c r="B11465" s="4" t="s">
        <v>44</v>
      </c>
      <c r="C11465" s="38" t="s">
        <v>6362</v>
      </c>
      <c r="D11465" s="18">
        <v>2022</v>
      </c>
      <c r="E11465" s="18" t="s">
        <v>0</v>
      </c>
      <c r="F11465" s="41">
        <v>1</v>
      </c>
      <c r="G11465" s="4">
        <v>15</v>
      </c>
      <c r="H11465" s="18">
        <v>22.371169999999999</v>
      </c>
      <c r="I11465" s="90"/>
      <c r="J11465" s="90"/>
    </row>
    <row r="11466" spans="1:10" s="15" customFormat="1" ht="16.5" hidden="1" customHeight="1" outlineLevel="1" x14ac:dyDescent="0.25">
      <c r="A11466" s="18">
        <v>756</v>
      </c>
      <c r="B11466" s="4" t="s">
        <v>44</v>
      </c>
      <c r="C11466" s="38" t="s">
        <v>6363</v>
      </c>
      <c r="D11466" s="18">
        <v>2022</v>
      </c>
      <c r="E11466" s="18" t="s">
        <v>0</v>
      </c>
      <c r="F11466" s="41">
        <v>1</v>
      </c>
      <c r="G11466" s="4">
        <v>15</v>
      </c>
      <c r="H11466" s="18">
        <v>24.569330000000001</v>
      </c>
      <c r="I11466" s="90"/>
      <c r="J11466" s="90"/>
    </row>
    <row r="11467" spans="1:10" s="15" customFormat="1" ht="16.5" hidden="1" customHeight="1" outlineLevel="1" x14ac:dyDescent="0.25">
      <c r="A11467" s="18">
        <v>853</v>
      </c>
      <c r="B11467" s="4" t="s">
        <v>44</v>
      </c>
      <c r="C11467" s="38" t="s">
        <v>6364</v>
      </c>
      <c r="D11467" s="18">
        <v>2022</v>
      </c>
      <c r="E11467" s="18" t="s">
        <v>0</v>
      </c>
      <c r="F11467" s="41">
        <v>1</v>
      </c>
      <c r="G11467" s="4">
        <v>15</v>
      </c>
      <c r="H11467" s="18">
        <v>25.446439999999999</v>
      </c>
      <c r="I11467" s="90"/>
      <c r="J11467" s="90"/>
    </row>
    <row r="11468" spans="1:10" s="15" customFormat="1" ht="16.5" hidden="1" customHeight="1" outlineLevel="1" x14ac:dyDescent="0.25">
      <c r="A11468" s="18">
        <v>674</v>
      </c>
      <c r="B11468" s="4" t="s">
        <v>44</v>
      </c>
      <c r="C11468" s="38" t="s">
        <v>6365</v>
      </c>
      <c r="D11468" s="18">
        <v>2022</v>
      </c>
      <c r="E11468" s="18" t="s">
        <v>0</v>
      </c>
      <c r="F11468" s="41">
        <v>1</v>
      </c>
      <c r="G11468" s="4">
        <v>15</v>
      </c>
      <c r="H11468" s="18">
        <v>22.92577</v>
      </c>
      <c r="I11468" s="90"/>
      <c r="J11468" s="90"/>
    </row>
    <row r="11469" spans="1:10" s="15" customFormat="1" ht="16.5" hidden="1" customHeight="1" outlineLevel="1" x14ac:dyDescent="0.25">
      <c r="A11469" s="18">
        <v>787</v>
      </c>
      <c r="B11469" s="4" t="s">
        <v>44</v>
      </c>
      <c r="C11469" s="38" t="s">
        <v>6366</v>
      </c>
      <c r="D11469" s="18">
        <v>2022</v>
      </c>
      <c r="E11469" s="18" t="s">
        <v>0</v>
      </c>
      <c r="F11469" s="41">
        <v>1</v>
      </c>
      <c r="G11469" s="4">
        <v>10</v>
      </c>
      <c r="H11469" s="18">
        <v>26.20317</v>
      </c>
      <c r="I11469" s="90"/>
      <c r="J11469" s="90"/>
    </row>
    <row r="11470" spans="1:10" s="15" customFormat="1" ht="16.5" hidden="1" customHeight="1" outlineLevel="1" x14ac:dyDescent="0.25">
      <c r="A11470" s="18">
        <v>791</v>
      </c>
      <c r="B11470" s="4" t="s">
        <v>44</v>
      </c>
      <c r="C11470" s="38" t="s">
        <v>6367</v>
      </c>
      <c r="D11470" s="18">
        <v>2022</v>
      </c>
      <c r="E11470" s="18" t="s">
        <v>0</v>
      </c>
      <c r="F11470" s="41">
        <v>1</v>
      </c>
      <c r="G11470" s="4">
        <v>9</v>
      </c>
      <c r="H11470" s="18">
        <v>25.522390000000001</v>
      </c>
      <c r="I11470" s="90"/>
      <c r="J11470" s="90"/>
    </row>
    <row r="11471" spans="1:10" s="15" customFormat="1" ht="16.5" hidden="1" customHeight="1" outlineLevel="1" x14ac:dyDescent="0.25">
      <c r="A11471" s="18">
        <v>838</v>
      </c>
      <c r="B11471" s="4" t="s">
        <v>44</v>
      </c>
      <c r="C11471" s="38" t="s">
        <v>6368</v>
      </c>
      <c r="D11471" s="18">
        <v>2022</v>
      </c>
      <c r="E11471" s="18" t="s">
        <v>0</v>
      </c>
      <c r="F11471" s="41">
        <v>1</v>
      </c>
      <c r="G11471" s="4">
        <v>13</v>
      </c>
      <c r="H11471" s="18">
        <v>25.99109</v>
      </c>
      <c r="I11471" s="90"/>
      <c r="J11471" s="90"/>
    </row>
    <row r="11472" spans="1:10" s="15" customFormat="1" ht="16.5" hidden="1" customHeight="1" outlineLevel="1" x14ac:dyDescent="0.25">
      <c r="A11472" s="18">
        <v>836</v>
      </c>
      <c r="B11472" s="4" t="s">
        <v>44</v>
      </c>
      <c r="C11472" s="38" t="s">
        <v>6369</v>
      </c>
      <c r="D11472" s="18">
        <v>2022</v>
      </c>
      <c r="E11472" s="18" t="s">
        <v>0</v>
      </c>
      <c r="F11472" s="41">
        <v>1</v>
      </c>
      <c r="G11472" s="4">
        <v>45</v>
      </c>
      <c r="H11472" s="18">
        <v>28.748619999999999</v>
      </c>
      <c r="I11472" s="90"/>
      <c r="J11472" s="90"/>
    </row>
    <row r="11473" spans="1:10" s="15" customFormat="1" ht="16.5" hidden="1" customHeight="1" outlineLevel="1" x14ac:dyDescent="0.25">
      <c r="A11473" s="18">
        <v>790</v>
      </c>
      <c r="B11473" s="4" t="s">
        <v>44</v>
      </c>
      <c r="C11473" s="38" t="s">
        <v>6370</v>
      </c>
      <c r="D11473" s="18">
        <v>2022</v>
      </c>
      <c r="E11473" s="18" t="s">
        <v>0</v>
      </c>
      <c r="F11473" s="41">
        <v>1</v>
      </c>
      <c r="G11473" s="4">
        <v>15</v>
      </c>
      <c r="H11473" s="18">
        <v>24.977779999999999</v>
      </c>
      <c r="I11473" s="90"/>
      <c r="J11473" s="90"/>
    </row>
    <row r="11474" spans="1:10" s="15" customFormat="1" ht="16.5" hidden="1" customHeight="1" outlineLevel="1" x14ac:dyDescent="0.25">
      <c r="A11474" s="18">
        <v>846</v>
      </c>
      <c r="B11474" s="4" t="s">
        <v>44</v>
      </c>
      <c r="C11474" s="38" t="s">
        <v>6371</v>
      </c>
      <c r="D11474" s="18">
        <v>2022</v>
      </c>
      <c r="E11474" s="18" t="s">
        <v>0</v>
      </c>
      <c r="F11474" s="41">
        <v>1</v>
      </c>
      <c r="G11474" s="4">
        <v>15</v>
      </c>
      <c r="H11474" s="18">
        <v>25.446449999999999</v>
      </c>
      <c r="I11474" s="90"/>
      <c r="J11474" s="90"/>
    </row>
    <row r="11475" spans="1:10" s="15" customFormat="1" ht="16.5" hidden="1" customHeight="1" outlineLevel="1" x14ac:dyDescent="0.25">
      <c r="A11475" s="18">
        <v>784</v>
      </c>
      <c r="B11475" s="4" t="s">
        <v>44</v>
      </c>
      <c r="C11475" s="38" t="s">
        <v>6372</v>
      </c>
      <c r="D11475" s="18">
        <v>2022</v>
      </c>
      <c r="E11475" s="18" t="s">
        <v>0</v>
      </c>
      <c r="F11475" s="41">
        <v>1</v>
      </c>
      <c r="G11475" s="4">
        <v>9</v>
      </c>
      <c r="H11475" s="18">
        <v>24.569330000000001</v>
      </c>
      <c r="I11475" s="90"/>
      <c r="J11475" s="90"/>
    </row>
    <row r="11476" spans="1:10" s="15" customFormat="1" ht="16.5" hidden="1" customHeight="1" outlineLevel="1" x14ac:dyDescent="0.25">
      <c r="A11476" s="18">
        <v>848</v>
      </c>
      <c r="B11476" s="4" t="s">
        <v>43</v>
      </c>
      <c r="C11476" s="38" t="s">
        <v>6373</v>
      </c>
      <c r="D11476" s="18">
        <v>2022</v>
      </c>
      <c r="E11476" s="18" t="s">
        <v>0</v>
      </c>
      <c r="F11476" s="41">
        <v>1</v>
      </c>
      <c r="G11476" s="4">
        <v>15</v>
      </c>
      <c r="H11476" s="18">
        <v>25.446459999999998</v>
      </c>
      <c r="I11476" s="90"/>
      <c r="J11476" s="90"/>
    </row>
    <row r="11477" spans="1:10" s="15" customFormat="1" ht="16.5" hidden="1" customHeight="1" outlineLevel="1" x14ac:dyDescent="0.25">
      <c r="A11477" s="18">
        <v>802</v>
      </c>
      <c r="B11477" s="4" t="s">
        <v>44</v>
      </c>
      <c r="C11477" s="38" t="s">
        <v>6374</v>
      </c>
      <c r="D11477" s="18">
        <v>2022</v>
      </c>
      <c r="E11477" s="18" t="s">
        <v>0</v>
      </c>
      <c r="F11477" s="41">
        <v>1</v>
      </c>
      <c r="G11477" s="4">
        <v>15</v>
      </c>
      <c r="H11477" s="18">
        <v>24.56598</v>
      </c>
      <c r="I11477" s="90"/>
      <c r="J11477" s="90"/>
    </row>
    <row r="11478" spans="1:10" s="15" customFormat="1" ht="16.5" hidden="1" customHeight="1" outlineLevel="1" x14ac:dyDescent="0.25">
      <c r="A11478" s="18">
        <v>803</v>
      </c>
      <c r="B11478" s="4" t="s">
        <v>44</v>
      </c>
      <c r="C11478" s="38" t="s">
        <v>6375</v>
      </c>
      <c r="D11478" s="18">
        <v>2022</v>
      </c>
      <c r="E11478" s="18" t="s">
        <v>0</v>
      </c>
      <c r="F11478" s="41">
        <v>1</v>
      </c>
      <c r="G11478" s="4">
        <v>15</v>
      </c>
      <c r="H11478" s="18">
        <v>24.56934</v>
      </c>
      <c r="I11478" s="90"/>
      <c r="J11478" s="90"/>
    </row>
    <row r="11479" spans="1:10" s="15" customFormat="1" ht="16.5" hidden="1" customHeight="1" outlineLevel="1" x14ac:dyDescent="0.25">
      <c r="A11479" s="18">
        <v>849</v>
      </c>
      <c r="B11479" s="4" t="s">
        <v>44</v>
      </c>
      <c r="C11479" s="38" t="s">
        <v>6376</v>
      </c>
      <c r="D11479" s="18">
        <v>2022</v>
      </c>
      <c r="E11479" s="18" t="s">
        <v>0</v>
      </c>
      <c r="F11479" s="41">
        <v>1</v>
      </c>
      <c r="G11479" s="4">
        <v>15</v>
      </c>
      <c r="H11479" s="18">
        <v>25.446439999999999</v>
      </c>
      <c r="I11479" s="90"/>
      <c r="J11479" s="90"/>
    </row>
    <row r="11480" spans="1:10" s="15" customFormat="1" ht="16.5" hidden="1" customHeight="1" outlineLevel="1" x14ac:dyDescent="0.25">
      <c r="A11480" s="18">
        <v>694</v>
      </c>
      <c r="B11480" s="4" t="s">
        <v>44</v>
      </c>
      <c r="C11480" s="38" t="s">
        <v>6377</v>
      </c>
      <c r="D11480" s="18">
        <v>2022</v>
      </c>
      <c r="E11480" s="18" t="s">
        <v>0</v>
      </c>
      <c r="F11480" s="41">
        <v>1</v>
      </c>
      <c r="G11480" s="4">
        <v>30</v>
      </c>
      <c r="H11480" s="18">
        <v>28.387560000000001</v>
      </c>
      <c r="I11480" s="90"/>
      <c r="J11480" s="90"/>
    </row>
    <row r="11481" spans="1:10" s="15" customFormat="1" ht="16.5" hidden="1" customHeight="1" outlineLevel="1" x14ac:dyDescent="0.25">
      <c r="A11481" s="18">
        <v>531</v>
      </c>
      <c r="B11481" s="4" t="s">
        <v>44</v>
      </c>
      <c r="C11481" s="38" t="s">
        <v>6378</v>
      </c>
      <c r="D11481" s="18">
        <v>2022</v>
      </c>
      <c r="E11481" s="18" t="s">
        <v>0</v>
      </c>
      <c r="F11481" s="41">
        <v>1</v>
      </c>
      <c r="G11481" s="4">
        <v>15</v>
      </c>
      <c r="H11481" s="18">
        <v>26.670200000000001</v>
      </c>
      <c r="I11481" s="90"/>
      <c r="J11481" s="90"/>
    </row>
    <row r="11482" spans="1:10" s="15" customFormat="1" ht="16.5" hidden="1" customHeight="1" outlineLevel="1" x14ac:dyDescent="0.25">
      <c r="A11482" s="18">
        <v>871</v>
      </c>
      <c r="B11482" s="4" t="s">
        <v>44</v>
      </c>
      <c r="C11482" s="38" t="s">
        <v>6379</v>
      </c>
      <c r="D11482" s="18">
        <v>2022</v>
      </c>
      <c r="E11482" s="18" t="s">
        <v>0</v>
      </c>
      <c r="F11482" s="41">
        <v>1</v>
      </c>
      <c r="G11482" s="4">
        <v>7</v>
      </c>
      <c r="H11482" s="18">
        <v>26.207100000000001</v>
      </c>
      <c r="I11482" s="90"/>
      <c r="J11482" s="90"/>
    </row>
    <row r="11483" spans="1:10" s="15" customFormat="1" ht="16.5" hidden="1" customHeight="1" outlineLevel="1" x14ac:dyDescent="0.25">
      <c r="A11483" s="18">
        <v>797</v>
      </c>
      <c r="B11483" s="4" t="s">
        <v>44</v>
      </c>
      <c r="C11483" s="38" t="s">
        <v>6380</v>
      </c>
      <c r="D11483" s="18">
        <v>2022</v>
      </c>
      <c r="E11483" s="18" t="s">
        <v>0</v>
      </c>
      <c r="F11483" s="41">
        <v>1</v>
      </c>
      <c r="G11483" s="4">
        <v>15</v>
      </c>
      <c r="H11483" s="18">
        <v>25.518190000000001</v>
      </c>
      <c r="I11483" s="90"/>
      <c r="J11483" s="90"/>
    </row>
    <row r="11484" spans="1:10" s="15" customFormat="1" ht="16.5" hidden="1" customHeight="1" outlineLevel="1" x14ac:dyDescent="0.25">
      <c r="A11484" s="18">
        <v>825</v>
      </c>
      <c r="B11484" s="4" t="s">
        <v>44</v>
      </c>
      <c r="C11484" s="38" t="s">
        <v>6381</v>
      </c>
      <c r="D11484" s="18">
        <v>2022</v>
      </c>
      <c r="E11484" s="18" t="s">
        <v>0</v>
      </c>
      <c r="F11484" s="41">
        <v>1</v>
      </c>
      <c r="G11484" s="4">
        <v>9</v>
      </c>
      <c r="H11484" s="18">
        <v>25.533149999999999</v>
      </c>
      <c r="I11484" s="90"/>
      <c r="J11484" s="90"/>
    </row>
    <row r="11485" spans="1:10" s="15" customFormat="1" ht="16.5" hidden="1" customHeight="1" outlineLevel="1" x14ac:dyDescent="0.25">
      <c r="A11485" s="18">
        <v>545</v>
      </c>
      <c r="B11485" s="4" t="s">
        <v>44</v>
      </c>
      <c r="C11485" s="38" t="s">
        <v>2431</v>
      </c>
      <c r="D11485" s="18">
        <v>2022</v>
      </c>
      <c r="E11485" s="18" t="s">
        <v>0</v>
      </c>
      <c r="F11485" s="41">
        <v>1</v>
      </c>
      <c r="G11485" s="4">
        <v>15</v>
      </c>
      <c r="H11485" s="18">
        <v>23.913060000000002</v>
      </c>
      <c r="I11485" s="90"/>
      <c r="J11485" s="90"/>
    </row>
    <row r="11486" spans="1:10" s="15" customFormat="1" ht="16.5" hidden="1" customHeight="1" outlineLevel="1" x14ac:dyDescent="0.25">
      <c r="A11486" s="18">
        <v>773</v>
      </c>
      <c r="B11486" s="4" t="s">
        <v>44</v>
      </c>
      <c r="C11486" s="38" t="s">
        <v>6382</v>
      </c>
      <c r="D11486" s="18">
        <v>2022</v>
      </c>
      <c r="E11486" s="18" t="s">
        <v>0</v>
      </c>
      <c r="F11486" s="41">
        <v>1</v>
      </c>
      <c r="G11486" s="4">
        <v>12</v>
      </c>
      <c r="H11486" s="18">
        <v>26.000779999999999</v>
      </c>
      <c r="I11486" s="90"/>
      <c r="J11486" s="90"/>
    </row>
    <row r="11487" spans="1:10" s="15" customFormat="1" ht="16.5" hidden="1" customHeight="1" outlineLevel="1" x14ac:dyDescent="0.25">
      <c r="A11487" s="18">
        <v>497</v>
      </c>
      <c r="B11487" s="4" t="s">
        <v>44</v>
      </c>
      <c r="C11487" s="38" t="s">
        <v>2432</v>
      </c>
      <c r="D11487" s="18">
        <v>2022</v>
      </c>
      <c r="E11487" s="18" t="s">
        <v>0</v>
      </c>
      <c r="F11487" s="41">
        <v>1</v>
      </c>
      <c r="G11487" s="4">
        <v>7</v>
      </c>
      <c r="H11487" s="18">
        <v>27.826350000000001</v>
      </c>
      <c r="I11487" s="90"/>
      <c r="J11487" s="90"/>
    </row>
    <row r="11488" spans="1:10" s="15" customFormat="1" ht="16.5" hidden="1" customHeight="1" outlineLevel="1" x14ac:dyDescent="0.25">
      <c r="A11488" s="18">
        <v>486</v>
      </c>
      <c r="B11488" s="4" t="s">
        <v>44</v>
      </c>
      <c r="C11488" s="38" t="s">
        <v>2434</v>
      </c>
      <c r="D11488" s="18">
        <v>2022</v>
      </c>
      <c r="E11488" s="18" t="s">
        <v>0</v>
      </c>
      <c r="F11488" s="41">
        <v>1</v>
      </c>
      <c r="G11488" s="4">
        <v>15</v>
      </c>
      <c r="H11488" s="18">
        <v>25.60351</v>
      </c>
      <c r="I11488" s="90"/>
      <c r="J11488" s="90"/>
    </row>
    <row r="11489" spans="1:10" s="15" customFormat="1" ht="16.5" hidden="1" customHeight="1" outlineLevel="1" x14ac:dyDescent="0.25">
      <c r="A11489" s="18">
        <v>833</v>
      </c>
      <c r="B11489" s="4" t="s">
        <v>44</v>
      </c>
      <c r="C11489" s="38" t="s">
        <v>6383</v>
      </c>
      <c r="D11489" s="18">
        <v>2022</v>
      </c>
      <c r="E11489" s="18" t="s">
        <v>0</v>
      </c>
      <c r="F11489" s="41">
        <v>1</v>
      </c>
      <c r="G11489" s="4">
        <v>15</v>
      </c>
      <c r="H11489" s="18">
        <v>26.70853</v>
      </c>
      <c r="I11489" s="90"/>
      <c r="J11489" s="90"/>
    </row>
    <row r="11490" spans="1:10" s="15" customFormat="1" ht="16.5" hidden="1" customHeight="1" outlineLevel="1" x14ac:dyDescent="0.25">
      <c r="A11490" s="18">
        <v>785</v>
      </c>
      <c r="B11490" s="4" t="s">
        <v>44</v>
      </c>
      <c r="C11490" s="38" t="s">
        <v>6384</v>
      </c>
      <c r="D11490" s="18">
        <v>2022</v>
      </c>
      <c r="E11490" s="18" t="s">
        <v>0</v>
      </c>
      <c r="F11490" s="41">
        <v>1</v>
      </c>
      <c r="G11490" s="4">
        <v>12</v>
      </c>
      <c r="H11490" s="18">
        <v>26.155940000000001</v>
      </c>
      <c r="I11490" s="90"/>
      <c r="J11490" s="90"/>
    </row>
    <row r="11491" spans="1:10" s="15" customFormat="1" ht="16.5" hidden="1" customHeight="1" outlineLevel="1" x14ac:dyDescent="0.25">
      <c r="A11491" s="18">
        <v>808</v>
      </c>
      <c r="B11491" s="4" t="s">
        <v>43</v>
      </c>
      <c r="C11491" s="38" t="s">
        <v>6385</v>
      </c>
      <c r="D11491" s="18">
        <v>2022</v>
      </c>
      <c r="E11491" s="18" t="s">
        <v>0</v>
      </c>
      <c r="F11491" s="41">
        <v>1</v>
      </c>
      <c r="G11491" s="4">
        <v>10.5</v>
      </c>
      <c r="H11491" s="18">
        <v>28.28407</v>
      </c>
      <c r="I11491" s="90"/>
      <c r="J11491" s="90"/>
    </row>
    <row r="11492" spans="1:10" s="15" customFormat="1" ht="16.5" hidden="1" customHeight="1" outlineLevel="1" x14ac:dyDescent="0.25">
      <c r="A11492" s="18">
        <v>818</v>
      </c>
      <c r="B11492" s="4" t="s">
        <v>44</v>
      </c>
      <c r="C11492" s="38" t="s">
        <v>6386</v>
      </c>
      <c r="D11492" s="18">
        <v>2022</v>
      </c>
      <c r="E11492" s="18" t="s">
        <v>0</v>
      </c>
      <c r="F11492" s="41">
        <v>1</v>
      </c>
      <c r="G11492" s="4">
        <v>15</v>
      </c>
      <c r="H11492" s="18">
        <v>26.880189999999999</v>
      </c>
      <c r="I11492" s="90"/>
      <c r="J11492" s="90"/>
    </row>
    <row r="11493" spans="1:10" s="15" customFormat="1" ht="16.5" hidden="1" customHeight="1" outlineLevel="1" x14ac:dyDescent="0.25">
      <c r="A11493" s="18">
        <v>879</v>
      </c>
      <c r="B11493" s="4" t="s">
        <v>44</v>
      </c>
      <c r="C11493" s="38" t="s">
        <v>6387</v>
      </c>
      <c r="D11493" s="18">
        <v>2022</v>
      </c>
      <c r="E11493" s="18" t="s">
        <v>0</v>
      </c>
      <c r="F11493" s="41">
        <v>1</v>
      </c>
      <c r="G11493" s="4">
        <v>9</v>
      </c>
      <c r="H11493" s="18">
        <v>17.12706</v>
      </c>
      <c r="I11493" s="90"/>
      <c r="J11493" s="90"/>
    </row>
    <row r="11494" spans="1:10" s="15" customFormat="1" ht="16.5" hidden="1" customHeight="1" outlineLevel="1" x14ac:dyDescent="0.25">
      <c r="A11494" s="18">
        <v>683</v>
      </c>
      <c r="B11494" s="4" t="s">
        <v>44</v>
      </c>
      <c r="C11494" s="38" t="s">
        <v>6388</v>
      </c>
      <c r="D11494" s="18">
        <v>2022</v>
      </c>
      <c r="E11494" s="18" t="s">
        <v>0</v>
      </c>
      <c r="F11494" s="41">
        <v>2</v>
      </c>
      <c r="G11494" s="4">
        <v>30</v>
      </c>
      <c r="H11494" s="18">
        <v>56.649929999999998</v>
      </c>
      <c r="I11494" s="90"/>
      <c r="J11494" s="90"/>
    </row>
    <row r="11495" spans="1:10" s="15" customFormat="1" ht="16.5" hidden="1" customHeight="1" outlineLevel="1" x14ac:dyDescent="0.25">
      <c r="A11495" s="18">
        <v>809</v>
      </c>
      <c r="B11495" s="4" t="s">
        <v>44</v>
      </c>
      <c r="C11495" s="38" t="s">
        <v>6389</v>
      </c>
      <c r="D11495" s="18">
        <v>2022</v>
      </c>
      <c r="E11495" s="18" t="s">
        <v>0</v>
      </c>
      <c r="F11495" s="41">
        <v>1</v>
      </c>
      <c r="G11495" s="4">
        <v>15</v>
      </c>
      <c r="H11495" s="18">
        <v>24.901399999999999</v>
      </c>
      <c r="I11495" s="90"/>
      <c r="J11495" s="90"/>
    </row>
    <row r="11496" spans="1:10" s="15" customFormat="1" ht="16.5" hidden="1" customHeight="1" outlineLevel="1" x14ac:dyDescent="0.25">
      <c r="A11496" s="18">
        <v>854</v>
      </c>
      <c r="B11496" s="4" t="s">
        <v>44</v>
      </c>
      <c r="C11496" s="38" t="s">
        <v>6390</v>
      </c>
      <c r="D11496" s="18">
        <v>2022</v>
      </c>
      <c r="E11496" s="18" t="s">
        <v>0</v>
      </c>
      <c r="F11496" s="41">
        <v>1</v>
      </c>
      <c r="G11496" s="4">
        <v>15</v>
      </c>
      <c r="H11496" s="18">
        <v>25.658000000000001</v>
      </c>
      <c r="I11496" s="90"/>
      <c r="J11496" s="90"/>
    </row>
    <row r="11497" spans="1:10" s="15" customFormat="1" ht="16.5" hidden="1" customHeight="1" outlineLevel="1" x14ac:dyDescent="0.25">
      <c r="A11497" s="18">
        <v>649</v>
      </c>
      <c r="B11497" s="4" t="s">
        <v>44</v>
      </c>
      <c r="C11497" s="38" t="s">
        <v>6391</v>
      </c>
      <c r="D11497" s="18">
        <v>2022</v>
      </c>
      <c r="E11497" s="18" t="s">
        <v>0</v>
      </c>
      <c r="F11497" s="41">
        <v>1</v>
      </c>
      <c r="G11497" s="4">
        <v>7.5</v>
      </c>
      <c r="H11497" s="18">
        <v>22.967210000000001</v>
      </c>
      <c r="I11497" s="90"/>
      <c r="J11497" s="90"/>
    </row>
    <row r="11498" spans="1:10" s="15" customFormat="1" ht="16.5" hidden="1" customHeight="1" outlineLevel="1" x14ac:dyDescent="0.25">
      <c r="A11498" s="18">
        <v>857</v>
      </c>
      <c r="B11498" s="4" t="s">
        <v>44</v>
      </c>
      <c r="C11498" s="38" t="s">
        <v>6392</v>
      </c>
      <c r="D11498" s="18">
        <v>2022</v>
      </c>
      <c r="E11498" s="18" t="s">
        <v>0</v>
      </c>
      <c r="F11498" s="41">
        <v>1</v>
      </c>
      <c r="G11498" s="4">
        <v>15</v>
      </c>
      <c r="H11498" s="18">
        <v>27.01726</v>
      </c>
      <c r="I11498" s="90"/>
      <c r="J11498" s="90"/>
    </row>
    <row r="11499" spans="1:10" s="15" customFormat="1" ht="16.5" hidden="1" customHeight="1" outlineLevel="1" x14ac:dyDescent="0.25">
      <c r="A11499" s="18">
        <v>860</v>
      </c>
      <c r="B11499" s="4" t="s">
        <v>43</v>
      </c>
      <c r="C11499" s="38" t="s">
        <v>6393</v>
      </c>
      <c r="D11499" s="18">
        <v>2022</v>
      </c>
      <c r="E11499" s="18" t="s">
        <v>0</v>
      </c>
      <c r="F11499" s="41">
        <v>1</v>
      </c>
      <c r="G11499" s="4">
        <v>12</v>
      </c>
      <c r="H11499" s="18">
        <v>25.487780000000001</v>
      </c>
      <c r="I11499" s="90"/>
      <c r="J11499" s="90"/>
    </row>
    <row r="11500" spans="1:10" s="15" customFormat="1" ht="16.5" hidden="1" customHeight="1" outlineLevel="1" x14ac:dyDescent="0.25">
      <c r="A11500" s="18">
        <v>506</v>
      </c>
      <c r="B11500" s="4" t="s">
        <v>44</v>
      </c>
      <c r="C11500" s="38" t="s">
        <v>2435</v>
      </c>
      <c r="D11500" s="18">
        <v>2022</v>
      </c>
      <c r="E11500" s="18" t="s">
        <v>0</v>
      </c>
      <c r="F11500" s="41">
        <v>1</v>
      </c>
      <c r="G11500" s="4">
        <v>15</v>
      </c>
      <c r="H11500" s="18">
        <v>29.35304</v>
      </c>
      <c r="I11500" s="90"/>
      <c r="J11500" s="90"/>
    </row>
    <row r="11501" spans="1:10" s="15" customFormat="1" ht="16.5" hidden="1" customHeight="1" outlineLevel="1" x14ac:dyDescent="0.25">
      <c r="A11501" s="18">
        <v>556</v>
      </c>
      <c r="B11501" s="4" t="s">
        <v>44</v>
      </c>
      <c r="C11501" s="38" t="s">
        <v>2436</v>
      </c>
      <c r="D11501" s="18">
        <v>2022</v>
      </c>
      <c r="E11501" s="18" t="s">
        <v>0</v>
      </c>
      <c r="F11501" s="41">
        <v>1</v>
      </c>
      <c r="G11501" s="4">
        <v>15</v>
      </c>
      <c r="H11501" s="18">
        <v>30.418230000000001</v>
      </c>
      <c r="I11501" s="90"/>
      <c r="J11501" s="90"/>
    </row>
    <row r="11502" spans="1:10" s="15" customFormat="1" ht="16.5" hidden="1" customHeight="1" outlineLevel="1" x14ac:dyDescent="0.25">
      <c r="A11502" s="18">
        <v>519</v>
      </c>
      <c r="B11502" s="4" t="s">
        <v>44</v>
      </c>
      <c r="C11502" s="38" t="s">
        <v>6394</v>
      </c>
      <c r="D11502" s="18">
        <v>2022</v>
      </c>
      <c r="E11502" s="18" t="s">
        <v>0</v>
      </c>
      <c r="F11502" s="41">
        <v>2</v>
      </c>
      <c r="G11502" s="4">
        <v>30</v>
      </c>
      <c r="H11502" s="18">
        <v>55.557380000000002</v>
      </c>
      <c r="I11502" s="90"/>
      <c r="J11502" s="90"/>
    </row>
    <row r="11503" spans="1:10" s="15" customFormat="1" ht="16.5" hidden="1" customHeight="1" outlineLevel="1" x14ac:dyDescent="0.25">
      <c r="A11503" s="18">
        <v>561</v>
      </c>
      <c r="B11503" s="4" t="s">
        <v>44</v>
      </c>
      <c r="C11503" s="38" t="s">
        <v>2911</v>
      </c>
      <c r="D11503" s="18">
        <v>2022</v>
      </c>
      <c r="E11503" s="18" t="s">
        <v>0</v>
      </c>
      <c r="F11503" s="41">
        <v>1</v>
      </c>
      <c r="G11503" s="4">
        <v>15</v>
      </c>
      <c r="H11503" s="18">
        <v>59.39002</v>
      </c>
      <c r="I11503" s="90"/>
      <c r="J11503" s="90"/>
    </row>
    <row r="11504" spans="1:10" s="15" customFormat="1" ht="16.5" hidden="1" customHeight="1" outlineLevel="1" x14ac:dyDescent="0.25">
      <c r="A11504" s="18">
        <v>856</v>
      </c>
      <c r="B11504" s="4" t="s">
        <v>44</v>
      </c>
      <c r="C11504" s="38" t="s">
        <v>6395</v>
      </c>
      <c r="D11504" s="18">
        <v>2022</v>
      </c>
      <c r="E11504" s="18" t="s">
        <v>0</v>
      </c>
      <c r="F11504" s="41">
        <v>1</v>
      </c>
      <c r="G11504" s="4">
        <v>9</v>
      </c>
      <c r="H11504" s="18">
        <v>25.98001</v>
      </c>
      <c r="I11504" s="90"/>
      <c r="J11504" s="90"/>
    </row>
    <row r="11505" spans="1:10" s="15" customFormat="1" ht="16.5" hidden="1" customHeight="1" outlineLevel="1" x14ac:dyDescent="0.25">
      <c r="A11505" s="18">
        <v>852</v>
      </c>
      <c r="B11505" s="4" t="s">
        <v>44</v>
      </c>
      <c r="C11505" s="38" t="s">
        <v>6396</v>
      </c>
      <c r="D11505" s="18">
        <v>2022</v>
      </c>
      <c r="E11505" s="18" t="s">
        <v>0</v>
      </c>
      <c r="F11505" s="41">
        <v>1</v>
      </c>
      <c r="G11505" s="4">
        <v>15</v>
      </c>
      <c r="H11505" s="18">
        <v>26.160150000000002</v>
      </c>
      <c r="I11505" s="90"/>
      <c r="J11505" s="90"/>
    </row>
    <row r="11506" spans="1:10" s="15" customFormat="1" ht="16.5" hidden="1" customHeight="1" outlineLevel="1" x14ac:dyDescent="0.25">
      <c r="A11506" s="18">
        <v>855</v>
      </c>
      <c r="B11506" s="4" t="s">
        <v>44</v>
      </c>
      <c r="C11506" s="38" t="s">
        <v>6397</v>
      </c>
      <c r="D11506" s="18">
        <v>2022</v>
      </c>
      <c r="E11506" s="18" t="s">
        <v>0</v>
      </c>
      <c r="F11506" s="41">
        <v>1</v>
      </c>
      <c r="G11506" s="4">
        <v>13</v>
      </c>
      <c r="H11506" s="18">
        <v>25.979990000000001</v>
      </c>
      <c r="I11506" s="90"/>
      <c r="J11506" s="90"/>
    </row>
    <row r="11507" spans="1:10" s="15" customFormat="1" ht="16.5" hidden="1" customHeight="1" outlineLevel="1" x14ac:dyDescent="0.25">
      <c r="A11507" s="18">
        <v>876</v>
      </c>
      <c r="B11507" s="4" t="s">
        <v>44</v>
      </c>
      <c r="C11507" s="38" t="s">
        <v>6398</v>
      </c>
      <c r="D11507" s="18">
        <v>2022</v>
      </c>
      <c r="E11507" s="18" t="s">
        <v>0</v>
      </c>
      <c r="F11507" s="41">
        <v>1</v>
      </c>
      <c r="G11507" s="4">
        <v>6</v>
      </c>
      <c r="H11507" s="18">
        <v>19.956050000000001</v>
      </c>
      <c r="I11507" s="90"/>
      <c r="J11507" s="90"/>
    </row>
    <row r="11508" spans="1:10" s="15" customFormat="1" ht="16.5" hidden="1" customHeight="1" outlineLevel="1" x14ac:dyDescent="0.25">
      <c r="A11508" s="18">
        <v>845</v>
      </c>
      <c r="B11508" s="4" t="s">
        <v>44</v>
      </c>
      <c r="C11508" s="38" t="s">
        <v>6399</v>
      </c>
      <c r="D11508" s="18">
        <v>2022</v>
      </c>
      <c r="E11508" s="18" t="s">
        <v>0</v>
      </c>
      <c r="F11508" s="41">
        <v>1</v>
      </c>
      <c r="G11508" s="4">
        <v>6</v>
      </c>
      <c r="H11508" s="18">
        <v>19.312059999999999</v>
      </c>
      <c r="I11508" s="90"/>
      <c r="J11508" s="90"/>
    </row>
    <row r="11509" spans="1:10" s="15" customFormat="1" ht="16.5" hidden="1" customHeight="1" outlineLevel="1" x14ac:dyDescent="0.25">
      <c r="A11509" s="18">
        <v>814</v>
      </c>
      <c r="B11509" s="4" t="s">
        <v>44</v>
      </c>
      <c r="C11509" s="38" t="s">
        <v>6400</v>
      </c>
      <c r="D11509" s="18">
        <v>2022</v>
      </c>
      <c r="E11509" s="18" t="s">
        <v>0</v>
      </c>
      <c r="F11509" s="41">
        <v>1</v>
      </c>
      <c r="G11509" s="4">
        <v>9</v>
      </c>
      <c r="H11509" s="18">
        <v>26.150269999999999</v>
      </c>
      <c r="I11509" s="90"/>
      <c r="J11509" s="90"/>
    </row>
    <row r="11510" spans="1:10" s="15" customFormat="1" ht="16.5" hidden="1" customHeight="1" outlineLevel="1" x14ac:dyDescent="0.25">
      <c r="A11510" s="18">
        <v>821</v>
      </c>
      <c r="B11510" s="4" t="s">
        <v>44</v>
      </c>
      <c r="C11510" s="38" t="s">
        <v>6401</v>
      </c>
      <c r="D11510" s="18">
        <v>2022</v>
      </c>
      <c r="E11510" s="18" t="s">
        <v>0</v>
      </c>
      <c r="F11510" s="41">
        <v>1</v>
      </c>
      <c r="G11510" s="4">
        <v>7</v>
      </c>
      <c r="H11510" s="18">
        <v>26.93196</v>
      </c>
      <c r="I11510" s="90"/>
      <c r="J11510" s="90"/>
    </row>
    <row r="11511" spans="1:10" s="15" customFormat="1" ht="16.5" hidden="1" customHeight="1" outlineLevel="1" x14ac:dyDescent="0.25">
      <c r="A11511" s="18">
        <v>499</v>
      </c>
      <c r="B11511" s="4" t="s">
        <v>44</v>
      </c>
      <c r="C11511" s="38" t="s">
        <v>2440</v>
      </c>
      <c r="D11511" s="18">
        <v>2022</v>
      </c>
      <c r="E11511" s="18" t="s">
        <v>0</v>
      </c>
      <c r="F11511" s="41">
        <v>1</v>
      </c>
      <c r="G11511" s="4">
        <v>15</v>
      </c>
      <c r="H11511" s="18">
        <v>26.45495</v>
      </c>
      <c r="I11511" s="90"/>
      <c r="J11511" s="90"/>
    </row>
    <row r="11512" spans="1:10" s="15" customFormat="1" ht="16.5" hidden="1" customHeight="1" outlineLevel="1" x14ac:dyDescent="0.25">
      <c r="A11512" s="18">
        <v>488</v>
      </c>
      <c r="B11512" s="4" t="s">
        <v>44</v>
      </c>
      <c r="C11512" s="38" t="s">
        <v>2441</v>
      </c>
      <c r="D11512" s="18">
        <v>2022</v>
      </c>
      <c r="E11512" s="18" t="s">
        <v>0</v>
      </c>
      <c r="F11512" s="41">
        <v>1</v>
      </c>
      <c r="G11512" s="4">
        <v>15</v>
      </c>
      <c r="H11512" s="18">
        <v>26.127050000000001</v>
      </c>
      <c r="I11512" s="90"/>
      <c r="J11512" s="90"/>
    </row>
    <row r="11513" spans="1:10" s="15" customFormat="1" ht="16.5" hidden="1" customHeight="1" outlineLevel="1" x14ac:dyDescent="0.25">
      <c r="A11513" s="18">
        <v>889</v>
      </c>
      <c r="B11513" s="4" t="s">
        <v>44</v>
      </c>
      <c r="C11513" s="38" t="s">
        <v>6402</v>
      </c>
      <c r="D11513" s="18">
        <v>2022</v>
      </c>
      <c r="E11513" s="18" t="s">
        <v>0</v>
      </c>
      <c r="F11513" s="41">
        <v>1</v>
      </c>
      <c r="G11513" s="4">
        <v>14.75</v>
      </c>
      <c r="H11513" s="18">
        <v>19.692679999999999</v>
      </c>
      <c r="I11513" s="90"/>
      <c r="J11513" s="90"/>
    </row>
    <row r="11514" spans="1:10" s="15" customFormat="1" ht="16.5" hidden="1" customHeight="1" outlineLevel="1" x14ac:dyDescent="0.25">
      <c r="A11514" s="18">
        <v>888</v>
      </c>
      <c r="B11514" s="4" t="s">
        <v>44</v>
      </c>
      <c r="C11514" s="38" t="s">
        <v>6403</v>
      </c>
      <c r="D11514" s="18">
        <v>2022</v>
      </c>
      <c r="E11514" s="18" t="s">
        <v>0</v>
      </c>
      <c r="F11514" s="41">
        <v>1</v>
      </c>
      <c r="G11514" s="4">
        <v>5</v>
      </c>
      <c r="H11514" s="18">
        <v>19.69267</v>
      </c>
      <c r="I11514" s="90"/>
      <c r="J11514" s="90"/>
    </row>
    <row r="11515" spans="1:10" s="15" customFormat="1" ht="16.5" hidden="1" customHeight="1" outlineLevel="1" x14ac:dyDescent="0.25">
      <c r="A11515" s="18">
        <v>887</v>
      </c>
      <c r="B11515" s="4" t="s">
        <v>44</v>
      </c>
      <c r="C11515" s="38" t="s">
        <v>6404</v>
      </c>
      <c r="D11515" s="18">
        <v>2022</v>
      </c>
      <c r="E11515" s="18" t="s">
        <v>0</v>
      </c>
      <c r="F11515" s="41">
        <v>1</v>
      </c>
      <c r="G11515" s="4">
        <v>6</v>
      </c>
      <c r="H11515" s="18">
        <v>19.69267</v>
      </c>
      <c r="I11515" s="90"/>
      <c r="J11515" s="90"/>
    </row>
    <row r="11516" spans="1:10" s="15" customFormat="1" ht="16.5" hidden="1" customHeight="1" outlineLevel="1" x14ac:dyDescent="0.25">
      <c r="A11516" s="18">
        <v>885</v>
      </c>
      <c r="B11516" s="4" t="s">
        <v>44</v>
      </c>
      <c r="C11516" s="38" t="s">
        <v>6405</v>
      </c>
      <c r="D11516" s="18">
        <v>2022</v>
      </c>
      <c r="E11516" s="18" t="s">
        <v>0</v>
      </c>
      <c r="F11516" s="41">
        <v>1</v>
      </c>
      <c r="G11516" s="4">
        <v>15</v>
      </c>
      <c r="H11516" s="18">
        <v>19.692699999999999</v>
      </c>
      <c r="I11516" s="90"/>
      <c r="J11516" s="90"/>
    </row>
    <row r="11517" spans="1:10" s="15" customFormat="1" ht="16.5" hidden="1" customHeight="1" outlineLevel="1" x14ac:dyDescent="0.25">
      <c r="A11517" s="18">
        <v>890</v>
      </c>
      <c r="B11517" s="4" t="s">
        <v>44</v>
      </c>
      <c r="C11517" s="38" t="s">
        <v>6406</v>
      </c>
      <c r="D11517" s="18">
        <v>2022</v>
      </c>
      <c r="E11517" s="18" t="s">
        <v>0</v>
      </c>
      <c r="F11517" s="41">
        <v>1</v>
      </c>
      <c r="G11517" s="4">
        <v>7</v>
      </c>
      <c r="H11517" s="18">
        <v>19.692599999999999</v>
      </c>
      <c r="I11517" s="90"/>
      <c r="J11517" s="90"/>
    </row>
    <row r="11518" spans="1:10" s="15" customFormat="1" ht="16.5" hidden="1" customHeight="1" outlineLevel="1" x14ac:dyDescent="0.25">
      <c r="A11518" s="18">
        <v>702</v>
      </c>
      <c r="B11518" s="4" t="s">
        <v>44</v>
      </c>
      <c r="C11518" s="38" t="s">
        <v>6407</v>
      </c>
      <c r="D11518" s="18">
        <v>2022</v>
      </c>
      <c r="E11518" s="18" t="s">
        <v>0</v>
      </c>
      <c r="F11518" s="41">
        <v>1</v>
      </c>
      <c r="G11518" s="4">
        <v>15</v>
      </c>
      <c r="H11518" s="18">
        <v>21.806560000000001</v>
      </c>
      <c r="I11518" s="90"/>
      <c r="J11518" s="90"/>
    </row>
    <row r="11519" spans="1:10" s="15" customFormat="1" ht="16.5" hidden="1" customHeight="1" outlineLevel="1" x14ac:dyDescent="0.25">
      <c r="A11519" s="18">
        <v>525</v>
      </c>
      <c r="B11519" s="4" t="s">
        <v>44</v>
      </c>
      <c r="C11519" s="38" t="s">
        <v>2443</v>
      </c>
      <c r="D11519" s="18">
        <v>2022</v>
      </c>
      <c r="E11519" s="18" t="s">
        <v>0</v>
      </c>
      <c r="F11519" s="41">
        <v>1</v>
      </c>
      <c r="G11519" s="4">
        <v>15</v>
      </c>
      <c r="H11519" s="18">
        <v>27.048349999999999</v>
      </c>
      <c r="I11519" s="90"/>
      <c r="J11519" s="90"/>
    </row>
    <row r="11520" spans="1:10" s="15" customFormat="1" ht="16.5" hidden="1" customHeight="1" outlineLevel="1" x14ac:dyDescent="0.25">
      <c r="A11520" s="18">
        <v>503</v>
      </c>
      <c r="B11520" s="4" t="s">
        <v>44</v>
      </c>
      <c r="C11520" s="38" t="s">
        <v>2444</v>
      </c>
      <c r="D11520" s="18">
        <v>2022</v>
      </c>
      <c r="E11520" s="18" t="s">
        <v>0</v>
      </c>
      <c r="F11520" s="41">
        <v>1</v>
      </c>
      <c r="G11520" s="4">
        <v>15</v>
      </c>
      <c r="H11520" s="18">
        <v>26.495200000000001</v>
      </c>
      <c r="I11520" s="90"/>
      <c r="J11520" s="90"/>
    </row>
    <row r="11521" spans="1:10" s="15" customFormat="1" ht="16.5" hidden="1" customHeight="1" outlineLevel="1" x14ac:dyDescent="0.25">
      <c r="A11521" s="18">
        <v>695</v>
      </c>
      <c r="B11521" s="4" t="s">
        <v>44</v>
      </c>
      <c r="C11521" s="38" t="s">
        <v>6408</v>
      </c>
      <c r="D11521" s="18">
        <v>2022</v>
      </c>
      <c r="E11521" s="18" t="s">
        <v>0</v>
      </c>
      <c r="F11521" s="41">
        <v>1</v>
      </c>
      <c r="G11521" s="4">
        <v>130</v>
      </c>
      <c r="H11521" s="18">
        <v>48.269460000000002</v>
      </c>
      <c r="I11521" s="90"/>
      <c r="J11521" s="90"/>
    </row>
    <row r="11522" spans="1:10" s="15" customFormat="1" ht="16.5" hidden="1" customHeight="1" outlineLevel="1" x14ac:dyDescent="0.25">
      <c r="A11522" s="18">
        <v>891</v>
      </c>
      <c r="B11522" s="4" t="s">
        <v>44</v>
      </c>
      <c r="C11522" s="38" t="s">
        <v>6409</v>
      </c>
      <c r="D11522" s="18">
        <v>2022</v>
      </c>
      <c r="E11522" s="18" t="s">
        <v>0</v>
      </c>
      <c r="F11522" s="41">
        <v>1</v>
      </c>
      <c r="G11522" s="4">
        <v>9</v>
      </c>
      <c r="H11522" s="18">
        <v>21.739319999999999</v>
      </c>
      <c r="I11522" s="90"/>
      <c r="J11522" s="90"/>
    </row>
    <row r="11523" spans="1:10" s="15" customFormat="1" ht="16.5" hidden="1" customHeight="1" outlineLevel="1" x14ac:dyDescent="0.25">
      <c r="A11523" s="18">
        <v>892</v>
      </c>
      <c r="B11523" s="4" t="s">
        <v>44</v>
      </c>
      <c r="C11523" s="38" t="s">
        <v>6410</v>
      </c>
      <c r="D11523" s="18">
        <v>2022</v>
      </c>
      <c r="E11523" s="18" t="s">
        <v>0</v>
      </c>
      <c r="F11523" s="41">
        <v>1</v>
      </c>
      <c r="G11523" s="4">
        <v>9</v>
      </c>
      <c r="H11523" s="18">
        <v>20.161059999999999</v>
      </c>
      <c r="I11523" s="90"/>
      <c r="J11523" s="90"/>
    </row>
    <row r="11524" spans="1:10" s="15" customFormat="1" ht="16.5" hidden="1" customHeight="1" outlineLevel="1" x14ac:dyDescent="0.25">
      <c r="A11524" s="18">
        <v>893</v>
      </c>
      <c r="B11524" s="4" t="s">
        <v>44</v>
      </c>
      <c r="C11524" s="38" t="s">
        <v>6411</v>
      </c>
      <c r="D11524" s="18">
        <v>2022</v>
      </c>
      <c r="E11524" s="18" t="s">
        <v>0</v>
      </c>
      <c r="F11524" s="41">
        <v>1</v>
      </c>
      <c r="G11524" s="4">
        <v>13.3</v>
      </c>
      <c r="H11524" s="18">
        <v>22.528449999999999</v>
      </c>
      <c r="I11524" s="90"/>
      <c r="J11524" s="90"/>
    </row>
    <row r="11525" spans="1:10" s="15" customFormat="1" ht="16.5" hidden="1" customHeight="1" outlineLevel="1" x14ac:dyDescent="0.25">
      <c r="A11525" s="18">
        <v>894</v>
      </c>
      <c r="B11525" s="4" t="s">
        <v>44</v>
      </c>
      <c r="C11525" s="38" t="s">
        <v>6412</v>
      </c>
      <c r="D11525" s="18">
        <v>2022</v>
      </c>
      <c r="E11525" s="18" t="s">
        <v>0</v>
      </c>
      <c r="F11525" s="41">
        <v>1</v>
      </c>
      <c r="G11525" s="4">
        <v>9</v>
      </c>
      <c r="H11525" s="18">
        <v>20.161069999999999</v>
      </c>
      <c r="I11525" s="90"/>
      <c r="J11525" s="90"/>
    </row>
    <row r="11526" spans="1:10" s="15" customFormat="1" ht="16.5" hidden="1" customHeight="1" outlineLevel="1" x14ac:dyDescent="0.25">
      <c r="A11526" s="18">
        <v>895</v>
      </c>
      <c r="B11526" s="4" t="s">
        <v>44</v>
      </c>
      <c r="C11526" s="38" t="s">
        <v>6413</v>
      </c>
      <c r="D11526" s="18">
        <v>2022</v>
      </c>
      <c r="E11526" s="18" t="s">
        <v>0</v>
      </c>
      <c r="F11526" s="41">
        <v>1</v>
      </c>
      <c r="G11526" s="4">
        <v>15</v>
      </c>
      <c r="H11526" s="18">
        <v>20.161049999999999</v>
      </c>
      <c r="I11526" s="90"/>
      <c r="J11526" s="90"/>
    </row>
    <row r="11527" spans="1:10" s="15" customFormat="1" ht="16.5" hidden="1" customHeight="1" outlineLevel="1" x14ac:dyDescent="0.25">
      <c r="A11527" s="18">
        <v>822</v>
      </c>
      <c r="B11527" s="4" t="s">
        <v>44</v>
      </c>
      <c r="C11527" s="38" t="s">
        <v>6414</v>
      </c>
      <c r="D11527" s="18">
        <v>2022</v>
      </c>
      <c r="E11527" s="18" t="s">
        <v>0</v>
      </c>
      <c r="F11527" s="41">
        <v>1</v>
      </c>
      <c r="G11527" s="4">
        <v>15</v>
      </c>
      <c r="H11527" s="18">
        <v>26.76211</v>
      </c>
      <c r="I11527" s="90"/>
      <c r="J11527" s="90"/>
    </row>
    <row r="11528" spans="1:10" s="15" customFormat="1" ht="16.5" hidden="1" customHeight="1" outlineLevel="1" x14ac:dyDescent="0.25">
      <c r="A11528" s="18">
        <v>898</v>
      </c>
      <c r="B11528" s="4" t="s">
        <v>44</v>
      </c>
      <c r="C11528" s="38" t="s">
        <v>6415</v>
      </c>
      <c r="D11528" s="18">
        <v>2022</v>
      </c>
      <c r="E11528" s="18" t="s">
        <v>0</v>
      </c>
      <c r="F11528" s="41">
        <v>1</v>
      </c>
      <c r="G11528" s="4">
        <v>15</v>
      </c>
      <c r="H11528" s="18">
        <v>19.164480000000001</v>
      </c>
      <c r="I11528" s="90"/>
      <c r="J11528" s="90"/>
    </row>
    <row r="11529" spans="1:10" s="15" customFormat="1" ht="16.5" hidden="1" customHeight="1" outlineLevel="1" x14ac:dyDescent="0.25">
      <c r="A11529" s="18">
        <v>899</v>
      </c>
      <c r="B11529" s="4" t="s">
        <v>44</v>
      </c>
      <c r="C11529" s="38" t="s">
        <v>6416</v>
      </c>
      <c r="D11529" s="18">
        <v>2022</v>
      </c>
      <c r="E11529" s="18" t="s">
        <v>0</v>
      </c>
      <c r="F11529" s="41">
        <v>1</v>
      </c>
      <c r="G11529" s="4">
        <v>14</v>
      </c>
      <c r="H11529" s="18">
        <v>19.308399999999999</v>
      </c>
      <c r="I11529" s="90"/>
      <c r="J11529" s="90"/>
    </row>
    <row r="11530" spans="1:10" s="15" customFormat="1" ht="16.5" hidden="1" customHeight="1" outlineLevel="1" x14ac:dyDescent="0.25">
      <c r="A11530" s="18">
        <v>900</v>
      </c>
      <c r="B11530" s="4" t="s">
        <v>44</v>
      </c>
      <c r="C11530" s="38" t="s">
        <v>6417</v>
      </c>
      <c r="D11530" s="18">
        <v>2022</v>
      </c>
      <c r="E11530" s="18" t="s">
        <v>0</v>
      </c>
      <c r="F11530" s="41">
        <v>1</v>
      </c>
      <c r="G11530" s="4">
        <v>13</v>
      </c>
      <c r="H11530" s="18">
        <v>19.308409999999999</v>
      </c>
      <c r="I11530" s="90"/>
      <c r="J11530" s="90"/>
    </row>
    <row r="11531" spans="1:10" s="15" customFormat="1" ht="16.5" hidden="1" customHeight="1" outlineLevel="1" x14ac:dyDescent="0.25">
      <c r="A11531" s="18">
        <v>901</v>
      </c>
      <c r="B11531" s="4" t="s">
        <v>44</v>
      </c>
      <c r="C11531" s="38" t="s">
        <v>6418</v>
      </c>
      <c r="D11531" s="18">
        <v>2022</v>
      </c>
      <c r="E11531" s="18" t="s">
        <v>0</v>
      </c>
      <c r="F11531" s="41">
        <v>1</v>
      </c>
      <c r="G11531" s="4">
        <v>15</v>
      </c>
      <c r="H11531" s="18">
        <v>19.308409999999999</v>
      </c>
      <c r="I11531" s="90"/>
      <c r="J11531" s="90"/>
    </row>
    <row r="11532" spans="1:10" s="15" customFormat="1" ht="16.5" hidden="1" customHeight="1" outlineLevel="1" x14ac:dyDescent="0.25">
      <c r="A11532" s="18">
        <v>902</v>
      </c>
      <c r="B11532" s="4" t="s">
        <v>44</v>
      </c>
      <c r="C11532" s="38" t="s">
        <v>6419</v>
      </c>
      <c r="D11532" s="18">
        <v>2022</v>
      </c>
      <c r="E11532" s="18" t="s">
        <v>0</v>
      </c>
      <c r="F11532" s="41">
        <v>1</v>
      </c>
      <c r="G11532" s="4">
        <v>15</v>
      </c>
      <c r="H11532" s="18">
        <v>19.30838</v>
      </c>
      <c r="I11532" s="90"/>
      <c r="J11532" s="90"/>
    </row>
    <row r="11533" spans="1:10" s="15" customFormat="1" ht="16.5" hidden="1" customHeight="1" outlineLevel="1" x14ac:dyDescent="0.25">
      <c r="A11533" s="18">
        <v>903</v>
      </c>
      <c r="B11533" s="4" t="s">
        <v>44</v>
      </c>
      <c r="C11533" s="38" t="s">
        <v>6420</v>
      </c>
      <c r="D11533" s="18">
        <v>2022</v>
      </c>
      <c r="E11533" s="18" t="s">
        <v>0</v>
      </c>
      <c r="F11533" s="41">
        <v>1</v>
      </c>
      <c r="G11533" s="4">
        <v>9</v>
      </c>
      <c r="H11533" s="18">
        <v>19.308389999999999</v>
      </c>
      <c r="I11533" s="90"/>
      <c r="J11533" s="90"/>
    </row>
    <row r="11534" spans="1:10" s="15" customFormat="1" ht="16.5" hidden="1" customHeight="1" outlineLevel="1" x14ac:dyDescent="0.25">
      <c r="A11534" s="18">
        <v>904</v>
      </c>
      <c r="B11534" s="4" t="s">
        <v>44</v>
      </c>
      <c r="C11534" s="38" t="s">
        <v>6421</v>
      </c>
      <c r="D11534" s="18">
        <v>2022</v>
      </c>
      <c r="E11534" s="18" t="s">
        <v>0</v>
      </c>
      <c r="F11534" s="41">
        <v>1</v>
      </c>
      <c r="G11534" s="4">
        <v>15</v>
      </c>
      <c r="H11534" s="18">
        <v>19.308409999999999</v>
      </c>
      <c r="I11534" s="90"/>
      <c r="J11534" s="90"/>
    </row>
    <row r="11535" spans="1:10" s="15" customFormat="1" ht="16.5" hidden="1" customHeight="1" outlineLevel="1" x14ac:dyDescent="0.25">
      <c r="A11535" s="18">
        <v>905</v>
      </c>
      <c r="B11535" s="4" t="s">
        <v>44</v>
      </c>
      <c r="C11535" s="38" t="s">
        <v>6422</v>
      </c>
      <c r="D11535" s="18">
        <v>2022</v>
      </c>
      <c r="E11535" s="18" t="s">
        <v>0</v>
      </c>
      <c r="F11535" s="41">
        <v>1</v>
      </c>
      <c r="G11535" s="4">
        <v>15</v>
      </c>
      <c r="H11535" s="18">
        <v>19.308389999999999</v>
      </c>
      <c r="I11535" s="90"/>
      <c r="J11535" s="90"/>
    </row>
    <row r="11536" spans="1:10" s="15" customFormat="1" ht="16.5" hidden="1" customHeight="1" outlineLevel="1" x14ac:dyDescent="0.25">
      <c r="A11536" s="18">
        <v>906</v>
      </c>
      <c r="B11536" s="4" t="s">
        <v>44</v>
      </c>
      <c r="C11536" s="38" t="s">
        <v>6423</v>
      </c>
      <c r="D11536" s="18">
        <v>2022</v>
      </c>
      <c r="E11536" s="18" t="s">
        <v>0</v>
      </c>
      <c r="F11536" s="41">
        <v>1</v>
      </c>
      <c r="G11536" s="4">
        <v>14</v>
      </c>
      <c r="H11536" s="18">
        <v>19.308409999999999</v>
      </c>
      <c r="I11536" s="90"/>
      <c r="J11536" s="90"/>
    </row>
    <row r="11537" spans="1:10" s="15" customFormat="1" ht="16.5" hidden="1" customHeight="1" outlineLevel="1" x14ac:dyDescent="0.25">
      <c r="A11537" s="18">
        <v>907</v>
      </c>
      <c r="B11537" s="4" t="s">
        <v>44</v>
      </c>
      <c r="C11537" s="38" t="s">
        <v>6424</v>
      </c>
      <c r="D11537" s="18">
        <v>2022</v>
      </c>
      <c r="E11537" s="18" t="s">
        <v>0</v>
      </c>
      <c r="F11537" s="41">
        <v>1</v>
      </c>
      <c r="G11537" s="4">
        <v>14</v>
      </c>
      <c r="H11537" s="18">
        <v>19.30828</v>
      </c>
      <c r="I11537" s="90"/>
      <c r="J11537" s="90"/>
    </row>
    <row r="11538" spans="1:10" s="15" customFormat="1" ht="16.5" hidden="1" customHeight="1" outlineLevel="1" x14ac:dyDescent="0.25">
      <c r="A11538" s="18">
        <v>828</v>
      </c>
      <c r="B11538" s="4" t="s">
        <v>44</v>
      </c>
      <c r="C11538" s="38" t="s">
        <v>6425</v>
      </c>
      <c r="D11538" s="18">
        <v>2022</v>
      </c>
      <c r="E11538" s="18" t="s">
        <v>0</v>
      </c>
      <c r="F11538" s="41">
        <v>1</v>
      </c>
      <c r="G11538" s="4">
        <v>15</v>
      </c>
      <c r="H11538" s="18">
        <v>24.445810000000002</v>
      </c>
      <c r="I11538" s="90"/>
      <c r="J11538" s="90"/>
    </row>
    <row r="11539" spans="1:10" s="15" customFormat="1" ht="16.5" hidden="1" customHeight="1" outlineLevel="1" x14ac:dyDescent="0.25">
      <c r="A11539" s="18">
        <v>877</v>
      </c>
      <c r="B11539" s="4" t="s">
        <v>44</v>
      </c>
      <c r="C11539" s="38" t="s">
        <v>6426</v>
      </c>
      <c r="D11539" s="18">
        <v>2022</v>
      </c>
      <c r="E11539" s="18" t="s">
        <v>0</v>
      </c>
      <c r="F11539" s="41">
        <v>1</v>
      </c>
      <c r="G11539" s="4">
        <v>15</v>
      </c>
      <c r="H11539" s="18">
        <v>25.445530000000002</v>
      </c>
      <c r="I11539" s="90"/>
      <c r="J11539" s="90"/>
    </row>
    <row r="11540" spans="1:10" s="15" customFormat="1" ht="16.5" hidden="1" customHeight="1" outlineLevel="1" x14ac:dyDescent="0.25">
      <c r="A11540" s="18">
        <v>811</v>
      </c>
      <c r="B11540" s="4" t="s">
        <v>44</v>
      </c>
      <c r="C11540" s="38" t="s">
        <v>6427</v>
      </c>
      <c r="D11540" s="18">
        <v>2022</v>
      </c>
      <c r="E11540" s="18" t="s">
        <v>0</v>
      </c>
      <c r="F11540" s="41">
        <v>1</v>
      </c>
      <c r="G11540" s="4">
        <v>15</v>
      </c>
      <c r="H11540" s="18">
        <v>24.445810000000002</v>
      </c>
      <c r="I11540" s="90"/>
      <c r="J11540" s="90"/>
    </row>
    <row r="11541" spans="1:10" s="15" customFormat="1" ht="16.5" hidden="1" customHeight="1" outlineLevel="1" x14ac:dyDescent="0.25">
      <c r="A11541" s="18">
        <v>823</v>
      </c>
      <c r="B11541" s="4" t="s">
        <v>44</v>
      </c>
      <c r="C11541" s="38" t="s">
        <v>6428</v>
      </c>
      <c r="D11541" s="18">
        <v>2022</v>
      </c>
      <c r="E11541" s="18" t="s">
        <v>0</v>
      </c>
      <c r="F11541" s="41">
        <v>1</v>
      </c>
      <c r="G11541" s="4">
        <v>5</v>
      </c>
      <c r="H11541" s="18">
        <v>24.851600000000001</v>
      </c>
      <c r="I11541" s="90"/>
      <c r="J11541" s="90"/>
    </row>
    <row r="11542" spans="1:10" s="15" customFormat="1" ht="16.5" hidden="1" customHeight="1" outlineLevel="1" x14ac:dyDescent="0.25">
      <c r="A11542" s="18">
        <v>824</v>
      </c>
      <c r="B11542" s="4" t="s">
        <v>44</v>
      </c>
      <c r="C11542" s="38" t="s">
        <v>6429</v>
      </c>
      <c r="D11542" s="18">
        <v>2022</v>
      </c>
      <c r="E11542" s="18" t="s">
        <v>0</v>
      </c>
      <c r="F11542" s="41">
        <v>1</v>
      </c>
      <c r="G11542" s="4">
        <v>5</v>
      </c>
      <c r="H11542" s="18">
        <v>24.445789999999999</v>
      </c>
      <c r="I11542" s="90"/>
      <c r="J11542" s="90"/>
    </row>
    <row r="11543" spans="1:10" s="15" customFormat="1" ht="16.5" hidden="1" customHeight="1" outlineLevel="1" x14ac:dyDescent="0.25">
      <c r="A11543" s="18">
        <v>859</v>
      </c>
      <c r="B11543" s="4" t="s">
        <v>44</v>
      </c>
      <c r="C11543" s="38" t="s">
        <v>6430</v>
      </c>
      <c r="D11543" s="18">
        <v>2022</v>
      </c>
      <c r="E11543" s="18" t="s">
        <v>0</v>
      </c>
      <c r="F11543" s="41">
        <v>1</v>
      </c>
      <c r="G11543" s="4">
        <v>15</v>
      </c>
      <c r="H11543" s="18">
        <v>25.229130000000001</v>
      </c>
      <c r="I11543" s="90"/>
      <c r="J11543" s="90"/>
    </row>
    <row r="11544" spans="1:10" s="15" customFormat="1" ht="16.5" hidden="1" customHeight="1" outlineLevel="1" x14ac:dyDescent="0.25">
      <c r="A11544" s="18">
        <v>832</v>
      </c>
      <c r="B11544" s="4" t="s">
        <v>44</v>
      </c>
      <c r="C11544" s="38" t="s">
        <v>6431</v>
      </c>
      <c r="D11544" s="18">
        <v>2022</v>
      </c>
      <c r="E11544" s="18" t="s">
        <v>0</v>
      </c>
      <c r="F11544" s="41">
        <v>1</v>
      </c>
      <c r="G11544" s="4">
        <v>9</v>
      </c>
      <c r="H11544" s="18">
        <v>24.445799999999998</v>
      </c>
      <c r="I11544" s="90"/>
      <c r="J11544" s="90"/>
    </row>
    <row r="11545" spans="1:10" s="15" customFormat="1" ht="16.5" hidden="1" customHeight="1" outlineLevel="1" x14ac:dyDescent="0.25">
      <c r="A11545" s="18">
        <v>562</v>
      </c>
      <c r="B11545" s="4" t="s">
        <v>44</v>
      </c>
      <c r="C11545" s="38" t="s">
        <v>2912</v>
      </c>
      <c r="D11545" s="18">
        <v>2022</v>
      </c>
      <c r="E11545" s="18" t="s">
        <v>0</v>
      </c>
      <c r="F11545" s="41">
        <v>1</v>
      </c>
      <c r="G11545" s="4">
        <v>15</v>
      </c>
      <c r="H11545" s="18">
        <v>99.165459999999996</v>
      </c>
      <c r="I11545" s="90"/>
      <c r="J11545" s="90"/>
    </row>
    <row r="11546" spans="1:10" s="15" customFormat="1" ht="16.5" hidden="1" customHeight="1" outlineLevel="1" x14ac:dyDescent="0.25">
      <c r="A11546" s="18">
        <v>563</v>
      </c>
      <c r="B11546" s="4" t="s">
        <v>44</v>
      </c>
      <c r="C11546" s="38" t="s">
        <v>2447</v>
      </c>
      <c r="D11546" s="18">
        <v>2022</v>
      </c>
      <c r="E11546" s="18" t="s">
        <v>0</v>
      </c>
      <c r="F11546" s="41">
        <v>3</v>
      </c>
      <c r="G11546" s="4">
        <v>27</v>
      </c>
      <c r="H11546" s="18">
        <v>139.89227</v>
      </c>
      <c r="I11546" s="90"/>
      <c r="J11546" s="90"/>
    </row>
    <row r="11547" spans="1:10" s="15" customFormat="1" ht="16.5" hidden="1" customHeight="1" outlineLevel="1" x14ac:dyDescent="0.25">
      <c r="A11547" s="18">
        <v>564</v>
      </c>
      <c r="B11547" s="4" t="s">
        <v>44</v>
      </c>
      <c r="C11547" s="38" t="s">
        <v>2913</v>
      </c>
      <c r="D11547" s="18">
        <v>2022</v>
      </c>
      <c r="E11547" s="18" t="s">
        <v>0</v>
      </c>
      <c r="F11547" s="41">
        <v>1</v>
      </c>
      <c r="G11547" s="4">
        <v>15</v>
      </c>
      <c r="H11547" s="18">
        <v>50.113990000000001</v>
      </c>
      <c r="I11547" s="90"/>
      <c r="J11547" s="90"/>
    </row>
    <row r="11548" spans="1:10" s="15" customFormat="1" ht="16.5" hidden="1" customHeight="1" outlineLevel="1" x14ac:dyDescent="0.25">
      <c r="A11548" s="18">
        <v>565</v>
      </c>
      <c r="B11548" s="4" t="s">
        <v>44</v>
      </c>
      <c r="C11548" s="38" t="s">
        <v>6432</v>
      </c>
      <c r="D11548" s="18">
        <v>2022</v>
      </c>
      <c r="E11548" s="18" t="s">
        <v>0</v>
      </c>
      <c r="F11548" s="41">
        <v>1</v>
      </c>
      <c r="G11548" s="4">
        <v>15</v>
      </c>
      <c r="H11548" s="18">
        <v>51.032589999999999</v>
      </c>
      <c r="I11548" s="90"/>
      <c r="J11548" s="90"/>
    </row>
    <row r="11549" spans="1:10" s="15" customFormat="1" ht="16.5" hidden="1" customHeight="1" outlineLevel="1" x14ac:dyDescent="0.25">
      <c r="A11549" s="18">
        <v>566</v>
      </c>
      <c r="B11549" s="4" t="s">
        <v>44</v>
      </c>
      <c r="C11549" s="38" t="s">
        <v>2449</v>
      </c>
      <c r="D11549" s="18">
        <v>2022</v>
      </c>
      <c r="E11549" s="18" t="s">
        <v>0</v>
      </c>
      <c r="F11549" s="41">
        <v>1</v>
      </c>
      <c r="G11549" s="4">
        <v>9</v>
      </c>
      <c r="H11549" s="18">
        <v>63.130009999999999</v>
      </c>
      <c r="I11549" s="90"/>
      <c r="J11549" s="90"/>
    </row>
    <row r="11550" spans="1:10" s="15" customFormat="1" ht="16.5" hidden="1" customHeight="1" outlineLevel="1" x14ac:dyDescent="0.25">
      <c r="A11550" s="18">
        <v>908</v>
      </c>
      <c r="B11550" s="4" t="s">
        <v>44</v>
      </c>
      <c r="C11550" s="38" t="s">
        <v>6433</v>
      </c>
      <c r="D11550" s="18">
        <v>2022</v>
      </c>
      <c r="E11550" s="18" t="s">
        <v>0</v>
      </c>
      <c r="F11550" s="41">
        <v>1</v>
      </c>
      <c r="G11550" s="4">
        <v>9</v>
      </c>
      <c r="H11550" s="18">
        <v>26.575089999999999</v>
      </c>
      <c r="I11550" s="90"/>
      <c r="J11550" s="90"/>
    </row>
    <row r="11551" spans="1:10" s="15" customFormat="1" ht="16.5" hidden="1" customHeight="1" outlineLevel="1" x14ac:dyDescent="0.25">
      <c r="A11551" s="18">
        <v>909</v>
      </c>
      <c r="B11551" s="4" t="s">
        <v>44</v>
      </c>
      <c r="C11551" s="38" t="s">
        <v>6434</v>
      </c>
      <c r="D11551" s="18">
        <v>2022</v>
      </c>
      <c r="E11551" s="18" t="s">
        <v>0</v>
      </c>
      <c r="F11551" s="41">
        <v>1</v>
      </c>
      <c r="G11551" s="4">
        <v>9</v>
      </c>
      <c r="H11551" s="18">
        <v>17.067450000000001</v>
      </c>
      <c r="I11551" s="90"/>
      <c r="J11551" s="90"/>
    </row>
    <row r="11552" spans="1:10" s="15" customFormat="1" ht="16.5" hidden="1" customHeight="1" outlineLevel="1" x14ac:dyDescent="0.25">
      <c r="A11552" s="18">
        <v>851</v>
      </c>
      <c r="B11552" s="4" t="s">
        <v>44</v>
      </c>
      <c r="C11552" s="38" t="s">
        <v>6435</v>
      </c>
      <c r="D11552" s="18">
        <v>2022</v>
      </c>
      <c r="E11552" s="18" t="s">
        <v>0</v>
      </c>
      <c r="F11552" s="41">
        <v>1</v>
      </c>
      <c r="G11552" s="4">
        <v>9</v>
      </c>
      <c r="H11552" s="18">
        <v>25.17285</v>
      </c>
      <c r="I11552" s="90"/>
      <c r="J11552" s="90"/>
    </row>
    <row r="11553" spans="1:10" s="15" customFormat="1" ht="16.5" hidden="1" customHeight="1" outlineLevel="1" x14ac:dyDescent="0.25">
      <c r="A11553" s="18">
        <v>847</v>
      </c>
      <c r="B11553" s="4" t="s">
        <v>44</v>
      </c>
      <c r="C11553" s="38" t="s">
        <v>6436</v>
      </c>
      <c r="D11553" s="18">
        <v>2022</v>
      </c>
      <c r="E11553" s="18" t="s">
        <v>0</v>
      </c>
      <c r="F11553" s="41">
        <v>1</v>
      </c>
      <c r="G11553" s="4">
        <v>15</v>
      </c>
      <c r="H11553" s="18">
        <v>25.172879999999999</v>
      </c>
      <c r="I11553" s="90"/>
      <c r="J11553" s="90"/>
    </row>
    <row r="11554" spans="1:10" s="15" customFormat="1" ht="16.5" hidden="1" customHeight="1" outlineLevel="1" x14ac:dyDescent="0.25">
      <c r="A11554" s="18">
        <v>873</v>
      </c>
      <c r="B11554" s="4" t="s">
        <v>44</v>
      </c>
      <c r="C11554" s="38" t="s">
        <v>6437</v>
      </c>
      <c r="D11554" s="18">
        <v>2022</v>
      </c>
      <c r="E11554" s="18" t="s">
        <v>0</v>
      </c>
      <c r="F11554" s="41">
        <v>1</v>
      </c>
      <c r="G11554" s="4">
        <v>5</v>
      </c>
      <c r="H11554" s="18">
        <v>25.17287</v>
      </c>
      <c r="I11554" s="90"/>
      <c r="J11554" s="90"/>
    </row>
    <row r="11555" spans="1:10" s="15" customFormat="1" ht="16.5" hidden="1" customHeight="1" outlineLevel="1" x14ac:dyDescent="0.25">
      <c r="A11555" s="18">
        <v>874</v>
      </c>
      <c r="B11555" s="4" t="s">
        <v>44</v>
      </c>
      <c r="C11555" s="38" t="s">
        <v>6438</v>
      </c>
      <c r="D11555" s="18">
        <v>2022</v>
      </c>
      <c r="E11555" s="18" t="s">
        <v>0</v>
      </c>
      <c r="F11555" s="41">
        <v>1</v>
      </c>
      <c r="G11555" s="4">
        <v>5</v>
      </c>
      <c r="H11555" s="18">
        <v>25.17287</v>
      </c>
      <c r="I11555" s="90"/>
      <c r="J11555" s="90"/>
    </row>
    <row r="11556" spans="1:10" s="15" customFormat="1" ht="16.5" hidden="1" customHeight="1" outlineLevel="1" x14ac:dyDescent="0.25">
      <c r="A11556" s="18">
        <v>864</v>
      </c>
      <c r="B11556" s="4" t="s">
        <v>44</v>
      </c>
      <c r="C11556" s="38" t="s">
        <v>6439</v>
      </c>
      <c r="D11556" s="18">
        <v>2022</v>
      </c>
      <c r="E11556" s="18" t="s">
        <v>0</v>
      </c>
      <c r="F11556" s="41">
        <v>1</v>
      </c>
      <c r="G11556" s="4">
        <v>9</v>
      </c>
      <c r="H11556" s="18">
        <v>25.17285</v>
      </c>
      <c r="I11556" s="90"/>
      <c r="J11556" s="90"/>
    </row>
    <row r="11557" spans="1:10" s="15" customFormat="1" ht="16.5" hidden="1" customHeight="1" outlineLevel="1" x14ac:dyDescent="0.25">
      <c r="A11557" s="18">
        <v>865</v>
      </c>
      <c r="B11557" s="4" t="s">
        <v>44</v>
      </c>
      <c r="C11557" s="38" t="s">
        <v>6440</v>
      </c>
      <c r="D11557" s="18">
        <v>2022</v>
      </c>
      <c r="E11557" s="18" t="s">
        <v>0</v>
      </c>
      <c r="F11557" s="41">
        <v>1</v>
      </c>
      <c r="G11557" s="4">
        <v>9</v>
      </c>
      <c r="H11557" s="18">
        <v>25.169250000000002</v>
      </c>
      <c r="I11557" s="90"/>
      <c r="J11557" s="90"/>
    </row>
    <row r="11558" spans="1:10" s="15" customFormat="1" ht="16.5" hidden="1" customHeight="1" outlineLevel="1" x14ac:dyDescent="0.25">
      <c r="A11558" s="18">
        <v>866</v>
      </c>
      <c r="B11558" s="4" t="s">
        <v>44</v>
      </c>
      <c r="C11558" s="38" t="s">
        <v>6441</v>
      </c>
      <c r="D11558" s="18">
        <v>2022</v>
      </c>
      <c r="E11558" s="18" t="s">
        <v>0</v>
      </c>
      <c r="F11558" s="41">
        <v>1</v>
      </c>
      <c r="G11558" s="4">
        <v>9</v>
      </c>
      <c r="H11558" s="18">
        <v>25.172820000000002</v>
      </c>
      <c r="I11558" s="90"/>
      <c r="J11558" s="90"/>
    </row>
    <row r="11559" spans="1:10" s="15" customFormat="1" ht="16.5" hidden="1" customHeight="1" outlineLevel="1" x14ac:dyDescent="0.25">
      <c r="A11559" s="18">
        <v>831</v>
      </c>
      <c r="B11559" s="4" t="s">
        <v>44</v>
      </c>
      <c r="C11559" s="38" t="s">
        <v>6442</v>
      </c>
      <c r="D11559" s="18">
        <v>2022</v>
      </c>
      <c r="E11559" s="18" t="s">
        <v>0</v>
      </c>
      <c r="F11559" s="41">
        <v>1</v>
      </c>
      <c r="G11559" s="4">
        <v>15</v>
      </c>
      <c r="H11559" s="18">
        <v>24.423190000000002</v>
      </c>
      <c r="I11559" s="90"/>
      <c r="J11559" s="90"/>
    </row>
    <row r="11560" spans="1:10" s="15" customFormat="1" ht="16.5" hidden="1" customHeight="1" outlineLevel="1" x14ac:dyDescent="0.25">
      <c r="A11560" s="18">
        <v>843</v>
      </c>
      <c r="B11560" s="4" t="s">
        <v>44</v>
      </c>
      <c r="C11560" s="38" t="s">
        <v>6443</v>
      </c>
      <c r="D11560" s="18">
        <v>2022</v>
      </c>
      <c r="E11560" s="18" t="s">
        <v>0</v>
      </c>
      <c r="F11560" s="41">
        <v>1</v>
      </c>
      <c r="G11560" s="4">
        <v>7</v>
      </c>
      <c r="H11560" s="18">
        <v>28.087140000000002</v>
      </c>
      <c r="I11560" s="90"/>
      <c r="J11560" s="90"/>
    </row>
    <row r="11561" spans="1:10" s="15" customFormat="1" ht="16.5" hidden="1" customHeight="1" outlineLevel="1" x14ac:dyDescent="0.25">
      <c r="A11561" s="18">
        <v>862</v>
      </c>
      <c r="B11561" s="4" t="s">
        <v>44</v>
      </c>
      <c r="C11561" s="38" t="s">
        <v>6444</v>
      </c>
      <c r="D11561" s="18">
        <v>2022</v>
      </c>
      <c r="E11561" s="18" t="s">
        <v>0</v>
      </c>
      <c r="F11561" s="41">
        <v>1</v>
      </c>
      <c r="G11561" s="4">
        <v>9</v>
      </c>
      <c r="H11561" s="18">
        <v>25.367149999999999</v>
      </c>
      <c r="I11561" s="90"/>
      <c r="J11561" s="90"/>
    </row>
    <row r="11562" spans="1:10" s="15" customFormat="1" ht="16.5" hidden="1" customHeight="1" outlineLevel="1" x14ac:dyDescent="0.25">
      <c r="A11562" s="18">
        <v>875</v>
      </c>
      <c r="B11562" s="4" t="s">
        <v>44</v>
      </c>
      <c r="C11562" s="38" t="s">
        <v>6445</v>
      </c>
      <c r="D11562" s="18">
        <v>2022</v>
      </c>
      <c r="E11562" s="18" t="s">
        <v>0</v>
      </c>
      <c r="F11562" s="41">
        <v>1</v>
      </c>
      <c r="G11562" s="4">
        <v>9</v>
      </c>
      <c r="H11562" s="18">
        <v>25.169250000000002</v>
      </c>
      <c r="I11562" s="90"/>
      <c r="J11562" s="90"/>
    </row>
    <row r="11563" spans="1:10" s="15" customFormat="1" ht="16.5" hidden="1" customHeight="1" outlineLevel="1" x14ac:dyDescent="0.25">
      <c r="A11563" s="18">
        <v>867</v>
      </c>
      <c r="B11563" s="4" t="s">
        <v>44</v>
      </c>
      <c r="C11563" s="38" t="s">
        <v>6446</v>
      </c>
      <c r="D11563" s="18">
        <v>2022</v>
      </c>
      <c r="E11563" s="18" t="s">
        <v>0</v>
      </c>
      <c r="F11563" s="41">
        <v>1</v>
      </c>
      <c r="G11563" s="4">
        <v>15</v>
      </c>
      <c r="H11563" s="18">
        <v>25.172820000000002</v>
      </c>
      <c r="I11563" s="90"/>
      <c r="J11563" s="90"/>
    </row>
    <row r="11564" spans="1:10" s="15" customFormat="1" ht="16.5" hidden="1" customHeight="1" outlineLevel="1" x14ac:dyDescent="0.25">
      <c r="A11564" s="18">
        <v>819</v>
      </c>
      <c r="B11564" s="4" t="s">
        <v>44</v>
      </c>
      <c r="C11564" s="38" t="s">
        <v>6447</v>
      </c>
      <c r="D11564" s="18">
        <v>2022</v>
      </c>
      <c r="E11564" s="18" t="s">
        <v>0</v>
      </c>
      <c r="F11564" s="41">
        <v>1</v>
      </c>
      <c r="G11564" s="4">
        <v>10</v>
      </c>
      <c r="H11564" s="18">
        <v>24.71463</v>
      </c>
      <c r="I11564" s="90"/>
      <c r="J11564" s="90"/>
    </row>
    <row r="11565" spans="1:10" s="15" customFormat="1" ht="16.5" hidden="1" customHeight="1" outlineLevel="1" x14ac:dyDescent="0.25">
      <c r="A11565" s="18">
        <v>914</v>
      </c>
      <c r="B11565" s="4" t="s">
        <v>44</v>
      </c>
      <c r="C11565" s="38" t="s">
        <v>6448</v>
      </c>
      <c r="D11565" s="18">
        <v>2022</v>
      </c>
      <c r="E11565" s="18" t="s">
        <v>0</v>
      </c>
      <c r="F11565" s="41">
        <v>1</v>
      </c>
      <c r="G11565" s="4">
        <v>5</v>
      </c>
      <c r="H11565" s="18">
        <v>16.53416</v>
      </c>
      <c r="I11565" s="90"/>
      <c r="J11565" s="90"/>
    </row>
    <row r="11566" spans="1:10" s="15" customFormat="1" ht="16.5" hidden="1" customHeight="1" outlineLevel="1" x14ac:dyDescent="0.25">
      <c r="A11566" s="18">
        <v>915</v>
      </c>
      <c r="B11566" s="4" t="s">
        <v>44</v>
      </c>
      <c r="C11566" s="38" t="s">
        <v>6449</v>
      </c>
      <c r="D11566" s="18">
        <v>2022</v>
      </c>
      <c r="E11566" s="18" t="s">
        <v>0</v>
      </c>
      <c r="F11566" s="41">
        <v>1</v>
      </c>
      <c r="G11566" s="4">
        <v>9</v>
      </c>
      <c r="H11566" s="18">
        <v>16.339169999999999</v>
      </c>
      <c r="I11566" s="90"/>
      <c r="J11566" s="90"/>
    </row>
    <row r="11567" spans="1:10" s="15" customFormat="1" ht="16.5" hidden="1" customHeight="1" outlineLevel="1" x14ac:dyDescent="0.25">
      <c r="A11567" s="18">
        <v>916</v>
      </c>
      <c r="B11567" s="4" t="s">
        <v>44</v>
      </c>
      <c r="C11567" s="38" t="s">
        <v>6450</v>
      </c>
      <c r="D11567" s="18">
        <v>2022</v>
      </c>
      <c r="E11567" s="18" t="s">
        <v>0</v>
      </c>
      <c r="F11567" s="41">
        <v>1</v>
      </c>
      <c r="G11567" s="4">
        <v>15</v>
      </c>
      <c r="H11567" s="18">
        <v>16.339169999999999</v>
      </c>
      <c r="I11567" s="90"/>
      <c r="J11567" s="90"/>
    </row>
    <row r="11568" spans="1:10" s="15" customFormat="1" ht="16.5" hidden="1" customHeight="1" outlineLevel="1" x14ac:dyDescent="0.25">
      <c r="A11568" s="18">
        <v>480</v>
      </c>
      <c r="B11568" s="4" t="s">
        <v>44</v>
      </c>
      <c r="C11568" s="38" t="s">
        <v>2451</v>
      </c>
      <c r="D11568" s="18">
        <v>2022</v>
      </c>
      <c r="E11568" s="18" t="s">
        <v>0</v>
      </c>
      <c r="F11568" s="41">
        <v>1</v>
      </c>
      <c r="G11568" s="4">
        <v>15</v>
      </c>
      <c r="H11568" s="18">
        <v>20.696750000000002</v>
      </c>
      <c r="I11568" s="90"/>
      <c r="J11568" s="90"/>
    </row>
    <row r="11569" spans="1:10" s="15" customFormat="1" ht="16.5" hidden="1" customHeight="1" outlineLevel="1" x14ac:dyDescent="0.25">
      <c r="A11569" s="18">
        <v>482</v>
      </c>
      <c r="B11569" s="4" t="s">
        <v>44</v>
      </c>
      <c r="C11569" s="38" t="s">
        <v>6451</v>
      </c>
      <c r="D11569" s="18">
        <v>2022</v>
      </c>
      <c r="E11569" s="18" t="s">
        <v>0</v>
      </c>
      <c r="F11569" s="41">
        <v>1</v>
      </c>
      <c r="G11569" s="4">
        <v>15</v>
      </c>
      <c r="H11569" s="18">
        <v>43.661349999999999</v>
      </c>
      <c r="I11569" s="90"/>
      <c r="J11569" s="90"/>
    </row>
    <row r="11570" spans="1:10" s="15" customFormat="1" ht="16.5" hidden="1" customHeight="1" outlineLevel="1" x14ac:dyDescent="0.25">
      <c r="A11570" s="18">
        <v>918</v>
      </c>
      <c r="B11570" s="4" t="s">
        <v>44</v>
      </c>
      <c r="C11570" s="38" t="s">
        <v>6452</v>
      </c>
      <c r="D11570" s="18">
        <v>2022</v>
      </c>
      <c r="E11570" s="18" t="s">
        <v>0</v>
      </c>
      <c r="F11570" s="41">
        <v>1</v>
      </c>
      <c r="G11570" s="4">
        <v>14</v>
      </c>
      <c r="H11570" s="18">
        <v>16.10999</v>
      </c>
      <c r="I11570" s="90"/>
      <c r="J11570" s="90"/>
    </row>
    <row r="11571" spans="1:10" s="15" customFormat="1" ht="16.5" hidden="1" customHeight="1" outlineLevel="1" x14ac:dyDescent="0.25">
      <c r="A11571" s="18">
        <v>923</v>
      </c>
      <c r="B11571" s="4" t="s">
        <v>44</v>
      </c>
      <c r="C11571" s="38" t="s">
        <v>6453</v>
      </c>
      <c r="D11571" s="18">
        <v>2022</v>
      </c>
      <c r="E11571" s="18" t="s">
        <v>0</v>
      </c>
      <c r="F11571" s="41">
        <v>1</v>
      </c>
      <c r="G11571" s="4">
        <v>14</v>
      </c>
      <c r="H11571" s="18">
        <v>16.109970000000001</v>
      </c>
      <c r="I11571" s="90"/>
      <c r="J11571" s="90"/>
    </row>
    <row r="11572" spans="1:10" s="15" customFormat="1" ht="16.5" hidden="1" customHeight="1" outlineLevel="1" x14ac:dyDescent="0.25">
      <c r="A11572" s="18">
        <v>567</v>
      </c>
      <c r="B11572" s="4" t="s">
        <v>44</v>
      </c>
      <c r="C11572" s="38" t="s">
        <v>2453</v>
      </c>
      <c r="D11572" s="18">
        <v>2022</v>
      </c>
      <c r="E11572" s="18" t="s">
        <v>0</v>
      </c>
      <c r="F11572" s="41">
        <v>1</v>
      </c>
      <c r="G11572" s="4">
        <v>15</v>
      </c>
      <c r="H11572" s="18">
        <v>53.72045</v>
      </c>
      <c r="I11572" s="90"/>
      <c r="J11572" s="90"/>
    </row>
    <row r="11573" spans="1:10" s="15" customFormat="1" ht="16.5" hidden="1" customHeight="1" outlineLevel="1" x14ac:dyDescent="0.25">
      <c r="A11573" s="18">
        <v>465</v>
      </c>
      <c r="B11573" s="4" t="s">
        <v>44</v>
      </c>
      <c r="C11573" s="38" t="s">
        <v>2454</v>
      </c>
      <c r="D11573" s="18">
        <v>2022</v>
      </c>
      <c r="E11573" s="18" t="s">
        <v>0</v>
      </c>
      <c r="F11573" s="41">
        <v>2</v>
      </c>
      <c r="G11573" s="4">
        <v>15</v>
      </c>
      <c r="H11573" s="18">
        <v>246.62709000000001</v>
      </c>
      <c r="I11573" s="90"/>
      <c r="J11573" s="90"/>
    </row>
    <row r="11574" spans="1:10" s="15" customFormat="1" ht="16.5" hidden="1" customHeight="1" outlineLevel="1" x14ac:dyDescent="0.25">
      <c r="A11574" s="18">
        <v>501</v>
      </c>
      <c r="B11574" s="4" t="s">
        <v>44</v>
      </c>
      <c r="C11574" s="38" t="s">
        <v>2456</v>
      </c>
      <c r="D11574" s="18">
        <v>2022</v>
      </c>
      <c r="E11574" s="18" t="s">
        <v>0</v>
      </c>
      <c r="F11574" s="41">
        <v>1</v>
      </c>
      <c r="G11574" s="4">
        <v>15</v>
      </c>
      <c r="H11574" s="18">
        <v>25.567029999999999</v>
      </c>
      <c r="I11574" s="90"/>
      <c r="J11574" s="90"/>
    </row>
    <row r="11575" spans="1:10" s="15" customFormat="1" ht="16.5" hidden="1" customHeight="1" outlineLevel="1" x14ac:dyDescent="0.25">
      <c r="A11575" s="18">
        <v>493</v>
      </c>
      <c r="B11575" s="4" t="s">
        <v>44</v>
      </c>
      <c r="C11575" s="38" t="s">
        <v>2457</v>
      </c>
      <c r="D11575" s="18">
        <v>2022</v>
      </c>
      <c r="E11575" s="18" t="s">
        <v>0</v>
      </c>
      <c r="F11575" s="41">
        <v>1</v>
      </c>
      <c r="G11575" s="4">
        <v>7.5</v>
      </c>
      <c r="H11575" s="18">
        <v>25.324770000000001</v>
      </c>
      <c r="I11575" s="90"/>
      <c r="J11575" s="90"/>
    </row>
    <row r="11576" spans="1:10" s="15" customFormat="1" ht="16.5" hidden="1" customHeight="1" outlineLevel="1" x14ac:dyDescent="0.25">
      <c r="A11576" s="18">
        <v>516</v>
      </c>
      <c r="B11576" s="4" t="s">
        <v>44</v>
      </c>
      <c r="C11576" s="38" t="s">
        <v>2458</v>
      </c>
      <c r="D11576" s="18">
        <v>2022</v>
      </c>
      <c r="E11576" s="18" t="s">
        <v>0</v>
      </c>
      <c r="F11576" s="41">
        <v>1</v>
      </c>
      <c r="G11576" s="4">
        <v>13</v>
      </c>
      <c r="H11576" s="18">
        <v>28.005289999999999</v>
      </c>
      <c r="I11576" s="90"/>
      <c r="J11576" s="90"/>
    </row>
    <row r="11577" spans="1:10" s="15" customFormat="1" ht="16.5" hidden="1" customHeight="1" outlineLevel="1" x14ac:dyDescent="0.25">
      <c r="A11577" s="18">
        <v>496</v>
      </c>
      <c r="B11577" s="4" t="s">
        <v>44</v>
      </c>
      <c r="C11577" s="38" t="s">
        <v>2459</v>
      </c>
      <c r="D11577" s="18">
        <v>2022</v>
      </c>
      <c r="E11577" s="18" t="s">
        <v>0</v>
      </c>
      <c r="F11577" s="41">
        <v>1</v>
      </c>
      <c r="G11577" s="4">
        <v>15</v>
      </c>
      <c r="H11577" s="18">
        <v>27.856169999999999</v>
      </c>
      <c r="I11577" s="90"/>
      <c r="J11577" s="90"/>
    </row>
    <row r="11578" spans="1:10" s="15" customFormat="1" ht="16.5" hidden="1" customHeight="1" outlineLevel="1" x14ac:dyDescent="0.25">
      <c r="A11578" s="18">
        <v>555</v>
      </c>
      <c r="B11578" s="4" t="s">
        <v>44</v>
      </c>
      <c r="C11578" s="38" t="s">
        <v>2460</v>
      </c>
      <c r="D11578" s="18">
        <v>2022</v>
      </c>
      <c r="E11578" s="18" t="s">
        <v>0</v>
      </c>
      <c r="F11578" s="41">
        <v>1</v>
      </c>
      <c r="G11578" s="4">
        <v>15</v>
      </c>
      <c r="H11578" s="18">
        <v>28.89068</v>
      </c>
      <c r="I11578" s="90"/>
      <c r="J11578" s="90"/>
    </row>
    <row r="11579" spans="1:10" s="15" customFormat="1" ht="16.5" hidden="1" customHeight="1" outlineLevel="1" x14ac:dyDescent="0.25">
      <c r="A11579" s="18">
        <v>526</v>
      </c>
      <c r="B11579" s="4" t="s">
        <v>44</v>
      </c>
      <c r="C11579" s="38" t="s">
        <v>2461</v>
      </c>
      <c r="D11579" s="18">
        <v>2022</v>
      </c>
      <c r="E11579" s="18" t="s">
        <v>0</v>
      </c>
      <c r="F11579" s="41">
        <v>1</v>
      </c>
      <c r="G11579" s="4">
        <v>15</v>
      </c>
      <c r="H11579" s="18">
        <v>25.392330000000001</v>
      </c>
      <c r="I11579" s="90"/>
      <c r="J11579" s="90"/>
    </row>
    <row r="11580" spans="1:10" s="15" customFormat="1" ht="16.5" hidden="1" customHeight="1" outlineLevel="1" x14ac:dyDescent="0.25">
      <c r="A11580" s="18">
        <v>523</v>
      </c>
      <c r="B11580" s="4" t="s">
        <v>44</v>
      </c>
      <c r="C11580" s="38" t="s">
        <v>2463</v>
      </c>
      <c r="D11580" s="18">
        <v>2022</v>
      </c>
      <c r="E11580" s="18" t="s">
        <v>0</v>
      </c>
      <c r="F11580" s="41">
        <v>1</v>
      </c>
      <c r="G11580" s="4">
        <v>9</v>
      </c>
      <c r="H11580" s="18">
        <v>29.918759999999999</v>
      </c>
      <c r="I11580" s="90"/>
      <c r="J11580" s="90"/>
    </row>
    <row r="11581" spans="1:10" s="15" customFormat="1" ht="16.5" hidden="1" customHeight="1" outlineLevel="1" x14ac:dyDescent="0.25">
      <c r="A11581" s="18">
        <v>926</v>
      </c>
      <c r="B11581" s="4" t="s">
        <v>44</v>
      </c>
      <c r="C11581" s="38" t="s">
        <v>6454</v>
      </c>
      <c r="D11581" s="18">
        <v>2022</v>
      </c>
      <c r="E11581" s="18" t="s">
        <v>0</v>
      </c>
      <c r="F11581" s="41">
        <v>1</v>
      </c>
      <c r="G11581" s="4">
        <v>15</v>
      </c>
      <c r="H11581" s="18">
        <v>16.786580000000001</v>
      </c>
      <c r="I11581" s="90"/>
      <c r="J11581" s="90"/>
    </row>
    <row r="11582" spans="1:10" s="15" customFormat="1" ht="16.5" hidden="1" customHeight="1" outlineLevel="1" x14ac:dyDescent="0.25">
      <c r="A11582" s="18">
        <v>929</v>
      </c>
      <c r="B11582" s="4" t="s">
        <v>44</v>
      </c>
      <c r="C11582" s="38" t="s">
        <v>6455</v>
      </c>
      <c r="D11582" s="18">
        <v>2022</v>
      </c>
      <c r="E11582" s="18" t="s">
        <v>0</v>
      </c>
      <c r="F11582" s="41">
        <v>1</v>
      </c>
      <c r="G11582" s="4">
        <v>9</v>
      </c>
      <c r="H11582" s="18">
        <v>16.78659</v>
      </c>
      <c r="I11582" s="90"/>
      <c r="J11582" s="90"/>
    </row>
    <row r="11583" spans="1:10" s="15" customFormat="1" ht="16.5" hidden="1" customHeight="1" outlineLevel="1" x14ac:dyDescent="0.25">
      <c r="A11583" s="18">
        <v>930</v>
      </c>
      <c r="B11583" s="4" t="s">
        <v>44</v>
      </c>
      <c r="C11583" s="38" t="s">
        <v>6456</v>
      </c>
      <c r="D11583" s="18">
        <v>2022</v>
      </c>
      <c r="E11583" s="18" t="s">
        <v>0</v>
      </c>
      <c r="F11583" s="41">
        <v>1</v>
      </c>
      <c r="G11583" s="4">
        <v>15</v>
      </c>
      <c r="H11583" s="18">
        <v>16.786570000000001</v>
      </c>
      <c r="I11583" s="90"/>
      <c r="J11583" s="90"/>
    </row>
    <row r="11584" spans="1:10" s="15" customFormat="1" ht="16.5" hidden="1" customHeight="1" outlineLevel="1" x14ac:dyDescent="0.25">
      <c r="A11584" s="18">
        <v>931</v>
      </c>
      <c r="B11584" s="4" t="s">
        <v>44</v>
      </c>
      <c r="C11584" s="38" t="s">
        <v>6457</v>
      </c>
      <c r="D11584" s="18">
        <v>2022</v>
      </c>
      <c r="E11584" s="18" t="s">
        <v>0</v>
      </c>
      <c r="F11584" s="41">
        <v>1</v>
      </c>
      <c r="G11584" s="4">
        <v>6</v>
      </c>
      <c r="H11584" s="18">
        <v>16.76587</v>
      </c>
      <c r="I11584" s="90"/>
      <c r="J11584" s="90"/>
    </row>
    <row r="11585" spans="1:10" s="15" customFormat="1" ht="16.5" hidden="1" customHeight="1" outlineLevel="1" x14ac:dyDescent="0.25">
      <c r="A11585" s="18">
        <v>932</v>
      </c>
      <c r="B11585" s="4" t="s">
        <v>44</v>
      </c>
      <c r="C11585" s="38" t="s">
        <v>6458</v>
      </c>
      <c r="D11585" s="18">
        <v>2022</v>
      </c>
      <c r="E11585" s="18" t="s">
        <v>0</v>
      </c>
      <c r="F11585" s="41">
        <v>1</v>
      </c>
      <c r="G11585" s="4">
        <v>13.4</v>
      </c>
      <c r="H11585" s="18">
        <v>16.765910000000002</v>
      </c>
      <c r="I11585" s="90"/>
      <c r="J11585" s="90"/>
    </row>
    <row r="11586" spans="1:10" s="15" customFormat="1" ht="16.5" hidden="1" customHeight="1" outlineLevel="1" x14ac:dyDescent="0.25">
      <c r="A11586" s="18">
        <v>933</v>
      </c>
      <c r="B11586" s="4" t="s">
        <v>44</v>
      </c>
      <c r="C11586" s="38" t="s">
        <v>6459</v>
      </c>
      <c r="D11586" s="18">
        <v>2022</v>
      </c>
      <c r="E11586" s="18" t="s">
        <v>0</v>
      </c>
      <c r="F11586" s="41">
        <v>1</v>
      </c>
      <c r="G11586" s="4">
        <v>10.3</v>
      </c>
      <c r="H11586" s="18">
        <v>17.052389999999999</v>
      </c>
      <c r="I11586" s="90"/>
      <c r="J11586" s="90"/>
    </row>
    <row r="11587" spans="1:10" s="15" customFormat="1" ht="16.5" hidden="1" customHeight="1" outlineLevel="1" x14ac:dyDescent="0.25">
      <c r="A11587" s="18">
        <v>934</v>
      </c>
      <c r="B11587" s="4" t="s">
        <v>44</v>
      </c>
      <c r="C11587" s="38" t="s">
        <v>6460</v>
      </c>
      <c r="D11587" s="18">
        <v>2022</v>
      </c>
      <c r="E11587" s="18" t="s">
        <v>0</v>
      </c>
      <c r="F11587" s="41">
        <v>1</v>
      </c>
      <c r="G11587" s="4">
        <v>12.8</v>
      </c>
      <c r="H11587" s="18">
        <v>17.052440000000001</v>
      </c>
      <c r="I11587" s="90"/>
      <c r="J11587" s="90"/>
    </row>
    <row r="11588" spans="1:10" s="15" customFormat="1" ht="16.5" hidden="1" customHeight="1" outlineLevel="1" x14ac:dyDescent="0.25">
      <c r="A11588" s="18">
        <v>935</v>
      </c>
      <c r="B11588" s="4" t="s">
        <v>44</v>
      </c>
      <c r="C11588" s="38" t="s">
        <v>6461</v>
      </c>
      <c r="D11588" s="18">
        <v>2022</v>
      </c>
      <c r="E11588" s="18" t="s">
        <v>0</v>
      </c>
      <c r="F11588" s="41">
        <v>1</v>
      </c>
      <c r="G11588" s="4">
        <v>13</v>
      </c>
      <c r="H11588" s="18">
        <v>17.05256</v>
      </c>
      <c r="I11588" s="90"/>
      <c r="J11588" s="90"/>
    </row>
    <row r="11589" spans="1:10" s="15" customFormat="1" ht="16.5" hidden="1" customHeight="1" outlineLevel="1" x14ac:dyDescent="0.25">
      <c r="A11589" s="18">
        <v>936</v>
      </c>
      <c r="B11589" s="4" t="s">
        <v>44</v>
      </c>
      <c r="C11589" s="38" t="s">
        <v>6462</v>
      </c>
      <c r="D11589" s="18">
        <v>2022</v>
      </c>
      <c r="E11589" s="18" t="s">
        <v>0</v>
      </c>
      <c r="F11589" s="41">
        <v>1</v>
      </c>
      <c r="G11589" s="4">
        <v>12.2</v>
      </c>
      <c r="H11589" s="18">
        <v>17.052299999999999</v>
      </c>
      <c r="I11589" s="90"/>
      <c r="J11589" s="90"/>
    </row>
    <row r="11590" spans="1:10" s="15" customFormat="1" ht="16.5" hidden="1" customHeight="1" outlineLevel="1" x14ac:dyDescent="0.25">
      <c r="A11590" s="18">
        <v>937</v>
      </c>
      <c r="B11590" s="4" t="s">
        <v>44</v>
      </c>
      <c r="C11590" s="38" t="s">
        <v>6463</v>
      </c>
      <c r="D11590" s="18">
        <v>2022</v>
      </c>
      <c r="E11590" s="18" t="s">
        <v>0</v>
      </c>
      <c r="F11590" s="41">
        <v>1</v>
      </c>
      <c r="G11590" s="4">
        <v>14.6</v>
      </c>
      <c r="H11590" s="18">
        <v>34.123669999999997</v>
      </c>
      <c r="I11590" s="90"/>
      <c r="J11590" s="90"/>
    </row>
    <row r="11591" spans="1:10" s="15" customFormat="1" ht="16.5" hidden="1" customHeight="1" outlineLevel="1" x14ac:dyDescent="0.25">
      <c r="A11591" s="18">
        <v>938</v>
      </c>
      <c r="B11591" s="4" t="s">
        <v>44</v>
      </c>
      <c r="C11591" s="38" t="s">
        <v>6464</v>
      </c>
      <c r="D11591" s="18">
        <v>2022</v>
      </c>
      <c r="E11591" s="18" t="s">
        <v>0</v>
      </c>
      <c r="F11591" s="41">
        <v>1</v>
      </c>
      <c r="G11591" s="4">
        <v>14.6</v>
      </c>
      <c r="H11591" s="18">
        <v>34.123060000000002</v>
      </c>
      <c r="I11591" s="90"/>
      <c r="J11591" s="90"/>
    </row>
    <row r="11592" spans="1:10" s="15" customFormat="1" ht="16.5" hidden="1" customHeight="1" outlineLevel="1" x14ac:dyDescent="0.25">
      <c r="A11592" s="18">
        <v>939</v>
      </c>
      <c r="B11592" s="4" t="s">
        <v>44</v>
      </c>
      <c r="C11592" s="38" t="s">
        <v>6465</v>
      </c>
      <c r="D11592" s="18">
        <v>2022</v>
      </c>
      <c r="E11592" s="18" t="s">
        <v>0</v>
      </c>
      <c r="F11592" s="41">
        <v>1</v>
      </c>
      <c r="G11592" s="4">
        <v>14.6</v>
      </c>
      <c r="H11592" s="18">
        <v>34.123060000000002</v>
      </c>
      <c r="I11592" s="90"/>
      <c r="J11592" s="90"/>
    </row>
    <row r="11593" spans="1:10" s="15" customFormat="1" ht="16.5" hidden="1" customHeight="1" outlineLevel="1" x14ac:dyDescent="0.25">
      <c r="A11593" s="18">
        <v>940</v>
      </c>
      <c r="B11593" s="4" t="s">
        <v>44</v>
      </c>
      <c r="C11593" s="38" t="s">
        <v>6466</v>
      </c>
      <c r="D11593" s="18">
        <v>2022</v>
      </c>
      <c r="E11593" s="18" t="s">
        <v>0</v>
      </c>
      <c r="F11593" s="41">
        <v>1</v>
      </c>
      <c r="G11593" s="4">
        <v>7.5</v>
      </c>
      <c r="H11593" s="18">
        <v>34.123040000000003</v>
      </c>
      <c r="I11593" s="90"/>
      <c r="J11593" s="90"/>
    </row>
    <row r="11594" spans="1:10" s="15" customFormat="1" ht="16.5" hidden="1" customHeight="1" outlineLevel="1" x14ac:dyDescent="0.25">
      <c r="A11594" s="18">
        <v>570</v>
      </c>
      <c r="B11594" s="4" t="s">
        <v>44</v>
      </c>
      <c r="C11594" s="38" t="s">
        <v>2464</v>
      </c>
      <c r="D11594" s="18">
        <v>2022</v>
      </c>
      <c r="E11594" s="18" t="s">
        <v>0</v>
      </c>
      <c r="F11594" s="41">
        <v>5</v>
      </c>
      <c r="G11594" s="4">
        <v>75</v>
      </c>
      <c r="H11594" s="18">
        <v>171.47869</v>
      </c>
      <c r="I11594" s="90"/>
      <c r="J11594" s="90"/>
    </row>
    <row r="11595" spans="1:10" s="15" customFormat="1" ht="16.5" hidden="1" customHeight="1" outlineLevel="1" x14ac:dyDescent="0.25">
      <c r="A11595" s="18">
        <v>571</v>
      </c>
      <c r="B11595" s="4" t="s">
        <v>44</v>
      </c>
      <c r="C11595" s="38" t="s">
        <v>2465</v>
      </c>
      <c r="D11595" s="18">
        <v>2022</v>
      </c>
      <c r="E11595" s="18" t="s">
        <v>0</v>
      </c>
      <c r="F11595" s="41">
        <v>1</v>
      </c>
      <c r="G11595" s="4">
        <v>15</v>
      </c>
      <c r="H11595" s="18">
        <v>62.249099999999999</v>
      </c>
      <c r="I11595" s="90"/>
      <c r="J11595" s="90"/>
    </row>
    <row r="11596" spans="1:10" s="15" customFormat="1" ht="16.5" hidden="1" customHeight="1" outlineLevel="1" x14ac:dyDescent="0.25">
      <c r="A11596" s="18">
        <v>572</v>
      </c>
      <c r="B11596" s="4" t="s">
        <v>44</v>
      </c>
      <c r="C11596" s="38" t="s">
        <v>2466</v>
      </c>
      <c r="D11596" s="18">
        <v>2022</v>
      </c>
      <c r="E11596" s="18" t="s">
        <v>0</v>
      </c>
      <c r="F11596" s="41">
        <v>1</v>
      </c>
      <c r="G11596" s="4">
        <v>15</v>
      </c>
      <c r="H11596" s="18">
        <v>49.20973</v>
      </c>
      <c r="I11596" s="90"/>
      <c r="J11596" s="90"/>
    </row>
    <row r="11597" spans="1:10" s="15" customFormat="1" ht="16.5" hidden="1" customHeight="1" outlineLevel="1" x14ac:dyDescent="0.25">
      <c r="A11597" s="18">
        <v>573</v>
      </c>
      <c r="B11597" s="4" t="s">
        <v>44</v>
      </c>
      <c r="C11597" s="38" t="s">
        <v>2467</v>
      </c>
      <c r="D11597" s="18">
        <v>2022</v>
      </c>
      <c r="E11597" s="18" t="s">
        <v>0</v>
      </c>
      <c r="F11597" s="41">
        <v>1</v>
      </c>
      <c r="G11597" s="4">
        <v>15</v>
      </c>
      <c r="H11597" s="18">
        <v>76.765270000000001</v>
      </c>
      <c r="I11597" s="90"/>
      <c r="J11597" s="90"/>
    </row>
    <row r="11598" spans="1:10" s="15" customFormat="1" ht="16.5" hidden="1" customHeight="1" outlineLevel="1" x14ac:dyDescent="0.25">
      <c r="A11598" s="18">
        <v>574</v>
      </c>
      <c r="B11598" s="4" t="s">
        <v>44</v>
      </c>
      <c r="C11598" s="38" t="s">
        <v>2468</v>
      </c>
      <c r="D11598" s="18">
        <v>2022</v>
      </c>
      <c r="E11598" s="18" t="s">
        <v>0</v>
      </c>
      <c r="F11598" s="41">
        <v>2</v>
      </c>
      <c r="G11598" s="4">
        <v>30</v>
      </c>
      <c r="H11598" s="18">
        <v>98.998689999999996</v>
      </c>
      <c r="I11598" s="90"/>
      <c r="J11598" s="90"/>
    </row>
    <row r="11599" spans="1:10" s="15" customFormat="1" ht="16.5" hidden="1" customHeight="1" outlineLevel="1" x14ac:dyDescent="0.25">
      <c r="A11599" s="18">
        <v>472</v>
      </c>
      <c r="B11599" s="4" t="s">
        <v>44</v>
      </c>
      <c r="C11599" s="38" t="s">
        <v>2916</v>
      </c>
      <c r="D11599" s="18">
        <v>2022</v>
      </c>
      <c r="E11599" s="18" t="s">
        <v>0</v>
      </c>
      <c r="F11599" s="41">
        <v>4</v>
      </c>
      <c r="G11599" s="4">
        <v>100</v>
      </c>
      <c r="H11599" s="18">
        <v>231.16892000000001</v>
      </c>
      <c r="I11599" s="90"/>
      <c r="J11599" s="90"/>
    </row>
    <row r="11600" spans="1:10" s="15" customFormat="1" ht="16.5" hidden="1" customHeight="1" outlineLevel="1" x14ac:dyDescent="0.25">
      <c r="A11600" s="18">
        <v>575</v>
      </c>
      <c r="B11600" s="4" t="s">
        <v>44</v>
      </c>
      <c r="C11600" s="38" t="s">
        <v>2470</v>
      </c>
      <c r="D11600" s="18">
        <v>2022</v>
      </c>
      <c r="E11600" s="18" t="s">
        <v>0</v>
      </c>
      <c r="F11600" s="41">
        <v>1</v>
      </c>
      <c r="G11600" s="4">
        <v>15</v>
      </c>
      <c r="H11600" s="18">
        <v>54.940570000000001</v>
      </c>
      <c r="I11600" s="90"/>
      <c r="J11600" s="90"/>
    </row>
    <row r="11601" spans="1:10" s="15" customFormat="1" ht="16.5" hidden="1" customHeight="1" outlineLevel="1" x14ac:dyDescent="0.25">
      <c r="A11601" s="18">
        <v>576</v>
      </c>
      <c r="B11601" s="4" t="s">
        <v>44</v>
      </c>
      <c r="C11601" s="38" t="s">
        <v>2471</v>
      </c>
      <c r="D11601" s="18">
        <v>2022</v>
      </c>
      <c r="E11601" s="18" t="s">
        <v>0</v>
      </c>
      <c r="F11601" s="41">
        <v>1</v>
      </c>
      <c r="G11601" s="4">
        <v>15</v>
      </c>
      <c r="H11601" s="18">
        <v>62.976579999999998</v>
      </c>
      <c r="I11601" s="90"/>
      <c r="J11601" s="90"/>
    </row>
    <row r="11602" spans="1:10" s="15" customFormat="1" ht="16.5" hidden="1" customHeight="1" outlineLevel="1" x14ac:dyDescent="0.25">
      <c r="A11602" s="18">
        <v>577</v>
      </c>
      <c r="B11602" s="4" t="s">
        <v>44</v>
      </c>
      <c r="C11602" s="38" t="s">
        <v>2472</v>
      </c>
      <c r="D11602" s="18">
        <v>2022</v>
      </c>
      <c r="E11602" s="18" t="s">
        <v>0</v>
      </c>
      <c r="F11602" s="41">
        <v>1</v>
      </c>
      <c r="G11602" s="4">
        <v>15</v>
      </c>
      <c r="H11602" s="18">
        <v>65.820350000000005</v>
      </c>
      <c r="I11602" s="90"/>
      <c r="J11602" s="90"/>
    </row>
    <row r="11603" spans="1:10" s="15" customFormat="1" ht="16.5" hidden="1" customHeight="1" outlineLevel="1" x14ac:dyDescent="0.25">
      <c r="A11603" s="18">
        <v>487</v>
      </c>
      <c r="B11603" s="4" t="s">
        <v>44</v>
      </c>
      <c r="C11603" s="38" t="s">
        <v>2473</v>
      </c>
      <c r="D11603" s="18">
        <v>2022</v>
      </c>
      <c r="E11603" s="18" t="s">
        <v>0</v>
      </c>
      <c r="F11603" s="41">
        <v>1</v>
      </c>
      <c r="G11603" s="4">
        <v>15</v>
      </c>
      <c r="H11603" s="18">
        <v>25.43317</v>
      </c>
      <c r="I11603" s="90"/>
      <c r="J11603" s="90"/>
    </row>
    <row r="11604" spans="1:10" s="15" customFormat="1" ht="16.5" hidden="1" customHeight="1" outlineLevel="1" x14ac:dyDescent="0.25">
      <c r="A11604" s="18">
        <v>946</v>
      </c>
      <c r="B11604" s="4" t="s">
        <v>44</v>
      </c>
      <c r="C11604" s="38" t="s">
        <v>6467</v>
      </c>
      <c r="D11604" s="18">
        <v>2022</v>
      </c>
      <c r="E11604" s="18" t="s">
        <v>0</v>
      </c>
      <c r="F11604" s="41">
        <v>1</v>
      </c>
      <c r="G11604" s="4">
        <v>15</v>
      </c>
      <c r="H11604" s="18">
        <v>16.36234</v>
      </c>
      <c r="I11604" s="90"/>
      <c r="J11604" s="90"/>
    </row>
    <row r="11605" spans="1:10" s="15" customFormat="1" ht="16.5" hidden="1" customHeight="1" outlineLevel="1" x14ac:dyDescent="0.25">
      <c r="A11605" s="18">
        <v>949</v>
      </c>
      <c r="B11605" s="4" t="s">
        <v>44</v>
      </c>
      <c r="C11605" s="38" t="s">
        <v>6468</v>
      </c>
      <c r="D11605" s="18">
        <v>2022</v>
      </c>
      <c r="E11605" s="18" t="s">
        <v>0</v>
      </c>
      <c r="F11605" s="41">
        <v>1</v>
      </c>
      <c r="G11605" s="4">
        <v>15</v>
      </c>
      <c r="H11605" s="18">
        <v>16.137450000000001</v>
      </c>
      <c r="I11605" s="90"/>
      <c r="J11605" s="90"/>
    </row>
    <row r="11606" spans="1:10" s="15" customFormat="1" ht="16.5" hidden="1" customHeight="1" outlineLevel="1" x14ac:dyDescent="0.25">
      <c r="A11606" s="18">
        <v>952</v>
      </c>
      <c r="B11606" s="4" t="s">
        <v>44</v>
      </c>
      <c r="C11606" s="38" t="s">
        <v>6469</v>
      </c>
      <c r="D11606" s="18">
        <v>2022</v>
      </c>
      <c r="E11606" s="18" t="s">
        <v>0</v>
      </c>
      <c r="F11606" s="41">
        <v>1</v>
      </c>
      <c r="G11606" s="4">
        <v>15</v>
      </c>
      <c r="H11606" s="18">
        <v>18.797509999999999</v>
      </c>
      <c r="I11606" s="90"/>
      <c r="J11606" s="90"/>
    </row>
    <row r="11607" spans="1:10" s="15" customFormat="1" ht="16.5" hidden="1" customHeight="1" outlineLevel="1" x14ac:dyDescent="0.25">
      <c r="A11607" s="18">
        <v>953</v>
      </c>
      <c r="B11607" s="4" t="s">
        <v>44</v>
      </c>
      <c r="C11607" s="38" t="s">
        <v>6470</v>
      </c>
      <c r="D11607" s="18">
        <v>2022</v>
      </c>
      <c r="E11607" s="18" t="s">
        <v>0</v>
      </c>
      <c r="F11607" s="41">
        <v>1</v>
      </c>
      <c r="G11607" s="4">
        <v>81</v>
      </c>
      <c r="H11607" s="18">
        <v>27.822679999999998</v>
      </c>
      <c r="I11607" s="90"/>
      <c r="J11607" s="90"/>
    </row>
    <row r="11608" spans="1:10" s="15" customFormat="1" ht="16.5" hidden="1" customHeight="1" outlineLevel="1" x14ac:dyDescent="0.25">
      <c r="A11608" s="18">
        <v>954</v>
      </c>
      <c r="B11608" s="4" t="s">
        <v>44</v>
      </c>
      <c r="C11608" s="38" t="s">
        <v>6471</v>
      </c>
      <c r="D11608" s="18">
        <v>2022</v>
      </c>
      <c r="E11608" s="18" t="s">
        <v>0</v>
      </c>
      <c r="F11608" s="41">
        <v>1</v>
      </c>
      <c r="G11608" s="4">
        <v>100</v>
      </c>
      <c r="H11608" s="18">
        <v>27.603000000000002</v>
      </c>
      <c r="I11608" s="90"/>
      <c r="J11608" s="90"/>
    </row>
    <row r="11609" spans="1:10" s="15" customFormat="1" ht="16.5" hidden="1" customHeight="1" outlineLevel="1" x14ac:dyDescent="0.25">
      <c r="A11609" s="18">
        <v>955</v>
      </c>
      <c r="B11609" s="4" t="s">
        <v>44</v>
      </c>
      <c r="C11609" s="38" t="s">
        <v>6472</v>
      </c>
      <c r="D11609" s="18">
        <v>2022</v>
      </c>
      <c r="E11609" s="18" t="s">
        <v>0</v>
      </c>
      <c r="F11609" s="41">
        <v>1</v>
      </c>
      <c r="G11609" s="4">
        <v>15</v>
      </c>
      <c r="H11609" s="18">
        <v>19.017219999999998</v>
      </c>
      <c r="I11609" s="90"/>
      <c r="J11609" s="90"/>
    </row>
    <row r="11610" spans="1:10" s="15" customFormat="1" ht="16.5" hidden="1" customHeight="1" outlineLevel="1" x14ac:dyDescent="0.25">
      <c r="A11610" s="18">
        <v>956</v>
      </c>
      <c r="B11610" s="4" t="s">
        <v>44</v>
      </c>
      <c r="C11610" s="38" t="s">
        <v>6473</v>
      </c>
      <c r="D11610" s="18">
        <v>2022</v>
      </c>
      <c r="E11610" s="18" t="s">
        <v>0</v>
      </c>
      <c r="F11610" s="41">
        <v>1</v>
      </c>
      <c r="G11610" s="4">
        <v>15</v>
      </c>
      <c r="H11610" s="18">
        <v>19.045259999999999</v>
      </c>
      <c r="I11610" s="90"/>
      <c r="J11610" s="90"/>
    </row>
    <row r="11611" spans="1:10" s="15" customFormat="1" ht="16.5" hidden="1" customHeight="1" outlineLevel="1" x14ac:dyDescent="0.25">
      <c r="A11611" s="18">
        <v>560</v>
      </c>
      <c r="B11611" s="4" t="s">
        <v>44</v>
      </c>
      <c r="C11611" s="38" t="s">
        <v>6474</v>
      </c>
      <c r="D11611" s="18">
        <v>2022</v>
      </c>
      <c r="E11611" s="18" t="s">
        <v>0</v>
      </c>
      <c r="F11611" s="41">
        <v>1</v>
      </c>
      <c r="G11611" s="4">
        <v>0</v>
      </c>
      <c r="H11611" s="18">
        <v>10.488149999999999</v>
      </c>
      <c r="I11611" s="90"/>
      <c r="J11611" s="90"/>
    </row>
    <row r="11612" spans="1:10" s="15" customFormat="1" ht="16.5" hidden="1" customHeight="1" outlineLevel="1" x14ac:dyDescent="0.25">
      <c r="A11612" s="18">
        <v>872</v>
      </c>
      <c r="B11612" s="4" t="s">
        <v>44</v>
      </c>
      <c r="C11612" s="38" t="s">
        <v>6475</v>
      </c>
      <c r="D11612" s="18">
        <v>2022</v>
      </c>
      <c r="E11612" s="18" t="s">
        <v>0</v>
      </c>
      <c r="F11612" s="41">
        <v>1</v>
      </c>
      <c r="G11612" s="4">
        <v>9</v>
      </c>
      <c r="H11612" s="18">
        <v>43.472799999999999</v>
      </c>
      <c r="I11612" s="90"/>
      <c r="J11612" s="90"/>
    </row>
    <row r="11613" spans="1:10" s="15" customFormat="1" ht="16.5" hidden="1" customHeight="1" outlineLevel="1" x14ac:dyDescent="0.25">
      <c r="A11613" s="18">
        <v>959</v>
      </c>
      <c r="B11613" s="4" t="s">
        <v>44</v>
      </c>
      <c r="C11613" s="38" t="s">
        <v>6476</v>
      </c>
      <c r="D11613" s="18">
        <v>2022</v>
      </c>
      <c r="E11613" s="18" t="s">
        <v>0</v>
      </c>
      <c r="F11613" s="41">
        <v>1</v>
      </c>
      <c r="G11613" s="4">
        <v>7.5</v>
      </c>
      <c r="H11613" s="18">
        <v>35.210619999999999</v>
      </c>
      <c r="I11613" s="90"/>
      <c r="J11613" s="90"/>
    </row>
    <row r="11614" spans="1:10" s="15" customFormat="1" ht="16.5" hidden="1" customHeight="1" outlineLevel="1" x14ac:dyDescent="0.25">
      <c r="A11614" s="18">
        <v>960</v>
      </c>
      <c r="B11614" s="4" t="s">
        <v>44</v>
      </c>
      <c r="C11614" s="38" t="s">
        <v>6477</v>
      </c>
      <c r="D11614" s="18">
        <v>2022</v>
      </c>
      <c r="E11614" s="18" t="s">
        <v>0</v>
      </c>
      <c r="F11614" s="41">
        <v>1</v>
      </c>
      <c r="G11614" s="4">
        <v>14.5</v>
      </c>
      <c r="H11614" s="18">
        <v>39.448329999999999</v>
      </c>
      <c r="I11614" s="90"/>
      <c r="J11614" s="90"/>
    </row>
    <row r="11615" spans="1:10" s="15" customFormat="1" ht="16.5" hidden="1" customHeight="1" outlineLevel="1" x14ac:dyDescent="0.25">
      <c r="A11615" s="18">
        <v>961</v>
      </c>
      <c r="B11615" s="4" t="s">
        <v>44</v>
      </c>
      <c r="C11615" s="38" t="s">
        <v>6478</v>
      </c>
      <c r="D11615" s="18">
        <v>2022</v>
      </c>
      <c r="E11615" s="18" t="s">
        <v>0</v>
      </c>
      <c r="F11615" s="41">
        <v>1</v>
      </c>
      <c r="G11615" s="4">
        <v>14.5</v>
      </c>
      <c r="H11615" s="18">
        <v>39.448369999999997</v>
      </c>
      <c r="I11615" s="90"/>
      <c r="J11615" s="90"/>
    </row>
    <row r="11616" spans="1:10" s="15" customFormat="1" ht="16.5" hidden="1" customHeight="1" outlineLevel="1" x14ac:dyDescent="0.25">
      <c r="A11616" s="18">
        <v>962</v>
      </c>
      <c r="B11616" s="4" t="s">
        <v>44</v>
      </c>
      <c r="C11616" s="38" t="s">
        <v>6479</v>
      </c>
      <c r="D11616" s="18">
        <v>2022</v>
      </c>
      <c r="E11616" s="18" t="s">
        <v>0</v>
      </c>
      <c r="F11616" s="41">
        <v>1</v>
      </c>
      <c r="G11616" s="4">
        <v>14.4</v>
      </c>
      <c r="H11616" s="18">
        <v>39.448419999999999</v>
      </c>
      <c r="I11616" s="90"/>
      <c r="J11616" s="90"/>
    </row>
    <row r="11617" spans="1:10" s="15" customFormat="1" ht="16.5" hidden="1" customHeight="1" outlineLevel="1" x14ac:dyDescent="0.25">
      <c r="A11617" s="18">
        <v>963</v>
      </c>
      <c r="B11617" s="4" t="s">
        <v>44</v>
      </c>
      <c r="C11617" s="38" t="s">
        <v>6480</v>
      </c>
      <c r="D11617" s="18">
        <v>2022</v>
      </c>
      <c r="E11617" s="18" t="s">
        <v>0</v>
      </c>
      <c r="F11617" s="41">
        <v>1</v>
      </c>
      <c r="G11617" s="4">
        <v>12.2</v>
      </c>
      <c r="H11617" s="18">
        <v>39.448219999999999</v>
      </c>
      <c r="I11617" s="90"/>
      <c r="J11617" s="90"/>
    </row>
    <row r="11618" spans="1:10" s="15" customFormat="1" ht="16.5" hidden="1" customHeight="1" outlineLevel="1" x14ac:dyDescent="0.25">
      <c r="A11618" s="18">
        <v>569</v>
      </c>
      <c r="B11618" s="4" t="s">
        <v>44</v>
      </c>
      <c r="C11618" s="38" t="s">
        <v>2474</v>
      </c>
      <c r="D11618" s="18">
        <v>2022</v>
      </c>
      <c r="E11618" s="18" t="s">
        <v>0</v>
      </c>
      <c r="F11618" s="41">
        <v>1</v>
      </c>
      <c r="G11618" s="4">
        <v>7.5</v>
      </c>
      <c r="H11618" s="18">
        <v>44.013280000000002</v>
      </c>
      <c r="I11618" s="90"/>
      <c r="J11618" s="90"/>
    </row>
    <row r="11619" spans="1:10" s="15" customFormat="1" ht="16.5" hidden="1" customHeight="1" outlineLevel="1" x14ac:dyDescent="0.25">
      <c r="A11619" s="18">
        <v>964</v>
      </c>
      <c r="B11619" s="4" t="s">
        <v>44</v>
      </c>
      <c r="C11619" s="38" t="s">
        <v>6481</v>
      </c>
      <c r="D11619" s="18">
        <v>2022</v>
      </c>
      <c r="E11619" s="18" t="s">
        <v>0</v>
      </c>
      <c r="F11619" s="41">
        <v>1</v>
      </c>
      <c r="G11619" s="4">
        <v>15</v>
      </c>
      <c r="H11619" s="18">
        <v>37.733150000000002</v>
      </c>
      <c r="I11619" s="90"/>
      <c r="J11619" s="90"/>
    </row>
    <row r="11620" spans="1:10" s="15" customFormat="1" ht="16.5" hidden="1" customHeight="1" outlineLevel="1" x14ac:dyDescent="0.25">
      <c r="A11620" s="18">
        <v>965</v>
      </c>
      <c r="B11620" s="4" t="s">
        <v>44</v>
      </c>
      <c r="C11620" s="38" t="s">
        <v>6482</v>
      </c>
      <c r="D11620" s="18">
        <v>2022</v>
      </c>
      <c r="E11620" s="18" t="s">
        <v>0</v>
      </c>
      <c r="F11620" s="41">
        <v>1</v>
      </c>
      <c r="G11620" s="4">
        <v>15</v>
      </c>
      <c r="H11620" s="18">
        <v>37.733139999999999</v>
      </c>
      <c r="I11620" s="90"/>
      <c r="J11620" s="90"/>
    </row>
    <row r="11621" spans="1:10" s="15" customFormat="1" ht="16.5" hidden="1" customHeight="1" outlineLevel="1" x14ac:dyDescent="0.25">
      <c r="A11621" s="18">
        <v>966</v>
      </c>
      <c r="B11621" s="4" t="s">
        <v>44</v>
      </c>
      <c r="C11621" s="38" t="s">
        <v>6483</v>
      </c>
      <c r="D11621" s="18">
        <v>2022</v>
      </c>
      <c r="E11621" s="18" t="s">
        <v>0</v>
      </c>
      <c r="F11621" s="41">
        <v>1</v>
      </c>
      <c r="G11621" s="4">
        <v>9</v>
      </c>
      <c r="H11621" s="18">
        <v>37.73319</v>
      </c>
      <c r="I11621" s="90"/>
      <c r="J11621" s="90"/>
    </row>
    <row r="11622" spans="1:10" s="15" customFormat="1" ht="16.5" hidden="1" customHeight="1" outlineLevel="1" x14ac:dyDescent="0.25">
      <c r="A11622" s="18">
        <v>967</v>
      </c>
      <c r="B11622" s="4" t="s">
        <v>44</v>
      </c>
      <c r="C11622" s="38" t="s">
        <v>6484</v>
      </c>
      <c r="D11622" s="18">
        <v>2022</v>
      </c>
      <c r="E11622" s="18" t="s">
        <v>0</v>
      </c>
      <c r="F11622" s="41">
        <v>1</v>
      </c>
      <c r="G11622" s="4">
        <v>15</v>
      </c>
      <c r="H11622" s="18">
        <v>37.733139999999999</v>
      </c>
      <c r="I11622" s="90"/>
      <c r="J11622" s="90"/>
    </row>
    <row r="11623" spans="1:10" s="15" customFormat="1" ht="16.5" hidden="1" customHeight="1" outlineLevel="1" x14ac:dyDescent="0.25">
      <c r="A11623" s="18">
        <v>509</v>
      </c>
      <c r="B11623" s="4" t="s">
        <v>44</v>
      </c>
      <c r="C11623" s="38" t="s">
        <v>2475</v>
      </c>
      <c r="D11623" s="18">
        <v>2022</v>
      </c>
      <c r="E11623" s="18" t="s">
        <v>0</v>
      </c>
      <c r="F11623" s="41">
        <v>1</v>
      </c>
      <c r="G11623" s="4">
        <v>15</v>
      </c>
      <c r="H11623" s="18">
        <v>45.301409999999997</v>
      </c>
      <c r="I11623" s="90"/>
      <c r="J11623" s="90"/>
    </row>
    <row r="11624" spans="1:10" s="15" customFormat="1" ht="16.5" hidden="1" customHeight="1" outlineLevel="1" x14ac:dyDescent="0.25">
      <c r="A11624" s="18">
        <v>520</v>
      </c>
      <c r="B11624" s="4" t="s">
        <v>44</v>
      </c>
      <c r="C11624" s="38" t="s">
        <v>2476</v>
      </c>
      <c r="D11624" s="18">
        <v>2022</v>
      </c>
      <c r="E11624" s="18" t="s">
        <v>0</v>
      </c>
      <c r="F11624" s="41">
        <v>1</v>
      </c>
      <c r="G11624" s="4">
        <v>6</v>
      </c>
      <c r="H11624" s="18">
        <v>47.394779999999997</v>
      </c>
      <c r="I11624" s="90"/>
      <c r="J11624" s="90"/>
    </row>
    <row r="11625" spans="1:10" s="15" customFormat="1" ht="16.5" hidden="1" customHeight="1" outlineLevel="1" x14ac:dyDescent="0.25">
      <c r="A11625" s="18">
        <v>500</v>
      </c>
      <c r="B11625" s="4" t="s">
        <v>44</v>
      </c>
      <c r="C11625" s="38" t="s">
        <v>2477</v>
      </c>
      <c r="D11625" s="18">
        <v>2022</v>
      </c>
      <c r="E11625" s="18" t="s">
        <v>0</v>
      </c>
      <c r="F11625" s="41">
        <v>1</v>
      </c>
      <c r="G11625" s="4">
        <v>15</v>
      </c>
      <c r="H11625" s="18">
        <v>45.3307</v>
      </c>
      <c r="I11625" s="90"/>
      <c r="J11625" s="90"/>
    </row>
    <row r="11626" spans="1:10" s="15" customFormat="1" ht="16.5" hidden="1" customHeight="1" outlineLevel="1" x14ac:dyDescent="0.25">
      <c r="A11626" s="18">
        <v>968</v>
      </c>
      <c r="B11626" s="4" t="s">
        <v>44</v>
      </c>
      <c r="C11626" s="38" t="s">
        <v>6485</v>
      </c>
      <c r="D11626" s="18">
        <v>2022</v>
      </c>
      <c r="E11626" s="18" t="s">
        <v>0</v>
      </c>
      <c r="F11626" s="41">
        <v>1</v>
      </c>
      <c r="G11626" s="4">
        <v>15</v>
      </c>
      <c r="H11626" s="18">
        <v>34.226550000000003</v>
      </c>
      <c r="I11626" s="90"/>
      <c r="J11626" s="90"/>
    </row>
    <row r="11627" spans="1:10" s="15" customFormat="1" ht="16.5" hidden="1" customHeight="1" outlineLevel="1" x14ac:dyDescent="0.25">
      <c r="A11627" s="18">
        <v>969</v>
      </c>
      <c r="B11627" s="4" t="s">
        <v>44</v>
      </c>
      <c r="C11627" s="38" t="s">
        <v>6486</v>
      </c>
      <c r="D11627" s="18">
        <v>2022</v>
      </c>
      <c r="E11627" s="18" t="s">
        <v>0</v>
      </c>
      <c r="F11627" s="41">
        <v>1</v>
      </c>
      <c r="G11627" s="4">
        <v>13.9</v>
      </c>
      <c r="H11627" s="18">
        <v>34.226559999999999</v>
      </c>
      <c r="I11627" s="90"/>
      <c r="J11627" s="90"/>
    </row>
    <row r="11628" spans="1:10" s="15" customFormat="1" ht="16.5" hidden="1" customHeight="1" outlineLevel="1" x14ac:dyDescent="0.25">
      <c r="A11628" s="18">
        <v>970</v>
      </c>
      <c r="B11628" s="4" t="s">
        <v>44</v>
      </c>
      <c r="C11628" s="38" t="s">
        <v>6487</v>
      </c>
      <c r="D11628" s="18">
        <v>2022</v>
      </c>
      <c r="E11628" s="18" t="s">
        <v>0</v>
      </c>
      <c r="F11628" s="41">
        <v>1</v>
      </c>
      <c r="G11628" s="4">
        <v>14.6</v>
      </c>
      <c r="H11628" s="18">
        <v>34.337220000000002</v>
      </c>
      <c r="I11628" s="90"/>
      <c r="J11628" s="90"/>
    </row>
    <row r="11629" spans="1:10" s="15" customFormat="1" ht="16.5" hidden="1" customHeight="1" outlineLevel="1" x14ac:dyDescent="0.25">
      <c r="A11629" s="18">
        <v>971</v>
      </c>
      <c r="B11629" s="4" t="s">
        <v>44</v>
      </c>
      <c r="C11629" s="38" t="s">
        <v>6488</v>
      </c>
      <c r="D11629" s="18">
        <v>2022</v>
      </c>
      <c r="E11629" s="18" t="s">
        <v>0</v>
      </c>
      <c r="F11629" s="41">
        <v>1</v>
      </c>
      <c r="G11629" s="4">
        <v>14.8</v>
      </c>
      <c r="H11629" s="18">
        <v>34.442230000000002</v>
      </c>
      <c r="I11629" s="90"/>
      <c r="J11629" s="90"/>
    </row>
    <row r="11630" spans="1:10" s="15" customFormat="1" ht="16.5" hidden="1" customHeight="1" outlineLevel="1" x14ac:dyDescent="0.25">
      <c r="A11630" s="18">
        <v>972</v>
      </c>
      <c r="B11630" s="4" t="s">
        <v>44</v>
      </c>
      <c r="C11630" s="38" t="s">
        <v>6489</v>
      </c>
      <c r="D11630" s="18">
        <v>2022</v>
      </c>
      <c r="E11630" s="18" t="s">
        <v>0</v>
      </c>
      <c r="F11630" s="41">
        <v>1</v>
      </c>
      <c r="G11630" s="4">
        <v>7.5</v>
      </c>
      <c r="H11630" s="18">
        <v>34.334389999999999</v>
      </c>
      <c r="I11630" s="90"/>
      <c r="J11630" s="90"/>
    </row>
    <row r="11631" spans="1:10" s="15" customFormat="1" ht="16.5" hidden="1" customHeight="1" outlineLevel="1" x14ac:dyDescent="0.25">
      <c r="A11631" s="18">
        <v>983</v>
      </c>
      <c r="B11631" s="4" t="s">
        <v>44</v>
      </c>
      <c r="C11631" s="38" t="s">
        <v>6490</v>
      </c>
      <c r="D11631" s="18">
        <v>2022</v>
      </c>
      <c r="E11631" s="18" t="s">
        <v>0</v>
      </c>
      <c r="F11631" s="41">
        <v>1</v>
      </c>
      <c r="G11631" s="4">
        <v>9</v>
      </c>
      <c r="H11631" s="18">
        <v>34.766210000000001</v>
      </c>
      <c r="I11631" s="90"/>
      <c r="J11631" s="90"/>
    </row>
    <row r="11632" spans="1:10" s="15" customFormat="1" ht="16.5" hidden="1" customHeight="1" outlineLevel="1" x14ac:dyDescent="0.25">
      <c r="A11632" s="18">
        <v>984</v>
      </c>
      <c r="B11632" s="4" t="s">
        <v>44</v>
      </c>
      <c r="C11632" s="38" t="s">
        <v>6491</v>
      </c>
      <c r="D11632" s="18">
        <v>2022</v>
      </c>
      <c r="E11632" s="18" t="s">
        <v>0</v>
      </c>
      <c r="F11632" s="41">
        <v>1</v>
      </c>
      <c r="G11632" s="4">
        <v>15</v>
      </c>
      <c r="H11632" s="18">
        <v>34.766210000000001</v>
      </c>
      <c r="I11632" s="90"/>
      <c r="J11632" s="90"/>
    </row>
    <row r="11633" spans="1:10" s="15" customFormat="1" ht="16.5" hidden="1" customHeight="1" outlineLevel="1" x14ac:dyDescent="0.25">
      <c r="A11633" s="18">
        <v>985</v>
      </c>
      <c r="B11633" s="4" t="s">
        <v>44</v>
      </c>
      <c r="C11633" s="38" t="s">
        <v>6492</v>
      </c>
      <c r="D11633" s="18">
        <v>2022</v>
      </c>
      <c r="E11633" s="18" t="s">
        <v>0</v>
      </c>
      <c r="F11633" s="41">
        <v>1</v>
      </c>
      <c r="G11633" s="4">
        <v>7</v>
      </c>
      <c r="H11633" s="18">
        <v>34.766210000000001</v>
      </c>
      <c r="I11633" s="90"/>
      <c r="J11633" s="90"/>
    </row>
    <row r="11634" spans="1:10" s="15" customFormat="1" ht="16.5" hidden="1" customHeight="1" outlineLevel="1" x14ac:dyDescent="0.25">
      <c r="A11634" s="18">
        <v>986</v>
      </c>
      <c r="B11634" s="4" t="s">
        <v>44</v>
      </c>
      <c r="C11634" s="38" t="s">
        <v>6493</v>
      </c>
      <c r="D11634" s="18">
        <v>2022</v>
      </c>
      <c r="E11634" s="18" t="s">
        <v>0</v>
      </c>
      <c r="F11634" s="41">
        <v>1</v>
      </c>
      <c r="G11634" s="4">
        <v>15</v>
      </c>
      <c r="H11634" s="18">
        <v>34.227060000000002</v>
      </c>
      <c r="I11634" s="90"/>
      <c r="J11634" s="90"/>
    </row>
    <row r="11635" spans="1:10" s="15" customFormat="1" ht="16.5" hidden="1" customHeight="1" outlineLevel="1" x14ac:dyDescent="0.25">
      <c r="A11635" s="18">
        <v>987</v>
      </c>
      <c r="B11635" s="4" t="s">
        <v>44</v>
      </c>
      <c r="C11635" s="38" t="s">
        <v>6494</v>
      </c>
      <c r="D11635" s="18">
        <v>2022</v>
      </c>
      <c r="E11635" s="18" t="s">
        <v>0</v>
      </c>
      <c r="F11635" s="41">
        <v>1</v>
      </c>
      <c r="G11635" s="4">
        <v>15</v>
      </c>
      <c r="H11635" s="18">
        <v>34.227060000000002</v>
      </c>
      <c r="I11635" s="90"/>
      <c r="J11635" s="90"/>
    </row>
    <row r="11636" spans="1:10" s="15" customFormat="1" ht="16.5" hidden="1" customHeight="1" outlineLevel="1" x14ac:dyDescent="0.25">
      <c r="A11636" s="18">
        <v>988</v>
      </c>
      <c r="B11636" s="4" t="s">
        <v>44</v>
      </c>
      <c r="C11636" s="38" t="s">
        <v>6495</v>
      </c>
      <c r="D11636" s="18">
        <v>2022</v>
      </c>
      <c r="E11636" s="18" t="s">
        <v>0</v>
      </c>
      <c r="F11636" s="41">
        <v>1</v>
      </c>
      <c r="G11636" s="4">
        <v>15</v>
      </c>
      <c r="H11636" s="18">
        <v>34.334870000000002</v>
      </c>
      <c r="I11636" s="90"/>
      <c r="J11636" s="90"/>
    </row>
    <row r="11637" spans="1:10" s="15" customFormat="1" ht="16.5" hidden="1" customHeight="1" outlineLevel="1" x14ac:dyDescent="0.25">
      <c r="A11637" s="18">
        <v>989</v>
      </c>
      <c r="B11637" s="4" t="s">
        <v>44</v>
      </c>
      <c r="C11637" s="38" t="s">
        <v>6496</v>
      </c>
      <c r="D11637" s="18">
        <v>2022</v>
      </c>
      <c r="E11637" s="18" t="s">
        <v>0</v>
      </c>
      <c r="F11637" s="41">
        <v>1</v>
      </c>
      <c r="G11637" s="4">
        <v>15</v>
      </c>
      <c r="H11637" s="18">
        <v>34.334870000000002</v>
      </c>
      <c r="I11637" s="90"/>
      <c r="J11637" s="90"/>
    </row>
    <row r="11638" spans="1:10" s="15" customFormat="1" ht="16.5" hidden="1" customHeight="1" outlineLevel="1" x14ac:dyDescent="0.25">
      <c r="A11638" s="18">
        <v>568</v>
      </c>
      <c r="B11638" s="4" t="s">
        <v>44</v>
      </c>
      <c r="C11638" s="38" t="s">
        <v>6497</v>
      </c>
      <c r="D11638" s="18">
        <v>2022</v>
      </c>
      <c r="E11638" s="18" t="s">
        <v>0</v>
      </c>
      <c r="F11638" s="41">
        <v>1</v>
      </c>
      <c r="G11638" s="4">
        <v>15</v>
      </c>
      <c r="H11638" s="18">
        <v>66.299779999999998</v>
      </c>
      <c r="I11638" s="90"/>
      <c r="J11638" s="90"/>
    </row>
    <row r="11639" spans="1:10" s="15" customFormat="1" ht="16.5" hidden="1" customHeight="1" outlineLevel="1" x14ac:dyDescent="0.25">
      <c r="A11639" s="18">
        <v>990</v>
      </c>
      <c r="B11639" s="4" t="s">
        <v>44</v>
      </c>
      <c r="C11639" s="38" t="s">
        <v>6498</v>
      </c>
      <c r="D11639" s="18">
        <v>2022</v>
      </c>
      <c r="E11639" s="18" t="s">
        <v>0</v>
      </c>
      <c r="F11639" s="41">
        <v>1</v>
      </c>
      <c r="G11639" s="4">
        <v>15</v>
      </c>
      <c r="H11639" s="18">
        <v>34.73762</v>
      </c>
      <c r="I11639" s="90"/>
      <c r="J11639" s="90"/>
    </row>
    <row r="11640" spans="1:10" s="15" customFormat="1" ht="16.5" hidden="1" customHeight="1" outlineLevel="1" x14ac:dyDescent="0.25">
      <c r="A11640" s="18">
        <v>992</v>
      </c>
      <c r="B11640" s="4" t="s">
        <v>44</v>
      </c>
      <c r="C11640" s="38" t="s">
        <v>6499</v>
      </c>
      <c r="D11640" s="18">
        <v>2022</v>
      </c>
      <c r="E11640" s="18" t="s">
        <v>0</v>
      </c>
      <c r="F11640" s="41">
        <v>1</v>
      </c>
      <c r="G11640" s="4">
        <v>15</v>
      </c>
      <c r="H11640" s="18">
        <v>34.737670000000001</v>
      </c>
      <c r="I11640" s="90"/>
      <c r="J11640" s="90"/>
    </row>
    <row r="11641" spans="1:10" s="15" customFormat="1" ht="16.5" hidden="1" customHeight="1" outlineLevel="1" x14ac:dyDescent="0.25">
      <c r="A11641" s="18">
        <v>993</v>
      </c>
      <c r="B11641" s="4" t="s">
        <v>44</v>
      </c>
      <c r="C11641" s="38" t="s">
        <v>6500</v>
      </c>
      <c r="D11641" s="18">
        <v>2022</v>
      </c>
      <c r="E11641" s="18" t="s">
        <v>0</v>
      </c>
      <c r="F11641" s="41">
        <v>1</v>
      </c>
      <c r="G11641" s="4">
        <v>15</v>
      </c>
      <c r="H11641" s="18">
        <v>35.408659999999998</v>
      </c>
      <c r="I11641" s="90"/>
      <c r="J11641" s="90"/>
    </row>
    <row r="11642" spans="1:10" s="15" customFormat="1" ht="16.5" hidden="1" customHeight="1" outlineLevel="1" x14ac:dyDescent="0.25">
      <c r="A11642" s="18">
        <v>997</v>
      </c>
      <c r="B11642" s="4" t="s">
        <v>44</v>
      </c>
      <c r="C11642" s="38" t="s">
        <v>6501</v>
      </c>
      <c r="D11642" s="18">
        <v>2022</v>
      </c>
      <c r="E11642" s="18" t="s">
        <v>0</v>
      </c>
      <c r="F11642" s="41">
        <v>1</v>
      </c>
      <c r="G11642" s="4">
        <v>7</v>
      </c>
      <c r="H11642" s="18">
        <v>34.737740000000002</v>
      </c>
      <c r="I11642" s="90"/>
      <c r="J11642" s="90"/>
    </row>
    <row r="11643" spans="1:10" s="15" customFormat="1" ht="16.5" hidden="1" customHeight="1" outlineLevel="1" x14ac:dyDescent="0.25">
      <c r="A11643" s="18">
        <v>998</v>
      </c>
      <c r="B11643" s="4" t="s">
        <v>44</v>
      </c>
      <c r="C11643" s="38" t="s">
        <v>6502</v>
      </c>
      <c r="D11643" s="18">
        <v>2022</v>
      </c>
      <c r="E11643" s="18" t="s">
        <v>0</v>
      </c>
      <c r="F11643" s="41">
        <v>1</v>
      </c>
      <c r="G11643" s="4">
        <v>15</v>
      </c>
      <c r="H11643" s="18">
        <v>34.737659999999998</v>
      </c>
      <c r="I11643" s="90"/>
      <c r="J11643" s="90"/>
    </row>
    <row r="11644" spans="1:10" s="15" customFormat="1" ht="16.5" hidden="1" customHeight="1" outlineLevel="1" x14ac:dyDescent="0.25">
      <c r="A11644" s="18">
        <v>999</v>
      </c>
      <c r="B11644" s="4" t="s">
        <v>44</v>
      </c>
      <c r="C11644" s="38" t="s">
        <v>6503</v>
      </c>
      <c r="D11644" s="18">
        <v>2022</v>
      </c>
      <c r="E11644" s="18" t="s">
        <v>0</v>
      </c>
      <c r="F11644" s="41">
        <v>1</v>
      </c>
      <c r="G11644" s="4">
        <v>9</v>
      </c>
      <c r="H11644" s="18">
        <v>34.737639999999999</v>
      </c>
      <c r="I11644" s="90"/>
      <c r="J11644" s="90"/>
    </row>
    <row r="11645" spans="1:10" s="15" customFormat="1" ht="16.5" hidden="1" customHeight="1" outlineLevel="1" x14ac:dyDescent="0.25">
      <c r="A11645" s="18">
        <v>1001</v>
      </c>
      <c r="B11645" s="4" t="s">
        <v>44</v>
      </c>
      <c r="C11645" s="38" t="s">
        <v>6504</v>
      </c>
      <c r="D11645" s="18">
        <v>2022</v>
      </c>
      <c r="E11645" s="18" t="s">
        <v>0</v>
      </c>
      <c r="F11645" s="41">
        <v>1</v>
      </c>
      <c r="G11645" s="4">
        <v>15</v>
      </c>
      <c r="H11645" s="18">
        <v>34.737580000000001</v>
      </c>
      <c r="I11645" s="90"/>
      <c r="J11645" s="90"/>
    </row>
    <row r="11646" spans="1:10" s="15" customFormat="1" ht="16.5" hidden="1" customHeight="1" outlineLevel="1" x14ac:dyDescent="0.25">
      <c r="A11646" s="18">
        <v>1003</v>
      </c>
      <c r="B11646" s="4" t="s">
        <v>44</v>
      </c>
      <c r="C11646" s="38" t="s">
        <v>6505</v>
      </c>
      <c r="D11646" s="18">
        <v>2022</v>
      </c>
      <c r="E11646" s="18" t="s">
        <v>0</v>
      </c>
      <c r="F11646" s="41">
        <v>1</v>
      </c>
      <c r="G11646" s="4">
        <v>15</v>
      </c>
      <c r="H11646" s="18">
        <v>34.737650000000002</v>
      </c>
      <c r="I11646" s="90"/>
      <c r="J11646" s="90"/>
    </row>
    <row r="11647" spans="1:10" s="15" customFormat="1" ht="16.5" hidden="1" customHeight="1" outlineLevel="1" x14ac:dyDescent="0.25">
      <c r="A11647" s="18">
        <v>578</v>
      </c>
      <c r="B11647" s="4" t="s">
        <v>44</v>
      </c>
      <c r="C11647" s="38" t="s">
        <v>2479</v>
      </c>
      <c r="D11647" s="18">
        <v>2022</v>
      </c>
      <c r="E11647" s="18" t="s">
        <v>0</v>
      </c>
      <c r="F11647" s="41">
        <v>1</v>
      </c>
      <c r="G11647" s="4">
        <v>15</v>
      </c>
      <c r="H11647" s="18">
        <v>41.817120000000003</v>
      </c>
      <c r="I11647" s="90"/>
      <c r="J11647" s="90"/>
    </row>
    <row r="11648" spans="1:10" s="15" customFormat="1" ht="16.5" hidden="1" customHeight="1" outlineLevel="1" x14ac:dyDescent="0.25">
      <c r="A11648" s="18">
        <v>579</v>
      </c>
      <c r="B11648" s="4" t="s">
        <v>44</v>
      </c>
      <c r="C11648" s="38" t="s">
        <v>2917</v>
      </c>
      <c r="D11648" s="18">
        <v>2022</v>
      </c>
      <c r="E11648" s="18" t="s">
        <v>0</v>
      </c>
      <c r="F11648" s="41">
        <v>1</v>
      </c>
      <c r="G11648" s="4">
        <v>9</v>
      </c>
      <c r="H11648" s="18">
        <v>69.016810000000007</v>
      </c>
      <c r="I11648" s="90"/>
      <c r="J11648" s="90"/>
    </row>
    <row r="11649" spans="1:10" s="15" customFormat="1" ht="16.5" hidden="1" customHeight="1" outlineLevel="1" x14ac:dyDescent="0.25">
      <c r="A11649" s="18">
        <v>581</v>
      </c>
      <c r="B11649" s="4" t="s">
        <v>44</v>
      </c>
      <c r="C11649" s="38" t="s">
        <v>2481</v>
      </c>
      <c r="D11649" s="18">
        <v>2022</v>
      </c>
      <c r="E11649" s="18" t="s">
        <v>0</v>
      </c>
      <c r="F11649" s="41">
        <v>1</v>
      </c>
      <c r="G11649" s="4">
        <v>15</v>
      </c>
      <c r="H11649" s="18">
        <v>49.983319999999999</v>
      </c>
      <c r="I11649" s="90"/>
      <c r="J11649" s="90"/>
    </row>
    <row r="11650" spans="1:10" s="15" customFormat="1" ht="16.5" hidden="1" customHeight="1" outlineLevel="1" x14ac:dyDescent="0.25">
      <c r="A11650" s="18">
        <v>582</v>
      </c>
      <c r="B11650" s="4" t="s">
        <v>44</v>
      </c>
      <c r="C11650" s="38" t="s">
        <v>2482</v>
      </c>
      <c r="D11650" s="18">
        <v>2022</v>
      </c>
      <c r="E11650" s="18" t="s">
        <v>0</v>
      </c>
      <c r="F11650" s="41">
        <v>1</v>
      </c>
      <c r="G11650" s="4">
        <v>15</v>
      </c>
      <c r="H11650" s="18">
        <v>46.31597</v>
      </c>
      <c r="I11650" s="90"/>
      <c r="J11650" s="90"/>
    </row>
    <row r="11651" spans="1:10" s="15" customFormat="1" ht="16.5" hidden="1" customHeight="1" outlineLevel="1" x14ac:dyDescent="0.25">
      <c r="A11651" s="18">
        <v>514</v>
      </c>
      <c r="B11651" s="4" t="s">
        <v>44</v>
      </c>
      <c r="C11651" s="38" t="s">
        <v>2483</v>
      </c>
      <c r="D11651" s="18">
        <v>2022</v>
      </c>
      <c r="E11651" s="18" t="s">
        <v>0</v>
      </c>
      <c r="F11651" s="41">
        <v>1</v>
      </c>
      <c r="G11651" s="4">
        <v>15</v>
      </c>
      <c r="H11651" s="18">
        <v>49.343359999999997</v>
      </c>
      <c r="I11651" s="90"/>
      <c r="J11651" s="90"/>
    </row>
    <row r="11652" spans="1:10" s="15" customFormat="1" ht="16.5" hidden="1" customHeight="1" outlineLevel="1" x14ac:dyDescent="0.25">
      <c r="A11652" s="18">
        <v>553</v>
      </c>
      <c r="B11652" s="4" t="s">
        <v>44</v>
      </c>
      <c r="C11652" s="38" t="s">
        <v>2484</v>
      </c>
      <c r="D11652" s="18">
        <v>2022</v>
      </c>
      <c r="E11652" s="18" t="s">
        <v>0</v>
      </c>
      <c r="F11652" s="41">
        <v>1</v>
      </c>
      <c r="G11652" s="4">
        <v>15</v>
      </c>
      <c r="H11652" s="18">
        <v>29.662109999999998</v>
      </c>
      <c r="I11652" s="90"/>
      <c r="J11652" s="90"/>
    </row>
    <row r="11653" spans="1:10" s="15" customFormat="1" ht="16.5" hidden="1" customHeight="1" outlineLevel="1" x14ac:dyDescent="0.25">
      <c r="A11653" s="18">
        <v>518</v>
      </c>
      <c r="B11653" s="4" t="s">
        <v>44</v>
      </c>
      <c r="C11653" s="38" t="s">
        <v>2485</v>
      </c>
      <c r="D11653" s="18">
        <v>2022</v>
      </c>
      <c r="E11653" s="18" t="s">
        <v>0</v>
      </c>
      <c r="F11653" s="41">
        <v>1</v>
      </c>
      <c r="G11653" s="4">
        <v>15</v>
      </c>
      <c r="H11653" s="18">
        <v>45.7166</v>
      </c>
      <c r="I11653" s="90"/>
      <c r="J11653" s="90"/>
    </row>
    <row r="11654" spans="1:10" s="15" customFormat="1" ht="16.5" hidden="1" customHeight="1" outlineLevel="1" x14ac:dyDescent="0.25">
      <c r="A11654" s="18">
        <v>530</v>
      </c>
      <c r="B11654" s="4" t="s">
        <v>44</v>
      </c>
      <c r="C11654" s="38" t="s">
        <v>2486</v>
      </c>
      <c r="D11654" s="18">
        <v>2022</v>
      </c>
      <c r="E11654" s="18" t="s">
        <v>0</v>
      </c>
      <c r="F11654" s="41">
        <v>1</v>
      </c>
      <c r="G11654" s="4">
        <v>15</v>
      </c>
      <c r="H11654" s="18">
        <v>25.284289999999999</v>
      </c>
      <c r="I11654" s="90"/>
      <c r="J11654" s="90"/>
    </row>
    <row r="11655" spans="1:10" s="15" customFormat="1" ht="16.5" hidden="1" customHeight="1" outlineLevel="1" x14ac:dyDescent="0.25">
      <c r="A11655" s="18">
        <v>508</v>
      </c>
      <c r="B11655" s="4" t="s">
        <v>44</v>
      </c>
      <c r="C11655" s="38" t="s">
        <v>2487</v>
      </c>
      <c r="D11655" s="18">
        <v>2022</v>
      </c>
      <c r="E11655" s="18" t="s">
        <v>0</v>
      </c>
      <c r="F11655" s="41">
        <v>1</v>
      </c>
      <c r="G11655" s="4">
        <v>15</v>
      </c>
      <c r="H11655" s="18">
        <v>47.10951</v>
      </c>
      <c r="I11655" s="90"/>
      <c r="J11655" s="90"/>
    </row>
    <row r="11656" spans="1:10" s="15" customFormat="1" ht="16.5" hidden="1" customHeight="1" outlineLevel="1" x14ac:dyDescent="0.25">
      <c r="A11656" s="18">
        <v>557</v>
      </c>
      <c r="B11656" s="4" t="s">
        <v>44</v>
      </c>
      <c r="C11656" s="38" t="s">
        <v>2488</v>
      </c>
      <c r="D11656" s="18">
        <v>2022</v>
      </c>
      <c r="E11656" s="18" t="s">
        <v>0</v>
      </c>
      <c r="F11656" s="41">
        <v>1</v>
      </c>
      <c r="G11656" s="4">
        <v>15</v>
      </c>
      <c r="H11656" s="18">
        <v>49.04627</v>
      </c>
      <c r="I11656" s="90"/>
      <c r="J11656" s="90"/>
    </row>
    <row r="11657" spans="1:10" s="15" customFormat="1" ht="16.5" hidden="1" customHeight="1" outlineLevel="1" x14ac:dyDescent="0.25">
      <c r="A11657" s="18">
        <v>502</v>
      </c>
      <c r="B11657" s="4" t="s">
        <v>44</v>
      </c>
      <c r="C11657" s="38" t="s">
        <v>6506</v>
      </c>
      <c r="D11657" s="18">
        <v>2022</v>
      </c>
      <c r="E11657" s="18" t="s">
        <v>0</v>
      </c>
      <c r="F11657" s="41">
        <v>1</v>
      </c>
      <c r="G11657" s="4">
        <v>15</v>
      </c>
      <c r="H11657" s="18">
        <v>47.806519999999999</v>
      </c>
      <c r="I11657" s="90"/>
      <c r="J11657" s="90"/>
    </row>
    <row r="11658" spans="1:10" s="15" customFormat="1" ht="16.5" hidden="1" customHeight="1" outlineLevel="1" x14ac:dyDescent="0.25">
      <c r="A11658" s="18">
        <v>1032</v>
      </c>
      <c r="B11658" s="4" t="s">
        <v>44</v>
      </c>
      <c r="C11658" s="38" t="s">
        <v>6507</v>
      </c>
      <c r="D11658" s="18">
        <v>2022</v>
      </c>
      <c r="E11658" s="18" t="s">
        <v>0</v>
      </c>
      <c r="F11658" s="41">
        <v>1</v>
      </c>
      <c r="G11658" s="4">
        <v>9</v>
      </c>
      <c r="H11658" s="18">
        <v>34.411349999999999</v>
      </c>
      <c r="I11658" s="90"/>
      <c r="J11658" s="90"/>
    </row>
    <row r="11659" spans="1:10" s="15" customFormat="1" ht="16.5" hidden="1" customHeight="1" outlineLevel="1" x14ac:dyDescent="0.25">
      <c r="A11659" s="18">
        <v>1033</v>
      </c>
      <c r="B11659" s="4" t="s">
        <v>44</v>
      </c>
      <c r="C11659" s="38" t="s">
        <v>6508</v>
      </c>
      <c r="D11659" s="18">
        <v>2022</v>
      </c>
      <c r="E11659" s="18" t="s">
        <v>0</v>
      </c>
      <c r="F11659" s="41">
        <v>1</v>
      </c>
      <c r="G11659" s="4">
        <v>15</v>
      </c>
      <c r="H11659" s="18">
        <v>34.631369999999997</v>
      </c>
      <c r="I11659" s="90"/>
      <c r="J11659" s="90"/>
    </row>
    <row r="11660" spans="1:10" s="15" customFormat="1" ht="16.5" hidden="1" customHeight="1" outlineLevel="1" x14ac:dyDescent="0.25">
      <c r="A11660" s="18">
        <v>1034</v>
      </c>
      <c r="B11660" s="4" t="s">
        <v>44</v>
      </c>
      <c r="C11660" s="38" t="s">
        <v>6509</v>
      </c>
      <c r="D11660" s="18">
        <v>2022</v>
      </c>
      <c r="E11660" s="18" t="s">
        <v>0</v>
      </c>
      <c r="F11660" s="41">
        <v>1</v>
      </c>
      <c r="G11660" s="4">
        <v>9</v>
      </c>
      <c r="H11660" s="18">
        <v>34.411349999999999</v>
      </c>
      <c r="I11660" s="90"/>
      <c r="J11660" s="90"/>
    </row>
    <row r="11661" spans="1:10" s="15" customFormat="1" ht="16.5" hidden="1" customHeight="1" outlineLevel="1" x14ac:dyDescent="0.25">
      <c r="A11661" s="18">
        <v>1035</v>
      </c>
      <c r="B11661" s="4" t="s">
        <v>44</v>
      </c>
      <c r="C11661" s="38" t="s">
        <v>6510</v>
      </c>
      <c r="D11661" s="18">
        <v>2022</v>
      </c>
      <c r="E11661" s="18" t="s">
        <v>0</v>
      </c>
      <c r="F11661" s="41">
        <v>1</v>
      </c>
      <c r="G11661" s="4">
        <v>9</v>
      </c>
      <c r="H11661" s="18">
        <v>34.411369999999998</v>
      </c>
      <c r="I11661" s="90"/>
      <c r="J11661" s="90"/>
    </row>
    <row r="11662" spans="1:10" s="15" customFormat="1" ht="16.5" hidden="1" customHeight="1" outlineLevel="1" x14ac:dyDescent="0.25">
      <c r="A11662" s="18">
        <v>1036</v>
      </c>
      <c r="B11662" s="4" t="s">
        <v>44</v>
      </c>
      <c r="C11662" s="38" t="s">
        <v>6511</v>
      </c>
      <c r="D11662" s="18">
        <v>2022</v>
      </c>
      <c r="E11662" s="18" t="s">
        <v>0</v>
      </c>
      <c r="F11662" s="41">
        <v>1</v>
      </c>
      <c r="G11662" s="4">
        <v>15</v>
      </c>
      <c r="H11662" s="18">
        <v>34.631360000000001</v>
      </c>
      <c r="I11662" s="90"/>
      <c r="J11662" s="90"/>
    </row>
    <row r="11663" spans="1:10" s="15" customFormat="1" ht="16.5" hidden="1" customHeight="1" outlineLevel="1" x14ac:dyDescent="0.25">
      <c r="A11663" s="18">
        <v>583</v>
      </c>
      <c r="B11663" s="4" t="s">
        <v>44</v>
      </c>
      <c r="C11663" s="38" t="s">
        <v>2491</v>
      </c>
      <c r="D11663" s="18">
        <v>2022</v>
      </c>
      <c r="E11663" s="18" t="s">
        <v>0</v>
      </c>
      <c r="F11663" s="41">
        <v>1</v>
      </c>
      <c r="G11663" s="4">
        <v>15</v>
      </c>
      <c r="H11663" s="18">
        <v>88.477760000000004</v>
      </c>
      <c r="I11663" s="90"/>
      <c r="J11663" s="90"/>
    </row>
    <row r="11664" spans="1:10" s="15" customFormat="1" ht="16.5" hidden="1" customHeight="1" outlineLevel="1" x14ac:dyDescent="0.25">
      <c r="A11664" s="18">
        <v>584</v>
      </c>
      <c r="B11664" s="4" t="s">
        <v>44</v>
      </c>
      <c r="C11664" s="38" t="s">
        <v>2492</v>
      </c>
      <c r="D11664" s="18">
        <v>2022</v>
      </c>
      <c r="E11664" s="18" t="s">
        <v>0</v>
      </c>
      <c r="F11664" s="41">
        <v>1</v>
      </c>
      <c r="G11664" s="4">
        <v>15</v>
      </c>
      <c r="H11664" s="18">
        <v>60.515360000000001</v>
      </c>
      <c r="I11664" s="90"/>
      <c r="J11664" s="90"/>
    </row>
    <row r="11665" spans="1:10" s="15" customFormat="1" ht="16.5" hidden="1" customHeight="1" outlineLevel="1" x14ac:dyDescent="0.25">
      <c r="A11665" s="18">
        <v>585</v>
      </c>
      <c r="B11665" s="4" t="s">
        <v>44</v>
      </c>
      <c r="C11665" s="38" t="s">
        <v>2493</v>
      </c>
      <c r="D11665" s="18">
        <v>2022</v>
      </c>
      <c r="E11665" s="18" t="s">
        <v>0</v>
      </c>
      <c r="F11665" s="41">
        <v>1</v>
      </c>
      <c r="G11665" s="4">
        <v>15</v>
      </c>
      <c r="H11665" s="18">
        <v>62.448929999999997</v>
      </c>
      <c r="I11665" s="90"/>
      <c r="J11665" s="90"/>
    </row>
    <row r="11666" spans="1:10" s="15" customFormat="1" ht="16.5" hidden="1" customHeight="1" outlineLevel="1" x14ac:dyDescent="0.25">
      <c r="A11666" s="18">
        <v>586</v>
      </c>
      <c r="B11666" s="4" t="s">
        <v>44</v>
      </c>
      <c r="C11666" s="38" t="s">
        <v>2494</v>
      </c>
      <c r="D11666" s="18">
        <v>2022</v>
      </c>
      <c r="E11666" s="18" t="s">
        <v>0</v>
      </c>
      <c r="F11666" s="41">
        <v>1</v>
      </c>
      <c r="G11666" s="4">
        <v>15</v>
      </c>
      <c r="H11666" s="18">
        <v>65.958960000000005</v>
      </c>
      <c r="I11666" s="90"/>
      <c r="J11666" s="90"/>
    </row>
    <row r="11667" spans="1:10" s="15" customFormat="1" ht="16.5" hidden="1" customHeight="1" outlineLevel="1" x14ac:dyDescent="0.25">
      <c r="A11667" s="18">
        <v>1015</v>
      </c>
      <c r="B11667" s="4" t="s">
        <v>44</v>
      </c>
      <c r="C11667" s="38" t="s">
        <v>6512</v>
      </c>
      <c r="D11667" s="18">
        <v>2022</v>
      </c>
      <c r="E11667" s="18" t="s">
        <v>0</v>
      </c>
      <c r="F11667" s="41">
        <v>1</v>
      </c>
      <c r="G11667" s="4">
        <v>15</v>
      </c>
      <c r="H11667" s="18">
        <v>34.24512</v>
      </c>
      <c r="I11667" s="90"/>
      <c r="J11667" s="90"/>
    </row>
    <row r="11668" spans="1:10" s="15" customFormat="1" ht="16.5" hidden="1" customHeight="1" outlineLevel="1" x14ac:dyDescent="0.25">
      <c r="A11668" s="18">
        <v>1016</v>
      </c>
      <c r="B11668" s="4" t="s">
        <v>44</v>
      </c>
      <c r="C11668" s="38" t="s">
        <v>6513</v>
      </c>
      <c r="D11668" s="18">
        <v>2022</v>
      </c>
      <c r="E11668" s="18" t="s">
        <v>0</v>
      </c>
      <c r="F11668" s="41">
        <v>1</v>
      </c>
      <c r="G11668" s="4">
        <v>15</v>
      </c>
      <c r="H11668" s="18">
        <v>34.242600000000003</v>
      </c>
      <c r="I11668" s="90"/>
      <c r="J11668" s="90"/>
    </row>
    <row r="11669" spans="1:10" s="15" customFormat="1" ht="16.5" hidden="1" customHeight="1" outlineLevel="1" x14ac:dyDescent="0.25">
      <c r="A11669" s="18">
        <v>1017</v>
      </c>
      <c r="B11669" s="4" t="s">
        <v>44</v>
      </c>
      <c r="C11669" s="38" t="s">
        <v>6514</v>
      </c>
      <c r="D11669" s="18">
        <v>2022</v>
      </c>
      <c r="E11669" s="18" t="s">
        <v>0</v>
      </c>
      <c r="F11669" s="41">
        <v>1</v>
      </c>
      <c r="G11669" s="4">
        <v>9</v>
      </c>
      <c r="H11669" s="18">
        <v>34.243859999999998</v>
      </c>
      <c r="I11669" s="90"/>
      <c r="J11669" s="90"/>
    </row>
    <row r="11670" spans="1:10" s="15" customFormat="1" ht="16.5" hidden="1" customHeight="1" outlineLevel="1" x14ac:dyDescent="0.25">
      <c r="A11670" s="18">
        <v>1018</v>
      </c>
      <c r="B11670" s="4" t="s">
        <v>44</v>
      </c>
      <c r="C11670" s="38" t="s">
        <v>6515</v>
      </c>
      <c r="D11670" s="18">
        <v>2022</v>
      </c>
      <c r="E11670" s="18" t="s">
        <v>0</v>
      </c>
      <c r="F11670" s="41">
        <v>1</v>
      </c>
      <c r="G11670" s="4">
        <v>5</v>
      </c>
      <c r="H11670" s="18">
        <v>34.245100000000001</v>
      </c>
      <c r="I11670" s="90"/>
      <c r="J11670" s="90"/>
    </row>
    <row r="11671" spans="1:10" s="15" customFormat="1" ht="16.5" hidden="1" customHeight="1" outlineLevel="1" x14ac:dyDescent="0.25">
      <c r="A11671" s="18">
        <v>4792</v>
      </c>
      <c r="B11671" s="4" t="s">
        <v>44</v>
      </c>
      <c r="C11671" s="38" t="s">
        <v>2842</v>
      </c>
      <c r="D11671" s="18">
        <v>2022</v>
      </c>
      <c r="E11671" s="18" t="s">
        <v>0</v>
      </c>
      <c r="F11671" s="41">
        <v>1</v>
      </c>
      <c r="G11671" s="4">
        <v>30.3</v>
      </c>
      <c r="H11671" s="18">
        <v>101</v>
      </c>
      <c r="I11671" s="90"/>
      <c r="J11671" s="90"/>
    </row>
    <row r="11672" spans="1:10" s="15" customFormat="1" ht="16.5" hidden="1" customHeight="1" outlineLevel="1" x14ac:dyDescent="0.25">
      <c r="A11672" s="18">
        <v>4793</v>
      </c>
      <c r="B11672" s="4" t="s">
        <v>44</v>
      </c>
      <c r="C11672" s="38" t="s">
        <v>2936</v>
      </c>
      <c r="D11672" s="18">
        <v>2022</v>
      </c>
      <c r="E11672" s="18" t="s">
        <v>0</v>
      </c>
      <c r="F11672" s="41">
        <v>1</v>
      </c>
      <c r="G11672" s="4">
        <v>15</v>
      </c>
      <c r="H11672" s="18">
        <v>54</v>
      </c>
      <c r="I11672" s="90"/>
      <c r="J11672" s="90"/>
    </row>
    <row r="11673" spans="1:10" s="15" customFormat="1" ht="16.5" hidden="1" customHeight="1" outlineLevel="1" x14ac:dyDescent="0.25">
      <c r="A11673" s="18">
        <v>4579</v>
      </c>
      <c r="B11673" s="4" t="s">
        <v>44</v>
      </c>
      <c r="C11673" s="38" t="s">
        <v>2937</v>
      </c>
      <c r="D11673" s="18">
        <v>2022</v>
      </c>
      <c r="E11673" s="18" t="s">
        <v>0</v>
      </c>
      <c r="F11673" s="41">
        <v>1</v>
      </c>
      <c r="G11673" s="4">
        <v>10</v>
      </c>
      <c r="H11673" s="18">
        <v>65</v>
      </c>
      <c r="I11673" s="90"/>
      <c r="J11673" s="90"/>
    </row>
    <row r="11674" spans="1:10" s="15" customFormat="1" ht="16.5" hidden="1" customHeight="1" outlineLevel="1" x14ac:dyDescent="0.25">
      <c r="A11674" s="18">
        <v>4581</v>
      </c>
      <c r="B11674" s="4" t="s">
        <v>44</v>
      </c>
      <c r="C11674" s="38" t="s">
        <v>2938</v>
      </c>
      <c r="D11674" s="18">
        <v>2022</v>
      </c>
      <c r="E11674" s="18" t="s">
        <v>0</v>
      </c>
      <c r="F11674" s="41">
        <v>1</v>
      </c>
      <c r="G11674" s="4">
        <v>10</v>
      </c>
      <c r="H11674" s="18">
        <v>77</v>
      </c>
      <c r="I11674" s="90"/>
      <c r="J11674" s="90"/>
    </row>
    <row r="11675" spans="1:10" s="15" customFormat="1" ht="16.5" hidden="1" customHeight="1" outlineLevel="1" x14ac:dyDescent="0.25">
      <c r="A11675" s="18">
        <v>4794</v>
      </c>
      <c r="B11675" s="4" t="s">
        <v>44</v>
      </c>
      <c r="C11675" s="38" t="s">
        <v>2939</v>
      </c>
      <c r="D11675" s="18">
        <v>2022</v>
      </c>
      <c r="E11675" s="18" t="s">
        <v>0</v>
      </c>
      <c r="F11675" s="41">
        <v>1</v>
      </c>
      <c r="G11675" s="4">
        <v>15</v>
      </c>
      <c r="H11675" s="18">
        <v>77</v>
      </c>
      <c r="I11675" s="90"/>
      <c r="J11675" s="90"/>
    </row>
    <row r="11676" spans="1:10" s="15" customFormat="1" ht="16.5" hidden="1" customHeight="1" outlineLevel="1" x14ac:dyDescent="0.25">
      <c r="A11676" s="18">
        <v>4798</v>
      </c>
      <c r="B11676" s="4" t="s">
        <v>44</v>
      </c>
      <c r="C11676" s="38" t="s">
        <v>3099</v>
      </c>
      <c r="D11676" s="18">
        <v>2022</v>
      </c>
      <c r="E11676" s="18" t="s">
        <v>0</v>
      </c>
      <c r="F11676" s="41">
        <v>1</v>
      </c>
      <c r="G11676" s="4">
        <v>15</v>
      </c>
      <c r="H11676" s="18">
        <v>67</v>
      </c>
      <c r="I11676" s="90"/>
      <c r="J11676" s="90"/>
    </row>
    <row r="11677" spans="1:10" s="15" customFormat="1" ht="16.5" hidden="1" customHeight="1" outlineLevel="1" x14ac:dyDescent="0.25">
      <c r="A11677" s="18">
        <v>4795</v>
      </c>
      <c r="B11677" s="4" t="s">
        <v>44</v>
      </c>
      <c r="C11677" s="38" t="s">
        <v>2940</v>
      </c>
      <c r="D11677" s="18">
        <v>2022</v>
      </c>
      <c r="E11677" s="18" t="s">
        <v>0</v>
      </c>
      <c r="F11677" s="41">
        <v>1</v>
      </c>
      <c r="G11677" s="4">
        <v>15</v>
      </c>
      <c r="H11677" s="18">
        <v>70</v>
      </c>
      <c r="I11677" s="90"/>
      <c r="J11677" s="90"/>
    </row>
    <row r="11678" spans="1:10" s="15" customFormat="1" ht="16.5" hidden="1" customHeight="1" outlineLevel="1" x14ac:dyDescent="0.25">
      <c r="A11678" s="18">
        <v>4796</v>
      </c>
      <c r="B11678" s="4" t="s">
        <v>44</v>
      </c>
      <c r="C11678" s="38" t="s">
        <v>3100</v>
      </c>
      <c r="D11678" s="18">
        <v>2022</v>
      </c>
      <c r="E11678" s="18" t="s">
        <v>0</v>
      </c>
      <c r="F11678" s="41">
        <v>1</v>
      </c>
      <c r="G11678" s="4">
        <v>12</v>
      </c>
      <c r="H11678" s="18">
        <v>87</v>
      </c>
      <c r="I11678" s="90"/>
      <c r="J11678" s="90"/>
    </row>
    <row r="11679" spans="1:10" s="15" customFormat="1" ht="16.5" hidden="1" customHeight="1" outlineLevel="1" x14ac:dyDescent="0.25">
      <c r="A11679" s="18">
        <v>4797</v>
      </c>
      <c r="B11679" s="4" t="s">
        <v>44</v>
      </c>
      <c r="C11679" s="38" t="s">
        <v>2941</v>
      </c>
      <c r="D11679" s="18">
        <v>2022</v>
      </c>
      <c r="E11679" s="18" t="s">
        <v>0</v>
      </c>
      <c r="F11679" s="41">
        <v>1</v>
      </c>
      <c r="G11679" s="4">
        <v>15</v>
      </c>
      <c r="H11679" s="18">
        <v>73</v>
      </c>
      <c r="I11679" s="90"/>
      <c r="J11679" s="90"/>
    </row>
    <row r="11680" spans="1:10" s="15" customFormat="1" ht="16.5" hidden="1" customHeight="1" outlineLevel="1" x14ac:dyDescent="0.25">
      <c r="A11680" s="18">
        <v>4655</v>
      </c>
      <c r="B11680" s="4" t="s">
        <v>44</v>
      </c>
      <c r="C11680" s="38" t="s">
        <v>6516</v>
      </c>
      <c r="D11680" s="18">
        <v>2022</v>
      </c>
      <c r="E11680" s="18" t="s">
        <v>0</v>
      </c>
      <c r="F11680" s="41">
        <v>1</v>
      </c>
      <c r="G11680" s="4">
        <v>10</v>
      </c>
      <c r="H11680" s="18">
        <v>98</v>
      </c>
      <c r="I11680" s="90"/>
      <c r="J11680" s="90"/>
    </row>
    <row r="11681" spans="1:10" s="15" customFormat="1" ht="16.5" hidden="1" customHeight="1" outlineLevel="1" x14ac:dyDescent="0.25">
      <c r="A11681" s="18">
        <v>4563</v>
      </c>
      <c r="B11681" s="4" t="s">
        <v>44</v>
      </c>
      <c r="C11681" s="38" t="s">
        <v>6517</v>
      </c>
      <c r="D11681" s="18">
        <v>2022</v>
      </c>
      <c r="E11681" s="18" t="s">
        <v>0</v>
      </c>
      <c r="F11681" s="41">
        <v>1</v>
      </c>
      <c r="G11681" s="4">
        <v>10</v>
      </c>
      <c r="H11681" s="18">
        <v>58</v>
      </c>
      <c r="I11681" s="90"/>
      <c r="J11681" s="90"/>
    </row>
    <row r="11682" spans="1:10" s="15" customFormat="1" ht="16.5" hidden="1" customHeight="1" outlineLevel="1" x14ac:dyDescent="0.25">
      <c r="A11682" s="18">
        <v>4564</v>
      </c>
      <c r="B11682" s="4" t="s">
        <v>44</v>
      </c>
      <c r="C11682" s="38" t="s">
        <v>6518</v>
      </c>
      <c r="D11682" s="18">
        <v>2022</v>
      </c>
      <c r="E11682" s="18" t="s">
        <v>0</v>
      </c>
      <c r="F11682" s="41">
        <v>1</v>
      </c>
      <c r="G11682" s="4">
        <v>10</v>
      </c>
      <c r="H11682" s="18">
        <v>63</v>
      </c>
      <c r="I11682" s="90"/>
      <c r="J11682" s="90"/>
    </row>
    <row r="11683" spans="1:10" s="15" customFormat="1" ht="16.5" hidden="1" customHeight="1" outlineLevel="1" x14ac:dyDescent="0.25">
      <c r="A11683" s="18">
        <v>4827</v>
      </c>
      <c r="B11683" s="4" t="s">
        <v>44</v>
      </c>
      <c r="C11683" s="38" t="s">
        <v>2942</v>
      </c>
      <c r="D11683" s="18">
        <v>2022</v>
      </c>
      <c r="E11683" s="18" t="s">
        <v>0</v>
      </c>
      <c r="F11683" s="41">
        <v>1</v>
      </c>
      <c r="G11683" s="4">
        <v>15</v>
      </c>
      <c r="H11683" s="18">
        <v>52</v>
      </c>
      <c r="I11683" s="90"/>
      <c r="J11683" s="90"/>
    </row>
    <row r="11684" spans="1:10" s="15" customFormat="1" ht="16.5" hidden="1" customHeight="1" outlineLevel="1" x14ac:dyDescent="0.25">
      <c r="A11684" s="18">
        <v>4725</v>
      </c>
      <c r="B11684" s="4" t="s">
        <v>44</v>
      </c>
      <c r="C11684" s="38" t="s">
        <v>6519</v>
      </c>
      <c r="D11684" s="18">
        <v>2022</v>
      </c>
      <c r="E11684" s="18" t="s">
        <v>0</v>
      </c>
      <c r="F11684" s="41">
        <v>1</v>
      </c>
      <c r="G11684" s="4">
        <v>14</v>
      </c>
      <c r="H11684" s="18">
        <v>98</v>
      </c>
      <c r="I11684" s="90"/>
      <c r="J11684" s="90"/>
    </row>
    <row r="11685" spans="1:10" s="15" customFormat="1" ht="16.5" hidden="1" customHeight="1" outlineLevel="1" x14ac:dyDescent="0.25">
      <c r="A11685" s="18">
        <v>4815</v>
      </c>
      <c r="B11685" s="4" t="s">
        <v>44</v>
      </c>
      <c r="C11685" s="38" t="s">
        <v>6520</v>
      </c>
      <c r="D11685" s="18">
        <v>2022</v>
      </c>
      <c r="E11685" s="18" t="s">
        <v>0</v>
      </c>
      <c r="F11685" s="41">
        <v>1</v>
      </c>
      <c r="G11685" s="4">
        <v>14</v>
      </c>
      <c r="H11685" s="18">
        <v>86</v>
      </c>
      <c r="I11685" s="90"/>
      <c r="J11685" s="90"/>
    </row>
    <row r="11686" spans="1:10" s="15" customFormat="1" ht="16.5" hidden="1" customHeight="1" outlineLevel="1" x14ac:dyDescent="0.25">
      <c r="A11686" s="18">
        <v>4816</v>
      </c>
      <c r="B11686" s="4" t="s">
        <v>44</v>
      </c>
      <c r="C11686" s="38" t="s">
        <v>6521</v>
      </c>
      <c r="D11686" s="18">
        <v>2022</v>
      </c>
      <c r="E11686" s="18" t="s">
        <v>0</v>
      </c>
      <c r="F11686" s="41">
        <v>1</v>
      </c>
      <c r="G11686" s="4">
        <v>14</v>
      </c>
      <c r="H11686" s="18">
        <v>86</v>
      </c>
      <c r="I11686" s="90"/>
      <c r="J11686" s="90"/>
    </row>
    <row r="11687" spans="1:10" s="15" customFormat="1" ht="16.5" hidden="1" customHeight="1" outlineLevel="1" x14ac:dyDescent="0.25">
      <c r="A11687" s="18">
        <v>4603</v>
      </c>
      <c r="B11687" s="4" t="s">
        <v>44</v>
      </c>
      <c r="C11687" s="38" t="s">
        <v>2846</v>
      </c>
      <c r="D11687" s="18">
        <v>2022</v>
      </c>
      <c r="E11687" s="18" t="s">
        <v>0</v>
      </c>
      <c r="F11687" s="41">
        <v>1</v>
      </c>
      <c r="G11687" s="4">
        <v>16</v>
      </c>
      <c r="H11687" s="18">
        <v>72</v>
      </c>
      <c r="I11687" s="90"/>
      <c r="J11687" s="90"/>
    </row>
    <row r="11688" spans="1:10" s="15" customFormat="1" ht="16.5" hidden="1" customHeight="1" outlineLevel="1" x14ac:dyDescent="0.25">
      <c r="A11688" s="18">
        <v>4604</v>
      </c>
      <c r="B11688" s="4" t="s">
        <v>44</v>
      </c>
      <c r="C11688" s="38" t="s">
        <v>2849</v>
      </c>
      <c r="D11688" s="18">
        <v>2022</v>
      </c>
      <c r="E11688" s="18" t="s">
        <v>0</v>
      </c>
      <c r="F11688" s="41">
        <v>1</v>
      </c>
      <c r="G11688" s="4">
        <v>25</v>
      </c>
      <c r="H11688" s="18">
        <v>64</v>
      </c>
      <c r="I11688" s="90"/>
      <c r="J11688" s="90"/>
    </row>
    <row r="11689" spans="1:10" s="15" customFormat="1" ht="16.5" hidden="1" customHeight="1" outlineLevel="1" x14ac:dyDescent="0.25">
      <c r="A11689" s="18">
        <v>4828</v>
      </c>
      <c r="B11689" s="4" t="s">
        <v>44</v>
      </c>
      <c r="C11689" s="38" t="s">
        <v>2943</v>
      </c>
      <c r="D11689" s="18">
        <v>2022</v>
      </c>
      <c r="E11689" s="18" t="s">
        <v>0</v>
      </c>
      <c r="F11689" s="41">
        <v>1</v>
      </c>
      <c r="G11689" s="4">
        <v>15</v>
      </c>
      <c r="H11689" s="18">
        <v>60</v>
      </c>
      <c r="I11689" s="90"/>
      <c r="J11689" s="90"/>
    </row>
    <row r="11690" spans="1:10" s="15" customFormat="1" ht="16.5" hidden="1" customHeight="1" outlineLevel="1" x14ac:dyDescent="0.25">
      <c r="A11690" s="18">
        <v>4576</v>
      </c>
      <c r="B11690" s="4" t="s">
        <v>44</v>
      </c>
      <c r="C11690" s="38" t="s">
        <v>6522</v>
      </c>
      <c r="D11690" s="18">
        <v>2022</v>
      </c>
      <c r="E11690" s="18" t="s">
        <v>0</v>
      </c>
      <c r="F11690" s="41">
        <v>1</v>
      </c>
      <c r="G11690" s="4">
        <v>15</v>
      </c>
      <c r="H11690" s="18">
        <v>106</v>
      </c>
      <c r="I11690" s="90"/>
      <c r="J11690" s="90"/>
    </row>
    <row r="11691" spans="1:10" s="15" customFormat="1" ht="16.5" hidden="1" customHeight="1" outlineLevel="1" x14ac:dyDescent="0.25">
      <c r="A11691" s="18">
        <v>4588</v>
      </c>
      <c r="B11691" s="4" t="s">
        <v>44</v>
      </c>
      <c r="C11691" s="38" t="s">
        <v>6523</v>
      </c>
      <c r="D11691" s="18">
        <v>2022</v>
      </c>
      <c r="E11691" s="18" t="s">
        <v>0</v>
      </c>
      <c r="F11691" s="41">
        <v>1</v>
      </c>
      <c r="G11691" s="4">
        <v>15</v>
      </c>
      <c r="H11691" s="18">
        <v>98</v>
      </c>
      <c r="I11691" s="90"/>
      <c r="J11691" s="90"/>
    </row>
    <row r="11692" spans="1:10" s="15" customFormat="1" ht="16.5" hidden="1" customHeight="1" outlineLevel="1" x14ac:dyDescent="0.25">
      <c r="A11692" s="18">
        <v>4852</v>
      </c>
      <c r="B11692" s="4" t="s">
        <v>44</v>
      </c>
      <c r="C11692" s="38" t="s">
        <v>2944</v>
      </c>
      <c r="D11692" s="18">
        <v>2022</v>
      </c>
      <c r="E11692" s="18" t="s">
        <v>0</v>
      </c>
      <c r="F11692" s="41">
        <v>1</v>
      </c>
      <c r="G11692" s="4">
        <v>10</v>
      </c>
      <c r="H11692" s="18">
        <v>47</v>
      </c>
      <c r="I11692" s="90"/>
      <c r="J11692" s="90"/>
    </row>
    <row r="11693" spans="1:10" s="15" customFormat="1" ht="16.5" hidden="1" customHeight="1" outlineLevel="1" x14ac:dyDescent="0.25">
      <c r="A11693" s="18">
        <v>4558</v>
      </c>
      <c r="B11693" s="4" t="s">
        <v>44</v>
      </c>
      <c r="C11693" s="38" t="s">
        <v>6524</v>
      </c>
      <c r="D11693" s="18">
        <v>2022</v>
      </c>
      <c r="E11693" s="18" t="s">
        <v>0</v>
      </c>
      <c r="F11693" s="41">
        <v>1</v>
      </c>
      <c r="G11693" s="4">
        <v>10</v>
      </c>
      <c r="H11693" s="18">
        <v>41</v>
      </c>
      <c r="I11693" s="90"/>
      <c r="J11693" s="90"/>
    </row>
    <row r="11694" spans="1:10" s="15" customFormat="1" ht="16.5" hidden="1" customHeight="1" outlineLevel="1" x14ac:dyDescent="0.25">
      <c r="A11694" s="18">
        <v>4585</v>
      </c>
      <c r="B11694" s="4" t="s">
        <v>44</v>
      </c>
      <c r="C11694" s="38" t="s">
        <v>6525</v>
      </c>
      <c r="D11694" s="18">
        <v>2022</v>
      </c>
      <c r="E11694" s="18" t="s">
        <v>0</v>
      </c>
      <c r="F11694" s="41">
        <v>1</v>
      </c>
      <c r="G11694" s="4">
        <v>10</v>
      </c>
      <c r="H11694" s="18">
        <v>36</v>
      </c>
      <c r="I11694" s="90"/>
      <c r="J11694" s="90"/>
    </row>
    <row r="11695" spans="1:10" s="15" customFormat="1" ht="16.5" hidden="1" customHeight="1" outlineLevel="1" x14ac:dyDescent="0.25">
      <c r="A11695" s="18">
        <v>4748</v>
      </c>
      <c r="B11695" s="4" t="s">
        <v>44</v>
      </c>
      <c r="C11695" s="38" t="s">
        <v>6526</v>
      </c>
      <c r="D11695" s="18">
        <v>2022</v>
      </c>
      <c r="E11695" s="18" t="s">
        <v>0</v>
      </c>
      <c r="F11695" s="41">
        <v>1</v>
      </c>
      <c r="G11695" s="4">
        <v>15</v>
      </c>
      <c r="H11695" s="18">
        <v>42</v>
      </c>
      <c r="I11695" s="90"/>
      <c r="J11695" s="90"/>
    </row>
    <row r="11696" spans="1:10" s="15" customFormat="1" ht="16.5" hidden="1" customHeight="1" outlineLevel="1" x14ac:dyDescent="0.25">
      <c r="A11696" s="18">
        <v>4749</v>
      </c>
      <c r="B11696" s="4" t="s">
        <v>44</v>
      </c>
      <c r="C11696" s="38" t="s">
        <v>6527</v>
      </c>
      <c r="D11696" s="18">
        <v>2022</v>
      </c>
      <c r="E11696" s="18" t="s">
        <v>0</v>
      </c>
      <c r="F11696" s="41">
        <v>1</v>
      </c>
      <c r="G11696" s="4">
        <v>10</v>
      </c>
      <c r="H11696" s="18">
        <v>41</v>
      </c>
      <c r="I11696" s="90"/>
      <c r="J11696" s="90"/>
    </row>
    <row r="11697" spans="1:10" s="15" customFormat="1" ht="16.5" hidden="1" customHeight="1" outlineLevel="1" x14ac:dyDescent="0.25">
      <c r="A11697" s="18">
        <v>4876</v>
      </c>
      <c r="B11697" s="4" t="s">
        <v>44</v>
      </c>
      <c r="C11697" s="38" t="s">
        <v>2945</v>
      </c>
      <c r="D11697" s="18">
        <v>2022</v>
      </c>
      <c r="E11697" s="18" t="s">
        <v>0</v>
      </c>
      <c r="F11697" s="41">
        <v>1</v>
      </c>
      <c r="G11697" s="4">
        <v>15</v>
      </c>
      <c r="H11697" s="18">
        <v>63</v>
      </c>
      <c r="I11697" s="90"/>
      <c r="J11697" s="90"/>
    </row>
    <row r="11698" spans="1:10" s="15" customFormat="1" ht="16.5" hidden="1" customHeight="1" outlineLevel="1" x14ac:dyDescent="0.25">
      <c r="A11698" s="18">
        <v>4877</v>
      </c>
      <c r="B11698" s="4" t="s">
        <v>44</v>
      </c>
      <c r="C11698" s="38" t="s">
        <v>2851</v>
      </c>
      <c r="D11698" s="18">
        <v>2022</v>
      </c>
      <c r="E11698" s="18" t="s">
        <v>0</v>
      </c>
      <c r="F11698" s="41">
        <v>1</v>
      </c>
      <c r="G11698" s="4">
        <v>40</v>
      </c>
      <c r="H11698" s="18">
        <v>103</v>
      </c>
      <c r="I11698" s="90"/>
      <c r="J11698" s="90"/>
    </row>
    <row r="11699" spans="1:10" s="15" customFormat="1" ht="16.5" hidden="1" customHeight="1" outlineLevel="1" x14ac:dyDescent="0.25">
      <c r="A11699" s="18">
        <v>4641</v>
      </c>
      <c r="B11699" s="4" t="s">
        <v>44</v>
      </c>
      <c r="C11699" s="38" t="s">
        <v>2946</v>
      </c>
      <c r="D11699" s="18">
        <v>2022</v>
      </c>
      <c r="E11699" s="18" t="s">
        <v>0</v>
      </c>
      <c r="F11699" s="41">
        <v>1</v>
      </c>
      <c r="G11699" s="4">
        <v>15</v>
      </c>
      <c r="H11699" s="18">
        <v>58</v>
      </c>
      <c r="I11699" s="90"/>
      <c r="J11699" s="90"/>
    </row>
    <row r="11700" spans="1:10" s="15" customFormat="1" ht="16.5" hidden="1" customHeight="1" outlineLevel="1" x14ac:dyDescent="0.25">
      <c r="A11700" s="18">
        <v>4615</v>
      </c>
      <c r="B11700" s="4" t="s">
        <v>44</v>
      </c>
      <c r="C11700" s="38" t="s">
        <v>2947</v>
      </c>
      <c r="D11700" s="18">
        <v>2022</v>
      </c>
      <c r="E11700" s="18" t="s">
        <v>0</v>
      </c>
      <c r="F11700" s="41">
        <v>1</v>
      </c>
      <c r="G11700" s="4">
        <v>15</v>
      </c>
      <c r="H11700" s="18">
        <v>70</v>
      </c>
      <c r="I11700" s="90"/>
      <c r="J11700" s="90"/>
    </row>
    <row r="11701" spans="1:10" s="15" customFormat="1" ht="16.5" hidden="1" customHeight="1" outlineLevel="1" x14ac:dyDescent="0.25">
      <c r="A11701" s="18">
        <v>4554</v>
      </c>
      <c r="B11701" s="4" t="s">
        <v>44</v>
      </c>
      <c r="C11701" s="38" t="s">
        <v>6528</v>
      </c>
      <c r="D11701" s="18">
        <v>2022</v>
      </c>
      <c r="E11701" s="18" t="s">
        <v>0</v>
      </c>
      <c r="F11701" s="41">
        <v>1</v>
      </c>
      <c r="G11701" s="4">
        <v>15</v>
      </c>
      <c r="H11701" s="18">
        <v>34</v>
      </c>
      <c r="I11701" s="90"/>
      <c r="J11701" s="90"/>
    </row>
    <row r="11702" spans="1:10" s="15" customFormat="1" ht="16.5" hidden="1" customHeight="1" outlineLevel="1" x14ac:dyDescent="0.25">
      <c r="A11702" s="18">
        <v>4555</v>
      </c>
      <c r="B11702" s="4" t="s">
        <v>44</v>
      </c>
      <c r="C11702" s="38" t="s">
        <v>6529</v>
      </c>
      <c r="D11702" s="18">
        <v>2022</v>
      </c>
      <c r="E11702" s="18" t="s">
        <v>0</v>
      </c>
      <c r="F11702" s="41">
        <v>1</v>
      </c>
      <c r="G11702" s="4">
        <v>15</v>
      </c>
      <c r="H11702" s="18">
        <v>34</v>
      </c>
      <c r="I11702" s="90"/>
      <c r="J11702" s="90"/>
    </row>
    <row r="11703" spans="1:10" s="15" customFormat="1" ht="16.5" hidden="1" customHeight="1" outlineLevel="1" x14ac:dyDescent="0.25">
      <c r="A11703" s="18">
        <v>4571</v>
      </c>
      <c r="B11703" s="4" t="s">
        <v>44</v>
      </c>
      <c r="C11703" s="38" t="s">
        <v>6530</v>
      </c>
      <c r="D11703" s="18">
        <v>2022</v>
      </c>
      <c r="E11703" s="18" t="s">
        <v>0</v>
      </c>
      <c r="F11703" s="41">
        <v>1</v>
      </c>
      <c r="G11703" s="4">
        <v>15</v>
      </c>
      <c r="H11703" s="18">
        <v>45</v>
      </c>
      <c r="I11703" s="90"/>
      <c r="J11703" s="90"/>
    </row>
    <row r="11704" spans="1:10" s="15" customFormat="1" ht="16.5" hidden="1" customHeight="1" outlineLevel="1" x14ac:dyDescent="0.25">
      <c r="A11704" s="18">
        <v>4575</v>
      </c>
      <c r="B11704" s="4" t="s">
        <v>44</v>
      </c>
      <c r="C11704" s="38" t="s">
        <v>6531</v>
      </c>
      <c r="D11704" s="18">
        <v>2022</v>
      </c>
      <c r="E11704" s="18" t="s">
        <v>0</v>
      </c>
      <c r="F11704" s="41">
        <v>1</v>
      </c>
      <c r="G11704" s="4">
        <v>15</v>
      </c>
      <c r="H11704" s="18">
        <v>45</v>
      </c>
      <c r="I11704" s="90"/>
      <c r="J11704" s="90"/>
    </row>
    <row r="11705" spans="1:10" s="15" customFormat="1" ht="16.5" hidden="1" customHeight="1" outlineLevel="1" x14ac:dyDescent="0.25">
      <c r="A11705" s="18">
        <v>4661</v>
      </c>
      <c r="B11705" s="4" t="s">
        <v>44</v>
      </c>
      <c r="C11705" s="38" t="s">
        <v>6532</v>
      </c>
      <c r="D11705" s="18">
        <v>2022</v>
      </c>
      <c r="E11705" s="18" t="s">
        <v>0</v>
      </c>
      <c r="F11705" s="41">
        <v>1</v>
      </c>
      <c r="G11705" s="4">
        <v>15</v>
      </c>
      <c r="H11705" s="18">
        <v>26</v>
      </c>
      <c r="I11705" s="90"/>
      <c r="J11705" s="90"/>
    </row>
    <row r="11706" spans="1:10" s="15" customFormat="1" ht="16.5" hidden="1" customHeight="1" outlineLevel="1" x14ac:dyDescent="0.25">
      <c r="A11706" s="18">
        <v>4664</v>
      </c>
      <c r="B11706" s="4" t="s">
        <v>44</v>
      </c>
      <c r="C11706" s="38" t="s">
        <v>6533</v>
      </c>
      <c r="D11706" s="18">
        <v>2022</v>
      </c>
      <c r="E11706" s="18" t="s">
        <v>0</v>
      </c>
      <c r="F11706" s="41">
        <v>1</v>
      </c>
      <c r="G11706" s="4">
        <v>15</v>
      </c>
      <c r="H11706" s="18">
        <v>26</v>
      </c>
      <c r="I11706" s="90"/>
      <c r="J11706" s="90"/>
    </row>
    <row r="11707" spans="1:10" s="15" customFormat="1" ht="16.5" hidden="1" customHeight="1" outlineLevel="1" x14ac:dyDescent="0.25">
      <c r="A11707" s="18">
        <v>4572</v>
      </c>
      <c r="B11707" s="4" t="s">
        <v>44</v>
      </c>
      <c r="C11707" s="38" t="s">
        <v>6534</v>
      </c>
      <c r="D11707" s="18">
        <v>2022</v>
      </c>
      <c r="E11707" s="18" t="s">
        <v>0</v>
      </c>
      <c r="F11707" s="41">
        <v>1</v>
      </c>
      <c r="G11707" s="4">
        <v>10</v>
      </c>
      <c r="H11707" s="18">
        <v>70</v>
      </c>
      <c r="I11707" s="90"/>
      <c r="J11707" s="90"/>
    </row>
    <row r="11708" spans="1:10" s="15" customFormat="1" ht="16.5" hidden="1" customHeight="1" outlineLevel="1" x14ac:dyDescent="0.25">
      <c r="A11708" s="18">
        <v>4622</v>
      </c>
      <c r="B11708" s="4" t="s">
        <v>44</v>
      </c>
      <c r="C11708" s="38" t="s">
        <v>6535</v>
      </c>
      <c r="D11708" s="18">
        <v>2022</v>
      </c>
      <c r="E11708" s="18" t="s">
        <v>0</v>
      </c>
      <c r="F11708" s="41">
        <v>1</v>
      </c>
      <c r="G11708" s="4">
        <v>15</v>
      </c>
      <c r="H11708" s="18">
        <v>54</v>
      </c>
      <c r="I11708" s="90"/>
      <c r="J11708" s="90"/>
    </row>
    <row r="11709" spans="1:10" s="15" customFormat="1" ht="16.5" hidden="1" customHeight="1" outlineLevel="1" x14ac:dyDescent="0.25">
      <c r="A11709" s="18">
        <v>4644</v>
      </c>
      <c r="B11709" s="4" t="s">
        <v>44</v>
      </c>
      <c r="C11709" s="38" t="s">
        <v>6536</v>
      </c>
      <c r="D11709" s="18">
        <v>2022</v>
      </c>
      <c r="E11709" s="18" t="s">
        <v>0</v>
      </c>
      <c r="F11709" s="41">
        <v>1</v>
      </c>
      <c r="G11709" s="4">
        <v>10</v>
      </c>
      <c r="H11709" s="18">
        <v>54</v>
      </c>
      <c r="I11709" s="90"/>
      <c r="J11709" s="90"/>
    </row>
    <row r="11710" spans="1:10" s="15" customFormat="1" ht="16.5" hidden="1" customHeight="1" outlineLevel="1" x14ac:dyDescent="0.25">
      <c r="A11710" s="18">
        <v>4728</v>
      </c>
      <c r="B11710" s="4" t="s">
        <v>44</v>
      </c>
      <c r="C11710" s="38" t="s">
        <v>6537</v>
      </c>
      <c r="D11710" s="18">
        <v>2022</v>
      </c>
      <c r="E11710" s="18" t="s">
        <v>0</v>
      </c>
      <c r="F11710" s="41">
        <v>1</v>
      </c>
      <c r="G11710" s="4">
        <v>10</v>
      </c>
      <c r="H11710" s="18">
        <v>43</v>
      </c>
      <c r="I11710" s="90"/>
      <c r="J11710" s="90"/>
    </row>
    <row r="11711" spans="1:10" s="15" customFormat="1" ht="16.5" hidden="1" customHeight="1" outlineLevel="1" x14ac:dyDescent="0.25">
      <c r="A11711" s="18">
        <v>4727</v>
      </c>
      <c r="B11711" s="4" t="s">
        <v>44</v>
      </c>
      <c r="C11711" s="38" t="s">
        <v>6538</v>
      </c>
      <c r="D11711" s="18">
        <v>2022</v>
      </c>
      <c r="E11711" s="18" t="s">
        <v>0</v>
      </c>
      <c r="F11711" s="41">
        <v>1</v>
      </c>
      <c r="G11711" s="4">
        <v>10</v>
      </c>
      <c r="H11711" s="18">
        <v>37</v>
      </c>
      <c r="I11711" s="90"/>
      <c r="J11711" s="90"/>
    </row>
    <row r="11712" spans="1:10" s="15" customFormat="1" ht="16.5" hidden="1" customHeight="1" outlineLevel="1" x14ac:dyDescent="0.25">
      <c r="A11712" s="18">
        <v>4750</v>
      </c>
      <c r="B11712" s="4" t="s">
        <v>44</v>
      </c>
      <c r="C11712" s="38" t="s">
        <v>6539</v>
      </c>
      <c r="D11712" s="18">
        <v>2022</v>
      </c>
      <c r="E11712" s="18" t="s">
        <v>0</v>
      </c>
      <c r="F11712" s="41">
        <v>1</v>
      </c>
      <c r="G11712" s="4">
        <v>10</v>
      </c>
      <c r="H11712" s="18">
        <v>37</v>
      </c>
      <c r="I11712" s="90"/>
      <c r="J11712" s="90"/>
    </row>
    <row r="11713" spans="1:10" s="15" customFormat="1" ht="16.5" hidden="1" customHeight="1" outlineLevel="1" x14ac:dyDescent="0.25">
      <c r="A11713" s="18">
        <v>4814</v>
      </c>
      <c r="B11713" s="4" t="s">
        <v>44</v>
      </c>
      <c r="C11713" s="38" t="s">
        <v>6540</v>
      </c>
      <c r="D11713" s="18">
        <v>2022</v>
      </c>
      <c r="E11713" s="18" t="s">
        <v>0</v>
      </c>
      <c r="F11713" s="41">
        <v>1</v>
      </c>
      <c r="G11713" s="4">
        <v>14</v>
      </c>
      <c r="H11713" s="18">
        <v>27</v>
      </c>
      <c r="I11713" s="90"/>
      <c r="J11713" s="90"/>
    </row>
    <row r="11714" spans="1:10" s="15" customFormat="1" ht="16.5" hidden="1" customHeight="1" outlineLevel="1" x14ac:dyDescent="0.25">
      <c r="A11714" s="18">
        <v>4562</v>
      </c>
      <c r="B11714" s="4" t="s">
        <v>44</v>
      </c>
      <c r="C11714" s="38" t="s">
        <v>6541</v>
      </c>
      <c r="D11714" s="18">
        <v>2022</v>
      </c>
      <c r="E11714" s="18" t="s">
        <v>0</v>
      </c>
      <c r="F11714" s="41">
        <v>1</v>
      </c>
      <c r="G11714" s="4">
        <v>12</v>
      </c>
      <c r="H11714" s="18">
        <v>35</v>
      </c>
      <c r="I11714" s="90"/>
      <c r="J11714" s="90"/>
    </row>
    <row r="11715" spans="1:10" s="15" customFormat="1" ht="16.5" hidden="1" customHeight="1" outlineLevel="1" x14ac:dyDescent="0.25">
      <c r="A11715" s="18">
        <v>4566</v>
      </c>
      <c r="B11715" s="4" t="s">
        <v>44</v>
      </c>
      <c r="C11715" s="38" t="s">
        <v>6542</v>
      </c>
      <c r="D11715" s="18">
        <v>2022</v>
      </c>
      <c r="E11715" s="18" t="s">
        <v>0</v>
      </c>
      <c r="F11715" s="41">
        <v>1</v>
      </c>
      <c r="G11715" s="4">
        <v>10</v>
      </c>
      <c r="H11715" s="18">
        <v>37</v>
      </c>
      <c r="I11715" s="90"/>
      <c r="J11715" s="90"/>
    </row>
    <row r="11716" spans="1:10" s="15" customFormat="1" ht="16.5" hidden="1" customHeight="1" outlineLevel="1" x14ac:dyDescent="0.25">
      <c r="A11716" s="18">
        <v>4573</v>
      </c>
      <c r="B11716" s="4" t="s">
        <v>44</v>
      </c>
      <c r="C11716" s="38" t="s">
        <v>6543</v>
      </c>
      <c r="D11716" s="18">
        <v>2022</v>
      </c>
      <c r="E11716" s="18" t="s">
        <v>0</v>
      </c>
      <c r="F11716" s="41">
        <v>1</v>
      </c>
      <c r="G11716" s="4">
        <v>10</v>
      </c>
      <c r="H11716" s="18">
        <v>36</v>
      </c>
      <c r="I11716" s="90"/>
      <c r="J11716" s="90"/>
    </row>
    <row r="11717" spans="1:10" s="15" customFormat="1" ht="16.5" hidden="1" customHeight="1" outlineLevel="1" x14ac:dyDescent="0.25">
      <c r="A11717" s="18">
        <v>4577</v>
      </c>
      <c r="B11717" s="4" t="s">
        <v>44</v>
      </c>
      <c r="C11717" s="38" t="s">
        <v>6544</v>
      </c>
      <c r="D11717" s="18">
        <v>2022</v>
      </c>
      <c r="E11717" s="18" t="s">
        <v>0</v>
      </c>
      <c r="F11717" s="41">
        <v>1</v>
      </c>
      <c r="G11717" s="4">
        <v>10</v>
      </c>
      <c r="H11717" s="18">
        <v>30</v>
      </c>
      <c r="I11717" s="90"/>
      <c r="J11717" s="90"/>
    </row>
    <row r="11718" spans="1:10" s="15" customFormat="1" ht="16.5" hidden="1" customHeight="1" outlineLevel="1" x14ac:dyDescent="0.25">
      <c r="A11718" s="18">
        <v>4587</v>
      </c>
      <c r="B11718" s="4" t="s">
        <v>44</v>
      </c>
      <c r="C11718" s="38" t="s">
        <v>6545</v>
      </c>
      <c r="D11718" s="18">
        <v>2022</v>
      </c>
      <c r="E11718" s="18" t="s">
        <v>0</v>
      </c>
      <c r="F11718" s="41">
        <v>1</v>
      </c>
      <c r="G11718" s="4">
        <v>9</v>
      </c>
      <c r="H11718" s="18">
        <v>24.65</v>
      </c>
      <c r="I11718" s="90"/>
      <c r="J11718" s="90"/>
    </row>
    <row r="11719" spans="1:10" s="15" customFormat="1" ht="16.5" hidden="1" customHeight="1" outlineLevel="1" x14ac:dyDescent="0.25">
      <c r="A11719" s="18">
        <v>4607</v>
      </c>
      <c r="B11719" s="4" t="s">
        <v>44</v>
      </c>
      <c r="C11719" s="38" t="s">
        <v>6546</v>
      </c>
      <c r="D11719" s="18">
        <v>2022</v>
      </c>
      <c r="E11719" s="18" t="s">
        <v>0</v>
      </c>
      <c r="F11719" s="41">
        <v>1</v>
      </c>
      <c r="G11719" s="4">
        <v>15</v>
      </c>
      <c r="H11719" s="18">
        <v>27.400000000000002</v>
      </c>
      <c r="I11719" s="90"/>
      <c r="J11719" s="90"/>
    </row>
    <row r="11720" spans="1:10" s="15" customFormat="1" ht="16.5" hidden="1" customHeight="1" outlineLevel="1" x14ac:dyDescent="0.25">
      <c r="A11720" s="18">
        <v>4640</v>
      </c>
      <c r="B11720" s="4" t="s">
        <v>44</v>
      </c>
      <c r="C11720" s="38" t="s">
        <v>6547</v>
      </c>
      <c r="D11720" s="18">
        <v>2022</v>
      </c>
      <c r="E11720" s="18" t="s">
        <v>0</v>
      </c>
      <c r="F11720" s="41">
        <v>1</v>
      </c>
      <c r="G11720" s="4">
        <v>40</v>
      </c>
      <c r="H11720" s="18">
        <v>28.740000000000002</v>
      </c>
      <c r="I11720" s="90"/>
      <c r="J11720" s="90"/>
    </row>
    <row r="11721" spans="1:10" s="15" customFormat="1" ht="16.5" hidden="1" customHeight="1" outlineLevel="1" x14ac:dyDescent="0.25">
      <c r="A11721" s="18">
        <v>4898</v>
      </c>
      <c r="B11721" s="4" t="s">
        <v>44</v>
      </c>
      <c r="C11721" s="38" t="s">
        <v>2949</v>
      </c>
      <c r="D11721" s="18">
        <v>2022</v>
      </c>
      <c r="E11721" s="18" t="s">
        <v>0</v>
      </c>
      <c r="F11721" s="41">
        <v>1</v>
      </c>
      <c r="G11721" s="4">
        <v>15</v>
      </c>
      <c r="H11721" s="18">
        <v>93</v>
      </c>
      <c r="I11721" s="90"/>
      <c r="J11721" s="90"/>
    </row>
    <row r="11722" spans="1:10" s="15" customFormat="1" ht="16.5" hidden="1" customHeight="1" outlineLevel="1" x14ac:dyDescent="0.25">
      <c r="A11722" s="18">
        <v>4601</v>
      </c>
      <c r="B11722" s="4" t="s">
        <v>44</v>
      </c>
      <c r="C11722" s="38" t="s">
        <v>6548</v>
      </c>
      <c r="D11722" s="18">
        <v>2022</v>
      </c>
      <c r="E11722" s="18" t="s">
        <v>0</v>
      </c>
      <c r="F11722" s="41">
        <v>1</v>
      </c>
      <c r="G11722" s="4">
        <v>15</v>
      </c>
      <c r="H11722" s="18">
        <v>23</v>
      </c>
      <c r="I11722" s="90"/>
      <c r="J11722" s="90"/>
    </row>
    <row r="11723" spans="1:10" s="15" customFormat="1" ht="16.5" hidden="1" customHeight="1" outlineLevel="1" x14ac:dyDescent="0.25">
      <c r="A11723" s="18">
        <v>4652</v>
      </c>
      <c r="B11723" s="4" t="s">
        <v>44</v>
      </c>
      <c r="C11723" s="38" t="s">
        <v>6549</v>
      </c>
      <c r="D11723" s="18">
        <v>2022</v>
      </c>
      <c r="E11723" s="18" t="s">
        <v>0</v>
      </c>
      <c r="F11723" s="41">
        <v>1</v>
      </c>
      <c r="G11723" s="4">
        <v>15</v>
      </c>
      <c r="H11723" s="18">
        <v>27</v>
      </c>
      <c r="I11723" s="90"/>
      <c r="J11723" s="90"/>
    </row>
    <row r="11724" spans="1:10" s="15" customFormat="1" ht="16.5" hidden="1" customHeight="1" outlineLevel="1" x14ac:dyDescent="0.25">
      <c r="A11724" s="18">
        <v>4659</v>
      </c>
      <c r="B11724" s="4" t="s">
        <v>44</v>
      </c>
      <c r="C11724" s="38" t="s">
        <v>6550</v>
      </c>
      <c r="D11724" s="18">
        <v>2022</v>
      </c>
      <c r="E11724" s="18" t="s">
        <v>0</v>
      </c>
      <c r="F11724" s="41">
        <v>1</v>
      </c>
      <c r="G11724" s="4">
        <v>15</v>
      </c>
      <c r="H11724" s="18">
        <v>27</v>
      </c>
      <c r="I11724" s="90"/>
      <c r="J11724" s="90"/>
    </row>
    <row r="11725" spans="1:10" s="15" customFormat="1" ht="16.5" hidden="1" customHeight="1" outlineLevel="1" x14ac:dyDescent="0.25">
      <c r="A11725" s="18">
        <v>4662</v>
      </c>
      <c r="B11725" s="4" t="s">
        <v>44</v>
      </c>
      <c r="C11725" s="38" t="s">
        <v>6551</v>
      </c>
      <c r="D11725" s="18">
        <v>2022</v>
      </c>
      <c r="E11725" s="18" t="s">
        <v>0</v>
      </c>
      <c r="F11725" s="41">
        <v>1</v>
      </c>
      <c r="G11725" s="4">
        <v>15</v>
      </c>
      <c r="H11725" s="18">
        <v>26</v>
      </c>
      <c r="I11725" s="90"/>
      <c r="J11725" s="90"/>
    </row>
    <row r="11726" spans="1:10" s="15" customFormat="1" ht="16.5" hidden="1" customHeight="1" outlineLevel="1" x14ac:dyDescent="0.25">
      <c r="A11726" s="18">
        <v>4682</v>
      </c>
      <c r="B11726" s="4" t="s">
        <v>44</v>
      </c>
      <c r="C11726" s="38" t="s">
        <v>6552</v>
      </c>
      <c r="D11726" s="18">
        <v>2022</v>
      </c>
      <c r="E11726" s="18" t="s">
        <v>0</v>
      </c>
      <c r="F11726" s="41">
        <v>1</v>
      </c>
      <c r="G11726" s="4">
        <v>45</v>
      </c>
      <c r="H11726" s="18">
        <v>28</v>
      </c>
      <c r="I11726" s="90"/>
      <c r="J11726" s="90"/>
    </row>
    <row r="11727" spans="1:10" s="15" customFormat="1" ht="16.5" hidden="1" customHeight="1" outlineLevel="1" x14ac:dyDescent="0.25">
      <c r="A11727" s="18">
        <v>4685</v>
      </c>
      <c r="B11727" s="4" t="s">
        <v>44</v>
      </c>
      <c r="C11727" s="38" t="s">
        <v>6553</v>
      </c>
      <c r="D11727" s="18">
        <v>2022</v>
      </c>
      <c r="E11727" s="18" t="s">
        <v>0</v>
      </c>
      <c r="F11727" s="41">
        <v>1</v>
      </c>
      <c r="G11727" s="4">
        <v>15</v>
      </c>
      <c r="H11727" s="18">
        <v>28</v>
      </c>
      <c r="I11727" s="90"/>
      <c r="J11727" s="90"/>
    </row>
    <row r="11728" spans="1:10" s="15" customFormat="1" ht="16.5" hidden="1" customHeight="1" outlineLevel="1" x14ac:dyDescent="0.25">
      <c r="A11728" s="18">
        <v>4686</v>
      </c>
      <c r="B11728" s="4" t="s">
        <v>44</v>
      </c>
      <c r="C11728" s="38" t="s">
        <v>6554</v>
      </c>
      <c r="D11728" s="18">
        <v>2022</v>
      </c>
      <c r="E11728" s="18" t="s">
        <v>0</v>
      </c>
      <c r="F11728" s="41">
        <v>1</v>
      </c>
      <c r="G11728" s="4">
        <v>15</v>
      </c>
      <c r="H11728" s="18">
        <v>26</v>
      </c>
      <c r="I11728" s="90"/>
      <c r="J11728" s="90"/>
    </row>
    <row r="11729" spans="1:10" s="15" customFormat="1" ht="16.5" hidden="1" customHeight="1" outlineLevel="1" x14ac:dyDescent="0.25">
      <c r="A11729" s="18">
        <v>4687</v>
      </c>
      <c r="B11729" s="4" t="s">
        <v>44</v>
      </c>
      <c r="C11729" s="38" t="s">
        <v>6555</v>
      </c>
      <c r="D11729" s="18">
        <v>2022</v>
      </c>
      <c r="E11729" s="18" t="s">
        <v>0</v>
      </c>
      <c r="F11729" s="41">
        <v>1</v>
      </c>
      <c r="G11729" s="4">
        <v>15</v>
      </c>
      <c r="H11729" s="18">
        <v>26</v>
      </c>
      <c r="I11729" s="90"/>
      <c r="J11729" s="90"/>
    </row>
    <row r="11730" spans="1:10" s="15" customFormat="1" ht="16.5" hidden="1" customHeight="1" outlineLevel="1" x14ac:dyDescent="0.25">
      <c r="A11730" s="18">
        <v>4695</v>
      </c>
      <c r="B11730" s="4" t="s">
        <v>44</v>
      </c>
      <c r="C11730" s="38" t="s">
        <v>6556</v>
      </c>
      <c r="D11730" s="18">
        <v>2022</v>
      </c>
      <c r="E11730" s="18" t="s">
        <v>0</v>
      </c>
      <c r="F11730" s="41">
        <v>1</v>
      </c>
      <c r="G11730" s="4">
        <v>15</v>
      </c>
      <c r="H11730" s="18">
        <v>26</v>
      </c>
      <c r="I11730" s="90"/>
      <c r="J11730" s="90"/>
    </row>
    <row r="11731" spans="1:10" s="15" customFormat="1" ht="16.5" hidden="1" customHeight="1" outlineLevel="1" x14ac:dyDescent="0.25">
      <c r="A11731" s="18">
        <v>4700</v>
      </c>
      <c r="B11731" s="4" t="s">
        <v>44</v>
      </c>
      <c r="C11731" s="38" t="s">
        <v>6557</v>
      </c>
      <c r="D11731" s="18">
        <v>2022</v>
      </c>
      <c r="E11731" s="18" t="s">
        <v>0</v>
      </c>
      <c r="F11731" s="41">
        <v>1</v>
      </c>
      <c r="G11731" s="4">
        <v>15</v>
      </c>
      <c r="H11731" s="18">
        <v>28</v>
      </c>
      <c r="I11731" s="90"/>
      <c r="J11731" s="90"/>
    </row>
    <row r="11732" spans="1:10" s="15" customFormat="1" ht="16.5" hidden="1" customHeight="1" outlineLevel="1" x14ac:dyDescent="0.25">
      <c r="A11732" s="18">
        <v>4643</v>
      </c>
      <c r="B11732" s="4" t="s">
        <v>44</v>
      </c>
      <c r="C11732" s="38" t="s">
        <v>6558</v>
      </c>
      <c r="D11732" s="18">
        <v>2022</v>
      </c>
      <c r="E11732" s="18" t="s">
        <v>0</v>
      </c>
      <c r="F11732" s="41">
        <v>1</v>
      </c>
      <c r="G11732" s="4">
        <v>10</v>
      </c>
      <c r="H11732" s="18">
        <v>31</v>
      </c>
      <c r="I11732" s="90"/>
      <c r="J11732" s="90"/>
    </row>
    <row r="11733" spans="1:10" s="15" customFormat="1" ht="16.5" hidden="1" customHeight="1" outlineLevel="1" x14ac:dyDescent="0.25">
      <c r="A11733" s="18">
        <v>4710</v>
      </c>
      <c r="B11733" s="4" t="s">
        <v>44</v>
      </c>
      <c r="C11733" s="38" t="s">
        <v>6559</v>
      </c>
      <c r="D11733" s="18">
        <v>2022</v>
      </c>
      <c r="E11733" s="18" t="s">
        <v>0</v>
      </c>
      <c r="F11733" s="41">
        <v>1</v>
      </c>
      <c r="G11733" s="4">
        <v>15</v>
      </c>
      <c r="H11733" s="18">
        <v>31</v>
      </c>
      <c r="I11733" s="90"/>
      <c r="J11733" s="90"/>
    </row>
    <row r="11734" spans="1:10" s="15" customFormat="1" ht="16.5" hidden="1" customHeight="1" outlineLevel="1" x14ac:dyDescent="0.25">
      <c r="A11734" s="18">
        <v>4711</v>
      </c>
      <c r="B11734" s="4" t="s">
        <v>44</v>
      </c>
      <c r="C11734" s="38" t="s">
        <v>6560</v>
      </c>
      <c r="D11734" s="18">
        <v>2022</v>
      </c>
      <c r="E11734" s="18" t="s">
        <v>0</v>
      </c>
      <c r="F11734" s="41">
        <v>1</v>
      </c>
      <c r="G11734" s="4">
        <v>10</v>
      </c>
      <c r="H11734" s="18">
        <v>31</v>
      </c>
      <c r="I11734" s="90"/>
      <c r="J11734" s="90"/>
    </row>
    <row r="11735" spans="1:10" s="15" customFormat="1" ht="16.5" hidden="1" customHeight="1" outlineLevel="1" x14ac:dyDescent="0.25">
      <c r="A11735" s="18">
        <v>4722</v>
      </c>
      <c r="B11735" s="4" t="s">
        <v>44</v>
      </c>
      <c r="C11735" s="38" t="s">
        <v>6561</v>
      </c>
      <c r="D11735" s="18">
        <v>2022</v>
      </c>
      <c r="E11735" s="18" t="s">
        <v>0</v>
      </c>
      <c r="F11735" s="41">
        <v>1</v>
      </c>
      <c r="G11735" s="4">
        <v>14</v>
      </c>
      <c r="H11735" s="18">
        <v>33</v>
      </c>
      <c r="I11735" s="90"/>
      <c r="J11735" s="90"/>
    </row>
    <row r="11736" spans="1:10" s="15" customFormat="1" ht="16.5" hidden="1" customHeight="1" outlineLevel="1" x14ac:dyDescent="0.25">
      <c r="A11736" s="18">
        <v>4840</v>
      </c>
      <c r="B11736" s="4" t="s">
        <v>44</v>
      </c>
      <c r="C11736" s="38" t="s">
        <v>6562</v>
      </c>
      <c r="D11736" s="18">
        <v>2022</v>
      </c>
      <c r="E11736" s="18" t="s">
        <v>0</v>
      </c>
      <c r="F11736" s="41">
        <v>1</v>
      </c>
      <c r="G11736" s="4">
        <v>15</v>
      </c>
      <c r="H11736" s="18">
        <v>27</v>
      </c>
      <c r="I11736" s="90"/>
      <c r="J11736" s="90"/>
    </row>
    <row r="11737" spans="1:10" s="15" customFormat="1" ht="16.5" hidden="1" customHeight="1" outlineLevel="1" x14ac:dyDescent="0.25">
      <c r="A11737" s="18">
        <v>4841</v>
      </c>
      <c r="B11737" s="4" t="s">
        <v>44</v>
      </c>
      <c r="C11737" s="38" t="s">
        <v>6563</v>
      </c>
      <c r="D11737" s="18">
        <v>2022</v>
      </c>
      <c r="E11737" s="18" t="s">
        <v>0</v>
      </c>
      <c r="F11737" s="41">
        <v>1</v>
      </c>
      <c r="G11737" s="4">
        <v>14</v>
      </c>
      <c r="H11737" s="18">
        <v>25</v>
      </c>
      <c r="I11737" s="90"/>
      <c r="J11737" s="90"/>
    </row>
    <row r="11738" spans="1:10" s="15" customFormat="1" ht="16.5" hidden="1" customHeight="1" outlineLevel="1" x14ac:dyDescent="0.25">
      <c r="A11738" s="18">
        <v>4844</v>
      </c>
      <c r="B11738" s="4" t="s">
        <v>44</v>
      </c>
      <c r="C11738" s="38" t="s">
        <v>6564</v>
      </c>
      <c r="D11738" s="18">
        <v>2022</v>
      </c>
      <c r="E11738" s="18" t="s">
        <v>0</v>
      </c>
      <c r="F11738" s="41">
        <v>1</v>
      </c>
      <c r="G11738" s="4">
        <v>15</v>
      </c>
      <c r="H11738" s="18">
        <v>28</v>
      </c>
      <c r="I11738" s="90"/>
      <c r="J11738" s="90"/>
    </row>
    <row r="11739" spans="1:10" s="15" customFormat="1" ht="16.5" hidden="1" customHeight="1" outlineLevel="1" x14ac:dyDescent="0.25">
      <c r="A11739" s="18">
        <v>4869</v>
      </c>
      <c r="B11739" s="4" t="s">
        <v>44</v>
      </c>
      <c r="C11739" s="38" t="s">
        <v>6565</v>
      </c>
      <c r="D11739" s="18">
        <v>2022</v>
      </c>
      <c r="E11739" s="18" t="s">
        <v>0</v>
      </c>
      <c r="F11739" s="41">
        <v>1</v>
      </c>
      <c r="G11739" s="4">
        <v>10</v>
      </c>
      <c r="H11739" s="18">
        <v>27</v>
      </c>
      <c r="I11739" s="90"/>
      <c r="J11739" s="90"/>
    </row>
    <row r="11740" spans="1:10" s="15" customFormat="1" ht="16.5" hidden="1" customHeight="1" outlineLevel="1" x14ac:dyDescent="0.25">
      <c r="A11740" s="18">
        <v>4870</v>
      </c>
      <c r="B11740" s="4" t="s">
        <v>44</v>
      </c>
      <c r="C11740" s="38" t="s">
        <v>6566</v>
      </c>
      <c r="D11740" s="18">
        <v>2022</v>
      </c>
      <c r="E11740" s="18" t="s">
        <v>0</v>
      </c>
      <c r="F11740" s="41">
        <v>1</v>
      </c>
      <c r="G11740" s="4">
        <v>10</v>
      </c>
      <c r="H11740" s="18">
        <v>28</v>
      </c>
      <c r="I11740" s="90"/>
      <c r="J11740" s="90"/>
    </row>
    <row r="11741" spans="1:10" s="15" customFormat="1" ht="16.5" hidden="1" customHeight="1" outlineLevel="1" x14ac:dyDescent="0.25">
      <c r="A11741" s="18">
        <v>4871</v>
      </c>
      <c r="B11741" s="4" t="s">
        <v>44</v>
      </c>
      <c r="C11741" s="38" t="s">
        <v>6567</v>
      </c>
      <c r="D11741" s="18">
        <v>2022</v>
      </c>
      <c r="E11741" s="18" t="s">
        <v>0</v>
      </c>
      <c r="F11741" s="41">
        <v>1</v>
      </c>
      <c r="G11741" s="4">
        <v>10</v>
      </c>
      <c r="H11741" s="18">
        <v>28</v>
      </c>
      <c r="I11741" s="90"/>
      <c r="J11741" s="90"/>
    </row>
    <row r="11742" spans="1:10" s="15" customFormat="1" ht="16.5" hidden="1" customHeight="1" outlineLevel="1" x14ac:dyDescent="0.25">
      <c r="A11742" s="18">
        <v>4872</v>
      </c>
      <c r="B11742" s="4" t="s">
        <v>44</v>
      </c>
      <c r="C11742" s="38" t="s">
        <v>6568</v>
      </c>
      <c r="D11742" s="18">
        <v>2022</v>
      </c>
      <c r="E11742" s="18" t="s">
        <v>0</v>
      </c>
      <c r="F11742" s="41">
        <v>1</v>
      </c>
      <c r="G11742" s="4">
        <v>10</v>
      </c>
      <c r="H11742" s="18">
        <v>25</v>
      </c>
      <c r="I11742" s="90"/>
      <c r="J11742" s="90"/>
    </row>
    <row r="11743" spans="1:10" s="15" customFormat="1" ht="16.5" hidden="1" customHeight="1" outlineLevel="1" x14ac:dyDescent="0.25">
      <c r="A11743" s="18">
        <v>4901</v>
      </c>
      <c r="B11743" s="4" t="s">
        <v>44</v>
      </c>
      <c r="C11743" s="38" t="s">
        <v>2950</v>
      </c>
      <c r="D11743" s="18">
        <v>2022</v>
      </c>
      <c r="E11743" s="18" t="s">
        <v>0</v>
      </c>
      <c r="F11743" s="41">
        <v>1</v>
      </c>
      <c r="G11743" s="4">
        <v>10</v>
      </c>
      <c r="H11743" s="18">
        <v>61</v>
      </c>
      <c r="I11743" s="90"/>
      <c r="J11743" s="90"/>
    </row>
    <row r="11744" spans="1:10" s="15" customFormat="1" ht="16.5" hidden="1" customHeight="1" outlineLevel="1" x14ac:dyDescent="0.25">
      <c r="A11744" s="18">
        <v>4568</v>
      </c>
      <c r="B11744" s="4" t="s">
        <v>44</v>
      </c>
      <c r="C11744" s="38" t="s">
        <v>6569</v>
      </c>
      <c r="D11744" s="18">
        <v>2022</v>
      </c>
      <c r="E11744" s="18" t="s">
        <v>0</v>
      </c>
      <c r="F11744" s="41">
        <v>1</v>
      </c>
      <c r="G11744" s="4">
        <v>10</v>
      </c>
      <c r="H11744" s="18">
        <v>36</v>
      </c>
      <c r="I11744" s="90"/>
      <c r="J11744" s="90"/>
    </row>
    <row r="11745" spans="1:10" s="15" customFormat="1" ht="16.5" hidden="1" customHeight="1" outlineLevel="1" x14ac:dyDescent="0.25">
      <c r="A11745" s="18">
        <v>4582</v>
      </c>
      <c r="B11745" s="4" t="s">
        <v>44</v>
      </c>
      <c r="C11745" s="38" t="s">
        <v>6570</v>
      </c>
      <c r="D11745" s="18">
        <v>2022</v>
      </c>
      <c r="E11745" s="18" t="s">
        <v>0</v>
      </c>
      <c r="F11745" s="41">
        <v>1</v>
      </c>
      <c r="G11745" s="4">
        <v>10</v>
      </c>
      <c r="H11745" s="18">
        <v>28</v>
      </c>
      <c r="I11745" s="90"/>
      <c r="J11745" s="90"/>
    </row>
    <row r="11746" spans="1:10" s="15" customFormat="1" ht="16.5" hidden="1" customHeight="1" outlineLevel="1" x14ac:dyDescent="0.25">
      <c r="A11746" s="18">
        <v>4597</v>
      </c>
      <c r="B11746" s="4" t="s">
        <v>44</v>
      </c>
      <c r="C11746" s="38" t="s">
        <v>6571</v>
      </c>
      <c r="D11746" s="18">
        <v>2022</v>
      </c>
      <c r="E11746" s="18" t="s">
        <v>0</v>
      </c>
      <c r="F11746" s="41">
        <v>1</v>
      </c>
      <c r="G11746" s="4">
        <v>10</v>
      </c>
      <c r="H11746" s="18">
        <v>32</v>
      </c>
      <c r="I11746" s="90"/>
      <c r="J11746" s="90"/>
    </row>
    <row r="11747" spans="1:10" s="15" customFormat="1" ht="16.5" hidden="1" customHeight="1" outlineLevel="1" x14ac:dyDescent="0.25">
      <c r="A11747" s="18">
        <v>4599</v>
      </c>
      <c r="B11747" s="4" t="s">
        <v>44</v>
      </c>
      <c r="C11747" s="38" t="s">
        <v>6572</v>
      </c>
      <c r="D11747" s="18">
        <v>2022</v>
      </c>
      <c r="E11747" s="18" t="s">
        <v>0</v>
      </c>
      <c r="F11747" s="41">
        <v>1</v>
      </c>
      <c r="G11747" s="4">
        <v>15</v>
      </c>
      <c r="H11747" s="18">
        <v>28</v>
      </c>
      <c r="I11747" s="90"/>
      <c r="J11747" s="90"/>
    </row>
    <row r="11748" spans="1:10" s="15" customFormat="1" ht="16.5" hidden="1" customHeight="1" outlineLevel="1" x14ac:dyDescent="0.25">
      <c r="A11748" s="18">
        <v>4631</v>
      </c>
      <c r="B11748" s="4" t="s">
        <v>44</v>
      </c>
      <c r="C11748" s="38" t="s">
        <v>6573</v>
      </c>
      <c r="D11748" s="18">
        <v>2022</v>
      </c>
      <c r="E11748" s="18" t="s">
        <v>0</v>
      </c>
      <c r="F11748" s="41">
        <v>1</v>
      </c>
      <c r="G11748" s="4">
        <v>10</v>
      </c>
      <c r="H11748" s="18">
        <v>28</v>
      </c>
      <c r="I11748" s="90"/>
      <c r="J11748" s="90"/>
    </row>
    <row r="11749" spans="1:10" s="15" customFormat="1" ht="16.5" hidden="1" customHeight="1" outlineLevel="1" x14ac:dyDescent="0.25">
      <c r="A11749" s="18">
        <v>4690</v>
      </c>
      <c r="B11749" s="4" t="s">
        <v>44</v>
      </c>
      <c r="C11749" s="38" t="s">
        <v>6574</v>
      </c>
      <c r="D11749" s="18">
        <v>2022</v>
      </c>
      <c r="E11749" s="18" t="s">
        <v>0</v>
      </c>
      <c r="F11749" s="41">
        <v>1</v>
      </c>
      <c r="G11749" s="4">
        <v>10</v>
      </c>
      <c r="H11749" s="18">
        <v>32</v>
      </c>
      <c r="I11749" s="90"/>
      <c r="J11749" s="90"/>
    </row>
    <row r="11750" spans="1:10" s="15" customFormat="1" ht="16.5" hidden="1" customHeight="1" outlineLevel="1" x14ac:dyDescent="0.25">
      <c r="A11750" s="18">
        <v>4693</v>
      </c>
      <c r="B11750" s="4" t="s">
        <v>44</v>
      </c>
      <c r="C11750" s="38" t="s">
        <v>6575</v>
      </c>
      <c r="D11750" s="18">
        <v>2022</v>
      </c>
      <c r="E11750" s="18" t="s">
        <v>0</v>
      </c>
      <c r="F11750" s="41">
        <v>1</v>
      </c>
      <c r="G11750" s="4">
        <v>15</v>
      </c>
      <c r="H11750" s="18">
        <v>27</v>
      </c>
      <c r="I11750" s="90"/>
      <c r="J11750" s="90"/>
    </row>
    <row r="11751" spans="1:10" s="15" customFormat="1" ht="16.5" hidden="1" customHeight="1" outlineLevel="1" x14ac:dyDescent="0.25">
      <c r="A11751" s="18">
        <v>4835</v>
      </c>
      <c r="B11751" s="4" t="s">
        <v>44</v>
      </c>
      <c r="C11751" s="38" t="s">
        <v>6576</v>
      </c>
      <c r="D11751" s="18">
        <v>2022</v>
      </c>
      <c r="E11751" s="18" t="s">
        <v>0</v>
      </c>
      <c r="F11751" s="41">
        <v>1</v>
      </c>
      <c r="G11751" s="4">
        <v>14</v>
      </c>
      <c r="H11751" s="18">
        <v>23</v>
      </c>
      <c r="I11751" s="90"/>
      <c r="J11751" s="90"/>
    </row>
    <row r="11752" spans="1:10" s="15" customFormat="1" ht="16.5" hidden="1" customHeight="1" outlineLevel="1" x14ac:dyDescent="0.25">
      <c r="A11752" s="18">
        <v>4904</v>
      </c>
      <c r="B11752" s="4" t="s">
        <v>44</v>
      </c>
      <c r="C11752" s="38" t="s">
        <v>2951</v>
      </c>
      <c r="D11752" s="18">
        <v>2022</v>
      </c>
      <c r="E11752" s="18" t="s">
        <v>0</v>
      </c>
      <c r="F11752" s="41">
        <v>1</v>
      </c>
      <c r="G11752" s="4">
        <v>10</v>
      </c>
      <c r="H11752" s="18">
        <v>126</v>
      </c>
      <c r="I11752" s="90"/>
      <c r="J11752" s="90"/>
    </row>
    <row r="11753" spans="1:10" s="15" customFormat="1" ht="16.5" hidden="1" customHeight="1" outlineLevel="1" x14ac:dyDescent="0.25">
      <c r="A11753" s="18">
        <v>4596</v>
      </c>
      <c r="B11753" s="4" t="s">
        <v>44</v>
      </c>
      <c r="C11753" s="38" t="s">
        <v>6577</v>
      </c>
      <c r="D11753" s="18">
        <v>2022</v>
      </c>
      <c r="E11753" s="18" t="s">
        <v>0</v>
      </c>
      <c r="F11753" s="41">
        <v>1</v>
      </c>
      <c r="G11753" s="4">
        <v>10</v>
      </c>
      <c r="H11753" s="18">
        <v>36</v>
      </c>
      <c r="I11753" s="90"/>
      <c r="J11753" s="90"/>
    </row>
    <row r="11754" spans="1:10" s="15" customFormat="1" ht="16.5" hidden="1" customHeight="1" outlineLevel="1" x14ac:dyDescent="0.25">
      <c r="A11754" s="18">
        <v>4598</v>
      </c>
      <c r="B11754" s="4" t="s">
        <v>44</v>
      </c>
      <c r="C11754" s="38" t="s">
        <v>6578</v>
      </c>
      <c r="D11754" s="18">
        <v>2022</v>
      </c>
      <c r="E11754" s="18" t="s">
        <v>0</v>
      </c>
      <c r="F11754" s="41">
        <v>1</v>
      </c>
      <c r="G11754" s="4">
        <v>10</v>
      </c>
      <c r="H11754" s="18">
        <v>37</v>
      </c>
      <c r="I11754" s="90"/>
      <c r="J11754" s="90"/>
    </row>
    <row r="11755" spans="1:10" s="15" customFormat="1" ht="16.5" hidden="1" customHeight="1" outlineLevel="1" x14ac:dyDescent="0.25">
      <c r="A11755" s="18">
        <v>4610</v>
      </c>
      <c r="B11755" s="4" t="s">
        <v>44</v>
      </c>
      <c r="C11755" s="38" t="s">
        <v>6579</v>
      </c>
      <c r="D11755" s="18">
        <v>2022</v>
      </c>
      <c r="E11755" s="18" t="s">
        <v>0</v>
      </c>
      <c r="F11755" s="41">
        <v>1</v>
      </c>
      <c r="G11755" s="4">
        <v>10</v>
      </c>
      <c r="H11755" s="18">
        <v>35</v>
      </c>
      <c r="I11755" s="90"/>
      <c r="J11755" s="90"/>
    </row>
    <row r="11756" spans="1:10" s="15" customFormat="1" ht="16.5" hidden="1" customHeight="1" outlineLevel="1" x14ac:dyDescent="0.25">
      <c r="A11756" s="18">
        <v>4611</v>
      </c>
      <c r="B11756" s="4" t="s">
        <v>44</v>
      </c>
      <c r="C11756" s="38" t="s">
        <v>6580</v>
      </c>
      <c r="D11756" s="18">
        <v>2022</v>
      </c>
      <c r="E11756" s="18" t="s">
        <v>0</v>
      </c>
      <c r="F11756" s="41">
        <v>1</v>
      </c>
      <c r="G11756" s="4">
        <v>10</v>
      </c>
      <c r="H11756" s="18">
        <v>34</v>
      </c>
      <c r="I11756" s="90"/>
      <c r="J11756" s="90"/>
    </row>
    <row r="11757" spans="1:10" s="15" customFormat="1" ht="16.5" hidden="1" customHeight="1" outlineLevel="1" x14ac:dyDescent="0.25">
      <c r="A11757" s="18">
        <v>4612</v>
      </c>
      <c r="B11757" s="4" t="s">
        <v>44</v>
      </c>
      <c r="C11757" s="38" t="s">
        <v>6581</v>
      </c>
      <c r="D11757" s="18">
        <v>2022</v>
      </c>
      <c r="E11757" s="18" t="s">
        <v>0</v>
      </c>
      <c r="F11757" s="41">
        <v>1</v>
      </c>
      <c r="G11757" s="4">
        <v>10</v>
      </c>
      <c r="H11757" s="18">
        <v>35</v>
      </c>
      <c r="I11757" s="90"/>
      <c r="J11757" s="90"/>
    </row>
    <row r="11758" spans="1:10" s="15" customFormat="1" ht="16.5" hidden="1" customHeight="1" outlineLevel="1" x14ac:dyDescent="0.25">
      <c r="A11758" s="18">
        <v>4613</v>
      </c>
      <c r="B11758" s="4" t="s">
        <v>44</v>
      </c>
      <c r="C11758" s="38" t="s">
        <v>6582</v>
      </c>
      <c r="D11758" s="18">
        <v>2022</v>
      </c>
      <c r="E11758" s="18" t="s">
        <v>0</v>
      </c>
      <c r="F11758" s="41">
        <v>1</v>
      </c>
      <c r="G11758" s="4">
        <v>10</v>
      </c>
      <c r="H11758" s="18">
        <v>34</v>
      </c>
      <c r="I11758" s="90"/>
      <c r="J11758" s="90"/>
    </row>
    <row r="11759" spans="1:10" s="15" customFormat="1" ht="16.5" hidden="1" customHeight="1" outlineLevel="1" x14ac:dyDescent="0.25">
      <c r="A11759" s="18">
        <v>4642</v>
      </c>
      <c r="B11759" s="4" t="s">
        <v>44</v>
      </c>
      <c r="C11759" s="38" t="s">
        <v>6583</v>
      </c>
      <c r="D11759" s="18">
        <v>2022</v>
      </c>
      <c r="E11759" s="18" t="s">
        <v>0</v>
      </c>
      <c r="F11759" s="41">
        <v>1</v>
      </c>
      <c r="G11759" s="4">
        <v>15</v>
      </c>
      <c r="H11759" s="18">
        <v>37</v>
      </c>
      <c r="I11759" s="90"/>
      <c r="J11759" s="90"/>
    </row>
    <row r="11760" spans="1:10" s="15" customFormat="1" ht="16.5" hidden="1" customHeight="1" outlineLevel="1" x14ac:dyDescent="0.25">
      <c r="A11760" s="18">
        <v>4649</v>
      </c>
      <c r="B11760" s="4" t="s">
        <v>44</v>
      </c>
      <c r="C11760" s="38" t="s">
        <v>6584</v>
      </c>
      <c r="D11760" s="18">
        <v>2022</v>
      </c>
      <c r="E11760" s="18" t="s">
        <v>0</v>
      </c>
      <c r="F11760" s="41">
        <v>1</v>
      </c>
      <c r="G11760" s="4">
        <v>10</v>
      </c>
      <c r="H11760" s="18">
        <v>37</v>
      </c>
      <c r="I11760" s="90"/>
      <c r="J11760" s="90"/>
    </row>
    <row r="11761" spans="1:10" s="15" customFormat="1" ht="16.5" hidden="1" customHeight="1" outlineLevel="1" x14ac:dyDescent="0.25">
      <c r="A11761" s="18">
        <v>4903</v>
      </c>
      <c r="B11761" s="4" t="s">
        <v>44</v>
      </c>
      <c r="C11761" s="38" t="s">
        <v>2952</v>
      </c>
      <c r="D11761" s="18">
        <v>2022</v>
      </c>
      <c r="E11761" s="18" t="s">
        <v>0</v>
      </c>
      <c r="F11761" s="41">
        <v>1</v>
      </c>
      <c r="G11761" s="4">
        <v>10</v>
      </c>
      <c r="H11761" s="18">
        <v>107</v>
      </c>
      <c r="I11761" s="90"/>
      <c r="J11761" s="90"/>
    </row>
    <row r="11762" spans="1:10" s="15" customFormat="1" ht="16.5" hidden="1" customHeight="1" outlineLevel="1" x14ac:dyDescent="0.25">
      <c r="A11762" s="18">
        <v>4592</v>
      </c>
      <c r="B11762" s="4" t="s">
        <v>44</v>
      </c>
      <c r="C11762" s="38" t="s">
        <v>6585</v>
      </c>
      <c r="D11762" s="18">
        <v>2022</v>
      </c>
      <c r="E11762" s="18" t="s">
        <v>0</v>
      </c>
      <c r="F11762" s="41">
        <v>1</v>
      </c>
      <c r="G11762" s="4">
        <v>15</v>
      </c>
      <c r="H11762" s="18">
        <v>26</v>
      </c>
      <c r="I11762" s="90"/>
      <c r="J11762" s="90"/>
    </row>
    <row r="11763" spans="1:10" s="15" customFormat="1" ht="16.5" hidden="1" customHeight="1" outlineLevel="1" x14ac:dyDescent="0.25">
      <c r="A11763" s="18">
        <v>4594</v>
      </c>
      <c r="B11763" s="4" t="s">
        <v>44</v>
      </c>
      <c r="C11763" s="38" t="s">
        <v>6586</v>
      </c>
      <c r="D11763" s="18">
        <v>2022</v>
      </c>
      <c r="E11763" s="18" t="s">
        <v>0</v>
      </c>
      <c r="F11763" s="41">
        <v>1</v>
      </c>
      <c r="G11763" s="4">
        <v>15</v>
      </c>
      <c r="H11763" s="18">
        <v>26</v>
      </c>
      <c r="I11763" s="90"/>
      <c r="J11763" s="90"/>
    </row>
    <row r="11764" spans="1:10" s="15" customFormat="1" ht="16.5" hidden="1" customHeight="1" outlineLevel="1" x14ac:dyDescent="0.25">
      <c r="A11764" s="18">
        <v>4606</v>
      </c>
      <c r="B11764" s="4" t="s">
        <v>44</v>
      </c>
      <c r="C11764" s="38" t="s">
        <v>6587</v>
      </c>
      <c r="D11764" s="18">
        <v>2022</v>
      </c>
      <c r="E11764" s="18" t="s">
        <v>0</v>
      </c>
      <c r="F11764" s="41">
        <v>1</v>
      </c>
      <c r="G11764" s="4">
        <v>15</v>
      </c>
      <c r="H11764" s="18">
        <v>25</v>
      </c>
      <c r="I11764" s="90"/>
      <c r="J11764" s="90"/>
    </row>
    <row r="11765" spans="1:10" s="15" customFormat="1" ht="16.5" hidden="1" customHeight="1" outlineLevel="1" x14ac:dyDescent="0.25">
      <c r="A11765" s="18">
        <v>4618</v>
      </c>
      <c r="B11765" s="4" t="s">
        <v>44</v>
      </c>
      <c r="C11765" s="38" t="s">
        <v>6588</v>
      </c>
      <c r="D11765" s="18">
        <v>2022</v>
      </c>
      <c r="E11765" s="18" t="s">
        <v>0</v>
      </c>
      <c r="F11765" s="41">
        <v>1</v>
      </c>
      <c r="G11765" s="4">
        <v>15</v>
      </c>
      <c r="H11765" s="18">
        <v>26</v>
      </c>
      <c r="I11765" s="90"/>
      <c r="J11765" s="90"/>
    </row>
    <row r="11766" spans="1:10" s="15" customFormat="1" ht="16.5" hidden="1" customHeight="1" outlineLevel="1" x14ac:dyDescent="0.25">
      <c r="A11766" s="18">
        <v>4619</v>
      </c>
      <c r="B11766" s="4" t="s">
        <v>44</v>
      </c>
      <c r="C11766" s="38" t="s">
        <v>6589</v>
      </c>
      <c r="D11766" s="18">
        <v>2022</v>
      </c>
      <c r="E11766" s="18" t="s">
        <v>0</v>
      </c>
      <c r="F11766" s="41">
        <v>1</v>
      </c>
      <c r="G11766" s="4">
        <v>15</v>
      </c>
      <c r="H11766" s="18">
        <v>26</v>
      </c>
      <c r="I11766" s="90"/>
      <c r="J11766" s="90"/>
    </row>
    <row r="11767" spans="1:10" s="15" customFormat="1" ht="16.5" hidden="1" customHeight="1" outlineLevel="1" x14ac:dyDescent="0.25">
      <c r="A11767" s="18">
        <v>4636</v>
      </c>
      <c r="B11767" s="4" t="s">
        <v>44</v>
      </c>
      <c r="C11767" s="38" t="s">
        <v>6590</v>
      </c>
      <c r="D11767" s="18">
        <v>2022</v>
      </c>
      <c r="E11767" s="18" t="s">
        <v>0</v>
      </c>
      <c r="F11767" s="41">
        <v>1</v>
      </c>
      <c r="G11767" s="4">
        <v>10</v>
      </c>
      <c r="H11767" s="18">
        <v>27</v>
      </c>
      <c r="I11767" s="90"/>
      <c r="J11767" s="90"/>
    </row>
    <row r="11768" spans="1:10" s="15" customFormat="1" ht="16.5" hidden="1" customHeight="1" outlineLevel="1" x14ac:dyDescent="0.25">
      <c r="A11768" s="18">
        <v>4899</v>
      </c>
      <c r="B11768" s="4" t="s">
        <v>44</v>
      </c>
      <c r="C11768" s="38" t="s">
        <v>2855</v>
      </c>
      <c r="D11768" s="18">
        <v>2022</v>
      </c>
      <c r="E11768" s="18" t="s">
        <v>0</v>
      </c>
      <c r="F11768" s="41">
        <v>4</v>
      </c>
      <c r="G11768" s="4">
        <v>47</v>
      </c>
      <c r="H11768" s="18">
        <v>151</v>
      </c>
      <c r="I11768" s="90"/>
      <c r="J11768" s="90"/>
    </row>
    <row r="11769" spans="1:10" s="15" customFormat="1" ht="16.5" hidden="1" customHeight="1" outlineLevel="1" x14ac:dyDescent="0.25">
      <c r="A11769" s="18">
        <v>4648</v>
      </c>
      <c r="B11769" s="4" t="s">
        <v>44</v>
      </c>
      <c r="C11769" s="38" t="s">
        <v>6591</v>
      </c>
      <c r="D11769" s="18">
        <v>2022</v>
      </c>
      <c r="E11769" s="18" t="s">
        <v>0</v>
      </c>
      <c r="F11769" s="41">
        <v>1</v>
      </c>
      <c r="G11769" s="4">
        <v>10</v>
      </c>
      <c r="H11769" s="18">
        <v>29</v>
      </c>
      <c r="I11769" s="90"/>
      <c r="J11769" s="90"/>
    </row>
    <row r="11770" spans="1:10" s="15" customFormat="1" ht="16.5" hidden="1" customHeight="1" outlineLevel="1" x14ac:dyDescent="0.25">
      <c r="A11770" s="18">
        <v>4650</v>
      </c>
      <c r="B11770" s="4" t="s">
        <v>44</v>
      </c>
      <c r="C11770" s="38" t="s">
        <v>6592</v>
      </c>
      <c r="D11770" s="18">
        <v>2022</v>
      </c>
      <c r="E11770" s="18" t="s">
        <v>0</v>
      </c>
      <c r="F11770" s="41">
        <v>1</v>
      </c>
      <c r="G11770" s="4">
        <v>15</v>
      </c>
      <c r="H11770" s="18">
        <v>29</v>
      </c>
      <c r="I11770" s="90"/>
      <c r="J11770" s="90"/>
    </row>
    <row r="11771" spans="1:10" s="15" customFormat="1" ht="16.5" hidden="1" customHeight="1" outlineLevel="1" x14ac:dyDescent="0.25">
      <c r="A11771" s="18">
        <v>4651</v>
      </c>
      <c r="B11771" s="4" t="s">
        <v>44</v>
      </c>
      <c r="C11771" s="38" t="s">
        <v>6593</v>
      </c>
      <c r="D11771" s="18">
        <v>2022</v>
      </c>
      <c r="E11771" s="18" t="s">
        <v>0</v>
      </c>
      <c r="F11771" s="41">
        <v>1</v>
      </c>
      <c r="G11771" s="4">
        <v>4</v>
      </c>
      <c r="H11771" s="18">
        <v>27</v>
      </c>
      <c r="I11771" s="90"/>
      <c r="J11771" s="90"/>
    </row>
    <row r="11772" spans="1:10" s="15" customFormat="1" ht="16.5" hidden="1" customHeight="1" outlineLevel="1" x14ac:dyDescent="0.25">
      <c r="A11772" s="18">
        <v>4724</v>
      </c>
      <c r="B11772" s="4" t="s">
        <v>44</v>
      </c>
      <c r="C11772" s="38" t="s">
        <v>6594</v>
      </c>
      <c r="D11772" s="18">
        <v>2022</v>
      </c>
      <c r="E11772" s="18" t="s">
        <v>0</v>
      </c>
      <c r="F11772" s="41">
        <v>1</v>
      </c>
      <c r="G11772" s="4">
        <v>10</v>
      </c>
      <c r="H11772" s="18">
        <v>26</v>
      </c>
      <c r="I11772" s="90"/>
      <c r="J11772" s="90"/>
    </row>
    <row r="11773" spans="1:10" s="15" customFormat="1" ht="16.5" hidden="1" customHeight="1" outlineLevel="1" x14ac:dyDescent="0.25">
      <c r="A11773" s="18">
        <v>4726</v>
      </c>
      <c r="B11773" s="4" t="s">
        <v>44</v>
      </c>
      <c r="C11773" s="38" t="s">
        <v>6595</v>
      </c>
      <c r="D11773" s="18">
        <v>2022</v>
      </c>
      <c r="E11773" s="18" t="s">
        <v>0</v>
      </c>
      <c r="F11773" s="41">
        <v>1</v>
      </c>
      <c r="G11773" s="4">
        <v>13</v>
      </c>
      <c r="H11773" s="18">
        <v>26</v>
      </c>
      <c r="I11773" s="90"/>
      <c r="J11773" s="90"/>
    </row>
    <row r="11774" spans="1:10" s="15" customFormat="1" ht="16.5" hidden="1" customHeight="1" outlineLevel="1" x14ac:dyDescent="0.25">
      <c r="A11774" s="18">
        <v>4729</v>
      </c>
      <c r="B11774" s="4" t="s">
        <v>44</v>
      </c>
      <c r="C11774" s="38" t="s">
        <v>6596</v>
      </c>
      <c r="D11774" s="18">
        <v>2022</v>
      </c>
      <c r="E11774" s="18" t="s">
        <v>0</v>
      </c>
      <c r="F11774" s="41">
        <v>1</v>
      </c>
      <c r="G11774" s="4">
        <v>10</v>
      </c>
      <c r="H11774" s="18">
        <v>27</v>
      </c>
      <c r="I11774" s="90"/>
      <c r="J11774" s="90"/>
    </row>
    <row r="11775" spans="1:10" s="15" customFormat="1" ht="16.5" hidden="1" customHeight="1" outlineLevel="1" x14ac:dyDescent="0.25">
      <c r="A11775" s="18">
        <v>4735</v>
      </c>
      <c r="B11775" s="4" t="s">
        <v>44</v>
      </c>
      <c r="C11775" s="38" t="s">
        <v>6597</v>
      </c>
      <c r="D11775" s="18">
        <v>2022</v>
      </c>
      <c r="E11775" s="18" t="s">
        <v>0</v>
      </c>
      <c r="F11775" s="41">
        <v>1</v>
      </c>
      <c r="G11775" s="4">
        <v>10</v>
      </c>
      <c r="H11775" s="18">
        <v>25</v>
      </c>
      <c r="I11775" s="90"/>
      <c r="J11775" s="90"/>
    </row>
    <row r="11776" spans="1:10" s="15" customFormat="1" ht="16.5" hidden="1" customHeight="1" outlineLevel="1" x14ac:dyDescent="0.25">
      <c r="A11776" s="18">
        <v>4743</v>
      </c>
      <c r="B11776" s="4" t="s">
        <v>44</v>
      </c>
      <c r="C11776" s="38" t="s">
        <v>6598</v>
      </c>
      <c r="D11776" s="18">
        <v>2022</v>
      </c>
      <c r="E11776" s="18" t="s">
        <v>0</v>
      </c>
      <c r="F11776" s="41">
        <v>1</v>
      </c>
      <c r="G11776" s="4">
        <v>15</v>
      </c>
      <c r="H11776" s="18">
        <v>26</v>
      </c>
      <c r="I11776" s="90"/>
      <c r="J11776" s="90"/>
    </row>
    <row r="11777" spans="1:10" s="15" customFormat="1" ht="16.5" hidden="1" customHeight="1" outlineLevel="1" x14ac:dyDescent="0.25">
      <c r="A11777" s="18">
        <v>4777</v>
      </c>
      <c r="B11777" s="4" t="s">
        <v>44</v>
      </c>
      <c r="C11777" s="38" t="s">
        <v>6599</v>
      </c>
      <c r="D11777" s="18">
        <v>2022</v>
      </c>
      <c r="E11777" s="18" t="s">
        <v>0</v>
      </c>
      <c r="F11777" s="41">
        <v>1</v>
      </c>
      <c r="G11777" s="4">
        <v>14</v>
      </c>
      <c r="H11777" s="18">
        <v>27</v>
      </c>
      <c r="I11777" s="90"/>
      <c r="J11777" s="90"/>
    </row>
    <row r="11778" spans="1:10" s="15" customFormat="1" ht="16.5" hidden="1" customHeight="1" outlineLevel="1" x14ac:dyDescent="0.25">
      <c r="A11778" s="18">
        <v>4779</v>
      </c>
      <c r="B11778" s="4" t="s">
        <v>44</v>
      </c>
      <c r="C11778" s="38" t="s">
        <v>6600</v>
      </c>
      <c r="D11778" s="18">
        <v>2022</v>
      </c>
      <c r="E11778" s="18" t="s">
        <v>0</v>
      </c>
      <c r="F11778" s="41">
        <v>1</v>
      </c>
      <c r="G11778" s="4">
        <v>10</v>
      </c>
      <c r="H11778" s="18">
        <v>26</v>
      </c>
      <c r="I11778" s="90"/>
      <c r="J11778" s="90"/>
    </row>
    <row r="11779" spans="1:10" s="15" customFormat="1" ht="16.5" hidden="1" customHeight="1" outlineLevel="1" x14ac:dyDescent="0.25">
      <c r="A11779" s="18">
        <v>4780</v>
      </c>
      <c r="B11779" s="4" t="s">
        <v>44</v>
      </c>
      <c r="C11779" s="38" t="s">
        <v>6601</v>
      </c>
      <c r="D11779" s="18">
        <v>2022</v>
      </c>
      <c r="E11779" s="18" t="s">
        <v>0</v>
      </c>
      <c r="F11779" s="41">
        <v>1</v>
      </c>
      <c r="G11779" s="4">
        <v>10</v>
      </c>
      <c r="H11779" s="18">
        <v>26</v>
      </c>
      <c r="I11779" s="90"/>
      <c r="J11779" s="90"/>
    </row>
    <row r="11780" spans="1:10" s="15" customFormat="1" ht="16.5" hidden="1" customHeight="1" outlineLevel="1" x14ac:dyDescent="0.25">
      <c r="A11780" s="18">
        <v>4783</v>
      </c>
      <c r="B11780" s="4" t="s">
        <v>44</v>
      </c>
      <c r="C11780" s="38" t="s">
        <v>6602</v>
      </c>
      <c r="D11780" s="18">
        <v>2022</v>
      </c>
      <c r="E11780" s="18" t="s">
        <v>0</v>
      </c>
      <c r="F11780" s="41">
        <v>1</v>
      </c>
      <c r="G11780" s="4">
        <v>15</v>
      </c>
      <c r="H11780" s="18">
        <v>25</v>
      </c>
      <c r="I11780" s="90"/>
      <c r="J11780" s="90"/>
    </row>
    <row r="11781" spans="1:10" s="15" customFormat="1" ht="16.5" hidden="1" customHeight="1" outlineLevel="1" x14ac:dyDescent="0.25">
      <c r="A11781" s="18">
        <v>4817</v>
      </c>
      <c r="B11781" s="4" t="s">
        <v>44</v>
      </c>
      <c r="C11781" s="38" t="s">
        <v>6603</v>
      </c>
      <c r="D11781" s="18">
        <v>2022</v>
      </c>
      <c r="E11781" s="18" t="s">
        <v>0</v>
      </c>
      <c r="F11781" s="41">
        <v>1</v>
      </c>
      <c r="G11781" s="4">
        <v>14</v>
      </c>
      <c r="H11781" s="18">
        <v>24</v>
      </c>
      <c r="I11781" s="90"/>
      <c r="J11781" s="90"/>
    </row>
    <row r="11782" spans="1:10" s="15" customFormat="1" ht="16.5" hidden="1" customHeight="1" outlineLevel="1" x14ac:dyDescent="0.25">
      <c r="A11782" s="18">
        <v>4818</v>
      </c>
      <c r="B11782" s="4" t="s">
        <v>44</v>
      </c>
      <c r="C11782" s="38" t="s">
        <v>6604</v>
      </c>
      <c r="D11782" s="18">
        <v>2022</v>
      </c>
      <c r="E11782" s="18" t="s">
        <v>0</v>
      </c>
      <c r="F11782" s="41">
        <v>1</v>
      </c>
      <c r="G11782" s="4">
        <v>14</v>
      </c>
      <c r="H11782" s="18">
        <v>24</v>
      </c>
      <c r="I11782" s="90"/>
      <c r="J11782" s="90"/>
    </row>
    <row r="11783" spans="1:10" s="15" customFormat="1" ht="16.5" hidden="1" customHeight="1" outlineLevel="1" x14ac:dyDescent="0.25">
      <c r="A11783" s="18">
        <v>4821</v>
      </c>
      <c r="B11783" s="4" t="s">
        <v>44</v>
      </c>
      <c r="C11783" s="38" t="s">
        <v>6605</v>
      </c>
      <c r="D11783" s="18">
        <v>2022</v>
      </c>
      <c r="E11783" s="18" t="s">
        <v>0</v>
      </c>
      <c r="F11783" s="41">
        <v>1</v>
      </c>
      <c r="G11783" s="4">
        <v>12.5</v>
      </c>
      <c r="H11783" s="18">
        <v>23</v>
      </c>
      <c r="I11783" s="90"/>
      <c r="J11783" s="90"/>
    </row>
    <row r="11784" spans="1:10" s="15" customFormat="1" ht="16.5" hidden="1" customHeight="1" outlineLevel="1" x14ac:dyDescent="0.25">
      <c r="A11784" s="18">
        <v>4900</v>
      </c>
      <c r="B11784" s="4" t="s">
        <v>44</v>
      </c>
      <c r="C11784" s="38" t="s">
        <v>2955</v>
      </c>
      <c r="D11784" s="18">
        <v>2022</v>
      </c>
      <c r="E11784" s="18" t="s">
        <v>0</v>
      </c>
      <c r="F11784" s="41">
        <v>1</v>
      </c>
      <c r="G11784" s="4">
        <v>15</v>
      </c>
      <c r="H11784" s="18">
        <v>90</v>
      </c>
      <c r="I11784" s="90"/>
      <c r="J11784" s="90"/>
    </row>
    <row r="11785" spans="1:10" s="15" customFormat="1" ht="16.5" hidden="1" customHeight="1" outlineLevel="1" x14ac:dyDescent="0.25">
      <c r="A11785" s="18">
        <v>4902</v>
      </c>
      <c r="B11785" s="4" t="s">
        <v>44</v>
      </c>
      <c r="C11785" s="38" t="s">
        <v>2956</v>
      </c>
      <c r="D11785" s="18">
        <v>2022</v>
      </c>
      <c r="E11785" s="18" t="s">
        <v>0</v>
      </c>
      <c r="F11785" s="41">
        <v>1</v>
      </c>
      <c r="G11785" s="4">
        <v>10</v>
      </c>
      <c r="H11785" s="18">
        <v>66</v>
      </c>
      <c r="I11785" s="90"/>
      <c r="J11785" s="90"/>
    </row>
    <row r="11786" spans="1:10" s="15" customFormat="1" ht="16.5" hidden="1" customHeight="1" outlineLevel="1" x14ac:dyDescent="0.25">
      <c r="A11786" s="18">
        <v>4617</v>
      </c>
      <c r="B11786" s="4" t="s">
        <v>44</v>
      </c>
      <c r="C11786" s="38" t="s">
        <v>2957</v>
      </c>
      <c r="D11786" s="18">
        <v>2022</v>
      </c>
      <c r="E11786" s="18" t="s">
        <v>0</v>
      </c>
      <c r="F11786" s="41">
        <v>1</v>
      </c>
      <c r="G11786" s="4">
        <v>15</v>
      </c>
      <c r="H11786" s="18">
        <v>72</v>
      </c>
      <c r="I11786" s="90"/>
      <c r="J11786" s="90"/>
    </row>
    <row r="11787" spans="1:10" s="15" customFormat="1" ht="16.5" hidden="1" customHeight="1" outlineLevel="1" x14ac:dyDescent="0.25">
      <c r="A11787" s="18">
        <v>4691</v>
      </c>
      <c r="B11787" s="4" t="s">
        <v>44</v>
      </c>
      <c r="C11787" s="38" t="s">
        <v>6606</v>
      </c>
      <c r="D11787" s="18">
        <v>2022</v>
      </c>
      <c r="E11787" s="18" t="s">
        <v>0</v>
      </c>
      <c r="F11787" s="41">
        <v>1</v>
      </c>
      <c r="G11787" s="4">
        <v>12</v>
      </c>
      <c r="H11787" s="18">
        <v>25</v>
      </c>
      <c r="I11787" s="90"/>
      <c r="J11787" s="90"/>
    </row>
    <row r="11788" spans="1:10" s="15" customFormat="1" ht="16.5" hidden="1" customHeight="1" outlineLevel="1" x14ac:dyDescent="0.25">
      <c r="A11788" s="18">
        <v>4692</v>
      </c>
      <c r="B11788" s="4" t="s">
        <v>44</v>
      </c>
      <c r="C11788" s="38" t="s">
        <v>6607</v>
      </c>
      <c r="D11788" s="18">
        <v>2022</v>
      </c>
      <c r="E11788" s="18" t="s">
        <v>0</v>
      </c>
      <c r="F11788" s="41">
        <v>1</v>
      </c>
      <c r="G11788" s="4">
        <v>12</v>
      </c>
      <c r="H11788" s="18">
        <v>25</v>
      </c>
      <c r="I11788" s="90"/>
      <c r="J11788" s="90"/>
    </row>
    <row r="11789" spans="1:10" s="15" customFormat="1" ht="16.5" hidden="1" customHeight="1" outlineLevel="1" x14ac:dyDescent="0.25">
      <c r="A11789" s="18">
        <v>4704</v>
      </c>
      <c r="B11789" s="4" t="s">
        <v>44</v>
      </c>
      <c r="C11789" s="38" t="s">
        <v>6608</v>
      </c>
      <c r="D11789" s="18">
        <v>2022</v>
      </c>
      <c r="E11789" s="18" t="s">
        <v>0</v>
      </c>
      <c r="F11789" s="41">
        <v>1</v>
      </c>
      <c r="G11789" s="4">
        <v>15</v>
      </c>
      <c r="H11789" s="18">
        <v>25</v>
      </c>
      <c r="I11789" s="90"/>
      <c r="J11789" s="90"/>
    </row>
    <row r="11790" spans="1:10" s="15" customFormat="1" ht="16.5" hidden="1" customHeight="1" outlineLevel="1" x14ac:dyDescent="0.25">
      <c r="A11790" s="18">
        <v>4731</v>
      </c>
      <c r="B11790" s="4" t="s">
        <v>44</v>
      </c>
      <c r="C11790" s="38" t="s">
        <v>6609</v>
      </c>
      <c r="D11790" s="18">
        <v>2022</v>
      </c>
      <c r="E11790" s="18" t="s">
        <v>0</v>
      </c>
      <c r="F11790" s="41">
        <v>1</v>
      </c>
      <c r="G11790" s="4">
        <v>12</v>
      </c>
      <c r="H11790" s="18">
        <v>26</v>
      </c>
      <c r="I11790" s="90"/>
      <c r="J11790" s="90"/>
    </row>
    <row r="11791" spans="1:10" s="15" customFormat="1" ht="16.5" hidden="1" customHeight="1" outlineLevel="1" x14ac:dyDescent="0.25">
      <c r="A11791" s="18">
        <v>4736</v>
      </c>
      <c r="B11791" s="4" t="s">
        <v>44</v>
      </c>
      <c r="C11791" s="38" t="s">
        <v>6610</v>
      </c>
      <c r="D11791" s="18">
        <v>2022</v>
      </c>
      <c r="E11791" s="18" t="s">
        <v>0</v>
      </c>
      <c r="F11791" s="41">
        <v>1</v>
      </c>
      <c r="G11791" s="4">
        <v>15</v>
      </c>
      <c r="H11791" s="18">
        <v>26</v>
      </c>
      <c r="I11791" s="90"/>
      <c r="J11791" s="90"/>
    </row>
    <row r="11792" spans="1:10" s="15" customFormat="1" ht="16.5" hidden="1" customHeight="1" outlineLevel="1" x14ac:dyDescent="0.25">
      <c r="A11792" s="18">
        <v>4737</v>
      </c>
      <c r="B11792" s="4" t="s">
        <v>44</v>
      </c>
      <c r="C11792" s="38" t="s">
        <v>6611</v>
      </c>
      <c r="D11792" s="18">
        <v>2022</v>
      </c>
      <c r="E11792" s="18" t="s">
        <v>0</v>
      </c>
      <c r="F11792" s="41">
        <v>1</v>
      </c>
      <c r="G11792" s="4">
        <v>12</v>
      </c>
      <c r="H11792" s="18">
        <v>25</v>
      </c>
      <c r="I11792" s="90"/>
      <c r="J11792" s="90"/>
    </row>
    <row r="11793" spans="1:10" s="15" customFormat="1" ht="16.5" hidden="1" customHeight="1" outlineLevel="1" x14ac:dyDescent="0.25">
      <c r="A11793" s="18">
        <v>4602</v>
      </c>
      <c r="B11793" s="4" t="s">
        <v>44</v>
      </c>
      <c r="C11793" s="38" t="s">
        <v>6612</v>
      </c>
      <c r="D11793" s="18">
        <v>2022</v>
      </c>
      <c r="E11793" s="18" t="s">
        <v>0</v>
      </c>
      <c r="F11793" s="41">
        <v>1</v>
      </c>
      <c r="G11793" s="4">
        <v>15</v>
      </c>
      <c r="H11793" s="18">
        <v>25</v>
      </c>
      <c r="I11793" s="90"/>
      <c r="J11793" s="90"/>
    </row>
    <row r="11794" spans="1:10" s="15" customFormat="1" ht="16.5" hidden="1" customHeight="1" outlineLevel="1" x14ac:dyDescent="0.25">
      <c r="A11794" s="18">
        <v>4626</v>
      </c>
      <c r="B11794" s="4" t="s">
        <v>44</v>
      </c>
      <c r="C11794" s="38" t="s">
        <v>6613</v>
      </c>
      <c r="D11794" s="18">
        <v>2022</v>
      </c>
      <c r="E11794" s="18" t="s">
        <v>0</v>
      </c>
      <c r="F11794" s="41">
        <v>1</v>
      </c>
      <c r="G11794" s="4">
        <v>10</v>
      </c>
      <c r="H11794" s="18">
        <v>26</v>
      </c>
      <c r="I11794" s="90"/>
      <c r="J11794" s="90"/>
    </row>
    <row r="11795" spans="1:10" s="15" customFormat="1" ht="16.5" hidden="1" customHeight="1" outlineLevel="1" x14ac:dyDescent="0.25">
      <c r="A11795" s="18">
        <v>4646</v>
      </c>
      <c r="B11795" s="4" t="s">
        <v>44</v>
      </c>
      <c r="C11795" s="38" t="s">
        <v>6614</v>
      </c>
      <c r="D11795" s="18">
        <v>2022</v>
      </c>
      <c r="E11795" s="18" t="s">
        <v>0</v>
      </c>
      <c r="F11795" s="41">
        <v>1</v>
      </c>
      <c r="G11795" s="4">
        <v>10</v>
      </c>
      <c r="H11795" s="18">
        <v>37</v>
      </c>
      <c r="I11795" s="90"/>
      <c r="J11795" s="90"/>
    </row>
    <row r="11796" spans="1:10" s="15" customFormat="1" ht="16.5" hidden="1" customHeight="1" outlineLevel="1" x14ac:dyDescent="0.25">
      <c r="A11796" s="18">
        <v>4609</v>
      </c>
      <c r="B11796" s="4" t="s">
        <v>44</v>
      </c>
      <c r="C11796" s="38" t="s">
        <v>6615</v>
      </c>
      <c r="D11796" s="18">
        <v>2022</v>
      </c>
      <c r="E11796" s="18" t="s">
        <v>0</v>
      </c>
      <c r="F11796" s="41">
        <v>1</v>
      </c>
      <c r="G11796" s="4">
        <v>15</v>
      </c>
      <c r="H11796" s="18">
        <v>34</v>
      </c>
      <c r="I11796" s="90"/>
      <c r="J11796" s="90"/>
    </row>
    <row r="11797" spans="1:10" s="15" customFormat="1" ht="16.5" hidden="1" customHeight="1" outlineLevel="1" x14ac:dyDescent="0.25">
      <c r="A11797" s="18">
        <v>4810</v>
      </c>
      <c r="B11797" s="4" t="s">
        <v>44</v>
      </c>
      <c r="C11797" s="38" t="s">
        <v>6616</v>
      </c>
      <c r="D11797" s="18">
        <v>2022</v>
      </c>
      <c r="E11797" s="18" t="s">
        <v>0</v>
      </c>
      <c r="F11797" s="41">
        <v>1</v>
      </c>
      <c r="G11797" s="4">
        <v>7.5</v>
      </c>
      <c r="H11797" s="18">
        <v>26</v>
      </c>
      <c r="I11797" s="90"/>
      <c r="J11797" s="90"/>
    </row>
    <row r="11798" spans="1:10" s="15" customFormat="1" ht="16.5" hidden="1" customHeight="1" outlineLevel="1" x14ac:dyDescent="0.25">
      <c r="A11798" s="18">
        <v>4578</v>
      </c>
      <c r="B11798" s="4" t="s">
        <v>44</v>
      </c>
      <c r="C11798" s="38" t="s">
        <v>6617</v>
      </c>
      <c r="D11798" s="18">
        <v>2022</v>
      </c>
      <c r="E11798" s="18" t="s">
        <v>0</v>
      </c>
      <c r="F11798" s="41">
        <v>1</v>
      </c>
      <c r="G11798" s="4">
        <v>15</v>
      </c>
      <c r="H11798" s="18">
        <v>24.8</v>
      </c>
      <c r="I11798" s="90"/>
      <c r="J11798" s="90"/>
    </row>
    <row r="11799" spans="1:10" s="15" customFormat="1" ht="16.5" hidden="1" customHeight="1" outlineLevel="1" x14ac:dyDescent="0.25">
      <c r="A11799" s="18">
        <v>4591</v>
      </c>
      <c r="B11799" s="4" t="s">
        <v>44</v>
      </c>
      <c r="C11799" s="38" t="s">
        <v>6618</v>
      </c>
      <c r="D11799" s="18">
        <v>2022</v>
      </c>
      <c r="E11799" s="18" t="s">
        <v>0</v>
      </c>
      <c r="F11799" s="41">
        <v>1</v>
      </c>
      <c r="G11799" s="4">
        <v>15</v>
      </c>
      <c r="H11799" s="18">
        <v>24</v>
      </c>
      <c r="I11799" s="90"/>
      <c r="J11799" s="90"/>
    </row>
    <row r="11800" spans="1:10" s="15" customFormat="1" ht="16.5" hidden="1" customHeight="1" outlineLevel="1" x14ac:dyDescent="0.25">
      <c r="A11800" s="18">
        <v>4600</v>
      </c>
      <c r="B11800" s="4" t="s">
        <v>44</v>
      </c>
      <c r="C11800" s="38" t="s">
        <v>6619</v>
      </c>
      <c r="D11800" s="18">
        <v>2022</v>
      </c>
      <c r="E11800" s="18" t="s">
        <v>0</v>
      </c>
      <c r="F11800" s="41">
        <v>1</v>
      </c>
      <c r="G11800" s="4">
        <v>15</v>
      </c>
      <c r="H11800" s="18">
        <v>24.5</v>
      </c>
      <c r="I11800" s="90"/>
      <c r="J11800" s="90"/>
    </row>
    <row r="11801" spans="1:10" s="15" customFormat="1" ht="16.5" hidden="1" customHeight="1" outlineLevel="1" x14ac:dyDescent="0.25">
      <c r="A11801" s="18">
        <v>4701</v>
      </c>
      <c r="B11801" s="4" t="s">
        <v>44</v>
      </c>
      <c r="C11801" s="38" t="s">
        <v>2958</v>
      </c>
      <c r="D11801" s="18">
        <v>2022</v>
      </c>
      <c r="E11801" s="18" t="s">
        <v>0</v>
      </c>
      <c r="F11801" s="41">
        <v>1</v>
      </c>
      <c r="G11801" s="4">
        <v>15</v>
      </c>
      <c r="H11801" s="18">
        <v>58.8</v>
      </c>
      <c r="I11801" s="90"/>
      <c r="J11801" s="90"/>
    </row>
    <row r="11802" spans="1:10" s="15" customFormat="1" ht="16.5" hidden="1" customHeight="1" outlineLevel="1" x14ac:dyDescent="0.25">
      <c r="A11802" s="18">
        <v>4707</v>
      </c>
      <c r="B11802" s="4" t="s">
        <v>44</v>
      </c>
      <c r="C11802" s="38" t="s">
        <v>6620</v>
      </c>
      <c r="D11802" s="18">
        <v>2022</v>
      </c>
      <c r="E11802" s="18" t="s">
        <v>0</v>
      </c>
      <c r="F11802" s="41">
        <v>1</v>
      </c>
      <c r="G11802" s="4">
        <v>14</v>
      </c>
      <c r="H11802" s="18">
        <v>27.400000000000002</v>
      </c>
      <c r="I11802" s="90"/>
      <c r="J11802" s="90"/>
    </row>
    <row r="11803" spans="1:10" s="15" customFormat="1" ht="16.5" hidden="1" customHeight="1" outlineLevel="1" x14ac:dyDescent="0.25">
      <c r="A11803" s="18">
        <v>4708</v>
      </c>
      <c r="B11803" s="4" t="s">
        <v>44</v>
      </c>
      <c r="C11803" s="38" t="s">
        <v>6621</v>
      </c>
      <c r="D11803" s="18">
        <v>2022</v>
      </c>
      <c r="E11803" s="18" t="s">
        <v>0</v>
      </c>
      <c r="F11803" s="41">
        <v>1</v>
      </c>
      <c r="G11803" s="4">
        <v>14</v>
      </c>
      <c r="H11803" s="18">
        <v>27.400000000000002</v>
      </c>
      <c r="I11803" s="90"/>
      <c r="J11803" s="90"/>
    </row>
    <row r="11804" spans="1:10" s="15" customFormat="1" ht="16.5" hidden="1" customHeight="1" outlineLevel="1" x14ac:dyDescent="0.25">
      <c r="A11804" s="18">
        <v>4802</v>
      </c>
      <c r="B11804" s="4" t="s">
        <v>44</v>
      </c>
      <c r="C11804" s="38" t="s">
        <v>6622</v>
      </c>
      <c r="D11804" s="18">
        <v>2022</v>
      </c>
      <c r="E11804" s="18" t="s">
        <v>0</v>
      </c>
      <c r="F11804" s="41">
        <v>1</v>
      </c>
      <c r="G11804" s="4">
        <v>15</v>
      </c>
      <c r="H11804" s="18">
        <v>27.2</v>
      </c>
      <c r="I11804" s="90"/>
      <c r="J11804" s="90"/>
    </row>
    <row r="11805" spans="1:10" s="15" customFormat="1" ht="16.5" hidden="1" customHeight="1" outlineLevel="1" x14ac:dyDescent="0.25">
      <c r="A11805" s="18">
        <v>4803</v>
      </c>
      <c r="B11805" s="4" t="s">
        <v>44</v>
      </c>
      <c r="C11805" s="38" t="s">
        <v>6623</v>
      </c>
      <c r="D11805" s="18">
        <v>2022</v>
      </c>
      <c r="E11805" s="18" t="s">
        <v>0</v>
      </c>
      <c r="F11805" s="41">
        <v>1</v>
      </c>
      <c r="G11805" s="4">
        <v>15</v>
      </c>
      <c r="H11805" s="18">
        <v>28.2</v>
      </c>
      <c r="I11805" s="90"/>
      <c r="J11805" s="90"/>
    </row>
    <row r="11806" spans="1:10" s="15" customFormat="1" ht="16.5" hidden="1" customHeight="1" outlineLevel="1" x14ac:dyDescent="0.25">
      <c r="A11806" s="18">
        <v>4804</v>
      </c>
      <c r="B11806" s="4" t="s">
        <v>44</v>
      </c>
      <c r="C11806" s="38" t="s">
        <v>6624</v>
      </c>
      <c r="D11806" s="18">
        <v>2022</v>
      </c>
      <c r="E11806" s="18" t="s">
        <v>0</v>
      </c>
      <c r="F11806" s="41">
        <v>1</v>
      </c>
      <c r="G11806" s="4">
        <v>15</v>
      </c>
      <c r="H11806" s="18">
        <v>28.400000000000002</v>
      </c>
      <c r="I11806" s="90"/>
      <c r="J11806" s="90"/>
    </row>
    <row r="11807" spans="1:10" s="15" customFormat="1" ht="16.5" hidden="1" customHeight="1" outlineLevel="1" x14ac:dyDescent="0.25">
      <c r="A11807" s="18">
        <v>4806</v>
      </c>
      <c r="B11807" s="4" t="s">
        <v>44</v>
      </c>
      <c r="C11807" s="38" t="s">
        <v>6625</v>
      </c>
      <c r="D11807" s="18">
        <v>2022</v>
      </c>
      <c r="E11807" s="18" t="s">
        <v>0</v>
      </c>
      <c r="F11807" s="41">
        <v>1</v>
      </c>
      <c r="G11807" s="4">
        <v>14</v>
      </c>
      <c r="H11807" s="18">
        <v>28.400000000000002</v>
      </c>
      <c r="I11807" s="90"/>
      <c r="J11807" s="90"/>
    </row>
    <row r="11808" spans="1:10" s="15" customFormat="1" ht="16.5" hidden="1" customHeight="1" outlineLevel="1" x14ac:dyDescent="0.25">
      <c r="A11808" s="18">
        <v>4807</v>
      </c>
      <c r="B11808" s="4" t="s">
        <v>44</v>
      </c>
      <c r="C11808" s="38" t="s">
        <v>6626</v>
      </c>
      <c r="D11808" s="18">
        <v>2022</v>
      </c>
      <c r="E11808" s="18" t="s">
        <v>0</v>
      </c>
      <c r="F11808" s="41">
        <v>1</v>
      </c>
      <c r="G11808" s="4">
        <v>14</v>
      </c>
      <c r="H11808" s="18">
        <v>27.799999999999997</v>
      </c>
      <c r="I11808" s="90"/>
      <c r="J11808" s="90"/>
    </row>
    <row r="11809" spans="1:10" s="15" customFormat="1" ht="16.5" hidden="1" customHeight="1" outlineLevel="1" x14ac:dyDescent="0.25">
      <c r="A11809" s="18">
        <v>4808</v>
      </c>
      <c r="B11809" s="4" t="s">
        <v>44</v>
      </c>
      <c r="C11809" s="38" t="s">
        <v>6627</v>
      </c>
      <c r="D11809" s="18">
        <v>2022</v>
      </c>
      <c r="E11809" s="18" t="s">
        <v>0</v>
      </c>
      <c r="F11809" s="41">
        <v>1</v>
      </c>
      <c r="G11809" s="4">
        <v>14</v>
      </c>
      <c r="H11809" s="18">
        <v>28.400000000000002</v>
      </c>
      <c r="I11809" s="90"/>
      <c r="J11809" s="90"/>
    </row>
    <row r="11810" spans="1:10" s="15" customFormat="1" ht="16.5" hidden="1" customHeight="1" outlineLevel="1" x14ac:dyDescent="0.25">
      <c r="A11810" s="18">
        <v>4833</v>
      </c>
      <c r="B11810" s="4" t="s">
        <v>44</v>
      </c>
      <c r="C11810" s="38" t="s">
        <v>2959</v>
      </c>
      <c r="D11810" s="18">
        <v>2022</v>
      </c>
      <c r="E11810" s="18" t="s">
        <v>0</v>
      </c>
      <c r="F11810" s="41">
        <v>1</v>
      </c>
      <c r="G11810" s="4">
        <v>10</v>
      </c>
      <c r="H11810" s="18">
        <v>63.4</v>
      </c>
      <c r="I11810" s="90"/>
      <c r="J11810" s="90"/>
    </row>
    <row r="11811" spans="1:10" s="15" customFormat="1" ht="16.5" hidden="1" customHeight="1" outlineLevel="1" x14ac:dyDescent="0.25">
      <c r="A11811" s="18">
        <v>4834</v>
      </c>
      <c r="B11811" s="4" t="s">
        <v>44</v>
      </c>
      <c r="C11811" s="38" t="s">
        <v>2960</v>
      </c>
      <c r="D11811" s="18">
        <v>2022</v>
      </c>
      <c r="E11811" s="18" t="s">
        <v>0</v>
      </c>
      <c r="F11811" s="41">
        <v>1</v>
      </c>
      <c r="G11811" s="4">
        <v>15</v>
      </c>
      <c r="H11811" s="18">
        <v>64</v>
      </c>
      <c r="I11811" s="90"/>
      <c r="J11811" s="90"/>
    </row>
    <row r="11812" spans="1:10" s="15" customFormat="1" ht="16.5" hidden="1" customHeight="1" outlineLevel="1" x14ac:dyDescent="0.25">
      <c r="A11812" s="18">
        <v>4630</v>
      </c>
      <c r="B11812" s="4" t="s">
        <v>44</v>
      </c>
      <c r="C11812" s="38" t="s">
        <v>6628</v>
      </c>
      <c r="D11812" s="18">
        <v>2022</v>
      </c>
      <c r="E11812" s="18" t="s">
        <v>0</v>
      </c>
      <c r="F11812" s="41">
        <v>1</v>
      </c>
      <c r="G11812" s="4">
        <v>10</v>
      </c>
      <c r="H11812" s="18">
        <v>26.200000000000003</v>
      </c>
      <c r="I11812" s="90"/>
      <c r="J11812" s="90"/>
    </row>
    <row r="11813" spans="1:10" s="15" customFormat="1" ht="16.5" hidden="1" customHeight="1" outlineLevel="1" x14ac:dyDescent="0.25">
      <c r="A11813" s="18">
        <v>4632</v>
      </c>
      <c r="B11813" s="4" t="s">
        <v>44</v>
      </c>
      <c r="C11813" s="38" t="s">
        <v>6629</v>
      </c>
      <c r="D11813" s="18">
        <v>2022</v>
      </c>
      <c r="E11813" s="18" t="s">
        <v>0</v>
      </c>
      <c r="F11813" s="41">
        <v>1</v>
      </c>
      <c r="G11813" s="4">
        <v>15</v>
      </c>
      <c r="H11813" s="18">
        <v>28.1</v>
      </c>
      <c r="I11813" s="90"/>
      <c r="J11813" s="90"/>
    </row>
    <row r="11814" spans="1:10" s="15" customFormat="1" ht="16.5" hidden="1" customHeight="1" outlineLevel="1" x14ac:dyDescent="0.25">
      <c r="A11814" s="18">
        <v>4633</v>
      </c>
      <c r="B11814" s="4" t="s">
        <v>44</v>
      </c>
      <c r="C11814" s="38" t="s">
        <v>6630</v>
      </c>
      <c r="D11814" s="18">
        <v>2022</v>
      </c>
      <c r="E11814" s="18" t="s">
        <v>0</v>
      </c>
      <c r="F11814" s="41">
        <v>1</v>
      </c>
      <c r="G11814" s="4">
        <v>15</v>
      </c>
      <c r="H11814" s="18">
        <v>36.299999999999997</v>
      </c>
      <c r="I11814" s="90"/>
      <c r="J11814" s="90"/>
    </row>
    <row r="11815" spans="1:10" s="15" customFormat="1" ht="16.5" hidden="1" customHeight="1" outlineLevel="1" x14ac:dyDescent="0.25">
      <c r="A11815" s="18">
        <v>4635</v>
      </c>
      <c r="B11815" s="4" t="s">
        <v>44</v>
      </c>
      <c r="C11815" s="38" t="s">
        <v>6631</v>
      </c>
      <c r="D11815" s="18">
        <v>2022</v>
      </c>
      <c r="E11815" s="18" t="s">
        <v>0</v>
      </c>
      <c r="F11815" s="41">
        <v>1</v>
      </c>
      <c r="G11815" s="4">
        <v>10</v>
      </c>
      <c r="H11815" s="18">
        <v>26</v>
      </c>
      <c r="I11815" s="90"/>
      <c r="J11815" s="90"/>
    </row>
    <row r="11816" spans="1:10" s="15" customFormat="1" ht="16.5" hidden="1" customHeight="1" outlineLevel="1" x14ac:dyDescent="0.25">
      <c r="A11816" s="18">
        <v>4638</v>
      </c>
      <c r="B11816" s="4" t="s">
        <v>44</v>
      </c>
      <c r="C11816" s="38" t="s">
        <v>6632</v>
      </c>
      <c r="D11816" s="18">
        <v>2022</v>
      </c>
      <c r="E11816" s="18" t="s">
        <v>0</v>
      </c>
      <c r="F11816" s="41">
        <v>1</v>
      </c>
      <c r="G11816" s="4">
        <v>10</v>
      </c>
      <c r="H11816" s="18">
        <v>25</v>
      </c>
      <c r="I11816" s="90"/>
      <c r="J11816" s="90"/>
    </row>
    <row r="11817" spans="1:10" s="15" customFormat="1" ht="16.5" hidden="1" customHeight="1" outlineLevel="1" x14ac:dyDescent="0.25">
      <c r="A11817" s="18">
        <v>4656</v>
      </c>
      <c r="B11817" s="4" t="s">
        <v>44</v>
      </c>
      <c r="C11817" s="38" t="s">
        <v>6633</v>
      </c>
      <c r="D11817" s="18">
        <v>2022</v>
      </c>
      <c r="E11817" s="18" t="s">
        <v>0</v>
      </c>
      <c r="F11817" s="41">
        <v>1</v>
      </c>
      <c r="G11817" s="4">
        <v>10</v>
      </c>
      <c r="H11817" s="18">
        <v>41.099999999999994</v>
      </c>
      <c r="I11817" s="90"/>
      <c r="J11817" s="90"/>
    </row>
    <row r="11818" spans="1:10" s="15" customFormat="1" ht="16.5" hidden="1" customHeight="1" outlineLevel="1" x14ac:dyDescent="0.25">
      <c r="A11818" s="18">
        <v>4657</v>
      </c>
      <c r="B11818" s="4" t="s">
        <v>44</v>
      </c>
      <c r="C11818" s="38" t="s">
        <v>6634</v>
      </c>
      <c r="D11818" s="18">
        <v>2022</v>
      </c>
      <c r="E11818" s="18" t="s">
        <v>0</v>
      </c>
      <c r="F11818" s="41">
        <v>1</v>
      </c>
      <c r="G11818" s="4">
        <v>10</v>
      </c>
      <c r="H11818" s="18">
        <v>46</v>
      </c>
      <c r="I11818" s="90"/>
      <c r="J11818" s="90"/>
    </row>
    <row r="11819" spans="1:10" s="15" customFormat="1" ht="16.5" hidden="1" customHeight="1" outlineLevel="1" x14ac:dyDescent="0.25">
      <c r="A11819" s="18">
        <v>4706</v>
      </c>
      <c r="B11819" s="4" t="s">
        <v>44</v>
      </c>
      <c r="C11819" s="38" t="s">
        <v>6635</v>
      </c>
      <c r="D11819" s="18">
        <v>2022</v>
      </c>
      <c r="E11819" s="18" t="s">
        <v>0</v>
      </c>
      <c r="F11819" s="41">
        <v>1</v>
      </c>
      <c r="G11819" s="4">
        <v>15</v>
      </c>
      <c r="H11819" s="18">
        <v>29.8</v>
      </c>
      <c r="I11819" s="90"/>
      <c r="J11819" s="90"/>
    </row>
    <row r="11820" spans="1:10" s="15" customFormat="1" ht="16.5" hidden="1" customHeight="1" outlineLevel="1" x14ac:dyDescent="0.25">
      <c r="A11820" s="18">
        <v>4713</v>
      </c>
      <c r="B11820" s="4" t="s">
        <v>44</v>
      </c>
      <c r="C11820" s="38" t="s">
        <v>6636</v>
      </c>
      <c r="D11820" s="18">
        <v>2022</v>
      </c>
      <c r="E11820" s="18" t="s">
        <v>0</v>
      </c>
      <c r="F11820" s="41">
        <v>1</v>
      </c>
      <c r="G11820" s="4">
        <v>10</v>
      </c>
      <c r="H11820" s="18">
        <v>29.23</v>
      </c>
      <c r="I11820" s="90"/>
      <c r="J11820" s="90"/>
    </row>
    <row r="11821" spans="1:10" s="15" customFormat="1" ht="16.5" hidden="1" customHeight="1" outlineLevel="1" x14ac:dyDescent="0.25">
      <c r="A11821" s="18">
        <v>4740</v>
      </c>
      <c r="B11821" s="4" t="s">
        <v>44</v>
      </c>
      <c r="C11821" s="38" t="s">
        <v>6637</v>
      </c>
      <c r="D11821" s="18">
        <v>2022</v>
      </c>
      <c r="E11821" s="18" t="s">
        <v>0</v>
      </c>
      <c r="F11821" s="41">
        <v>1</v>
      </c>
      <c r="G11821" s="4">
        <v>15</v>
      </c>
      <c r="H11821" s="18">
        <v>27</v>
      </c>
      <c r="I11821" s="90"/>
      <c r="J11821" s="90"/>
    </row>
    <row r="11822" spans="1:10" s="15" customFormat="1" ht="16.5" hidden="1" customHeight="1" outlineLevel="1" x14ac:dyDescent="0.25">
      <c r="A11822" s="18">
        <v>4759</v>
      </c>
      <c r="B11822" s="4" t="s">
        <v>44</v>
      </c>
      <c r="C11822" s="38" t="s">
        <v>6638</v>
      </c>
      <c r="D11822" s="18">
        <v>2022</v>
      </c>
      <c r="E11822" s="18" t="s">
        <v>0</v>
      </c>
      <c r="F11822" s="41">
        <v>1</v>
      </c>
      <c r="G11822" s="4">
        <v>15</v>
      </c>
      <c r="H11822" s="18">
        <v>27.7</v>
      </c>
      <c r="I11822" s="90"/>
      <c r="J11822" s="90"/>
    </row>
    <row r="11823" spans="1:10" s="15" customFormat="1" ht="16.5" hidden="1" customHeight="1" outlineLevel="1" x14ac:dyDescent="0.25">
      <c r="A11823" s="18">
        <v>4760</v>
      </c>
      <c r="B11823" s="4" t="s">
        <v>44</v>
      </c>
      <c r="C11823" s="38" t="s">
        <v>6639</v>
      </c>
      <c r="D11823" s="18">
        <v>2022</v>
      </c>
      <c r="E11823" s="18" t="s">
        <v>0</v>
      </c>
      <c r="F11823" s="41">
        <v>1</v>
      </c>
      <c r="G11823" s="4">
        <v>11.8</v>
      </c>
      <c r="H11823" s="18">
        <v>27.619999999999997</v>
      </c>
      <c r="I11823" s="90"/>
      <c r="J11823" s="90"/>
    </row>
    <row r="11824" spans="1:10" s="15" customFormat="1" ht="16.5" hidden="1" customHeight="1" outlineLevel="1" x14ac:dyDescent="0.25">
      <c r="A11824" s="18">
        <v>4784</v>
      </c>
      <c r="B11824" s="4" t="s">
        <v>44</v>
      </c>
      <c r="C11824" s="38" t="s">
        <v>6640</v>
      </c>
      <c r="D11824" s="18">
        <v>2022</v>
      </c>
      <c r="E11824" s="18" t="s">
        <v>0</v>
      </c>
      <c r="F11824" s="41">
        <v>1</v>
      </c>
      <c r="G11824" s="4">
        <v>10</v>
      </c>
      <c r="H11824" s="18">
        <v>27.099999999999998</v>
      </c>
      <c r="I11824" s="90"/>
      <c r="J11824" s="90"/>
    </row>
    <row r="11825" spans="1:10" s="15" customFormat="1" ht="16.5" hidden="1" customHeight="1" outlineLevel="1" x14ac:dyDescent="0.25">
      <c r="A11825" s="18">
        <v>4788</v>
      </c>
      <c r="B11825" s="4" t="s">
        <v>44</v>
      </c>
      <c r="C11825" s="38" t="s">
        <v>6641</v>
      </c>
      <c r="D11825" s="18">
        <v>2022</v>
      </c>
      <c r="E11825" s="18" t="s">
        <v>0</v>
      </c>
      <c r="F11825" s="41">
        <v>1</v>
      </c>
      <c r="G11825" s="4">
        <v>15</v>
      </c>
      <c r="H11825" s="18">
        <v>26.200000000000003</v>
      </c>
      <c r="I11825" s="90"/>
      <c r="J11825" s="90"/>
    </row>
    <row r="11826" spans="1:10" s="15" customFormat="1" ht="16.5" hidden="1" customHeight="1" outlineLevel="1" x14ac:dyDescent="0.25">
      <c r="A11826" s="18">
        <v>4809</v>
      </c>
      <c r="B11826" s="4" t="s">
        <v>44</v>
      </c>
      <c r="C11826" s="38" t="s">
        <v>6642</v>
      </c>
      <c r="D11826" s="18">
        <v>2022</v>
      </c>
      <c r="E11826" s="18" t="s">
        <v>0</v>
      </c>
      <c r="F11826" s="41">
        <v>1</v>
      </c>
      <c r="G11826" s="4">
        <v>14</v>
      </c>
      <c r="H11826" s="18">
        <v>27</v>
      </c>
      <c r="I11826" s="90"/>
      <c r="J11826" s="90"/>
    </row>
    <row r="11827" spans="1:10" s="15" customFormat="1" ht="16.5" hidden="1" customHeight="1" outlineLevel="1" x14ac:dyDescent="0.25">
      <c r="A11827" s="18">
        <v>4824</v>
      </c>
      <c r="B11827" s="4" t="s">
        <v>44</v>
      </c>
      <c r="C11827" s="38" t="s">
        <v>6643</v>
      </c>
      <c r="D11827" s="18">
        <v>2022</v>
      </c>
      <c r="E11827" s="18" t="s">
        <v>0</v>
      </c>
      <c r="F11827" s="41">
        <v>1</v>
      </c>
      <c r="G11827" s="4">
        <v>15</v>
      </c>
      <c r="H11827" s="18">
        <v>26.98</v>
      </c>
      <c r="I11827" s="90"/>
      <c r="J11827" s="90"/>
    </row>
    <row r="11828" spans="1:10" s="15" customFormat="1" ht="16.5" hidden="1" customHeight="1" outlineLevel="1" x14ac:dyDescent="0.25">
      <c r="A11828" s="18">
        <v>4915</v>
      </c>
      <c r="B11828" s="4" t="s">
        <v>44</v>
      </c>
      <c r="C11828" s="38" t="s">
        <v>2961</v>
      </c>
      <c r="D11828" s="18">
        <v>2022</v>
      </c>
      <c r="E11828" s="18" t="s">
        <v>0</v>
      </c>
      <c r="F11828" s="41">
        <v>1</v>
      </c>
      <c r="G11828" s="4">
        <v>15</v>
      </c>
      <c r="H11828" s="18">
        <v>81.199999999999989</v>
      </c>
      <c r="I11828" s="90"/>
      <c r="J11828" s="90"/>
    </row>
    <row r="11829" spans="1:10" s="15" customFormat="1" ht="16.5" hidden="1" customHeight="1" outlineLevel="1" x14ac:dyDescent="0.25">
      <c r="A11829" s="18">
        <v>4820</v>
      </c>
      <c r="B11829" s="4" t="s">
        <v>44</v>
      </c>
      <c r="C11829" s="38" t="s">
        <v>6644</v>
      </c>
      <c r="D11829" s="18">
        <v>2022</v>
      </c>
      <c r="E11829" s="18" t="s">
        <v>0</v>
      </c>
      <c r="F11829" s="41">
        <v>1</v>
      </c>
      <c r="G11829" s="4">
        <v>15</v>
      </c>
      <c r="H11829" s="18">
        <v>25.07</v>
      </c>
      <c r="I11829" s="90"/>
      <c r="J11829" s="90"/>
    </row>
    <row r="11830" spans="1:10" s="15" customFormat="1" ht="16.5" hidden="1" customHeight="1" outlineLevel="1" x14ac:dyDescent="0.25">
      <c r="A11830" s="18">
        <v>4826</v>
      </c>
      <c r="B11830" s="4" t="s">
        <v>44</v>
      </c>
      <c r="C11830" s="38" t="s">
        <v>3011</v>
      </c>
      <c r="D11830" s="18">
        <v>2022</v>
      </c>
      <c r="E11830" s="18" t="s">
        <v>0</v>
      </c>
      <c r="F11830" s="41">
        <v>5</v>
      </c>
      <c r="G11830" s="4">
        <v>55</v>
      </c>
      <c r="H11830" s="18">
        <v>287.2</v>
      </c>
      <c r="I11830" s="90"/>
      <c r="J11830" s="90"/>
    </row>
    <row r="11831" spans="1:10" s="15" customFormat="1" ht="16.5" hidden="1" customHeight="1" outlineLevel="1" x14ac:dyDescent="0.25">
      <c r="A11831" s="18">
        <v>4912</v>
      </c>
      <c r="B11831" s="4" t="s">
        <v>44</v>
      </c>
      <c r="C11831" s="38" t="s">
        <v>6645</v>
      </c>
      <c r="D11831" s="18">
        <v>2022</v>
      </c>
      <c r="E11831" s="18" t="s">
        <v>0</v>
      </c>
      <c r="F11831" s="41">
        <v>1</v>
      </c>
      <c r="G11831" s="4">
        <v>5</v>
      </c>
      <c r="H11831" s="18">
        <v>29.47</v>
      </c>
      <c r="I11831" s="90"/>
      <c r="J11831" s="90"/>
    </row>
    <row r="11832" spans="1:10" s="15" customFormat="1" ht="16.5" hidden="1" customHeight="1" outlineLevel="1" x14ac:dyDescent="0.25">
      <c r="A11832" s="18">
        <v>4751</v>
      </c>
      <c r="B11832" s="4" t="s">
        <v>44</v>
      </c>
      <c r="C11832" s="38" t="s">
        <v>6646</v>
      </c>
      <c r="D11832" s="18">
        <v>2022</v>
      </c>
      <c r="E11832" s="18" t="s">
        <v>0</v>
      </c>
      <c r="F11832" s="41">
        <v>1</v>
      </c>
      <c r="G11832" s="4">
        <v>15</v>
      </c>
      <c r="H11832" s="18">
        <v>28.97</v>
      </c>
      <c r="I11832" s="90"/>
      <c r="J11832" s="90"/>
    </row>
    <row r="11833" spans="1:10" s="15" customFormat="1" ht="16.5" hidden="1" customHeight="1" outlineLevel="1" x14ac:dyDescent="0.25">
      <c r="A11833" s="18">
        <v>4752</v>
      </c>
      <c r="B11833" s="4" t="s">
        <v>44</v>
      </c>
      <c r="C11833" s="38" t="s">
        <v>6647</v>
      </c>
      <c r="D11833" s="18">
        <v>2022</v>
      </c>
      <c r="E11833" s="18" t="s">
        <v>0</v>
      </c>
      <c r="F11833" s="41">
        <v>1</v>
      </c>
      <c r="G11833" s="4">
        <v>15</v>
      </c>
      <c r="H11833" s="18">
        <v>29.04</v>
      </c>
      <c r="I11833" s="90"/>
      <c r="J11833" s="90"/>
    </row>
    <row r="11834" spans="1:10" s="15" customFormat="1" ht="16.5" hidden="1" customHeight="1" outlineLevel="1" x14ac:dyDescent="0.25">
      <c r="A11834" s="18">
        <v>4753</v>
      </c>
      <c r="B11834" s="4" t="s">
        <v>44</v>
      </c>
      <c r="C11834" s="38" t="s">
        <v>6648</v>
      </c>
      <c r="D11834" s="18">
        <v>2022</v>
      </c>
      <c r="E11834" s="18" t="s">
        <v>0</v>
      </c>
      <c r="F11834" s="41">
        <v>1</v>
      </c>
      <c r="G11834" s="4">
        <v>150</v>
      </c>
      <c r="H11834" s="18">
        <v>29.5</v>
      </c>
      <c r="I11834" s="90"/>
      <c r="J11834" s="90"/>
    </row>
    <row r="11835" spans="1:10" s="15" customFormat="1" ht="16.5" hidden="1" customHeight="1" outlineLevel="1" x14ac:dyDescent="0.25">
      <c r="A11835" s="18">
        <v>4756</v>
      </c>
      <c r="B11835" s="4" t="s">
        <v>44</v>
      </c>
      <c r="C11835" s="38" t="s">
        <v>6649</v>
      </c>
      <c r="D11835" s="18">
        <v>2022</v>
      </c>
      <c r="E11835" s="18" t="s">
        <v>0</v>
      </c>
      <c r="F11835" s="41">
        <v>1</v>
      </c>
      <c r="G11835" s="4">
        <v>15</v>
      </c>
      <c r="H11835" s="18">
        <v>29.4</v>
      </c>
      <c r="I11835" s="90"/>
      <c r="J11835" s="90"/>
    </row>
    <row r="11836" spans="1:10" s="15" customFormat="1" ht="16.5" hidden="1" customHeight="1" outlineLevel="1" x14ac:dyDescent="0.25">
      <c r="A11836" s="18">
        <v>4758</v>
      </c>
      <c r="B11836" s="4" t="s">
        <v>44</v>
      </c>
      <c r="C11836" s="38" t="s">
        <v>6650</v>
      </c>
      <c r="D11836" s="18">
        <v>2022</v>
      </c>
      <c r="E11836" s="18" t="s">
        <v>0</v>
      </c>
      <c r="F11836" s="41">
        <v>1</v>
      </c>
      <c r="G11836" s="4">
        <v>15</v>
      </c>
      <c r="H11836" s="18">
        <v>28.97</v>
      </c>
      <c r="I11836" s="90"/>
      <c r="J11836" s="90"/>
    </row>
    <row r="11837" spans="1:10" s="15" customFormat="1" ht="16.5" hidden="1" customHeight="1" outlineLevel="1" x14ac:dyDescent="0.25">
      <c r="A11837" s="18">
        <v>4593</v>
      </c>
      <c r="B11837" s="4" t="s">
        <v>44</v>
      </c>
      <c r="C11837" s="38" t="s">
        <v>6651</v>
      </c>
      <c r="D11837" s="18">
        <v>2022</v>
      </c>
      <c r="E11837" s="18" t="s">
        <v>0</v>
      </c>
      <c r="F11837" s="41">
        <v>1</v>
      </c>
      <c r="G11837" s="4">
        <v>10</v>
      </c>
      <c r="H11837" s="18">
        <v>25.38</v>
      </c>
      <c r="I11837" s="90"/>
      <c r="J11837" s="90"/>
    </row>
    <row r="11838" spans="1:10" s="15" customFormat="1" ht="16.5" hidden="1" customHeight="1" outlineLevel="1" x14ac:dyDescent="0.25">
      <c r="A11838" s="18">
        <v>4628</v>
      </c>
      <c r="B11838" s="4" t="s">
        <v>44</v>
      </c>
      <c r="C11838" s="38" t="s">
        <v>6652</v>
      </c>
      <c r="D11838" s="18">
        <v>2022</v>
      </c>
      <c r="E11838" s="18" t="s">
        <v>0</v>
      </c>
      <c r="F11838" s="41">
        <v>1</v>
      </c>
      <c r="G11838" s="4">
        <v>10</v>
      </c>
      <c r="H11838" s="18">
        <v>31.150000000000002</v>
      </c>
      <c r="I11838" s="90"/>
      <c r="J11838" s="90"/>
    </row>
    <row r="11839" spans="1:10" s="15" customFormat="1" ht="16.5" hidden="1" customHeight="1" outlineLevel="1" x14ac:dyDescent="0.25">
      <c r="A11839" s="18">
        <v>4684</v>
      </c>
      <c r="B11839" s="4" t="s">
        <v>44</v>
      </c>
      <c r="C11839" s="38" t="s">
        <v>6653</v>
      </c>
      <c r="D11839" s="18">
        <v>2022</v>
      </c>
      <c r="E11839" s="18" t="s">
        <v>0</v>
      </c>
      <c r="F11839" s="41">
        <v>1</v>
      </c>
      <c r="G11839" s="4">
        <v>10</v>
      </c>
      <c r="H11839" s="18">
        <v>30.439999999999998</v>
      </c>
      <c r="I11839" s="90"/>
      <c r="J11839" s="90"/>
    </row>
    <row r="11840" spans="1:10" s="15" customFormat="1" ht="16.5" hidden="1" customHeight="1" outlineLevel="1" x14ac:dyDescent="0.25">
      <c r="A11840" s="18">
        <v>4688</v>
      </c>
      <c r="B11840" s="4" t="s">
        <v>44</v>
      </c>
      <c r="C11840" s="38" t="s">
        <v>6654</v>
      </c>
      <c r="D11840" s="18">
        <v>2022</v>
      </c>
      <c r="E11840" s="18" t="s">
        <v>0</v>
      </c>
      <c r="F11840" s="41">
        <v>1</v>
      </c>
      <c r="G11840" s="4">
        <v>10</v>
      </c>
      <c r="H11840" s="18">
        <v>30.43</v>
      </c>
      <c r="I11840" s="90"/>
      <c r="J11840" s="90"/>
    </row>
    <row r="11841" spans="1:10" s="15" customFormat="1" ht="16.5" hidden="1" customHeight="1" outlineLevel="1" x14ac:dyDescent="0.25">
      <c r="A11841" s="18">
        <v>4721</v>
      </c>
      <c r="B11841" s="4" t="s">
        <v>44</v>
      </c>
      <c r="C11841" s="38" t="s">
        <v>6655</v>
      </c>
      <c r="D11841" s="18">
        <v>2022</v>
      </c>
      <c r="E11841" s="18" t="s">
        <v>0</v>
      </c>
      <c r="F11841" s="41">
        <v>1</v>
      </c>
      <c r="G11841" s="4">
        <v>10</v>
      </c>
      <c r="H11841" s="18">
        <v>24.819999999999997</v>
      </c>
      <c r="I11841" s="90"/>
      <c r="J11841" s="90"/>
    </row>
    <row r="11842" spans="1:10" s="15" customFormat="1" ht="16.5" hidden="1" customHeight="1" outlineLevel="1" x14ac:dyDescent="0.25">
      <c r="A11842" s="18">
        <v>4730</v>
      </c>
      <c r="B11842" s="4" t="s">
        <v>44</v>
      </c>
      <c r="C11842" s="38" t="s">
        <v>6656</v>
      </c>
      <c r="D11842" s="18">
        <v>2022</v>
      </c>
      <c r="E11842" s="18" t="s">
        <v>0</v>
      </c>
      <c r="F11842" s="41">
        <v>1</v>
      </c>
      <c r="G11842" s="4">
        <v>10</v>
      </c>
      <c r="H11842" s="18">
        <v>25.14</v>
      </c>
      <c r="I11842" s="90"/>
      <c r="J11842" s="90"/>
    </row>
    <row r="11843" spans="1:10" s="15" customFormat="1" ht="16.5" hidden="1" customHeight="1" outlineLevel="1" x14ac:dyDescent="0.25">
      <c r="A11843" s="18">
        <v>4732</v>
      </c>
      <c r="B11843" s="4" t="s">
        <v>44</v>
      </c>
      <c r="C11843" s="38" t="s">
        <v>6657</v>
      </c>
      <c r="D11843" s="18">
        <v>2022</v>
      </c>
      <c r="E11843" s="18" t="s">
        <v>0</v>
      </c>
      <c r="F11843" s="41">
        <v>1</v>
      </c>
      <c r="G11843" s="4">
        <v>15</v>
      </c>
      <c r="H11843" s="18">
        <v>24.580000000000002</v>
      </c>
      <c r="I11843" s="90"/>
      <c r="J11843" s="90"/>
    </row>
    <row r="11844" spans="1:10" s="15" customFormat="1" ht="16.5" hidden="1" customHeight="1" outlineLevel="1" x14ac:dyDescent="0.25">
      <c r="A11844" s="18">
        <v>4734</v>
      </c>
      <c r="B11844" s="4" t="s">
        <v>44</v>
      </c>
      <c r="C11844" s="38" t="s">
        <v>6658</v>
      </c>
      <c r="D11844" s="18">
        <v>2022</v>
      </c>
      <c r="E11844" s="18" t="s">
        <v>0</v>
      </c>
      <c r="F11844" s="41">
        <v>1</v>
      </c>
      <c r="G11844" s="4">
        <v>12</v>
      </c>
      <c r="H11844" s="18">
        <v>24.98</v>
      </c>
      <c r="I11844" s="90"/>
      <c r="J11844" s="90"/>
    </row>
    <row r="11845" spans="1:10" s="15" customFormat="1" ht="16.5" hidden="1" customHeight="1" outlineLevel="1" x14ac:dyDescent="0.25">
      <c r="A11845" s="18">
        <v>4747</v>
      </c>
      <c r="B11845" s="4" t="s">
        <v>44</v>
      </c>
      <c r="C11845" s="38" t="s">
        <v>2962</v>
      </c>
      <c r="D11845" s="18">
        <v>2022</v>
      </c>
      <c r="E11845" s="18" t="s">
        <v>0</v>
      </c>
      <c r="F11845" s="41">
        <v>1</v>
      </c>
      <c r="G11845" s="4">
        <v>15</v>
      </c>
      <c r="H11845" s="18">
        <v>38</v>
      </c>
      <c r="I11845" s="90"/>
      <c r="J11845" s="90"/>
    </row>
    <row r="11846" spans="1:10" s="15" customFormat="1" ht="16.5" hidden="1" customHeight="1" outlineLevel="1" x14ac:dyDescent="0.25">
      <c r="A11846" s="18">
        <v>4754</v>
      </c>
      <c r="B11846" s="4" t="s">
        <v>44</v>
      </c>
      <c r="C11846" s="38" t="s">
        <v>6659</v>
      </c>
      <c r="D11846" s="18">
        <v>2022</v>
      </c>
      <c r="E11846" s="18" t="s">
        <v>0</v>
      </c>
      <c r="F11846" s="41">
        <v>1</v>
      </c>
      <c r="G11846" s="4">
        <v>10</v>
      </c>
      <c r="H11846" s="18">
        <v>23.93</v>
      </c>
      <c r="I11846" s="90"/>
      <c r="J11846" s="90"/>
    </row>
    <row r="11847" spans="1:10" s="15" customFormat="1" ht="16.5" hidden="1" customHeight="1" outlineLevel="1" x14ac:dyDescent="0.25">
      <c r="A11847" s="18">
        <v>4755</v>
      </c>
      <c r="B11847" s="4" t="s">
        <v>44</v>
      </c>
      <c r="C11847" s="38" t="s">
        <v>6660</v>
      </c>
      <c r="D11847" s="18">
        <v>2022</v>
      </c>
      <c r="E11847" s="18" t="s">
        <v>0</v>
      </c>
      <c r="F11847" s="41">
        <v>1</v>
      </c>
      <c r="G11847" s="4">
        <v>10</v>
      </c>
      <c r="H11847" s="18">
        <v>25.06</v>
      </c>
      <c r="I11847" s="90"/>
      <c r="J11847" s="90"/>
    </row>
    <row r="11848" spans="1:10" s="15" customFormat="1" ht="16.5" hidden="1" customHeight="1" outlineLevel="1" x14ac:dyDescent="0.25">
      <c r="A11848" s="18">
        <v>4765</v>
      </c>
      <c r="B11848" s="4" t="s">
        <v>44</v>
      </c>
      <c r="C11848" s="38" t="s">
        <v>6661</v>
      </c>
      <c r="D11848" s="18">
        <v>2022</v>
      </c>
      <c r="E11848" s="18" t="s">
        <v>0</v>
      </c>
      <c r="F11848" s="41">
        <v>1</v>
      </c>
      <c r="G11848" s="4">
        <v>15</v>
      </c>
      <c r="H11848" s="18">
        <v>26</v>
      </c>
      <c r="I11848" s="90"/>
      <c r="J11848" s="90"/>
    </row>
    <row r="11849" spans="1:10" s="15" customFormat="1" ht="16.5" hidden="1" customHeight="1" outlineLevel="1" x14ac:dyDescent="0.25">
      <c r="A11849" s="18">
        <v>4766</v>
      </c>
      <c r="B11849" s="4" t="s">
        <v>44</v>
      </c>
      <c r="C11849" s="38" t="s">
        <v>6662</v>
      </c>
      <c r="D11849" s="18">
        <v>2022</v>
      </c>
      <c r="E11849" s="18" t="s">
        <v>0</v>
      </c>
      <c r="F11849" s="41">
        <v>1</v>
      </c>
      <c r="G11849" s="4">
        <v>15</v>
      </c>
      <c r="H11849" s="18">
        <v>25.17</v>
      </c>
      <c r="I11849" s="90"/>
      <c r="J11849" s="90"/>
    </row>
    <row r="11850" spans="1:10" s="15" customFormat="1" ht="16.5" hidden="1" customHeight="1" outlineLevel="1" x14ac:dyDescent="0.25">
      <c r="A11850" s="18">
        <v>4786</v>
      </c>
      <c r="B11850" s="4" t="s">
        <v>44</v>
      </c>
      <c r="C11850" s="38" t="s">
        <v>6663</v>
      </c>
      <c r="D11850" s="18">
        <v>2022</v>
      </c>
      <c r="E11850" s="18" t="s">
        <v>0</v>
      </c>
      <c r="F11850" s="41">
        <v>1</v>
      </c>
      <c r="G11850" s="4">
        <v>10</v>
      </c>
      <c r="H11850" s="18">
        <v>24.72</v>
      </c>
      <c r="I11850" s="90"/>
      <c r="J11850" s="90"/>
    </row>
    <row r="11851" spans="1:10" s="15" customFormat="1" ht="16.5" hidden="1" customHeight="1" outlineLevel="1" x14ac:dyDescent="0.25">
      <c r="A11851" s="18">
        <v>4789</v>
      </c>
      <c r="B11851" s="4" t="s">
        <v>44</v>
      </c>
      <c r="C11851" s="38" t="s">
        <v>6664</v>
      </c>
      <c r="D11851" s="18">
        <v>2022</v>
      </c>
      <c r="E11851" s="18" t="s">
        <v>0</v>
      </c>
      <c r="F11851" s="41">
        <v>1</v>
      </c>
      <c r="G11851" s="4">
        <v>10</v>
      </c>
      <c r="H11851" s="18">
        <v>25.077999999999999</v>
      </c>
      <c r="I11851" s="90"/>
      <c r="J11851" s="90"/>
    </row>
    <row r="11852" spans="1:10" s="15" customFormat="1" ht="16.5" hidden="1" customHeight="1" outlineLevel="1" x14ac:dyDescent="0.25">
      <c r="A11852" s="18">
        <v>4801</v>
      </c>
      <c r="B11852" s="4" t="s">
        <v>44</v>
      </c>
      <c r="C11852" s="38" t="s">
        <v>6665</v>
      </c>
      <c r="D11852" s="18">
        <v>2022</v>
      </c>
      <c r="E11852" s="18" t="s">
        <v>0</v>
      </c>
      <c r="F11852" s="41">
        <v>1</v>
      </c>
      <c r="G11852" s="4">
        <v>14</v>
      </c>
      <c r="H11852" s="18">
        <v>26.93</v>
      </c>
      <c r="I11852" s="90"/>
      <c r="J11852" s="90"/>
    </row>
    <row r="11853" spans="1:10" s="15" customFormat="1" ht="16.5" hidden="1" customHeight="1" outlineLevel="1" x14ac:dyDescent="0.25">
      <c r="A11853" s="18">
        <v>4805</v>
      </c>
      <c r="B11853" s="4" t="s">
        <v>44</v>
      </c>
      <c r="C11853" s="38" t="s">
        <v>6666</v>
      </c>
      <c r="D11853" s="18">
        <v>2022</v>
      </c>
      <c r="E11853" s="18" t="s">
        <v>0</v>
      </c>
      <c r="F11853" s="41">
        <v>1</v>
      </c>
      <c r="G11853" s="4">
        <v>14</v>
      </c>
      <c r="H11853" s="18">
        <v>25.4</v>
      </c>
      <c r="I11853" s="90"/>
      <c r="J11853" s="90"/>
    </row>
    <row r="11854" spans="1:10" s="15" customFormat="1" ht="16.5" hidden="1" customHeight="1" outlineLevel="1" x14ac:dyDescent="0.25">
      <c r="A11854" s="18">
        <v>4811</v>
      </c>
      <c r="B11854" s="4" t="s">
        <v>44</v>
      </c>
      <c r="C11854" s="38" t="s">
        <v>6667</v>
      </c>
      <c r="D11854" s="18">
        <v>2022</v>
      </c>
      <c r="E11854" s="18" t="s">
        <v>0</v>
      </c>
      <c r="F11854" s="41">
        <v>1</v>
      </c>
      <c r="G11854" s="4">
        <v>14</v>
      </c>
      <c r="H11854" s="18">
        <v>24.277000000000001</v>
      </c>
      <c r="I11854" s="90"/>
      <c r="J11854" s="90"/>
    </row>
    <row r="11855" spans="1:10" s="15" customFormat="1" ht="16.5" hidden="1" customHeight="1" outlineLevel="1" x14ac:dyDescent="0.25">
      <c r="A11855" s="18">
        <v>4812</v>
      </c>
      <c r="B11855" s="4" t="s">
        <v>44</v>
      </c>
      <c r="C11855" s="38" t="s">
        <v>6668</v>
      </c>
      <c r="D11855" s="18">
        <v>2022</v>
      </c>
      <c r="E11855" s="18" t="s">
        <v>0</v>
      </c>
      <c r="F11855" s="41">
        <v>1</v>
      </c>
      <c r="G11855" s="4">
        <v>14</v>
      </c>
      <c r="H11855" s="18">
        <v>24.155999999999999</v>
      </c>
      <c r="I11855" s="90"/>
      <c r="J11855" s="90"/>
    </row>
    <row r="11856" spans="1:10" s="15" customFormat="1" ht="16.5" hidden="1" customHeight="1" outlineLevel="1" x14ac:dyDescent="0.25">
      <c r="A11856" s="18">
        <v>4848</v>
      </c>
      <c r="B11856" s="4" t="s">
        <v>44</v>
      </c>
      <c r="C11856" s="38" t="s">
        <v>6669</v>
      </c>
      <c r="D11856" s="18">
        <v>2022</v>
      </c>
      <c r="E11856" s="18" t="s">
        <v>0</v>
      </c>
      <c r="F11856" s="41">
        <v>1</v>
      </c>
      <c r="G11856" s="4">
        <v>13</v>
      </c>
      <c r="H11856" s="18">
        <v>25.298999999999999</v>
      </c>
      <c r="I11856" s="90"/>
      <c r="J11856" s="90"/>
    </row>
    <row r="11857" spans="1:10" s="15" customFormat="1" ht="16.5" hidden="1" customHeight="1" outlineLevel="1" x14ac:dyDescent="0.25">
      <c r="A11857" s="18">
        <v>4909</v>
      </c>
      <c r="B11857" s="4" t="s">
        <v>44</v>
      </c>
      <c r="C11857" s="38" t="s">
        <v>6670</v>
      </c>
      <c r="D11857" s="18">
        <v>2022</v>
      </c>
      <c r="E11857" s="18" t="s">
        <v>0</v>
      </c>
      <c r="F11857" s="41">
        <v>1</v>
      </c>
      <c r="G11857" s="4">
        <v>15</v>
      </c>
      <c r="H11857" s="18">
        <v>18.105</v>
      </c>
      <c r="I11857" s="90"/>
      <c r="J11857" s="90"/>
    </row>
    <row r="11858" spans="1:10" s="15" customFormat="1" ht="16.5" hidden="1" customHeight="1" outlineLevel="1" x14ac:dyDescent="0.25">
      <c r="A11858" s="18">
        <v>4910</v>
      </c>
      <c r="B11858" s="4" t="s">
        <v>44</v>
      </c>
      <c r="C11858" s="38" t="s">
        <v>6671</v>
      </c>
      <c r="D11858" s="18">
        <v>2022</v>
      </c>
      <c r="E11858" s="18" t="s">
        <v>0</v>
      </c>
      <c r="F11858" s="41">
        <v>1</v>
      </c>
      <c r="G11858" s="4">
        <v>10</v>
      </c>
      <c r="H11858" s="18">
        <v>19.830000000000002</v>
      </c>
      <c r="I11858" s="90"/>
      <c r="J11858" s="90"/>
    </row>
    <row r="11859" spans="1:10" s="15" customFormat="1" ht="16.5" hidden="1" customHeight="1" outlineLevel="1" x14ac:dyDescent="0.25">
      <c r="A11859" s="18">
        <v>4647</v>
      </c>
      <c r="B11859" s="4" t="s">
        <v>44</v>
      </c>
      <c r="C11859" s="38" t="s">
        <v>6672</v>
      </c>
      <c r="D11859" s="18">
        <v>2022</v>
      </c>
      <c r="E11859" s="18" t="s">
        <v>0</v>
      </c>
      <c r="F11859" s="41">
        <v>1</v>
      </c>
      <c r="G11859" s="4">
        <v>10</v>
      </c>
      <c r="H11859" s="18">
        <v>34.35</v>
      </c>
      <c r="I11859" s="90"/>
      <c r="J11859" s="90"/>
    </row>
    <row r="11860" spans="1:10" s="15" customFormat="1" ht="16.5" hidden="1" customHeight="1" outlineLevel="1" x14ac:dyDescent="0.25">
      <c r="A11860" s="18">
        <v>4739</v>
      </c>
      <c r="B11860" s="4" t="s">
        <v>44</v>
      </c>
      <c r="C11860" s="38" t="s">
        <v>6673</v>
      </c>
      <c r="D11860" s="18">
        <v>2022</v>
      </c>
      <c r="E11860" s="18" t="s">
        <v>0</v>
      </c>
      <c r="F11860" s="41">
        <v>1</v>
      </c>
      <c r="G11860" s="4">
        <v>10</v>
      </c>
      <c r="H11860" s="18">
        <v>27.137999999999998</v>
      </c>
      <c r="I11860" s="90"/>
      <c r="J11860" s="90"/>
    </row>
    <row r="11861" spans="1:10" s="15" customFormat="1" ht="16.5" hidden="1" customHeight="1" outlineLevel="1" x14ac:dyDescent="0.25">
      <c r="A11861" s="18">
        <v>4819</v>
      </c>
      <c r="B11861" s="4" t="s">
        <v>44</v>
      </c>
      <c r="C11861" s="38" t="s">
        <v>6674</v>
      </c>
      <c r="D11861" s="18">
        <v>2022</v>
      </c>
      <c r="E11861" s="18" t="s">
        <v>0</v>
      </c>
      <c r="F11861" s="41">
        <v>1</v>
      </c>
      <c r="G11861" s="4">
        <v>10</v>
      </c>
      <c r="H11861" s="18">
        <v>33.601999999999997</v>
      </c>
      <c r="I11861" s="90"/>
      <c r="J11861" s="90"/>
    </row>
    <row r="11862" spans="1:10" s="15" customFormat="1" ht="16.5" hidden="1" customHeight="1" outlineLevel="1" x14ac:dyDescent="0.25">
      <c r="A11862" s="18">
        <v>4914</v>
      </c>
      <c r="B11862" s="4" t="s">
        <v>44</v>
      </c>
      <c r="C11862" s="38" t="s">
        <v>2963</v>
      </c>
      <c r="D11862" s="18">
        <v>2022</v>
      </c>
      <c r="E11862" s="18" t="s">
        <v>0</v>
      </c>
      <c r="F11862" s="41">
        <v>1</v>
      </c>
      <c r="G11862" s="4">
        <v>15</v>
      </c>
      <c r="H11862" s="18">
        <v>80</v>
      </c>
      <c r="I11862" s="90"/>
      <c r="J11862" s="90"/>
    </row>
    <row r="11863" spans="1:10" s="15" customFormat="1" ht="16.5" hidden="1" customHeight="1" outlineLevel="1" x14ac:dyDescent="0.25">
      <c r="A11863" s="18">
        <v>4589</v>
      </c>
      <c r="B11863" s="4" t="s">
        <v>44</v>
      </c>
      <c r="C11863" s="38" t="s">
        <v>2964</v>
      </c>
      <c r="D11863" s="18">
        <v>2022</v>
      </c>
      <c r="E11863" s="18" t="s">
        <v>0</v>
      </c>
      <c r="F11863" s="41">
        <v>1</v>
      </c>
      <c r="G11863" s="4">
        <v>20</v>
      </c>
      <c r="H11863" s="18">
        <v>59.5</v>
      </c>
      <c r="I11863" s="90"/>
      <c r="J11863" s="90"/>
    </row>
    <row r="11864" spans="1:10" s="15" customFormat="1" ht="16.5" hidden="1" customHeight="1" outlineLevel="1" x14ac:dyDescent="0.25">
      <c r="A11864" s="18">
        <v>4746</v>
      </c>
      <c r="B11864" s="4" t="s">
        <v>44</v>
      </c>
      <c r="C11864" s="38" t="s">
        <v>2965</v>
      </c>
      <c r="D11864" s="18">
        <v>2022</v>
      </c>
      <c r="E11864" s="18" t="s">
        <v>0</v>
      </c>
      <c r="F11864" s="41">
        <v>1</v>
      </c>
      <c r="G11864" s="4">
        <v>15</v>
      </c>
      <c r="H11864" s="18">
        <v>38.851999999999997</v>
      </c>
      <c r="I11864" s="90"/>
      <c r="J11864" s="90"/>
    </row>
    <row r="11865" spans="1:10" s="15" customFormat="1" ht="16.5" hidden="1" customHeight="1" outlineLevel="1" x14ac:dyDescent="0.25">
      <c r="A11865" s="18">
        <v>4832</v>
      </c>
      <c r="B11865" s="4" t="s">
        <v>44</v>
      </c>
      <c r="C11865" s="38" t="s">
        <v>3101</v>
      </c>
      <c r="D11865" s="18">
        <v>2022</v>
      </c>
      <c r="E11865" s="18" t="s">
        <v>0</v>
      </c>
      <c r="F11865" s="41">
        <v>1</v>
      </c>
      <c r="G11865" s="4">
        <v>15</v>
      </c>
      <c r="H11865" s="18">
        <v>81.426999999999992</v>
      </c>
      <c r="I11865" s="90"/>
      <c r="J11865" s="90"/>
    </row>
    <row r="11866" spans="1:10" s="15" customFormat="1" ht="16.5" hidden="1" customHeight="1" outlineLevel="1" x14ac:dyDescent="0.25">
      <c r="A11866" s="18">
        <v>4895</v>
      </c>
      <c r="B11866" s="4" t="s">
        <v>44</v>
      </c>
      <c r="C11866" s="38" t="s">
        <v>6675</v>
      </c>
      <c r="D11866" s="18">
        <v>2022</v>
      </c>
      <c r="E11866" s="18" t="s">
        <v>0</v>
      </c>
      <c r="F11866" s="41">
        <v>1</v>
      </c>
      <c r="G11866" s="4">
        <v>15</v>
      </c>
      <c r="H11866" s="18">
        <v>32.36</v>
      </c>
      <c r="I11866" s="90"/>
      <c r="J11866" s="90"/>
    </row>
    <row r="11867" spans="1:10" s="15" customFormat="1" ht="16.5" hidden="1" customHeight="1" outlineLevel="1" x14ac:dyDescent="0.25">
      <c r="A11867" s="18">
        <v>4627</v>
      </c>
      <c r="B11867" s="4" t="s">
        <v>44</v>
      </c>
      <c r="C11867" s="38" t="s">
        <v>6676</v>
      </c>
      <c r="D11867" s="18">
        <v>2022</v>
      </c>
      <c r="E11867" s="18" t="s">
        <v>0</v>
      </c>
      <c r="F11867" s="41">
        <v>1</v>
      </c>
      <c r="G11867" s="4">
        <v>10</v>
      </c>
      <c r="H11867" s="18">
        <v>29.23</v>
      </c>
      <c r="I11867" s="90"/>
      <c r="J11867" s="90"/>
    </row>
    <row r="11868" spans="1:10" s="15" customFormat="1" ht="16.5" hidden="1" customHeight="1" outlineLevel="1" x14ac:dyDescent="0.25">
      <c r="A11868" s="18">
        <v>4653</v>
      </c>
      <c r="B11868" s="4" t="s">
        <v>44</v>
      </c>
      <c r="C11868" s="38" t="s">
        <v>6677</v>
      </c>
      <c r="D11868" s="18">
        <v>2022</v>
      </c>
      <c r="E11868" s="18" t="s">
        <v>0</v>
      </c>
      <c r="F11868" s="41">
        <v>1</v>
      </c>
      <c r="G11868" s="4">
        <v>12</v>
      </c>
      <c r="H11868" s="18">
        <v>29.43</v>
      </c>
      <c r="I11868" s="90"/>
      <c r="J11868" s="90"/>
    </row>
    <row r="11869" spans="1:10" s="15" customFormat="1" ht="16.5" hidden="1" customHeight="1" outlineLevel="1" x14ac:dyDescent="0.25">
      <c r="A11869" s="18">
        <v>4675</v>
      </c>
      <c r="B11869" s="4" t="s">
        <v>44</v>
      </c>
      <c r="C11869" s="38" t="s">
        <v>2967</v>
      </c>
      <c r="D11869" s="18">
        <v>2022</v>
      </c>
      <c r="E11869" s="18" t="s">
        <v>0</v>
      </c>
      <c r="F11869" s="41">
        <v>1</v>
      </c>
      <c r="G11869" s="4">
        <v>7.5</v>
      </c>
      <c r="H11869" s="18">
        <v>59.839000000000006</v>
      </c>
      <c r="I11869" s="90"/>
      <c r="J11869" s="90"/>
    </row>
    <row r="11870" spans="1:10" s="15" customFormat="1" ht="16.5" hidden="1" customHeight="1" outlineLevel="1" x14ac:dyDescent="0.25">
      <c r="A11870" s="18">
        <v>4676</v>
      </c>
      <c r="B11870" s="4" t="s">
        <v>44</v>
      </c>
      <c r="C11870" s="38" t="s">
        <v>2968</v>
      </c>
      <c r="D11870" s="18">
        <v>2022</v>
      </c>
      <c r="E11870" s="18" t="s">
        <v>0</v>
      </c>
      <c r="F11870" s="41">
        <v>1</v>
      </c>
      <c r="G11870" s="4">
        <v>15</v>
      </c>
      <c r="H11870" s="18">
        <v>42.174000000000007</v>
      </c>
      <c r="I11870" s="90"/>
      <c r="J11870" s="90"/>
    </row>
    <row r="11871" spans="1:10" s="15" customFormat="1" ht="16.5" hidden="1" customHeight="1" outlineLevel="1" x14ac:dyDescent="0.25">
      <c r="A11871" s="18">
        <v>4677</v>
      </c>
      <c r="B11871" s="4" t="s">
        <v>44</v>
      </c>
      <c r="C11871" s="38" t="s">
        <v>2969</v>
      </c>
      <c r="D11871" s="18">
        <v>2022</v>
      </c>
      <c r="E11871" s="18" t="s">
        <v>0</v>
      </c>
      <c r="F11871" s="41">
        <v>1</v>
      </c>
      <c r="G11871" s="4">
        <v>12</v>
      </c>
      <c r="H11871" s="18">
        <v>63.932000000000002</v>
      </c>
      <c r="I11871" s="90"/>
      <c r="J11871" s="90"/>
    </row>
    <row r="11872" spans="1:10" s="15" customFormat="1" ht="16.5" hidden="1" customHeight="1" outlineLevel="1" x14ac:dyDescent="0.25">
      <c r="A11872" s="18">
        <v>4879</v>
      </c>
      <c r="B11872" s="4" t="s">
        <v>44</v>
      </c>
      <c r="C11872" s="38" t="s">
        <v>2970</v>
      </c>
      <c r="D11872" s="18">
        <v>2022</v>
      </c>
      <c r="E11872" s="18" t="s">
        <v>0</v>
      </c>
      <c r="F11872" s="41">
        <v>1</v>
      </c>
      <c r="G11872" s="4">
        <v>15</v>
      </c>
      <c r="H11872" s="18">
        <v>63.672999999999995</v>
      </c>
      <c r="I11872" s="90"/>
      <c r="J11872" s="90"/>
    </row>
    <row r="11873" spans="1:10" s="15" customFormat="1" ht="16.5" hidden="1" customHeight="1" outlineLevel="1" x14ac:dyDescent="0.25">
      <c r="A11873" s="18">
        <v>4921</v>
      </c>
      <c r="B11873" s="4" t="s">
        <v>44</v>
      </c>
      <c r="C11873" s="38" t="s">
        <v>2971</v>
      </c>
      <c r="D11873" s="18">
        <v>2022</v>
      </c>
      <c r="E11873" s="18" t="s">
        <v>0</v>
      </c>
      <c r="F11873" s="41">
        <v>1</v>
      </c>
      <c r="G11873" s="4">
        <v>12</v>
      </c>
      <c r="H11873" s="18">
        <v>92.174000000000007</v>
      </c>
      <c r="I11873" s="90"/>
      <c r="J11873" s="90"/>
    </row>
    <row r="11874" spans="1:10" s="15" customFormat="1" ht="16.5" hidden="1" customHeight="1" outlineLevel="1" x14ac:dyDescent="0.25">
      <c r="A11874" s="18">
        <v>4856</v>
      </c>
      <c r="B11874" s="4" t="s">
        <v>44</v>
      </c>
      <c r="C11874" s="38" t="s">
        <v>2972</v>
      </c>
      <c r="D11874" s="18">
        <v>2022</v>
      </c>
      <c r="E11874" s="18" t="s">
        <v>0</v>
      </c>
      <c r="F11874" s="41">
        <v>1</v>
      </c>
      <c r="G11874" s="4">
        <v>15</v>
      </c>
      <c r="H11874" s="18">
        <v>75.054000000000002</v>
      </c>
      <c r="I11874" s="90"/>
      <c r="J11874" s="90"/>
    </row>
    <row r="11875" spans="1:10" s="15" customFormat="1" ht="16.5" hidden="1" customHeight="1" outlineLevel="1" x14ac:dyDescent="0.25">
      <c r="A11875" s="18">
        <v>4906</v>
      </c>
      <c r="B11875" s="4" t="s">
        <v>44</v>
      </c>
      <c r="C11875" s="38" t="s">
        <v>2973</v>
      </c>
      <c r="D11875" s="18">
        <v>2022</v>
      </c>
      <c r="E11875" s="18" t="s">
        <v>0</v>
      </c>
      <c r="F11875" s="41">
        <v>1</v>
      </c>
      <c r="G11875" s="4">
        <v>15</v>
      </c>
      <c r="H11875" s="18">
        <v>56.160000000000004</v>
      </c>
      <c r="I11875" s="90"/>
      <c r="J11875" s="90"/>
    </row>
    <row r="11876" spans="1:10" s="15" customFormat="1" ht="16.5" hidden="1" customHeight="1" outlineLevel="1" x14ac:dyDescent="0.25">
      <c r="A11876" s="18">
        <v>4762</v>
      </c>
      <c r="B11876" s="4" t="s">
        <v>44</v>
      </c>
      <c r="C11876" s="38" t="s">
        <v>2975</v>
      </c>
      <c r="D11876" s="18">
        <v>2022</v>
      </c>
      <c r="E11876" s="18" t="s">
        <v>0</v>
      </c>
      <c r="F11876" s="41">
        <v>1</v>
      </c>
      <c r="G11876" s="4">
        <v>10</v>
      </c>
      <c r="H11876" s="18">
        <v>62.51</v>
      </c>
      <c r="I11876" s="90"/>
      <c r="J11876" s="90"/>
    </row>
    <row r="11877" spans="1:10" s="15" customFormat="1" ht="16.5" hidden="1" customHeight="1" outlineLevel="1" x14ac:dyDescent="0.25">
      <c r="A11877" s="18">
        <v>4763</v>
      </c>
      <c r="B11877" s="4" t="s">
        <v>44</v>
      </c>
      <c r="C11877" s="38" t="s">
        <v>2976</v>
      </c>
      <c r="D11877" s="18">
        <v>2022</v>
      </c>
      <c r="E11877" s="18" t="s">
        <v>0</v>
      </c>
      <c r="F11877" s="41">
        <v>1</v>
      </c>
      <c r="G11877" s="4">
        <v>10</v>
      </c>
      <c r="H11877" s="18">
        <v>50.533000000000001</v>
      </c>
      <c r="I11877" s="90"/>
      <c r="J11877" s="90"/>
    </row>
    <row r="11878" spans="1:10" s="15" customFormat="1" ht="16.5" hidden="1" customHeight="1" outlineLevel="1" x14ac:dyDescent="0.25">
      <c r="A11878" s="18">
        <v>4893</v>
      </c>
      <c r="B11878" s="4" t="s">
        <v>44</v>
      </c>
      <c r="C11878" s="38" t="s">
        <v>6678</v>
      </c>
      <c r="D11878" s="18">
        <v>2022</v>
      </c>
      <c r="E11878" s="18" t="s">
        <v>0</v>
      </c>
      <c r="F11878" s="41">
        <v>1</v>
      </c>
      <c r="G11878" s="4">
        <v>10</v>
      </c>
      <c r="H11878" s="18">
        <v>29.16</v>
      </c>
      <c r="I11878" s="90"/>
      <c r="J11878" s="90"/>
    </row>
    <row r="11879" spans="1:10" s="15" customFormat="1" ht="16.5" hidden="1" customHeight="1" outlineLevel="1" x14ac:dyDescent="0.25">
      <c r="A11879" s="18">
        <v>4829</v>
      </c>
      <c r="B11879" s="4" t="s">
        <v>44</v>
      </c>
      <c r="C11879" s="38" t="s">
        <v>2977</v>
      </c>
      <c r="D11879" s="18">
        <v>2022</v>
      </c>
      <c r="E11879" s="18" t="s">
        <v>0</v>
      </c>
      <c r="F11879" s="41">
        <v>1</v>
      </c>
      <c r="G11879" s="4">
        <v>15</v>
      </c>
      <c r="H11879" s="18">
        <v>48.62</v>
      </c>
      <c r="I11879" s="90"/>
      <c r="J11879" s="90"/>
    </row>
    <row r="11880" spans="1:10" s="15" customFormat="1" ht="16.5" hidden="1" customHeight="1" outlineLevel="1" x14ac:dyDescent="0.25">
      <c r="A11880" s="18">
        <v>4778</v>
      </c>
      <c r="B11880" s="4" t="s">
        <v>44</v>
      </c>
      <c r="C11880" s="38" t="s">
        <v>6679</v>
      </c>
      <c r="D11880" s="18">
        <v>2022</v>
      </c>
      <c r="E11880" s="18" t="s">
        <v>0</v>
      </c>
      <c r="F11880" s="41">
        <v>1</v>
      </c>
      <c r="G11880" s="4">
        <v>15</v>
      </c>
      <c r="H11880" s="18">
        <v>28.62</v>
      </c>
      <c r="I11880" s="90"/>
      <c r="J11880" s="90"/>
    </row>
    <row r="11881" spans="1:10" s="15" customFormat="1" ht="16.5" hidden="1" customHeight="1" outlineLevel="1" x14ac:dyDescent="0.25">
      <c r="A11881" s="18">
        <v>4781</v>
      </c>
      <c r="B11881" s="4" t="s">
        <v>44</v>
      </c>
      <c r="C11881" s="38" t="s">
        <v>6680</v>
      </c>
      <c r="D11881" s="18">
        <v>2022</v>
      </c>
      <c r="E11881" s="18" t="s">
        <v>0</v>
      </c>
      <c r="F11881" s="41">
        <v>1</v>
      </c>
      <c r="G11881" s="4">
        <v>15</v>
      </c>
      <c r="H11881" s="18">
        <v>38.89</v>
      </c>
      <c r="I11881" s="90"/>
      <c r="J11881" s="90"/>
    </row>
    <row r="11882" spans="1:10" s="15" customFormat="1" ht="16.5" hidden="1" customHeight="1" outlineLevel="1" x14ac:dyDescent="0.25">
      <c r="A11882" s="18">
        <v>4782</v>
      </c>
      <c r="B11882" s="4" t="s">
        <v>44</v>
      </c>
      <c r="C11882" s="38" t="s">
        <v>6681</v>
      </c>
      <c r="D11882" s="18">
        <v>2022</v>
      </c>
      <c r="E11882" s="18" t="s">
        <v>0</v>
      </c>
      <c r="F11882" s="41">
        <v>1</v>
      </c>
      <c r="G11882" s="4">
        <v>15</v>
      </c>
      <c r="H11882" s="18">
        <v>28.62</v>
      </c>
      <c r="I11882" s="90"/>
      <c r="J11882" s="90"/>
    </row>
    <row r="11883" spans="1:10" s="15" customFormat="1" ht="16.5" hidden="1" customHeight="1" outlineLevel="1" x14ac:dyDescent="0.25">
      <c r="A11883" s="18">
        <v>4891</v>
      </c>
      <c r="B11883" s="4" t="s">
        <v>44</v>
      </c>
      <c r="C11883" s="38" t="s">
        <v>6682</v>
      </c>
      <c r="D11883" s="18">
        <v>2022</v>
      </c>
      <c r="E11883" s="18" t="s">
        <v>0</v>
      </c>
      <c r="F11883" s="41">
        <v>1</v>
      </c>
      <c r="G11883" s="4">
        <v>15</v>
      </c>
      <c r="H11883" s="18">
        <v>38.371000000000002</v>
      </c>
      <c r="I11883" s="90"/>
      <c r="J11883" s="90"/>
    </row>
    <row r="11884" spans="1:10" s="15" customFormat="1" ht="16.5" hidden="1" customHeight="1" outlineLevel="1" x14ac:dyDescent="0.25">
      <c r="A11884" s="18">
        <v>4865</v>
      </c>
      <c r="B11884" s="4" t="s">
        <v>44</v>
      </c>
      <c r="C11884" s="38" t="s">
        <v>6683</v>
      </c>
      <c r="D11884" s="18">
        <v>2022</v>
      </c>
      <c r="E11884" s="18" t="s">
        <v>0</v>
      </c>
      <c r="F11884" s="41">
        <v>1</v>
      </c>
      <c r="G11884" s="4">
        <v>10</v>
      </c>
      <c r="H11884" s="18">
        <v>25.164999999999999</v>
      </c>
      <c r="I11884" s="90"/>
      <c r="J11884" s="90"/>
    </row>
    <row r="11885" spans="1:10" s="15" customFormat="1" ht="16.5" hidden="1" customHeight="1" outlineLevel="1" x14ac:dyDescent="0.25">
      <c r="A11885" s="18">
        <v>4868</v>
      </c>
      <c r="B11885" s="4" t="s">
        <v>44</v>
      </c>
      <c r="C11885" s="38" t="s">
        <v>6684</v>
      </c>
      <c r="D11885" s="18">
        <v>2022</v>
      </c>
      <c r="E11885" s="18" t="s">
        <v>0</v>
      </c>
      <c r="F11885" s="41">
        <v>1</v>
      </c>
      <c r="G11885" s="4">
        <v>10</v>
      </c>
      <c r="H11885" s="18">
        <v>26.061999999999998</v>
      </c>
      <c r="I11885" s="90"/>
      <c r="J11885" s="90"/>
    </row>
    <row r="11886" spans="1:10" s="15" customFormat="1" ht="16.5" hidden="1" customHeight="1" outlineLevel="1" x14ac:dyDescent="0.25">
      <c r="A11886" s="18">
        <v>4920</v>
      </c>
      <c r="B11886" s="4" t="s">
        <v>44</v>
      </c>
      <c r="C11886" s="38" t="s">
        <v>2978</v>
      </c>
      <c r="D11886" s="18">
        <v>2022</v>
      </c>
      <c r="E11886" s="18" t="s">
        <v>0</v>
      </c>
      <c r="F11886" s="41">
        <v>1</v>
      </c>
      <c r="G11886" s="4">
        <v>15</v>
      </c>
      <c r="H11886" s="18">
        <v>85.902999999999992</v>
      </c>
      <c r="I11886" s="90"/>
      <c r="J11886" s="90"/>
    </row>
    <row r="11887" spans="1:10" s="15" customFormat="1" ht="16.5" hidden="1" customHeight="1" outlineLevel="1" x14ac:dyDescent="0.25">
      <c r="A11887" s="18">
        <v>4926</v>
      </c>
      <c r="B11887" s="4" t="s">
        <v>44</v>
      </c>
      <c r="C11887" s="38" t="s">
        <v>6685</v>
      </c>
      <c r="D11887" s="18">
        <v>2022</v>
      </c>
      <c r="E11887" s="18" t="s">
        <v>0</v>
      </c>
      <c r="F11887" s="41">
        <v>1</v>
      </c>
      <c r="G11887" s="4">
        <v>10</v>
      </c>
      <c r="H11887" s="18">
        <v>21.526</v>
      </c>
      <c r="I11887" s="90"/>
      <c r="J11887" s="90"/>
    </row>
    <row r="11888" spans="1:10" s="15" customFormat="1" ht="16.5" hidden="1" customHeight="1" outlineLevel="1" x14ac:dyDescent="0.25">
      <c r="A11888" s="18">
        <v>4927</v>
      </c>
      <c r="B11888" s="4" t="s">
        <v>44</v>
      </c>
      <c r="C11888" s="38" t="s">
        <v>6686</v>
      </c>
      <c r="D11888" s="18">
        <v>2022</v>
      </c>
      <c r="E11888" s="18" t="s">
        <v>0</v>
      </c>
      <c r="F11888" s="41">
        <v>1</v>
      </c>
      <c r="G11888" s="4">
        <v>10</v>
      </c>
      <c r="H11888" s="18">
        <v>19.010999999999999</v>
      </c>
      <c r="I11888" s="90"/>
      <c r="J11888" s="90"/>
    </row>
    <row r="11889" spans="1:10" s="15" customFormat="1" ht="16.5" hidden="1" customHeight="1" outlineLevel="1" x14ac:dyDescent="0.25">
      <c r="A11889" s="18">
        <v>4918</v>
      </c>
      <c r="B11889" s="4" t="s">
        <v>44</v>
      </c>
      <c r="C11889" s="38" t="s">
        <v>3012</v>
      </c>
      <c r="D11889" s="18">
        <v>2022</v>
      </c>
      <c r="E11889" s="18" t="s">
        <v>0</v>
      </c>
      <c r="F11889" s="41">
        <v>1</v>
      </c>
      <c r="G11889" s="4">
        <v>15</v>
      </c>
      <c r="H11889" s="18">
        <v>80.631999999999991</v>
      </c>
      <c r="I11889" s="90"/>
      <c r="J11889" s="90"/>
    </row>
    <row r="11890" spans="1:10" s="15" customFormat="1" ht="16.5" hidden="1" customHeight="1" outlineLevel="1" x14ac:dyDescent="0.25">
      <c r="A11890" s="18">
        <v>4919</v>
      </c>
      <c r="B11890" s="4" t="s">
        <v>44</v>
      </c>
      <c r="C11890" s="38" t="s">
        <v>3013</v>
      </c>
      <c r="D11890" s="18">
        <v>2022</v>
      </c>
      <c r="E11890" s="18" t="s">
        <v>0</v>
      </c>
      <c r="F11890" s="41">
        <v>1</v>
      </c>
      <c r="G11890" s="4">
        <v>10</v>
      </c>
      <c r="H11890" s="18">
        <v>63.36</v>
      </c>
      <c r="I11890" s="90"/>
      <c r="J11890" s="90"/>
    </row>
    <row r="11891" spans="1:10" s="15" customFormat="1" ht="16.5" hidden="1" customHeight="1" outlineLevel="1" x14ac:dyDescent="0.25">
      <c r="A11891" s="18">
        <v>4831</v>
      </c>
      <c r="B11891" s="4" t="s">
        <v>44</v>
      </c>
      <c r="C11891" s="38" t="s">
        <v>3102</v>
      </c>
      <c r="D11891" s="18">
        <v>2022</v>
      </c>
      <c r="E11891" s="18" t="s">
        <v>0</v>
      </c>
      <c r="F11891" s="41">
        <v>1</v>
      </c>
      <c r="G11891" s="4">
        <v>15</v>
      </c>
      <c r="H11891" s="18">
        <v>78</v>
      </c>
      <c r="I11891" s="90"/>
      <c r="J11891" s="90"/>
    </row>
    <row r="11892" spans="1:10" s="15" customFormat="1" ht="16.5" hidden="1" customHeight="1" outlineLevel="1" x14ac:dyDescent="0.25">
      <c r="A11892" s="18">
        <v>4860</v>
      </c>
      <c r="B11892" s="4" t="s">
        <v>44</v>
      </c>
      <c r="C11892" s="38" t="s">
        <v>6687</v>
      </c>
      <c r="D11892" s="18">
        <v>2022</v>
      </c>
      <c r="E11892" s="18" t="s">
        <v>0</v>
      </c>
      <c r="F11892" s="41">
        <v>1</v>
      </c>
      <c r="G11892" s="4">
        <v>15</v>
      </c>
      <c r="H11892" s="18">
        <v>37</v>
      </c>
      <c r="I11892" s="90"/>
      <c r="J11892" s="90"/>
    </row>
    <row r="11893" spans="1:10" s="15" customFormat="1" ht="16.5" hidden="1" customHeight="1" outlineLevel="1" x14ac:dyDescent="0.25">
      <c r="A11893" s="18">
        <v>4863</v>
      </c>
      <c r="B11893" s="4" t="s">
        <v>44</v>
      </c>
      <c r="C11893" s="38" t="s">
        <v>6688</v>
      </c>
      <c r="D11893" s="18">
        <v>2022</v>
      </c>
      <c r="E11893" s="18" t="s">
        <v>0</v>
      </c>
      <c r="F11893" s="41">
        <v>1</v>
      </c>
      <c r="G11893" s="4">
        <v>15</v>
      </c>
      <c r="H11893" s="18">
        <v>28</v>
      </c>
      <c r="I11893" s="90"/>
      <c r="J11893" s="90"/>
    </row>
    <row r="11894" spans="1:10" s="15" customFormat="1" ht="16.5" hidden="1" customHeight="1" outlineLevel="1" x14ac:dyDescent="0.25">
      <c r="A11894" s="18">
        <v>4864</v>
      </c>
      <c r="B11894" s="4" t="s">
        <v>44</v>
      </c>
      <c r="C11894" s="38" t="s">
        <v>6689</v>
      </c>
      <c r="D11894" s="18">
        <v>2022</v>
      </c>
      <c r="E11894" s="18" t="s">
        <v>0</v>
      </c>
      <c r="F11894" s="41">
        <v>1</v>
      </c>
      <c r="G11894" s="4">
        <v>15</v>
      </c>
      <c r="H11894" s="18">
        <v>37.449999999999996</v>
      </c>
      <c r="I11894" s="90"/>
      <c r="J11894" s="90"/>
    </row>
    <row r="11895" spans="1:10" s="15" customFormat="1" ht="16.5" hidden="1" customHeight="1" outlineLevel="1" x14ac:dyDescent="0.25">
      <c r="A11895" s="18">
        <v>4928</v>
      </c>
      <c r="B11895" s="4" t="s">
        <v>44</v>
      </c>
      <c r="C11895" s="38" t="s">
        <v>2979</v>
      </c>
      <c r="D11895" s="18">
        <v>2022</v>
      </c>
      <c r="E11895" s="18" t="s">
        <v>0</v>
      </c>
      <c r="F11895" s="41">
        <v>1</v>
      </c>
      <c r="G11895" s="4">
        <v>15</v>
      </c>
      <c r="H11895" s="18">
        <v>74</v>
      </c>
      <c r="I11895" s="90"/>
      <c r="J11895" s="90"/>
    </row>
    <row r="11896" spans="1:10" s="15" customFormat="1" ht="16.5" hidden="1" customHeight="1" outlineLevel="1" x14ac:dyDescent="0.25">
      <c r="A11896" s="18">
        <v>4929</v>
      </c>
      <c r="B11896" s="4" t="s">
        <v>44</v>
      </c>
      <c r="C11896" s="38" t="s">
        <v>2980</v>
      </c>
      <c r="D11896" s="18">
        <v>2022</v>
      </c>
      <c r="E11896" s="18" t="s">
        <v>0</v>
      </c>
      <c r="F11896" s="41">
        <v>1</v>
      </c>
      <c r="G11896" s="4">
        <v>15</v>
      </c>
      <c r="H11896" s="18">
        <v>76</v>
      </c>
      <c r="I11896" s="90"/>
      <c r="J11896" s="90"/>
    </row>
    <row r="11897" spans="1:10" s="15" customFormat="1" ht="16.5" hidden="1" customHeight="1" outlineLevel="1" x14ac:dyDescent="0.25">
      <c r="A11897" s="18">
        <v>4559</v>
      </c>
      <c r="B11897" s="4" t="s">
        <v>44</v>
      </c>
      <c r="C11897" s="38" t="s">
        <v>6690</v>
      </c>
      <c r="D11897" s="18">
        <v>2022</v>
      </c>
      <c r="E11897" s="18" t="s">
        <v>0</v>
      </c>
      <c r="F11897" s="41">
        <v>1</v>
      </c>
      <c r="G11897" s="4">
        <v>12</v>
      </c>
      <c r="H11897" s="18">
        <v>36</v>
      </c>
      <c r="I11897" s="90"/>
      <c r="J11897" s="90"/>
    </row>
    <row r="11898" spans="1:10" s="15" customFormat="1" ht="16.5" hidden="1" customHeight="1" outlineLevel="1" x14ac:dyDescent="0.25">
      <c r="A11898" s="18">
        <v>4567</v>
      </c>
      <c r="B11898" s="4" t="s">
        <v>44</v>
      </c>
      <c r="C11898" s="38" t="s">
        <v>6691</v>
      </c>
      <c r="D11898" s="18">
        <v>2022</v>
      </c>
      <c r="E11898" s="18" t="s">
        <v>0</v>
      </c>
      <c r="F11898" s="41">
        <v>1</v>
      </c>
      <c r="G11898" s="4">
        <v>12</v>
      </c>
      <c r="H11898" s="18">
        <v>38</v>
      </c>
      <c r="I11898" s="90"/>
      <c r="J11898" s="90"/>
    </row>
    <row r="11899" spans="1:10" s="15" customFormat="1" ht="16.5" hidden="1" customHeight="1" outlineLevel="1" x14ac:dyDescent="0.25">
      <c r="A11899" s="18">
        <v>4583</v>
      </c>
      <c r="B11899" s="4" t="s">
        <v>44</v>
      </c>
      <c r="C11899" s="38" t="s">
        <v>6692</v>
      </c>
      <c r="D11899" s="18">
        <v>2022</v>
      </c>
      <c r="E11899" s="18" t="s">
        <v>0</v>
      </c>
      <c r="F11899" s="41">
        <v>1</v>
      </c>
      <c r="G11899" s="4">
        <v>12</v>
      </c>
      <c r="H11899" s="18">
        <v>25</v>
      </c>
      <c r="I11899" s="90"/>
      <c r="J11899" s="90"/>
    </row>
    <row r="11900" spans="1:10" s="15" customFormat="1" ht="16.5" hidden="1" customHeight="1" outlineLevel="1" x14ac:dyDescent="0.25">
      <c r="A11900" s="18">
        <v>4584</v>
      </c>
      <c r="B11900" s="4" t="s">
        <v>44</v>
      </c>
      <c r="C11900" s="38" t="s">
        <v>6693</v>
      </c>
      <c r="D11900" s="18">
        <v>2022</v>
      </c>
      <c r="E11900" s="18" t="s">
        <v>0</v>
      </c>
      <c r="F11900" s="41">
        <v>1</v>
      </c>
      <c r="G11900" s="4">
        <v>15</v>
      </c>
      <c r="H11900" s="18">
        <v>28</v>
      </c>
      <c r="I11900" s="90"/>
      <c r="J11900" s="90"/>
    </row>
    <row r="11901" spans="1:10" s="15" customFormat="1" ht="16.5" hidden="1" customHeight="1" outlineLevel="1" x14ac:dyDescent="0.25">
      <c r="A11901" s="18">
        <v>4629</v>
      </c>
      <c r="B11901" s="4" t="s">
        <v>44</v>
      </c>
      <c r="C11901" s="38" t="s">
        <v>6694</v>
      </c>
      <c r="D11901" s="18">
        <v>2022</v>
      </c>
      <c r="E11901" s="18" t="s">
        <v>0</v>
      </c>
      <c r="F11901" s="41">
        <v>1</v>
      </c>
      <c r="G11901" s="4">
        <v>12</v>
      </c>
      <c r="H11901" s="18">
        <v>29</v>
      </c>
      <c r="I11901" s="90"/>
      <c r="J11901" s="90"/>
    </row>
    <row r="11902" spans="1:10" s="15" customFormat="1" ht="16.5" hidden="1" customHeight="1" outlineLevel="1" x14ac:dyDescent="0.25">
      <c r="A11902" s="18">
        <v>4689</v>
      </c>
      <c r="B11902" s="4" t="s">
        <v>44</v>
      </c>
      <c r="C11902" s="38" t="s">
        <v>6695</v>
      </c>
      <c r="D11902" s="18">
        <v>2022</v>
      </c>
      <c r="E11902" s="18" t="s">
        <v>0</v>
      </c>
      <c r="F11902" s="41">
        <v>1</v>
      </c>
      <c r="G11902" s="4">
        <v>12</v>
      </c>
      <c r="H11902" s="18">
        <v>29</v>
      </c>
      <c r="I11902" s="90"/>
      <c r="J11902" s="90"/>
    </row>
    <row r="11903" spans="1:10" s="15" customFormat="1" ht="16.5" hidden="1" customHeight="1" outlineLevel="1" x14ac:dyDescent="0.25">
      <c r="A11903" s="18">
        <v>4712</v>
      </c>
      <c r="B11903" s="4" t="s">
        <v>44</v>
      </c>
      <c r="C11903" s="38" t="s">
        <v>6696</v>
      </c>
      <c r="D11903" s="18">
        <v>2022</v>
      </c>
      <c r="E11903" s="18" t="s">
        <v>0</v>
      </c>
      <c r="F11903" s="41">
        <v>1</v>
      </c>
      <c r="G11903" s="4">
        <v>15</v>
      </c>
      <c r="H11903" s="18">
        <v>29</v>
      </c>
      <c r="I11903" s="90"/>
      <c r="J11903" s="90"/>
    </row>
    <row r="11904" spans="1:10" s="15" customFormat="1" ht="16.5" hidden="1" customHeight="1" outlineLevel="1" x14ac:dyDescent="0.25">
      <c r="A11904" s="18">
        <v>4723</v>
      </c>
      <c r="B11904" s="4" t="s">
        <v>44</v>
      </c>
      <c r="C11904" s="38" t="s">
        <v>6697</v>
      </c>
      <c r="D11904" s="18">
        <v>2022</v>
      </c>
      <c r="E11904" s="18" t="s">
        <v>0</v>
      </c>
      <c r="F11904" s="41">
        <v>1</v>
      </c>
      <c r="G11904" s="4">
        <v>15</v>
      </c>
      <c r="H11904" s="18">
        <v>29</v>
      </c>
      <c r="I11904" s="90"/>
      <c r="J11904" s="90"/>
    </row>
    <row r="11905" spans="1:10" s="15" customFormat="1" ht="16.5" hidden="1" customHeight="1" outlineLevel="1" x14ac:dyDescent="0.25">
      <c r="A11905" s="18">
        <v>4933</v>
      </c>
      <c r="B11905" s="4" t="s">
        <v>44</v>
      </c>
      <c r="C11905" s="38" t="s">
        <v>6698</v>
      </c>
      <c r="D11905" s="18">
        <v>2022</v>
      </c>
      <c r="E11905" s="18" t="s">
        <v>0</v>
      </c>
      <c r="F11905" s="41">
        <v>1</v>
      </c>
      <c r="G11905" s="4">
        <v>7.5</v>
      </c>
      <c r="H11905" s="18">
        <v>21</v>
      </c>
      <c r="I11905" s="90"/>
      <c r="J11905" s="90"/>
    </row>
    <row r="11906" spans="1:10" s="15" customFormat="1" ht="16.5" hidden="1" customHeight="1" outlineLevel="1" x14ac:dyDescent="0.25">
      <c r="A11906" s="18">
        <v>4937</v>
      </c>
      <c r="B11906" s="4" t="s">
        <v>44</v>
      </c>
      <c r="C11906" s="38" t="s">
        <v>6699</v>
      </c>
      <c r="D11906" s="18">
        <v>2022</v>
      </c>
      <c r="E11906" s="18" t="s">
        <v>0</v>
      </c>
      <c r="F11906" s="41">
        <v>1</v>
      </c>
      <c r="G11906" s="4">
        <v>10</v>
      </c>
      <c r="H11906" s="18">
        <v>20</v>
      </c>
      <c r="I11906" s="90"/>
      <c r="J11906" s="90"/>
    </row>
    <row r="11907" spans="1:10" s="15" customFormat="1" ht="16.5" hidden="1" customHeight="1" outlineLevel="1" x14ac:dyDescent="0.25">
      <c r="A11907" s="18">
        <v>4938</v>
      </c>
      <c r="B11907" s="4" t="s">
        <v>44</v>
      </c>
      <c r="C11907" s="38" t="s">
        <v>6700</v>
      </c>
      <c r="D11907" s="18">
        <v>2022</v>
      </c>
      <c r="E11907" s="18" t="s">
        <v>0</v>
      </c>
      <c r="F11907" s="41">
        <v>1</v>
      </c>
      <c r="G11907" s="4">
        <v>10</v>
      </c>
      <c r="H11907" s="18">
        <v>20</v>
      </c>
      <c r="I11907" s="90"/>
      <c r="J11907" s="90"/>
    </row>
    <row r="11908" spans="1:10" s="15" customFormat="1" ht="16.5" hidden="1" customHeight="1" outlineLevel="1" x14ac:dyDescent="0.25">
      <c r="A11908" s="18">
        <v>4939</v>
      </c>
      <c r="B11908" s="4" t="s">
        <v>44</v>
      </c>
      <c r="C11908" s="38" t="s">
        <v>6701</v>
      </c>
      <c r="D11908" s="18">
        <v>2022</v>
      </c>
      <c r="E11908" s="18" t="s">
        <v>0</v>
      </c>
      <c r="F11908" s="41">
        <v>1</v>
      </c>
      <c r="G11908" s="4">
        <v>10</v>
      </c>
      <c r="H11908" s="18">
        <v>21</v>
      </c>
      <c r="I11908" s="90"/>
      <c r="J11908" s="90"/>
    </row>
    <row r="11909" spans="1:10" s="15" customFormat="1" ht="16.5" hidden="1" customHeight="1" outlineLevel="1" x14ac:dyDescent="0.25">
      <c r="A11909" s="18">
        <v>4941</v>
      </c>
      <c r="B11909" s="4" t="s">
        <v>44</v>
      </c>
      <c r="C11909" s="38" t="s">
        <v>6702</v>
      </c>
      <c r="D11909" s="18">
        <v>2022</v>
      </c>
      <c r="E11909" s="18" t="s">
        <v>0</v>
      </c>
      <c r="F11909" s="41">
        <v>1</v>
      </c>
      <c r="G11909" s="4">
        <v>15</v>
      </c>
      <c r="H11909" s="18">
        <v>21</v>
      </c>
      <c r="I11909" s="90"/>
      <c r="J11909" s="90"/>
    </row>
    <row r="11910" spans="1:10" s="15" customFormat="1" ht="16.5" hidden="1" customHeight="1" outlineLevel="1" x14ac:dyDescent="0.25">
      <c r="A11910" s="18">
        <v>4942</v>
      </c>
      <c r="B11910" s="4" t="s">
        <v>44</v>
      </c>
      <c r="C11910" s="38" t="s">
        <v>6703</v>
      </c>
      <c r="D11910" s="18">
        <v>2022</v>
      </c>
      <c r="E11910" s="18" t="s">
        <v>0</v>
      </c>
      <c r="F11910" s="41">
        <v>1</v>
      </c>
      <c r="G11910" s="4">
        <v>10</v>
      </c>
      <c r="H11910" s="18">
        <v>20</v>
      </c>
      <c r="I11910" s="90"/>
      <c r="J11910" s="90"/>
    </row>
    <row r="11911" spans="1:10" s="15" customFormat="1" ht="16.5" hidden="1" customHeight="1" outlineLevel="1" x14ac:dyDescent="0.25">
      <c r="A11911" s="18">
        <v>4944</v>
      </c>
      <c r="B11911" s="4" t="s">
        <v>44</v>
      </c>
      <c r="C11911" s="38" t="s">
        <v>2983</v>
      </c>
      <c r="D11911" s="18">
        <v>2022</v>
      </c>
      <c r="E11911" s="18" t="s">
        <v>0</v>
      </c>
      <c r="F11911" s="41">
        <v>2</v>
      </c>
      <c r="G11911" s="4">
        <v>25</v>
      </c>
      <c r="H11911" s="18">
        <v>123</v>
      </c>
      <c r="I11911" s="90"/>
      <c r="J11911" s="90"/>
    </row>
    <row r="11912" spans="1:10" s="15" customFormat="1" ht="16.5" hidden="1" customHeight="1" outlineLevel="1" x14ac:dyDescent="0.25">
      <c r="A11912" s="18">
        <v>4830</v>
      </c>
      <c r="B11912" s="4" t="s">
        <v>44</v>
      </c>
      <c r="C11912" s="38" t="s">
        <v>2984</v>
      </c>
      <c r="D11912" s="18">
        <v>2022</v>
      </c>
      <c r="E11912" s="18" t="s">
        <v>0</v>
      </c>
      <c r="F11912" s="41">
        <v>1</v>
      </c>
      <c r="G11912" s="4">
        <v>15</v>
      </c>
      <c r="H11912" s="18">
        <v>54</v>
      </c>
      <c r="I11912" s="90"/>
      <c r="J11912" s="90"/>
    </row>
    <row r="11913" spans="1:10" s="15" customFormat="1" ht="16.5" hidden="1" customHeight="1" outlineLevel="1" x14ac:dyDescent="0.25">
      <c r="A11913" s="18">
        <v>4943</v>
      </c>
      <c r="B11913" s="4" t="s">
        <v>44</v>
      </c>
      <c r="C11913" s="38" t="s">
        <v>2986</v>
      </c>
      <c r="D11913" s="18">
        <v>2022</v>
      </c>
      <c r="E11913" s="18" t="s">
        <v>0</v>
      </c>
      <c r="F11913" s="41">
        <v>1</v>
      </c>
      <c r="G11913" s="4">
        <v>15</v>
      </c>
      <c r="H11913" s="18">
        <v>72</v>
      </c>
      <c r="I11913" s="90"/>
      <c r="J11913" s="90"/>
    </row>
    <row r="11914" spans="1:10" s="15" customFormat="1" ht="16.5" hidden="1" customHeight="1" outlineLevel="1" x14ac:dyDescent="0.25">
      <c r="A11914" s="18">
        <v>4940</v>
      </c>
      <c r="B11914" s="4" t="s">
        <v>44</v>
      </c>
      <c r="C11914" s="38" t="s">
        <v>6704</v>
      </c>
      <c r="D11914" s="18">
        <v>2022</v>
      </c>
      <c r="E11914" s="18" t="s">
        <v>0</v>
      </c>
      <c r="F11914" s="41">
        <v>1</v>
      </c>
      <c r="G11914" s="4">
        <v>7.5</v>
      </c>
      <c r="H11914" s="18">
        <v>22.2</v>
      </c>
      <c r="I11914" s="90"/>
      <c r="J11914" s="90"/>
    </row>
    <row r="11915" spans="1:10" s="15" customFormat="1" ht="16.5" hidden="1" customHeight="1" outlineLevel="1" x14ac:dyDescent="0.25">
      <c r="A11915" s="18">
        <v>4715</v>
      </c>
      <c r="B11915" s="4" t="s">
        <v>44</v>
      </c>
      <c r="C11915" s="38" t="s">
        <v>6705</v>
      </c>
      <c r="D11915" s="18">
        <v>2022</v>
      </c>
      <c r="E11915" s="18" t="s">
        <v>0</v>
      </c>
      <c r="F11915" s="41">
        <v>1</v>
      </c>
      <c r="G11915" s="4">
        <v>15</v>
      </c>
      <c r="H11915" s="18">
        <v>45.35</v>
      </c>
      <c r="I11915" s="90"/>
      <c r="J11915" s="90"/>
    </row>
    <row r="11916" spans="1:10" s="15" customFormat="1" ht="16.5" hidden="1" customHeight="1" outlineLevel="1" x14ac:dyDescent="0.25">
      <c r="A11916" s="18">
        <v>4858</v>
      </c>
      <c r="B11916" s="4" t="s">
        <v>44</v>
      </c>
      <c r="C11916" s="38" t="s">
        <v>6706</v>
      </c>
      <c r="D11916" s="18">
        <v>2022</v>
      </c>
      <c r="E11916" s="18" t="s">
        <v>0</v>
      </c>
      <c r="F11916" s="41">
        <v>1</v>
      </c>
      <c r="G11916" s="4">
        <v>15</v>
      </c>
      <c r="H11916" s="18">
        <v>45.519999999999996</v>
      </c>
      <c r="I11916" s="90"/>
      <c r="J11916" s="90"/>
    </row>
    <row r="11917" spans="1:10" s="15" customFormat="1" ht="16.5" hidden="1" customHeight="1" outlineLevel="1" x14ac:dyDescent="0.25">
      <c r="A11917" s="18">
        <v>4859</v>
      </c>
      <c r="B11917" s="4" t="s">
        <v>44</v>
      </c>
      <c r="C11917" s="38" t="s">
        <v>6707</v>
      </c>
      <c r="D11917" s="18">
        <v>2022</v>
      </c>
      <c r="E11917" s="18" t="s">
        <v>0</v>
      </c>
      <c r="F11917" s="41">
        <v>1</v>
      </c>
      <c r="G11917" s="4">
        <v>15</v>
      </c>
      <c r="H11917" s="18">
        <v>45.847999999999999</v>
      </c>
      <c r="I11917" s="90"/>
      <c r="J11917" s="90"/>
    </row>
    <row r="11918" spans="1:10" s="15" customFormat="1" ht="16.5" hidden="1" customHeight="1" outlineLevel="1" x14ac:dyDescent="0.25">
      <c r="A11918" s="18">
        <v>4861</v>
      </c>
      <c r="B11918" s="4" t="s">
        <v>44</v>
      </c>
      <c r="C11918" s="38" t="s">
        <v>6708</v>
      </c>
      <c r="D11918" s="18">
        <v>2022</v>
      </c>
      <c r="E11918" s="18" t="s">
        <v>0</v>
      </c>
      <c r="F11918" s="41">
        <v>1</v>
      </c>
      <c r="G11918" s="4">
        <v>15</v>
      </c>
      <c r="H11918" s="18">
        <v>45.519999999999996</v>
      </c>
      <c r="I11918" s="90"/>
      <c r="J11918" s="90"/>
    </row>
    <row r="11919" spans="1:10" s="15" customFormat="1" ht="16.5" hidden="1" customHeight="1" outlineLevel="1" x14ac:dyDescent="0.25">
      <c r="A11919" s="18">
        <v>4862</v>
      </c>
      <c r="B11919" s="4" t="s">
        <v>44</v>
      </c>
      <c r="C11919" s="38" t="s">
        <v>6709</v>
      </c>
      <c r="D11919" s="18">
        <v>2022</v>
      </c>
      <c r="E11919" s="18" t="s">
        <v>0</v>
      </c>
      <c r="F11919" s="41">
        <v>1</v>
      </c>
      <c r="G11919" s="4">
        <v>15</v>
      </c>
      <c r="H11919" s="18">
        <v>46.209000000000003</v>
      </c>
      <c r="I11919" s="90"/>
      <c r="J11919" s="90"/>
    </row>
    <row r="11920" spans="1:10" s="15" customFormat="1" ht="16.5" hidden="1" customHeight="1" outlineLevel="1" x14ac:dyDescent="0.25">
      <c r="A11920" s="18">
        <v>4883</v>
      </c>
      <c r="B11920" s="4" t="s">
        <v>44</v>
      </c>
      <c r="C11920" s="38" t="s">
        <v>6710</v>
      </c>
      <c r="D11920" s="18">
        <v>2022</v>
      </c>
      <c r="E11920" s="18" t="s">
        <v>0</v>
      </c>
      <c r="F11920" s="41">
        <v>1</v>
      </c>
      <c r="G11920" s="4">
        <v>15</v>
      </c>
      <c r="H11920" s="18">
        <v>45.866999999999997</v>
      </c>
      <c r="I11920" s="90"/>
      <c r="J11920" s="90"/>
    </row>
    <row r="11921" spans="1:10" s="15" customFormat="1" ht="16.5" hidden="1" customHeight="1" outlineLevel="1" x14ac:dyDescent="0.25">
      <c r="A11921" s="18">
        <v>4884</v>
      </c>
      <c r="B11921" s="4" t="s">
        <v>44</v>
      </c>
      <c r="C11921" s="38" t="s">
        <v>6711</v>
      </c>
      <c r="D11921" s="18">
        <v>2022</v>
      </c>
      <c r="E11921" s="18" t="s">
        <v>0</v>
      </c>
      <c r="F11921" s="41">
        <v>1</v>
      </c>
      <c r="G11921" s="4">
        <v>15</v>
      </c>
      <c r="H11921" s="18">
        <v>45.866999999999997</v>
      </c>
      <c r="I11921" s="90"/>
      <c r="J11921" s="90"/>
    </row>
    <row r="11922" spans="1:10" s="15" customFormat="1" ht="16.5" hidden="1" customHeight="1" outlineLevel="1" x14ac:dyDescent="0.25">
      <c r="A11922" s="18">
        <v>4885</v>
      </c>
      <c r="B11922" s="4" t="s">
        <v>44</v>
      </c>
      <c r="C11922" s="38" t="s">
        <v>6712</v>
      </c>
      <c r="D11922" s="18">
        <v>2022</v>
      </c>
      <c r="E11922" s="18" t="s">
        <v>0</v>
      </c>
      <c r="F11922" s="41">
        <v>1</v>
      </c>
      <c r="G11922" s="4">
        <v>15</v>
      </c>
      <c r="H11922" s="18">
        <v>46.078000000000003</v>
      </c>
      <c r="I11922" s="90"/>
      <c r="J11922" s="90"/>
    </row>
    <row r="11923" spans="1:10" s="15" customFormat="1" ht="16.5" hidden="1" customHeight="1" outlineLevel="1" x14ac:dyDescent="0.25">
      <c r="A11923" s="18">
        <v>4886</v>
      </c>
      <c r="B11923" s="4" t="s">
        <v>44</v>
      </c>
      <c r="C11923" s="38" t="s">
        <v>6713</v>
      </c>
      <c r="D11923" s="18">
        <v>2022</v>
      </c>
      <c r="E11923" s="18" t="s">
        <v>0</v>
      </c>
      <c r="F11923" s="41">
        <v>1</v>
      </c>
      <c r="G11923" s="4">
        <v>15</v>
      </c>
      <c r="H11923" s="18">
        <v>46.078000000000003</v>
      </c>
      <c r="I11923" s="90"/>
      <c r="J11923" s="90"/>
    </row>
    <row r="11924" spans="1:10" s="15" customFormat="1" ht="16.5" hidden="1" customHeight="1" outlineLevel="1" x14ac:dyDescent="0.25">
      <c r="A11924" s="18">
        <v>4887</v>
      </c>
      <c r="B11924" s="4" t="s">
        <v>44</v>
      </c>
      <c r="C11924" s="38" t="s">
        <v>6714</v>
      </c>
      <c r="D11924" s="18">
        <v>2022</v>
      </c>
      <c r="E11924" s="18" t="s">
        <v>0</v>
      </c>
      <c r="F11924" s="41">
        <v>1</v>
      </c>
      <c r="G11924" s="4">
        <v>15</v>
      </c>
      <c r="H11924" s="18">
        <v>46.097000000000001</v>
      </c>
      <c r="I11924" s="90"/>
      <c r="J11924" s="90"/>
    </row>
    <row r="11925" spans="1:10" s="15" customFormat="1" ht="16.5" hidden="1" customHeight="1" outlineLevel="1" x14ac:dyDescent="0.25">
      <c r="A11925" s="18">
        <v>4969</v>
      </c>
      <c r="B11925" s="4" t="s">
        <v>44</v>
      </c>
      <c r="C11925" s="38" t="s">
        <v>6715</v>
      </c>
      <c r="D11925" s="18">
        <v>2022</v>
      </c>
      <c r="E11925" s="18" t="s">
        <v>0</v>
      </c>
      <c r="F11925" s="41">
        <v>1</v>
      </c>
      <c r="G11925" s="4">
        <v>15</v>
      </c>
      <c r="H11925" s="18">
        <v>37.923999999999999</v>
      </c>
      <c r="I11925" s="90"/>
      <c r="J11925" s="90"/>
    </row>
    <row r="11926" spans="1:10" s="15" customFormat="1" ht="16.5" hidden="1" customHeight="1" outlineLevel="1" x14ac:dyDescent="0.25">
      <c r="A11926" s="18">
        <v>4987</v>
      </c>
      <c r="B11926" s="4" t="s">
        <v>44</v>
      </c>
      <c r="C11926" s="38" t="s">
        <v>6716</v>
      </c>
      <c r="D11926" s="18">
        <v>2022</v>
      </c>
      <c r="E11926" s="18" t="s">
        <v>0</v>
      </c>
      <c r="F11926" s="41">
        <v>1</v>
      </c>
      <c r="G11926" s="4">
        <v>15</v>
      </c>
      <c r="H11926" s="18">
        <v>38.155000000000001</v>
      </c>
      <c r="I11926" s="90"/>
      <c r="J11926" s="90"/>
    </row>
    <row r="11927" spans="1:10" s="15" customFormat="1" ht="16.5" hidden="1" customHeight="1" outlineLevel="1" x14ac:dyDescent="0.25">
      <c r="A11927" s="18">
        <v>4988</v>
      </c>
      <c r="B11927" s="4" t="s">
        <v>44</v>
      </c>
      <c r="C11927" s="38" t="s">
        <v>6717</v>
      </c>
      <c r="D11927" s="18">
        <v>2022</v>
      </c>
      <c r="E11927" s="18" t="s">
        <v>0</v>
      </c>
      <c r="F11927" s="41">
        <v>1</v>
      </c>
      <c r="G11927" s="4">
        <v>10</v>
      </c>
      <c r="H11927" s="18">
        <v>38.154000000000003</v>
      </c>
      <c r="I11927" s="90"/>
      <c r="J11927" s="90"/>
    </row>
    <row r="11928" spans="1:10" s="15" customFormat="1" ht="16.5" hidden="1" customHeight="1" outlineLevel="1" x14ac:dyDescent="0.25">
      <c r="A11928" s="18">
        <v>4989</v>
      </c>
      <c r="B11928" s="4" t="s">
        <v>44</v>
      </c>
      <c r="C11928" s="38" t="s">
        <v>6718</v>
      </c>
      <c r="D11928" s="18">
        <v>2022</v>
      </c>
      <c r="E11928" s="18" t="s">
        <v>0</v>
      </c>
      <c r="F11928" s="41">
        <v>1</v>
      </c>
      <c r="G11928" s="4">
        <v>15</v>
      </c>
      <c r="H11928" s="18">
        <v>38.154000000000003</v>
      </c>
      <c r="I11928" s="90"/>
      <c r="J11928" s="90"/>
    </row>
    <row r="11929" spans="1:10" s="15" customFormat="1" ht="16.5" hidden="1" customHeight="1" outlineLevel="1" x14ac:dyDescent="0.25">
      <c r="A11929" s="18">
        <v>5007</v>
      </c>
      <c r="B11929" s="4" t="s">
        <v>44</v>
      </c>
      <c r="C11929" s="38" t="s">
        <v>6719</v>
      </c>
      <c r="D11929" s="18">
        <v>2022</v>
      </c>
      <c r="E11929" s="18" t="s">
        <v>0</v>
      </c>
      <c r="F11929" s="41">
        <v>1</v>
      </c>
      <c r="G11929" s="4">
        <v>15</v>
      </c>
      <c r="H11929" s="18">
        <v>37.923999999999999</v>
      </c>
      <c r="I11929" s="90"/>
      <c r="J11929" s="90"/>
    </row>
    <row r="11930" spans="1:10" s="15" customFormat="1" ht="16.5" hidden="1" customHeight="1" outlineLevel="1" x14ac:dyDescent="0.25">
      <c r="A11930" s="18">
        <v>5014</v>
      </c>
      <c r="B11930" s="4" t="s">
        <v>44</v>
      </c>
      <c r="C11930" s="38" t="s">
        <v>6720</v>
      </c>
      <c r="D11930" s="18">
        <v>2022</v>
      </c>
      <c r="E11930" s="18" t="s">
        <v>0</v>
      </c>
      <c r="F11930" s="41">
        <v>1</v>
      </c>
      <c r="G11930" s="4">
        <v>15</v>
      </c>
      <c r="H11930" s="18">
        <v>38.384</v>
      </c>
      <c r="I11930" s="90"/>
      <c r="J11930" s="90"/>
    </row>
    <row r="11931" spans="1:10" s="15" customFormat="1" ht="16.5" hidden="1" customHeight="1" outlineLevel="1" x14ac:dyDescent="0.25">
      <c r="A11931" s="18">
        <v>5021</v>
      </c>
      <c r="B11931" s="4" t="s">
        <v>44</v>
      </c>
      <c r="C11931" s="38" t="s">
        <v>2987</v>
      </c>
      <c r="D11931" s="18">
        <v>2022</v>
      </c>
      <c r="E11931" s="18" t="s">
        <v>0</v>
      </c>
      <c r="F11931" s="41">
        <v>1</v>
      </c>
      <c r="G11931" s="4">
        <v>50</v>
      </c>
      <c r="H11931" s="18">
        <v>74.801000000000002</v>
      </c>
      <c r="I11931" s="90"/>
      <c r="J11931" s="90"/>
    </row>
    <row r="11932" spans="1:10" s="15" customFormat="1" ht="16.5" hidden="1" customHeight="1" outlineLevel="1" x14ac:dyDescent="0.25">
      <c r="A11932" s="18">
        <v>4836</v>
      </c>
      <c r="B11932" s="4" t="s">
        <v>44</v>
      </c>
      <c r="C11932" s="38" t="s">
        <v>6721</v>
      </c>
      <c r="D11932" s="18">
        <v>2022</v>
      </c>
      <c r="E11932" s="18" t="s">
        <v>0</v>
      </c>
      <c r="F11932" s="41">
        <v>1</v>
      </c>
      <c r="G11932" s="4">
        <v>14</v>
      </c>
      <c r="H11932" s="18">
        <v>49.994</v>
      </c>
      <c r="I11932" s="90"/>
      <c r="J11932" s="90"/>
    </row>
    <row r="11933" spans="1:10" s="15" customFormat="1" ht="16.5" hidden="1" customHeight="1" outlineLevel="1" x14ac:dyDescent="0.25">
      <c r="A11933" s="18">
        <v>4837</v>
      </c>
      <c r="B11933" s="4" t="s">
        <v>44</v>
      </c>
      <c r="C11933" s="38" t="s">
        <v>6722</v>
      </c>
      <c r="D11933" s="18">
        <v>2022</v>
      </c>
      <c r="E11933" s="18" t="s">
        <v>0</v>
      </c>
      <c r="F11933" s="41">
        <v>1</v>
      </c>
      <c r="G11933" s="4">
        <v>14</v>
      </c>
      <c r="H11933" s="18">
        <v>48.34</v>
      </c>
      <c r="I11933" s="90"/>
      <c r="J11933" s="90"/>
    </row>
    <row r="11934" spans="1:10" s="15" customFormat="1" ht="16.5" hidden="1" customHeight="1" outlineLevel="1" x14ac:dyDescent="0.25">
      <c r="A11934" s="18">
        <v>4838</v>
      </c>
      <c r="B11934" s="4" t="s">
        <v>44</v>
      </c>
      <c r="C11934" s="38" t="s">
        <v>6723</v>
      </c>
      <c r="D11934" s="18">
        <v>2022</v>
      </c>
      <c r="E11934" s="18" t="s">
        <v>0</v>
      </c>
      <c r="F11934" s="41">
        <v>1</v>
      </c>
      <c r="G11934" s="4">
        <v>14</v>
      </c>
      <c r="H11934" s="18">
        <v>47.484999999999999</v>
      </c>
      <c r="I11934" s="90"/>
      <c r="J11934" s="90"/>
    </row>
    <row r="11935" spans="1:10" s="15" customFormat="1" ht="16.5" hidden="1" customHeight="1" outlineLevel="1" x14ac:dyDescent="0.25">
      <c r="A11935" s="18">
        <v>4839</v>
      </c>
      <c r="B11935" s="4" t="s">
        <v>44</v>
      </c>
      <c r="C11935" s="38" t="s">
        <v>6724</v>
      </c>
      <c r="D11935" s="18">
        <v>2022</v>
      </c>
      <c r="E11935" s="18" t="s">
        <v>0</v>
      </c>
      <c r="F11935" s="41">
        <v>1</v>
      </c>
      <c r="G11935" s="4">
        <v>14</v>
      </c>
      <c r="H11935" s="18">
        <v>47.489999999999995</v>
      </c>
      <c r="I11935" s="90"/>
      <c r="J11935" s="90"/>
    </row>
    <row r="11936" spans="1:10" s="15" customFormat="1" ht="16.5" hidden="1" customHeight="1" outlineLevel="1" x14ac:dyDescent="0.25">
      <c r="A11936" s="18">
        <v>4947</v>
      </c>
      <c r="B11936" s="4" t="s">
        <v>44</v>
      </c>
      <c r="C11936" s="38" t="s">
        <v>3103</v>
      </c>
      <c r="D11936" s="18">
        <v>2022</v>
      </c>
      <c r="E11936" s="18" t="s">
        <v>0</v>
      </c>
      <c r="F11936" s="41">
        <v>1</v>
      </c>
      <c r="G11936" s="4">
        <v>12</v>
      </c>
      <c r="H11936" s="18">
        <v>68</v>
      </c>
      <c r="I11936" s="90"/>
      <c r="J11936" s="90"/>
    </row>
    <row r="11937" spans="1:10" s="15" customFormat="1" ht="16.5" hidden="1" customHeight="1" outlineLevel="1" x14ac:dyDescent="0.25">
      <c r="A11937" s="18">
        <v>5011</v>
      </c>
      <c r="B11937" s="4" t="s">
        <v>44</v>
      </c>
      <c r="C11937" s="38" t="s">
        <v>6725</v>
      </c>
      <c r="D11937" s="18">
        <v>2022</v>
      </c>
      <c r="E11937" s="18" t="s">
        <v>0</v>
      </c>
      <c r="F11937" s="41">
        <v>1</v>
      </c>
      <c r="G11937" s="4">
        <v>15</v>
      </c>
      <c r="H11937" s="18">
        <v>37.238</v>
      </c>
      <c r="I11937" s="90"/>
      <c r="J11937" s="90"/>
    </row>
    <row r="11938" spans="1:10" s="15" customFormat="1" ht="16.5" hidden="1" customHeight="1" outlineLevel="1" x14ac:dyDescent="0.25">
      <c r="A11938" s="18">
        <v>5020</v>
      </c>
      <c r="B11938" s="4" t="s">
        <v>44</v>
      </c>
      <c r="C11938" s="38" t="s">
        <v>2988</v>
      </c>
      <c r="D11938" s="18">
        <v>2022</v>
      </c>
      <c r="E11938" s="18" t="s">
        <v>0</v>
      </c>
      <c r="F11938" s="41">
        <v>1</v>
      </c>
      <c r="G11938" s="4">
        <v>15</v>
      </c>
      <c r="H11938" s="18">
        <v>68.35199999999999</v>
      </c>
      <c r="I11938" s="90"/>
      <c r="J11938" s="90"/>
    </row>
    <row r="11939" spans="1:10" s="15" customFormat="1" ht="16.5" hidden="1" customHeight="1" outlineLevel="1" x14ac:dyDescent="0.25">
      <c r="A11939" s="18">
        <v>4897</v>
      </c>
      <c r="B11939" s="4" t="s">
        <v>44</v>
      </c>
      <c r="C11939" s="38" t="s">
        <v>6726</v>
      </c>
      <c r="D11939" s="18">
        <v>2022</v>
      </c>
      <c r="E11939" s="18" t="s">
        <v>0</v>
      </c>
      <c r="F11939" s="41">
        <v>1</v>
      </c>
      <c r="G11939" s="4">
        <v>10</v>
      </c>
      <c r="H11939" s="18">
        <v>53.707999999999998</v>
      </c>
      <c r="I11939" s="90"/>
      <c r="J11939" s="90"/>
    </row>
    <row r="11940" spans="1:10" s="15" customFormat="1" ht="16.5" hidden="1" customHeight="1" outlineLevel="1" x14ac:dyDescent="0.25">
      <c r="A11940" s="18">
        <v>4916</v>
      </c>
      <c r="B11940" s="4" t="s">
        <v>44</v>
      </c>
      <c r="C11940" s="38" t="s">
        <v>2989</v>
      </c>
      <c r="D11940" s="18">
        <v>2022</v>
      </c>
      <c r="E11940" s="18" t="s">
        <v>0</v>
      </c>
      <c r="F11940" s="41">
        <v>1</v>
      </c>
      <c r="G11940" s="4">
        <v>15</v>
      </c>
      <c r="H11940" s="18">
        <v>79.559000000000012</v>
      </c>
      <c r="I11940" s="90"/>
      <c r="J11940" s="90"/>
    </row>
    <row r="11941" spans="1:10" s="15" customFormat="1" ht="16.5" hidden="1" customHeight="1" outlineLevel="1" x14ac:dyDescent="0.25">
      <c r="A11941" s="18">
        <v>4922</v>
      </c>
      <c r="B11941" s="4" t="s">
        <v>44</v>
      </c>
      <c r="C11941" s="38" t="s">
        <v>2990</v>
      </c>
      <c r="D11941" s="18">
        <v>2022</v>
      </c>
      <c r="E11941" s="18" t="s">
        <v>0</v>
      </c>
      <c r="F11941" s="41">
        <v>1</v>
      </c>
      <c r="G11941" s="4">
        <v>15</v>
      </c>
      <c r="H11941" s="18">
        <v>78.635999999999996</v>
      </c>
      <c r="I11941" s="90"/>
      <c r="J11941" s="90"/>
    </row>
    <row r="11942" spans="1:10" s="15" customFormat="1" ht="16.5" hidden="1" customHeight="1" outlineLevel="1" x14ac:dyDescent="0.25">
      <c r="A11942" s="18">
        <v>4923</v>
      </c>
      <c r="B11942" s="4" t="s">
        <v>44</v>
      </c>
      <c r="C11942" s="38" t="s">
        <v>2991</v>
      </c>
      <c r="D11942" s="18">
        <v>2022</v>
      </c>
      <c r="E11942" s="18" t="s">
        <v>0</v>
      </c>
      <c r="F11942" s="41">
        <v>1</v>
      </c>
      <c r="G11942" s="4">
        <v>15</v>
      </c>
      <c r="H11942" s="18">
        <v>71.019000000000005</v>
      </c>
      <c r="I11942" s="90"/>
      <c r="J11942" s="90"/>
    </row>
    <row r="11943" spans="1:10" s="15" customFormat="1" ht="16.5" hidden="1" customHeight="1" outlineLevel="1" x14ac:dyDescent="0.25">
      <c r="A11943" s="18">
        <v>4945</v>
      </c>
      <c r="B11943" s="4" t="s">
        <v>44</v>
      </c>
      <c r="C11943" s="38" t="s">
        <v>2992</v>
      </c>
      <c r="D11943" s="18">
        <v>2022</v>
      </c>
      <c r="E11943" s="18" t="s">
        <v>0</v>
      </c>
      <c r="F11943" s="41">
        <v>1</v>
      </c>
      <c r="G11943" s="4">
        <v>10</v>
      </c>
      <c r="H11943" s="18">
        <v>76.709999999999994</v>
      </c>
      <c r="I11943" s="90"/>
      <c r="J11943" s="90"/>
    </row>
    <row r="11944" spans="1:10" s="15" customFormat="1" ht="16.5" hidden="1" customHeight="1" outlineLevel="1" x14ac:dyDescent="0.25">
      <c r="A11944" s="18">
        <v>4983</v>
      </c>
      <c r="B11944" s="4" t="s">
        <v>44</v>
      </c>
      <c r="C11944" s="38" t="s">
        <v>6727</v>
      </c>
      <c r="D11944" s="18">
        <v>2022</v>
      </c>
      <c r="E11944" s="18" t="s">
        <v>0</v>
      </c>
      <c r="F11944" s="41">
        <v>1</v>
      </c>
      <c r="G11944" s="4">
        <v>15</v>
      </c>
      <c r="H11944" s="18">
        <v>45.338000000000001</v>
      </c>
      <c r="I11944" s="90"/>
      <c r="J11944" s="90"/>
    </row>
    <row r="11945" spans="1:10" s="15" customFormat="1" ht="16.5" hidden="1" customHeight="1" outlineLevel="1" x14ac:dyDescent="0.25">
      <c r="A11945" s="18">
        <v>4984</v>
      </c>
      <c r="B11945" s="4" t="s">
        <v>44</v>
      </c>
      <c r="C11945" s="38" t="s">
        <v>6728</v>
      </c>
      <c r="D11945" s="18">
        <v>2022</v>
      </c>
      <c r="E11945" s="18" t="s">
        <v>0</v>
      </c>
      <c r="F11945" s="41">
        <v>1</v>
      </c>
      <c r="G11945" s="4">
        <v>10</v>
      </c>
      <c r="H11945" s="18">
        <v>45.206999999999994</v>
      </c>
      <c r="I11945" s="90"/>
      <c r="J11945" s="90"/>
    </row>
    <row r="11946" spans="1:10" s="15" customFormat="1" ht="16.5" hidden="1" customHeight="1" outlineLevel="1" x14ac:dyDescent="0.25">
      <c r="A11946" s="18">
        <v>4985</v>
      </c>
      <c r="B11946" s="4" t="s">
        <v>44</v>
      </c>
      <c r="C11946" s="38" t="s">
        <v>6729</v>
      </c>
      <c r="D11946" s="18">
        <v>2022</v>
      </c>
      <c r="E11946" s="18" t="s">
        <v>0</v>
      </c>
      <c r="F11946" s="41">
        <v>1</v>
      </c>
      <c r="G11946" s="4">
        <v>10</v>
      </c>
      <c r="H11946" s="18">
        <v>52.256999999999998</v>
      </c>
      <c r="I11946" s="90"/>
      <c r="J11946" s="90"/>
    </row>
    <row r="11947" spans="1:10" s="15" customFormat="1" ht="16.5" hidden="1" customHeight="1" outlineLevel="1" x14ac:dyDescent="0.25">
      <c r="A11947" s="18">
        <v>4994</v>
      </c>
      <c r="B11947" s="4" t="s">
        <v>44</v>
      </c>
      <c r="C11947" s="38" t="s">
        <v>6730</v>
      </c>
      <c r="D11947" s="18">
        <v>2022</v>
      </c>
      <c r="E11947" s="18" t="s">
        <v>0</v>
      </c>
      <c r="F11947" s="41">
        <v>1</v>
      </c>
      <c r="G11947" s="4">
        <v>10</v>
      </c>
      <c r="H11947" s="18">
        <v>47.667999999999999</v>
      </c>
      <c r="I11947" s="90"/>
      <c r="J11947" s="90"/>
    </row>
    <row r="11948" spans="1:10" s="15" customFormat="1" ht="16.5" hidden="1" customHeight="1" outlineLevel="1" x14ac:dyDescent="0.25">
      <c r="A11948" s="18">
        <v>4995</v>
      </c>
      <c r="B11948" s="4" t="s">
        <v>44</v>
      </c>
      <c r="C11948" s="38" t="s">
        <v>6731</v>
      </c>
      <c r="D11948" s="18">
        <v>2022</v>
      </c>
      <c r="E11948" s="18" t="s">
        <v>0</v>
      </c>
      <c r="F11948" s="41">
        <v>1</v>
      </c>
      <c r="G11948" s="4">
        <v>15</v>
      </c>
      <c r="H11948" s="18">
        <v>45.239000000000004</v>
      </c>
      <c r="I11948" s="90"/>
      <c r="J11948" s="90"/>
    </row>
    <row r="11949" spans="1:10" s="15" customFormat="1" ht="16.5" hidden="1" customHeight="1" outlineLevel="1" x14ac:dyDescent="0.25">
      <c r="A11949" s="18">
        <v>4996</v>
      </c>
      <c r="B11949" s="4" t="s">
        <v>44</v>
      </c>
      <c r="C11949" s="38" t="s">
        <v>6732</v>
      </c>
      <c r="D11949" s="18">
        <v>2022</v>
      </c>
      <c r="E11949" s="18" t="s">
        <v>0</v>
      </c>
      <c r="F11949" s="41">
        <v>1</v>
      </c>
      <c r="G11949" s="4">
        <v>10</v>
      </c>
      <c r="H11949" s="18">
        <v>42.613</v>
      </c>
      <c r="I11949" s="90"/>
      <c r="J11949" s="90"/>
    </row>
    <row r="11950" spans="1:10" s="15" customFormat="1" ht="16.5" hidden="1" customHeight="1" outlineLevel="1" x14ac:dyDescent="0.25">
      <c r="A11950" s="18">
        <v>4997</v>
      </c>
      <c r="B11950" s="4" t="s">
        <v>44</v>
      </c>
      <c r="C11950" s="38" t="s">
        <v>6733</v>
      </c>
      <c r="D11950" s="18">
        <v>2022</v>
      </c>
      <c r="E11950" s="18" t="s">
        <v>0</v>
      </c>
      <c r="F11950" s="41">
        <v>1</v>
      </c>
      <c r="G11950" s="4">
        <v>10</v>
      </c>
      <c r="H11950" s="18">
        <v>42.744</v>
      </c>
      <c r="I11950" s="90"/>
      <c r="J11950" s="90"/>
    </row>
    <row r="11951" spans="1:10" s="15" customFormat="1" ht="16.5" hidden="1" customHeight="1" outlineLevel="1" x14ac:dyDescent="0.25">
      <c r="A11951" s="18">
        <v>4998</v>
      </c>
      <c r="B11951" s="4" t="s">
        <v>44</v>
      </c>
      <c r="C11951" s="38" t="s">
        <v>6734</v>
      </c>
      <c r="D11951" s="18">
        <v>2022</v>
      </c>
      <c r="E11951" s="18" t="s">
        <v>0</v>
      </c>
      <c r="F11951" s="41">
        <v>1</v>
      </c>
      <c r="G11951" s="4">
        <v>15</v>
      </c>
      <c r="H11951" s="18">
        <v>52.256999999999998</v>
      </c>
      <c r="I11951" s="90"/>
      <c r="J11951" s="90"/>
    </row>
    <row r="11952" spans="1:10" s="15" customFormat="1" ht="16.5" hidden="1" customHeight="1" outlineLevel="1" x14ac:dyDescent="0.25">
      <c r="A11952" s="18">
        <v>5019</v>
      </c>
      <c r="B11952" s="4" t="s">
        <v>44</v>
      </c>
      <c r="C11952" s="38" t="s">
        <v>6735</v>
      </c>
      <c r="D11952" s="18">
        <v>2022</v>
      </c>
      <c r="E11952" s="18" t="s">
        <v>0</v>
      </c>
      <c r="F11952" s="41">
        <v>1</v>
      </c>
      <c r="G11952" s="4">
        <v>10</v>
      </c>
      <c r="H11952" s="18">
        <v>45.10772</v>
      </c>
      <c r="I11952" s="90"/>
      <c r="J11952" s="90"/>
    </row>
    <row r="11953" spans="1:10" s="15" customFormat="1" ht="16.5" hidden="1" customHeight="1" outlineLevel="1" x14ac:dyDescent="0.25">
      <c r="A11953" s="18">
        <v>4857</v>
      </c>
      <c r="B11953" s="4" t="s">
        <v>44</v>
      </c>
      <c r="C11953" s="38" t="s">
        <v>2993</v>
      </c>
      <c r="D11953" s="18">
        <v>2022</v>
      </c>
      <c r="E11953" s="18" t="s">
        <v>0</v>
      </c>
      <c r="F11953" s="41">
        <v>1</v>
      </c>
      <c r="G11953" s="4">
        <v>15</v>
      </c>
      <c r="H11953" s="18">
        <v>61.674999999999997</v>
      </c>
      <c r="I11953" s="90"/>
      <c r="J11953" s="90"/>
    </row>
    <row r="11954" spans="1:10" s="15" customFormat="1" ht="16.5" hidden="1" customHeight="1" outlineLevel="1" x14ac:dyDescent="0.25">
      <c r="A11954" s="18">
        <v>4907</v>
      </c>
      <c r="B11954" s="4" t="s">
        <v>44</v>
      </c>
      <c r="C11954" s="38" t="s">
        <v>2994</v>
      </c>
      <c r="D11954" s="18">
        <v>2022</v>
      </c>
      <c r="E11954" s="18" t="s">
        <v>0</v>
      </c>
      <c r="F11954" s="41">
        <v>1</v>
      </c>
      <c r="G11954" s="4">
        <v>10</v>
      </c>
      <c r="H11954" s="18">
        <v>75.194999999999993</v>
      </c>
      <c r="I11954" s="90"/>
      <c r="J11954" s="90"/>
    </row>
    <row r="11955" spans="1:10" s="15" customFormat="1" ht="16.5" hidden="1" customHeight="1" outlineLevel="1" x14ac:dyDescent="0.25">
      <c r="A11955" s="18">
        <v>5008</v>
      </c>
      <c r="B11955" s="4" t="s">
        <v>44</v>
      </c>
      <c r="C11955" s="38" t="s">
        <v>6736</v>
      </c>
      <c r="D11955" s="18">
        <v>2022</v>
      </c>
      <c r="E11955" s="18" t="s">
        <v>0</v>
      </c>
      <c r="F11955" s="41">
        <v>1</v>
      </c>
      <c r="G11955" s="4">
        <v>10</v>
      </c>
      <c r="H11955" s="18">
        <v>38.536999999999999</v>
      </c>
      <c r="I11955" s="90"/>
      <c r="J11955" s="90"/>
    </row>
    <row r="11956" spans="1:10" s="15" customFormat="1" ht="16.5" hidden="1" customHeight="1" outlineLevel="1" x14ac:dyDescent="0.25">
      <c r="A11956" s="18">
        <v>4705</v>
      </c>
      <c r="B11956" s="4" t="s">
        <v>44</v>
      </c>
      <c r="C11956" s="38" t="s">
        <v>6737</v>
      </c>
      <c r="D11956" s="18">
        <v>2022</v>
      </c>
      <c r="E11956" s="18" t="s">
        <v>0</v>
      </c>
      <c r="F11956" s="41">
        <v>1</v>
      </c>
      <c r="G11956" s="4">
        <v>13</v>
      </c>
      <c r="H11956" s="18">
        <v>47.313000000000002</v>
      </c>
      <c r="I11956" s="90"/>
      <c r="J11956" s="90"/>
    </row>
    <row r="11957" spans="1:10" s="15" customFormat="1" ht="16.5" hidden="1" customHeight="1" outlineLevel="1" x14ac:dyDescent="0.25">
      <c r="A11957" s="18">
        <v>4866</v>
      </c>
      <c r="B11957" s="4" t="s">
        <v>44</v>
      </c>
      <c r="C11957" s="38" t="s">
        <v>6738</v>
      </c>
      <c r="D11957" s="18">
        <v>2022</v>
      </c>
      <c r="E11957" s="18" t="s">
        <v>0</v>
      </c>
      <c r="F11957" s="41">
        <v>1</v>
      </c>
      <c r="G11957" s="4">
        <v>15</v>
      </c>
      <c r="H11957" s="18">
        <v>48.974999999999994</v>
      </c>
      <c r="I11957" s="90"/>
      <c r="J11957" s="90"/>
    </row>
    <row r="11958" spans="1:10" s="15" customFormat="1" ht="16.5" hidden="1" customHeight="1" outlineLevel="1" x14ac:dyDescent="0.25">
      <c r="A11958" s="18">
        <v>4867</v>
      </c>
      <c r="B11958" s="4" t="s">
        <v>44</v>
      </c>
      <c r="C11958" s="38" t="s">
        <v>6739</v>
      </c>
      <c r="D11958" s="18">
        <v>2022</v>
      </c>
      <c r="E11958" s="18" t="s">
        <v>0</v>
      </c>
      <c r="F11958" s="41">
        <v>1</v>
      </c>
      <c r="G11958" s="4">
        <v>60.7</v>
      </c>
      <c r="H11958" s="18">
        <v>45.752000000000002</v>
      </c>
      <c r="I11958" s="90"/>
      <c r="J11958" s="90"/>
    </row>
    <row r="11959" spans="1:10" s="15" customFormat="1" ht="16.5" hidden="1" customHeight="1" outlineLevel="1" x14ac:dyDescent="0.25">
      <c r="A11959" s="18">
        <v>4905</v>
      </c>
      <c r="B11959" s="4" t="s">
        <v>44</v>
      </c>
      <c r="C11959" s="38" t="s">
        <v>2995</v>
      </c>
      <c r="D11959" s="18">
        <v>2022</v>
      </c>
      <c r="E11959" s="18" t="s">
        <v>0</v>
      </c>
      <c r="F11959" s="41">
        <v>1</v>
      </c>
      <c r="G11959" s="4">
        <v>15</v>
      </c>
      <c r="H11959" s="18">
        <v>68.899000000000001</v>
      </c>
      <c r="I11959" s="90"/>
      <c r="J11959" s="90"/>
    </row>
    <row r="11960" spans="1:10" s="15" customFormat="1" ht="16.5" hidden="1" customHeight="1" outlineLevel="1" x14ac:dyDescent="0.25">
      <c r="A11960" s="18">
        <v>4946</v>
      </c>
      <c r="B11960" s="4" t="s">
        <v>44</v>
      </c>
      <c r="C11960" s="38" t="s">
        <v>2996</v>
      </c>
      <c r="D11960" s="18">
        <v>2022</v>
      </c>
      <c r="E11960" s="18" t="s">
        <v>0</v>
      </c>
      <c r="F11960" s="41">
        <v>1</v>
      </c>
      <c r="G11960" s="4">
        <v>10</v>
      </c>
      <c r="H11960" s="18">
        <v>71.884</v>
      </c>
      <c r="I11960" s="90"/>
      <c r="J11960" s="90"/>
    </row>
    <row r="11961" spans="1:10" s="15" customFormat="1" ht="16.5" hidden="1" customHeight="1" outlineLevel="1" x14ac:dyDescent="0.25">
      <c r="A11961" s="18">
        <v>5002</v>
      </c>
      <c r="B11961" s="4" t="s">
        <v>44</v>
      </c>
      <c r="C11961" s="38" t="s">
        <v>6740</v>
      </c>
      <c r="D11961" s="18">
        <v>2022</v>
      </c>
      <c r="E11961" s="18" t="s">
        <v>0</v>
      </c>
      <c r="F11961" s="41">
        <v>1</v>
      </c>
      <c r="G11961" s="4">
        <v>10</v>
      </c>
      <c r="H11961" s="18">
        <v>38.299999999999997</v>
      </c>
      <c r="I11961" s="90"/>
      <c r="J11961" s="90"/>
    </row>
    <row r="11962" spans="1:10" s="15" customFormat="1" ht="16.5" hidden="1" customHeight="1" outlineLevel="1" x14ac:dyDescent="0.25">
      <c r="A11962" s="18">
        <v>5003</v>
      </c>
      <c r="B11962" s="4" t="s">
        <v>44</v>
      </c>
      <c r="C11962" s="38" t="s">
        <v>6741</v>
      </c>
      <c r="D11962" s="18">
        <v>2022</v>
      </c>
      <c r="E11962" s="18" t="s">
        <v>0</v>
      </c>
      <c r="F11962" s="41">
        <v>1</v>
      </c>
      <c r="G11962" s="4">
        <v>10</v>
      </c>
      <c r="H11962" s="18">
        <v>38.738</v>
      </c>
      <c r="I11962" s="90"/>
      <c r="J11962" s="90"/>
    </row>
    <row r="11963" spans="1:10" s="15" customFormat="1" ht="16.5" hidden="1" customHeight="1" outlineLevel="1" x14ac:dyDescent="0.25">
      <c r="A11963" s="18">
        <v>5004</v>
      </c>
      <c r="B11963" s="4" t="s">
        <v>44</v>
      </c>
      <c r="C11963" s="38" t="s">
        <v>6742</v>
      </c>
      <c r="D11963" s="18">
        <v>2022</v>
      </c>
      <c r="E11963" s="18" t="s">
        <v>0</v>
      </c>
      <c r="F11963" s="41">
        <v>1</v>
      </c>
      <c r="G11963" s="4">
        <v>10</v>
      </c>
      <c r="H11963" s="18">
        <v>39.247999999999998</v>
      </c>
      <c r="I11963" s="90"/>
      <c r="J11963" s="90"/>
    </row>
    <row r="11964" spans="1:10" s="15" customFormat="1" ht="16.5" hidden="1" customHeight="1" outlineLevel="1" x14ac:dyDescent="0.25">
      <c r="A11964" s="18">
        <v>5005</v>
      </c>
      <c r="B11964" s="4" t="s">
        <v>44</v>
      </c>
      <c r="C11964" s="38" t="s">
        <v>6743</v>
      </c>
      <c r="D11964" s="18">
        <v>2022</v>
      </c>
      <c r="E11964" s="18" t="s">
        <v>0</v>
      </c>
      <c r="F11964" s="41">
        <v>1</v>
      </c>
      <c r="G11964" s="4">
        <v>10</v>
      </c>
      <c r="H11964" s="18">
        <v>38.326999999999998</v>
      </c>
      <c r="I11964" s="90"/>
      <c r="J11964" s="90"/>
    </row>
    <row r="11965" spans="1:10" s="15" customFormat="1" ht="16.5" hidden="1" customHeight="1" outlineLevel="1" x14ac:dyDescent="0.25">
      <c r="A11965" s="18">
        <v>5009</v>
      </c>
      <c r="B11965" s="4" t="s">
        <v>44</v>
      </c>
      <c r="C11965" s="38" t="s">
        <v>6744</v>
      </c>
      <c r="D11965" s="18">
        <v>2022</v>
      </c>
      <c r="E11965" s="18" t="s">
        <v>0</v>
      </c>
      <c r="F11965" s="41">
        <v>1</v>
      </c>
      <c r="G11965" s="4">
        <v>10</v>
      </c>
      <c r="H11965" s="18">
        <v>38.635999999999996</v>
      </c>
      <c r="I11965" s="90"/>
      <c r="J11965" s="90"/>
    </row>
    <row r="11966" spans="1:10" s="15" customFormat="1" ht="16.5" hidden="1" customHeight="1" outlineLevel="1" x14ac:dyDescent="0.25">
      <c r="A11966" s="18">
        <v>5012</v>
      </c>
      <c r="B11966" s="4" t="s">
        <v>44</v>
      </c>
      <c r="C11966" s="38" t="s">
        <v>6745</v>
      </c>
      <c r="D11966" s="18">
        <v>2022</v>
      </c>
      <c r="E11966" s="18" t="s">
        <v>0</v>
      </c>
      <c r="F11966" s="41">
        <v>1</v>
      </c>
      <c r="G11966" s="4">
        <v>10</v>
      </c>
      <c r="H11966" s="18">
        <v>38.788000000000004</v>
      </c>
      <c r="I11966" s="90"/>
      <c r="J11966" s="90"/>
    </row>
    <row r="11967" spans="1:10" s="15" customFormat="1" ht="16.5" hidden="1" customHeight="1" outlineLevel="1" x14ac:dyDescent="0.25">
      <c r="A11967" s="18">
        <v>5018</v>
      </c>
      <c r="B11967" s="4" t="s">
        <v>44</v>
      </c>
      <c r="C11967" s="38" t="s">
        <v>6746</v>
      </c>
      <c r="D11967" s="18">
        <v>2022</v>
      </c>
      <c r="E11967" s="18" t="s">
        <v>0</v>
      </c>
      <c r="F11967" s="41">
        <v>1</v>
      </c>
      <c r="G11967" s="4">
        <v>15</v>
      </c>
      <c r="H11967" s="18">
        <v>38.837000000000003</v>
      </c>
      <c r="I11967" s="90"/>
      <c r="J11967" s="90"/>
    </row>
    <row r="11968" spans="1:10" s="15" customFormat="1" ht="16.5" hidden="1" customHeight="1" outlineLevel="1" x14ac:dyDescent="0.25">
      <c r="A11968" s="18">
        <v>4888</v>
      </c>
      <c r="B11968" s="4" t="s">
        <v>44</v>
      </c>
      <c r="C11968" s="38" t="s">
        <v>6747</v>
      </c>
      <c r="D11968" s="18">
        <v>2022</v>
      </c>
      <c r="E11968" s="18" t="s">
        <v>0</v>
      </c>
      <c r="F11968" s="41">
        <v>1</v>
      </c>
      <c r="G11968" s="4">
        <v>15</v>
      </c>
      <c r="H11968" s="18">
        <v>49.320999999999998</v>
      </c>
      <c r="I11968" s="90"/>
      <c r="J11968" s="90"/>
    </row>
    <row r="11969" spans="1:10" s="15" customFormat="1" ht="16.5" hidden="1" customHeight="1" outlineLevel="1" x14ac:dyDescent="0.25">
      <c r="A11969" s="18">
        <v>4952</v>
      </c>
      <c r="B11969" s="4" t="s">
        <v>44</v>
      </c>
      <c r="C11969" s="38" t="s">
        <v>6748</v>
      </c>
      <c r="D11969" s="18">
        <v>2022</v>
      </c>
      <c r="E11969" s="18" t="s">
        <v>0</v>
      </c>
      <c r="F11969" s="41">
        <v>1</v>
      </c>
      <c r="G11969" s="4">
        <v>15</v>
      </c>
      <c r="H11969" s="18">
        <v>41.247999999999998</v>
      </c>
      <c r="I11969" s="90"/>
      <c r="J11969" s="90"/>
    </row>
    <row r="11970" spans="1:10" s="15" customFormat="1" ht="16.5" hidden="1" customHeight="1" outlineLevel="1" x14ac:dyDescent="0.25">
      <c r="A11970" s="18">
        <v>4982</v>
      </c>
      <c r="B11970" s="4" t="s">
        <v>44</v>
      </c>
      <c r="C11970" s="38" t="s">
        <v>6749</v>
      </c>
      <c r="D11970" s="18">
        <v>2022</v>
      </c>
      <c r="E11970" s="18" t="s">
        <v>0</v>
      </c>
      <c r="F11970" s="41">
        <v>1</v>
      </c>
      <c r="G11970" s="4">
        <v>15</v>
      </c>
      <c r="H11970" s="18">
        <v>40.984999999999999</v>
      </c>
      <c r="I11970" s="90"/>
      <c r="J11970" s="90"/>
    </row>
    <row r="11971" spans="1:10" s="15" customFormat="1" ht="16.5" hidden="1" customHeight="1" outlineLevel="1" x14ac:dyDescent="0.25">
      <c r="A11971" s="18">
        <v>4990</v>
      </c>
      <c r="B11971" s="4" t="s">
        <v>44</v>
      </c>
      <c r="C11971" s="38" t="s">
        <v>6750</v>
      </c>
      <c r="D11971" s="18">
        <v>2022</v>
      </c>
      <c r="E11971" s="18" t="s">
        <v>0</v>
      </c>
      <c r="F11971" s="41">
        <v>1</v>
      </c>
      <c r="G11971" s="4">
        <v>15</v>
      </c>
      <c r="H11971" s="18">
        <v>40.919829999999997</v>
      </c>
      <c r="I11971" s="90"/>
      <c r="J11971" s="90"/>
    </row>
    <row r="11972" spans="1:10" s="15" customFormat="1" ht="16.5" hidden="1" customHeight="1" outlineLevel="1" x14ac:dyDescent="0.25">
      <c r="A11972" s="18">
        <v>4991</v>
      </c>
      <c r="B11972" s="4" t="s">
        <v>44</v>
      </c>
      <c r="C11972" s="38" t="s">
        <v>6751</v>
      </c>
      <c r="D11972" s="18">
        <v>2022</v>
      </c>
      <c r="E11972" s="18" t="s">
        <v>0</v>
      </c>
      <c r="F11972" s="41">
        <v>1</v>
      </c>
      <c r="G11972" s="4">
        <v>15</v>
      </c>
      <c r="H11972" s="18">
        <v>40.723299999999995</v>
      </c>
      <c r="I11972" s="90"/>
      <c r="J11972" s="90"/>
    </row>
    <row r="11973" spans="1:10" s="15" customFormat="1" ht="16.5" hidden="1" customHeight="1" outlineLevel="1" x14ac:dyDescent="0.25">
      <c r="A11973" s="18">
        <v>4993</v>
      </c>
      <c r="B11973" s="4" t="s">
        <v>44</v>
      </c>
      <c r="C11973" s="38" t="s">
        <v>6752</v>
      </c>
      <c r="D11973" s="18">
        <v>2022</v>
      </c>
      <c r="E11973" s="18" t="s">
        <v>0</v>
      </c>
      <c r="F11973" s="41">
        <v>1</v>
      </c>
      <c r="G11973" s="4">
        <v>15</v>
      </c>
      <c r="H11973" s="18">
        <v>41.378</v>
      </c>
      <c r="I11973" s="90"/>
      <c r="J11973" s="90"/>
    </row>
    <row r="11974" spans="1:10" s="15" customFormat="1" ht="16.5" hidden="1" customHeight="1" outlineLevel="1" x14ac:dyDescent="0.25">
      <c r="A11974" s="18">
        <v>5010</v>
      </c>
      <c r="B11974" s="4" t="s">
        <v>44</v>
      </c>
      <c r="C11974" s="38" t="s">
        <v>6753</v>
      </c>
      <c r="D11974" s="18">
        <v>2022</v>
      </c>
      <c r="E11974" s="18" t="s">
        <v>0</v>
      </c>
      <c r="F11974" s="41">
        <v>1</v>
      </c>
      <c r="G11974" s="4">
        <v>15</v>
      </c>
      <c r="H11974" s="18">
        <v>40.789000000000001</v>
      </c>
      <c r="I11974" s="90"/>
      <c r="J11974" s="90"/>
    </row>
    <row r="11975" spans="1:10" s="15" customFormat="1" ht="16.5" hidden="1" customHeight="1" outlineLevel="1" x14ac:dyDescent="0.25">
      <c r="A11975" s="18">
        <v>4847</v>
      </c>
      <c r="B11975" s="4" t="s">
        <v>44</v>
      </c>
      <c r="C11975" s="38" t="s">
        <v>6754</v>
      </c>
      <c r="D11975" s="18">
        <v>2022</v>
      </c>
      <c r="E11975" s="18" t="s">
        <v>0</v>
      </c>
      <c r="F11975" s="41">
        <v>1</v>
      </c>
      <c r="G11975" s="4">
        <v>7.5</v>
      </c>
      <c r="H11975" s="18">
        <v>50.215000000000003</v>
      </c>
      <c r="I11975" s="90"/>
      <c r="J11975" s="90"/>
    </row>
    <row r="11976" spans="1:10" s="15" customFormat="1" ht="16.5" hidden="1" customHeight="1" outlineLevel="1" x14ac:dyDescent="0.25">
      <c r="A11976" s="18">
        <v>4875</v>
      </c>
      <c r="B11976" s="4" t="s">
        <v>44</v>
      </c>
      <c r="C11976" s="38" t="s">
        <v>6755</v>
      </c>
      <c r="D11976" s="18">
        <v>2022</v>
      </c>
      <c r="E11976" s="18" t="s">
        <v>0</v>
      </c>
      <c r="F11976" s="41">
        <v>1</v>
      </c>
      <c r="G11976" s="4">
        <v>15</v>
      </c>
      <c r="H11976" s="18">
        <v>44.689</v>
      </c>
      <c r="I11976" s="90"/>
      <c r="J11976" s="90"/>
    </row>
    <row r="11977" spans="1:10" s="15" customFormat="1" ht="16.5" hidden="1" customHeight="1" outlineLevel="1" x14ac:dyDescent="0.25">
      <c r="A11977" s="18">
        <v>4968</v>
      </c>
      <c r="B11977" s="4" t="s">
        <v>44</v>
      </c>
      <c r="C11977" s="38" t="s">
        <v>6756</v>
      </c>
      <c r="D11977" s="18">
        <v>2022</v>
      </c>
      <c r="E11977" s="18" t="s">
        <v>0</v>
      </c>
      <c r="F11977" s="41">
        <v>1</v>
      </c>
      <c r="G11977" s="4">
        <v>10</v>
      </c>
      <c r="H11977" s="18">
        <v>37.524000000000001</v>
      </c>
      <c r="I11977" s="90"/>
      <c r="J11977" s="90"/>
    </row>
    <row r="11978" spans="1:10" s="15" customFormat="1" ht="16.5" hidden="1" customHeight="1" outlineLevel="1" x14ac:dyDescent="0.25">
      <c r="A11978" s="18">
        <v>5006</v>
      </c>
      <c r="B11978" s="4" t="s">
        <v>44</v>
      </c>
      <c r="C11978" s="38" t="s">
        <v>6757</v>
      </c>
      <c r="D11978" s="18">
        <v>2022</v>
      </c>
      <c r="E11978" s="18" t="s">
        <v>0</v>
      </c>
      <c r="F11978" s="41">
        <v>1</v>
      </c>
      <c r="G11978" s="4">
        <v>10</v>
      </c>
      <c r="H11978" s="18">
        <v>38.125</v>
      </c>
      <c r="I11978" s="90"/>
      <c r="J11978" s="90"/>
    </row>
    <row r="11979" spans="1:10" s="15" customFormat="1" ht="16.5" hidden="1" customHeight="1" outlineLevel="1" x14ac:dyDescent="0.25">
      <c r="A11979" s="18">
        <v>5016</v>
      </c>
      <c r="B11979" s="4" t="s">
        <v>44</v>
      </c>
      <c r="C11979" s="38" t="s">
        <v>6758</v>
      </c>
      <c r="D11979" s="18">
        <v>2022</v>
      </c>
      <c r="E11979" s="18" t="s">
        <v>0</v>
      </c>
      <c r="F11979" s="41">
        <v>1</v>
      </c>
      <c r="G11979" s="4">
        <v>15</v>
      </c>
      <c r="H11979" s="18">
        <v>41.295000000000002</v>
      </c>
      <c r="I11979" s="90"/>
      <c r="J11979" s="90"/>
    </row>
    <row r="11980" spans="1:10" s="15" customFormat="1" ht="16.5" hidden="1" customHeight="1" outlineLevel="1" x14ac:dyDescent="0.25">
      <c r="A11980" s="18">
        <v>4849</v>
      </c>
      <c r="B11980" s="4" t="s">
        <v>44</v>
      </c>
      <c r="C11980" s="38" t="s">
        <v>6759</v>
      </c>
      <c r="D11980" s="18">
        <v>2022</v>
      </c>
      <c r="E11980" s="18" t="s">
        <v>0</v>
      </c>
      <c r="F11980" s="41">
        <v>1</v>
      </c>
      <c r="G11980" s="4">
        <v>10</v>
      </c>
      <c r="H11980" s="18">
        <v>42.515000000000001</v>
      </c>
      <c r="I11980" s="90"/>
      <c r="J11980" s="90"/>
    </row>
    <row r="11981" spans="1:10" s="15" customFormat="1" ht="16.5" hidden="1" customHeight="1" outlineLevel="1" x14ac:dyDescent="0.25">
      <c r="A11981" s="18">
        <v>4850</v>
      </c>
      <c r="B11981" s="4" t="s">
        <v>44</v>
      </c>
      <c r="C11981" s="38" t="s">
        <v>6760</v>
      </c>
      <c r="D11981" s="18">
        <v>2022</v>
      </c>
      <c r="E11981" s="18" t="s">
        <v>0</v>
      </c>
      <c r="F11981" s="41">
        <v>1</v>
      </c>
      <c r="G11981" s="4">
        <v>10</v>
      </c>
      <c r="H11981" s="18">
        <v>42.530999999999999</v>
      </c>
      <c r="I11981" s="90"/>
      <c r="J11981" s="90"/>
    </row>
    <row r="11982" spans="1:10" s="15" customFormat="1" ht="16.5" hidden="1" customHeight="1" outlineLevel="1" x14ac:dyDescent="0.25">
      <c r="A11982" s="18">
        <v>4851</v>
      </c>
      <c r="B11982" s="4" t="s">
        <v>44</v>
      </c>
      <c r="C11982" s="38" t="s">
        <v>6761</v>
      </c>
      <c r="D11982" s="18">
        <v>2022</v>
      </c>
      <c r="E11982" s="18" t="s">
        <v>0</v>
      </c>
      <c r="F11982" s="41">
        <v>1</v>
      </c>
      <c r="G11982" s="4">
        <v>15</v>
      </c>
      <c r="H11982" s="18">
        <v>42.530999999999999</v>
      </c>
      <c r="I11982" s="90"/>
      <c r="J11982" s="90"/>
    </row>
    <row r="11983" spans="1:10" s="15" customFormat="1" ht="16.5" hidden="1" customHeight="1" outlineLevel="1" x14ac:dyDescent="0.25">
      <c r="A11983" s="18">
        <v>4964</v>
      </c>
      <c r="B11983" s="4" t="s">
        <v>44</v>
      </c>
      <c r="C11983" s="38" t="s">
        <v>6762</v>
      </c>
      <c r="D11983" s="18">
        <v>2022</v>
      </c>
      <c r="E11983" s="18" t="s">
        <v>0</v>
      </c>
      <c r="F11983" s="41">
        <v>1</v>
      </c>
      <c r="G11983" s="4">
        <v>10</v>
      </c>
      <c r="H11983" s="18">
        <v>61.604750000000003</v>
      </c>
      <c r="I11983" s="90"/>
      <c r="J11983" s="90"/>
    </row>
    <row r="11984" spans="1:10" s="15" customFormat="1" ht="16.5" hidden="1" customHeight="1" outlineLevel="1" x14ac:dyDescent="0.25">
      <c r="A11984" s="18">
        <v>4965</v>
      </c>
      <c r="B11984" s="4" t="s">
        <v>44</v>
      </c>
      <c r="C11984" s="38" t="s">
        <v>6763</v>
      </c>
      <c r="D11984" s="18">
        <v>2022</v>
      </c>
      <c r="E11984" s="18" t="s">
        <v>0</v>
      </c>
      <c r="F11984" s="41">
        <v>1</v>
      </c>
      <c r="G11984" s="4">
        <v>10</v>
      </c>
      <c r="H11984" s="18">
        <v>38.961539999999999</v>
      </c>
      <c r="I11984" s="90"/>
      <c r="J11984" s="90"/>
    </row>
    <row r="11985" spans="1:10" s="15" customFormat="1" ht="16.5" hidden="1" customHeight="1" outlineLevel="1" x14ac:dyDescent="0.25">
      <c r="A11985" s="18">
        <v>4966</v>
      </c>
      <c r="B11985" s="4" t="s">
        <v>44</v>
      </c>
      <c r="C11985" s="38" t="s">
        <v>6764</v>
      </c>
      <c r="D11985" s="18">
        <v>2022</v>
      </c>
      <c r="E11985" s="18" t="s">
        <v>0</v>
      </c>
      <c r="F11985" s="41">
        <v>1</v>
      </c>
      <c r="G11985" s="4">
        <v>10</v>
      </c>
      <c r="H11985" s="18">
        <v>38.961539999999999</v>
      </c>
      <c r="I11985" s="90"/>
      <c r="J11985" s="90"/>
    </row>
    <row r="11986" spans="1:10" s="15" customFormat="1" ht="16.5" hidden="1" customHeight="1" outlineLevel="1" x14ac:dyDescent="0.25">
      <c r="A11986" s="18">
        <v>4967</v>
      </c>
      <c r="B11986" s="4" t="s">
        <v>44</v>
      </c>
      <c r="C11986" s="38" t="s">
        <v>6765</v>
      </c>
      <c r="D11986" s="18">
        <v>2022</v>
      </c>
      <c r="E11986" s="18" t="s">
        <v>0</v>
      </c>
      <c r="F11986" s="41">
        <v>1</v>
      </c>
      <c r="G11986" s="4">
        <v>15</v>
      </c>
      <c r="H11986" s="18">
        <v>39.288999999999994</v>
      </c>
      <c r="I11986" s="90"/>
      <c r="J11986" s="90"/>
    </row>
    <row r="11987" spans="1:10" s="15" customFormat="1" ht="16.5" hidden="1" customHeight="1" outlineLevel="1" x14ac:dyDescent="0.25">
      <c r="A11987" s="18">
        <v>4970</v>
      </c>
      <c r="B11987" s="4" t="s">
        <v>44</v>
      </c>
      <c r="C11987" s="38" t="s">
        <v>6766</v>
      </c>
      <c r="D11987" s="18">
        <v>2022</v>
      </c>
      <c r="E11987" s="18" t="s">
        <v>0</v>
      </c>
      <c r="F11987" s="41">
        <v>1</v>
      </c>
      <c r="G11987" s="4">
        <v>10</v>
      </c>
      <c r="H11987" s="18">
        <v>38.386000000000003</v>
      </c>
      <c r="I11987" s="90"/>
      <c r="J11987" s="90"/>
    </row>
    <row r="11988" spans="1:10" s="15" customFormat="1" ht="16.5" hidden="1" customHeight="1" outlineLevel="1" x14ac:dyDescent="0.25">
      <c r="A11988" s="18">
        <v>4971</v>
      </c>
      <c r="B11988" s="4" t="s">
        <v>44</v>
      </c>
      <c r="C11988" s="38" t="s">
        <v>6767</v>
      </c>
      <c r="D11988" s="18">
        <v>2022</v>
      </c>
      <c r="E11988" s="18" t="s">
        <v>0</v>
      </c>
      <c r="F11988" s="41">
        <v>1</v>
      </c>
      <c r="G11988" s="4">
        <v>15</v>
      </c>
      <c r="H11988" s="18">
        <v>38.961500000000001</v>
      </c>
      <c r="I11988" s="90"/>
      <c r="J11988" s="90"/>
    </row>
    <row r="11989" spans="1:10" s="15" customFormat="1" ht="16.5" hidden="1" customHeight="1" outlineLevel="1" x14ac:dyDescent="0.25">
      <c r="A11989" s="18">
        <v>4972</v>
      </c>
      <c r="B11989" s="4" t="s">
        <v>44</v>
      </c>
      <c r="C11989" s="38" t="s">
        <v>6768</v>
      </c>
      <c r="D11989" s="18">
        <v>2022</v>
      </c>
      <c r="E11989" s="18" t="s">
        <v>0</v>
      </c>
      <c r="F11989" s="41">
        <v>1</v>
      </c>
      <c r="G11989" s="4">
        <v>10</v>
      </c>
      <c r="H11989" s="18">
        <v>39.288999999999994</v>
      </c>
      <c r="I11989" s="90"/>
      <c r="J11989" s="90"/>
    </row>
    <row r="11990" spans="1:10" s="15" customFormat="1" ht="16.5" hidden="1" customHeight="1" outlineLevel="1" x14ac:dyDescent="0.25">
      <c r="A11990" s="18">
        <v>4973</v>
      </c>
      <c r="B11990" s="4" t="s">
        <v>44</v>
      </c>
      <c r="C11990" s="38" t="s">
        <v>6769</v>
      </c>
      <c r="D11990" s="18">
        <v>2022</v>
      </c>
      <c r="E11990" s="18" t="s">
        <v>0</v>
      </c>
      <c r="F11990" s="41">
        <v>1</v>
      </c>
      <c r="G11990" s="4">
        <v>10</v>
      </c>
      <c r="H11990" s="18">
        <v>39.288999999999994</v>
      </c>
      <c r="I11990" s="90"/>
      <c r="J11990" s="90"/>
    </row>
    <row r="11991" spans="1:10" s="15" customFormat="1" ht="16.5" hidden="1" customHeight="1" outlineLevel="1" x14ac:dyDescent="0.25">
      <c r="A11991" s="18">
        <v>4974</v>
      </c>
      <c r="B11991" s="4" t="s">
        <v>44</v>
      </c>
      <c r="C11991" s="38" t="s">
        <v>6770</v>
      </c>
      <c r="D11991" s="18">
        <v>2022</v>
      </c>
      <c r="E11991" s="18" t="s">
        <v>0</v>
      </c>
      <c r="F11991" s="41">
        <v>1</v>
      </c>
      <c r="G11991" s="4">
        <v>10</v>
      </c>
      <c r="H11991" s="18">
        <v>38.634</v>
      </c>
      <c r="I11991" s="90"/>
      <c r="J11991" s="90"/>
    </row>
    <row r="11992" spans="1:10" s="15" customFormat="1" ht="16.5" hidden="1" customHeight="1" outlineLevel="1" x14ac:dyDescent="0.25">
      <c r="A11992" s="18">
        <v>4975</v>
      </c>
      <c r="B11992" s="4" t="s">
        <v>44</v>
      </c>
      <c r="C11992" s="38" t="s">
        <v>6771</v>
      </c>
      <c r="D11992" s="18">
        <v>2022</v>
      </c>
      <c r="E11992" s="18" t="s">
        <v>0</v>
      </c>
      <c r="F11992" s="41">
        <v>1</v>
      </c>
      <c r="G11992" s="4">
        <v>15</v>
      </c>
      <c r="H11992" s="18">
        <v>38.961530000000003</v>
      </c>
      <c r="I11992" s="90"/>
      <c r="J11992" s="90"/>
    </row>
    <row r="11993" spans="1:10" s="15" customFormat="1" ht="16.5" hidden="1" customHeight="1" outlineLevel="1" x14ac:dyDescent="0.25">
      <c r="A11993" s="18">
        <v>4976</v>
      </c>
      <c r="B11993" s="4" t="s">
        <v>44</v>
      </c>
      <c r="C11993" s="38" t="s">
        <v>6772</v>
      </c>
      <c r="D11993" s="18">
        <v>2022</v>
      </c>
      <c r="E11993" s="18" t="s">
        <v>0</v>
      </c>
      <c r="F11993" s="41">
        <v>1</v>
      </c>
      <c r="G11993" s="4">
        <v>15</v>
      </c>
      <c r="H11993" s="18">
        <v>38.634</v>
      </c>
      <c r="I11993" s="90"/>
      <c r="J11993" s="90"/>
    </row>
    <row r="11994" spans="1:10" s="15" customFormat="1" ht="16.5" hidden="1" customHeight="1" outlineLevel="1" x14ac:dyDescent="0.25">
      <c r="A11994" s="18">
        <v>4977</v>
      </c>
      <c r="B11994" s="4" t="s">
        <v>44</v>
      </c>
      <c r="C11994" s="38" t="s">
        <v>6773</v>
      </c>
      <c r="D11994" s="18">
        <v>2022</v>
      </c>
      <c r="E11994" s="18" t="s">
        <v>0</v>
      </c>
      <c r="F11994" s="41">
        <v>1</v>
      </c>
      <c r="G11994" s="4">
        <v>15</v>
      </c>
      <c r="H11994" s="18">
        <v>39.288999999999994</v>
      </c>
      <c r="I11994" s="90"/>
      <c r="J11994" s="90"/>
    </row>
    <row r="11995" spans="1:10" s="15" customFormat="1" ht="16.5" hidden="1" customHeight="1" outlineLevel="1" x14ac:dyDescent="0.25">
      <c r="A11995" s="18">
        <v>4978</v>
      </c>
      <c r="B11995" s="4" t="s">
        <v>44</v>
      </c>
      <c r="C11995" s="38" t="s">
        <v>6774</v>
      </c>
      <c r="D11995" s="18">
        <v>2022</v>
      </c>
      <c r="E11995" s="18" t="s">
        <v>0</v>
      </c>
      <c r="F11995" s="41">
        <v>1</v>
      </c>
      <c r="G11995" s="4">
        <v>10</v>
      </c>
      <c r="H11995" s="18">
        <v>38.386000000000003</v>
      </c>
      <c r="I11995" s="90"/>
      <c r="J11995" s="90"/>
    </row>
    <row r="11996" spans="1:10" s="15" customFormat="1" ht="16.5" hidden="1" customHeight="1" outlineLevel="1" x14ac:dyDescent="0.25">
      <c r="A11996" s="18">
        <v>4979</v>
      </c>
      <c r="B11996" s="4" t="s">
        <v>44</v>
      </c>
      <c r="C11996" s="38" t="s">
        <v>6775</v>
      </c>
      <c r="D11996" s="18">
        <v>2022</v>
      </c>
      <c r="E11996" s="18" t="s">
        <v>0</v>
      </c>
      <c r="F11996" s="41">
        <v>1</v>
      </c>
      <c r="G11996" s="4">
        <v>15</v>
      </c>
      <c r="H11996" s="18">
        <v>39.288999999999994</v>
      </c>
      <c r="I11996" s="90"/>
      <c r="J11996" s="90"/>
    </row>
    <row r="11997" spans="1:10" s="15" customFormat="1" ht="16.5" hidden="1" customHeight="1" outlineLevel="1" x14ac:dyDescent="0.25">
      <c r="A11997" s="18">
        <v>4980</v>
      </c>
      <c r="B11997" s="4" t="s">
        <v>44</v>
      </c>
      <c r="C11997" s="38" t="s">
        <v>6776</v>
      </c>
      <c r="D11997" s="18">
        <v>2022</v>
      </c>
      <c r="E11997" s="18" t="s">
        <v>0</v>
      </c>
      <c r="F11997" s="41">
        <v>1</v>
      </c>
      <c r="G11997" s="4">
        <v>15</v>
      </c>
      <c r="H11997" s="18">
        <v>39.288999999999994</v>
      </c>
      <c r="I11997" s="90"/>
      <c r="J11997" s="90"/>
    </row>
    <row r="11998" spans="1:10" s="15" customFormat="1" ht="16.5" hidden="1" customHeight="1" outlineLevel="1" x14ac:dyDescent="0.25">
      <c r="A11998" s="18">
        <v>4981</v>
      </c>
      <c r="B11998" s="4" t="s">
        <v>44</v>
      </c>
      <c r="C11998" s="38" t="s">
        <v>6777</v>
      </c>
      <c r="D11998" s="18">
        <v>2022</v>
      </c>
      <c r="E11998" s="18" t="s">
        <v>0</v>
      </c>
      <c r="F11998" s="41">
        <v>1</v>
      </c>
      <c r="G11998" s="4">
        <v>15</v>
      </c>
      <c r="H11998" s="18">
        <v>38.059000000000005</v>
      </c>
      <c r="I11998" s="90"/>
      <c r="J11998" s="90"/>
    </row>
    <row r="11999" spans="1:10" s="15" customFormat="1" ht="16.5" hidden="1" customHeight="1" outlineLevel="1" x14ac:dyDescent="0.25">
      <c r="A11999" s="18">
        <v>4999</v>
      </c>
      <c r="B11999" s="4" t="s">
        <v>44</v>
      </c>
      <c r="C11999" s="38" t="s">
        <v>6778</v>
      </c>
      <c r="D11999" s="18">
        <v>2022</v>
      </c>
      <c r="E11999" s="18" t="s">
        <v>0</v>
      </c>
      <c r="F11999" s="41">
        <v>1</v>
      </c>
      <c r="G11999" s="4">
        <v>15</v>
      </c>
      <c r="H11999" s="18">
        <v>38.961999999999996</v>
      </c>
      <c r="I11999" s="90"/>
      <c r="J11999" s="90"/>
    </row>
    <row r="12000" spans="1:10" s="15" customFormat="1" ht="16.5" hidden="1" customHeight="1" outlineLevel="1" x14ac:dyDescent="0.25">
      <c r="A12000" s="18">
        <v>5000</v>
      </c>
      <c r="B12000" s="4" t="s">
        <v>44</v>
      </c>
      <c r="C12000" s="38" t="s">
        <v>6779</v>
      </c>
      <c r="D12000" s="18">
        <v>2022</v>
      </c>
      <c r="E12000" s="18" t="s">
        <v>0</v>
      </c>
      <c r="F12000" s="41">
        <v>1</v>
      </c>
      <c r="G12000" s="4">
        <v>15</v>
      </c>
      <c r="H12000" s="18">
        <v>38.961000000000006</v>
      </c>
      <c r="I12000" s="90"/>
      <c r="J12000" s="90"/>
    </row>
    <row r="12001" spans="1:10" s="15" customFormat="1" ht="16.5" hidden="1" customHeight="1" outlineLevel="1" x14ac:dyDescent="0.25">
      <c r="A12001" s="18">
        <v>5001</v>
      </c>
      <c r="B12001" s="4" t="s">
        <v>44</v>
      </c>
      <c r="C12001" s="38" t="s">
        <v>6780</v>
      </c>
      <c r="D12001" s="18">
        <v>2022</v>
      </c>
      <c r="E12001" s="18" t="s">
        <v>0</v>
      </c>
      <c r="F12001" s="41">
        <v>1</v>
      </c>
      <c r="G12001" s="4">
        <v>15</v>
      </c>
      <c r="H12001" s="18">
        <v>39.288999999999994</v>
      </c>
      <c r="I12001" s="90"/>
      <c r="J12001" s="90"/>
    </row>
    <row r="12002" spans="1:10" s="15" customFormat="1" ht="16.5" hidden="1" customHeight="1" outlineLevel="1" x14ac:dyDescent="0.25">
      <c r="A12002" s="18">
        <v>5013</v>
      </c>
      <c r="B12002" s="4" t="s">
        <v>44</v>
      </c>
      <c r="C12002" s="38" t="s">
        <v>6781</v>
      </c>
      <c r="D12002" s="18">
        <v>2022</v>
      </c>
      <c r="E12002" s="18" t="s">
        <v>0</v>
      </c>
      <c r="F12002" s="41">
        <v>1</v>
      </c>
      <c r="G12002" s="4">
        <v>40.200000000000003</v>
      </c>
      <c r="H12002" s="18">
        <v>38.961000000000006</v>
      </c>
      <c r="I12002" s="90"/>
      <c r="J12002" s="90"/>
    </row>
    <row r="12003" spans="1:10" s="15" customFormat="1" ht="16.5" hidden="1" customHeight="1" outlineLevel="1" x14ac:dyDescent="0.25">
      <c r="A12003" s="18">
        <v>4880</v>
      </c>
      <c r="B12003" s="4" t="s">
        <v>44</v>
      </c>
      <c r="C12003" s="38" t="s">
        <v>2997</v>
      </c>
      <c r="D12003" s="18">
        <v>2022</v>
      </c>
      <c r="E12003" s="18" t="s">
        <v>0</v>
      </c>
      <c r="F12003" s="41">
        <v>1</v>
      </c>
      <c r="G12003" s="4">
        <v>15</v>
      </c>
      <c r="H12003" s="18">
        <v>69.734000000000009</v>
      </c>
      <c r="I12003" s="90"/>
      <c r="J12003" s="90"/>
    </row>
    <row r="12004" spans="1:10" s="15" customFormat="1" ht="16.5" hidden="1" customHeight="1" outlineLevel="1" x14ac:dyDescent="0.25">
      <c r="A12004" s="18">
        <v>5023</v>
      </c>
      <c r="B12004" s="4" t="s">
        <v>44</v>
      </c>
      <c r="C12004" s="38" t="s">
        <v>6782</v>
      </c>
      <c r="D12004" s="18">
        <v>2022</v>
      </c>
      <c r="E12004" s="18" t="s">
        <v>0</v>
      </c>
      <c r="F12004" s="41">
        <v>1</v>
      </c>
      <c r="G12004" s="4">
        <v>14</v>
      </c>
      <c r="H12004" s="18">
        <v>41.550700000000006</v>
      </c>
      <c r="I12004" s="90"/>
      <c r="J12004" s="90"/>
    </row>
    <row r="12005" spans="1:10" s="15" customFormat="1" ht="16.5" hidden="1" customHeight="1" outlineLevel="1" x14ac:dyDescent="0.25">
      <c r="A12005" s="18">
        <v>5028</v>
      </c>
      <c r="B12005" s="4" t="s">
        <v>44</v>
      </c>
      <c r="C12005" s="38" t="s">
        <v>6783</v>
      </c>
      <c r="D12005" s="18">
        <v>2022</v>
      </c>
      <c r="E12005" s="18" t="s">
        <v>0</v>
      </c>
      <c r="F12005" s="41">
        <v>1</v>
      </c>
      <c r="G12005" s="4">
        <v>14</v>
      </c>
      <c r="H12005" s="18">
        <v>41.582300000000004</v>
      </c>
      <c r="I12005" s="90"/>
      <c r="J12005" s="90"/>
    </row>
    <row r="12006" spans="1:10" s="15" customFormat="1" ht="16.5" hidden="1" customHeight="1" outlineLevel="1" x14ac:dyDescent="0.25">
      <c r="A12006" s="18">
        <v>5029</v>
      </c>
      <c r="B12006" s="4" t="s">
        <v>44</v>
      </c>
      <c r="C12006" s="38" t="s">
        <v>6784</v>
      </c>
      <c r="D12006" s="18">
        <v>2022</v>
      </c>
      <c r="E12006" s="18" t="s">
        <v>0</v>
      </c>
      <c r="F12006" s="41">
        <v>1</v>
      </c>
      <c r="G12006" s="4">
        <v>14</v>
      </c>
      <c r="H12006" s="18">
        <v>41.069500000000005</v>
      </c>
      <c r="I12006" s="90"/>
      <c r="J12006" s="90"/>
    </row>
    <row r="12007" spans="1:10" s="15" customFormat="1" ht="16.5" hidden="1" customHeight="1" outlineLevel="1" x14ac:dyDescent="0.25">
      <c r="A12007" s="18">
        <v>5040</v>
      </c>
      <c r="B12007" s="4" t="s">
        <v>44</v>
      </c>
      <c r="C12007" s="38" t="s">
        <v>6785</v>
      </c>
      <c r="D12007" s="18">
        <v>2022</v>
      </c>
      <c r="E12007" s="18" t="s">
        <v>0</v>
      </c>
      <c r="F12007" s="41">
        <v>1</v>
      </c>
      <c r="G12007" s="4">
        <v>15</v>
      </c>
      <c r="H12007" s="18">
        <v>41.069500000000005</v>
      </c>
      <c r="I12007" s="90"/>
      <c r="J12007" s="90"/>
    </row>
    <row r="12008" spans="1:10" s="15" customFormat="1" ht="16.5" hidden="1" customHeight="1" outlineLevel="1" x14ac:dyDescent="0.25">
      <c r="A12008" s="18">
        <v>4917</v>
      </c>
      <c r="B12008" s="4" t="s">
        <v>44</v>
      </c>
      <c r="C12008" s="38" t="s">
        <v>2998</v>
      </c>
      <c r="D12008" s="18">
        <v>2022</v>
      </c>
      <c r="E12008" s="18" t="s">
        <v>0</v>
      </c>
      <c r="F12008" s="41">
        <v>1</v>
      </c>
      <c r="G12008" s="4">
        <v>10</v>
      </c>
      <c r="H12008" s="18">
        <v>81.466999999999999</v>
      </c>
      <c r="I12008" s="90"/>
      <c r="J12008" s="90"/>
    </row>
    <row r="12009" spans="1:10" s="15" customFormat="1" ht="16.5" hidden="1" customHeight="1" outlineLevel="1" x14ac:dyDescent="0.25">
      <c r="A12009" s="18">
        <v>5022</v>
      </c>
      <c r="B12009" s="4" t="s">
        <v>44</v>
      </c>
      <c r="C12009" s="38" t="s">
        <v>6786</v>
      </c>
      <c r="D12009" s="18">
        <v>2022</v>
      </c>
      <c r="E12009" s="18" t="s">
        <v>0</v>
      </c>
      <c r="F12009" s="41">
        <v>1</v>
      </c>
      <c r="G12009" s="4">
        <v>14.2</v>
      </c>
      <c r="H12009" s="18">
        <v>46.305600000000005</v>
      </c>
      <c r="I12009" s="90"/>
      <c r="J12009" s="90"/>
    </row>
    <row r="12010" spans="1:10" s="15" customFormat="1" ht="16.5" hidden="1" customHeight="1" outlineLevel="1" x14ac:dyDescent="0.25">
      <c r="A12010" s="18">
        <v>5030</v>
      </c>
      <c r="B12010" s="4" t="s">
        <v>44</v>
      </c>
      <c r="C12010" s="38" t="s">
        <v>6787</v>
      </c>
      <c r="D12010" s="18">
        <v>2022</v>
      </c>
      <c r="E12010" s="18" t="s">
        <v>0</v>
      </c>
      <c r="F12010" s="41">
        <v>1</v>
      </c>
      <c r="G12010" s="4">
        <v>10.1</v>
      </c>
      <c r="H12010" s="18">
        <v>38.784999999999997</v>
      </c>
      <c r="I12010" s="90"/>
      <c r="J12010" s="90"/>
    </row>
    <row r="12011" spans="1:10" s="15" customFormat="1" ht="16.5" hidden="1" customHeight="1" outlineLevel="1" x14ac:dyDescent="0.25">
      <c r="A12011" s="18">
        <v>5031</v>
      </c>
      <c r="B12011" s="4" t="s">
        <v>44</v>
      </c>
      <c r="C12011" s="38" t="s">
        <v>6788</v>
      </c>
      <c r="D12011" s="18">
        <v>2022</v>
      </c>
      <c r="E12011" s="18" t="s">
        <v>0</v>
      </c>
      <c r="F12011" s="41">
        <v>1</v>
      </c>
      <c r="G12011" s="4">
        <v>15</v>
      </c>
      <c r="H12011" s="18">
        <v>38.85</v>
      </c>
      <c r="I12011" s="90"/>
      <c r="J12011" s="90"/>
    </row>
    <row r="12012" spans="1:10" s="15" customFormat="1" ht="16.5" hidden="1" customHeight="1" outlineLevel="1" x14ac:dyDescent="0.25">
      <c r="A12012" s="18">
        <v>5043</v>
      </c>
      <c r="B12012" s="4" t="s">
        <v>44</v>
      </c>
      <c r="C12012" s="38" t="s">
        <v>6789</v>
      </c>
      <c r="D12012" s="18">
        <v>2022</v>
      </c>
      <c r="E12012" s="18" t="s">
        <v>0</v>
      </c>
      <c r="F12012" s="41">
        <v>1</v>
      </c>
      <c r="G12012" s="4">
        <v>10</v>
      </c>
      <c r="H12012" s="18">
        <v>46.448</v>
      </c>
      <c r="I12012" s="90"/>
      <c r="J12012" s="90"/>
    </row>
    <row r="12013" spans="1:10" s="15" customFormat="1" ht="16.5" hidden="1" customHeight="1" outlineLevel="1" x14ac:dyDescent="0.25">
      <c r="A12013" s="18">
        <v>5044</v>
      </c>
      <c r="B12013" s="4" t="s">
        <v>44</v>
      </c>
      <c r="C12013" s="38" t="s">
        <v>6790</v>
      </c>
      <c r="D12013" s="18">
        <v>2022</v>
      </c>
      <c r="E12013" s="18" t="s">
        <v>0</v>
      </c>
      <c r="F12013" s="41">
        <v>1</v>
      </c>
      <c r="G12013" s="4">
        <v>9</v>
      </c>
      <c r="H12013" s="18">
        <v>46.305</v>
      </c>
      <c r="I12013" s="90"/>
      <c r="J12013" s="90"/>
    </row>
    <row r="12014" spans="1:10" s="15" customFormat="1" ht="16.5" hidden="1" customHeight="1" outlineLevel="1" x14ac:dyDescent="0.25">
      <c r="A12014" s="18">
        <v>5045</v>
      </c>
      <c r="B12014" s="4" t="s">
        <v>44</v>
      </c>
      <c r="C12014" s="38" t="s">
        <v>6791</v>
      </c>
      <c r="D12014" s="18">
        <v>2022</v>
      </c>
      <c r="E12014" s="18" t="s">
        <v>0</v>
      </c>
      <c r="F12014" s="41">
        <v>1</v>
      </c>
      <c r="G12014" s="4">
        <v>15</v>
      </c>
      <c r="H12014" s="18">
        <v>38.862000000000002</v>
      </c>
      <c r="I12014" s="90"/>
      <c r="J12014" s="90"/>
    </row>
    <row r="12015" spans="1:10" s="15" customFormat="1" ht="16.5" hidden="1" customHeight="1" outlineLevel="1" x14ac:dyDescent="0.25">
      <c r="A12015" s="18">
        <v>5047</v>
      </c>
      <c r="B12015" s="4" t="s">
        <v>44</v>
      </c>
      <c r="C12015" s="38" t="s">
        <v>6792</v>
      </c>
      <c r="D12015" s="18">
        <v>2022</v>
      </c>
      <c r="E12015" s="18" t="s">
        <v>0</v>
      </c>
      <c r="F12015" s="41">
        <v>1</v>
      </c>
      <c r="G12015" s="4">
        <v>15</v>
      </c>
      <c r="H12015" s="18">
        <v>38.914999999999999</v>
      </c>
      <c r="I12015" s="90"/>
      <c r="J12015" s="90"/>
    </row>
    <row r="12016" spans="1:10" s="15" customFormat="1" ht="16.5" hidden="1" customHeight="1" outlineLevel="1" x14ac:dyDescent="0.25">
      <c r="A12016" s="18">
        <v>5050</v>
      </c>
      <c r="B12016" s="4" t="s">
        <v>44</v>
      </c>
      <c r="C12016" s="38" t="s">
        <v>2999</v>
      </c>
      <c r="D12016" s="18">
        <v>2022</v>
      </c>
      <c r="E12016" s="18" t="s">
        <v>0</v>
      </c>
      <c r="F12016" s="41">
        <v>2</v>
      </c>
      <c r="G12016" s="4">
        <v>20</v>
      </c>
      <c r="H12016" s="18">
        <v>166.97</v>
      </c>
      <c r="I12016" s="90"/>
      <c r="J12016" s="90"/>
    </row>
    <row r="12017" spans="1:10" s="15" customFormat="1" ht="16.5" hidden="1" customHeight="1" outlineLevel="1" x14ac:dyDescent="0.25">
      <c r="A12017" s="18">
        <v>5052</v>
      </c>
      <c r="B12017" s="4" t="s">
        <v>44</v>
      </c>
      <c r="C12017" s="38" t="s">
        <v>3000</v>
      </c>
      <c r="D12017" s="18">
        <v>2022</v>
      </c>
      <c r="E12017" s="18" t="s">
        <v>0</v>
      </c>
      <c r="F12017" s="41">
        <v>1</v>
      </c>
      <c r="G12017" s="4">
        <v>10</v>
      </c>
      <c r="H12017" s="18">
        <v>79.320000000000007</v>
      </c>
      <c r="I12017" s="90"/>
      <c r="J12017" s="90"/>
    </row>
    <row r="12018" spans="1:10" s="15" customFormat="1" ht="16.5" hidden="1" customHeight="1" outlineLevel="1" x14ac:dyDescent="0.25">
      <c r="A12018" s="18">
        <v>5053</v>
      </c>
      <c r="B12018" s="4" t="s">
        <v>44</v>
      </c>
      <c r="C12018" s="38" t="s">
        <v>3014</v>
      </c>
      <c r="D12018" s="18">
        <v>2022</v>
      </c>
      <c r="E12018" s="18" t="s">
        <v>0</v>
      </c>
      <c r="F12018" s="41">
        <v>1</v>
      </c>
      <c r="G12018" s="4">
        <v>10</v>
      </c>
      <c r="H12018" s="18">
        <v>79.680000000000007</v>
      </c>
      <c r="I12018" s="90"/>
      <c r="J12018" s="90"/>
    </row>
    <row r="12019" spans="1:10" s="15" customFormat="1" ht="16.5" hidden="1" customHeight="1" outlineLevel="1" x14ac:dyDescent="0.25">
      <c r="A12019" s="18">
        <v>5055</v>
      </c>
      <c r="B12019" s="4" t="s">
        <v>44</v>
      </c>
      <c r="C12019" s="38" t="s">
        <v>3001</v>
      </c>
      <c r="D12019" s="18">
        <v>2022</v>
      </c>
      <c r="E12019" s="18" t="s">
        <v>0</v>
      </c>
      <c r="F12019" s="41">
        <v>1</v>
      </c>
      <c r="G12019" s="4">
        <v>10</v>
      </c>
      <c r="H12019" s="18">
        <v>87.573999999999998</v>
      </c>
      <c r="I12019" s="90"/>
      <c r="J12019" s="90"/>
    </row>
    <row r="12020" spans="1:10" s="15" customFormat="1" ht="16.5" hidden="1" customHeight="1" outlineLevel="1" x14ac:dyDescent="0.25">
      <c r="A12020" s="18">
        <v>4800</v>
      </c>
      <c r="B12020" s="4" t="s">
        <v>44</v>
      </c>
      <c r="C12020" s="38" t="s">
        <v>3002</v>
      </c>
      <c r="D12020" s="18">
        <v>2022</v>
      </c>
      <c r="E12020" s="18" t="s">
        <v>0</v>
      </c>
      <c r="F12020" s="41">
        <v>1</v>
      </c>
      <c r="G12020" s="4">
        <v>15</v>
      </c>
      <c r="H12020" s="18">
        <v>62.144999999999996</v>
      </c>
      <c r="I12020" s="90"/>
      <c r="J12020" s="90"/>
    </row>
    <row r="12021" spans="1:10" s="15" customFormat="1" ht="16.5" hidden="1" customHeight="1" outlineLevel="1" x14ac:dyDescent="0.25">
      <c r="A12021" s="18">
        <v>5054</v>
      </c>
      <c r="B12021" s="4" t="s">
        <v>44</v>
      </c>
      <c r="C12021" s="38" t="s">
        <v>3003</v>
      </c>
      <c r="D12021" s="18">
        <v>2022</v>
      </c>
      <c r="E12021" s="18" t="s">
        <v>0</v>
      </c>
      <c r="F12021" s="41">
        <v>1</v>
      </c>
      <c r="G12021" s="4">
        <v>15</v>
      </c>
      <c r="H12021" s="18">
        <v>91.715000000000003</v>
      </c>
      <c r="I12021" s="90"/>
      <c r="J12021" s="90"/>
    </row>
    <row r="12022" spans="1:10" s="15" customFormat="1" ht="16.5" hidden="1" customHeight="1" outlineLevel="1" x14ac:dyDescent="0.25">
      <c r="A12022" s="18">
        <v>4913</v>
      </c>
      <c r="B12022" s="4" t="s">
        <v>44</v>
      </c>
      <c r="C12022" s="38" t="s">
        <v>3104</v>
      </c>
      <c r="D12022" s="18">
        <v>2022</v>
      </c>
      <c r="E12022" s="18" t="s">
        <v>0</v>
      </c>
      <c r="F12022" s="41">
        <v>2</v>
      </c>
      <c r="G12022" s="4">
        <v>20</v>
      </c>
      <c r="H12022" s="18">
        <v>123.482</v>
      </c>
      <c r="I12022" s="90"/>
      <c r="J12022" s="90"/>
    </row>
    <row r="12023" spans="1:10" s="15" customFormat="1" ht="16.5" hidden="1" customHeight="1" outlineLevel="1" x14ac:dyDescent="0.25">
      <c r="A12023" s="18">
        <v>4948</v>
      </c>
      <c r="B12023" s="4" t="s">
        <v>44</v>
      </c>
      <c r="C12023" s="38" t="s">
        <v>3004</v>
      </c>
      <c r="D12023" s="18">
        <v>2022</v>
      </c>
      <c r="E12023" s="18" t="s">
        <v>0</v>
      </c>
      <c r="F12023" s="41">
        <v>1</v>
      </c>
      <c r="G12023" s="4">
        <v>15</v>
      </c>
      <c r="H12023" s="18">
        <v>75.962000000000003</v>
      </c>
      <c r="I12023" s="90"/>
      <c r="J12023" s="90"/>
    </row>
    <row r="12024" spans="1:10" s="15" customFormat="1" ht="16.5" hidden="1" customHeight="1" outlineLevel="1" x14ac:dyDescent="0.25">
      <c r="A12024" s="18">
        <v>5024</v>
      </c>
      <c r="B12024" s="4" t="s">
        <v>44</v>
      </c>
      <c r="C12024" s="38" t="s">
        <v>6793</v>
      </c>
      <c r="D12024" s="18">
        <v>2022</v>
      </c>
      <c r="E12024" s="18" t="s">
        <v>0</v>
      </c>
      <c r="F12024" s="41">
        <v>1</v>
      </c>
      <c r="G12024" s="4">
        <v>15</v>
      </c>
      <c r="H12024" s="18">
        <v>38.234499999999997</v>
      </c>
      <c r="I12024" s="90"/>
      <c r="J12024" s="90"/>
    </row>
    <row r="12025" spans="1:10" s="15" customFormat="1" ht="16.5" hidden="1" customHeight="1" outlineLevel="1" x14ac:dyDescent="0.25">
      <c r="A12025" s="18">
        <v>5026</v>
      </c>
      <c r="B12025" s="4" t="s">
        <v>44</v>
      </c>
      <c r="C12025" s="38" t="s">
        <v>6794</v>
      </c>
      <c r="D12025" s="18">
        <v>2022</v>
      </c>
      <c r="E12025" s="18" t="s">
        <v>0</v>
      </c>
      <c r="F12025" s="41">
        <v>1</v>
      </c>
      <c r="G12025" s="4">
        <v>10</v>
      </c>
      <c r="H12025" s="18">
        <v>38.209699999999998</v>
      </c>
      <c r="I12025" s="90"/>
      <c r="J12025" s="90"/>
    </row>
    <row r="12026" spans="1:10" s="15" customFormat="1" ht="16.5" hidden="1" customHeight="1" outlineLevel="1" x14ac:dyDescent="0.25">
      <c r="A12026" s="18">
        <v>5032</v>
      </c>
      <c r="B12026" s="4" t="s">
        <v>44</v>
      </c>
      <c r="C12026" s="38" t="s">
        <v>6795</v>
      </c>
      <c r="D12026" s="18">
        <v>2022</v>
      </c>
      <c r="E12026" s="18" t="s">
        <v>0</v>
      </c>
      <c r="F12026" s="41">
        <v>1</v>
      </c>
      <c r="G12026" s="4">
        <v>10</v>
      </c>
      <c r="H12026" s="18">
        <v>37.637999999999998</v>
      </c>
      <c r="I12026" s="90"/>
      <c r="J12026" s="90"/>
    </row>
    <row r="12027" spans="1:10" s="15" customFormat="1" ht="16.5" hidden="1" customHeight="1" outlineLevel="1" x14ac:dyDescent="0.25">
      <c r="A12027" s="18">
        <v>5035</v>
      </c>
      <c r="B12027" s="4" t="s">
        <v>44</v>
      </c>
      <c r="C12027" s="38" t="s">
        <v>6796</v>
      </c>
      <c r="D12027" s="18">
        <v>2022</v>
      </c>
      <c r="E12027" s="18" t="s">
        <v>0</v>
      </c>
      <c r="F12027" s="41">
        <v>1</v>
      </c>
      <c r="G12027" s="4">
        <v>10</v>
      </c>
      <c r="H12027" s="18">
        <v>38.146999999999998</v>
      </c>
      <c r="I12027" s="90"/>
      <c r="J12027" s="90"/>
    </row>
    <row r="12028" spans="1:10" s="15" customFormat="1" ht="16.5" hidden="1" customHeight="1" outlineLevel="1" x14ac:dyDescent="0.25">
      <c r="A12028" s="18">
        <v>5037</v>
      </c>
      <c r="B12028" s="4" t="s">
        <v>44</v>
      </c>
      <c r="C12028" s="38" t="s">
        <v>6797</v>
      </c>
      <c r="D12028" s="18">
        <v>2022</v>
      </c>
      <c r="E12028" s="18" t="s">
        <v>0</v>
      </c>
      <c r="F12028" s="41">
        <v>1</v>
      </c>
      <c r="G12028" s="4">
        <v>15</v>
      </c>
      <c r="H12028" s="18">
        <v>35.825000000000003</v>
      </c>
      <c r="I12028" s="90"/>
      <c r="J12028" s="90"/>
    </row>
    <row r="12029" spans="1:10" s="15" customFormat="1" ht="16.5" hidden="1" customHeight="1" outlineLevel="1" x14ac:dyDescent="0.25">
      <c r="A12029" s="18">
        <v>5038</v>
      </c>
      <c r="B12029" s="4" t="s">
        <v>44</v>
      </c>
      <c r="C12029" s="38" t="s">
        <v>6798</v>
      </c>
      <c r="D12029" s="18">
        <v>2022</v>
      </c>
      <c r="E12029" s="18" t="s">
        <v>0</v>
      </c>
      <c r="F12029" s="41">
        <v>1</v>
      </c>
      <c r="G12029" s="4">
        <v>10</v>
      </c>
      <c r="H12029" s="18">
        <v>36.401000000000003</v>
      </c>
      <c r="I12029" s="90"/>
      <c r="J12029" s="90"/>
    </row>
    <row r="12030" spans="1:10" s="15" customFormat="1" ht="16.5" hidden="1" customHeight="1" outlineLevel="1" x14ac:dyDescent="0.25">
      <c r="A12030" s="18">
        <v>5039</v>
      </c>
      <c r="B12030" s="4" t="s">
        <v>44</v>
      </c>
      <c r="C12030" s="38" t="s">
        <v>6799</v>
      </c>
      <c r="D12030" s="18">
        <v>2022</v>
      </c>
      <c r="E12030" s="18" t="s">
        <v>0</v>
      </c>
      <c r="F12030" s="41">
        <v>1</v>
      </c>
      <c r="G12030" s="4">
        <v>10</v>
      </c>
      <c r="H12030" s="18">
        <v>36.15</v>
      </c>
      <c r="I12030" s="90"/>
      <c r="J12030" s="90"/>
    </row>
    <row r="12031" spans="1:10" s="15" customFormat="1" ht="16.5" hidden="1" customHeight="1" outlineLevel="1" x14ac:dyDescent="0.25">
      <c r="A12031" s="18">
        <v>5041</v>
      </c>
      <c r="B12031" s="4" t="s">
        <v>44</v>
      </c>
      <c r="C12031" s="38" t="s">
        <v>6800</v>
      </c>
      <c r="D12031" s="18">
        <v>2022</v>
      </c>
      <c r="E12031" s="18" t="s">
        <v>0</v>
      </c>
      <c r="F12031" s="41">
        <v>1</v>
      </c>
      <c r="G12031" s="4">
        <v>10</v>
      </c>
      <c r="H12031" s="18">
        <v>37.461500000000001</v>
      </c>
      <c r="I12031" s="90"/>
      <c r="J12031" s="90"/>
    </row>
    <row r="12032" spans="1:10" s="15" customFormat="1" ht="16.5" hidden="1" customHeight="1" outlineLevel="1" x14ac:dyDescent="0.25">
      <c r="A12032" s="18">
        <v>5042</v>
      </c>
      <c r="B12032" s="4" t="s">
        <v>44</v>
      </c>
      <c r="C12032" s="38" t="s">
        <v>6801</v>
      </c>
      <c r="D12032" s="18">
        <v>2022</v>
      </c>
      <c r="E12032" s="18" t="s">
        <v>0</v>
      </c>
      <c r="F12032" s="41">
        <v>1</v>
      </c>
      <c r="G12032" s="4">
        <v>10</v>
      </c>
      <c r="H12032" s="18">
        <v>37.591999999999999</v>
      </c>
      <c r="I12032" s="90"/>
      <c r="J12032" s="90"/>
    </row>
    <row r="12033" spans="1:10" s="15" customFormat="1" ht="16.5" hidden="1" customHeight="1" outlineLevel="1" x14ac:dyDescent="0.25">
      <c r="A12033" s="18">
        <v>5046</v>
      </c>
      <c r="B12033" s="4" t="s">
        <v>44</v>
      </c>
      <c r="C12033" s="38" t="s">
        <v>6802</v>
      </c>
      <c r="D12033" s="18">
        <v>2022</v>
      </c>
      <c r="E12033" s="18" t="s">
        <v>0</v>
      </c>
      <c r="F12033" s="41">
        <v>1</v>
      </c>
      <c r="G12033" s="4">
        <v>10</v>
      </c>
      <c r="H12033" s="18">
        <v>35.280999999999999</v>
      </c>
      <c r="I12033" s="90"/>
      <c r="J12033" s="90"/>
    </row>
    <row r="12034" spans="1:10" s="15" customFormat="1" ht="16.5" hidden="1" customHeight="1" outlineLevel="1" x14ac:dyDescent="0.25">
      <c r="A12034" s="18">
        <v>4842</v>
      </c>
      <c r="B12034" s="4" t="s">
        <v>44</v>
      </c>
      <c r="C12034" s="38" t="s">
        <v>6803</v>
      </c>
      <c r="D12034" s="18">
        <v>2022</v>
      </c>
      <c r="E12034" s="18" t="s">
        <v>0</v>
      </c>
      <c r="F12034" s="41">
        <v>1</v>
      </c>
      <c r="G12034" s="4">
        <v>6</v>
      </c>
      <c r="H12034" s="18">
        <v>51.774000000000001</v>
      </c>
      <c r="I12034" s="90"/>
      <c r="J12034" s="90"/>
    </row>
    <row r="12035" spans="1:10" s="15" customFormat="1" ht="16.5" hidden="1" customHeight="1" outlineLevel="1" x14ac:dyDescent="0.25">
      <c r="A12035" s="18">
        <v>4674</v>
      </c>
      <c r="B12035" s="4" t="s">
        <v>44</v>
      </c>
      <c r="C12035" s="38" t="s">
        <v>3005</v>
      </c>
      <c r="D12035" s="18">
        <v>2022</v>
      </c>
      <c r="E12035" s="18" t="s">
        <v>0</v>
      </c>
      <c r="F12035" s="41">
        <v>1</v>
      </c>
      <c r="G12035" s="4">
        <v>45.5</v>
      </c>
      <c r="H12035" s="18">
        <v>60.219000000000001</v>
      </c>
      <c r="I12035" s="90"/>
      <c r="J12035" s="90"/>
    </row>
    <row r="12036" spans="1:10" s="15" customFormat="1" ht="16.5" hidden="1" customHeight="1" outlineLevel="1" x14ac:dyDescent="0.25">
      <c r="A12036" s="18">
        <v>4799</v>
      </c>
      <c r="B12036" s="4" t="s">
        <v>44</v>
      </c>
      <c r="C12036" s="38" t="s">
        <v>3006</v>
      </c>
      <c r="D12036" s="18">
        <v>2022</v>
      </c>
      <c r="E12036" s="18" t="s">
        <v>0</v>
      </c>
      <c r="F12036" s="41">
        <v>1</v>
      </c>
      <c r="G12036" s="4">
        <v>15</v>
      </c>
      <c r="H12036" s="18">
        <v>59.102000000000004</v>
      </c>
      <c r="I12036" s="90"/>
      <c r="J12036" s="90"/>
    </row>
    <row r="12037" spans="1:10" s="15" customFormat="1" ht="16.5" hidden="1" customHeight="1" outlineLevel="1" x14ac:dyDescent="0.25">
      <c r="A12037" s="18">
        <v>5049</v>
      </c>
      <c r="B12037" s="4" t="s">
        <v>44</v>
      </c>
      <c r="C12037" s="38" t="s">
        <v>3008</v>
      </c>
      <c r="D12037" s="18">
        <v>2022</v>
      </c>
      <c r="E12037" s="18" t="s">
        <v>0</v>
      </c>
      <c r="F12037" s="41">
        <v>1</v>
      </c>
      <c r="G12037" s="4">
        <v>15</v>
      </c>
      <c r="H12037" s="18">
        <v>79.228000000000009</v>
      </c>
      <c r="I12037" s="90"/>
      <c r="J12037" s="90"/>
    </row>
    <row r="12038" spans="1:10" s="15" customFormat="1" ht="16.5" hidden="1" customHeight="1" outlineLevel="1" x14ac:dyDescent="0.25">
      <c r="A12038" s="18">
        <v>5025</v>
      </c>
      <c r="B12038" s="4" t="s">
        <v>44</v>
      </c>
      <c r="C12038" s="38" t="s">
        <v>6804</v>
      </c>
      <c r="D12038" s="18">
        <v>2022</v>
      </c>
      <c r="E12038" s="18" t="s">
        <v>0</v>
      </c>
      <c r="F12038" s="41">
        <v>1</v>
      </c>
      <c r="G12038" s="4">
        <v>13.9</v>
      </c>
      <c r="H12038" s="18">
        <v>38.036999999999999</v>
      </c>
      <c r="I12038" s="90"/>
      <c r="J12038" s="90"/>
    </row>
    <row r="12039" spans="1:10" s="15" customFormat="1" ht="16.5" hidden="1" customHeight="1" outlineLevel="1" x14ac:dyDescent="0.25">
      <c r="A12039" s="18">
        <v>5051</v>
      </c>
      <c r="B12039" s="4" t="s">
        <v>44</v>
      </c>
      <c r="C12039" s="38" t="s">
        <v>3009</v>
      </c>
      <c r="D12039" s="18">
        <v>2022</v>
      </c>
      <c r="E12039" s="18" t="s">
        <v>0</v>
      </c>
      <c r="F12039" s="41">
        <v>1</v>
      </c>
      <c r="G12039" s="4">
        <v>15</v>
      </c>
      <c r="H12039" s="18">
        <v>84.341999999999999</v>
      </c>
      <c r="I12039" s="90"/>
      <c r="J12039" s="90"/>
    </row>
    <row r="12040" spans="1:10" s="15" customFormat="1" ht="16.5" hidden="1" customHeight="1" outlineLevel="1" x14ac:dyDescent="0.25">
      <c r="A12040" s="18">
        <v>5027</v>
      </c>
      <c r="B12040" s="4" t="s">
        <v>44</v>
      </c>
      <c r="C12040" s="38" t="s">
        <v>6805</v>
      </c>
      <c r="D12040" s="18">
        <v>2022</v>
      </c>
      <c r="E12040" s="18" t="s">
        <v>0</v>
      </c>
      <c r="F12040" s="41">
        <v>1</v>
      </c>
      <c r="G12040" s="4">
        <v>46</v>
      </c>
      <c r="H12040" s="18">
        <v>35.971000000000004</v>
      </c>
      <c r="I12040" s="90"/>
      <c r="J12040" s="90"/>
    </row>
    <row r="12041" spans="1:10" s="15" customFormat="1" ht="16.5" hidden="1" customHeight="1" outlineLevel="1" x14ac:dyDescent="0.25">
      <c r="A12041" s="18">
        <v>5036</v>
      </c>
      <c r="B12041" s="4" t="s">
        <v>44</v>
      </c>
      <c r="C12041" s="38" t="s">
        <v>6806</v>
      </c>
      <c r="D12041" s="18">
        <v>2022</v>
      </c>
      <c r="E12041" s="18" t="s">
        <v>0</v>
      </c>
      <c r="F12041" s="41">
        <v>1</v>
      </c>
      <c r="G12041" s="4">
        <v>14</v>
      </c>
      <c r="H12041" s="18">
        <v>35.977799999999995</v>
      </c>
      <c r="I12041" s="90"/>
      <c r="J12041" s="90"/>
    </row>
    <row r="12042" spans="1:10" s="15" customFormat="1" ht="16.5" hidden="1" customHeight="1" outlineLevel="1" x14ac:dyDescent="0.25">
      <c r="A12042" s="18">
        <v>4550</v>
      </c>
      <c r="B12042" s="4" t="s">
        <v>44</v>
      </c>
      <c r="C12042" s="38" t="s">
        <v>3110</v>
      </c>
      <c r="D12042" s="18">
        <v>2022</v>
      </c>
      <c r="E12042" s="18" t="s">
        <v>0</v>
      </c>
      <c r="F12042" s="41">
        <v>1</v>
      </c>
      <c r="G12042" s="4">
        <v>2000</v>
      </c>
      <c r="H12042" s="18">
        <v>368.4</v>
      </c>
      <c r="I12042" s="90"/>
      <c r="J12042" s="90"/>
    </row>
    <row r="12043" spans="1:10" s="15" customFormat="1" ht="16.5" hidden="1" customHeight="1" outlineLevel="1" x14ac:dyDescent="0.25">
      <c r="A12043" s="18">
        <v>2006</v>
      </c>
      <c r="B12043" s="4" t="s">
        <v>44</v>
      </c>
      <c r="C12043" s="38" t="s">
        <v>6807</v>
      </c>
      <c r="D12043" s="18">
        <v>2022</v>
      </c>
      <c r="E12043" s="18" t="s">
        <v>0</v>
      </c>
      <c r="F12043" s="41">
        <v>1</v>
      </c>
      <c r="G12043" s="4">
        <v>15</v>
      </c>
      <c r="H12043" s="18">
        <v>42.677999999999997</v>
      </c>
      <c r="I12043" s="90"/>
      <c r="J12043" s="90"/>
    </row>
    <row r="12044" spans="1:10" s="15" customFormat="1" ht="16.5" hidden="1" customHeight="1" outlineLevel="1" x14ac:dyDescent="0.25">
      <c r="A12044" s="18">
        <v>2066</v>
      </c>
      <c r="B12044" s="4" t="s">
        <v>44</v>
      </c>
      <c r="C12044" s="38" t="s">
        <v>6808</v>
      </c>
      <c r="D12044" s="18">
        <v>2022</v>
      </c>
      <c r="E12044" s="18" t="s">
        <v>0</v>
      </c>
      <c r="F12044" s="41">
        <v>1</v>
      </c>
      <c r="G12044" s="4">
        <v>80</v>
      </c>
      <c r="H12044" s="18">
        <v>39.92</v>
      </c>
      <c r="I12044" s="90"/>
      <c r="J12044" s="90"/>
    </row>
    <row r="12045" spans="1:10" s="15" customFormat="1" ht="16.5" hidden="1" customHeight="1" outlineLevel="1" x14ac:dyDescent="0.25">
      <c r="A12045" s="18">
        <v>1944</v>
      </c>
      <c r="B12045" s="4" t="s">
        <v>44</v>
      </c>
      <c r="C12045" s="38" t="s">
        <v>3081</v>
      </c>
      <c r="D12045" s="18">
        <v>2022</v>
      </c>
      <c r="E12045" s="18" t="s">
        <v>0</v>
      </c>
      <c r="F12045" s="41">
        <v>1</v>
      </c>
      <c r="G12045" s="4">
        <v>40</v>
      </c>
      <c r="H12045" s="18">
        <v>35.625</v>
      </c>
      <c r="I12045" s="90"/>
      <c r="J12045" s="90"/>
    </row>
    <row r="12046" spans="1:10" s="15" customFormat="1" ht="16.5" hidden="1" customHeight="1" outlineLevel="1" x14ac:dyDescent="0.25">
      <c r="A12046" s="18">
        <v>1891</v>
      </c>
      <c r="B12046" s="4" t="s">
        <v>44</v>
      </c>
      <c r="C12046" s="38" t="s">
        <v>3082</v>
      </c>
      <c r="D12046" s="18">
        <v>2022</v>
      </c>
      <c r="E12046" s="18" t="s">
        <v>0</v>
      </c>
      <c r="F12046" s="41">
        <v>1</v>
      </c>
      <c r="G12046" s="4">
        <v>150</v>
      </c>
      <c r="H12046" s="18">
        <v>28.065999999999999</v>
      </c>
      <c r="I12046" s="90"/>
      <c r="J12046" s="90"/>
    </row>
    <row r="12047" spans="1:10" s="15" customFormat="1" ht="16.5" hidden="1" customHeight="1" outlineLevel="1" x14ac:dyDescent="0.25">
      <c r="A12047" s="18">
        <v>2009</v>
      </c>
      <c r="B12047" s="4" t="s">
        <v>44</v>
      </c>
      <c r="C12047" s="38" t="s">
        <v>3083</v>
      </c>
      <c r="D12047" s="18">
        <v>2022</v>
      </c>
      <c r="E12047" s="18" t="s">
        <v>0</v>
      </c>
      <c r="F12047" s="41">
        <v>1</v>
      </c>
      <c r="G12047" s="4">
        <v>150</v>
      </c>
      <c r="H12047" s="18">
        <v>30.105</v>
      </c>
      <c r="I12047" s="90"/>
      <c r="J12047" s="90"/>
    </row>
    <row r="12048" spans="1:10" s="15" customFormat="1" ht="16.5" hidden="1" customHeight="1" outlineLevel="1" x14ac:dyDescent="0.25">
      <c r="A12048" s="18">
        <v>2152</v>
      </c>
      <c r="B12048" s="4" t="s">
        <v>44</v>
      </c>
      <c r="C12048" s="38" t="s">
        <v>6809</v>
      </c>
      <c r="D12048" s="18">
        <v>2022</v>
      </c>
      <c r="E12048" s="18" t="s">
        <v>0</v>
      </c>
      <c r="F12048" s="41">
        <v>1</v>
      </c>
      <c r="G12048" s="4">
        <v>14</v>
      </c>
      <c r="H12048" s="18">
        <v>43.234999999999999</v>
      </c>
      <c r="I12048" s="90"/>
      <c r="J12048" s="90"/>
    </row>
    <row r="12049" spans="1:10" s="15" customFormat="1" ht="16.5" hidden="1" customHeight="1" outlineLevel="1" x14ac:dyDescent="0.25">
      <c r="A12049" s="18">
        <v>2154</v>
      </c>
      <c r="B12049" s="4" t="s">
        <v>44</v>
      </c>
      <c r="C12049" s="38" t="s">
        <v>6810</v>
      </c>
      <c r="D12049" s="18">
        <v>2022</v>
      </c>
      <c r="E12049" s="18" t="s">
        <v>0</v>
      </c>
      <c r="F12049" s="41">
        <v>1</v>
      </c>
      <c r="G12049" s="4">
        <v>10</v>
      </c>
      <c r="H12049" s="18">
        <v>36.890999999999998</v>
      </c>
      <c r="I12049" s="90"/>
      <c r="J12049" s="90"/>
    </row>
    <row r="12050" spans="1:10" s="15" customFormat="1" ht="16.5" hidden="1" customHeight="1" outlineLevel="1" x14ac:dyDescent="0.25">
      <c r="A12050" s="18">
        <v>2155</v>
      </c>
      <c r="B12050" s="4" t="s">
        <v>44</v>
      </c>
      <c r="C12050" s="38" t="s">
        <v>6811</v>
      </c>
      <c r="D12050" s="18">
        <v>2022</v>
      </c>
      <c r="E12050" s="18" t="s">
        <v>0</v>
      </c>
      <c r="F12050" s="41">
        <v>1</v>
      </c>
      <c r="G12050" s="4">
        <v>8</v>
      </c>
      <c r="H12050" s="18">
        <v>32.186</v>
      </c>
      <c r="I12050" s="90"/>
      <c r="J12050" s="90"/>
    </row>
    <row r="12051" spans="1:10" s="15" customFormat="1" ht="16.5" hidden="1" customHeight="1" outlineLevel="1" x14ac:dyDescent="0.25">
      <c r="A12051" s="18">
        <v>2156</v>
      </c>
      <c r="B12051" s="4" t="s">
        <v>44</v>
      </c>
      <c r="C12051" s="38" t="s">
        <v>6812</v>
      </c>
      <c r="D12051" s="18">
        <v>2022</v>
      </c>
      <c r="E12051" s="18" t="s">
        <v>0</v>
      </c>
      <c r="F12051" s="41">
        <v>1</v>
      </c>
      <c r="G12051" s="4">
        <v>15</v>
      </c>
      <c r="H12051" s="18">
        <v>40.241</v>
      </c>
      <c r="I12051" s="90"/>
      <c r="J12051" s="90"/>
    </row>
    <row r="12052" spans="1:10" s="15" customFormat="1" ht="16.5" hidden="1" customHeight="1" outlineLevel="1" x14ac:dyDescent="0.25">
      <c r="A12052" s="18">
        <v>2159</v>
      </c>
      <c r="B12052" s="4" t="s">
        <v>44</v>
      </c>
      <c r="C12052" s="38" t="s">
        <v>6813</v>
      </c>
      <c r="D12052" s="18">
        <v>2022</v>
      </c>
      <c r="E12052" s="18" t="s">
        <v>0</v>
      </c>
      <c r="F12052" s="41">
        <v>1</v>
      </c>
      <c r="G12052" s="4">
        <v>1</v>
      </c>
      <c r="H12052" s="18">
        <v>38.44</v>
      </c>
      <c r="I12052" s="90"/>
      <c r="J12052" s="90"/>
    </row>
    <row r="12053" spans="1:10" s="15" customFormat="1" ht="16.5" hidden="1" customHeight="1" outlineLevel="1" x14ac:dyDescent="0.25">
      <c r="A12053" s="18">
        <v>2161</v>
      </c>
      <c r="B12053" s="4" t="s">
        <v>44</v>
      </c>
      <c r="C12053" s="38" t="s">
        <v>6814</v>
      </c>
      <c r="D12053" s="18">
        <v>2022</v>
      </c>
      <c r="E12053" s="18" t="s">
        <v>0</v>
      </c>
      <c r="F12053" s="41">
        <v>1</v>
      </c>
      <c r="G12053" s="4">
        <v>10</v>
      </c>
      <c r="H12053" s="18">
        <v>39.097999999999999</v>
      </c>
      <c r="I12053" s="90"/>
      <c r="J12053" s="90"/>
    </row>
    <row r="12054" spans="1:10" s="15" customFormat="1" ht="16.5" hidden="1" customHeight="1" outlineLevel="1" x14ac:dyDescent="0.25">
      <c r="A12054" s="18">
        <v>2163</v>
      </c>
      <c r="B12054" s="4" t="s">
        <v>44</v>
      </c>
      <c r="C12054" s="38" t="s">
        <v>6815</v>
      </c>
      <c r="D12054" s="18">
        <v>2022</v>
      </c>
      <c r="E12054" s="18" t="s">
        <v>0</v>
      </c>
      <c r="F12054" s="41">
        <v>1</v>
      </c>
      <c r="G12054" s="4">
        <v>15</v>
      </c>
      <c r="H12054" s="18">
        <v>38.231999999999999</v>
      </c>
      <c r="I12054" s="90"/>
      <c r="J12054" s="90"/>
    </row>
    <row r="12055" spans="1:10" s="15" customFormat="1" ht="16.5" hidden="1" customHeight="1" outlineLevel="1" x14ac:dyDescent="0.25">
      <c r="A12055" s="18">
        <v>2164</v>
      </c>
      <c r="B12055" s="4" t="s">
        <v>44</v>
      </c>
      <c r="C12055" s="38" t="s">
        <v>6816</v>
      </c>
      <c r="D12055" s="18">
        <v>2022</v>
      </c>
      <c r="E12055" s="18" t="s">
        <v>0</v>
      </c>
      <c r="F12055" s="41">
        <v>1</v>
      </c>
      <c r="G12055" s="4">
        <v>10</v>
      </c>
      <c r="H12055" s="18">
        <v>46.06</v>
      </c>
      <c r="I12055" s="90"/>
      <c r="J12055" s="90"/>
    </row>
    <row r="12056" spans="1:10" s="15" customFormat="1" ht="16.5" hidden="1" customHeight="1" outlineLevel="1" x14ac:dyDescent="0.25">
      <c r="A12056" s="18">
        <v>2165</v>
      </c>
      <c r="B12056" s="4" t="s">
        <v>44</v>
      </c>
      <c r="C12056" s="38" t="s">
        <v>6817</v>
      </c>
      <c r="D12056" s="18">
        <v>2022</v>
      </c>
      <c r="E12056" s="18" t="s">
        <v>0</v>
      </c>
      <c r="F12056" s="41">
        <v>1</v>
      </c>
      <c r="G12056" s="4">
        <v>15</v>
      </c>
      <c r="H12056" s="18">
        <v>41.058</v>
      </c>
      <c r="I12056" s="90"/>
      <c r="J12056" s="90"/>
    </row>
    <row r="12057" spans="1:10" s="15" customFormat="1" ht="16.5" hidden="1" customHeight="1" outlineLevel="1" x14ac:dyDescent="0.25">
      <c r="A12057" s="18">
        <v>2166</v>
      </c>
      <c r="B12057" s="4" t="s">
        <v>44</v>
      </c>
      <c r="C12057" s="38" t="s">
        <v>6818</v>
      </c>
      <c r="D12057" s="18">
        <v>2022</v>
      </c>
      <c r="E12057" s="18" t="s">
        <v>0</v>
      </c>
      <c r="F12057" s="41">
        <v>1</v>
      </c>
      <c r="G12057" s="4">
        <v>14</v>
      </c>
      <c r="H12057" s="18">
        <v>35.241</v>
      </c>
      <c r="I12057" s="90"/>
      <c r="J12057" s="90"/>
    </row>
    <row r="12058" spans="1:10" s="15" customFormat="1" ht="16.5" hidden="1" customHeight="1" outlineLevel="1" x14ac:dyDescent="0.25">
      <c r="A12058" s="18">
        <v>2167</v>
      </c>
      <c r="B12058" s="4" t="s">
        <v>44</v>
      </c>
      <c r="C12058" s="38" t="s">
        <v>6819</v>
      </c>
      <c r="D12058" s="18">
        <v>2022</v>
      </c>
      <c r="E12058" s="18" t="s">
        <v>0</v>
      </c>
      <c r="F12058" s="41">
        <v>1</v>
      </c>
      <c r="G12058" s="4">
        <v>14</v>
      </c>
      <c r="H12058" s="18">
        <v>43.110999999999997</v>
      </c>
      <c r="I12058" s="90"/>
      <c r="J12058" s="90"/>
    </row>
    <row r="12059" spans="1:10" s="15" customFormat="1" ht="16.5" hidden="1" customHeight="1" outlineLevel="1" x14ac:dyDescent="0.25">
      <c r="A12059" s="18">
        <v>1838</v>
      </c>
      <c r="B12059" s="4" t="s">
        <v>44</v>
      </c>
      <c r="C12059" s="38" t="s">
        <v>6820</v>
      </c>
      <c r="D12059" s="18">
        <v>2022</v>
      </c>
      <c r="E12059" s="18" t="s">
        <v>0</v>
      </c>
      <c r="F12059" s="41">
        <v>1</v>
      </c>
      <c r="G12059" s="4">
        <v>15</v>
      </c>
      <c r="H12059" s="18">
        <v>30.209</v>
      </c>
      <c r="I12059" s="90"/>
      <c r="J12059" s="90"/>
    </row>
    <row r="12060" spans="1:10" s="15" customFormat="1" ht="16.5" hidden="1" customHeight="1" outlineLevel="1" x14ac:dyDescent="0.25">
      <c r="A12060" s="18">
        <v>1871</v>
      </c>
      <c r="B12060" s="4" t="s">
        <v>44</v>
      </c>
      <c r="C12060" s="38" t="s">
        <v>6821</v>
      </c>
      <c r="D12060" s="18">
        <v>2022</v>
      </c>
      <c r="E12060" s="18" t="s">
        <v>0</v>
      </c>
      <c r="F12060" s="41">
        <v>1</v>
      </c>
      <c r="G12060" s="4">
        <v>10</v>
      </c>
      <c r="H12060" s="18">
        <v>37.267000000000003</v>
      </c>
      <c r="I12060" s="90"/>
      <c r="J12060" s="90"/>
    </row>
    <row r="12061" spans="1:10" s="15" customFormat="1" ht="16.5" hidden="1" customHeight="1" outlineLevel="1" x14ac:dyDescent="0.25">
      <c r="A12061" s="18">
        <v>1878</v>
      </c>
      <c r="B12061" s="4" t="s">
        <v>44</v>
      </c>
      <c r="C12061" s="38" t="s">
        <v>4369</v>
      </c>
      <c r="D12061" s="18">
        <v>2022</v>
      </c>
      <c r="E12061" s="18" t="s">
        <v>0</v>
      </c>
      <c r="F12061" s="41">
        <v>5</v>
      </c>
      <c r="G12061" s="4">
        <v>59</v>
      </c>
      <c r="H12061" s="18">
        <v>184.80699999999999</v>
      </c>
      <c r="I12061" s="90"/>
      <c r="J12061" s="90"/>
    </row>
    <row r="12062" spans="1:10" s="15" customFormat="1" ht="16.5" hidden="1" customHeight="1" outlineLevel="1" x14ac:dyDescent="0.25">
      <c r="A12062" s="18">
        <v>1895</v>
      </c>
      <c r="B12062" s="4" t="s">
        <v>44</v>
      </c>
      <c r="C12062" s="38" t="s">
        <v>4371</v>
      </c>
      <c r="D12062" s="18">
        <v>2022</v>
      </c>
      <c r="E12062" s="18" t="s">
        <v>0</v>
      </c>
      <c r="F12062" s="41">
        <v>2</v>
      </c>
      <c r="G12062" s="4">
        <v>52</v>
      </c>
      <c r="H12062" s="18">
        <v>77.760000000000005</v>
      </c>
      <c r="I12062" s="90"/>
      <c r="J12062" s="90"/>
    </row>
    <row r="12063" spans="1:10" s="15" customFormat="1" ht="16.5" hidden="1" customHeight="1" outlineLevel="1" x14ac:dyDescent="0.25">
      <c r="A12063" s="18">
        <v>1896</v>
      </c>
      <c r="B12063" s="4" t="s">
        <v>44</v>
      </c>
      <c r="C12063" s="38" t="s">
        <v>6822</v>
      </c>
      <c r="D12063" s="18">
        <v>2022</v>
      </c>
      <c r="E12063" s="18" t="s">
        <v>0</v>
      </c>
      <c r="F12063" s="41">
        <v>3</v>
      </c>
      <c r="G12063" s="4">
        <v>22</v>
      </c>
      <c r="H12063" s="18">
        <v>115.16800000000001</v>
      </c>
      <c r="I12063" s="90"/>
      <c r="J12063" s="90"/>
    </row>
    <row r="12064" spans="1:10" s="15" customFormat="1" ht="16.5" hidden="1" customHeight="1" outlineLevel="1" x14ac:dyDescent="0.25">
      <c r="A12064" s="18">
        <v>1913</v>
      </c>
      <c r="B12064" s="4" t="s">
        <v>44</v>
      </c>
      <c r="C12064" s="38" t="s">
        <v>6823</v>
      </c>
      <c r="D12064" s="18">
        <v>2022</v>
      </c>
      <c r="E12064" s="18" t="s">
        <v>0</v>
      </c>
      <c r="F12064" s="41">
        <v>1</v>
      </c>
      <c r="G12064" s="4">
        <v>15</v>
      </c>
      <c r="H12064" s="18">
        <v>45.29</v>
      </c>
      <c r="I12064" s="90"/>
      <c r="J12064" s="90"/>
    </row>
    <row r="12065" spans="1:10" s="15" customFormat="1" ht="16.5" hidden="1" customHeight="1" outlineLevel="1" x14ac:dyDescent="0.25">
      <c r="A12065" s="18">
        <v>1915</v>
      </c>
      <c r="B12065" s="4" t="s">
        <v>44</v>
      </c>
      <c r="C12065" s="38" t="s">
        <v>6824</v>
      </c>
      <c r="D12065" s="18">
        <v>2022</v>
      </c>
      <c r="E12065" s="18" t="s">
        <v>0</v>
      </c>
      <c r="F12065" s="41">
        <v>1</v>
      </c>
      <c r="G12065" s="4">
        <v>10</v>
      </c>
      <c r="H12065" s="18">
        <v>36.097000000000001</v>
      </c>
      <c r="I12065" s="90"/>
      <c r="J12065" s="90"/>
    </row>
    <row r="12066" spans="1:10" s="15" customFormat="1" ht="16.5" hidden="1" customHeight="1" outlineLevel="1" x14ac:dyDescent="0.25">
      <c r="A12066" s="18">
        <v>1952</v>
      </c>
      <c r="B12066" s="4" t="s">
        <v>44</v>
      </c>
      <c r="C12066" s="38" t="s">
        <v>6825</v>
      </c>
      <c r="D12066" s="18">
        <v>2022</v>
      </c>
      <c r="E12066" s="18" t="s">
        <v>0</v>
      </c>
      <c r="F12066" s="41">
        <v>1</v>
      </c>
      <c r="G12066" s="4">
        <v>15</v>
      </c>
      <c r="H12066" s="18">
        <v>40.389000000000003</v>
      </c>
      <c r="I12066" s="90"/>
      <c r="J12066" s="90"/>
    </row>
    <row r="12067" spans="1:10" s="15" customFormat="1" ht="16.5" hidden="1" customHeight="1" outlineLevel="1" x14ac:dyDescent="0.25">
      <c r="A12067" s="18">
        <v>1960</v>
      </c>
      <c r="B12067" s="4" t="s">
        <v>44</v>
      </c>
      <c r="C12067" s="38" t="s">
        <v>6826</v>
      </c>
      <c r="D12067" s="18">
        <v>2022</v>
      </c>
      <c r="E12067" s="18" t="s">
        <v>0</v>
      </c>
      <c r="F12067" s="41">
        <v>1</v>
      </c>
      <c r="G12067" s="4">
        <v>15</v>
      </c>
      <c r="H12067" s="18">
        <v>34.713999999999999</v>
      </c>
      <c r="I12067" s="90"/>
      <c r="J12067" s="90"/>
    </row>
    <row r="12068" spans="1:10" s="15" customFormat="1" ht="16.5" hidden="1" customHeight="1" outlineLevel="1" x14ac:dyDescent="0.25">
      <c r="A12068" s="18">
        <v>1961</v>
      </c>
      <c r="B12068" s="4" t="s">
        <v>44</v>
      </c>
      <c r="C12068" s="38" t="s">
        <v>6827</v>
      </c>
      <c r="D12068" s="18">
        <v>2022</v>
      </c>
      <c r="E12068" s="18" t="s">
        <v>0</v>
      </c>
      <c r="F12068" s="41">
        <v>1</v>
      </c>
      <c r="G12068" s="4">
        <v>5</v>
      </c>
      <c r="H12068" s="18">
        <v>43.725999999999999</v>
      </c>
      <c r="I12068" s="90"/>
      <c r="J12068" s="90"/>
    </row>
    <row r="12069" spans="1:10" s="15" customFormat="1" ht="16.5" hidden="1" customHeight="1" outlineLevel="1" x14ac:dyDescent="0.25">
      <c r="A12069" s="18">
        <v>1972</v>
      </c>
      <c r="B12069" s="4" t="s">
        <v>44</v>
      </c>
      <c r="C12069" s="38" t="s">
        <v>6828</v>
      </c>
      <c r="D12069" s="18">
        <v>2022</v>
      </c>
      <c r="E12069" s="18" t="s">
        <v>0</v>
      </c>
      <c r="F12069" s="41">
        <v>1</v>
      </c>
      <c r="G12069" s="4">
        <v>15</v>
      </c>
      <c r="H12069" s="18">
        <v>34.75</v>
      </c>
      <c r="I12069" s="90"/>
      <c r="J12069" s="90"/>
    </row>
    <row r="12070" spans="1:10" s="15" customFormat="1" ht="16.5" hidden="1" customHeight="1" outlineLevel="1" x14ac:dyDescent="0.25">
      <c r="A12070" s="18">
        <v>2026</v>
      </c>
      <c r="B12070" s="4" t="s">
        <v>44</v>
      </c>
      <c r="C12070" s="38" t="s">
        <v>6829</v>
      </c>
      <c r="D12070" s="18">
        <v>2022</v>
      </c>
      <c r="E12070" s="18" t="s">
        <v>0</v>
      </c>
      <c r="F12070" s="41">
        <v>1</v>
      </c>
      <c r="G12070" s="4">
        <v>15</v>
      </c>
      <c r="H12070" s="18">
        <v>37.726999999999997</v>
      </c>
      <c r="I12070" s="90"/>
      <c r="J12070" s="90"/>
    </row>
    <row r="12071" spans="1:10" s="15" customFormat="1" ht="16.5" hidden="1" customHeight="1" outlineLevel="1" x14ac:dyDescent="0.25">
      <c r="A12071" s="18">
        <v>2028</v>
      </c>
      <c r="B12071" s="4" t="s">
        <v>44</v>
      </c>
      <c r="C12071" s="38" t="s">
        <v>6830</v>
      </c>
      <c r="D12071" s="18">
        <v>2022</v>
      </c>
      <c r="E12071" s="18" t="s">
        <v>0</v>
      </c>
      <c r="F12071" s="41">
        <v>1</v>
      </c>
      <c r="G12071" s="4">
        <v>15</v>
      </c>
      <c r="H12071" s="18">
        <v>36.497999999999998</v>
      </c>
      <c r="I12071" s="90"/>
      <c r="J12071" s="90"/>
    </row>
    <row r="12072" spans="1:10" s="15" customFormat="1" ht="16.5" hidden="1" customHeight="1" outlineLevel="1" x14ac:dyDescent="0.25">
      <c r="A12072" s="18">
        <v>2031</v>
      </c>
      <c r="B12072" s="4" t="s">
        <v>44</v>
      </c>
      <c r="C12072" s="38" t="s">
        <v>6831</v>
      </c>
      <c r="D12072" s="18">
        <v>2022</v>
      </c>
      <c r="E12072" s="18" t="s">
        <v>0</v>
      </c>
      <c r="F12072" s="41">
        <v>1</v>
      </c>
      <c r="G12072" s="4">
        <v>15</v>
      </c>
      <c r="H12072" s="18">
        <v>30.221</v>
      </c>
      <c r="I12072" s="90"/>
      <c r="J12072" s="90"/>
    </row>
    <row r="12073" spans="1:10" s="15" customFormat="1" ht="16.5" hidden="1" customHeight="1" outlineLevel="1" x14ac:dyDescent="0.25">
      <c r="A12073" s="18">
        <v>2032</v>
      </c>
      <c r="B12073" s="4" t="s">
        <v>44</v>
      </c>
      <c r="C12073" s="38" t="s">
        <v>6832</v>
      </c>
      <c r="D12073" s="18">
        <v>2022</v>
      </c>
      <c r="E12073" s="18" t="s">
        <v>0</v>
      </c>
      <c r="F12073" s="41">
        <v>1</v>
      </c>
      <c r="G12073" s="4">
        <v>15</v>
      </c>
      <c r="H12073" s="18">
        <v>26.541</v>
      </c>
      <c r="I12073" s="90"/>
      <c r="J12073" s="90"/>
    </row>
    <row r="12074" spans="1:10" s="15" customFormat="1" ht="16.5" hidden="1" customHeight="1" outlineLevel="1" x14ac:dyDescent="0.25">
      <c r="A12074" s="18">
        <v>2035</v>
      </c>
      <c r="B12074" s="4" t="s">
        <v>44</v>
      </c>
      <c r="C12074" s="38" t="s">
        <v>6833</v>
      </c>
      <c r="D12074" s="18">
        <v>2022</v>
      </c>
      <c r="E12074" s="18" t="s">
        <v>0</v>
      </c>
      <c r="F12074" s="41">
        <v>1</v>
      </c>
      <c r="G12074" s="4">
        <v>15</v>
      </c>
      <c r="H12074" s="18">
        <v>33.362000000000002</v>
      </c>
      <c r="I12074" s="90"/>
      <c r="J12074" s="90"/>
    </row>
    <row r="12075" spans="1:10" s="15" customFormat="1" ht="16.5" hidden="1" customHeight="1" outlineLevel="1" x14ac:dyDescent="0.25">
      <c r="A12075" s="18">
        <v>2036</v>
      </c>
      <c r="B12075" s="4" t="s">
        <v>44</v>
      </c>
      <c r="C12075" s="38" t="s">
        <v>6834</v>
      </c>
      <c r="D12075" s="18">
        <v>2022</v>
      </c>
      <c r="E12075" s="18" t="s">
        <v>0</v>
      </c>
      <c r="F12075" s="41">
        <v>1</v>
      </c>
      <c r="G12075" s="4">
        <v>15</v>
      </c>
      <c r="H12075" s="18">
        <v>33.335999999999999</v>
      </c>
      <c r="I12075" s="90"/>
      <c r="J12075" s="90"/>
    </row>
    <row r="12076" spans="1:10" s="15" customFormat="1" ht="16.5" hidden="1" customHeight="1" outlineLevel="1" x14ac:dyDescent="0.25">
      <c r="A12076" s="18">
        <v>2038</v>
      </c>
      <c r="B12076" s="4" t="s">
        <v>44</v>
      </c>
      <c r="C12076" s="38" t="s">
        <v>6835</v>
      </c>
      <c r="D12076" s="18">
        <v>2022</v>
      </c>
      <c r="E12076" s="18" t="s">
        <v>0</v>
      </c>
      <c r="F12076" s="41">
        <v>1</v>
      </c>
      <c r="G12076" s="4">
        <v>10</v>
      </c>
      <c r="H12076" s="18">
        <v>37.01</v>
      </c>
      <c r="I12076" s="90"/>
      <c r="J12076" s="90"/>
    </row>
    <row r="12077" spans="1:10" s="15" customFormat="1" ht="16.5" hidden="1" customHeight="1" outlineLevel="1" x14ac:dyDescent="0.25">
      <c r="A12077" s="18">
        <v>2042</v>
      </c>
      <c r="B12077" s="4" t="s">
        <v>44</v>
      </c>
      <c r="C12077" s="38" t="s">
        <v>6836</v>
      </c>
      <c r="D12077" s="18">
        <v>2022</v>
      </c>
      <c r="E12077" s="18" t="s">
        <v>0</v>
      </c>
      <c r="F12077" s="41">
        <v>1</v>
      </c>
      <c r="G12077" s="4">
        <v>15</v>
      </c>
      <c r="H12077" s="18">
        <v>31.364000000000001</v>
      </c>
      <c r="I12077" s="90"/>
      <c r="J12077" s="90"/>
    </row>
    <row r="12078" spans="1:10" s="15" customFormat="1" ht="16.5" hidden="1" customHeight="1" outlineLevel="1" x14ac:dyDescent="0.25">
      <c r="A12078" s="18">
        <v>2045</v>
      </c>
      <c r="B12078" s="4" t="s">
        <v>44</v>
      </c>
      <c r="C12078" s="38" t="s">
        <v>6837</v>
      </c>
      <c r="D12078" s="18">
        <v>2022</v>
      </c>
      <c r="E12078" s="18" t="s">
        <v>0</v>
      </c>
      <c r="F12078" s="41">
        <v>1</v>
      </c>
      <c r="G12078" s="4">
        <v>15</v>
      </c>
      <c r="H12078" s="18">
        <v>31.902000000000001</v>
      </c>
      <c r="I12078" s="90"/>
      <c r="J12078" s="90"/>
    </row>
    <row r="12079" spans="1:10" s="15" customFormat="1" ht="16.5" hidden="1" customHeight="1" outlineLevel="1" x14ac:dyDescent="0.25">
      <c r="A12079" s="18">
        <v>2046</v>
      </c>
      <c r="B12079" s="4" t="s">
        <v>44</v>
      </c>
      <c r="C12079" s="38" t="s">
        <v>6838</v>
      </c>
      <c r="D12079" s="18">
        <v>2022</v>
      </c>
      <c r="E12079" s="18" t="s">
        <v>0</v>
      </c>
      <c r="F12079" s="41">
        <v>1</v>
      </c>
      <c r="G12079" s="4">
        <v>15</v>
      </c>
      <c r="H12079" s="18">
        <v>37.070999999999998</v>
      </c>
      <c r="I12079" s="90"/>
      <c r="J12079" s="90"/>
    </row>
    <row r="12080" spans="1:10" s="15" customFormat="1" ht="16.5" hidden="1" customHeight="1" outlineLevel="1" x14ac:dyDescent="0.25">
      <c r="A12080" s="18">
        <v>2076</v>
      </c>
      <c r="B12080" s="4" t="s">
        <v>44</v>
      </c>
      <c r="C12080" s="38" t="s">
        <v>6839</v>
      </c>
      <c r="D12080" s="18">
        <v>2022</v>
      </c>
      <c r="E12080" s="18" t="s">
        <v>0</v>
      </c>
      <c r="F12080" s="41">
        <v>1</v>
      </c>
      <c r="G12080" s="4">
        <v>10</v>
      </c>
      <c r="H12080" s="18">
        <v>43.029000000000003</v>
      </c>
      <c r="I12080" s="90"/>
      <c r="J12080" s="90"/>
    </row>
    <row r="12081" spans="1:10" s="15" customFormat="1" ht="16.5" hidden="1" customHeight="1" outlineLevel="1" x14ac:dyDescent="0.25">
      <c r="A12081" s="18">
        <v>2079</v>
      </c>
      <c r="B12081" s="4" t="s">
        <v>44</v>
      </c>
      <c r="C12081" s="38" t="s">
        <v>6840</v>
      </c>
      <c r="D12081" s="18">
        <v>2022</v>
      </c>
      <c r="E12081" s="18" t="s">
        <v>0</v>
      </c>
      <c r="F12081" s="41">
        <v>1</v>
      </c>
      <c r="G12081" s="4">
        <v>15</v>
      </c>
      <c r="H12081" s="18">
        <v>40.362000000000002</v>
      </c>
      <c r="I12081" s="90"/>
      <c r="J12081" s="90"/>
    </row>
    <row r="12082" spans="1:10" s="15" customFormat="1" ht="16.5" hidden="1" customHeight="1" outlineLevel="1" x14ac:dyDescent="0.25">
      <c r="A12082" s="18">
        <v>2080</v>
      </c>
      <c r="B12082" s="4" t="s">
        <v>44</v>
      </c>
      <c r="C12082" s="38" t="s">
        <v>6841</v>
      </c>
      <c r="D12082" s="18">
        <v>2022</v>
      </c>
      <c r="E12082" s="18" t="s">
        <v>0</v>
      </c>
      <c r="F12082" s="41">
        <v>1</v>
      </c>
      <c r="G12082" s="4">
        <v>15</v>
      </c>
      <c r="H12082" s="18">
        <v>39.017000000000003</v>
      </c>
      <c r="I12082" s="90"/>
      <c r="J12082" s="90"/>
    </row>
    <row r="12083" spans="1:10" s="15" customFormat="1" ht="16.5" hidden="1" customHeight="1" outlineLevel="1" x14ac:dyDescent="0.25">
      <c r="A12083" s="18">
        <v>2087</v>
      </c>
      <c r="B12083" s="4" t="s">
        <v>44</v>
      </c>
      <c r="C12083" s="38" t="s">
        <v>6842</v>
      </c>
      <c r="D12083" s="18">
        <v>2022</v>
      </c>
      <c r="E12083" s="18" t="s">
        <v>0</v>
      </c>
      <c r="F12083" s="41">
        <v>1</v>
      </c>
      <c r="G12083" s="4">
        <v>15</v>
      </c>
      <c r="H12083" s="18">
        <v>40.362000000000002</v>
      </c>
      <c r="I12083" s="90"/>
      <c r="J12083" s="90"/>
    </row>
    <row r="12084" spans="1:10" s="15" customFormat="1" ht="16.5" hidden="1" customHeight="1" outlineLevel="1" x14ac:dyDescent="0.25">
      <c r="A12084" s="18">
        <v>2091</v>
      </c>
      <c r="B12084" s="4" t="s">
        <v>44</v>
      </c>
      <c r="C12084" s="38" t="s">
        <v>6843</v>
      </c>
      <c r="D12084" s="18">
        <v>2022</v>
      </c>
      <c r="E12084" s="18" t="s">
        <v>0</v>
      </c>
      <c r="F12084" s="41">
        <v>1</v>
      </c>
      <c r="G12084" s="4">
        <v>15</v>
      </c>
      <c r="H12084" s="18">
        <v>26.042999999999999</v>
      </c>
      <c r="I12084" s="90"/>
      <c r="J12084" s="90"/>
    </row>
    <row r="12085" spans="1:10" s="15" customFormat="1" ht="16.5" hidden="1" customHeight="1" outlineLevel="1" x14ac:dyDescent="0.25">
      <c r="A12085" s="18">
        <v>2094</v>
      </c>
      <c r="B12085" s="4" t="s">
        <v>44</v>
      </c>
      <c r="C12085" s="38" t="s">
        <v>6844</v>
      </c>
      <c r="D12085" s="18">
        <v>2022</v>
      </c>
      <c r="E12085" s="18" t="s">
        <v>0</v>
      </c>
      <c r="F12085" s="41">
        <v>1</v>
      </c>
      <c r="G12085" s="4">
        <v>15</v>
      </c>
      <c r="H12085" s="18">
        <v>31.652000000000001</v>
      </c>
      <c r="I12085" s="90"/>
      <c r="J12085" s="90"/>
    </row>
    <row r="12086" spans="1:10" s="15" customFormat="1" ht="16.5" hidden="1" customHeight="1" outlineLevel="1" x14ac:dyDescent="0.25">
      <c r="A12086" s="18">
        <v>2095</v>
      </c>
      <c r="B12086" s="4" t="s">
        <v>44</v>
      </c>
      <c r="C12086" s="38" t="s">
        <v>6845</v>
      </c>
      <c r="D12086" s="18">
        <v>2022</v>
      </c>
      <c r="E12086" s="18" t="s">
        <v>0</v>
      </c>
      <c r="F12086" s="41">
        <v>1</v>
      </c>
      <c r="G12086" s="4">
        <v>15</v>
      </c>
      <c r="H12086" s="18">
        <v>36.276000000000003</v>
      </c>
      <c r="I12086" s="90"/>
      <c r="J12086" s="90"/>
    </row>
    <row r="12087" spans="1:10" s="15" customFormat="1" ht="16.5" hidden="1" customHeight="1" outlineLevel="1" x14ac:dyDescent="0.25">
      <c r="A12087" s="18">
        <v>2097</v>
      </c>
      <c r="B12087" s="4" t="s">
        <v>44</v>
      </c>
      <c r="C12087" s="38" t="s">
        <v>6846</v>
      </c>
      <c r="D12087" s="18">
        <v>2022</v>
      </c>
      <c r="E12087" s="18" t="s">
        <v>0</v>
      </c>
      <c r="F12087" s="41">
        <v>1</v>
      </c>
      <c r="G12087" s="4">
        <v>5</v>
      </c>
      <c r="H12087" s="18">
        <v>45.56</v>
      </c>
      <c r="I12087" s="90"/>
      <c r="J12087" s="90"/>
    </row>
    <row r="12088" spans="1:10" s="15" customFormat="1" ht="16.5" hidden="1" customHeight="1" outlineLevel="1" x14ac:dyDescent="0.25">
      <c r="A12088" s="18">
        <v>2108</v>
      </c>
      <c r="B12088" s="4" t="s">
        <v>44</v>
      </c>
      <c r="C12088" s="38" t="s">
        <v>6847</v>
      </c>
      <c r="D12088" s="18">
        <v>2022</v>
      </c>
      <c r="E12088" s="18" t="s">
        <v>0</v>
      </c>
      <c r="F12088" s="41">
        <v>1</v>
      </c>
      <c r="G12088" s="4">
        <v>15</v>
      </c>
      <c r="H12088" s="18">
        <v>37.296999999999997</v>
      </c>
      <c r="I12088" s="90"/>
      <c r="J12088" s="90"/>
    </row>
    <row r="12089" spans="1:10" s="15" customFormat="1" ht="16.5" hidden="1" customHeight="1" outlineLevel="1" x14ac:dyDescent="0.25">
      <c r="A12089" s="18">
        <v>2111</v>
      </c>
      <c r="B12089" s="4" t="s">
        <v>44</v>
      </c>
      <c r="C12089" s="38" t="s">
        <v>6848</v>
      </c>
      <c r="D12089" s="18">
        <v>2022</v>
      </c>
      <c r="E12089" s="18" t="s">
        <v>0</v>
      </c>
      <c r="F12089" s="41">
        <v>1</v>
      </c>
      <c r="G12089" s="4">
        <v>15</v>
      </c>
      <c r="H12089" s="18">
        <v>36.465000000000003</v>
      </c>
      <c r="I12089" s="90"/>
      <c r="J12089" s="90"/>
    </row>
    <row r="12090" spans="1:10" s="15" customFormat="1" ht="16.5" hidden="1" customHeight="1" outlineLevel="1" x14ac:dyDescent="0.25">
      <c r="A12090" s="18">
        <v>2116</v>
      </c>
      <c r="B12090" s="4" t="s">
        <v>44</v>
      </c>
      <c r="C12090" s="38" t="s">
        <v>6849</v>
      </c>
      <c r="D12090" s="18">
        <v>2022</v>
      </c>
      <c r="E12090" s="18" t="s">
        <v>0</v>
      </c>
      <c r="F12090" s="41">
        <v>1</v>
      </c>
      <c r="G12090" s="4">
        <v>10</v>
      </c>
      <c r="H12090" s="18">
        <v>41.395000000000003</v>
      </c>
      <c r="I12090" s="90"/>
      <c r="J12090" s="90"/>
    </row>
    <row r="12091" spans="1:10" s="15" customFormat="1" ht="16.5" hidden="1" customHeight="1" outlineLevel="1" x14ac:dyDescent="0.25">
      <c r="A12091" s="18">
        <v>2126</v>
      </c>
      <c r="B12091" s="4" t="s">
        <v>44</v>
      </c>
      <c r="C12091" s="38" t="s">
        <v>6850</v>
      </c>
      <c r="D12091" s="18">
        <v>2022</v>
      </c>
      <c r="E12091" s="18" t="s">
        <v>0</v>
      </c>
      <c r="F12091" s="41">
        <v>1</v>
      </c>
      <c r="G12091" s="4">
        <v>15</v>
      </c>
      <c r="H12091" s="18">
        <v>35.582999999999998</v>
      </c>
      <c r="I12091" s="90"/>
      <c r="J12091" s="90"/>
    </row>
    <row r="12092" spans="1:10" s="15" customFormat="1" ht="16.5" hidden="1" customHeight="1" outlineLevel="1" x14ac:dyDescent="0.25">
      <c r="A12092" s="18">
        <v>2128</v>
      </c>
      <c r="B12092" s="4" t="s">
        <v>44</v>
      </c>
      <c r="C12092" s="38" t="s">
        <v>6851</v>
      </c>
      <c r="D12092" s="18">
        <v>2022</v>
      </c>
      <c r="E12092" s="18" t="s">
        <v>0</v>
      </c>
      <c r="F12092" s="41">
        <v>1</v>
      </c>
      <c r="G12092" s="4">
        <v>15</v>
      </c>
      <c r="H12092" s="18">
        <v>31.248999999999999</v>
      </c>
      <c r="I12092" s="90"/>
      <c r="J12092" s="90"/>
    </row>
    <row r="12093" spans="1:10" s="15" customFormat="1" ht="16.5" hidden="1" customHeight="1" outlineLevel="1" x14ac:dyDescent="0.25">
      <c r="A12093" s="18">
        <v>2130</v>
      </c>
      <c r="B12093" s="4" t="s">
        <v>44</v>
      </c>
      <c r="C12093" s="38" t="s">
        <v>6852</v>
      </c>
      <c r="D12093" s="18">
        <v>2022</v>
      </c>
      <c r="E12093" s="18" t="s">
        <v>0</v>
      </c>
      <c r="F12093" s="41">
        <v>1</v>
      </c>
      <c r="G12093" s="4">
        <v>15</v>
      </c>
      <c r="H12093" s="18">
        <v>39.618000000000002</v>
      </c>
      <c r="I12093" s="90"/>
      <c r="J12093" s="90"/>
    </row>
    <row r="12094" spans="1:10" s="15" customFormat="1" ht="16.5" hidden="1" customHeight="1" outlineLevel="1" x14ac:dyDescent="0.25">
      <c r="A12094" s="18">
        <v>2132</v>
      </c>
      <c r="B12094" s="4" t="s">
        <v>44</v>
      </c>
      <c r="C12094" s="38" t="s">
        <v>6853</v>
      </c>
      <c r="D12094" s="18">
        <v>2022</v>
      </c>
      <c r="E12094" s="18" t="s">
        <v>0</v>
      </c>
      <c r="F12094" s="41">
        <v>1</v>
      </c>
      <c r="G12094" s="4">
        <v>13</v>
      </c>
      <c r="H12094" s="18">
        <v>40.064999999999998</v>
      </c>
      <c r="I12094" s="90"/>
      <c r="J12094" s="90"/>
    </row>
    <row r="12095" spans="1:10" s="15" customFormat="1" ht="16.5" hidden="1" customHeight="1" outlineLevel="1" x14ac:dyDescent="0.25">
      <c r="A12095" s="18">
        <v>2141</v>
      </c>
      <c r="B12095" s="4" t="s">
        <v>44</v>
      </c>
      <c r="C12095" s="38" t="s">
        <v>6854</v>
      </c>
      <c r="D12095" s="18">
        <v>2022</v>
      </c>
      <c r="E12095" s="18" t="s">
        <v>0</v>
      </c>
      <c r="F12095" s="41">
        <v>1</v>
      </c>
      <c r="G12095" s="4">
        <v>15</v>
      </c>
      <c r="H12095" s="18">
        <v>32.146000000000001</v>
      </c>
      <c r="I12095" s="90"/>
      <c r="J12095" s="90"/>
    </row>
    <row r="12096" spans="1:10" s="15" customFormat="1" ht="16.5" hidden="1" customHeight="1" outlineLevel="1" x14ac:dyDescent="0.25">
      <c r="A12096" s="18">
        <v>2224</v>
      </c>
      <c r="B12096" s="4" t="s">
        <v>44</v>
      </c>
      <c r="C12096" s="38" t="s">
        <v>6855</v>
      </c>
      <c r="D12096" s="18">
        <v>2022</v>
      </c>
      <c r="E12096" s="18" t="s">
        <v>0</v>
      </c>
      <c r="F12096" s="41">
        <v>1</v>
      </c>
      <c r="G12096" s="4">
        <v>15</v>
      </c>
      <c r="H12096" s="18">
        <v>41.838999999999999</v>
      </c>
      <c r="I12096" s="90"/>
      <c r="J12096" s="90"/>
    </row>
    <row r="12097" spans="1:10" s="15" customFormat="1" ht="16.5" hidden="1" customHeight="1" outlineLevel="1" x14ac:dyDescent="0.25">
      <c r="A12097" s="18">
        <v>2225</v>
      </c>
      <c r="B12097" s="4" t="s">
        <v>44</v>
      </c>
      <c r="C12097" s="38" t="s">
        <v>6856</v>
      </c>
      <c r="D12097" s="18">
        <v>2022</v>
      </c>
      <c r="E12097" s="18" t="s">
        <v>0</v>
      </c>
      <c r="F12097" s="41">
        <v>1</v>
      </c>
      <c r="G12097" s="4">
        <v>10</v>
      </c>
      <c r="H12097" s="18">
        <v>38.151000000000003</v>
      </c>
      <c r="I12097" s="90"/>
      <c r="J12097" s="90"/>
    </row>
    <row r="12098" spans="1:10" s="15" customFormat="1" ht="16.5" hidden="1" customHeight="1" outlineLevel="1" x14ac:dyDescent="0.25">
      <c r="A12098" s="18">
        <v>1945</v>
      </c>
      <c r="B12098" s="4" t="s">
        <v>44</v>
      </c>
      <c r="C12098" s="38" t="s">
        <v>6857</v>
      </c>
      <c r="D12098" s="18">
        <v>2022</v>
      </c>
      <c r="E12098" s="18" t="s">
        <v>0</v>
      </c>
      <c r="F12098" s="41">
        <v>1</v>
      </c>
      <c r="G12098" s="4">
        <v>15</v>
      </c>
      <c r="H12098" s="18">
        <v>30.574999999999999</v>
      </c>
      <c r="I12098" s="90"/>
      <c r="J12098" s="90"/>
    </row>
    <row r="12099" spans="1:10" s="15" customFormat="1" ht="16.5" hidden="1" customHeight="1" outlineLevel="1" x14ac:dyDescent="0.25">
      <c r="A12099" s="18">
        <v>2226</v>
      </c>
      <c r="B12099" s="4" t="s">
        <v>44</v>
      </c>
      <c r="C12099" s="38" t="s">
        <v>6858</v>
      </c>
      <c r="D12099" s="18">
        <v>2022</v>
      </c>
      <c r="E12099" s="18" t="s">
        <v>0</v>
      </c>
      <c r="F12099" s="41">
        <v>1</v>
      </c>
      <c r="G12099" s="4">
        <v>30</v>
      </c>
      <c r="H12099" s="18">
        <v>43.281999999999996</v>
      </c>
      <c r="I12099" s="90"/>
      <c r="J12099" s="90"/>
    </row>
    <row r="12100" spans="1:10" s="15" customFormat="1" ht="16.5" hidden="1" customHeight="1" outlineLevel="1" x14ac:dyDescent="0.25">
      <c r="A12100" s="18">
        <v>2231</v>
      </c>
      <c r="B12100" s="4" t="s">
        <v>44</v>
      </c>
      <c r="C12100" s="38" t="s">
        <v>6859</v>
      </c>
      <c r="D12100" s="18">
        <v>2022</v>
      </c>
      <c r="E12100" s="18" t="s">
        <v>0</v>
      </c>
      <c r="F12100" s="41">
        <v>1</v>
      </c>
      <c r="G12100" s="4">
        <v>15</v>
      </c>
      <c r="H12100" s="18">
        <v>37.768000000000001</v>
      </c>
      <c r="I12100" s="90"/>
      <c r="J12100" s="90"/>
    </row>
    <row r="12101" spans="1:10" s="15" customFormat="1" ht="16.5" hidden="1" customHeight="1" outlineLevel="1" x14ac:dyDescent="0.25">
      <c r="A12101" s="18">
        <v>2232</v>
      </c>
      <c r="B12101" s="4" t="s">
        <v>44</v>
      </c>
      <c r="C12101" s="38" t="s">
        <v>6860</v>
      </c>
      <c r="D12101" s="18">
        <v>2022</v>
      </c>
      <c r="E12101" s="18" t="s">
        <v>0</v>
      </c>
      <c r="F12101" s="41">
        <v>1</v>
      </c>
      <c r="G12101" s="4">
        <v>7</v>
      </c>
      <c r="H12101" s="18">
        <v>36.966000000000001</v>
      </c>
      <c r="I12101" s="90"/>
      <c r="J12101" s="90"/>
    </row>
    <row r="12102" spans="1:10" s="15" customFormat="1" ht="16.5" hidden="1" customHeight="1" outlineLevel="1" x14ac:dyDescent="0.25">
      <c r="A12102" s="18">
        <v>2233</v>
      </c>
      <c r="B12102" s="4" t="s">
        <v>44</v>
      </c>
      <c r="C12102" s="38" t="s">
        <v>6861</v>
      </c>
      <c r="D12102" s="18">
        <v>2022</v>
      </c>
      <c r="E12102" s="18" t="s">
        <v>0</v>
      </c>
      <c r="F12102" s="41">
        <v>1</v>
      </c>
      <c r="G12102" s="4">
        <v>15</v>
      </c>
      <c r="H12102" s="18">
        <v>33.244999999999997</v>
      </c>
      <c r="I12102" s="90"/>
      <c r="J12102" s="90"/>
    </row>
    <row r="12103" spans="1:10" s="15" customFormat="1" ht="16.5" hidden="1" customHeight="1" outlineLevel="1" x14ac:dyDescent="0.25">
      <c r="A12103" s="18">
        <v>2236</v>
      </c>
      <c r="B12103" s="4" t="s">
        <v>44</v>
      </c>
      <c r="C12103" s="38" t="s">
        <v>6862</v>
      </c>
      <c r="D12103" s="18">
        <v>2022</v>
      </c>
      <c r="E12103" s="18" t="s">
        <v>0</v>
      </c>
      <c r="F12103" s="41">
        <v>1</v>
      </c>
      <c r="G12103" s="4">
        <v>10</v>
      </c>
      <c r="H12103" s="18">
        <v>39.780999999999999</v>
      </c>
      <c r="I12103" s="90"/>
      <c r="J12103" s="90"/>
    </row>
    <row r="12104" spans="1:10" s="15" customFormat="1" ht="16.5" hidden="1" customHeight="1" outlineLevel="1" x14ac:dyDescent="0.25">
      <c r="A12104" s="18">
        <v>1845</v>
      </c>
      <c r="B12104" s="4" t="s">
        <v>44</v>
      </c>
      <c r="C12104" s="38" t="s">
        <v>6863</v>
      </c>
      <c r="D12104" s="18">
        <v>2022</v>
      </c>
      <c r="E12104" s="18" t="s">
        <v>0</v>
      </c>
      <c r="F12104" s="41">
        <v>2</v>
      </c>
      <c r="G12104" s="4">
        <v>18</v>
      </c>
      <c r="H12104" s="18">
        <v>61.085999999999999</v>
      </c>
      <c r="I12104" s="90"/>
      <c r="J12104" s="90"/>
    </row>
    <row r="12105" spans="1:10" s="15" customFormat="1" ht="16.5" hidden="1" customHeight="1" outlineLevel="1" x14ac:dyDescent="0.25">
      <c r="A12105" s="18">
        <v>1868</v>
      </c>
      <c r="B12105" s="4" t="s">
        <v>44</v>
      </c>
      <c r="C12105" s="38" t="s">
        <v>6864</v>
      </c>
      <c r="D12105" s="18">
        <v>2022</v>
      </c>
      <c r="E12105" s="18" t="s">
        <v>0</v>
      </c>
      <c r="F12105" s="41">
        <v>1</v>
      </c>
      <c r="G12105" s="4">
        <v>15</v>
      </c>
      <c r="H12105" s="18">
        <v>22.603999999999999</v>
      </c>
      <c r="I12105" s="90"/>
      <c r="J12105" s="90"/>
    </row>
    <row r="12106" spans="1:10" s="15" customFormat="1" ht="16.5" hidden="1" customHeight="1" outlineLevel="1" x14ac:dyDescent="0.25">
      <c r="A12106" s="18">
        <v>1886</v>
      </c>
      <c r="B12106" s="4" t="s">
        <v>44</v>
      </c>
      <c r="C12106" s="38" t="s">
        <v>6865</v>
      </c>
      <c r="D12106" s="18">
        <v>2022</v>
      </c>
      <c r="E12106" s="18" t="s">
        <v>0</v>
      </c>
      <c r="F12106" s="41">
        <v>1</v>
      </c>
      <c r="G12106" s="4">
        <v>15</v>
      </c>
      <c r="H12106" s="18">
        <v>25.349</v>
      </c>
      <c r="I12106" s="90"/>
      <c r="J12106" s="90"/>
    </row>
    <row r="12107" spans="1:10" s="15" customFormat="1" ht="16.5" hidden="1" customHeight="1" outlineLevel="1" x14ac:dyDescent="0.25">
      <c r="A12107" s="18">
        <v>1902</v>
      </c>
      <c r="B12107" s="4" t="s">
        <v>44</v>
      </c>
      <c r="C12107" s="38" t="s">
        <v>6866</v>
      </c>
      <c r="D12107" s="18">
        <v>2022</v>
      </c>
      <c r="E12107" s="18" t="s">
        <v>0</v>
      </c>
      <c r="F12107" s="41">
        <v>3</v>
      </c>
      <c r="G12107" s="4">
        <v>40</v>
      </c>
      <c r="H12107" s="18">
        <v>102.337</v>
      </c>
      <c r="I12107" s="90"/>
      <c r="J12107" s="90"/>
    </row>
    <row r="12108" spans="1:10" s="15" customFormat="1" ht="16.5" hidden="1" customHeight="1" outlineLevel="1" x14ac:dyDescent="0.25">
      <c r="A12108" s="18">
        <v>1917</v>
      </c>
      <c r="B12108" s="4" t="s">
        <v>44</v>
      </c>
      <c r="C12108" s="38" t="s">
        <v>6867</v>
      </c>
      <c r="D12108" s="18">
        <v>2022</v>
      </c>
      <c r="E12108" s="18" t="s">
        <v>0</v>
      </c>
      <c r="F12108" s="41">
        <v>1</v>
      </c>
      <c r="G12108" s="4">
        <v>15</v>
      </c>
      <c r="H12108" s="18">
        <v>26.33</v>
      </c>
      <c r="I12108" s="90"/>
      <c r="J12108" s="90"/>
    </row>
    <row r="12109" spans="1:10" s="15" customFormat="1" ht="16.5" hidden="1" customHeight="1" outlineLevel="1" x14ac:dyDescent="0.25">
      <c r="A12109" s="18">
        <v>1939</v>
      </c>
      <c r="B12109" s="4" t="s">
        <v>44</v>
      </c>
      <c r="C12109" s="38" t="s">
        <v>6868</v>
      </c>
      <c r="D12109" s="18">
        <v>2022</v>
      </c>
      <c r="E12109" s="18" t="s">
        <v>0</v>
      </c>
      <c r="F12109" s="41">
        <v>1</v>
      </c>
      <c r="G12109" s="4">
        <v>15</v>
      </c>
      <c r="H12109" s="18">
        <v>29.972999999999999</v>
      </c>
      <c r="I12109" s="90"/>
      <c r="J12109" s="90"/>
    </row>
    <row r="12110" spans="1:10" s="15" customFormat="1" ht="16.5" hidden="1" customHeight="1" outlineLevel="1" x14ac:dyDescent="0.25">
      <c r="A12110" s="18">
        <v>1942</v>
      </c>
      <c r="B12110" s="4" t="s">
        <v>44</v>
      </c>
      <c r="C12110" s="38" t="s">
        <v>6869</v>
      </c>
      <c r="D12110" s="18">
        <v>2022</v>
      </c>
      <c r="E12110" s="18" t="s">
        <v>0</v>
      </c>
      <c r="F12110" s="41">
        <v>1</v>
      </c>
      <c r="G12110" s="4">
        <v>15</v>
      </c>
      <c r="H12110" s="18">
        <v>50.25</v>
      </c>
      <c r="I12110" s="90"/>
      <c r="J12110" s="90"/>
    </row>
    <row r="12111" spans="1:10" s="15" customFormat="1" ht="16.5" hidden="1" customHeight="1" outlineLevel="1" x14ac:dyDescent="0.25">
      <c r="A12111" s="18">
        <v>1962</v>
      </c>
      <c r="B12111" s="4" t="s">
        <v>44</v>
      </c>
      <c r="C12111" s="38" t="s">
        <v>6870</v>
      </c>
      <c r="D12111" s="18">
        <v>2022</v>
      </c>
      <c r="E12111" s="18" t="s">
        <v>0</v>
      </c>
      <c r="F12111" s="41">
        <v>1</v>
      </c>
      <c r="G12111" s="4">
        <v>15</v>
      </c>
      <c r="H12111" s="18">
        <v>32.896000000000001</v>
      </c>
      <c r="I12111" s="90"/>
      <c r="J12111" s="90"/>
    </row>
    <row r="12112" spans="1:10" s="15" customFormat="1" ht="16.5" hidden="1" customHeight="1" outlineLevel="1" x14ac:dyDescent="0.25">
      <c r="A12112" s="18">
        <v>1979</v>
      </c>
      <c r="B12112" s="4" t="s">
        <v>44</v>
      </c>
      <c r="C12112" s="38" t="s">
        <v>6871</v>
      </c>
      <c r="D12112" s="18">
        <v>2022</v>
      </c>
      <c r="E12112" s="18" t="s">
        <v>0</v>
      </c>
      <c r="F12112" s="41">
        <v>1</v>
      </c>
      <c r="G12112" s="4">
        <v>15</v>
      </c>
      <c r="H12112" s="18">
        <v>35.609000000000002</v>
      </c>
      <c r="I12112" s="90"/>
      <c r="J12112" s="90"/>
    </row>
    <row r="12113" spans="1:10" s="15" customFormat="1" ht="16.5" hidden="1" customHeight="1" outlineLevel="1" x14ac:dyDescent="0.25">
      <c r="A12113" s="18">
        <v>2011</v>
      </c>
      <c r="B12113" s="4" t="s">
        <v>44</v>
      </c>
      <c r="C12113" s="38" t="s">
        <v>6872</v>
      </c>
      <c r="D12113" s="18">
        <v>2022</v>
      </c>
      <c r="E12113" s="18" t="s">
        <v>0</v>
      </c>
      <c r="F12113" s="41">
        <v>1</v>
      </c>
      <c r="G12113" s="4">
        <v>15</v>
      </c>
      <c r="H12113" s="18">
        <v>42.295000000000002</v>
      </c>
      <c r="I12113" s="90"/>
      <c r="J12113" s="90"/>
    </row>
    <row r="12114" spans="1:10" s="15" customFormat="1" ht="16.5" hidden="1" customHeight="1" outlineLevel="1" x14ac:dyDescent="0.25">
      <c r="A12114" s="18">
        <v>2022</v>
      </c>
      <c r="B12114" s="4" t="s">
        <v>44</v>
      </c>
      <c r="C12114" s="38" t="s">
        <v>6873</v>
      </c>
      <c r="D12114" s="18">
        <v>2022</v>
      </c>
      <c r="E12114" s="18" t="s">
        <v>0</v>
      </c>
      <c r="F12114" s="41">
        <v>1</v>
      </c>
      <c r="G12114" s="4">
        <v>15</v>
      </c>
      <c r="H12114" s="18">
        <v>29.408999999999999</v>
      </c>
      <c r="I12114" s="90"/>
      <c r="J12114" s="90"/>
    </row>
    <row r="12115" spans="1:10" s="15" customFormat="1" ht="16.5" hidden="1" customHeight="1" outlineLevel="1" x14ac:dyDescent="0.25">
      <c r="A12115" s="18">
        <v>2023</v>
      </c>
      <c r="B12115" s="4" t="s">
        <v>44</v>
      </c>
      <c r="C12115" s="38" t="s">
        <v>6874</v>
      </c>
      <c r="D12115" s="18">
        <v>2022</v>
      </c>
      <c r="E12115" s="18" t="s">
        <v>0</v>
      </c>
      <c r="F12115" s="41">
        <v>1</v>
      </c>
      <c r="G12115" s="4">
        <v>10</v>
      </c>
      <c r="H12115" s="18">
        <v>35.357999999999997</v>
      </c>
      <c r="I12115" s="90"/>
      <c r="J12115" s="90"/>
    </row>
    <row r="12116" spans="1:10" s="15" customFormat="1" ht="16.5" hidden="1" customHeight="1" outlineLevel="1" x14ac:dyDescent="0.25">
      <c r="A12116" s="18">
        <v>2025</v>
      </c>
      <c r="B12116" s="4" t="s">
        <v>44</v>
      </c>
      <c r="C12116" s="38" t="s">
        <v>6875</v>
      </c>
      <c r="D12116" s="18">
        <v>2022</v>
      </c>
      <c r="E12116" s="18" t="s">
        <v>0</v>
      </c>
      <c r="F12116" s="41">
        <v>1</v>
      </c>
      <c r="G12116" s="4">
        <v>15</v>
      </c>
      <c r="H12116" s="18">
        <v>30.05</v>
      </c>
      <c r="I12116" s="90"/>
      <c r="J12116" s="90"/>
    </row>
    <row r="12117" spans="1:10" s="15" customFormat="1" ht="16.5" hidden="1" customHeight="1" outlineLevel="1" x14ac:dyDescent="0.25">
      <c r="A12117" s="18">
        <v>2030</v>
      </c>
      <c r="B12117" s="4" t="s">
        <v>44</v>
      </c>
      <c r="C12117" s="38" t="s">
        <v>6876</v>
      </c>
      <c r="D12117" s="18">
        <v>2022</v>
      </c>
      <c r="E12117" s="18" t="s">
        <v>0</v>
      </c>
      <c r="F12117" s="41">
        <v>1</v>
      </c>
      <c r="G12117" s="4">
        <v>10</v>
      </c>
      <c r="H12117" s="18">
        <v>29.792000000000002</v>
      </c>
      <c r="I12117" s="90"/>
      <c r="J12117" s="90"/>
    </row>
    <row r="12118" spans="1:10" s="15" customFormat="1" ht="16.5" hidden="1" customHeight="1" outlineLevel="1" x14ac:dyDescent="0.25">
      <c r="A12118" s="18">
        <v>2049</v>
      </c>
      <c r="B12118" s="4" t="s">
        <v>44</v>
      </c>
      <c r="C12118" s="38" t="s">
        <v>6877</v>
      </c>
      <c r="D12118" s="18">
        <v>2022</v>
      </c>
      <c r="E12118" s="18" t="s">
        <v>0</v>
      </c>
      <c r="F12118" s="41">
        <v>3</v>
      </c>
      <c r="G12118" s="4">
        <v>35</v>
      </c>
      <c r="H12118" s="18">
        <v>101.17100000000001</v>
      </c>
      <c r="I12118" s="90"/>
      <c r="J12118" s="90"/>
    </row>
    <row r="12119" spans="1:10" s="15" customFormat="1" ht="16.5" hidden="1" customHeight="1" outlineLevel="1" x14ac:dyDescent="0.25">
      <c r="A12119" s="18">
        <v>2054</v>
      </c>
      <c r="B12119" s="4" t="s">
        <v>44</v>
      </c>
      <c r="C12119" s="38" t="s">
        <v>6878</v>
      </c>
      <c r="D12119" s="18">
        <v>2022</v>
      </c>
      <c r="E12119" s="18" t="s">
        <v>0</v>
      </c>
      <c r="F12119" s="41">
        <v>1</v>
      </c>
      <c r="G12119" s="4">
        <v>15</v>
      </c>
      <c r="H12119" s="18">
        <v>34.375</v>
      </c>
      <c r="I12119" s="90"/>
      <c r="J12119" s="90"/>
    </row>
    <row r="12120" spans="1:10" s="15" customFormat="1" ht="16.5" hidden="1" customHeight="1" outlineLevel="1" x14ac:dyDescent="0.25">
      <c r="A12120" s="18">
        <v>2067</v>
      </c>
      <c r="B12120" s="4" t="s">
        <v>44</v>
      </c>
      <c r="C12120" s="38" t="s">
        <v>3084</v>
      </c>
      <c r="D12120" s="18">
        <v>2022</v>
      </c>
      <c r="E12120" s="18" t="s">
        <v>0</v>
      </c>
      <c r="F12120" s="41">
        <v>2</v>
      </c>
      <c r="G12120" s="4">
        <v>145</v>
      </c>
      <c r="H12120" s="18">
        <v>53.756</v>
      </c>
      <c r="I12120" s="90"/>
      <c r="J12120" s="90"/>
    </row>
    <row r="12121" spans="1:10" s="15" customFormat="1" ht="16.5" hidden="1" customHeight="1" outlineLevel="1" x14ac:dyDescent="0.25">
      <c r="A12121" s="18">
        <v>2084</v>
      </c>
      <c r="B12121" s="4" t="s">
        <v>44</v>
      </c>
      <c r="C12121" s="38" t="s">
        <v>6879</v>
      </c>
      <c r="D12121" s="18">
        <v>2022</v>
      </c>
      <c r="E12121" s="18" t="s">
        <v>0</v>
      </c>
      <c r="F12121" s="41">
        <v>1</v>
      </c>
      <c r="G12121" s="4">
        <v>10</v>
      </c>
      <c r="H12121" s="18">
        <v>34.706000000000003</v>
      </c>
      <c r="I12121" s="90"/>
      <c r="J12121" s="90"/>
    </row>
    <row r="12122" spans="1:10" s="15" customFormat="1" ht="16.5" hidden="1" customHeight="1" outlineLevel="1" x14ac:dyDescent="0.25">
      <c r="A12122" s="18">
        <v>2090</v>
      </c>
      <c r="B12122" s="4" t="s">
        <v>44</v>
      </c>
      <c r="C12122" s="38" t="s">
        <v>6880</v>
      </c>
      <c r="D12122" s="18">
        <v>2022</v>
      </c>
      <c r="E12122" s="18" t="s">
        <v>0</v>
      </c>
      <c r="F12122" s="41">
        <v>1</v>
      </c>
      <c r="G12122" s="4">
        <v>10</v>
      </c>
      <c r="H12122" s="18">
        <v>29.315999999999999</v>
      </c>
      <c r="I12122" s="90"/>
      <c r="J12122" s="90"/>
    </row>
    <row r="12123" spans="1:10" s="15" customFormat="1" ht="16.5" hidden="1" customHeight="1" outlineLevel="1" x14ac:dyDescent="0.25">
      <c r="A12123" s="18">
        <v>2098</v>
      </c>
      <c r="B12123" s="4" t="s">
        <v>44</v>
      </c>
      <c r="C12123" s="38" t="s">
        <v>6881</v>
      </c>
      <c r="D12123" s="18">
        <v>2022</v>
      </c>
      <c r="E12123" s="18" t="s">
        <v>0</v>
      </c>
      <c r="F12123" s="41">
        <v>1</v>
      </c>
      <c r="G12123" s="4">
        <v>7</v>
      </c>
      <c r="H12123" s="18">
        <v>37.119999999999997</v>
      </c>
      <c r="I12123" s="90"/>
      <c r="J12123" s="90"/>
    </row>
    <row r="12124" spans="1:10" s="15" customFormat="1" ht="16.5" hidden="1" customHeight="1" outlineLevel="1" x14ac:dyDescent="0.25">
      <c r="A12124" s="18">
        <v>2100</v>
      </c>
      <c r="B12124" s="4" t="s">
        <v>44</v>
      </c>
      <c r="C12124" s="38" t="s">
        <v>6882</v>
      </c>
      <c r="D12124" s="18">
        <v>2022</v>
      </c>
      <c r="E12124" s="18" t="s">
        <v>0</v>
      </c>
      <c r="F12124" s="41">
        <v>1</v>
      </c>
      <c r="G12124" s="4">
        <v>15</v>
      </c>
      <c r="H12124" s="18">
        <v>34.712000000000003</v>
      </c>
      <c r="I12124" s="90"/>
      <c r="J12124" s="90"/>
    </row>
    <row r="12125" spans="1:10" s="15" customFormat="1" ht="16.5" hidden="1" customHeight="1" outlineLevel="1" x14ac:dyDescent="0.25">
      <c r="A12125" s="18">
        <v>2109</v>
      </c>
      <c r="B12125" s="4" t="s">
        <v>44</v>
      </c>
      <c r="C12125" s="38" t="s">
        <v>6883</v>
      </c>
      <c r="D12125" s="18">
        <v>2022</v>
      </c>
      <c r="E12125" s="18" t="s">
        <v>0</v>
      </c>
      <c r="F12125" s="41">
        <v>1</v>
      </c>
      <c r="G12125" s="4">
        <v>15</v>
      </c>
      <c r="H12125" s="18">
        <v>35.601999999999997</v>
      </c>
      <c r="I12125" s="90"/>
      <c r="J12125" s="90"/>
    </row>
    <row r="12126" spans="1:10" s="15" customFormat="1" ht="16.5" hidden="1" customHeight="1" outlineLevel="1" x14ac:dyDescent="0.25">
      <c r="A12126" s="18">
        <v>2177</v>
      </c>
      <c r="B12126" s="4" t="s">
        <v>44</v>
      </c>
      <c r="C12126" s="38" t="s">
        <v>6884</v>
      </c>
      <c r="D12126" s="18">
        <v>2022</v>
      </c>
      <c r="E12126" s="18" t="s">
        <v>0</v>
      </c>
      <c r="F12126" s="41">
        <v>1</v>
      </c>
      <c r="G12126" s="4">
        <v>15</v>
      </c>
      <c r="H12126" s="18">
        <v>29.265999999999998</v>
      </c>
      <c r="I12126" s="90"/>
      <c r="J12126" s="90"/>
    </row>
    <row r="12127" spans="1:10" s="15" customFormat="1" ht="16.5" hidden="1" customHeight="1" outlineLevel="1" x14ac:dyDescent="0.25">
      <c r="A12127" s="18">
        <v>2187</v>
      </c>
      <c r="B12127" s="4" t="s">
        <v>44</v>
      </c>
      <c r="C12127" s="38" t="s">
        <v>6885</v>
      </c>
      <c r="D12127" s="18">
        <v>2022</v>
      </c>
      <c r="E12127" s="18" t="s">
        <v>0</v>
      </c>
      <c r="F12127" s="41">
        <v>1</v>
      </c>
      <c r="G12127" s="4">
        <v>15</v>
      </c>
      <c r="H12127" s="18">
        <v>30.263999999999999</v>
      </c>
      <c r="I12127" s="90"/>
      <c r="J12127" s="90"/>
    </row>
    <row r="12128" spans="1:10" s="15" customFormat="1" ht="16.5" hidden="1" customHeight="1" outlineLevel="1" x14ac:dyDescent="0.25">
      <c r="A12128" s="18">
        <v>2188</v>
      </c>
      <c r="B12128" s="4" t="s">
        <v>44</v>
      </c>
      <c r="C12128" s="38" t="s">
        <v>6886</v>
      </c>
      <c r="D12128" s="18">
        <v>2022</v>
      </c>
      <c r="E12128" s="18" t="s">
        <v>0</v>
      </c>
      <c r="F12128" s="41">
        <v>1</v>
      </c>
      <c r="G12128" s="4">
        <v>15</v>
      </c>
      <c r="H12128" s="18">
        <v>34.530999999999999</v>
      </c>
      <c r="I12128" s="90"/>
      <c r="J12128" s="90"/>
    </row>
    <row r="12129" spans="1:10" s="15" customFormat="1" ht="16.5" hidden="1" customHeight="1" outlineLevel="1" x14ac:dyDescent="0.25">
      <c r="A12129" s="18">
        <v>2221</v>
      </c>
      <c r="B12129" s="4" t="s">
        <v>44</v>
      </c>
      <c r="C12129" s="38" t="s">
        <v>6887</v>
      </c>
      <c r="D12129" s="18">
        <v>2022</v>
      </c>
      <c r="E12129" s="18" t="s">
        <v>0</v>
      </c>
      <c r="F12129" s="41">
        <v>1</v>
      </c>
      <c r="G12129" s="4">
        <v>15</v>
      </c>
      <c r="H12129" s="18">
        <v>28.67</v>
      </c>
      <c r="I12129" s="90"/>
      <c r="J12129" s="90"/>
    </row>
    <row r="12130" spans="1:10" s="15" customFormat="1" ht="16.5" hidden="1" customHeight="1" outlineLevel="1" x14ac:dyDescent="0.25">
      <c r="A12130" s="18">
        <v>2296</v>
      </c>
      <c r="B12130" s="4" t="s">
        <v>44</v>
      </c>
      <c r="C12130" s="38" t="s">
        <v>6888</v>
      </c>
      <c r="D12130" s="18">
        <v>2022</v>
      </c>
      <c r="E12130" s="18" t="s">
        <v>0</v>
      </c>
      <c r="F12130" s="41">
        <v>1</v>
      </c>
      <c r="G12130" s="4">
        <v>14</v>
      </c>
      <c r="H12130" s="18">
        <v>33.517000000000003</v>
      </c>
      <c r="I12130" s="90"/>
      <c r="J12130" s="90"/>
    </row>
    <row r="12131" spans="1:10" s="15" customFormat="1" ht="16.5" hidden="1" customHeight="1" outlineLevel="1" x14ac:dyDescent="0.25">
      <c r="A12131" s="18">
        <v>2297</v>
      </c>
      <c r="B12131" s="4" t="s">
        <v>44</v>
      </c>
      <c r="C12131" s="38" t="s">
        <v>6889</v>
      </c>
      <c r="D12131" s="18">
        <v>2022</v>
      </c>
      <c r="E12131" s="18" t="s">
        <v>0</v>
      </c>
      <c r="F12131" s="41">
        <v>1</v>
      </c>
      <c r="G12131" s="4">
        <v>14</v>
      </c>
      <c r="H12131" s="18">
        <v>33.445999999999998</v>
      </c>
      <c r="I12131" s="90"/>
      <c r="J12131" s="90"/>
    </row>
    <row r="12132" spans="1:10" s="15" customFormat="1" ht="16.5" hidden="1" customHeight="1" outlineLevel="1" x14ac:dyDescent="0.25">
      <c r="A12132" s="18">
        <v>2344</v>
      </c>
      <c r="B12132" s="4" t="s">
        <v>44</v>
      </c>
      <c r="C12132" s="38" t="s">
        <v>6890</v>
      </c>
      <c r="D12132" s="18">
        <v>2022</v>
      </c>
      <c r="E12132" s="18" t="s">
        <v>0</v>
      </c>
      <c r="F12132" s="41">
        <v>1</v>
      </c>
      <c r="G12132" s="4">
        <v>10</v>
      </c>
      <c r="H12132" s="18">
        <v>39.249000000000002</v>
      </c>
      <c r="I12132" s="90"/>
      <c r="J12132" s="90"/>
    </row>
    <row r="12133" spans="1:10" s="15" customFormat="1" ht="16.5" hidden="1" customHeight="1" outlineLevel="1" x14ac:dyDescent="0.25">
      <c r="A12133" s="18">
        <v>2345</v>
      </c>
      <c r="B12133" s="4" t="s">
        <v>44</v>
      </c>
      <c r="C12133" s="38" t="s">
        <v>6891</v>
      </c>
      <c r="D12133" s="18">
        <v>2022</v>
      </c>
      <c r="E12133" s="18" t="s">
        <v>0</v>
      </c>
      <c r="F12133" s="41">
        <v>1</v>
      </c>
      <c r="G12133" s="4">
        <v>15</v>
      </c>
      <c r="H12133" s="18">
        <v>38.744</v>
      </c>
      <c r="I12133" s="90"/>
      <c r="J12133" s="90"/>
    </row>
    <row r="12134" spans="1:10" s="15" customFormat="1" ht="16.5" hidden="1" customHeight="1" outlineLevel="1" x14ac:dyDescent="0.25">
      <c r="A12134" s="18">
        <v>2346</v>
      </c>
      <c r="B12134" s="4" t="s">
        <v>44</v>
      </c>
      <c r="C12134" s="38" t="s">
        <v>6892</v>
      </c>
      <c r="D12134" s="18">
        <v>2022</v>
      </c>
      <c r="E12134" s="18" t="s">
        <v>0</v>
      </c>
      <c r="F12134" s="41">
        <v>1</v>
      </c>
      <c r="G12134" s="4">
        <v>15</v>
      </c>
      <c r="H12134" s="18">
        <v>38.704999999999998</v>
      </c>
      <c r="I12134" s="90"/>
      <c r="J12134" s="90"/>
    </row>
    <row r="12135" spans="1:10" s="15" customFormat="1" ht="16.5" hidden="1" customHeight="1" outlineLevel="1" x14ac:dyDescent="0.25">
      <c r="A12135" s="18">
        <v>2347</v>
      </c>
      <c r="B12135" s="4" t="s">
        <v>44</v>
      </c>
      <c r="C12135" s="38" t="s">
        <v>6893</v>
      </c>
      <c r="D12135" s="18">
        <v>2022</v>
      </c>
      <c r="E12135" s="18" t="s">
        <v>0</v>
      </c>
      <c r="F12135" s="41">
        <v>1</v>
      </c>
      <c r="G12135" s="4">
        <v>15</v>
      </c>
      <c r="H12135" s="18">
        <v>40.511000000000003</v>
      </c>
      <c r="I12135" s="90"/>
      <c r="J12135" s="90"/>
    </row>
    <row r="12136" spans="1:10" s="15" customFormat="1" ht="16.5" hidden="1" customHeight="1" outlineLevel="1" x14ac:dyDescent="0.25">
      <c r="A12136" s="18">
        <v>2348</v>
      </c>
      <c r="B12136" s="4" t="s">
        <v>44</v>
      </c>
      <c r="C12136" s="38" t="s">
        <v>6894</v>
      </c>
      <c r="D12136" s="18">
        <v>2022</v>
      </c>
      <c r="E12136" s="18" t="s">
        <v>0</v>
      </c>
      <c r="F12136" s="41">
        <v>1</v>
      </c>
      <c r="G12136" s="4">
        <v>10</v>
      </c>
      <c r="H12136" s="18">
        <v>45.420999999999999</v>
      </c>
      <c r="I12136" s="90"/>
      <c r="J12136" s="90"/>
    </row>
    <row r="12137" spans="1:10" s="15" customFormat="1" ht="16.5" hidden="1" customHeight="1" outlineLevel="1" x14ac:dyDescent="0.25">
      <c r="A12137" s="18">
        <v>2015</v>
      </c>
      <c r="B12137" s="4" t="s">
        <v>44</v>
      </c>
      <c r="C12137" s="38" t="s">
        <v>6895</v>
      </c>
      <c r="D12137" s="18">
        <v>2022</v>
      </c>
      <c r="E12137" s="18" t="s">
        <v>0</v>
      </c>
      <c r="F12137" s="41">
        <v>1</v>
      </c>
      <c r="G12137" s="4">
        <v>15</v>
      </c>
      <c r="H12137" s="18">
        <v>39.170999999999999</v>
      </c>
      <c r="I12137" s="90"/>
      <c r="J12137" s="90"/>
    </row>
    <row r="12138" spans="1:10" s="15" customFormat="1" ht="16.5" hidden="1" customHeight="1" outlineLevel="1" x14ac:dyDescent="0.25">
      <c r="A12138" s="18">
        <v>2064</v>
      </c>
      <c r="B12138" s="4" t="s">
        <v>44</v>
      </c>
      <c r="C12138" s="38" t="s">
        <v>6896</v>
      </c>
      <c r="D12138" s="18">
        <v>2022</v>
      </c>
      <c r="E12138" s="18" t="s">
        <v>0</v>
      </c>
      <c r="F12138" s="41">
        <v>1</v>
      </c>
      <c r="G12138" s="4">
        <v>15</v>
      </c>
      <c r="H12138" s="18">
        <v>38.042000000000002</v>
      </c>
      <c r="I12138" s="90"/>
      <c r="J12138" s="90"/>
    </row>
    <row r="12139" spans="1:10" s="15" customFormat="1" ht="16.5" hidden="1" customHeight="1" outlineLevel="1" x14ac:dyDescent="0.25">
      <c r="A12139" s="18">
        <v>2065</v>
      </c>
      <c r="B12139" s="4" t="s">
        <v>44</v>
      </c>
      <c r="C12139" s="38" t="s">
        <v>6897</v>
      </c>
      <c r="D12139" s="18">
        <v>2022</v>
      </c>
      <c r="E12139" s="18" t="s">
        <v>0</v>
      </c>
      <c r="F12139" s="41">
        <v>1</v>
      </c>
      <c r="G12139" s="4">
        <v>15</v>
      </c>
      <c r="H12139" s="18">
        <v>57.600999999999999</v>
      </c>
      <c r="I12139" s="90"/>
      <c r="J12139" s="90"/>
    </row>
    <row r="12140" spans="1:10" s="15" customFormat="1" ht="16.5" hidden="1" customHeight="1" outlineLevel="1" x14ac:dyDescent="0.25">
      <c r="A12140" s="18">
        <v>2323</v>
      </c>
      <c r="B12140" s="4" t="s">
        <v>44</v>
      </c>
      <c r="C12140" s="38" t="s">
        <v>6898</v>
      </c>
      <c r="D12140" s="18">
        <v>2022</v>
      </c>
      <c r="E12140" s="18" t="s">
        <v>0</v>
      </c>
      <c r="F12140" s="41">
        <v>1</v>
      </c>
      <c r="G12140" s="4">
        <v>15</v>
      </c>
      <c r="H12140" s="18">
        <v>60.25</v>
      </c>
      <c r="I12140" s="90"/>
      <c r="J12140" s="90"/>
    </row>
    <row r="12141" spans="1:10" s="15" customFormat="1" ht="16.5" hidden="1" customHeight="1" outlineLevel="1" x14ac:dyDescent="0.25">
      <c r="A12141" s="18">
        <v>2239</v>
      </c>
      <c r="B12141" s="4" t="s">
        <v>44</v>
      </c>
      <c r="C12141" s="38" t="s">
        <v>6899</v>
      </c>
      <c r="D12141" s="18">
        <v>2022</v>
      </c>
      <c r="E12141" s="18" t="s">
        <v>0</v>
      </c>
      <c r="F12141" s="41">
        <v>1</v>
      </c>
      <c r="G12141" s="4">
        <v>10</v>
      </c>
      <c r="H12141" s="18">
        <v>29.207999999999998</v>
      </c>
      <c r="I12141" s="90"/>
      <c r="J12141" s="90"/>
    </row>
    <row r="12142" spans="1:10" s="15" customFormat="1" ht="16.5" hidden="1" customHeight="1" outlineLevel="1" x14ac:dyDescent="0.25">
      <c r="A12142" s="18">
        <v>2349</v>
      </c>
      <c r="B12142" s="4" t="s">
        <v>44</v>
      </c>
      <c r="C12142" s="38" t="s">
        <v>6900</v>
      </c>
      <c r="D12142" s="18">
        <v>2022</v>
      </c>
      <c r="E12142" s="18" t="s">
        <v>0</v>
      </c>
      <c r="F12142" s="41">
        <v>1</v>
      </c>
      <c r="G12142" s="4">
        <v>15</v>
      </c>
      <c r="H12142" s="18">
        <v>35.109000000000002</v>
      </c>
      <c r="I12142" s="90"/>
      <c r="J12142" s="90"/>
    </row>
    <row r="12143" spans="1:10" s="15" customFormat="1" ht="16.5" hidden="1" customHeight="1" outlineLevel="1" x14ac:dyDescent="0.25">
      <c r="A12143" s="18">
        <v>2353</v>
      </c>
      <c r="B12143" s="4" t="s">
        <v>44</v>
      </c>
      <c r="C12143" s="38" t="s">
        <v>6901</v>
      </c>
      <c r="D12143" s="18">
        <v>2022</v>
      </c>
      <c r="E12143" s="18" t="s">
        <v>0</v>
      </c>
      <c r="F12143" s="41">
        <v>1</v>
      </c>
      <c r="G12143" s="4">
        <v>10</v>
      </c>
      <c r="H12143" s="18">
        <v>41.488999999999997</v>
      </c>
      <c r="I12143" s="90"/>
      <c r="J12143" s="90"/>
    </row>
    <row r="12144" spans="1:10" s="15" customFormat="1" ht="16.5" hidden="1" customHeight="1" outlineLevel="1" x14ac:dyDescent="0.25">
      <c r="A12144" s="18">
        <v>2354</v>
      </c>
      <c r="B12144" s="4" t="s">
        <v>44</v>
      </c>
      <c r="C12144" s="38" t="s">
        <v>6902</v>
      </c>
      <c r="D12144" s="18">
        <v>2022</v>
      </c>
      <c r="E12144" s="18" t="s">
        <v>0</v>
      </c>
      <c r="F12144" s="41">
        <v>1</v>
      </c>
      <c r="G12144" s="4">
        <v>15</v>
      </c>
      <c r="H12144" s="18">
        <v>41.49</v>
      </c>
      <c r="I12144" s="90"/>
      <c r="J12144" s="90"/>
    </row>
    <row r="12145" spans="1:10" s="15" customFormat="1" ht="16.5" hidden="1" customHeight="1" outlineLevel="1" x14ac:dyDescent="0.25">
      <c r="A12145" s="18">
        <v>2355</v>
      </c>
      <c r="B12145" s="4" t="s">
        <v>44</v>
      </c>
      <c r="C12145" s="38" t="s">
        <v>6903</v>
      </c>
      <c r="D12145" s="18">
        <v>2022</v>
      </c>
      <c r="E12145" s="18" t="s">
        <v>0</v>
      </c>
      <c r="F12145" s="41">
        <v>1</v>
      </c>
      <c r="G12145" s="4">
        <v>10</v>
      </c>
      <c r="H12145" s="18">
        <v>38.478000000000002</v>
      </c>
      <c r="I12145" s="90"/>
      <c r="J12145" s="90"/>
    </row>
    <row r="12146" spans="1:10" s="15" customFormat="1" ht="16.5" hidden="1" customHeight="1" outlineLevel="1" x14ac:dyDescent="0.25">
      <c r="A12146" s="18">
        <v>2357</v>
      </c>
      <c r="B12146" s="4" t="s">
        <v>44</v>
      </c>
      <c r="C12146" s="38" t="s">
        <v>6904</v>
      </c>
      <c r="D12146" s="18">
        <v>2022</v>
      </c>
      <c r="E12146" s="18" t="s">
        <v>0</v>
      </c>
      <c r="F12146" s="41">
        <v>1</v>
      </c>
      <c r="G12146" s="4">
        <v>15</v>
      </c>
      <c r="H12146" s="18">
        <v>37.692</v>
      </c>
      <c r="I12146" s="90"/>
      <c r="J12146" s="90"/>
    </row>
    <row r="12147" spans="1:10" s="15" customFormat="1" ht="16.5" hidden="1" customHeight="1" outlineLevel="1" x14ac:dyDescent="0.25">
      <c r="A12147" s="18">
        <v>2360</v>
      </c>
      <c r="B12147" s="4" t="s">
        <v>44</v>
      </c>
      <c r="C12147" s="38" t="s">
        <v>6905</v>
      </c>
      <c r="D12147" s="18">
        <v>2022</v>
      </c>
      <c r="E12147" s="18" t="s">
        <v>0</v>
      </c>
      <c r="F12147" s="41">
        <v>1</v>
      </c>
      <c r="G12147" s="4">
        <v>15</v>
      </c>
      <c r="H12147" s="18">
        <v>42.057000000000002</v>
      </c>
      <c r="I12147" s="90"/>
      <c r="J12147" s="90"/>
    </row>
    <row r="12148" spans="1:10" s="15" customFormat="1" ht="16.5" hidden="1" customHeight="1" outlineLevel="1" x14ac:dyDescent="0.25">
      <c r="A12148" s="18">
        <v>2361</v>
      </c>
      <c r="B12148" s="4" t="s">
        <v>44</v>
      </c>
      <c r="C12148" s="38" t="s">
        <v>6906</v>
      </c>
      <c r="D12148" s="18">
        <v>2022</v>
      </c>
      <c r="E12148" s="18" t="s">
        <v>0</v>
      </c>
      <c r="F12148" s="41">
        <v>1</v>
      </c>
      <c r="G12148" s="4">
        <v>15</v>
      </c>
      <c r="H12148" s="18">
        <v>36.85</v>
      </c>
      <c r="I12148" s="90"/>
      <c r="J12148" s="90"/>
    </row>
    <row r="12149" spans="1:10" s="15" customFormat="1" ht="16.5" hidden="1" customHeight="1" outlineLevel="1" x14ac:dyDescent="0.25">
      <c r="A12149" s="18">
        <v>1853</v>
      </c>
      <c r="B12149" s="4" t="s">
        <v>44</v>
      </c>
      <c r="C12149" s="38" t="s">
        <v>6907</v>
      </c>
      <c r="D12149" s="18">
        <v>2022</v>
      </c>
      <c r="E12149" s="18" t="s">
        <v>0</v>
      </c>
      <c r="F12149" s="41">
        <v>3</v>
      </c>
      <c r="G12149" s="4">
        <v>35</v>
      </c>
      <c r="H12149" s="18">
        <v>91.019000000000005</v>
      </c>
      <c r="I12149" s="90"/>
      <c r="J12149" s="90"/>
    </row>
    <row r="12150" spans="1:10" s="15" customFormat="1" ht="16.5" hidden="1" customHeight="1" outlineLevel="1" x14ac:dyDescent="0.25">
      <c r="A12150" s="18">
        <v>1866</v>
      </c>
      <c r="B12150" s="4" t="s">
        <v>44</v>
      </c>
      <c r="C12150" s="38" t="s">
        <v>6908</v>
      </c>
      <c r="D12150" s="18">
        <v>2022</v>
      </c>
      <c r="E12150" s="18" t="s">
        <v>0</v>
      </c>
      <c r="F12150" s="41">
        <v>1</v>
      </c>
      <c r="G12150" s="4">
        <v>15</v>
      </c>
      <c r="H12150" s="18">
        <v>32.86</v>
      </c>
      <c r="I12150" s="90"/>
      <c r="J12150" s="90"/>
    </row>
    <row r="12151" spans="1:10" s="15" customFormat="1" ht="16.5" hidden="1" customHeight="1" outlineLevel="1" x14ac:dyDescent="0.25">
      <c r="A12151" s="18">
        <v>1867</v>
      </c>
      <c r="B12151" s="4" t="s">
        <v>44</v>
      </c>
      <c r="C12151" s="38" t="s">
        <v>6909</v>
      </c>
      <c r="D12151" s="18">
        <v>2022</v>
      </c>
      <c r="E12151" s="18" t="s">
        <v>0</v>
      </c>
      <c r="F12151" s="41">
        <v>1</v>
      </c>
      <c r="G12151" s="4">
        <v>15</v>
      </c>
      <c r="H12151" s="18">
        <v>34.512999999999998</v>
      </c>
      <c r="I12151" s="90"/>
      <c r="J12151" s="90"/>
    </row>
    <row r="12152" spans="1:10" s="15" customFormat="1" ht="16.5" hidden="1" customHeight="1" outlineLevel="1" x14ac:dyDescent="0.25">
      <c r="A12152" s="18">
        <v>1896</v>
      </c>
      <c r="B12152" s="4" t="s">
        <v>44</v>
      </c>
      <c r="C12152" s="38" t="s">
        <v>3086</v>
      </c>
      <c r="D12152" s="18">
        <v>2022</v>
      </c>
      <c r="E12152" s="18" t="s">
        <v>0</v>
      </c>
      <c r="F12152" s="41">
        <v>1</v>
      </c>
      <c r="G12152" s="4">
        <v>22</v>
      </c>
      <c r="H12152" s="18">
        <v>30.15</v>
      </c>
      <c r="I12152" s="90"/>
      <c r="J12152" s="90"/>
    </row>
    <row r="12153" spans="1:10" s="15" customFormat="1" ht="16.5" hidden="1" customHeight="1" outlineLevel="1" x14ac:dyDescent="0.25">
      <c r="A12153" s="18">
        <v>1888</v>
      </c>
      <c r="B12153" s="4" t="s">
        <v>44</v>
      </c>
      <c r="C12153" s="38" t="s">
        <v>6910</v>
      </c>
      <c r="D12153" s="18">
        <v>2022</v>
      </c>
      <c r="E12153" s="18" t="s">
        <v>0</v>
      </c>
      <c r="F12153" s="41">
        <v>1</v>
      </c>
      <c r="G12153" s="4">
        <v>15</v>
      </c>
      <c r="H12153" s="18">
        <v>26.236999999999998</v>
      </c>
      <c r="I12153" s="90"/>
      <c r="J12153" s="90"/>
    </row>
    <row r="12154" spans="1:10" s="15" customFormat="1" ht="16.5" hidden="1" customHeight="1" outlineLevel="1" x14ac:dyDescent="0.25">
      <c r="A12154" s="18">
        <v>1892</v>
      </c>
      <c r="B12154" s="4" t="s">
        <v>44</v>
      </c>
      <c r="C12154" s="38" t="s">
        <v>6911</v>
      </c>
      <c r="D12154" s="18">
        <v>2022</v>
      </c>
      <c r="E12154" s="18" t="s">
        <v>0</v>
      </c>
      <c r="F12154" s="41">
        <v>1</v>
      </c>
      <c r="G12154" s="4">
        <v>10</v>
      </c>
      <c r="H12154" s="18">
        <v>36.247999999999998</v>
      </c>
      <c r="I12154" s="90"/>
      <c r="J12154" s="90"/>
    </row>
    <row r="12155" spans="1:10" s="15" customFormat="1" ht="16.5" hidden="1" customHeight="1" outlineLevel="1" x14ac:dyDescent="0.25">
      <c r="A12155" s="18">
        <v>1910</v>
      </c>
      <c r="B12155" s="4" t="s">
        <v>44</v>
      </c>
      <c r="C12155" s="38" t="s">
        <v>6912</v>
      </c>
      <c r="D12155" s="18">
        <v>2022</v>
      </c>
      <c r="E12155" s="18" t="s">
        <v>0</v>
      </c>
      <c r="F12155" s="41">
        <v>3</v>
      </c>
      <c r="G12155" s="4">
        <v>32</v>
      </c>
      <c r="H12155" s="18">
        <v>104.892</v>
      </c>
      <c r="I12155" s="90"/>
      <c r="J12155" s="90"/>
    </row>
    <row r="12156" spans="1:10" s="15" customFormat="1" ht="16.5" hidden="1" customHeight="1" outlineLevel="1" x14ac:dyDescent="0.25">
      <c r="A12156" s="18">
        <v>1916</v>
      </c>
      <c r="B12156" s="4" t="s">
        <v>44</v>
      </c>
      <c r="C12156" s="38" t="s">
        <v>6913</v>
      </c>
      <c r="D12156" s="18">
        <v>2022</v>
      </c>
      <c r="E12156" s="18" t="s">
        <v>0</v>
      </c>
      <c r="F12156" s="41">
        <v>1</v>
      </c>
      <c r="G12156" s="4">
        <v>15</v>
      </c>
      <c r="H12156" s="18">
        <v>34.079000000000001</v>
      </c>
      <c r="I12156" s="90"/>
      <c r="J12156" s="90"/>
    </row>
    <row r="12157" spans="1:10" s="15" customFormat="1" ht="16.5" hidden="1" customHeight="1" outlineLevel="1" x14ac:dyDescent="0.25">
      <c r="A12157" s="18">
        <v>1928</v>
      </c>
      <c r="B12157" s="4" t="s">
        <v>44</v>
      </c>
      <c r="C12157" s="38" t="s">
        <v>6914</v>
      </c>
      <c r="D12157" s="18">
        <v>2022</v>
      </c>
      <c r="E12157" s="18" t="s">
        <v>0</v>
      </c>
      <c r="F12157" s="41">
        <v>1</v>
      </c>
      <c r="G12157" s="4">
        <v>10</v>
      </c>
      <c r="H12157" s="18">
        <v>34.655999999999999</v>
      </c>
      <c r="I12157" s="90"/>
      <c r="J12157" s="90"/>
    </row>
    <row r="12158" spans="1:10" s="15" customFormat="1" ht="16.5" hidden="1" customHeight="1" outlineLevel="1" x14ac:dyDescent="0.25">
      <c r="A12158" s="18">
        <v>1949</v>
      </c>
      <c r="B12158" s="4" t="s">
        <v>44</v>
      </c>
      <c r="C12158" s="38" t="s">
        <v>6915</v>
      </c>
      <c r="D12158" s="18">
        <v>2022</v>
      </c>
      <c r="E12158" s="18" t="s">
        <v>0</v>
      </c>
      <c r="F12158" s="41">
        <v>2</v>
      </c>
      <c r="G12158" s="4">
        <v>25</v>
      </c>
      <c r="H12158" s="18">
        <v>71.403000000000006</v>
      </c>
      <c r="I12158" s="90"/>
      <c r="J12158" s="90"/>
    </row>
    <row r="12159" spans="1:10" s="15" customFormat="1" ht="16.5" hidden="1" customHeight="1" outlineLevel="1" x14ac:dyDescent="0.25">
      <c r="A12159" s="18">
        <v>1951</v>
      </c>
      <c r="B12159" s="4" t="s">
        <v>44</v>
      </c>
      <c r="C12159" s="38" t="s">
        <v>6916</v>
      </c>
      <c r="D12159" s="18">
        <v>2022</v>
      </c>
      <c r="E12159" s="18" t="s">
        <v>0</v>
      </c>
      <c r="F12159" s="41">
        <v>2</v>
      </c>
      <c r="G12159" s="4">
        <v>30</v>
      </c>
      <c r="H12159" s="18">
        <v>60.362000000000002</v>
      </c>
      <c r="I12159" s="90"/>
      <c r="J12159" s="90"/>
    </row>
    <row r="12160" spans="1:10" s="15" customFormat="1" ht="16.5" hidden="1" customHeight="1" outlineLevel="1" x14ac:dyDescent="0.25">
      <c r="A12160" s="18">
        <v>1977</v>
      </c>
      <c r="B12160" s="4" t="s">
        <v>44</v>
      </c>
      <c r="C12160" s="38" t="s">
        <v>6917</v>
      </c>
      <c r="D12160" s="18">
        <v>2022</v>
      </c>
      <c r="E12160" s="18" t="s">
        <v>0</v>
      </c>
      <c r="F12160" s="41">
        <v>1</v>
      </c>
      <c r="G12160" s="4">
        <v>15</v>
      </c>
      <c r="H12160" s="18">
        <v>30.719000000000001</v>
      </c>
      <c r="I12160" s="90"/>
      <c r="J12160" s="90"/>
    </row>
    <row r="12161" spans="1:10" s="15" customFormat="1" ht="16.5" hidden="1" customHeight="1" outlineLevel="1" x14ac:dyDescent="0.25">
      <c r="A12161" s="18">
        <v>1980</v>
      </c>
      <c r="B12161" s="4" t="s">
        <v>44</v>
      </c>
      <c r="C12161" s="38" t="s">
        <v>6918</v>
      </c>
      <c r="D12161" s="18">
        <v>2022</v>
      </c>
      <c r="E12161" s="18" t="s">
        <v>0</v>
      </c>
      <c r="F12161" s="41">
        <v>1</v>
      </c>
      <c r="G12161" s="4">
        <v>10</v>
      </c>
      <c r="H12161" s="18">
        <v>36.518999999999998</v>
      </c>
      <c r="I12161" s="90"/>
      <c r="J12161" s="90"/>
    </row>
    <row r="12162" spans="1:10" s="15" customFormat="1" ht="16.5" hidden="1" customHeight="1" outlineLevel="1" x14ac:dyDescent="0.25">
      <c r="A12162" s="18">
        <v>1995</v>
      </c>
      <c r="B12162" s="4" t="s">
        <v>44</v>
      </c>
      <c r="C12162" s="38" t="s">
        <v>6919</v>
      </c>
      <c r="D12162" s="18">
        <v>2022</v>
      </c>
      <c r="E12162" s="18" t="s">
        <v>0</v>
      </c>
      <c r="F12162" s="41">
        <v>1</v>
      </c>
      <c r="G12162" s="4">
        <v>15</v>
      </c>
      <c r="H12162" s="18">
        <v>35.802</v>
      </c>
      <c r="I12162" s="90"/>
      <c r="J12162" s="90"/>
    </row>
    <row r="12163" spans="1:10" s="15" customFormat="1" ht="16.5" hidden="1" customHeight="1" outlineLevel="1" x14ac:dyDescent="0.25">
      <c r="A12163" s="18">
        <v>1996</v>
      </c>
      <c r="B12163" s="4" t="s">
        <v>44</v>
      </c>
      <c r="C12163" s="38" t="s">
        <v>6920</v>
      </c>
      <c r="D12163" s="18">
        <v>2022</v>
      </c>
      <c r="E12163" s="18" t="s">
        <v>0</v>
      </c>
      <c r="F12163" s="41">
        <v>1</v>
      </c>
      <c r="G12163" s="4">
        <v>15</v>
      </c>
      <c r="H12163" s="18">
        <v>36.194000000000003</v>
      </c>
      <c r="I12163" s="90"/>
      <c r="J12163" s="90"/>
    </row>
    <row r="12164" spans="1:10" s="15" customFormat="1" ht="16.5" hidden="1" customHeight="1" outlineLevel="1" x14ac:dyDescent="0.25">
      <c r="A12164" s="18">
        <v>2008</v>
      </c>
      <c r="B12164" s="4" t="s">
        <v>44</v>
      </c>
      <c r="C12164" s="38" t="s">
        <v>6921</v>
      </c>
      <c r="D12164" s="18">
        <v>2022</v>
      </c>
      <c r="E12164" s="18" t="s">
        <v>0</v>
      </c>
      <c r="F12164" s="41">
        <v>1</v>
      </c>
      <c r="G12164" s="4">
        <v>10</v>
      </c>
      <c r="H12164" s="18">
        <v>24.262</v>
      </c>
      <c r="I12164" s="90"/>
      <c r="J12164" s="90"/>
    </row>
    <row r="12165" spans="1:10" s="15" customFormat="1" ht="16.5" hidden="1" customHeight="1" outlineLevel="1" x14ac:dyDescent="0.25">
      <c r="A12165" s="18">
        <v>2010</v>
      </c>
      <c r="B12165" s="4" t="s">
        <v>44</v>
      </c>
      <c r="C12165" s="38" t="s">
        <v>6922</v>
      </c>
      <c r="D12165" s="18">
        <v>2022</v>
      </c>
      <c r="E12165" s="18" t="s">
        <v>0</v>
      </c>
      <c r="F12165" s="41">
        <v>1</v>
      </c>
      <c r="G12165" s="4">
        <v>15</v>
      </c>
      <c r="H12165" s="18">
        <v>48.543999999999997</v>
      </c>
      <c r="I12165" s="90"/>
      <c r="J12165" s="90"/>
    </row>
    <row r="12166" spans="1:10" s="15" customFormat="1" ht="16.5" hidden="1" customHeight="1" outlineLevel="1" x14ac:dyDescent="0.25">
      <c r="A12166" s="18">
        <v>2012</v>
      </c>
      <c r="B12166" s="4" t="s">
        <v>44</v>
      </c>
      <c r="C12166" s="38" t="s">
        <v>6923</v>
      </c>
      <c r="D12166" s="18">
        <v>2022</v>
      </c>
      <c r="E12166" s="18" t="s">
        <v>0</v>
      </c>
      <c r="F12166" s="41">
        <v>1</v>
      </c>
      <c r="G12166" s="4">
        <v>15</v>
      </c>
      <c r="H12166" s="18">
        <v>64.013999999999996</v>
      </c>
      <c r="I12166" s="90"/>
      <c r="J12166" s="90"/>
    </row>
    <row r="12167" spans="1:10" s="15" customFormat="1" ht="16.5" hidden="1" customHeight="1" outlineLevel="1" x14ac:dyDescent="0.25">
      <c r="A12167" s="18">
        <v>2013</v>
      </c>
      <c r="B12167" s="4" t="s">
        <v>44</v>
      </c>
      <c r="C12167" s="38" t="s">
        <v>6924</v>
      </c>
      <c r="D12167" s="18">
        <v>2022</v>
      </c>
      <c r="E12167" s="18" t="s">
        <v>0</v>
      </c>
      <c r="F12167" s="41">
        <v>1</v>
      </c>
      <c r="G12167" s="4">
        <v>15</v>
      </c>
      <c r="H12167" s="18">
        <v>38.786999999999999</v>
      </c>
      <c r="I12167" s="90"/>
      <c r="J12167" s="90"/>
    </row>
    <row r="12168" spans="1:10" s="15" customFormat="1" ht="16.5" hidden="1" customHeight="1" outlineLevel="1" x14ac:dyDescent="0.25">
      <c r="A12168" s="18">
        <v>2014</v>
      </c>
      <c r="B12168" s="4" t="s">
        <v>44</v>
      </c>
      <c r="C12168" s="38" t="s">
        <v>6925</v>
      </c>
      <c r="D12168" s="18">
        <v>2022</v>
      </c>
      <c r="E12168" s="18" t="s">
        <v>0</v>
      </c>
      <c r="F12168" s="41">
        <v>1</v>
      </c>
      <c r="G12168" s="4">
        <v>15</v>
      </c>
      <c r="H12168" s="18">
        <v>52.276000000000003</v>
      </c>
      <c r="I12168" s="90"/>
      <c r="J12168" s="90"/>
    </row>
    <row r="12169" spans="1:10" s="15" customFormat="1" ht="16.5" hidden="1" customHeight="1" outlineLevel="1" x14ac:dyDescent="0.25">
      <c r="A12169" s="18">
        <v>2034</v>
      </c>
      <c r="B12169" s="4" t="s">
        <v>44</v>
      </c>
      <c r="C12169" s="38" t="s">
        <v>6926</v>
      </c>
      <c r="D12169" s="18">
        <v>2022</v>
      </c>
      <c r="E12169" s="18" t="s">
        <v>0</v>
      </c>
      <c r="F12169" s="41">
        <v>1</v>
      </c>
      <c r="G12169" s="4">
        <v>15</v>
      </c>
      <c r="H12169" s="18">
        <v>36.984000000000002</v>
      </c>
      <c r="I12169" s="90"/>
      <c r="J12169" s="90"/>
    </row>
    <row r="12170" spans="1:10" s="15" customFormat="1" ht="16.5" hidden="1" customHeight="1" outlineLevel="1" x14ac:dyDescent="0.25">
      <c r="A12170" s="18">
        <v>1856</v>
      </c>
      <c r="B12170" s="4" t="s">
        <v>44</v>
      </c>
      <c r="C12170" s="38" t="s">
        <v>6927</v>
      </c>
      <c r="D12170" s="18">
        <v>2022</v>
      </c>
      <c r="E12170" s="18" t="s">
        <v>0</v>
      </c>
      <c r="F12170" s="41">
        <v>1</v>
      </c>
      <c r="G12170" s="4">
        <v>35</v>
      </c>
      <c r="H12170" s="18">
        <v>37.546999999999997</v>
      </c>
      <c r="I12170" s="90"/>
      <c r="J12170" s="90"/>
    </row>
    <row r="12171" spans="1:10" s="15" customFormat="1" ht="16.5" hidden="1" customHeight="1" outlineLevel="1" x14ac:dyDescent="0.25">
      <c r="A12171" s="18">
        <v>2075</v>
      </c>
      <c r="B12171" s="4" t="s">
        <v>44</v>
      </c>
      <c r="C12171" s="38" t="s">
        <v>6928</v>
      </c>
      <c r="D12171" s="18">
        <v>2022</v>
      </c>
      <c r="E12171" s="18" t="s">
        <v>0</v>
      </c>
      <c r="F12171" s="41">
        <v>1</v>
      </c>
      <c r="G12171" s="4">
        <v>8</v>
      </c>
      <c r="H12171" s="18">
        <v>27.891999999999999</v>
      </c>
      <c r="I12171" s="90"/>
      <c r="J12171" s="90"/>
    </row>
    <row r="12172" spans="1:10" s="15" customFormat="1" ht="16.5" hidden="1" customHeight="1" outlineLevel="1" x14ac:dyDescent="0.25">
      <c r="A12172" s="18">
        <v>2240</v>
      </c>
      <c r="B12172" s="4" t="s">
        <v>44</v>
      </c>
      <c r="C12172" s="38" t="s">
        <v>6929</v>
      </c>
      <c r="D12172" s="18">
        <v>2022</v>
      </c>
      <c r="E12172" s="18" t="s">
        <v>0</v>
      </c>
      <c r="F12172" s="41">
        <v>1</v>
      </c>
      <c r="G12172" s="4">
        <v>8</v>
      </c>
      <c r="H12172" s="18">
        <v>44.054000000000002</v>
      </c>
      <c r="I12172" s="90"/>
      <c r="J12172" s="90"/>
    </row>
    <row r="12173" spans="1:10" s="15" customFormat="1" ht="16.5" hidden="1" customHeight="1" outlineLevel="1" x14ac:dyDescent="0.25">
      <c r="A12173" s="18">
        <v>2324</v>
      </c>
      <c r="B12173" s="4" t="s">
        <v>44</v>
      </c>
      <c r="C12173" s="38" t="s">
        <v>6930</v>
      </c>
      <c r="D12173" s="18">
        <v>2022</v>
      </c>
      <c r="E12173" s="18" t="s">
        <v>0</v>
      </c>
      <c r="F12173" s="41">
        <v>1</v>
      </c>
      <c r="G12173" s="4">
        <v>15</v>
      </c>
      <c r="H12173" s="18">
        <v>32.082000000000001</v>
      </c>
      <c r="I12173" s="90"/>
      <c r="J12173" s="90"/>
    </row>
    <row r="12174" spans="1:10" s="15" customFormat="1" ht="16.5" hidden="1" customHeight="1" outlineLevel="1" x14ac:dyDescent="0.25">
      <c r="A12174" s="18">
        <v>2034</v>
      </c>
      <c r="B12174" s="4" t="s">
        <v>44</v>
      </c>
      <c r="C12174" s="38" t="s">
        <v>6931</v>
      </c>
      <c r="D12174" s="18">
        <v>2022</v>
      </c>
      <c r="E12174" s="18" t="s">
        <v>0</v>
      </c>
      <c r="F12174" s="41">
        <v>1</v>
      </c>
      <c r="G12174" s="4">
        <v>15</v>
      </c>
      <c r="H12174" s="18">
        <v>34.591000000000001</v>
      </c>
      <c r="I12174" s="90"/>
      <c r="J12174" s="90"/>
    </row>
    <row r="12175" spans="1:10" s="15" customFormat="1" ht="16.5" hidden="1" customHeight="1" outlineLevel="1" x14ac:dyDescent="0.25">
      <c r="A12175" s="18">
        <v>1887</v>
      </c>
      <c r="B12175" s="4" t="s">
        <v>44</v>
      </c>
      <c r="C12175" s="38" t="s">
        <v>6932</v>
      </c>
      <c r="D12175" s="18">
        <v>2022</v>
      </c>
      <c r="E12175" s="18" t="s">
        <v>0</v>
      </c>
      <c r="F12175" s="41">
        <v>1</v>
      </c>
      <c r="G12175" s="4">
        <v>15</v>
      </c>
      <c r="H12175" s="18">
        <v>32.145000000000003</v>
      </c>
      <c r="I12175" s="90"/>
      <c r="J12175" s="90"/>
    </row>
    <row r="12176" spans="1:10" s="15" customFormat="1" ht="16.5" hidden="1" customHeight="1" outlineLevel="1" x14ac:dyDescent="0.25">
      <c r="A12176" s="18">
        <v>1922</v>
      </c>
      <c r="B12176" s="4" t="s">
        <v>44</v>
      </c>
      <c r="C12176" s="38" t="s">
        <v>6933</v>
      </c>
      <c r="D12176" s="18">
        <v>2022</v>
      </c>
      <c r="E12176" s="18" t="s">
        <v>0</v>
      </c>
      <c r="F12176" s="41">
        <v>1</v>
      </c>
      <c r="G12176" s="4">
        <v>15</v>
      </c>
      <c r="H12176" s="18">
        <v>34.706000000000003</v>
      </c>
      <c r="I12176" s="90"/>
      <c r="J12176" s="90"/>
    </row>
    <row r="12177" spans="1:10" s="15" customFormat="1" ht="16.5" hidden="1" customHeight="1" outlineLevel="1" x14ac:dyDescent="0.25">
      <c r="A12177" s="18">
        <v>1938</v>
      </c>
      <c r="B12177" s="4" t="s">
        <v>44</v>
      </c>
      <c r="C12177" s="38" t="s">
        <v>6934</v>
      </c>
      <c r="D12177" s="18">
        <v>2022</v>
      </c>
      <c r="E12177" s="18" t="s">
        <v>0</v>
      </c>
      <c r="F12177" s="41">
        <v>3</v>
      </c>
      <c r="G12177" s="4">
        <v>45</v>
      </c>
      <c r="H12177" s="18">
        <v>75.497</v>
      </c>
      <c r="I12177" s="90"/>
      <c r="J12177" s="90"/>
    </row>
    <row r="12178" spans="1:10" s="15" customFormat="1" ht="16.5" hidden="1" customHeight="1" outlineLevel="1" x14ac:dyDescent="0.25">
      <c r="A12178" s="18">
        <v>1941</v>
      </c>
      <c r="B12178" s="4" t="s">
        <v>44</v>
      </c>
      <c r="C12178" s="38" t="s">
        <v>6935</v>
      </c>
      <c r="D12178" s="18">
        <v>2022</v>
      </c>
      <c r="E12178" s="18" t="s">
        <v>0</v>
      </c>
      <c r="F12178" s="41">
        <v>1</v>
      </c>
      <c r="G12178" s="4">
        <v>15</v>
      </c>
      <c r="H12178" s="18">
        <v>35.744999999999997</v>
      </c>
      <c r="I12178" s="90"/>
      <c r="J12178" s="90"/>
    </row>
    <row r="12179" spans="1:10" s="15" customFormat="1" ht="16.5" hidden="1" customHeight="1" outlineLevel="1" x14ac:dyDescent="0.25">
      <c r="A12179" s="18">
        <v>1943</v>
      </c>
      <c r="B12179" s="4" t="s">
        <v>44</v>
      </c>
      <c r="C12179" s="38" t="s">
        <v>6936</v>
      </c>
      <c r="D12179" s="18">
        <v>2022</v>
      </c>
      <c r="E12179" s="18" t="s">
        <v>0</v>
      </c>
      <c r="F12179" s="41">
        <v>1</v>
      </c>
      <c r="G12179" s="4">
        <v>15</v>
      </c>
      <c r="H12179" s="18">
        <v>67.024000000000001</v>
      </c>
      <c r="I12179" s="90"/>
      <c r="J12179" s="90"/>
    </row>
    <row r="12180" spans="1:10" s="15" customFormat="1" ht="16.5" hidden="1" customHeight="1" outlineLevel="1" x14ac:dyDescent="0.25">
      <c r="A12180" s="18">
        <v>1947</v>
      </c>
      <c r="B12180" s="4" t="s">
        <v>44</v>
      </c>
      <c r="C12180" s="38" t="s">
        <v>6937</v>
      </c>
      <c r="D12180" s="18">
        <v>2022</v>
      </c>
      <c r="E12180" s="18" t="s">
        <v>0</v>
      </c>
      <c r="F12180" s="41">
        <v>3</v>
      </c>
      <c r="G12180" s="4">
        <v>40</v>
      </c>
      <c r="H12180" s="18">
        <v>99.182000000000002</v>
      </c>
      <c r="I12180" s="90"/>
      <c r="J12180" s="90"/>
    </row>
    <row r="12181" spans="1:10" s="15" customFormat="1" ht="16.5" hidden="1" customHeight="1" outlineLevel="1" x14ac:dyDescent="0.25">
      <c r="A12181" s="18">
        <v>1967</v>
      </c>
      <c r="B12181" s="4" t="s">
        <v>44</v>
      </c>
      <c r="C12181" s="38" t="s">
        <v>6938</v>
      </c>
      <c r="D12181" s="18">
        <v>2022</v>
      </c>
      <c r="E12181" s="18" t="s">
        <v>0</v>
      </c>
      <c r="F12181" s="41">
        <v>1</v>
      </c>
      <c r="G12181" s="4">
        <v>15</v>
      </c>
      <c r="H12181" s="18">
        <v>30.672000000000001</v>
      </c>
      <c r="I12181" s="90"/>
      <c r="J12181" s="90"/>
    </row>
    <row r="12182" spans="1:10" s="15" customFormat="1" ht="16.5" hidden="1" customHeight="1" outlineLevel="1" x14ac:dyDescent="0.25">
      <c r="A12182" s="18">
        <v>1974</v>
      </c>
      <c r="B12182" s="4" t="s">
        <v>44</v>
      </c>
      <c r="C12182" s="38" t="s">
        <v>6939</v>
      </c>
      <c r="D12182" s="18">
        <v>2022</v>
      </c>
      <c r="E12182" s="18" t="s">
        <v>0</v>
      </c>
      <c r="F12182" s="41">
        <v>1</v>
      </c>
      <c r="G12182" s="4">
        <v>11</v>
      </c>
      <c r="H12182" s="18">
        <v>31.904</v>
      </c>
      <c r="I12182" s="90"/>
      <c r="J12182" s="90"/>
    </row>
    <row r="12183" spans="1:10" s="15" customFormat="1" ht="16.5" hidden="1" customHeight="1" outlineLevel="1" x14ac:dyDescent="0.25">
      <c r="A12183" s="18">
        <v>1984</v>
      </c>
      <c r="B12183" s="4" t="s">
        <v>44</v>
      </c>
      <c r="C12183" s="38" t="s">
        <v>6940</v>
      </c>
      <c r="D12183" s="18">
        <v>2022</v>
      </c>
      <c r="E12183" s="18" t="s">
        <v>0</v>
      </c>
      <c r="F12183" s="41">
        <v>1</v>
      </c>
      <c r="G12183" s="4">
        <v>15</v>
      </c>
      <c r="H12183" s="18">
        <v>34.999000000000002</v>
      </c>
      <c r="I12183" s="90"/>
      <c r="J12183" s="90"/>
    </row>
    <row r="12184" spans="1:10" s="15" customFormat="1" ht="16.5" hidden="1" customHeight="1" outlineLevel="1" x14ac:dyDescent="0.25">
      <c r="A12184" s="18">
        <v>1997</v>
      </c>
      <c r="B12184" s="4" t="s">
        <v>44</v>
      </c>
      <c r="C12184" s="38" t="s">
        <v>6941</v>
      </c>
      <c r="D12184" s="18">
        <v>2022</v>
      </c>
      <c r="E12184" s="18" t="s">
        <v>0</v>
      </c>
      <c r="F12184" s="41">
        <v>1</v>
      </c>
      <c r="G12184" s="4">
        <v>15</v>
      </c>
      <c r="H12184" s="18">
        <v>37.082000000000001</v>
      </c>
      <c r="I12184" s="90"/>
      <c r="J12184" s="90"/>
    </row>
    <row r="12185" spans="1:10" s="15" customFormat="1" ht="16.5" hidden="1" customHeight="1" outlineLevel="1" x14ac:dyDescent="0.25">
      <c r="A12185" s="18">
        <v>2005</v>
      </c>
      <c r="B12185" s="4" t="s">
        <v>44</v>
      </c>
      <c r="C12185" s="38" t="s">
        <v>6942</v>
      </c>
      <c r="D12185" s="18">
        <v>2022</v>
      </c>
      <c r="E12185" s="18" t="s">
        <v>0</v>
      </c>
      <c r="F12185" s="41">
        <v>1</v>
      </c>
      <c r="G12185" s="4">
        <v>15</v>
      </c>
      <c r="H12185" s="18">
        <v>34.9</v>
      </c>
      <c r="I12185" s="90"/>
      <c r="J12185" s="90"/>
    </row>
    <row r="12186" spans="1:10" s="15" customFormat="1" ht="16.5" hidden="1" customHeight="1" outlineLevel="1" x14ac:dyDescent="0.25">
      <c r="A12186" s="18">
        <v>2021</v>
      </c>
      <c r="B12186" s="4" t="s">
        <v>44</v>
      </c>
      <c r="C12186" s="38" t="s">
        <v>6943</v>
      </c>
      <c r="D12186" s="18">
        <v>2022</v>
      </c>
      <c r="E12186" s="18" t="s">
        <v>0</v>
      </c>
      <c r="F12186" s="41">
        <v>1</v>
      </c>
      <c r="G12186" s="4">
        <v>15</v>
      </c>
      <c r="H12186" s="18">
        <v>34.872999999999998</v>
      </c>
      <c r="I12186" s="90"/>
      <c r="J12186" s="90"/>
    </row>
    <row r="12187" spans="1:10" s="15" customFormat="1" ht="16.5" hidden="1" customHeight="1" outlineLevel="1" x14ac:dyDescent="0.25">
      <c r="A12187" s="18">
        <v>2033</v>
      </c>
      <c r="B12187" s="4" t="s">
        <v>44</v>
      </c>
      <c r="C12187" s="38" t="s">
        <v>6944</v>
      </c>
      <c r="D12187" s="18">
        <v>2022</v>
      </c>
      <c r="E12187" s="18" t="s">
        <v>0</v>
      </c>
      <c r="F12187" s="41">
        <v>1</v>
      </c>
      <c r="G12187" s="4">
        <v>7</v>
      </c>
      <c r="H12187" s="18">
        <v>30.5</v>
      </c>
      <c r="I12187" s="90"/>
      <c r="J12187" s="90"/>
    </row>
    <row r="12188" spans="1:10" s="15" customFormat="1" ht="16.5" hidden="1" customHeight="1" outlineLevel="1" x14ac:dyDescent="0.25">
      <c r="A12188" s="18">
        <v>2041</v>
      </c>
      <c r="B12188" s="4" t="s">
        <v>44</v>
      </c>
      <c r="C12188" s="38" t="s">
        <v>6945</v>
      </c>
      <c r="D12188" s="18">
        <v>2022</v>
      </c>
      <c r="E12188" s="18" t="s">
        <v>0</v>
      </c>
      <c r="F12188" s="41">
        <v>1</v>
      </c>
      <c r="G12188" s="4">
        <v>10</v>
      </c>
      <c r="H12188" s="18">
        <v>31.129000000000001</v>
      </c>
      <c r="I12188" s="90"/>
      <c r="J12188" s="90"/>
    </row>
    <row r="12189" spans="1:10" s="15" customFormat="1" ht="16.5" hidden="1" customHeight="1" outlineLevel="1" x14ac:dyDescent="0.25">
      <c r="A12189" s="18">
        <v>2070</v>
      </c>
      <c r="B12189" s="4" t="s">
        <v>44</v>
      </c>
      <c r="C12189" s="38" t="s">
        <v>3088</v>
      </c>
      <c r="D12189" s="18">
        <v>2022</v>
      </c>
      <c r="E12189" s="18" t="s">
        <v>0</v>
      </c>
      <c r="F12189" s="41">
        <v>1</v>
      </c>
      <c r="G12189" s="4">
        <v>150</v>
      </c>
      <c r="H12189" s="18">
        <v>20.788</v>
      </c>
      <c r="I12189" s="90"/>
      <c r="J12189" s="90"/>
    </row>
    <row r="12190" spans="1:10" s="15" customFormat="1" ht="16.5" hidden="1" customHeight="1" outlineLevel="1" x14ac:dyDescent="0.25">
      <c r="A12190" s="18">
        <v>2077</v>
      </c>
      <c r="B12190" s="4" t="s">
        <v>44</v>
      </c>
      <c r="C12190" s="38" t="s">
        <v>6946</v>
      </c>
      <c r="D12190" s="18">
        <v>2022</v>
      </c>
      <c r="E12190" s="18" t="s">
        <v>0</v>
      </c>
      <c r="F12190" s="41">
        <v>1</v>
      </c>
      <c r="G12190" s="4">
        <v>15</v>
      </c>
      <c r="H12190" s="18">
        <v>29.852</v>
      </c>
      <c r="I12190" s="90"/>
      <c r="J12190" s="90"/>
    </row>
    <row r="12191" spans="1:10" s="15" customFormat="1" ht="16.5" hidden="1" customHeight="1" outlineLevel="1" x14ac:dyDescent="0.25">
      <c r="A12191" s="18">
        <v>2082</v>
      </c>
      <c r="B12191" s="4" t="s">
        <v>44</v>
      </c>
      <c r="C12191" s="38" t="s">
        <v>6947</v>
      </c>
      <c r="D12191" s="18">
        <v>2022</v>
      </c>
      <c r="E12191" s="18" t="s">
        <v>0</v>
      </c>
      <c r="F12191" s="41">
        <v>1</v>
      </c>
      <c r="G12191" s="4">
        <v>5</v>
      </c>
      <c r="H12191" s="18">
        <v>36.101999999999997</v>
      </c>
      <c r="I12191" s="90"/>
      <c r="J12191" s="90"/>
    </row>
    <row r="12192" spans="1:10" s="15" customFormat="1" ht="16.5" hidden="1" customHeight="1" outlineLevel="1" x14ac:dyDescent="0.25">
      <c r="A12192" s="18">
        <v>2086</v>
      </c>
      <c r="B12192" s="4" t="s">
        <v>44</v>
      </c>
      <c r="C12192" s="38" t="s">
        <v>6948</v>
      </c>
      <c r="D12192" s="18">
        <v>2022</v>
      </c>
      <c r="E12192" s="18" t="s">
        <v>0</v>
      </c>
      <c r="F12192" s="41">
        <v>1</v>
      </c>
      <c r="G12192" s="4">
        <v>15</v>
      </c>
      <c r="H12192" s="18">
        <v>30.256</v>
      </c>
      <c r="I12192" s="90"/>
      <c r="J12192" s="90"/>
    </row>
    <row r="12193" spans="1:10" s="15" customFormat="1" ht="16.5" hidden="1" customHeight="1" outlineLevel="1" x14ac:dyDescent="0.25">
      <c r="A12193" s="18">
        <v>2114</v>
      </c>
      <c r="B12193" s="4" t="s">
        <v>44</v>
      </c>
      <c r="C12193" s="38" t="s">
        <v>6949</v>
      </c>
      <c r="D12193" s="18">
        <v>2022</v>
      </c>
      <c r="E12193" s="18" t="s">
        <v>0</v>
      </c>
      <c r="F12193" s="41">
        <v>1</v>
      </c>
      <c r="G12193" s="4">
        <v>15</v>
      </c>
      <c r="H12193" s="18">
        <v>35.064999999999998</v>
      </c>
      <c r="I12193" s="90"/>
      <c r="J12193" s="90"/>
    </row>
    <row r="12194" spans="1:10" s="15" customFormat="1" ht="16.5" hidden="1" customHeight="1" outlineLevel="1" x14ac:dyDescent="0.25">
      <c r="A12194" s="18">
        <v>2122</v>
      </c>
      <c r="B12194" s="4" t="s">
        <v>44</v>
      </c>
      <c r="C12194" s="38" t="s">
        <v>6950</v>
      </c>
      <c r="D12194" s="18">
        <v>2022</v>
      </c>
      <c r="E12194" s="18" t="s">
        <v>0</v>
      </c>
      <c r="F12194" s="41">
        <v>1</v>
      </c>
      <c r="G12194" s="4">
        <v>5</v>
      </c>
      <c r="H12194" s="18">
        <v>35.445</v>
      </c>
      <c r="I12194" s="90"/>
      <c r="J12194" s="90"/>
    </row>
    <row r="12195" spans="1:10" s="15" customFormat="1" ht="16.5" hidden="1" customHeight="1" outlineLevel="1" x14ac:dyDescent="0.25">
      <c r="A12195" s="18">
        <v>2123</v>
      </c>
      <c r="B12195" s="4" t="s">
        <v>44</v>
      </c>
      <c r="C12195" s="38" t="s">
        <v>6951</v>
      </c>
      <c r="D12195" s="18">
        <v>2022</v>
      </c>
      <c r="E12195" s="18" t="s">
        <v>0</v>
      </c>
      <c r="F12195" s="41">
        <v>1</v>
      </c>
      <c r="G12195" s="4">
        <v>15</v>
      </c>
      <c r="H12195" s="18">
        <v>30.100999999999999</v>
      </c>
      <c r="I12195" s="90"/>
      <c r="J12195" s="90"/>
    </row>
    <row r="12196" spans="1:10" s="15" customFormat="1" ht="16.5" hidden="1" customHeight="1" outlineLevel="1" x14ac:dyDescent="0.25">
      <c r="A12196" s="18">
        <v>2125</v>
      </c>
      <c r="B12196" s="4" t="s">
        <v>44</v>
      </c>
      <c r="C12196" s="38" t="s">
        <v>6952</v>
      </c>
      <c r="D12196" s="18">
        <v>2022</v>
      </c>
      <c r="E12196" s="18" t="s">
        <v>0</v>
      </c>
      <c r="F12196" s="41">
        <v>1</v>
      </c>
      <c r="G12196" s="4">
        <v>5</v>
      </c>
      <c r="H12196" s="18">
        <v>36.734999999999999</v>
      </c>
      <c r="I12196" s="90"/>
      <c r="J12196" s="90"/>
    </row>
    <row r="12197" spans="1:10" s="15" customFormat="1" ht="16.5" hidden="1" customHeight="1" outlineLevel="1" x14ac:dyDescent="0.25">
      <c r="A12197" s="18">
        <v>2127</v>
      </c>
      <c r="B12197" s="4" t="s">
        <v>44</v>
      </c>
      <c r="C12197" s="38" t="s">
        <v>6953</v>
      </c>
      <c r="D12197" s="18">
        <v>2022</v>
      </c>
      <c r="E12197" s="18" t="s">
        <v>0</v>
      </c>
      <c r="F12197" s="41">
        <v>1</v>
      </c>
      <c r="G12197" s="4">
        <v>15</v>
      </c>
      <c r="H12197" s="18">
        <v>36.712000000000003</v>
      </c>
      <c r="I12197" s="90"/>
      <c r="J12197" s="90"/>
    </row>
    <row r="12198" spans="1:10" s="15" customFormat="1" ht="16.5" hidden="1" customHeight="1" outlineLevel="1" x14ac:dyDescent="0.25">
      <c r="A12198" s="18">
        <v>2133</v>
      </c>
      <c r="B12198" s="4" t="s">
        <v>44</v>
      </c>
      <c r="C12198" s="38" t="s">
        <v>6954</v>
      </c>
      <c r="D12198" s="18">
        <v>2022</v>
      </c>
      <c r="E12198" s="18" t="s">
        <v>0</v>
      </c>
      <c r="F12198" s="41">
        <v>1</v>
      </c>
      <c r="G12198" s="4">
        <v>15</v>
      </c>
      <c r="H12198" s="18">
        <v>35.445</v>
      </c>
      <c r="I12198" s="90"/>
      <c r="J12198" s="90"/>
    </row>
    <row r="12199" spans="1:10" s="15" customFormat="1" ht="16.5" hidden="1" customHeight="1" outlineLevel="1" x14ac:dyDescent="0.25">
      <c r="A12199" s="18">
        <v>2134</v>
      </c>
      <c r="B12199" s="4" t="s">
        <v>44</v>
      </c>
      <c r="C12199" s="38" t="s">
        <v>6955</v>
      </c>
      <c r="D12199" s="18">
        <v>2022</v>
      </c>
      <c r="E12199" s="18" t="s">
        <v>0</v>
      </c>
      <c r="F12199" s="41">
        <v>1</v>
      </c>
      <c r="G12199" s="4">
        <v>10</v>
      </c>
      <c r="H12199" s="18">
        <v>36.078000000000003</v>
      </c>
      <c r="I12199" s="90"/>
      <c r="J12199" s="90"/>
    </row>
    <row r="12200" spans="1:10" s="15" customFormat="1" ht="16.5" hidden="1" customHeight="1" outlineLevel="1" x14ac:dyDescent="0.25">
      <c r="A12200" s="18">
        <v>2136</v>
      </c>
      <c r="B12200" s="4" t="s">
        <v>44</v>
      </c>
      <c r="C12200" s="38" t="s">
        <v>6956</v>
      </c>
      <c r="D12200" s="18">
        <v>2022</v>
      </c>
      <c r="E12200" s="18" t="s">
        <v>0</v>
      </c>
      <c r="F12200" s="41">
        <v>1</v>
      </c>
      <c r="G12200" s="4">
        <v>10</v>
      </c>
      <c r="H12200" s="18">
        <v>35.469000000000001</v>
      </c>
      <c r="I12200" s="90"/>
      <c r="J12200" s="90"/>
    </row>
    <row r="12201" spans="1:10" s="15" customFormat="1" ht="16.5" hidden="1" customHeight="1" outlineLevel="1" x14ac:dyDescent="0.25">
      <c r="A12201" s="18">
        <v>2137</v>
      </c>
      <c r="B12201" s="4" t="s">
        <v>44</v>
      </c>
      <c r="C12201" s="38" t="s">
        <v>6957</v>
      </c>
      <c r="D12201" s="18">
        <v>2022</v>
      </c>
      <c r="E12201" s="18" t="s">
        <v>0</v>
      </c>
      <c r="F12201" s="41">
        <v>1</v>
      </c>
      <c r="G12201" s="4">
        <v>7.5</v>
      </c>
      <c r="H12201" s="18">
        <v>35.395000000000003</v>
      </c>
      <c r="I12201" s="90"/>
      <c r="J12201" s="90"/>
    </row>
    <row r="12202" spans="1:10" s="15" customFormat="1" ht="16.5" hidden="1" customHeight="1" outlineLevel="1" x14ac:dyDescent="0.25">
      <c r="A12202" s="18">
        <v>2138</v>
      </c>
      <c r="B12202" s="4" t="s">
        <v>44</v>
      </c>
      <c r="C12202" s="38" t="s">
        <v>6958</v>
      </c>
      <c r="D12202" s="18">
        <v>2022</v>
      </c>
      <c r="E12202" s="18" t="s">
        <v>0</v>
      </c>
      <c r="F12202" s="41">
        <v>1</v>
      </c>
      <c r="G12202" s="4">
        <v>5</v>
      </c>
      <c r="H12202" s="18">
        <v>30.181000000000001</v>
      </c>
      <c r="I12202" s="90"/>
      <c r="J12202" s="90"/>
    </row>
    <row r="12203" spans="1:10" s="15" customFormat="1" ht="16.5" hidden="1" customHeight="1" outlineLevel="1" x14ac:dyDescent="0.25">
      <c r="A12203" s="18">
        <v>2143</v>
      </c>
      <c r="B12203" s="4" t="s">
        <v>44</v>
      </c>
      <c r="C12203" s="38" t="s">
        <v>6959</v>
      </c>
      <c r="D12203" s="18">
        <v>2022</v>
      </c>
      <c r="E12203" s="18" t="s">
        <v>0</v>
      </c>
      <c r="F12203" s="41">
        <v>1</v>
      </c>
      <c r="G12203" s="4">
        <v>15</v>
      </c>
      <c r="H12203" s="18">
        <v>36.712000000000003</v>
      </c>
      <c r="I12203" s="90"/>
      <c r="J12203" s="90"/>
    </row>
    <row r="12204" spans="1:10" s="15" customFormat="1" ht="16.5" hidden="1" customHeight="1" outlineLevel="1" x14ac:dyDescent="0.25">
      <c r="A12204" s="18">
        <v>2149</v>
      </c>
      <c r="B12204" s="4" t="s">
        <v>44</v>
      </c>
      <c r="C12204" s="38" t="s">
        <v>6960</v>
      </c>
      <c r="D12204" s="18">
        <v>2022</v>
      </c>
      <c r="E12204" s="18" t="s">
        <v>0</v>
      </c>
      <c r="F12204" s="41">
        <v>1</v>
      </c>
      <c r="G12204" s="4">
        <v>15</v>
      </c>
      <c r="H12204" s="18">
        <v>35.015000000000001</v>
      </c>
      <c r="I12204" s="90"/>
      <c r="J12204" s="90"/>
    </row>
    <row r="12205" spans="1:10" s="15" customFormat="1" ht="16.5" hidden="1" customHeight="1" outlineLevel="1" x14ac:dyDescent="0.25">
      <c r="A12205" s="18">
        <v>2150</v>
      </c>
      <c r="B12205" s="4" t="s">
        <v>44</v>
      </c>
      <c r="C12205" s="38" t="s">
        <v>6961</v>
      </c>
      <c r="D12205" s="18">
        <v>2022</v>
      </c>
      <c r="E12205" s="18" t="s">
        <v>0</v>
      </c>
      <c r="F12205" s="41">
        <v>1</v>
      </c>
      <c r="G12205" s="4">
        <v>15</v>
      </c>
      <c r="H12205" s="18">
        <v>35.015000000000001</v>
      </c>
      <c r="I12205" s="90"/>
      <c r="J12205" s="90"/>
    </row>
    <row r="12206" spans="1:10" s="15" customFormat="1" ht="16.5" hidden="1" customHeight="1" outlineLevel="1" x14ac:dyDescent="0.25">
      <c r="A12206" s="18">
        <v>2242</v>
      </c>
      <c r="B12206" s="4" t="s">
        <v>44</v>
      </c>
      <c r="C12206" s="38" t="s">
        <v>3089</v>
      </c>
      <c r="D12206" s="18">
        <v>2022</v>
      </c>
      <c r="E12206" s="18" t="s">
        <v>0</v>
      </c>
      <c r="F12206" s="41">
        <v>1</v>
      </c>
      <c r="G12206" s="4">
        <v>15</v>
      </c>
      <c r="H12206" s="18">
        <v>29.725999999999999</v>
      </c>
      <c r="I12206" s="90"/>
      <c r="J12206" s="90"/>
    </row>
    <row r="12207" spans="1:10" s="15" customFormat="1" ht="16.5" hidden="1" customHeight="1" outlineLevel="1" x14ac:dyDescent="0.25">
      <c r="A12207" s="18">
        <v>2248</v>
      </c>
      <c r="B12207" s="4" t="s">
        <v>44</v>
      </c>
      <c r="C12207" s="38" t="s">
        <v>6962</v>
      </c>
      <c r="D12207" s="18">
        <v>2022</v>
      </c>
      <c r="E12207" s="18" t="s">
        <v>0</v>
      </c>
      <c r="F12207" s="41">
        <v>1</v>
      </c>
      <c r="G12207" s="4">
        <v>15</v>
      </c>
      <c r="H12207" s="18">
        <v>66.087999999999994</v>
      </c>
      <c r="I12207" s="90"/>
      <c r="J12207" s="90"/>
    </row>
    <row r="12208" spans="1:10" s="15" customFormat="1" ht="16.5" hidden="1" customHeight="1" outlineLevel="1" x14ac:dyDescent="0.25">
      <c r="A12208" s="18">
        <v>2251</v>
      </c>
      <c r="B12208" s="4" t="s">
        <v>44</v>
      </c>
      <c r="C12208" s="38" t="s">
        <v>6963</v>
      </c>
      <c r="D12208" s="18">
        <v>2022</v>
      </c>
      <c r="E12208" s="18" t="s">
        <v>0</v>
      </c>
      <c r="F12208" s="41">
        <v>1</v>
      </c>
      <c r="G12208" s="4">
        <v>15</v>
      </c>
      <c r="H12208" s="18">
        <v>47.835999999999999</v>
      </c>
      <c r="I12208" s="90"/>
      <c r="J12208" s="90"/>
    </row>
    <row r="12209" spans="1:10" s="15" customFormat="1" ht="16.5" hidden="1" customHeight="1" outlineLevel="1" x14ac:dyDescent="0.25">
      <c r="A12209" s="18">
        <v>2252</v>
      </c>
      <c r="B12209" s="4" t="s">
        <v>44</v>
      </c>
      <c r="C12209" s="38" t="s">
        <v>6964</v>
      </c>
      <c r="D12209" s="18">
        <v>2022</v>
      </c>
      <c r="E12209" s="18" t="s">
        <v>0</v>
      </c>
      <c r="F12209" s="41">
        <v>1</v>
      </c>
      <c r="G12209" s="4">
        <v>15</v>
      </c>
      <c r="H12209" s="18">
        <v>48.884</v>
      </c>
      <c r="I12209" s="90"/>
      <c r="J12209" s="90"/>
    </row>
    <row r="12210" spans="1:10" s="15" customFormat="1" ht="16.5" hidden="1" customHeight="1" outlineLevel="1" x14ac:dyDescent="0.25">
      <c r="A12210" s="18">
        <v>2255</v>
      </c>
      <c r="B12210" s="4" t="s">
        <v>44</v>
      </c>
      <c r="C12210" s="38" t="s">
        <v>6965</v>
      </c>
      <c r="D12210" s="18">
        <v>2022</v>
      </c>
      <c r="E12210" s="18" t="s">
        <v>0</v>
      </c>
      <c r="F12210" s="41">
        <v>1</v>
      </c>
      <c r="G12210" s="4">
        <v>10</v>
      </c>
      <c r="H12210" s="18">
        <v>52.35</v>
      </c>
      <c r="I12210" s="90"/>
      <c r="J12210" s="90"/>
    </row>
    <row r="12211" spans="1:10" s="15" customFormat="1" ht="16.5" hidden="1" customHeight="1" outlineLevel="1" x14ac:dyDescent="0.25">
      <c r="A12211" s="18">
        <v>2315</v>
      </c>
      <c r="B12211" s="4" t="s">
        <v>44</v>
      </c>
      <c r="C12211" s="38" t="s">
        <v>3107</v>
      </c>
      <c r="D12211" s="18">
        <v>2022</v>
      </c>
      <c r="E12211" s="18" t="s">
        <v>0</v>
      </c>
      <c r="F12211" s="41">
        <v>1</v>
      </c>
      <c r="G12211" s="4">
        <v>15</v>
      </c>
      <c r="H12211" s="18">
        <v>103.27800000000001</v>
      </c>
      <c r="I12211" s="90"/>
      <c r="J12211" s="90"/>
    </row>
    <row r="12212" spans="1:10" s="15" customFormat="1" ht="16.5" hidden="1" customHeight="1" outlineLevel="1" x14ac:dyDescent="0.25">
      <c r="A12212" s="18">
        <v>2321</v>
      </c>
      <c r="B12212" s="4" t="s">
        <v>44</v>
      </c>
      <c r="C12212" s="38" t="s">
        <v>6966</v>
      </c>
      <c r="D12212" s="18">
        <v>2022</v>
      </c>
      <c r="E12212" s="18" t="s">
        <v>0</v>
      </c>
      <c r="F12212" s="41">
        <v>1</v>
      </c>
      <c r="G12212" s="4">
        <v>15</v>
      </c>
      <c r="H12212" s="18">
        <v>26.981999999999999</v>
      </c>
      <c r="I12212" s="90"/>
      <c r="J12212" s="90"/>
    </row>
    <row r="12213" spans="1:10" s="15" customFormat="1" ht="16.5" hidden="1" customHeight="1" outlineLevel="1" x14ac:dyDescent="0.25">
      <c r="A12213" s="18">
        <v>2364</v>
      </c>
      <c r="B12213" s="4" t="s">
        <v>44</v>
      </c>
      <c r="C12213" s="38" t="s">
        <v>6967</v>
      </c>
      <c r="D12213" s="18">
        <v>2022</v>
      </c>
      <c r="E12213" s="18" t="s">
        <v>0</v>
      </c>
      <c r="F12213" s="41">
        <v>1</v>
      </c>
      <c r="G12213" s="4">
        <v>15</v>
      </c>
      <c r="H12213" s="18">
        <v>31.140999999999998</v>
      </c>
      <c r="I12213" s="90"/>
      <c r="J12213" s="90"/>
    </row>
    <row r="12214" spans="1:10" s="15" customFormat="1" ht="16.5" hidden="1" customHeight="1" outlineLevel="1" x14ac:dyDescent="0.25">
      <c r="A12214" s="18">
        <v>2369</v>
      </c>
      <c r="B12214" s="4" t="s">
        <v>44</v>
      </c>
      <c r="C12214" s="38" t="s">
        <v>6968</v>
      </c>
      <c r="D12214" s="18">
        <v>2022</v>
      </c>
      <c r="E12214" s="18" t="s">
        <v>0</v>
      </c>
      <c r="F12214" s="41">
        <v>1</v>
      </c>
      <c r="G12214" s="4">
        <v>15</v>
      </c>
      <c r="H12214" s="18">
        <v>27.54</v>
      </c>
      <c r="I12214" s="90"/>
      <c r="J12214" s="90"/>
    </row>
    <row r="12215" spans="1:10" s="15" customFormat="1" ht="16.5" hidden="1" customHeight="1" outlineLevel="1" x14ac:dyDescent="0.25">
      <c r="A12215" s="18">
        <v>1846</v>
      </c>
      <c r="B12215" s="4" t="s">
        <v>44</v>
      </c>
      <c r="C12215" s="38" t="s">
        <v>6969</v>
      </c>
      <c r="D12215" s="18">
        <v>2022</v>
      </c>
      <c r="E12215" s="18" t="s">
        <v>0</v>
      </c>
      <c r="F12215" s="41">
        <v>1</v>
      </c>
      <c r="G12215" s="4">
        <v>50</v>
      </c>
      <c r="H12215" s="18">
        <v>32.71848</v>
      </c>
      <c r="I12215" s="90"/>
      <c r="J12215" s="90"/>
    </row>
    <row r="12216" spans="1:10" s="15" customFormat="1" ht="16.5" hidden="1" customHeight="1" outlineLevel="1" x14ac:dyDescent="0.25">
      <c r="A12216" s="18">
        <v>1912</v>
      </c>
      <c r="B12216" s="4" t="s">
        <v>44</v>
      </c>
      <c r="C12216" s="38" t="s">
        <v>6970</v>
      </c>
      <c r="D12216" s="18">
        <v>2022</v>
      </c>
      <c r="E12216" s="18" t="s">
        <v>0</v>
      </c>
      <c r="F12216" s="41">
        <v>1</v>
      </c>
      <c r="G12216" s="4">
        <v>15</v>
      </c>
      <c r="H12216" s="18">
        <v>35.978749999999998</v>
      </c>
      <c r="I12216" s="90"/>
      <c r="J12216" s="90"/>
    </row>
    <row r="12217" spans="1:10" s="15" customFormat="1" ht="16.5" hidden="1" customHeight="1" outlineLevel="1" x14ac:dyDescent="0.25">
      <c r="A12217" s="18">
        <v>2002</v>
      </c>
      <c r="B12217" s="4" t="s">
        <v>44</v>
      </c>
      <c r="C12217" s="38" t="s">
        <v>6971</v>
      </c>
      <c r="D12217" s="18">
        <v>2022</v>
      </c>
      <c r="E12217" s="18" t="s">
        <v>0</v>
      </c>
      <c r="F12217" s="41">
        <v>1</v>
      </c>
      <c r="G12217" s="4">
        <v>15</v>
      </c>
      <c r="H12217" s="18">
        <v>36.031589999999994</v>
      </c>
      <c r="I12217" s="90"/>
      <c r="J12217" s="90"/>
    </row>
    <row r="12218" spans="1:10" s="15" customFormat="1" ht="16.5" hidden="1" customHeight="1" outlineLevel="1" x14ac:dyDescent="0.25">
      <c r="A12218" s="18">
        <v>2056</v>
      </c>
      <c r="B12218" s="4" t="s">
        <v>44</v>
      </c>
      <c r="C12218" s="38" t="s">
        <v>6972</v>
      </c>
      <c r="D12218" s="18">
        <v>2022</v>
      </c>
      <c r="E12218" s="18" t="s">
        <v>0</v>
      </c>
      <c r="F12218" s="41">
        <v>1</v>
      </c>
      <c r="G12218" s="4">
        <v>10</v>
      </c>
      <c r="H12218" s="18">
        <v>30.036359999999998</v>
      </c>
      <c r="I12218" s="90"/>
      <c r="J12218" s="90"/>
    </row>
    <row r="12219" spans="1:10" s="15" customFormat="1" ht="16.5" hidden="1" customHeight="1" outlineLevel="1" x14ac:dyDescent="0.25">
      <c r="A12219" s="18">
        <v>2063</v>
      </c>
      <c r="B12219" s="4" t="s">
        <v>44</v>
      </c>
      <c r="C12219" s="38" t="s">
        <v>3015</v>
      </c>
      <c r="D12219" s="18">
        <v>2022</v>
      </c>
      <c r="E12219" s="18" t="s">
        <v>0</v>
      </c>
      <c r="F12219" s="41">
        <v>3</v>
      </c>
      <c r="G12219" s="4">
        <v>45</v>
      </c>
      <c r="H12219" s="18">
        <v>122.75753</v>
      </c>
      <c r="I12219" s="90"/>
      <c r="J12219" s="90"/>
    </row>
    <row r="12220" spans="1:10" s="15" customFormat="1" ht="16.5" hidden="1" customHeight="1" outlineLevel="1" x14ac:dyDescent="0.25">
      <c r="A12220" s="18">
        <v>2129</v>
      </c>
      <c r="B12220" s="4" t="s">
        <v>44</v>
      </c>
      <c r="C12220" s="38" t="s">
        <v>6973</v>
      </c>
      <c r="D12220" s="18">
        <v>2022</v>
      </c>
      <c r="E12220" s="18" t="s">
        <v>0</v>
      </c>
      <c r="F12220" s="41">
        <v>1</v>
      </c>
      <c r="G12220" s="4">
        <v>15</v>
      </c>
      <c r="H12220" s="18">
        <v>29.89085</v>
      </c>
      <c r="I12220" s="90"/>
      <c r="J12220" s="90"/>
    </row>
    <row r="12221" spans="1:10" s="15" customFormat="1" ht="16.5" hidden="1" customHeight="1" outlineLevel="1" x14ac:dyDescent="0.25">
      <c r="A12221" s="18">
        <v>2241</v>
      </c>
      <c r="B12221" s="4" t="s">
        <v>44</v>
      </c>
      <c r="C12221" s="38" t="s">
        <v>3016</v>
      </c>
      <c r="D12221" s="18">
        <v>2022</v>
      </c>
      <c r="E12221" s="18" t="s">
        <v>0</v>
      </c>
      <c r="F12221" s="41">
        <v>1</v>
      </c>
      <c r="G12221" s="4">
        <v>15</v>
      </c>
      <c r="H12221" s="18">
        <v>39.296640000000004</v>
      </c>
      <c r="I12221" s="90"/>
      <c r="J12221" s="90"/>
    </row>
    <row r="12222" spans="1:10" s="15" customFormat="1" ht="16.5" hidden="1" customHeight="1" outlineLevel="1" x14ac:dyDescent="0.25">
      <c r="A12222" s="18">
        <v>2243</v>
      </c>
      <c r="B12222" s="4" t="s">
        <v>44</v>
      </c>
      <c r="C12222" s="38" t="s">
        <v>3090</v>
      </c>
      <c r="D12222" s="18">
        <v>2022</v>
      </c>
      <c r="E12222" s="18" t="s">
        <v>0</v>
      </c>
      <c r="F12222" s="41">
        <v>1</v>
      </c>
      <c r="G12222" s="4">
        <v>100</v>
      </c>
      <c r="H12222" s="18">
        <v>15.663369999999999</v>
      </c>
      <c r="I12222" s="90"/>
      <c r="J12222" s="90"/>
    </row>
    <row r="12223" spans="1:10" s="15" customFormat="1" ht="16.5" hidden="1" customHeight="1" outlineLevel="1" x14ac:dyDescent="0.25">
      <c r="A12223" s="18">
        <v>2320</v>
      </c>
      <c r="B12223" s="4" t="s">
        <v>44</v>
      </c>
      <c r="C12223" s="38" t="s">
        <v>3022</v>
      </c>
      <c r="D12223" s="18">
        <v>2022</v>
      </c>
      <c r="E12223" s="18" t="s">
        <v>0</v>
      </c>
      <c r="F12223" s="41">
        <v>1</v>
      </c>
      <c r="G12223" s="4">
        <v>15</v>
      </c>
      <c r="H12223" s="18">
        <v>33.324959999999997</v>
      </c>
      <c r="I12223" s="90"/>
      <c r="J12223" s="90"/>
    </row>
    <row r="12224" spans="1:10" s="15" customFormat="1" ht="16.5" hidden="1" customHeight="1" outlineLevel="1" x14ac:dyDescent="0.25">
      <c r="A12224" s="18">
        <v>2326</v>
      </c>
      <c r="B12224" s="4" t="s">
        <v>44</v>
      </c>
      <c r="C12224" s="38" t="s">
        <v>3023</v>
      </c>
      <c r="D12224" s="18">
        <v>2022</v>
      </c>
      <c r="E12224" s="18" t="s">
        <v>0</v>
      </c>
      <c r="F12224" s="41">
        <v>1</v>
      </c>
      <c r="G12224" s="4">
        <v>10</v>
      </c>
      <c r="H12224" s="18">
        <v>29.68149</v>
      </c>
      <c r="I12224" s="90"/>
      <c r="J12224" s="90"/>
    </row>
    <row r="12225" spans="1:10" s="15" customFormat="1" ht="16.5" hidden="1" customHeight="1" outlineLevel="1" x14ac:dyDescent="0.25">
      <c r="A12225" s="18">
        <v>2366</v>
      </c>
      <c r="B12225" s="4" t="s">
        <v>44</v>
      </c>
      <c r="C12225" s="38" t="s">
        <v>3024</v>
      </c>
      <c r="D12225" s="18">
        <v>2022</v>
      </c>
      <c r="E12225" s="18" t="s">
        <v>0</v>
      </c>
      <c r="F12225" s="41">
        <v>1</v>
      </c>
      <c r="G12225" s="4">
        <v>49</v>
      </c>
      <c r="H12225" s="18">
        <v>32.411290000000001</v>
      </c>
      <c r="I12225" s="90"/>
      <c r="J12225" s="90"/>
    </row>
    <row r="12226" spans="1:10" s="15" customFormat="1" ht="16.5" hidden="1" customHeight="1" outlineLevel="1" x14ac:dyDescent="0.25">
      <c r="A12226" s="18">
        <v>2376</v>
      </c>
      <c r="B12226" s="4" t="s">
        <v>44</v>
      </c>
      <c r="C12226" s="38" t="s">
        <v>3025</v>
      </c>
      <c r="D12226" s="18">
        <v>2022</v>
      </c>
      <c r="E12226" s="18" t="s">
        <v>0</v>
      </c>
      <c r="F12226" s="41">
        <v>1</v>
      </c>
      <c r="G12226" s="4">
        <v>15</v>
      </c>
      <c r="H12226" s="18">
        <v>28.629180000000002</v>
      </c>
      <c r="I12226" s="90"/>
      <c r="J12226" s="90"/>
    </row>
    <row r="12227" spans="1:10" s="15" customFormat="1" ht="16.5" hidden="1" customHeight="1" outlineLevel="1" x14ac:dyDescent="0.25">
      <c r="A12227" s="18">
        <v>2409</v>
      </c>
      <c r="B12227" s="4" t="s">
        <v>44</v>
      </c>
      <c r="C12227" s="38" t="s">
        <v>3027</v>
      </c>
      <c r="D12227" s="18">
        <v>2022</v>
      </c>
      <c r="E12227" s="18" t="s">
        <v>0</v>
      </c>
      <c r="F12227" s="41">
        <v>1</v>
      </c>
      <c r="G12227" s="4">
        <v>15</v>
      </c>
      <c r="H12227" s="18">
        <v>29.9</v>
      </c>
      <c r="I12227" s="90"/>
      <c r="J12227" s="90"/>
    </row>
    <row r="12228" spans="1:10" s="15" customFormat="1" ht="16.5" hidden="1" customHeight="1" outlineLevel="1" x14ac:dyDescent="0.25">
      <c r="A12228" s="18">
        <v>2410</v>
      </c>
      <c r="B12228" s="4" t="s">
        <v>44</v>
      </c>
      <c r="C12228" s="38" t="s">
        <v>3091</v>
      </c>
      <c r="D12228" s="18">
        <v>2022</v>
      </c>
      <c r="E12228" s="18" t="s">
        <v>0</v>
      </c>
      <c r="F12228" s="41">
        <v>6</v>
      </c>
      <c r="G12228" s="4">
        <v>600</v>
      </c>
      <c r="H12228" s="18">
        <v>201.04767000000001</v>
      </c>
      <c r="I12228" s="90"/>
      <c r="J12228" s="90"/>
    </row>
    <row r="12229" spans="1:10" s="15" customFormat="1" ht="16.5" hidden="1" customHeight="1" outlineLevel="1" x14ac:dyDescent="0.25">
      <c r="A12229" s="18">
        <v>1893</v>
      </c>
      <c r="B12229" s="4" t="s">
        <v>44</v>
      </c>
      <c r="C12229" s="38" t="s">
        <v>6974</v>
      </c>
      <c r="D12229" s="18">
        <v>2022</v>
      </c>
      <c r="E12229" s="18" t="s">
        <v>0</v>
      </c>
      <c r="F12229" s="41">
        <v>2</v>
      </c>
      <c r="G12229" s="4">
        <v>30</v>
      </c>
      <c r="H12229" s="18">
        <v>85.101100000000002</v>
      </c>
      <c r="I12229" s="90"/>
      <c r="J12229" s="90"/>
    </row>
    <row r="12230" spans="1:10" s="15" customFormat="1" ht="16.5" hidden="1" customHeight="1" outlineLevel="1" x14ac:dyDescent="0.25">
      <c r="A12230" s="18">
        <v>1903</v>
      </c>
      <c r="B12230" s="4" t="s">
        <v>44</v>
      </c>
      <c r="C12230" s="38" t="s">
        <v>6975</v>
      </c>
      <c r="D12230" s="18">
        <v>2022</v>
      </c>
      <c r="E12230" s="18" t="s">
        <v>0</v>
      </c>
      <c r="F12230" s="41">
        <v>2</v>
      </c>
      <c r="G12230" s="4">
        <v>30</v>
      </c>
      <c r="H12230" s="18">
        <v>91.667240000000007</v>
      </c>
      <c r="I12230" s="90"/>
      <c r="J12230" s="90"/>
    </row>
    <row r="12231" spans="1:10" s="15" customFormat="1" ht="16.5" hidden="1" customHeight="1" outlineLevel="1" x14ac:dyDescent="0.25">
      <c r="A12231" s="18">
        <v>1905</v>
      </c>
      <c r="B12231" s="4" t="s">
        <v>44</v>
      </c>
      <c r="C12231" s="38" t="s">
        <v>6976</v>
      </c>
      <c r="D12231" s="18">
        <v>2022</v>
      </c>
      <c r="E12231" s="18" t="s">
        <v>0</v>
      </c>
      <c r="F12231" s="41">
        <v>3</v>
      </c>
      <c r="G12231" s="4">
        <v>45</v>
      </c>
      <c r="H12231" s="18">
        <v>106.72153999999999</v>
      </c>
      <c r="I12231" s="90"/>
      <c r="J12231" s="90"/>
    </row>
    <row r="12232" spans="1:10" s="15" customFormat="1" ht="16.5" hidden="1" customHeight="1" outlineLevel="1" x14ac:dyDescent="0.25">
      <c r="A12232" s="18">
        <v>1911</v>
      </c>
      <c r="B12232" s="4" t="s">
        <v>44</v>
      </c>
      <c r="C12232" s="38" t="s">
        <v>6977</v>
      </c>
      <c r="D12232" s="18">
        <v>2022</v>
      </c>
      <c r="E12232" s="18" t="s">
        <v>0</v>
      </c>
      <c r="F12232" s="41">
        <v>3</v>
      </c>
      <c r="G12232" s="4">
        <v>45</v>
      </c>
      <c r="H12232" s="18">
        <v>119.50789</v>
      </c>
      <c r="I12232" s="90"/>
      <c r="J12232" s="90"/>
    </row>
    <row r="12233" spans="1:10" s="15" customFormat="1" ht="16.5" hidden="1" customHeight="1" outlineLevel="1" x14ac:dyDescent="0.25">
      <c r="A12233" s="18">
        <v>1950</v>
      </c>
      <c r="B12233" s="4" t="s">
        <v>44</v>
      </c>
      <c r="C12233" s="38" t="s">
        <v>6978</v>
      </c>
      <c r="D12233" s="18">
        <v>2022</v>
      </c>
      <c r="E12233" s="18" t="s">
        <v>0</v>
      </c>
      <c r="F12233" s="41">
        <v>2</v>
      </c>
      <c r="G12233" s="4">
        <v>30</v>
      </c>
      <c r="H12233" s="18">
        <v>78.343299999999999</v>
      </c>
      <c r="I12233" s="90"/>
      <c r="J12233" s="90"/>
    </row>
    <row r="12234" spans="1:10" s="15" customFormat="1" ht="16.5" hidden="1" customHeight="1" outlineLevel="1" x14ac:dyDescent="0.25">
      <c r="A12234" s="18">
        <v>2048</v>
      </c>
      <c r="B12234" s="4" t="s">
        <v>44</v>
      </c>
      <c r="C12234" s="38" t="s">
        <v>6979</v>
      </c>
      <c r="D12234" s="18">
        <v>2022</v>
      </c>
      <c r="E12234" s="18" t="s">
        <v>0</v>
      </c>
      <c r="F12234" s="41">
        <v>3</v>
      </c>
      <c r="G12234" s="4">
        <v>40</v>
      </c>
      <c r="H12234" s="18">
        <v>100.51335</v>
      </c>
      <c r="I12234" s="90"/>
      <c r="J12234" s="90"/>
    </row>
    <row r="12235" spans="1:10" s="15" customFormat="1" ht="16.5" hidden="1" customHeight="1" outlineLevel="1" x14ac:dyDescent="0.25">
      <c r="A12235" s="18">
        <v>2261</v>
      </c>
      <c r="B12235" s="4" t="s">
        <v>44</v>
      </c>
      <c r="C12235" s="38" t="s">
        <v>6980</v>
      </c>
      <c r="D12235" s="18">
        <v>2022</v>
      </c>
      <c r="E12235" s="18" t="s">
        <v>0</v>
      </c>
      <c r="F12235" s="41">
        <v>2</v>
      </c>
      <c r="G12235" s="4">
        <v>18</v>
      </c>
      <c r="H12235" s="18">
        <v>70.063500000000005</v>
      </c>
      <c r="I12235" s="90"/>
      <c r="J12235" s="90"/>
    </row>
    <row r="12236" spans="1:10" s="15" customFormat="1" ht="16.5" hidden="1" customHeight="1" outlineLevel="1" x14ac:dyDescent="0.25">
      <c r="A12236" s="18">
        <v>2374</v>
      </c>
      <c r="B12236" s="4" t="s">
        <v>44</v>
      </c>
      <c r="C12236" s="38" t="s">
        <v>3028</v>
      </c>
      <c r="D12236" s="18">
        <v>2022</v>
      </c>
      <c r="E12236" s="18" t="s">
        <v>0</v>
      </c>
      <c r="F12236" s="41">
        <v>1</v>
      </c>
      <c r="G12236" s="4">
        <v>15</v>
      </c>
      <c r="H12236" s="18">
        <v>32.580110000000005</v>
      </c>
      <c r="I12236" s="90"/>
      <c r="J12236" s="90"/>
    </row>
    <row r="12237" spans="1:10" s="15" customFormat="1" ht="16.5" hidden="1" customHeight="1" outlineLevel="1" x14ac:dyDescent="0.25">
      <c r="A12237" s="18">
        <v>2375</v>
      </c>
      <c r="B12237" s="4" t="s">
        <v>44</v>
      </c>
      <c r="C12237" s="38" t="s">
        <v>3029</v>
      </c>
      <c r="D12237" s="18">
        <v>2022</v>
      </c>
      <c r="E12237" s="18" t="s">
        <v>0</v>
      </c>
      <c r="F12237" s="41">
        <v>1</v>
      </c>
      <c r="G12237" s="4">
        <v>15</v>
      </c>
      <c r="H12237" s="18">
        <v>27.469259999999998</v>
      </c>
      <c r="I12237" s="90"/>
      <c r="J12237" s="90"/>
    </row>
    <row r="12238" spans="1:10" s="15" customFormat="1" ht="16.5" hidden="1" customHeight="1" outlineLevel="1" x14ac:dyDescent="0.25">
      <c r="A12238" s="18">
        <v>2421</v>
      </c>
      <c r="B12238" s="4" t="s">
        <v>44</v>
      </c>
      <c r="C12238" s="38" t="s">
        <v>6981</v>
      </c>
      <c r="D12238" s="18">
        <v>2022</v>
      </c>
      <c r="E12238" s="18" t="s">
        <v>0</v>
      </c>
      <c r="F12238" s="41">
        <v>1</v>
      </c>
      <c r="G12238" s="4">
        <v>10</v>
      </c>
      <c r="H12238" s="18">
        <v>20.471730000000001</v>
      </c>
      <c r="I12238" s="90"/>
      <c r="J12238" s="90"/>
    </row>
    <row r="12239" spans="1:10" s="15" customFormat="1" ht="16.5" hidden="1" customHeight="1" outlineLevel="1" x14ac:dyDescent="0.25">
      <c r="A12239" s="18">
        <v>2422</v>
      </c>
      <c r="B12239" s="4" t="s">
        <v>44</v>
      </c>
      <c r="C12239" s="38" t="s">
        <v>6982</v>
      </c>
      <c r="D12239" s="18">
        <v>2022</v>
      </c>
      <c r="E12239" s="18" t="s">
        <v>0</v>
      </c>
      <c r="F12239" s="41">
        <v>1</v>
      </c>
      <c r="G12239" s="4">
        <v>15</v>
      </c>
      <c r="H12239" s="18">
        <v>20.471739999999997</v>
      </c>
      <c r="I12239" s="90"/>
      <c r="J12239" s="90"/>
    </row>
    <row r="12240" spans="1:10" s="15" customFormat="1" ht="16.5" hidden="1" customHeight="1" outlineLevel="1" x14ac:dyDescent="0.25">
      <c r="A12240" s="18">
        <v>2423</v>
      </c>
      <c r="B12240" s="4" t="s">
        <v>44</v>
      </c>
      <c r="C12240" s="38" t="s">
        <v>6983</v>
      </c>
      <c r="D12240" s="18">
        <v>2022</v>
      </c>
      <c r="E12240" s="18" t="s">
        <v>0</v>
      </c>
      <c r="F12240" s="41">
        <v>1</v>
      </c>
      <c r="G12240" s="4">
        <v>15</v>
      </c>
      <c r="H12240" s="18">
        <v>21.746689999999997</v>
      </c>
      <c r="I12240" s="90"/>
      <c r="J12240" s="90"/>
    </row>
    <row r="12241" spans="1:10" s="15" customFormat="1" ht="16.5" hidden="1" customHeight="1" outlineLevel="1" x14ac:dyDescent="0.25">
      <c r="A12241" s="18">
        <v>2424</v>
      </c>
      <c r="B12241" s="4" t="s">
        <v>44</v>
      </c>
      <c r="C12241" s="38" t="s">
        <v>6984</v>
      </c>
      <c r="D12241" s="18">
        <v>2022</v>
      </c>
      <c r="E12241" s="18" t="s">
        <v>0</v>
      </c>
      <c r="F12241" s="41">
        <v>1</v>
      </c>
      <c r="G12241" s="4">
        <v>10</v>
      </c>
      <c r="H12241" s="18">
        <v>17.980260000000001</v>
      </c>
      <c r="I12241" s="90"/>
      <c r="J12241" s="90"/>
    </row>
    <row r="12242" spans="1:10" s="15" customFormat="1" ht="16.5" hidden="1" customHeight="1" outlineLevel="1" x14ac:dyDescent="0.25">
      <c r="A12242" s="18">
        <v>2425</v>
      </c>
      <c r="B12242" s="4" t="s">
        <v>44</v>
      </c>
      <c r="C12242" s="38" t="s">
        <v>6985</v>
      </c>
      <c r="D12242" s="18">
        <v>2022</v>
      </c>
      <c r="E12242" s="18" t="s">
        <v>0</v>
      </c>
      <c r="F12242" s="41">
        <v>1</v>
      </c>
      <c r="G12242" s="4">
        <v>12</v>
      </c>
      <c r="H12242" s="18">
        <v>19.264819999999997</v>
      </c>
      <c r="I12242" s="90"/>
      <c r="J12242" s="90"/>
    </row>
    <row r="12243" spans="1:10" s="15" customFormat="1" ht="16.5" hidden="1" customHeight="1" outlineLevel="1" x14ac:dyDescent="0.25">
      <c r="A12243" s="18">
        <v>2426</v>
      </c>
      <c r="B12243" s="4" t="s">
        <v>44</v>
      </c>
      <c r="C12243" s="38" t="s">
        <v>6986</v>
      </c>
      <c r="D12243" s="18">
        <v>2022</v>
      </c>
      <c r="E12243" s="18" t="s">
        <v>0</v>
      </c>
      <c r="F12243" s="41">
        <v>1</v>
      </c>
      <c r="G12243" s="4">
        <v>10</v>
      </c>
      <c r="H12243" s="18">
        <v>17.970659999999999</v>
      </c>
      <c r="I12243" s="90"/>
      <c r="J12243" s="90"/>
    </row>
    <row r="12244" spans="1:10" s="15" customFormat="1" ht="16.5" hidden="1" customHeight="1" outlineLevel="1" x14ac:dyDescent="0.25">
      <c r="A12244" s="18">
        <v>1830</v>
      </c>
      <c r="B12244" s="4" t="s">
        <v>44</v>
      </c>
      <c r="C12244" s="38" t="s">
        <v>6987</v>
      </c>
      <c r="D12244" s="18">
        <v>2022</v>
      </c>
      <c r="E12244" s="18" t="s">
        <v>0</v>
      </c>
      <c r="F12244" s="41">
        <v>1</v>
      </c>
      <c r="G12244" s="4">
        <v>15</v>
      </c>
      <c r="H12244" s="18">
        <v>34.524819999999998</v>
      </c>
      <c r="I12244" s="90"/>
      <c r="J12244" s="90"/>
    </row>
    <row r="12245" spans="1:10" s="15" customFormat="1" ht="16.5" hidden="1" customHeight="1" outlineLevel="1" x14ac:dyDescent="0.25">
      <c r="A12245" s="18">
        <v>1831</v>
      </c>
      <c r="B12245" s="4" t="s">
        <v>44</v>
      </c>
      <c r="C12245" s="38" t="s">
        <v>6988</v>
      </c>
      <c r="D12245" s="18">
        <v>2022</v>
      </c>
      <c r="E12245" s="18" t="s">
        <v>0</v>
      </c>
      <c r="F12245" s="41">
        <v>1</v>
      </c>
      <c r="G12245" s="4">
        <v>7</v>
      </c>
      <c r="H12245" s="18">
        <v>24.873820000000002</v>
      </c>
      <c r="I12245" s="90"/>
      <c r="J12245" s="90"/>
    </row>
    <row r="12246" spans="1:10" s="15" customFormat="1" ht="16.5" hidden="1" customHeight="1" outlineLevel="1" x14ac:dyDescent="0.25">
      <c r="A12246" s="18">
        <v>1832</v>
      </c>
      <c r="B12246" s="4" t="s">
        <v>44</v>
      </c>
      <c r="C12246" s="38" t="s">
        <v>6989</v>
      </c>
      <c r="D12246" s="18">
        <v>2022</v>
      </c>
      <c r="E12246" s="18" t="s">
        <v>0</v>
      </c>
      <c r="F12246" s="41">
        <v>1</v>
      </c>
      <c r="G12246" s="4">
        <v>15</v>
      </c>
      <c r="H12246" s="18">
        <v>30.114520000000006</v>
      </c>
      <c r="I12246" s="90"/>
      <c r="J12246" s="90"/>
    </row>
    <row r="12247" spans="1:10" s="15" customFormat="1" ht="16.5" hidden="1" customHeight="1" outlineLevel="1" x14ac:dyDescent="0.25">
      <c r="A12247" s="18">
        <v>1833</v>
      </c>
      <c r="B12247" s="4" t="s">
        <v>44</v>
      </c>
      <c r="C12247" s="38" t="s">
        <v>6990</v>
      </c>
      <c r="D12247" s="18">
        <v>2022</v>
      </c>
      <c r="E12247" s="18" t="s">
        <v>0</v>
      </c>
      <c r="F12247" s="41">
        <v>1</v>
      </c>
      <c r="G12247" s="4">
        <v>10</v>
      </c>
      <c r="H12247" s="18">
        <v>29.966760000000001</v>
      </c>
      <c r="I12247" s="90"/>
      <c r="J12247" s="90"/>
    </row>
    <row r="12248" spans="1:10" s="15" customFormat="1" ht="16.5" hidden="1" customHeight="1" outlineLevel="1" x14ac:dyDescent="0.25">
      <c r="A12248" s="18">
        <v>1836</v>
      </c>
      <c r="B12248" s="4" t="s">
        <v>44</v>
      </c>
      <c r="C12248" s="38" t="s">
        <v>6991</v>
      </c>
      <c r="D12248" s="18">
        <v>2022</v>
      </c>
      <c r="E12248" s="18" t="s">
        <v>0</v>
      </c>
      <c r="F12248" s="41">
        <v>1</v>
      </c>
      <c r="G12248" s="4">
        <v>10</v>
      </c>
      <c r="H12248" s="18">
        <v>30.03199</v>
      </c>
      <c r="I12248" s="90"/>
      <c r="J12248" s="90"/>
    </row>
    <row r="12249" spans="1:10" s="15" customFormat="1" ht="16.5" hidden="1" customHeight="1" outlineLevel="1" x14ac:dyDescent="0.25">
      <c r="A12249" s="18">
        <v>1837</v>
      </c>
      <c r="B12249" s="4" t="s">
        <v>44</v>
      </c>
      <c r="C12249" s="38" t="s">
        <v>6992</v>
      </c>
      <c r="D12249" s="18">
        <v>2022</v>
      </c>
      <c r="E12249" s="18" t="s">
        <v>0</v>
      </c>
      <c r="F12249" s="41">
        <v>1</v>
      </c>
      <c r="G12249" s="4">
        <v>10</v>
      </c>
      <c r="H12249" s="18">
        <v>25.087599999999998</v>
      </c>
      <c r="I12249" s="90"/>
      <c r="J12249" s="90"/>
    </row>
    <row r="12250" spans="1:10" s="15" customFormat="1" ht="16.5" hidden="1" customHeight="1" outlineLevel="1" x14ac:dyDescent="0.25">
      <c r="A12250" s="18">
        <v>1839</v>
      </c>
      <c r="B12250" s="4" t="s">
        <v>44</v>
      </c>
      <c r="C12250" s="38" t="s">
        <v>6993</v>
      </c>
      <c r="D12250" s="18">
        <v>2022</v>
      </c>
      <c r="E12250" s="18" t="s">
        <v>0</v>
      </c>
      <c r="F12250" s="41">
        <v>1</v>
      </c>
      <c r="G12250" s="4">
        <v>8.9499999999999993</v>
      </c>
      <c r="H12250" s="18">
        <v>24.647189999999998</v>
      </c>
      <c r="I12250" s="90"/>
      <c r="J12250" s="90"/>
    </row>
    <row r="12251" spans="1:10" s="15" customFormat="1" ht="16.5" hidden="1" customHeight="1" outlineLevel="1" x14ac:dyDescent="0.25">
      <c r="A12251" s="18">
        <v>1840</v>
      </c>
      <c r="B12251" s="4" t="s">
        <v>44</v>
      </c>
      <c r="C12251" s="38" t="s">
        <v>6994</v>
      </c>
      <c r="D12251" s="18">
        <v>2022</v>
      </c>
      <c r="E12251" s="18" t="s">
        <v>0</v>
      </c>
      <c r="F12251" s="41">
        <v>1</v>
      </c>
      <c r="G12251" s="4">
        <v>10</v>
      </c>
      <c r="H12251" s="18">
        <v>30.253550000000001</v>
      </c>
      <c r="I12251" s="90"/>
      <c r="J12251" s="90"/>
    </row>
    <row r="12252" spans="1:10" s="15" customFormat="1" ht="16.5" hidden="1" customHeight="1" outlineLevel="1" x14ac:dyDescent="0.25">
      <c r="A12252" s="18">
        <v>1841</v>
      </c>
      <c r="B12252" s="4" t="s">
        <v>44</v>
      </c>
      <c r="C12252" s="38" t="s">
        <v>6995</v>
      </c>
      <c r="D12252" s="18">
        <v>2022</v>
      </c>
      <c r="E12252" s="18" t="s">
        <v>0</v>
      </c>
      <c r="F12252" s="41">
        <v>1</v>
      </c>
      <c r="G12252" s="4">
        <v>15</v>
      </c>
      <c r="H12252" s="18">
        <v>26.416259999999998</v>
      </c>
      <c r="I12252" s="90"/>
      <c r="J12252" s="90"/>
    </row>
    <row r="12253" spans="1:10" s="15" customFormat="1" ht="16.5" hidden="1" customHeight="1" outlineLevel="1" x14ac:dyDescent="0.25">
      <c r="A12253" s="18">
        <v>1842</v>
      </c>
      <c r="B12253" s="4" t="s">
        <v>44</v>
      </c>
      <c r="C12253" s="38" t="s">
        <v>6996</v>
      </c>
      <c r="D12253" s="18">
        <v>2022</v>
      </c>
      <c r="E12253" s="18" t="s">
        <v>0</v>
      </c>
      <c r="F12253" s="41">
        <v>1</v>
      </c>
      <c r="G12253" s="4">
        <v>15</v>
      </c>
      <c r="H12253" s="18">
        <v>25.160609999999998</v>
      </c>
      <c r="I12253" s="90"/>
      <c r="J12253" s="90"/>
    </row>
    <row r="12254" spans="1:10" s="15" customFormat="1" ht="16.5" hidden="1" customHeight="1" outlineLevel="1" x14ac:dyDescent="0.25">
      <c r="A12254" s="18">
        <v>1848</v>
      </c>
      <c r="B12254" s="4" t="s">
        <v>44</v>
      </c>
      <c r="C12254" s="38" t="s">
        <v>6997</v>
      </c>
      <c r="D12254" s="18">
        <v>2022</v>
      </c>
      <c r="E12254" s="18" t="s">
        <v>0</v>
      </c>
      <c r="F12254" s="41">
        <v>8</v>
      </c>
      <c r="G12254" s="4">
        <v>115</v>
      </c>
      <c r="H12254" s="18">
        <v>213.74481</v>
      </c>
      <c r="I12254" s="90"/>
      <c r="J12254" s="90"/>
    </row>
    <row r="12255" spans="1:10" s="15" customFormat="1" ht="16.5" hidden="1" customHeight="1" outlineLevel="1" x14ac:dyDescent="0.25">
      <c r="A12255" s="18">
        <v>1883</v>
      </c>
      <c r="B12255" s="4" t="s">
        <v>44</v>
      </c>
      <c r="C12255" s="38" t="s">
        <v>6998</v>
      </c>
      <c r="D12255" s="18">
        <v>2022</v>
      </c>
      <c r="E12255" s="18" t="s">
        <v>0</v>
      </c>
      <c r="F12255" s="41">
        <v>1</v>
      </c>
      <c r="G12255" s="4">
        <v>60</v>
      </c>
      <c r="H12255" s="18">
        <v>26.676479999999998</v>
      </c>
      <c r="I12255" s="90"/>
      <c r="J12255" s="90"/>
    </row>
    <row r="12256" spans="1:10" s="15" customFormat="1" ht="16.5" hidden="1" customHeight="1" outlineLevel="1" x14ac:dyDescent="0.25">
      <c r="A12256" s="18">
        <v>1884</v>
      </c>
      <c r="B12256" s="4" t="s">
        <v>44</v>
      </c>
      <c r="C12256" s="38" t="s">
        <v>6999</v>
      </c>
      <c r="D12256" s="18">
        <v>2022</v>
      </c>
      <c r="E12256" s="18" t="s">
        <v>0</v>
      </c>
      <c r="F12256" s="41">
        <v>1</v>
      </c>
      <c r="G12256" s="4">
        <v>10</v>
      </c>
      <c r="H12256" s="18">
        <v>29.605399999999999</v>
      </c>
      <c r="I12256" s="90"/>
      <c r="J12256" s="90"/>
    </row>
    <row r="12257" spans="1:10" s="15" customFormat="1" ht="16.5" hidden="1" customHeight="1" outlineLevel="1" x14ac:dyDescent="0.25">
      <c r="A12257" s="18">
        <v>1897</v>
      </c>
      <c r="B12257" s="4" t="s">
        <v>44</v>
      </c>
      <c r="C12257" s="38" t="s">
        <v>7000</v>
      </c>
      <c r="D12257" s="18">
        <v>2022</v>
      </c>
      <c r="E12257" s="18" t="s">
        <v>0</v>
      </c>
      <c r="F12257" s="41">
        <v>3</v>
      </c>
      <c r="G12257" s="4">
        <v>45</v>
      </c>
      <c r="H12257" s="18">
        <v>103.92219999999999</v>
      </c>
      <c r="I12257" s="90"/>
      <c r="J12257" s="90"/>
    </row>
    <row r="12258" spans="1:10" s="15" customFormat="1" ht="16.5" hidden="1" customHeight="1" outlineLevel="1" x14ac:dyDescent="0.25">
      <c r="A12258" s="18">
        <v>1898</v>
      </c>
      <c r="B12258" s="4" t="s">
        <v>44</v>
      </c>
      <c r="C12258" s="38" t="s">
        <v>7001</v>
      </c>
      <c r="D12258" s="18">
        <v>2022</v>
      </c>
      <c r="E12258" s="18" t="s">
        <v>0</v>
      </c>
      <c r="F12258" s="41">
        <v>3</v>
      </c>
      <c r="G12258" s="4">
        <v>45</v>
      </c>
      <c r="H12258" s="18">
        <v>107.47707000000001</v>
      </c>
      <c r="I12258" s="90"/>
      <c r="J12258" s="90"/>
    </row>
    <row r="12259" spans="1:10" s="15" customFormat="1" ht="16.5" hidden="1" customHeight="1" outlineLevel="1" x14ac:dyDescent="0.25">
      <c r="A12259" s="18">
        <v>1920</v>
      </c>
      <c r="B12259" s="4" t="s">
        <v>44</v>
      </c>
      <c r="C12259" s="38" t="s">
        <v>7002</v>
      </c>
      <c r="D12259" s="18">
        <v>2022</v>
      </c>
      <c r="E12259" s="18" t="s">
        <v>0</v>
      </c>
      <c r="F12259" s="41">
        <v>1</v>
      </c>
      <c r="G12259" s="4">
        <v>15</v>
      </c>
      <c r="H12259" s="18">
        <v>31.97617</v>
      </c>
      <c r="I12259" s="90"/>
      <c r="J12259" s="90"/>
    </row>
    <row r="12260" spans="1:10" s="15" customFormat="1" ht="16.5" hidden="1" customHeight="1" outlineLevel="1" x14ac:dyDescent="0.25">
      <c r="A12260" s="18">
        <v>1927</v>
      </c>
      <c r="B12260" s="4" t="s">
        <v>44</v>
      </c>
      <c r="C12260" s="38" t="s">
        <v>7003</v>
      </c>
      <c r="D12260" s="18">
        <v>2022</v>
      </c>
      <c r="E12260" s="18" t="s">
        <v>0</v>
      </c>
      <c r="F12260" s="41">
        <v>1</v>
      </c>
      <c r="G12260" s="4">
        <v>10</v>
      </c>
      <c r="H12260" s="18">
        <v>27.837260000000001</v>
      </c>
      <c r="I12260" s="90"/>
      <c r="J12260" s="90"/>
    </row>
    <row r="12261" spans="1:10" s="15" customFormat="1" ht="16.5" hidden="1" customHeight="1" outlineLevel="1" x14ac:dyDescent="0.25">
      <c r="A12261" s="18">
        <v>1929</v>
      </c>
      <c r="B12261" s="4" t="s">
        <v>44</v>
      </c>
      <c r="C12261" s="38" t="s">
        <v>7004</v>
      </c>
      <c r="D12261" s="18">
        <v>2022</v>
      </c>
      <c r="E12261" s="18" t="s">
        <v>0</v>
      </c>
      <c r="F12261" s="41">
        <v>1</v>
      </c>
      <c r="G12261" s="4">
        <v>15</v>
      </c>
      <c r="H12261" s="18">
        <v>29.89181</v>
      </c>
      <c r="I12261" s="90"/>
      <c r="J12261" s="90"/>
    </row>
    <row r="12262" spans="1:10" s="15" customFormat="1" ht="16.5" hidden="1" customHeight="1" outlineLevel="1" x14ac:dyDescent="0.25">
      <c r="A12262" s="18">
        <v>1931</v>
      </c>
      <c r="B12262" s="4" t="s">
        <v>44</v>
      </c>
      <c r="C12262" s="38" t="s">
        <v>7005</v>
      </c>
      <c r="D12262" s="18">
        <v>2022</v>
      </c>
      <c r="E12262" s="18" t="s">
        <v>0</v>
      </c>
      <c r="F12262" s="41">
        <v>1</v>
      </c>
      <c r="G12262" s="4">
        <v>15</v>
      </c>
      <c r="H12262" s="18">
        <v>27.615639999999999</v>
      </c>
      <c r="I12262" s="90"/>
      <c r="J12262" s="90"/>
    </row>
    <row r="12263" spans="1:10" s="15" customFormat="1" ht="16.5" hidden="1" customHeight="1" outlineLevel="1" x14ac:dyDescent="0.25">
      <c r="A12263" s="18">
        <v>1932</v>
      </c>
      <c r="B12263" s="4" t="s">
        <v>44</v>
      </c>
      <c r="C12263" s="38" t="s">
        <v>7006</v>
      </c>
      <c r="D12263" s="18">
        <v>2022</v>
      </c>
      <c r="E12263" s="18" t="s">
        <v>0</v>
      </c>
      <c r="F12263" s="41">
        <v>1</v>
      </c>
      <c r="G12263" s="4">
        <v>15</v>
      </c>
      <c r="H12263" s="18">
        <v>31.230450000000001</v>
      </c>
      <c r="I12263" s="90"/>
      <c r="J12263" s="90"/>
    </row>
    <row r="12264" spans="1:10" s="15" customFormat="1" ht="16.5" hidden="1" customHeight="1" outlineLevel="1" x14ac:dyDescent="0.25">
      <c r="A12264" s="18">
        <v>1933</v>
      </c>
      <c r="B12264" s="4" t="s">
        <v>44</v>
      </c>
      <c r="C12264" s="38" t="s">
        <v>7007</v>
      </c>
      <c r="D12264" s="18">
        <v>2022</v>
      </c>
      <c r="E12264" s="18" t="s">
        <v>0</v>
      </c>
      <c r="F12264" s="41">
        <v>1</v>
      </c>
      <c r="G12264" s="4">
        <v>10</v>
      </c>
      <c r="H12264" s="18">
        <v>22.741790000000002</v>
      </c>
      <c r="I12264" s="90"/>
      <c r="J12264" s="90"/>
    </row>
    <row r="12265" spans="1:10" s="15" customFormat="1" ht="16.5" hidden="1" customHeight="1" outlineLevel="1" x14ac:dyDescent="0.25">
      <c r="A12265" s="18">
        <v>1935</v>
      </c>
      <c r="B12265" s="4" t="s">
        <v>44</v>
      </c>
      <c r="C12265" s="38" t="s">
        <v>7008</v>
      </c>
      <c r="D12265" s="18">
        <v>2022</v>
      </c>
      <c r="E12265" s="18" t="s">
        <v>0</v>
      </c>
      <c r="F12265" s="41">
        <v>1</v>
      </c>
      <c r="G12265" s="4">
        <v>15</v>
      </c>
      <c r="H12265" s="18">
        <v>27.467939999999999</v>
      </c>
      <c r="I12265" s="90"/>
      <c r="J12265" s="90"/>
    </row>
    <row r="12266" spans="1:10" s="15" customFormat="1" ht="16.5" hidden="1" customHeight="1" outlineLevel="1" x14ac:dyDescent="0.25">
      <c r="A12266" s="18">
        <v>1953</v>
      </c>
      <c r="B12266" s="4" t="s">
        <v>44</v>
      </c>
      <c r="C12266" s="38" t="s">
        <v>7009</v>
      </c>
      <c r="D12266" s="18">
        <v>2022</v>
      </c>
      <c r="E12266" s="18" t="s">
        <v>0</v>
      </c>
      <c r="F12266" s="41">
        <v>1</v>
      </c>
      <c r="G12266" s="4">
        <v>15</v>
      </c>
      <c r="H12266" s="18">
        <v>27.67972</v>
      </c>
      <c r="I12266" s="90"/>
      <c r="J12266" s="90"/>
    </row>
    <row r="12267" spans="1:10" s="15" customFormat="1" ht="16.5" hidden="1" customHeight="1" outlineLevel="1" x14ac:dyDescent="0.25">
      <c r="A12267" s="18">
        <v>1955</v>
      </c>
      <c r="B12267" s="4" t="s">
        <v>44</v>
      </c>
      <c r="C12267" s="38" t="s">
        <v>7010</v>
      </c>
      <c r="D12267" s="18">
        <v>2022</v>
      </c>
      <c r="E12267" s="18" t="s">
        <v>0</v>
      </c>
      <c r="F12267" s="41">
        <v>1</v>
      </c>
      <c r="G12267" s="4">
        <v>15</v>
      </c>
      <c r="H12267" s="18">
        <v>31.229649999999999</v>
      </c>
      <c r="I12267" s="90"/>
      <c r="J12267" s="90"/>
    </row>
    <row r="12268" spans="1:10" s="15" customFormat="1" ht="16.5" hidden="1" customHeight="1" outlineLevel="1" x14ac:dyDescent="0.25">
      <c r="A12268" s="18">
        <v>1969</v>
      </c>
      <c r="B12268" s="4" t="s">
        <v>44</v>
      </c>
      <c r="C12268" s="38" t="s">
        <v>7011</v>
      </c>
      <c r="D12268" s="18">
        <v>2022</v>
      </c>
      <c r="E12268" s="18" t="s">
        <v>0</v>
      </c>
      <c r="F12268" s="41">
        <v>1</v>
      </c>
      <c r="G12268" s="4">
        <v>10</v>
      </c>
      <c r="H12268" s="18">
        <v>30.869620000000001</v>
      </c>
      <c r="I12268" s="90"/>
      <c r="J12268" s="90"/>
    </row>
    <row r="12269" spans="1:10" s="15" customFormat="1" ht="16.5" hidden="1" customHeight="1" outlineLevel="1" x14ac:dyDescent="0.25">
      <c r="A12269" s="18">
        <v>1970</v>
      </c>
      <c r="B12269" s="4" t="s">
        <v>44</v>
      </c>
      <c r="C12269" s="38" t="s">
        <v>7012</v>
      </c>
      <c r="D12269" s="18">
        <v>2022</v>
      </c>
      <c r="E12269" s="18" t="s">
        <v>0</v>
      </c>
      <c r="F12269" s="41">
        <v>1</v>
      </c>
      <c r="G12269" s="4">
        <v>15</v>
      </c>
      <c r="H12269" s="18">
        <v>32.954970000000003</v>
      </c>
      <c r="I12269" s="90"/>
      <c r="J12269" s="90"/>
    </row>
    <row r="12270" spans="1:10" s="15" customFormat="1" ht="16.5" hidden="1" customHeight="1" outlineLevel="1" x14ac:dyDescent="0.25">
      <c r="A12270" s="18">
        <v>1971</v>
      </c>
      <c r="B12270" s="4" t="s">
        <v>44</v>
      </c>
      <c r="C12270" s="38" t="s">
        <v>7013</v>
      </c>
      <c r="D12270" s="18">
        <v>2022</v>
      </c>
      <c r="E12270" s="18" t="s">
        <v>0</v>
      </c>
      <c r="F12270" s="41">
        <v>1</v>
      </c>
      <c r="G12270" s="4">
        <v>15</v>
      </c>
      <c r="H12270" s="18">
        <v>29.11196</v>
      </c>
      <c r="I12270" s="90"/>
      <c r="J12270" s="90"/>
    </row>
    <row r="12271" spans="1:10" s="15" customFormat="1" ht="16.5" hidden="1" customHeight="1" outlineLevel="1" x14ac:dyDescent="0.25">
      <c r="A12271" s="18">
        <v>1976</v>
      </c>
      <c r="B12271" s="4" t="s">
        <v>44</v>
      </c>
      <c r="C12271" s="38" t="s">
        <v>7014</v>
      </c>
      <c r="D12271" s="18">
        <v>2022</v>
      </c>
      <c r="E12271" s="18" t="s">
        <v>0</v>
      </c>
      <c r="F12271" s="41">
        <v>1</v>
      </c>
      <c r="G12271" s="4">
        <v>15</v>
      </c>
      <c r="H12271" s="18">
        <v>29.795200000000001</v>
      </c>
      <c r="I12271" s="90"/>
      <c r="J12271" s="90"/>
    </row>
    <row r="12272" spans="1:10" s="15" customFormat="1" ht="16.5" hidden="1" customHeight="1" outlineLevel="1" x14ac:dyDescent="0.25">
      <c r="A12272" s="18">
        <v>1981</v>
      </c>
      <c r="B12272" s="4" t="s">
        <v>44</v>
      </c>
      <c r="C12272" s="38" t="s">
        <v>7015</v>
      </c>
      <c r="D12272" s="18">
        <v>2022</v>
      </c>
      <c r="E12272" s="18" t="s">
        <v>0</v>
      </c>
      <c r="F12272" s="41">
        <v>1</v>
      </c>
      <c r="G12272" s="4">
        <v>15</v>
      </c>
      <c r="H12272" s="18">
        <v>30.18741</v>
      </c>
      <c r="I12272" s="90"/>
      <c r="J12272" s="90"/>
    </row>
    <row r="12273" spans="1:10" s="15" customFormat="1" ht="16.5" hidden="1" customHeight="1" outlineLevel="1" x14ac:dyDescent="0.25">
      <c r="A12273" s="18">
        <v>1991</v>
      </c>
      <c r="B12273" s="4" t="s">
        <v>44</v>
      </c>
      <c r="C12273" s="38" t="s">
        <v>7016</v>
      </c>
      <c r="D12273" s="18">
        <v>2022</v>
      </c>
      <c r="E12273" s="18" t="s">
        <v>0</v>
      </c>
      <c r="F12273" s="41">
        <v>1</v>
      </c>
      <c r="G12273" s="4">
        <v>15</v>
      </c>
      <c r="H12273" s="18">
        <v>30.332229999999999</v>
      </c>
      <c r="I12273" s="90"/>
      <c r="J12273" s="90"/>
    </row>
    <row r="12274" spans="1:10" s="15" customFormat="1" ht="16.5" hidden="1" customHeight="1" outlineLevel="1" x14ac:dyDescent="0.25">
      <c r="A12274" s="18">
        <v>1992</v>
      </c>
      <c r="B12274" s="4" t="s">
        <v>44</v>
      </c>
      <c r="C12274" s="38" t="s">
        <v>7017</v>
      </c>
      <c r="D12274" s="18">
        <v>2022</v>
      </c>
      <c r="E12274" s="18" t="s">
        <v>0</v>
      </c>
      <c r="F12274" s="41">
        <v>1</v>
      </c>
      <c r="G12274" s="4">
        <v>15</v>
      </c>
      <c r="H12274" s="18">
        <v>31.295389999999998</v>
      </c>
      <c r="I12274" s="90"/>
      <c r="J12274" s="90"/>
    </row>
    <row r="12275" spans="1:10" s="15" customFormat="1" ht="16.5" hidden="1" customHeight="1" outlineLevel="1" x14ac:dyDescent="0.25">
      <c r="A12275" s="18">
        <v>1993</v>
      </c>
      <c r="B12275" s="4" t="s">
        <v>44</v>
      </c>
      <c r="C12275" s="38" t="s">
        <v>7018</v>
      </c>
      <c r="D12275" s="18">
        <v>2022</v>
      </c>
      <c r="E12275" s="18" t="s">
        <v>0</v>
      </c>
      <c r="F12275" s="41">
        <v>1</v>
      </c>
      <c r="G12275" s="4">
        <v>15</v>
      </c>
      <c r="H12275" s="18">
        <v>30.948049999999999</v>
      </c>
      <c r="I12275" s="90"/>
      <c r="J12275" s="90"/>
    </row>
    <row r="12276" spans="1:10" s="15" customFormat="1" ht="16.5" hidden="1" customHeight="1" outlineLevel="1" x14ac:dyDescent="0.25">
      <c r="A12276" s="18">
        <v>1998</v>
      </c>
      <c r="B12276" s="4" t="s">
        <v>44</v>
      </c>
      <c r="C12276" s="38" t="s">
        <v>7019</v>
      </c>
      <c r="D12276" s="18">
        <v>2022</v>
      </c>
      <c r="E12276" s="18" t="s">
        <v>0</v>
      </c>
      <c r="F12276" s="41">
        <v>1</v>
      </c>
      <c r="G12276" s="4">
        <v>15</v>
      </c>
      <c r="H12276" s="18">
        <v>32.087650000000004</v>
      </c>
      <c r="I12276" s="90"/>
      <c r="J12276" s="90"/>
    </row>
    <row r="12277" spans="1:10" s="15" customFormat="1" ht="16.5" hidden="1" customHeight="1" outlineLevel="1" x14ac:dyDescent="0.25">
      <c r="A12277" s="18">
        <v>1999</v>
      </c>
      <c r="B12277" s="4" t="s">
        <v>44</v>
      </c>
      <c r="C12277" s="38" t="s">
        <v>7020</v>
      </c>
      <c r="D12277" s="18">
        <v>2022</v>
      </c>
      <c r="E12277" s="18" t="s">
        <v>0</v>
      </c>
      <c r="F12277" s="41">
        <v>1</v>
      </c>
      <c r="G12277" s="4">
        <v>15</v>
      </c>
      <c r="H12277" s="18">
        <v>30.488859999999999</v>
      </c>
      <c r="I12277" s="90"/>
      <c r="J12277" s="90"/>
    </row>
    <row r="12278" spans="1:10" s="15" customFormat="1" ht="16.5" hidden="1" customHeight="1" outlineLevel="1" x14ac:dyDescent="0.25">
      <c r="A12278" s="18">
        <v>2000</v>
      </c>
      <c r="B12278" s="4" t="s">
        <v>44</v>
      </c>
      <c r="C12278" s="38" t="s">
        <v>7021</v>
      </c>
      <c r="D12278" s="18">
        <v>2022</v>
      </c>
      <c r="E12278" s="18" t="s">
        <v>0</v>
      </c>
      <c r="F12278" s="41">
        <v>1</v>
      </c>
      <c r="G12278" s="4">
        <v>15</v>
      </c>
      <c r="H12278" s="18">
        <v>21.789490000000001</v>
      </c>
      <c r="I12278" s="90"/>
      <c r="J12278" s="90"/>
    </row>
    <row r="12279" spans="1:10" s="15" customFormat="1" ht="16.5" hidden="1" customHeight="1" outlineLevel="1" x14ac:dyDescent="0.25">
      <c r="A12279" s="18">
        <v>2003</v>
      </c>
      <c r="B12279" s="4" t="s">
        <v>44</v>
      </c>
      <c r="C12279" s="38" t="s">
        <v>7022</v>
      </c>
      <c r="D12279" s="18">
        <v>2022</v>
      </c>
      <c r="E12279" s="18" t="s">
        <v>0</v>
      </c>
      <c r="F12279" s="41">
        <v>1</v>
      </c>
      <c r="G12279" s="4">
        <v>15</v>
      </c>
      <c r="H12279" s="18">
        <v>29.750150000000001</v>
      </c>
      <c r="I12279" s="90"/>
      <c r="J12279" s="90"/>
    </row>
    <row r="12280" spans="1:10" s="15" customFormat="1" ht="16.5" hidden="1" customHeight="1" outlineLevel="1" x14ac:dyDescent="0.25">
      <c r="A12280" s="18">
        <v>2004</v>
      </c>
      <c r="B12280" s="4" t="s">
        <v>44</v>
      </c>
      <c r="C12280" s="38" t="s">
        <v>7023</v>
      </c>
      <c r="D12280" s="18">
        <v>2022</v>
      </c>
      <c r="E12280" s="18" t="s">
        <v>0</v>
      </c>
      <c r="F12280" s="41">
        <v>1</v>
      </c>
      <c r="G12280" s="4">
        <v>15</v>
      </c>
      <c r="H12280" s="18">
        <v>29.602429999999998</v>
      </c>
      <c r="I12280" s="90"/>
      <c r="J12280" s="90"/>
    </row>
    <row r="12281" spans="1:10" s="15" customFormat="1" ht="16.5" hidden="1" customHeight="1" outlineLevel="1" x14ac:dyDescent="0.25">
      <c r="A12281" s="18">
        <v>2018</v>
      </c>
      <c r="B12281" s="4" t="s">
        <v>44</v>
      </c>
      <c r="C12281" s="38" t="s">
        <v>7024</v>
      </c>
      <c r="D12281" s="18">
        <v>2022</v>
      </c>
      <c r="E12281" s="18" t="s">
        <v>0</v>
      </c>
      <c r="F12281" s="41">
        <v>1</v>
      </c>
      <c r="G12281" s="4">
        <v>15</v>
      </c>
      <c r="H12281" s="18">
        <v>28.667099999999998</v>
      </c>
      <c r="I12281" s="90"/>
      <c r="J12281" s="90"/>
    </row>
    <row r="12282" spans="1:10" s="15" customFormat="1" ht="16.5" hidden="1" customHeight="1" outlineLevel="1" x14ac:dyDescent="0.25">
      <c r="A12282" s="18">
        <v>2019</v>
      </c>
      <c r="B12282" s="4" t="s">
        <v>44</v>
      </c>
      <c r="C12282" s="38" t="s">
        <v>7025</v>
      </c>
      <c r="D12282" s="18">
        <v>2022</v>
      </c>
      <c r="E12282" s="18" t="s">
        <v>0</v>
      </c>
      <c r="F12282" s="41">
        <v>1</v>
      </c>
      <c r="G12282" s="4">
        <v>10</v>
      </c>
      <c r="H12282" s="18">
        <v>30.264570000000003</v>
      </c>
      <c r="I12282" s="90"/>
      <c r="J12282" s="90"/>
    </row>
    <row r="12283" spans="1:10" s="15" customFormat="1" ht="16.5" hidden="1" customHeight="1" outlineLevel="1" x14ac:dyDescent="0.25">
      <c r="A12283" s="18">
        <v>2020</v>
      </c>
      <c r="B12283" s="4" t="s">
        <v>44</v>
      </c>
      <c r="C12283" s="38" t="s">
        <v>7026</v>
      </c>
      <c r="D12283" s="18">
        <v>2022</v>
      </c>
      <c r="E12283" s="18" t="s">
        <v>0</v>
      </c>
      <c r="F12283" s="41">
        <v>1</v>
      </c>
      <c r="G12283" s="4">
        <v>15</v>
      </c>
      <c r="H12283" s="18">
        <v>30.388500000000001</v>
      </c>
      <c r="I12283" s="90"/>
      <c r="J12283" s="90"/>
    </row>
    <row r="12284" spans="1:10" s="15" customFormat="1" ht="16.5" hidden="1" customHeight="1" outlineLevel="1" x14ac:dyDescent="0.25">
      <c r="A12284" s="18">
        <v>2024</v>
      </c>
      <c r="B12284" s="4" t="s">
        <v>44</v>
      </c>
      <c r="C12284" s="38" t="s">
        <v>7027</v>
      </c>
      <c r="D12284" s="18">
        <v>2022</v>
      </c>
      <c r="E12284" s="18" t="s">
        <v>0</v>
      </c>
      <c r="F12284" s="41">
        <v>1</v>
      </c>
      <c r="G12284" s="4">
        <v>10</v>
      </c>
      <c r="H12284" s="18">
        <v>32.525689999999997</v>
      </c>
      <c r="I12284" s="90"/>
      <c r="J12284" s="90"/>
    </row>
    <row r="12285" spans="1:10" s="15" customFormat="1" ht="16.5" hidden="1" customHeight="1" outlineLevel="1" x14ac:dyDescent="0.25">
      <c r="A12285" s="18">
        <v>2039</v>
      </c>
      <c r="B12285" s="4" t="s">
        <v>44</v>
      </c>
      <c r="C12285" s="38" t="s">
        <v>7028</v>
      </c>
      <c r="D12285" s="18">
        <v>2022</v>
      </c>
      <c r="E12285" s="18" t="s">
        <v>0</v>
      </c>
      <c r="F12285" s="41">
        <v>1</v>
      </c>
      <c r="G12285" s="4">
        <v>15</v>
      </c>
      <c r="H12285" s="18">
        <v>25.81277</v>
      </c>
      <c r="I12285" s="90"/>
      <c r="J12285" s="90"/>
    </row>
    <row r="12286" spans="1:10" s="15" customFormat="1" ht="16.5" hidden="1" customHeight="1" outlineLevel="1" x14ac:dyDescent="0.25">
      <c r="A12286" s="18">
        <v>2052</v>
      </c>
      <c r="B12286" s="4" t="s">
        <v>44</v>
      </c>
      <c r="C12286" s="38" t="s">
        <v>7029</v>
      </c>
      <c r="D12286" s="18">
        <v>2022</v>
      </c>
      <c r="E12286" s="18" t="s">
        <v>0</v>
      </c>
      <c r="F12286" s="41">
        <v>1</v>
      </c>
      <c r="G12286" s="4">
        <v>15</v>
      </c>
      <c r="H12286" s="18">
        <v>30.524709999999999</v>
      </c>
      <c r="I12286" s="90"/>
      <c r="J12286" s="90"/>
    </row>
    <row r="12287" spans="1:10" s="15" customFormat="1" ht="16.5" hidden="1" customHeight="1" outlineLevel="1" x14ac:dyDescent="0.25">
      <c r="A12287" s="18">
        <v>2057</v>
      </c>
      <c r="B12287" s="4" t="s">
        <v>44</v>
      </c>
      <c r="C12287" s="38" t="s">
        <v>7030</v>
      </c>
      <c r="D12287" s="18">
        <v>2022</v>
      </c>
      <c r="E12287" s="18" t="s">
        <v>0</v>
      </c>
      <c r="F12287" s="41">
        <v>1</v>
      </c>
      <c r="G12287" s="4">
        <v>15</v>
      </c>
      <c r="H12287" s="18">
        <v>26.03689</v>
      </c>
      <c r="I12287" s="90"/>
      <c r="J12287" s="90"/>
    </row>
    <row r="12288" spans="1:10" s="15" customFormat="1" ht="16.5" hidden="1" customHeight="1" outlineLevel="1" x14ac:dyDescent="0.25">
      <c r="A12288" s="18">
        <v>2078</v>
      </c>
      <c r="B12288" s="4" t="s">
        <v>44</v>
      </c>
      <c r="C12288" s="38" t="s">
        <v>7031</v>
      </c>
      <c r="D12288" s="18">
        <v>2022</v>
      </c>
      <c r="E12288" s="18" t="s">
        <v>0</v>
      </c>
      <c r="F12288" s="41">
        <v>1</v>
      </c>
      <c r="G12288" s="4">
        <v>15</v>
      </c>
      <c r="H12288" s="18">
        <v>29.782509999999998</v>
      </c>
      <c r="I12288" s="90"/>
      <c r="J12288" s="90"/>
    </row>
    <row r="12289" spans="1:10" s="15" customFormat="1" ht="16.5" hidden="1" customHeight="1" outlineLevel="1" x14ac:dyDescent="0.25">
      <c r="A12289" s="18">
        <v>2089</v>
      </c>
      <c r="B12289" s="4" t="s">
        <v>44</v>
      </c>
      <c r="C12289" s="38" t="s">
        <v>7032</v>
      </c>
      <c r="D12289" s="18">
        <v>2022</v>
      </c>
      <c r="E12289" s="18" t="s">
        <v>0</v>
      </c>
      <c r="F12289" s="41">
        <v>1</v>
      </c>
      <c r="G12289" s="4">
        <v>15</v>
      </c>
      <c r="H12289" s="18">
        <v>25.585540000000002</v>
      </c>
      <c r="I12289" s="90"/>
      <c r="J12289" s="90"/>
    </row>
    <row r="12290" spans="1:10" s="15" customFormat="1" ht="16.5" hidden="1" customHeight="1" outlineLevel="1" x14ac:dyDescent="0.25">
      <c r="A12290" s="18">
        <v>2092</v>
      </c>
      <c r="B12290" s="4" t="s">
        <v>44</v>
      </c>
      <c r="C12290" s="38" t="s">
        <v>7033</v>
      </c>
      <c r="D12290" s="18">
        <v>2022</v>
      </c>
      <c r="E12290" s="18" t="s">
        <v>0</v>
      </c>
      <c r="F12290" s="41">
        <v>1</v>
      </c>
      <c r="G12290" s="4">
        <v>5</v>
      </c>
      <c r="H12290" s="18">
        <v>26.693509999999996</v>
      </c>
      <c r="I12290" s="90"/>
      <c r="J12290" s="90"/>
    </row>
    <row r="12291" spans="1:10" s="15" customFormat="1" ht="16.5" hidden="1" customHeight="1" outlineLevel="1" x14ac:dyDescent="0.25">
      <c r="A12291" s="18">
        <v>2093</v>
      </c>
      <c r="B12291" s="4" t="s">
        <v>44</v>
      </c>
      <c r="C12291" s="38" t="s">
        <v>7034</v>
      </c>
      <c r="D12291" s="18">
        <v>2022</v>
      </c>
      <c r="E12291" s="18" t="s">
        <v>0</v>
      </c>
      <c r="F12291" s="41">
        <v>1</v>
      </c>
      <c r="G12291" s="4">
        <v>15</v>
      </c>
      <c r="H12291" s="18">
        <v>25.95486</v>
      </c>
      <c r="I12291" s="90"/>
      <c r="J12291" s="90"/>
    </row>
    <row r="12292" spans="1:10" s="15" customFormat="1" ht="16.5" hidden="1" customHeight="1" outlineLevel="1" x14ac:dyDescent="0.25">
      <c r="A12292" s="18">
        <v>2099</v>
      </c>
      <c r="B12292" s="4" t="s">
        <v>44</v>
      </c>
      <c r="C12292" s="38" t="s">
        <v>7035</v>
      </c>
      <c r="D12292" s="18">
        <v>2022</v>
      </c>
      <c r="E12292" s="18" t="s">
        <v>0</v>
      </c>
      <c r="F12292" s="41">
        <v>1</v>
      </c>
      <c r="G12292" s="4">
        <v>10</v>
      </c>
      <c r="H12292" s="18">
        <v>30.415800000000001</v>
      </c>
      <c r="I12292" s="90"/>
      <c r="J12292" s="90"/>
    </row>
    <row r="12293" spans="1:10" s="15" customFormat="1" ht="16.5" hidden="1" customHeight="1" outlineLevel="1" x14ac:dyDescent="0.25">
      <c r="A12293" s="18">
        <v>2104</v>
      </c>
      <c r="B12293" s="4" t="s">
        <v>44</v>
      </c>
      <c r="C12293" s="38" t="s">
        <v>7036</v>
      </c>
      <c r="D12293" s="18">
        <v>2022</v>
      </c>
      <c r="E12293" s="18" t="s">
        <v>0</v>
      </c>
      <c r="F12293" s="41">
        <v>1</v>
      </c>
      <c r="G12293" s="4">
        <v>15</v>
      </c>
      <c r="H12293" s="18">
        <v>30.082840000000001</v>
      </c>
      <c r="I12293" s="90"/>
      <c r="J12293" s="90"/>
    </row>
    <row r="12294" spans="1:10" s="15" customFormat="1" ht="16.5" hidden="1" customHeight="1" outlineLevel="1" x14ac:dyDescent="0.25">
      <c r="A12294" s="18">
        <v>2105</v>
      </c>
      <c r="B12294" s="4" t="s">
        <v>44</v>
      </c>
      <c r="C12294" s="38" t="s">
        <v>7037</v>
      </c>
      <c r="D12294" s="18">
        <v>2022</v>
      </c>
      <c r="E12294" s="18" t="s">
        <v>0</v>
      </c>
      <c r="F12294" s="41">
        <v>1</v>
      </c>
      <c r="G12294" s="4">
        <v>15</v>
      </c>
      <c r="H12294" s="18">
        <v>31.190799999999999</v>
      </c>
      <c r="I12294" s="90"/>
      <c r="J12294" s="90"/>
    </row>
    <row r="12295" spans="1:10" s="15" customFormat="1" ht="16.5" hidden="1" customHeight="1" outlineLevel="1" x14ac:dyDescent="0.25">
      <c r="A12295" s="18">
        <v>2106</v>
      </c>
      <c r="B12295" s="4" t="s">
        <v>44</v>
      </c>
      <c r="C12295" s="38" t="s">
        <v>7038</v>
      </c>
      <c r="D12295" s="18">
        <v>2022</v>
      </c>
      <c r="E12295" s="18" t="s">
        <v>0</v>
      </c>
      <c r="F12295" s="41">
        <v>1</v>
      </c>
      <c r="G12295" s="4">
        <v>15</v>
      </c>
      <c r="H12295" s="18">
        <v>30.8903</v>
      </c>
      <c r="I12295" s="90"/>
      <c r="J12295" s="90"/>
    </row>
    <row r="12296" spans="1:10" s="15" customFormat="1" ht="16.5" hidden="1" customHeight="1" outlineLevel="1" x14ac:dyDescent="0.25">
      <c r="A12296" s="18">
        <v>2112</v>
      </c>
      <c r="B12296" s="4" t="s">
        <v>44</v>
      </c>
      <c r="C12296" s="38" t="s">
        <v>7039</v>
      </c>
      <c r="D12296" s="18">
        <v>2022</v>
      </c>
      <c r="E12296" s="18" t="s">
        <v>0</v>
      </c>
      <c r="F12296" s="41">
        <v>1</v>
      </c>
      <c r="G12296" s="4">
        <v>3</v>
      </c>
      <c r="H12296" s="18">
        <v>25.137379999999997</v>
      </c>
      <c r="I12296" s="90"/>
      <c r="J12296" s="90"/>
    </row>
    <row r="12297" spans="1:10" s="15" customFormat="1" ht="16.5" hidden="1" customHeight="1" outlineLevel="1" x14ac:dyDescent="0.25">
      <c r="A12297" s="18">
        <v>2113</v>
      </c>
      <c r="B12297" s="4" t="s">
        <v>44</v>
      </c>
      <c r="C12297" s="38" t="s">
        <v>7040</v>
      </c>
      <c r="D12297" s="18">
        <v>2022</v>
      </c>
      <c r="E12297" s="18" t="s">
        <v>0</v>
      </c>
      <c r="F12297" s="41">
        <v>1</v>
      </c>
      <c r="G12297" s="4">
        <v>15</v>
      </c>
      <c r="H12297" s="18">
        <v>30.520979999999998</v>
      </c>
      <c r="I12297" s="90"/>
      <c r="J12297" s="90"/>
    </row>
    <row r="12298" spans="1:10" s="15" customFormat="1" ht="16.5" hidden="1" customHeight="1" outlineLevel="1" x14ac:dyDescent="0.25">
      <c r="A12298" s="18">
        <v>2120</v>
      </c>
      <c r="B12298" s="4" t="s">
        <v>44</v>
      </c>
      <c r="C12298" s="38" t="s">
        <v>7041</v>
      </c>
      <c r="D12298" s="18">
        <v>2022</v>
      </c>
      <c r="E12298" s="18" t="s">
        <v>0</v>
      </c>
      <c r="F12298" s="41">
        <v>1</v>
      </c>
      <c r="G12298" s="4">
        <v>15</v>
      </c>
      <c r="H12298" s="18">
        <v>30.392700000000001</v>
      </c>
      <c r="I12298" s="90"/>
      <c r="J12298" s="90"/>
    </row>
    <row r="12299" spans="1:10" s="15" customFormat="1" ht="16.5" hidden="1" customHeight="1" outlineLevel="1" x14ac:dyDescent="0.25">
      <c r="A12299" s="18">
        <v>2148</v>
      </c>
      <c r="B12299" s="4" t="s">
        <v>44</v>
      </c>
      <c r="C12299" s="38" t="s">
        <v>7042</v>
      </c>
      <c r="D12299" s="18">
        <v>2022</v>
      </c>
      <c r="E12299" s="18" t="s">
        <v>0</v>
      </c>
      <c r="F12299" s="41">
        <v>1</v>
      </c>
      <c r="G12299" s="4">
        <v>15</v>
      </c>
      <c r="H12299" s="18">
        <v>31.434259999999998</v>
      </c>
      <c r="I12299" s="90"/>
      <c r="J12299" s="90"/>
    </row>
    <row r="12300" spans="1:10" s="15" customFormat="1" ht="16.5" hidden="1" customHeight="1" outlineLevel="1" x14ac:dyDescent="0.25">
      <c r="A12300" s="18">
        <v>2170</v>
      </c>
      <c r="B12300" s="4" t="s">
        <v>44</v>
      </c>
      <c r="C12300" s="38" t="s">
        <v>7043</v>
      </c>
      <c r="D12300" s="18">
        <v>2022</v>
      </c>
      <c r="E12300" s="18" t="s">
        <v>0</v>
      </c>
      <c r="F12300" s="41">
        <v>1</v>
      </c>
      <c r="G12300" s="4">
        <v>15</v>
      </c>
      <c r="H12300" s="18">
        <v>29.95326</v>
      </c>
      <c r="I12300" s="90"/>
      <c r="J12300" s="90"/>
    </row>
    <row r="12301" spans="1:10" s="15" customFormat="1" ht="16.5" hidden="1" customHeight="1" outlineLevel="1" x14ac:dyDescent="0.25">
      <c r="A12301" s="18">
        <v>2172</v>
      </c>
      <c r="B12301" s="4" t="s">
        <v>44</v>
      </c>
      <c r="C12301" s="38" t="s">
        <v>7044</v>
      </c>
      <c r="D12301" s="18">
        <v>2022</v>
      </c>
      <c r="E12301" s="18" t="s">
        <v>0</v>
      </c>
      <c r="F12301" s="41">
        <v>1</v>
      </c>
      <c r="G12301" s="4">
        <v>10</v>
      </c>
      <c r="H12301" s="18">
        <v>33.519449999999999</v>
      </c>
      <c r="I12301" s="90"/>
      <c r="J12301" s="90"/>
    </row>
    <row r="12302" spans="1:10" s="15" customFormat="1" ht="16.5" hidden="1" customHeight="1" outlineLevel="1" x14ac:dyDescent="0.25">
      <c r="A12302" s="18">
        <v>2176</v>
      </c>
      <c r="B12302" s="4" t="s">
        <v>44</v>
      </c>
      <c r="C12302" s="38" t="s">
        <v>7045</v>
      </c>
      <c r="D12302" s="18">
        <v>2022</v>
      </c>
      <c r="E12302" s="18" t="s">
        <v>0</v>
      </c>
      <c r="F12302" s="41">
        <v>1</v>
      </c>
      <c r="G12302" s="4">
        <v>15</v>
      </c>
      <c r="H12302" s="18">
        <v>30.521050000000002</v>
      </c>
      <c r="I12302" s="90"/>
      <c r="J12302" s="90"/>
    </row>
    <row r="12303" spans="1:10" s="15" customFormat="1" ht="16.5" hidden="1" customHeight="1" outlineLevel="1" x14ac:dyDescent="0.25">
      <c r="A12303" s="18">
        <v>2178</v>
      </c>
      <c r="B12303" s="4" t="s">
        <v>44</v>
      </c>
      <c r="C12303" s="38" t="s">
        <v>7046</v>
      </c>
      <c r="D12303" s="18">
        <v>2022</v>
      </c>
      <c r="E12303" s="18" t="s">
        <v>0</v>
      </c>
      <c r="F12303" s="41">
        <v>1</v>
      </c>
      <c r="G12303" s="4">
        <v>15</v>
      </c>
      <c r="H12303" s="18">
        <v>30.949279999999998</v>
      </c>
      <c r="I12303" s="90"/>
      <c r="J12303" s="90"/>
    </row>
    <row r="12304" spans="1:10" s="15" customFormat="1" ht="16.5" hidden="1" customHeight="1" outlineLevel="1" x14ac:dyDescent="0.25">
      <c r="A12304" s="18">
        <v>2179</v>
      </c>
      <c r="B12304" s="4" t="s">
        <v>44</v>
      </c>
      <c r="C12304" s="38" t="s">
        <v>7047</v>
      </c>
      <c r="D12304" s="18">
        <v>2022</v>
      </c>
      <c r="E12304" s="18" t="s">
        <v>0</v>
      </c>
      <c r="F12304" s="41">
        <v>1</v>
      </c>
      <c r="G12304" s="4">
        <v>15</v>
      </c>
      <c r="H12304" s="18">
        <v>30.913519999999998</v>
      </c>
      <c r="I12304" s="90"/>
      <c r="J12304" s="90"/>
    </row>
    <row r="12305" spans="1:10" s="15" customFormat="1" ht="16.5" hidden="1" customHeight="1" outlineLevel="1" x14ac:dyDescent="0.25">
      <c r="A12305" s="18">
        <v>2180</v>
      </c>
      <c r="B12305" s="4" t="s">
        <v>44</v>
      </c>
      <c r="C12305" s="38" t="s">
        <v>7048</v>
      </c>
      <c r="D12305" s="18">
        <v>2022</v>
      </c>
      <c r="E12305" s="18" t="s">
        <v>0</v>
      </c>
      <c r="F12305" s="41">
        <v>1</v>
      </c>
      <c r="G12305" s="4">
        <v>15</v>
      </c>
      <c r="H12305" s="18">
        <v>30.588080000000001</v>
      </c>
      <c r="I12305" s="90"/>
      <c r="J12305" s="90"/>
    </row>
    <row r="12306" spans="1:10" s="15" customFormat="1" ht="16.5" hidden="1" customHeight="1" outlineLevel="1" x14ac:dyDescent="0.25">
      <c r="A12306" s="18">
        <v>2190</v>
      </c>
      <c r="B12306" s="4" t="s">
        <v>44</v>
      </c>
      <c r="C12306" s="38" t="s">
        <v>7049</v>
      </c>
      <c r="D12306" s="18">
        <v>2022</v>
      </c>
      <c r="E12306" s="18" t="s">
        <v>0</v>
      </c>
      <c r="F12306" s="41">
        <v>1</v>
      </c>
      <c r="G12306" s="4">
        <v>15</v>
      </c>
      <c r="H12306" s="18">
        <v>30.003869999999999</v>
      </c>
      <c r="I12306" s="90"/>
      <c r="J12306" s="90"/>
    </row>
    <row r="12307" spans="1:10" s="15" customFormat="1" ht="16.5" hidden="1" customHeight="1" outlineLevel="1" x14ac:dyDescent="0.25">
      <c r="A12307" s="18">
        <v>2193</v>
      </c>
      <c r="B12307" s="4" t="s">
        <v>44</v>
      </c>
      <c r="C12307" s="38" t="s">
        <v>7050</v>
      </c>
      <c r="D12307" s="18">
        <v>2022</v>
      </c>
      <c r="E12307" s="18" t="s">
        <v>0</v>
      </c>
      <c r="F12307" s="41">
        <v>1</v>
      </c>
      <c r="G12307" s="4">
        <v>15</v>
      </c>
      <c r="H12307" s="18">
        <v>29.486979999999999</v>
      </c>
      <c r="I12307" s="90"/>
      <c r="J12307" s="90"/>
    </row>
    <row r="12308" spans="1:10" s="15" customFormat="1" ht="16.5" hidden="1" customHeight="1" outlineLevel="1" x14ac:dyDescent="0.25">
      <c r="A12308" s="18">
        <v>2202</v>
      </c>
      <c r="B12308" s="4" t="s">
        <v>44</v>
      </c>
      <c r="C12308" s="38" t="s">
        <v>7051</v>
      </c>
      <c r="D12308" s="18">
        <v>2022</v>
      </c>
      <c r="E12308" s="18" t="s">
        <v>0</v>
      </c>
      <c r="F12308" s="41">
        <v>1</v>
      </c>
      <c r="G12308" s="4">
        <v>15</v>
      </c>
      <c r="H12308" s="18">
        <v>29.891999999999999</v>
      </c>
      <c r="I12308" s="90"/>
      <c r="J12308" s="90"/>
    </row>
    <row r="12309" spans="1:10" s="15" customFormat="1" ht="16.5" hidden="1" customHeight="1" outlineLevel="1" x14ac:dyDescent="0.25">
      <c r="A12309" s="18">
        <v>2203</v>
      </c>
      <c r="B12309" s="4" t="s">
        <v>44</v>
      </c>
      <c r="C12309" s="38" t="s">
        <v>7052</v>
      </c>
      <c r="D12309" s="18">
        <v>2022</v>
      </c>
      <c r="E12309" s="18" t="s">
        <v>0</v>
      </c>
      <c r="F12309" s="41">
        <v>1</v>
      </c>
      <c r="G12309" s="4">
        <v>15</v>
      </c>
      <c r="H12309" s="18">
        <v>41.531419999999997</v>
      </c>
      <c r="I12309" s="90"/>
      <c r="J12309" s="90"/>
    </row>
    <row r="12310" spans="1:10" s="15" customFormat="1" ht="16.5" hidden="1" customHeight="1" outlineLevel="1" x14ac:dyDescent="0.25">
      <c r="A12310" s="18">
        <v>2204</v>
      </c>
      <c r="B12310" s="4" t="s">
        <v>44</v>
      </c>
      <c r="C12310" s="38" t="s">
        <v>7053</v>
      </c>
      <c r="D12310" s="18">
        <v>2022</v>
      </c>
      <c r="E12310" s="18" t="s">
        <v>0</v>
      </c>
      <c r="F12310" s="41">
        <v>1</v>
      </c>
      <c r="G12310" s="4">
        <v>15</v>
      </c>
      <c r="H12310" s="18">
        <v>31.259709999999995</v>
      </c>
      <c r="I12310" s="90"/>
      <c r="J12310" s="90"/>
    </row>
    <row r="12311" spans="1:10" s="15" customFormat="1" ht="16.5" hidden="1" customHeight="1" outlineLevel="1" x14ac:dyDescent="0.25">
      <c r="A12311" s="18">
        <v>2205</v>
      </c>
      <c r="B12311" s="4" t="s">
        <v>44</v>
      </c>
      <c r="C12311" s="38" t="s">
        <v>7054</v>
      </c>
      <c r="D12311" s="18">
        <v>2022</v>
      </c>
      <c r="E12311" s="18" t="s">
        <v>0</v>
      </c>
      <c r="F12311" s="41">
        <v>1</v>
      </c>
      <c r="G12311" s="4">
        <v>15</v>
      </c>
      <c r="H12311" s="18">
        <v>31.295310000000001</v>
      </c>
      <c r="I12311" s="90"/>
      <c r="J12311" s="90"/>
    </row>
    <row r="12312" spans="1:10" s="15" customFormat="1" ht="16.5" hidden="1" customHeight="1" outlineLevel="1" x14ac:dyDescent="0.25">
      <c r="A12312" s="18">
        <v>2206</v>
      </c>
      <c r="B12312" s="4" t="s">
        <v>44</v>
      </c>
      <c r="C12312" s="38" t="s">
        <v>7055</v>
      </c>
      <c r="D12312" s="18">
        <v>2022</v>
      </c>
      <c r="E12312" s="18" t="s">
        <v>0</v>
      </c>
      <c r="F12312" s="41">
        <v>1</v>
      </c>
      <c r="G12312" s="4">
        <v>15</v>
      </c>
      <c r="H12312" s="18">
        <v>30.16348</v>
      </c>
      <c r="I12312" s="90"/>
      <c r="J12312" s="90"/>
    </row>
    <row r="12313" spans="1:10" s="15" customFormat="1" ht="16.5" hidden="1" customHeight="1" outlineLevel="1" x14ac:dyDescent="0.25">
      <c r="A12313" s="18">
        <v>2208</v>
      </c>
      <c r="B12313" s="4" t="s">
        <v>44</v>
      </c>
      <c r="C12313" s="38" t="s">
        <v>7056</v>
      </c>
      <c r="D12313" s="18">
        <v>2022</v>
      </c>
      <c r="E12313" s="18" t="s">
        <v>0</v>
      </c>
      <c r="F12313" s="41">
        <v>1</v>
      </c>
      <c r="G12313" s="4">
        <v>15</v>
      </c>
      <c r="H12313" s="18">
        <v>30.520970000000002</v>
      </c>
      <c r="I12313" s="90"/>
      <c r="J12313" s="90"/>
    </row>
    <row r="12314" spans="1:10" s="15" customFormat="1" ht="16.5" hidden="1" customHeight="1" outlineLevel="1" x14ac:dyDescent="0.25">
      <c r="A12314" s="18">
        <v>2212</v>
      </c>
      <c r="B12314" s="4" t="s">
        <v>44</v>
      </c>
      <c r="C12314" s="38" t="s">
        <v>7057</v>
      </c>
      <c r="D12314" s="18">
        <v>2022</v>
      </c>
      <c r="E12314" s="18" t="s">
        <v>0</v>
      </c>
      <c r="F12314" s="41">
        <v>1</v>
      </c>
      <c r="G12314" s="4">
        <v>5</v>
      </c>
      <c r="H12314" s="18">
        <v>29.78238</v>
      </c>
      <c r="I12314" s="90"/>
      <c r="J12314" s="90"/>
    </row>
    <row r="12315" spans="1:10" s="15" customFormat="1" ht="16.5" hidden="1" customHeight="1" outlineLevel="1" x14ac:dyDescent="0.25">
      <c r="A12315" s="18">
        <v>2213</v>
      </c>
      <c r="B12315" s="4" t="s">
        <v>44</v>
      </c>
      <c r="C12315" s="38" t="s">
        <v>7058</v>
      </c>
      <c r="D12315" s="18">
        <v>2022</v>
      </c>
      <c r="E12315" s="18" t="s">
        <v>0</v>
      </c>
      <c r="F12315" s="41">
        <v>1</v>
      </c>
      <c r="G12315" s="4">
        <v>10</v>
      </c>
      <c r="H12315" s="18">
        <v>31.998350000000002</v>
      </c>
      <c r="I12315" s="90"/>
      <c r="J12315" s="90"/>
    </row>
    <row r="12316" spans="1:10" s="15" customFormat="1" ht="16.5" hidden="1" customHeight="1" outlineLevel="1" x14ac:dyDescent="0.25">
      <c r="A12316" s="18">
        <v>2214</v>
      </c>
      <c r="B12316" s="4" t="s">
        <v>44</v>
      </c>
      <c r="C12316" s="38" t="s">
        <v>7059</v>
      </c>
      <c r="D12316" s="18">
        <v>2022</v>
      </c>
      <c r="E12316" s="18" t="s">
        <v>0</v>
      </c>
      <c r="F12316" s="41">
        <v>1</v>
      </c>
      <c r="G12316" s="4">
        <v>15</v>
      </c>
      <c r="H12316" s="18">
        <v>29.89199</v>
      </c>
      <c r="I12316" s="90"/>
      <c r="J12316" s="90"/>
    </row>
    <row r="12317" spans="1:10" s="15" customFormat="1" ht="16.5" hidden="1" customHeight="1" outlineLevel="1" x14ac:dyDescent="0.25">
      <c r="A12317" s="18">
        <v>2216</v>
      </c>
      <c r="B12317" s="4" t="s">
        <v>44</v>
      </c>
      <c r="C12317" s="38" t="s">
        <v>7060</v>
      </c>
      <c r="D12317" s="18">
        <v>2022</v>
      </c>
      <c r="E12317" s="18" t="s">
        <v>0</v>
      </c>
      <c r="F12317" s="41">
        <v>1</v>
      </c>
      <c r="G12317" s="4">
        <v>15</v>
      </c>
      <c r="H12317" s="18">
        <v>30.926139999999997</v>
      </c>
      <c r="I12317" s="90"/>
      <c r="J12317" s="90"/>
    </row>
    <row r="12318" spans="1:10" s="15" customFormat="1" ht="16.5" hidden="1" customHeight="1" outlineLevel="1" x14ac:dyDescent="0.25">
      <c r="A12318" s="18">
        <v>2223</v>
      </c>
      <c r="B12318" s="4" t="s">
        <v>44</v>
      </c>
      <c r="C12318" s="38" t="s">
        <v>7061</v>
      </c>
      <c r="D12318" s="18">
        <v>2022</v>
      </c>
      <c r="E12318" s="18" t="s">
        <v>0</v>
      </c>
      <c r="F12318" s="41">
        <v>1</v>
      </c>
      <c r="G12318" s="4">
        <v>15</v>
      </c>
      <c r="H12318" s="18">
        <v>29.48696</v>
      </c>
      <c r="I12318" s="90"/>
      <c r="J12318" s="90"/>
    </row>
    <row r="12319" spans="1:10" s="15" customFormat="1" ht="16.5" hidden="1" customHeight="1" outlineLevel="1" x14ac:dyDescent="0.25">
      <c r="A12319" s="18">
        <v>2256</v>
      </c>
      <c r="B12319" s="4" t="s">
        <v>44</v>
      </c>
      <c r="C12319" s="38" t="s">
        <v>7062</v>
      </c>
      <c r="D12319" s="18">
        <v>2022</v>
      </c>
      <c r="E12319" s="18" t="s">
        <v>0</v>
      </c>
      <c r="F12319" s="41">
        <v>1</v>
      </c>
      <c r="G12319" s="4">
        <v>14</v>
      </c>
      <c r="H12319" s="18">
        <v>29.782409999999999</v>
      </c>
      <c r="I12319" s="90"/>
      <c r="J12319" s="90"/>
    </row>
    <row r="12320" spans="1:10" s="15" customFormat="1" ht="16.5" hidden="1" customHeight="1" outlineLevel="1" x14ac:dyDescent="0.25">
      <c r="A12320" s="18">
        <v>2265</v>
      </c>
      <c r="B12320" s="4" t="s">
        <v>44</v>
      </c>
      <c r="C12320" s="38" t="s">
        <v>7063</v>
      </c>
      <c r="D12320" s="18">
        <v>2022</v>
      </c>
      <c r="E12320" s="18" t="s">
        <v>0</v>
      </c>
      <c r="F12320" s="41">
        <v>1</v>
      </c>
      <c r="G12320" s="4">
        <v>15</v>
      </c>
      <c r="H12320" s="18">
        <v>30.926139999999997</v>
      </c>
      <c r="I12320" s="90"/>
      <c r="J12320" s="90"/>
    </row>
    <row r="12321" spans="1:10" s="15" customFormat="1" ht="16.5" hidden="1" customHeight="1" outlineLevel="1" x14ac:dyDescent="0.25">
      <c r="A12321" s="18">
        <v>2272</v>
      </c>
      <c r="B12321" s="4" t="s">
        <v>44</v>
      </c>
      <c r="C12321" s="38" t="s">
        <v>7064</v>
      </c>
      <c r="D12321" s="18">
        <v>2022</v>
      </c>
      <c r="E12321" s="18" t="s">
        <v>0</v>
      </c>
      <c r="F12321" s="41">
        <v>1</v>
      </c>
      <c r="G12321" s="4">
        <v>35</v>
      </c>
      <c r="H12321" s="18">
        <v>116.95592000000001</v>
      </c>
      <c r="I12321" s="90"/>
      <c r="J12321" s="90"/>
    </row>
    <row r="12322" spans="1:10" s="15" customFormat="1" ht="16.5" hidden="1" customHeight="1" outlineLevel="1" x14ac:dyDescent="0.25">
      <c r="A12322" s="18">
        <v>2293</v>
      </c>
      <c r="B12322" s="4" t="s">
        <v>44</v>
      </c>
      <c r="C12322" s="38" t="s">
        <v>7065</v>
      </c>
      <c r="D12322" s="18">
        <v>2022</v>
      </c>
      <c r="E12322" s="18" t="s">
        <v>0</v>
      </c>
      <c r="F12322" s="41">
        <v>3</v>
      </c>
      <c r="G12322" s="4">
        <v>45</v>
      </c>
      <c r="H12322" s="18">
        <v>109.42644</v>
      </c>
      <c r="I12322" s="90"/>
      <c r="J12322" s="90"/>
    </row>
    <row r="12323" spans="1:10" s="15" customFormat="1" ht="16.5" hidden="1" customHeight="1" outlineLevel="1" x14ac:dyDescent="0.25">
      <c r="A12323" s="18">
        <v>2299</v>
      </c>
      <c r="B12323" s="4" t="s">
        <v>44</v>
      </c>
      <c r="C12323" s="38" t="s">
        <v>7066</v>
      </c>
      <c r="D12323" s="18">
        <v>2022</v>
      </c>
      <c r="E12323" s="18" t="s">
        <v>0</v>
      </c>
      <c r="F12323" s="41">
        <v>1</v>
      </c>
      <c r="G12323" s="4">
        <v>10</v>
      </c>
      <c r="H12323" s="18">
        <v>37.328970000000005</v>
      </c>
      <c r="I12323" s="90"/>
      <c r="J12323" s="90"/>
    </row>
    <row r="12324" spans="1:10" s="15" customFormat="1" ht="16.5" hidden="1" customHeight="1" outlineLevel="1" x14ac:dyDescent="0.25">
      <c r="A12324" s="18">
        <v>2336</v>
      </c>
      <c r="B12324" s="4" t="s">
        <v>44</v>
      </c>
      <c r="C12324" s="38" t="s">
        <v>7067</v>
      </c>
      <c r="D12324" s="18">
        <v>2022</v>
      </c>
      <c r="E12324" s="18" t="s">
        <v>0</v>
      </c>
      <c r="F12324" s="41">
        <v>1</v>
      </c>
      <c r="G12324" s="4">
        <v>50</v>
      </c>
      <c r="H12324" s="18">
        <v>29.509620000000005</v>
      </c>
      <c r="I12324" s="90"/>
      <c r="J12324" s="90"/>
    </row>
    <row r="12325" spans="1:10" s="15" customFormat="1" ht="16.5" hidden="1" customHeight="1" outlineLevel="1" x14ac:dyDescent="0.25">
      <c r="A12325" s="18">
        <v>2351</v>
      </c>
      <c r="B12325" s="4" t="s">
        <v>44</v>
      </c>
      <c r="C12325" s="38" t="s">
        <v>7068</v>
      </c>
      <c r="D12325" s="18">
        <v>2022</v>
      </c>
      <c r="E12325" s="18" t="s">
        <v>0</v>
      </c>
      <c r="F12325" s="41">
        <v>1</v>
      </c>
      <c r="G12325" s="4">
        <v>10</v>
      </c>
      <c r="H12325" s="18">
        <v>32.825580000000002</v>
      </c>
      <c r="I12325" s="90"/>
      <c r="J12325" s="90"/>
    </row>
    <row r="12326" spans="1:10" s="15" customFormat="1" ht="16.5" hidden="1" customHeight="1" outlineLevel="1" x14ac:dyDescent="0.25">
      <c r="A12326" s="18">
        <v>2352</v>
      </c>
      <c r="B12326" s="4" t="s">
        <v>44</v>
      </c>
      <c r="C12326" s="38" t="s">
        <v>7069</v>
      </c>
      <c r="D12326" s="18">
        <v>2022</v>
      </c>
      <c r="E12326" s="18" t="s">
        <v>0</v>
      </c>
      <c r="F12326" s="41">
        <v>1</v>
      </c>
      <c r="G12326" s="4">
        <v>15</v>
      </c>
      <c r="H12326" s="18">
        <v>33.356739999999995</v>
      </c>
      <c r="I12326" s="90"/>
      <c r="J12326" s="90"/>
    </row>
    <row r="12327" spans="1:10" s="15" customFormat="1" ht="16.5" hidden="1" customHeight="1" outlineLevel="1" x14ac:dyDescent="0.25">
      <c r="A12327" s="18">
        <v>2384</v>
      </c>
      <c r="B12327" s="4" t="s">
        <v>44</v>
      </c>
      <c r="C12327" s="38" t="s">
        <v>7070</v>
      </c>
      <c r="D12327" s="18">
        <v>2022</v>
      </c>
      <c r="E12327" s="18" t="s">
        <v>0</v>
      </c>
      <c r="F12327" s="41">
        <v>1</v>
      </c>
      <c r="G12327" s="4">
        <v>80</v>
      </c>
      <c r="H12327" s="18">
        <v>23.148209999999999</v>
      </c>
      <c r="I12327" s="90"/>
      <c r="J12327" s="90"/>
    </row>
    <row r="12328" spans="1:10" s="15" customFormat="1" ht="16.5" hidden="1" customHeight="1" outlineLevel="1" x14ac:dyDescent="0.25">
      <c r="A12328" s="18">
        <v>2440</v>
      </c>
      <c r="B12328" s="4" t="s">
        <v>44</v>
      </c>
      <c r="C12328" s="38" t="s">
        <v>7071</v>
      </c>
      <c r="D12328" s="18">
        <v>2022</v>
      </c>
      <c r="E12328" s="18" t="s">
        <v>0</v>
      </c>
      <c r="F12328" s="41">
        <v>1</v>
      </c>
      <c r="G12328" s="4">
        <v>15</v>
      </c>
      <c r="H12328" s="18">
        <v>18.79899</v>
      </c>
      <c r="I12328" s="90"/>
      <c r="J12328" s="90"/>
    </row>
    <row r="12329" spans="1:10" s="15" customFormat="1" ht="16.5" hidden="1" customHeight="1" outlineLevel="1" x14ac:dyDescent="0.25">
      <c r="A12329" s="18">
        <v>2441</v>
      </c>
      <c r="B12329" s="4" t="s">
        <v>44</v>
      </c>
      <c r="C12329" s="38" t="s">
        <v>7072</v>
      </c>
      <c r="D12329" s="18">
        <v>2022</v>
      </c>
      <c r="E12329" s="18" t="s">
        <v>0</v>
      </c>
      <c r="F12329" s="41">
        <v>1</v>
      </c>
      <c r="G12329" s="4">
        <v>10</v>
      </c>
      <c r="H12329" s="18">
        <v>20.075470000000003</v>
      </c>
      <c r="I12329" s="90"/>
      <c r="J12329" s="90"/>
    </row>
    <row r="12330" spans="1:10" s="15" customFormat="1" ht="16.5" hidden="1" customHeight="1" outlineLevel="1" x14ac:dyDescent="0.25">
      <c r="A12330" s="18">
        <v>2442</v>
      </c>
      <c r="B12330" s="4" t="s">
        <v>44</v>
      </c>
      <c r="C12330" s="38" t="s">
        <v>7073</v>
      </c>
      <c r="D12330" s="18">
        <v>2022</v>
      </c>
      <c r="E12330" s="18" t="s">
        <v>0</v>
      </c>
      <c r="F12330" s="41">
        <v>1</v>
      </c>
      <c r="G12330" s="4">
        <v>15</v>
      </c>
      <c r="H12330" s="18">
        <v>18.82742</v>
      </c>
      <c r="I12330" s="90"/>
      <c r="J12330" s="90"/>
    </row>
    <row r="12331" spans="1:10" s="15" customFormat="1" ht="16.5" hidden="1" customHeight="1" outlineLevel="1" x14ac:dyDescent="0.25">
      <c r="A12331" s="18">
        <v>2443</v>
      </c>
      <c r="B12331" s="4" t="s">
        <v>44</v>
      </c>
      <c r="C12331" s="38" t="s">
        <v>7074</v>
      </c>
      <c r="D12331" s="18">
        <v>2022</v>
      </c>
      <c r="E12331" s="18" t="s">
        <v>0</v>
      </c>
      <c r="F12331" s="41">
        <v>1</v>
      </c>
      <c r="G12331" s="4">
        <v>10</v>
      </c>
      <c r="H12331" s="18">
        <v>18.827419999999996</v>
      </c>
      <c r="I12331" s="90"/>
      <c r="J12331" s="90"/>
    </row>
    <row r="12332" spans="1:10" s="15" customFormat="1" ht="16.5" hidden="1" customHeight="1" outlineLevel="1" x14ac:dyDescent="0.25">
      <c r="A12332" s="18">
        <v>2444</v>
      </c>
      <c r="B12332" s="4" t="s">
        <v>44</v>
      </c>
      <c r="C12332" s="38" t="s">
        <v>7075</v>
      </c>
      <c r="D12332" s="18">
        <v>2022</v>
      </c>
      <c r="E12332" s="18" t="s">
        <v>0</v>
      </c>
      <c r="F12332" s="41">
        <v>1</v>
      </c>
      <c r="G12332" s="4">
        <v>15</v>
      </c>
      <c r="H12332" s="18">
        <v>17.683330000000002</v>
      </c>
      <c r="I12332" s="90"/>
      <c r="J12332" s="90"/>
    </row>
    <row r="12333" spans="1:10" s="15" customFormat="1" ht="16.5" hidden="1" customHeight="1" outlineLevel="1" x14ac:dyDescent="0.25">
      <c r="A12333" s="18">
        <v>2445</v>
      </c>
      <c r="B12333" s="4" t="s">
        <v>44</v>
      </c>
      <c r="C12333" s="38" t="s">
        <v>7076</v>
      </c>
      <c r="D12333" s="18">
        <v>2022</v>
      </c>
      <c r="E12333" s="18" t="s">
        <v>0</v>
      </c>
      <c r="F12333" s="41">
        <v>1</v>
      </c>
      <c r="G12333" s="4">
        <v>15</v>
      </c>
      <c r="H12333" s="18">
        <v>20.075470000000003</v>
      </c>
      <c r="I12333" s="90"/>
      <c r="J12333" s="90"/>
    </row>
    <row r="12334" spans="1:10" s="15" customFormat="1" ht="16.5" hidden="1" customHeight="1" outlineLevel="1" x14ac:dyDescent="0.25">
      <c r="A12334" s="18">
        <v>2446</v>
      </c>
      <c r="B12334" s="4" t="s">
        <v>44</v>
      </c>
      <c r="C12334" s="38" t="s">
        <v>7077</v>
      </c>
      <c r="D12334" s="18">
        <v>2022</v>
      </c>
      <c r="E12334" s="18" t="s">
        <v>0</v>
      </c>
      <c r="F12334" s="41">
        <v>1</v>
      </c>
      <c r="G12334" s="4">
        <v>15</v>
      </c>
      <c r="H12334" s="18">
        <v>19.86739</v>
      </c>
      <c r="I12334" s="90"/>
      <c r="J12334" s="90"/>
    </row>
    <row r="12335" spans="1:10" s="15" customFormat="1" ht="16.5" hidden="1" customHeight="1" outlineLevel="1" x14ac:dyDescent="0.25">
      <c r="A12335" s="18">
        <v>2447</v>
      </c>
      <c r="B12335" s="4" t="s">
        <v>44</v>
      </c>
      <c r="C12335" s="38" t="s">
        <v>7078</v>
      </c>
      <c r="D12335" s="18">
        <v>2022</v>
      </c>
      <c r="E12335" s="18" t="s">
        <v>0</v>
      </c>
      <c r="F12335" s="41">
        <v>1</v>
      </c>
      <c r="G12335" s="4">
        <v>15</v>
      </c>
      <c r="H12335" s="18">
        <v>18.827419999999996</v>
      </c>
      <c r="I12335" s="90"/>
      <c r="J12335" s="90"/>
    </row>
    <row r="12336" spans="1:10" s="15" customFormat="1" ht="16.5" hidden="1" customHeight="1" outlineLevel="1" x14ac:dyDescent="0.25">
      <c r="A12336" s="18">
        <v>2448</v>
      </c>
      <c r="B12336" s="4" t="s">
        <v>44</v>
      </c>
      <c r="C12336" s="38" t="s">
        <v>7079</v>
      </c>
      <c r="D12336" s="18">
        <v>2022</v>
      </c>
      <c r="E12336" s="18" t="s">
        <v>0</v>
      </c>
      <c r="F12336" s="41">
        <v>1</v>
      </c>
      <c r="G12336" s="4">
        <v>1</v>
      </c>
      <c r="H12336" s="18">
        <v>20.387269999999997</v>
      </c>
      <c r="I12336" s="90"/>
      <c r="J12336" s="90"/>
    </row>
    <row r="12337" spans="1:10" s="15" customFormat="1" ht="16.5" hidden="1" customHeight="1" outlineLevel="1" x14ac:dyDescent="0.25">
      <c r="A12337" s="18">
        <v>2449</v>
      </c>
      <c r="B12337" s="4" t="s">
        <v>44</v>
      </c>
      <c r="C12337" s="38" t="s">
        <v>7080</v>
      </c>
      <c r="D12337" s="18">
        <v>2022</v>
      </c>
      <c r="E12337" s="18" t="s">
        <v>0</v>
      </c>
      <c r="F12337" s="41">
        <v>1</v>
      </c>
      <c r="G12337" s="4">
        <v>15</v>
      </c>
      <c r="H12337" s="18">
        <v>17.683230000000002</v>
      </c>
      <c r="I12337" s="90"/>
      <c r="J12337" s="90"/>
    </row>
    <row r="12338" spans="1:10" s="15" customFormat="1" ht="16.5" hidden="1" customHeight="1" outlineLevel="1" x14ac:dyDescent="0.25">
      <c r="A12338" s="18">
        <v>2450</v>
      </c>
      <c r="B12338" s="4" t="s">
        <v>44</v>
      </c>
      <c r="C12338" s="38" t="s">
        <v>7081</v>
      </c>
      <c r="D12338" s="18">
        <v>2022</v>
      </c>
      <c r="E12338" s="18" t="s">
        <v>0</v>
      </c>
      <c r="F12338" s="41">
        <v>1</v>
      </c>
      <c r="G12338" s="4">
        <v>15</v>
      </c>
      <c r="H12338" s="18">
        <v>18.252939999999999</v>
      </c>
      <c r="I12338" s="90"/>
      <c r="J12338" s="90"/>
    </row>
    <row r="12339" spans="1:10" s="15" customFormat="1" ht="16.5" hidden="1" customHeight="1" outlineLevel="1" x14ac:dyDescent="0.25">
      <c r="A12339" s="18">
        <v>2451</v>
      </c>
      <c r="B12339" s="4" t="s">
        <v>44</v>
      </c>
      <c r="C12339" s="38" t="s">
        <v>7082</v>
      </c>
      <c r="D12339" s="18">
        <v>2022</v>
      </c>
      <c r="E12339" s="18" t="s">
        <v>0</v>
      </c>
      <c r="F12339" s="41">
        <v>1</v>
      </c>
      <c r="G12339" s="4">
        <v>15</v>
      </c>
      <c r="H12339" s="18">
        <v>18.092880000000001</v>
      </c>
      <c r="I12339" s="90"/>
      <c r="J12339" s="90"/>
    </row>
    <row r="12340" spans="1:10" s="15" customFormat="1" ht="16.5" hidden="1" customHeight="1" outlineLevel="1" x14ac:dyDescent="0.25">
      <c r="A12340" s="18">
        <v>2452</v>
      </c>
      <c r="B12340" s="4" t="s">
        <v>44</v>
      </c>
      <c r="C12340" s="38" t="s">
        <v>7083</v>
      </c>
      <c r="D12340" s="18">
        <v>2022</v>
      </c>
      <c r="E12340" s="18" t="s">
        <v>0</v>
      </c>
      <c r="F12340" s="41">
        <v>1</v>
      </c>
      <c r="G12340" s="4">
        <v>3</v>
      </c>
      <c r="H12340" s="18">
        <v>20.27711</v>
      </c>
      <c r="I12340" s="90"/>
      <c r="J12340" s="90"/>
    </row>
    <row r="12341" spans="1:10" s="15" customFormat="1" ht="16.5" hidden="1" customHeight="1" outlineLevel="1" x14ac:dyDescent="0.25">
      <c r="A12341" s="18">
        <v>2453</v>
      </c>
      <c r="B12341" s="4" t="s">
        <v>44</v>
      </c>
      <c r="C12341" s="38" t="s">
        <v>7084</v>
      </c>
      <c r="D12341" s="18">
        <v>2022</v>
      </c>
      <c r="E12341" s="18" t="s">
        <v>0</v>
      </c>
      <c r="F12341" s="41">
        <v>1</v>
      </c>
      <c r="G12341" s="4">
        <v>15</v>
      </c>
      <c r="H12341" s="18">
        <v>21.421950000000002</v>
      </c>
      <c r="I12341" s="90"/>
      <c r="J12341" s="90"/>
    </row>
    <row r="12342" spans="1:10" s="15" customFormat="1" ht="16.5" hidden="1" customHeight="1" outlineLevel="1" x14ac:dyDescent="0.25">
      <c r="A12342" s="18">
        <v>1937</v>
      </c>
      <c r="B12342" s="4" t="s">
        <v>44</v>
      </c>
      <c r="C12342" s="38" t="s">
        <v>3032</v>
      </c>
      <c r="D12342" s="18">
        <v>2022</v>
      </c>
      <c r="E12342" s="18" t="s">
        <v>0</v>
      </c>
      <c r="F12342" s="41">
        <v>1</v>
      </c>
      <c r="G12342" s="4">
        <v>40</v>
      </c>
      <c r="H12342" s="18">
        <v>25.166</v>
      </c>
      <c r="I12342" s="90"/>
      <c r="J12342" s="90"/>
    </row>
    <row r="12343" spans="1:10" s="15" customFormat="1" ht="16.5" hidden="1" customHeight="1" outlineLevel="1" x14ac:dyDescent="0.25">
      <c r="A12343" s="18">
        <v>2072</v>
      </c>
      <c r="B12343" s="4" t="s">
        <v>44</v>
      </c>
      <c r="C12343" s="38" t="s">
        <v>3034</v>
      </c>
      <c r="D12343" s="18">
        <v>2022</v>
      </c>
      <c r="E12343" s="18" t="s">
        <v>0</v>
      </c>
      <c r="F12343" s="41">
        <v>1</v>
      </c>
      <c r="G12343" s="4">
        <v>15</v>
      </c>
      <c r="H12343" s="18">
        <v>26.568000000000001</v>
      </c>
      <c r="I12343" s="90"/>
      <c r="J12343" s="90"/>
    </row>
    <row r="12344" spans="1:10" s="15" customFormat="1" ht="16.5" hidden="1" customHeight="1" outlineLevel="1" x14ac:dyDescent="0.25">
      <c r="A12344" s="18">
        <v>2073</v>
      </c>
      <c r="B12344" s="4" t="s">
        <v>44</v>
      </c>
      <c r="C12344" s="38" t="s">
        <v>3035</v>
      </c>
      <c r="D12344" s="18">
        <v>2022</v>
      </c>
      <c r="E12344" s="18" t="s">
        <v>0</v>
      </c>
      <c r="F12344" s="41">
        <v>1</v>
      </c>
      <c r="G12344" s="4">
        <v>15</v>
      </c>
      <c r="H12344" s="18">
        <v>37.318999999999996</v>
      </c>
      <c r="I12344" s="90"/>
      <c r="J12344" s="90"/>
    </row>
    <row r="12345" spans="1:10" s="15" customFormat="1" ht="16.5" hidden="1" customHeight="1" outlineLevel="1" x14ac:dyDescent="0.25">
      <c r="A12345" s="18">
        <v>2171</v>
      </c>
      <c r="B12345" s="4" t="s">
        <v>44</v>
      </c>
      <c r="C12345" s="38" t="s">
        <v>7085</v>
      </c>
      <c r="D12345" s="18">
        <v>2022</v>
      </c>
      <c r="E12345" s="18" t="s">
        <v>0</v>
      </c>
      <c r="F12345" s="41">
        <v>1</v>
      </c>
      <c r="G12345" s="4">
        <v>15</v>
      </c>
      <c r="H12345" s="18">
        <v>22.96049</v>
      </c>
      <c r="I12345" s="90"/>
      <c r="J12345" s="90"/>
    </row>
    <row r="12346" spans="1:10" s="15" customFormat="1" ht="16.5" hidden="1" customHeight="1" outlineLevel="1" x14ac:dyDescent="0.25">
      <c r="A12346" s="18">
        <v>2181</v>
      </c>
      <c r="B12346" s="4" t="s">
        <v>44</v>
      </c>
      <c r="C12346" s="38" t="s">
        <v>7086</v>
      </c>
      <c r="D12346" s="18">
        <v>2022</v>
      </c>
      <c r="E12346" s="18" t="s">
        <v>0</v>
      </c>
      <c r="F12346" s="41">
        <v>1</v>
      </c>
      <c r="G12346" s="4">
        <v>12</v>
      </c>
      <c r="H12346" s="18">
        <v>22.960380000000001</v>
      </c>
      <c r="I12346" s="90"/>
      <c r="J12346" s="90"/>
    </row>
    <row r="12347" spans="1:10" s="15" customFormat="1" ht="16.5" hidden="1" customHeight="1" outlineLevel="1" x14ac:dyDescent="0.25">
      <c r="A12347" s="18">
        <v>2184</v>
      </c>
      <c r="B12347" s="4" t="s">
        <v>44</v>
      </c>
      <c r="C12347" s="38" t="s">
        <v>7087</v>
      </c>
      <c r="D12347" s="18">
        <v>2022</v>
      </c>
      <c r="E12347" s="18" t="s">
        <v>0</v>
      </c>
      <c r="F12347" s="41">
        <v>1</v>
      </c>
      <c r="G12347" s="4">
        <v>15</v>
      </c>
      <c r="H12347" s="18">
        <v>23.452880000000004</v>
      </c>
      <c r="I12347" s="90"/>
      <c r="J12347" s="90"/>
    </row>
    <row r="12348" spans="1:10" s="15" customFormat="1" ht="16.5" hidden="1" customHeight="1" outlineLevel="1" x14ac:dyDescent="0.25">
      <c r="A12348" s="18">
        <v>2185</v>
      </c>
      <c r="B12348" s="4" t="s">
        <v>44</v>
      </c>
      <c r="C12348" s="38" t="s">
        <v>7088</v>
      </c>
      <c r="D12348" s="18">
        <v>2022</v>
      </c>
      <c r="E12348" s="18" t="s">
        <v>0</v>
      </c>
      <c r="F12348" s="41">
        <v>1</v>
      </c>
      <c r="G12348" s="4">
        <v>15</v>
      </c>
      <c r="H12348" s="18">
        <v>22.960380000000001</v>
      </c>
      <c r="I12348" s="90"/>
      <c r="J12348" s="90"/>
    </row>
    <row r="12349" spans="1:10" s="15" customFormat="1" ht="16.5" hidden="1" customHeight="1" outlineLevel="1" x14ac:dyDescent="0.25">
      <c r="A12349" s="18">
        <v>2191</v>
      </c>
      <c r="B12349" s="4" t="s">
        <v>44</v>
      </c>
      <c r="C12349" s="38" t="s">
        <v>7089</v>
      </c>
      <c r="D12349" s="18">
        <v>2022</v>
      </c>
      <c r="E12349" s="18" t="s">
        <v>0</v>
      </c>
      <c r="F12349" s="41">
        <v>1</v>
      </c>
      <c r="G12349" s="4">
        <v>14</v>
      </c>
      <c r="H12349" s="18">
        <v>24.191599999999998</v>
      </c>
      <c r="I12349" s="90"/>
      <c r="J12349" s="90"/>
    </row>
    <row r="12350" spans="1:10" s="15" customFormat="1" ht="16.5" hidden="1" customHeight="1" outlineLevel="1" x14ac:dyDescent="0.25">
      <c r="A12350" s="18">
        <v>2194</v>
      </c>
      <c r="B12350" s="4" t="s">
        <v>44</v>
      </c>
      <c r="C12350" s="38" t="s">
        <v>7090</v>
      </c>
      <c r="D12350" s="18">
        <v>2022</v>
      </c>
      <c r="E12350" s="18" t="s">
        <v>0</v>
      </c>
      <c r="F12350" s="41">
        <v>1</v>
      </c>
      <c r="G12350" s="4">
        <v>15</v>
      </c>
      <c r="H12350" s="18">
        <v>22.960369999999998</v>
      </c>
      <c r="I12350" s="90"/>
      <c r="J12350" s="90"/>
    </row>
    <row r="12351" spans="1:10" s="15" customFormat="1" ht="16.5" hidden="1" customHeight="1" outlineLevel="1" x14ac:dyDescent="0.25">
      <c r="A12351" s="18">
        <v>2195</v>
      </c>
      <c r="B12351" s="4" t="s">
        <v>44</v>
      </c>
      <c r="C12351" s="38" t="s">
        <v>7091</v>
      </c>
      <c r="D12351" s="18">
        <v>2022</v>
      </c>
      <c r="E12351" s="18" t="s">
        <v>0</v>
      </c>
      <c r="F12351" s="41">
        <v>1</v>
      </c>
      <c r="G12351" s="4">
        <v>3</v>
      </c>
      <c r="H12351" s="18">
        <v>22.960450000000002</v>
      </c>
      <c r="I12351" s="90"/>
      <c r="J12351" s="90"/>
    </row>
    <row r="12352" spans="1:10" s="15" customFormat="1" ht="16.5" hidden="1" customHeight="1" outlineLevel="1" x14ac:dyDescent="0.25">
      <c r="A12352" s="18">
        <v>2198</v>
      </c>
      <c r="B12352" s="4" t="s">
        <v>44</v>
      </c>
      <c r="C12352" s="38" t="s">
        <v>7092</v>
      </c>
      <c r="D12352" s="18">
        <v>2022</v>
      </c>
      <c r="E12352" s="18" t="s">
        <v>0</v>
      </c>
      <c r="F12352" s="41">
        <v>1</v>
      </c>
      <c r="G12352" s="4">
        <v>15</v>
      </c>
      <c r="H12352" s="18">
        <v>22.960369999999998</v>
      </c>
      <c r="I12352" s="90"/>
      <c r="J12352" s="90"/>
    </row>
    <row r="12353" spans="1:10" s="15" customFormat="1" ht="16.5" hidden="1" customHeight="1" outlineLevel="1" x14ac:dyDescent="0.25">
      <c r="A12353" s="18">
        <v>2199</v>
      </c>
      <c r="B12353" s="4" t="s">
        <v>44</v>
      </c>
      <c r="C12353" s="38" t="s">
        <v>7093</v>
      </c>
      <c r="D12353" s="18">
        <v>2022</v>
      </c>
      <c r="E12353" s="18" t="s">
        <v>0</v>
      </c>
      <c r="F12353" s="41">
        <v>1</v>
      </c>
      <c r="G12353" s="4">
        <v>8</v>
      </c>
      <c r="H12353" s="18">
        <v>22.960429999999999</v>
      </c>
      <c r="I12353" s="90"/>
      <c r="J12353" s="90"/>
    </row>
    <row r="12354" spans="1:10" s="15" customFormat="1" ht="16.5" hidden="1" customHeight="1" outlineLevel="1" x14ac:dyDescent="0.25">
      <c r="A12354" s="18">
        <v>2218</v>
      </c>
      <c r="B12354" s="4" t="s">
        <v>44</v>
      </c>
      <c r="C12354" s="38" t="s">
        <v>7094</v>
      </c>
      <c r="D12354" s="18">
        <v>2022</v>
      </c>
      <c r="E12354" s="18" t="s">
        <v>0</v>
      </c>
      <c r="F12354" s="41">
        <v>1</v>
      </c>
      <c r="G12354" s="4">
        <v>9</v>
      </c>
      <c r="H12354" s="18">
        <v>23.57602</v>
      </c>
      <c r="I12354" s="90"/>
      <c r="J12354" s="90"/>
    </row>
    <row r="12355" spans="1:10" s="15" customFormat="1" ht="16.5" hidden="1" customHeight="1" outlineLevel="1" x14ac:dyDescent="0.25">
      <c r="A12355" s="18">
        <v>2249</v>
      </c>
      <c r="B12355" s="4" t="s">
        <v>44</v>
      </c>
      <c r="C12355" s="38" t="s">
        <v>3036</v>
      </c>
      <c r="D12355" s="18">
        <v>2022</v>
      </c>
      <c r="E12355" s="18" t="s">
        <v>0</v>
      </c>
      <c r="F12355" s="41">
        <v>1</v>
      </c>
      <c r="G12355" s="4">
        <v>15</v>
      </c>
      <c r="H12355" s="18">
        <v>28.934000000000001</v>
      </c>
      <c r="I12355" s="90"/>
      <c r="J12355" s="90"/>
    </row>
    <row r="12356" spans="1:10" s="15" customFormat="1" ht="16.5" hidden="1" customHeight="1" outlineLevel="1" x14ac:dyDescent="0.25">
      <c r="A12356" s="18">
        <v>2257</v>
      </c>
      <c r="B12356" s="4" t="s">
        <v>44</v>
      </c>
      <c r="C12356" s="38" t="s">
        <v>7095</v>
      </c>
      <c r="D12356" s="18">
        <v>2022</v>
      </c>
      <c r="E12356" s="18" t="s">
        <v>0</v>
      </c>
      <c r="F12356" s="41">
        <v>1</v>
      </c>
      <c r="G12356" s="4">
        <v>15</v>
      </c>
      <c r="H12356" s="18">
        <v>22.960479999999997</v>
      </c>
      <c r="I12356" s="90"/>
      <c r="J12356" s="90"/>
    </row>
    <row r="12357" spans="1:10" s="15" customFormat="1" ht="16.5" hidden="1" customHeight="1" outlineLevel="1" x14ac:dyDescent="0.25">
      <c r="A12357" s="18">
        <v>2259</v>
      </c>
      <c r="B12357" s="4" t="s">
        <v>44</v>
      </c>
      <c r="C12357" s="38" t="s">
        <v>7096</v>
      </c>
      <c r="D12357" s="18">
        <v>2022</v>
      </c>
      <c r="E12357" s="18" t="s">
        <v>0</v>
      </c>
      <c r="F12357" s="41">
        <v>1</v>
      </c>
      <c r="G12357" s="4">
        <v>15</v>
      </c>
      <c r="H12357" s="18">
        <v>22.960359999999998</v>
      </c>
      <c r="I12357" s="90"/>
      <c r="J12357" s="90"/>
    </row>
    <row r="12358" spans="1:10" s="15" customFormat="1" ht="16.5" hidden="1" customHeight="1" outlineLevel="1" x14ac:dyDescent="0.25">
      <c r="A12358" s="18">
        <v>2266</v>
      </c>
      <c r="B12358" s="4" t="s">
        <v>44</v>
      </c>
      <c r="C12358" s="38" t="s">
        <v>7097</v>
      </c>
      <c r="D12358" s="18">
        <v>2022</v>
      </c>
      <c r="E12358" s="18" t="s">
        <v>0</v>
      </c>
      <c r="F12358" s="41">
        <v>1</v>
      </c>
      <c r="G12358" s="4">
        <v>15</v>
      </c>
      <c r="H12358" s="18">
        <v>23.576009999999997</v>
      </c>
      <c r="I12358" s="90"/>
      <c r="J12358" s="90"/>
    </row>
    <row r="12359" spans="1:10" s="15" customFormat="1" ht="16.5" hidden="1" customHeight="1" outlineLevel="1" x14ac:dyDescent="0.25">
      <c r="A12359" s="18">
        <v>2267</v>
      </c>
      <c r="B12359" s="4" t="s">
        <v>44</v>
      </c>
      <c r="C12359" s="38" t="s">
        <v>7098</v>
      </c>
      <c r="D12359" s="18">
        <v>2022</v>
      </c>
      <c r="E12359" s="18" t="s">
        <v>0</v>
      </c>
      <c r="F12359" s="41">
        <v>1</v>
      </c>
      <c r="G12359" s="4">
        <v>15</v>
      </c>
      <c r="H12359" s="18">
        <v>23.576009999999997</v>
      </c>
      <c r="I12359" s="90"/>
      <c r="J12359" s="90"/>
    </row>
    <row r="12360" spans="1:10" s="15" customFormat="1" ht="16.5" hidden="1" customHeight="1" outlineLevel="1" x14ac:dyDescent="0.25">
      <c r="A12360" s="18">
        <v>2268</v>
      </c>
      <c r="B12360" s="4" t="s">
        <v>44</v>
      </c>
      <c r="C12360" s="38" t="s">
        <v>7099</v>
      </c>
      <c r="D12360" s="18">
        <v>2022</v>
      </c>
      <c r="E12360" s="18" t="s">
        <v>0</v>
      </c>
      <c r="F12360" s="41">
        <v>1</v>
      </c>
      <c r="G12360" s="4">
        <v>10</v>
      </c>
      <c r="H12360" s="18">
        <v>24.191549999999999</v>
      </c>
      <c r="I12360" s="90"/>
      <c r="J12360" s="90"/>
    </row>
    <row r="12361" spans="1:10" s="15" customFormat="1" ht="16.5" hidden="1" customHeight="1" outlineLevel="1" x14ac:dyDescent="0.25">
      <c r="A12361" s="18">
        <v>2271</v>
      </c>
      <c r="B12361" s="4" t="s">
        <v>44</v>
      </c>
      <c r="C12361" s="38" t="s">
        <v>7100</v>
      </c>
      <c r="D12361" s="18">
        <v>2022</v>
      </c>
      <c r="E12361" s="18" t="s">
        <v>0</v>
      </c>
      <c r="F12361" s="41">
        <v>1</v>
      </c>
      <c r="G12361" s="4">
        <v>15</v>
      </c>
      <c r="H12361" s="18">
        <v>21.85238</v>
      </c>
      <c r="I12361" s="90"/>
      <c r="J12361" s="90"/>
    </row>
    <row r="12362" spans="1:10" s="15" customFormat="1" ht="16.5" hidden="1" customHeight="1" outlineLevel="1" x14ac:dyDescent="0.25">
      <c r="A12362" s="18">
        <v>2273</v>
      </c>
      <c r="B12362" s="4" t="s">
        <v>44</v>
      </c>
      <c r="C12362" s="38" t="s">
        <v>7101</v>
      </c>
      <c r="D12362" s="18">
        <v>2022</v>
      </c>
      <c r="E12362" s="18" t="s">
        <v>0</v>
      </c>
      <c r="F12362" s="41">
        <v>1</v>
      </c>
      <c r="G12362" s="4">
        <v>10</v>
      </c>
      <c r="H12362" s="18">
        <v>22.960369999999998</v>
      </c>
      <c r="I12362" s="90"/>
      <c r="J12362" s="90"/>
    </row>
    <row r="12363" spans="1:10" s="15" customFormat="1" ht="16.5" hidden="1" customHeight="1" outlineLevel="1" x14ac:dyDescent="0.25">
      <c r="A12363" s="18">
        <v>2274</v>
      </c>
      <c r="B12363" s="4" t="s">
        <v>44</v>
      </c>
      <c r="C12363" s="38" t="s">
        <v>7102</v>
      </c>
      <c r="D12363" s="18">
        <v>2022</v>
      </c>
      <c r="E12363" s="18" t="s">
        <v>0</v>
      </c>
      <c r="F12363" s="41">
        <v>1</v>
      </c>
      <c r="G12363" s="4">
        <v>7</v>
      </c>
      <c r="H12363" s="18">
        <v>24.19154</v>
      </c>
      <c r="I12363" s="90"/>
      <c r="J12363" s="90"/>
    </row>
    <row r="12364" spans="1:10" s="15" customFormat="1" ht="16.5" hidden="1" customHeight="1" outlineLevel="1" x14ac:dyDescent="0.25">
      <c r="A12364" s="18">
        <v>2275</v>
      </c>
      <c r="B12364" s="4" t="s">
        <v>44</v>
      </c>
      <c r="C12364" s="38" t="s">
        <v>7103</v>
      </c>
      <c r="D12364" s="18">
        <v>2022</v>
      </c>
      <c r="E12364" s="18" t="s">
        <v>0</v>
      </c>
      <c r="F12364" s="41">
        <v>1</v>
      </c>
      <c r="G12364" s="4">
        <v>7</v>
      </c>
      <c r="H12364" s="18">
        <v>22.960380000000001</v>
      </c>
      <c r="I12364" s="90"/>
      <c r="J12364" s="90"/>
    </row>
    <row r="12365" spans="1:10" s="15" customFormat="1" ht="16.5" hidden="1" customHeight="1" outlineLevel="1" x14ac:dyDescent="0.25">
      <c r="A12365" s="18">
        <v>2276</v>
      </c>
      <c r="B12365" s="4" t="s">
        <v>44</v>
      </c>
      <c r="C12365" s="38" t="s">
        <v>7104</v>
      </c>
      <c r="D12365" s="18">
        <v>2022</v>
      </c>
      <c r="E12365" s="18" t="s">
        <v>0</v>
      </c>
      <c r="F12365" s="41">
        <v>1</v>
      </c>
      <c r="G12365" s="4">
        <v>15</v>
      </c>
      <c r="H12365" s="18">
        <v>22.960419999999999</v>
      </c>
      <c r="I12365" s="90"/>
      <c r="J12365" s="90"/>
    </row>
    <row r="12366" spans="1:10" s="15" customFormat="1" ht="16.5" hidden="1" customHeight="1" outlineLevel="1" x14ac:dyDescent="0.25">
      <c r="A12366" s="18">
        <v>2277</v>
      </c>
      <c r="B12366" s="4" t="s">
        <v>44</v>
      </c>
      <c r="C12366" s="38" t="s">
        <v>7105</v>
      </c>
      <c r="D12366" s="18">
        <v>2022</v>
      </c>
      <c r="E12366" s="18" t="s">
        <v>0</v>
      </c>
      <c r="F12366" s="41">
        <v>1</v>
      </c>
      <c r="G12366" s="4">
        <v>15</v>
      </c>
      <c r="H12366" s="18">
        <v>22.960380000000001</v>
      </c>
      <c r="I12366" s="90"/>
      <c r="J12366" s="90"/>
    </row>
    <row r="12367" spans="1:10" s="15" customFormat="1" ht="16.5" hidden="1" customHeight="1" outlineLevel="1" x14ac:dyDescent="0.25">
      <c r="A12367" s="18">
        <v>2278</v>
      </c>
      <c r="B12367" s="4" t="s">
        <v>44</v>
      </c>
      <c r="C12367" s="38" t="s">
        <v>7106</v>
      </c>
      <c r="D12367" s="18">
        <v>2022</v>
      </c>
      <c r="E12367" s="18" t="s">
        <v>0</v>
      </c>
      <c r="F12367" s="41">
        <v>1</v>
      </c>
      <c r="G12367" s="4">
        <v>9</v>
      </c>
      <c r="H12367" s="18">
        <v>23.576009999999997</v>
      </c>
      <c r="I12367" s="90"/>
      <c r="J12367" s="90"/>
    </row>
    <row r="12368" spans="1:10" s="15" customFormat="1" ht="16.5" hidden="1" customHeight="1" outlineLevel="1" x14ac:dyDescent="0.25">
      <c r="A12368" s="18">
        <v>2280</v>
      </c>
      <c r="B12368" s="4" t="s">
        <v>44</v>
      </c>
      <c r="C12368" s="38" t="s">
        <v>7107</v>
      </c>
      <c r="D12368" s="18">
        <v>2022</v>
      </c>
      <c r="E12368" s="18" t="s">
        <v>0</v>
      </c>
      <c r="F12368" s="41">
        <v>1</v>
      </c>
      <c r="G12368" s="4">
        <v>15</v>
      </c>
      <c r="H12368" s="18">
        <v>22.960429999999999</v>
      </c>
      <c r="I12368" s="90"/>
      <c r="J12368" s="90"/>
    </row>
    <row r="12369" spans="1:10" s="15" customFormat="1" ht="16.5" hidden="1" customHeight="1" outlineLevel="1" x14ac:dyDescent="0.25">
      <c r="A12369" s="18">
        <v>2283</v>
      </c>
      <c r="B12369" s="4" t="s">
        <v>44</v>
      </c>
      <c r="C12369" s="38" t="s">
        <v>7108</v>
      </c>
      <c r="D12369" s="18">
        <v>2022</v>
      </c>
      <c r="E12369" s="18" t="s">
        <v>0</v>
      </c>
      <c r="F12369" s="41">
        <v>1</v>
      </c>
      <c r="G12369" s="4">
        <v>15</v>
      </c>
      <c r="H12369" s="18">
        <v>22.960369999999998</v>
      </c>
      <c r="I12369" s="90"/>
      <c r="J12369" s="90"/>
    </row>
    <row r="12370" spans="1:10" s="15" customFormat="1" ht="16.5" hidden="1" customHeight="1" outlineLevel="1" x14ac:dyDescent="0.25">
      <c r="A12370" s="18">
        <v>2284</v>
      </c>
      <c r="B12370" s="4" t="s">
        <v>44</v>
      </c>
      <c r="C12370" s="38" t="s">
        <v>7109</v>
      </c>
      <c r="D12370" s="18">
        <v>2022</v>
      </c>
      <c r="E12370" s="18" t="s">
        <v>0</v>
      </c>
      <c r="F12370" s="41">
        <v>1</v>
      </c>
      <c r="G12370" s="4">
        <v>15</v>
      </c>
      <c r="H12370" s="18">
        <v>22.960380000000001</v>
      </c>
      <c r="I12370" s="90"/>
      <c r="J12370" s="90"/>
    </row>
    <row r="12371" spans="1:10" s="15" customFormat="1" ht="16.5" hidden="1" customHeight="1" outlineLevel="1" x14ac:dyDescent="0.25">
      <c r="A12371" s="18">
        <v>2286</v>
      </c>
      <c r="B12371" s="4" t="s">
        <v>44</v>
      </c>
      <c r="C12371" s="38" t="s">
        <v>7110</v>
      </c>
      <c r="D12371" s="18">
        <v>2022</v>
      </c>
      <c r="E12371" s="18" t="s">
        <v>0</v>
      </c>
      <c r="F12371" s="41">
        <v>1</v>
      </c>
      <c r="G12371" s="4">
        <v>15</v>
      </c>
      <c r="H12371" s="18">
        <v>22.960380000000001</v>
      </c>
      <c r="I12371" s="90"/>
      <c r="J12371" s="90"/>
    </row>
    <row r="12372" spans="1:10" s="15" customFormat="1" ht="16.5" hidden="1" customHeight="1" outlineLevel="1" x14ac:dyDescent="0.25">
      <c r="A12372" s="18">
        <v>2287</v>
      </c>
      <c r="B12372" s="4" t="s">
        <v>44</v>
      </c>
      <c r="C12372" s="38" t="s">
        <v>7111</v>
      </c>
      <c r="D12372" s="18">
        <v>2022</v>
      </c>
      <c r="E12372" s="18" t="s">
        <v>0</v>
      </c>
      <c r="F12372" s="41">
        <v>1</v>
      </c>
      <c r="G12372" s="4">
        <v>15</v>
      </c>
      <c r="H12372" s="18">
        <v>22.960380000000001</v>
      </c>
      <c r="I12372" s="90"/>
      <c r="J12372" s="90"/>
    </row>
    <row r="12373" spans="1:10" s="15" customFormat="1" ht="16.5" hidden="1" customHeight="1" outlineLevel="1" x14ac:dyDescent="0.25">
      <c r="A12373" s="18">
        <v>2289</v>
      </c>
      <c r="B12373" s="4" t="s">
        <v>44</v>
      </c>
      <c r="C12373" s="38" t="s">
        <v>7112</v>
      </c>
      <c r="D12373" s="18">
        <v>2022</v>
      </c>
      <c r="E12373" s="18" t="s">
        <v>0</v>
      </c>
      <c r="F12373" s="41">
        <v>1</v>
      </c>
      <c r="G12373" s="4">
        <v>15</v>
      </c>
      <c r="H12373" s="18">
        <v>22.96039</v>
      </c>
      <c r="I12373" s="90"/>
      <c r="J12373" s="90"/>
    </row>
    <row r="12374" spans="1:10" s="15" customFormat="1" ht="16.5" hidden="1" customHeight="1" outlineLevel="1" x14ac:dyDescent="0.25">
      <c r="A12374" s="18">
        <v>2290</v>
      </c>
      <c r="B12374" s="4" t="s">
        <v>44</v>
      </c>
      <c r="C12374" s="38" t="s">
        <v>7113</v>
      </c>
      <c r="D12374" s="18">
        <v>2022</v>
      </c>
      <c r="E12374" s="18" t="s">
        <v>0</v>
      </c>
      <c r="F12374" s="41">
        <v>1</v>
      </c>
      <c r="G12374" s="4">
        <v>15</v>
      </c>
      <c r="H12374" s="18">
        <v>22.960369999999998</v>
      </c>
      <c r="I12374" s="90"/>
      <c r="J12374" s="90"/>
    </row>
    <row r="12375" spans="1:10" s="15" customFormat="1" ht="16.5" hidden="1" customHeight="1" outlineLevel="1" x14ac:dyDescent="0.25">
      <c r="A12375" s="18">
        <v>2292</v>
      </c>
      <c r="B12375" s="4" t="s">
        <v>44</v>
      </c>
      <c r="C12375" s="38" t="s">
        <v>7114</v>
      </c>
      <c r="D12375" s="18">
        <v>2022</v>
      </c>
      <c r="E12375" s="18" t="s">
        <v>0</v>
      </c>
      <c r="F12375" s="41">
        <v>1</v>
      </c>
      <c r="G12375" s="4">
        <v>15</v>
      </c>
      <c r="H12375" s="18">
        <v>22.960380000000001</v>
      </c>
      <c r="I12375" s="90"/>
      <c r="J12375" s="90"/>
    </row>
    <row r="12376" spans="1:10" s="15" customFormat="1" ht="16.5" hidden="1" customHeight="1" outlineLevel="1" x14ac:dyDescent="0.25">
      <c r="A12376" s="18">
        <v>2294</v>
      </c>
      <c r="B12376" s="4" t="s">
        <v>44</v>
      </c>
      <c r="C12376" s="38" t="s">
        <v>7115</v>
      </c>
      <c r="D12376" s="18">
        <v>2022</v>
      </c>
      <c r="E12376" s="18" t="s">
        <v>0</v>
      </c>
      <c r="F12376" s="41">
        <v>1</v>
      </c>
      <c r="G12376" s="4">
        <v>10</v>
      </c>
      <c r="H12376" s="18">
        <v>22.960369999999998</v>
      </c>
      <c r="I12376" s="90"/>
      <c r="J12376" s="90"/>
    </row>
    <row r="12377" spans="1:10" s="15" customFormat="1" ht="16.5" hidden="1" customHeight="1" outlineLevel="1" x14ac:dyDescent="0.25">
      <c r="A12377" s="18">
        <v>2304</v>
      </c>
      <c r="B12377" s="4" t="s">
        <v>44</v>
      </c>
      <c r="C12377" s="38" t="s">
        <v>7116</v>
      </c>
      <c r="D12377" s="18">
        <v>2022</v>
      </c>
      <c r="E12377" s="18" t="s">
        <v>0</v>
      </c>
      <c r="F12377" s="41">
        <v>1</v>
      </c>
      <c r="G12377" s="4">
        <v>10</v>
      </c>
      <c r="H12377" s="18">
        <v>31.474669999999996</v>
      </c>
      <c r="I12377" s="90"/>
      <c r="J12377" s="90"/>
    </row>
    <row r="12378" spans="1:10" s="15" customFormat="1" ht="16.5" hidden="1" customHeight="1" outlineLevel="1" x14ac:dyDescent="0.25">
      <c r="A12378" s="18">
        <v>2317</v>
      </c>
      <c r="B12378" s="4" t="s">
        <v>44</v>
      </c>
      <c r="C12378" s="38" t="s">
        <v>3038</v>
      </c>
      <c r="D12378" s="18">
        <v>2022</v>
      </c>
      <c r="E12378" s="18" t="s">
        <v>0</v>
      </c>
      <c r="F12378" s="41">
        <v>1</v>
      </c>
      <c r="G12378" s="4">
        <v>15</v>
      </c>
      <c r="H12378" s="18">
        <v>28.213069999999998</v>
      </c>
      <c r="I12378" s="90"/>
      <c r="J12378" s="90"/>
    </row>
    <row r="12379" spans="1:10" s="15" customFormat="1" ht="16.5" hidden="1" customHeight="1" outlineLevel="1" x14ac:dyDescent="0.25">
      <c r="A12379" s="18">
        <v>2356</v>
      </c>
      <c r="B12379" s="4" t="s">
        <v>44</v>
      </c>
      <c r="C12379" s="38" t="s">
        <v>7117</v>
      </c>
      <c r="D12379" s="18">
        <v>2022</v>
      </c>
      <c r="E12379" s="18" t="s">
        <v>0</v>
      </c>
      <c r="F12379" s="41">
        <v>1</v>
      </c>
      <c r="G12379" s="4">
        <v>10</v>
      </c>
      <c r="H12379" s="18">
        <v>35.151949999999992</v>
      </c>
      <c r="I12379" s="90"/>
      <c r="J12379" s="90"/>
    </row>
    <row r="12380" spans="1:10" s="15" customFormat="1" ht="16.5" hidden="1" customHeight="1" outlineLevel="1" x14ac:dyDescent="0.25">
      <c r="A12380" s="18">
        <v>2363</v>
      </c>
      <c r="B12380" s="4" t="s">
        <v>44</v>
      </c>
      <c r="C12380" s="38" t="s">
        <v>3039</v>
      </c>
      <c r="D12380" s="18">
        <v>2022</v>
      </c>
      <c r="E12380" s="18" t="s">
        <v>0</v>
      </c>
      <c r="F12380" s="41">
        <v>1</v>
      </c>
      <c r="G12380" s="4">
        <v>15</v>
      </c>
      <c r="H12380" s="18">
        <v>25.719720000000002</v>
      </c>
      <c r="I12380" s="90"/>
      <c r="J12380" s="90"/>
    </row>
    <row r="12381" spans="1:10" s="15" customFormat="1" ht="16.5" hidden="1" customHeight="1" outlineLevel="1" x14ac:dyDescent="0.25">
      <c r="A12381" s="18">
        <v>2398</v>
      </c>
      <c r="B12381" s="4" t="s">
        <v>44</v>
      </c>
      <c r="C12381" s="38" t="s">
        <v>7118</v>
      </c>
      <c r="D12381" s="18">
        <v>2022</v>
      </c>
      <c r="E12381" s="18" t="s">
        <v>0</v>
      </c>
      <c r="F12381" s="41">
        <v>1</v>
      </c>
      <c r="G12381" s="4">
        <v>85</v>
      </c>
      <c r="H12381" s="18">
        <v>53.759389999999996</v>
      </c>
      <c r="I12381" s="90"/>
      <c r="J12381" s="90"/>
    </row>
    <row r="12382" spans="1:10" s="15" customFormat="1" ht="16.5" hidden="1" customHeight="1" outlineLevel="1" x14ac:dyDescent="0.25">
      <c r="A12382" s="18">
        <v>2404</v>
      </c>
      <c r="B12382" s="4" t="s">
        <v>44</v>
      </c>
      <c r="C12382" s="38" t="s">
        <v>7119</v>
      </c>
      <c r="D12382" s="18">
        <v>2022</v>
      </c>
      <c r="E12382" s="18" t="s">
        <v>0</v>
      </c>
      <c r="F12382" s="41">
        <v>1</v>
      </c>
      <c r="G12382" s="4">
        <v>15</v>
      </c>
      <c r="H12382" s="18">
        <v>27.735849999999999</v>
      </c>
      <c r="I12382" s="90"/>
      <c r="J12382" s="90"/>
    </row>
    <row r="12383" spans="1:10" s="15" customFormat="1" ht="16.5" hidden="1" customHeight="1" outlineLevel="1" x14ac:dyDescent="0.25">
      <c r="A12383" s="18">
        <v>2406</v>
      </c>
      <c r="B12383" s="4" t="s">
        <v>44</v>
      </c>
      <c r="C12383" s="38" t="s">
        <v>3040</v>
      </c>
      <c r="D12383" s="18">
        <v>2022</v>
      </c>
      <c r="E12383" s="18" t="s">
        <v>0</v>
      </c>
      <c r="F12383" s="41">
        <v>1</v>
      </c>
      <c r="G12383" s="4">
        <v>30</v>
      </c>
      <c r="H12383" s="18">
        <v>24.94</v>
      </c>
      <c r="I12383" s="90"/>
      <c r="J12383" s="90"/>
    </row>
    <row r="12384" spans="1:10" s="15" customFormat="1" ht="16.5" hidden="1" customHeight="1" outlineLevel="1" x14ac:dyDescent="0.25">
      <c r="A12384" s="18">
        <v>2407</v>
      </c>
      <c r="B12384" s="4" t="s">
        <v>44</v>
      </c>
      <c r="C12384" s="38" t="s">
        <v>3041</v>
      </c>
      <c r="D12384" s="18">
        <v>2022</v>
      </c>
      <c r="E12384" s="18" t="s">
        <v>0</v>
      </c>
      <c r="F12384" s="41">
        <v>1</v>
      </c>
      <c r="G12384" s="4">
        <v>15</v>
      </c>
      <c r="H12384" s="18">
        <v>25.57695</v>
      </c>
      <c r="I12384" s="90"/>
      <c r="J12384" s="90"/>
    </row>
    <row r="12385" spans="1:10" s="15" customFormat="1" ht="16.5" hidden="1" customHeight="1" outlineLevel="1" x14ac:dyDescent="0.25">
      <c r="A12385" s="18">
        <v>2411</v>
      </c>
      <c r="B12385" s="4" t="s">
        <v>44</v>
      </c>
      <c r="C12385" s="38" t="s">
        <v>3042</v>
      </c>
      <c r="D12385" s="18">
        <v>2022</v>
      </c>
      <c r="E12385" s="18" t="s">
        <v>0</v>
      </c>
      <c r="F12385" s="41">
        <v>1</v>
      </c>
      <c r="G12385" s="4">
        <v>15</v>
      </c>
      <c r="H12385" s="18">
        <v>24.441000000000003</v>
      </c>
      <c r="I12385" s="90"/>
      <c r="J12385" s="90"/>
    </row>
    <row r="12386" spans="1:10" s="15" customFormat="1" ht="16.5" hidden="1" customHeight="1" outlineLevel="1" x14ac:dyDescent="0.25">
      <c r="A12386" s="18">
        <v>2419</v>
      </c>
      <c r="B12386" s="4" t="s">
        <v>44</v>
      </c>
      <c r="C12386" s="38" t="s">
        <v>3043</v>
      </c>
      <c r="D12386" s="18">
        <v>2022</v>
      </c>
      <c r="E12386" s="18" t="s">
        <v>0</v>
      </c>
      <c r="F12386" s="41">
        <v>1</v>
      </c>
      <c r="G12386" s="4">
        <v>15</v>
      </c>
      <c r="H12386" s="18">
        <v>31.012999999999998</v>
      </c>
      <c r="I12386" s="90"/>
      <c r="J12386" s="90"/>
    </row>
    <row r="12387" spans="1:10" s="15" customFormat="1" ht="16.5" hidden="1" customHeight="1" outlineLevel="1" x14ac:dyDescent="0.25">
      <c r="A12387" s="18">
        <v>2457</v>
      </c>
      <c r="B12387" s="4" t="s">
        <v>44</v>
      </c>
      <c r="C12387" s="38" t="s">
        <v>7120</v>
      </c>
      <c r="D12387" s="18">
        <v>2022</v>
      </c>
      <c r="E12387" s="18" t="s">
        <v>0</v>
      </c>
      <c r="F12387" s="41">
        <v>1</v>
      </c>
      <c r="G12387" s="4">
        <v>10</v>
      </c>
      <c r="H12387" s="18">
        <v>19.34084</v>
      </c>
      <c r="I12387" s="90"/>
      <c r="J12387" s="90"/>
    </row>
    <row r="12388" spans="1:10" s="15" customFormat="1" ht="16.5" hidden="1" customHeight="1" outlineLevel="1" x14ac:dyDescent="0.25">
      <c r="A12388" s="18">
        <v>2458</v>
      </c>
      <c r="B12388" s="4" t="s">
        <v>44</v>
      </c>
      <c r="C12388" s="38" t="s">
        <v>7121</v>
      </c>
      <c r="D12388" s="18">
        <v>2022</v>
      </c>
      <c r="E12388" s="18" t="s">
        <v>0</v>
      </c>
      <c r="F12388" s="41">
        <v>1</v>
      </c>
      <c r="G12388" s="4">
        <v>10</v>
      </c>
      <c r="H12388" s="18">
        <v>19.499970000000001</v>
      </c>
      <c r="I12388" s="90"/>
      <c r="J12388" s="90"/>
    </row>
    <row r="12389" spans="1:10" s="15" customFormat="1" ht="16.5" hidden="1" customHeight="1" outlineLevel="1" x14ac:dyDescent="0.25">
      <c r="A12389" s="18">
        <v>2459</v>
      </c>
      <c r="B12389" s="4" t="s">
        <v>44</v>
      </c>
      <c r="C12389" s="38" t="s">
        <v>7122</v>
      </c>
      <c r="D12389" s="18">
        <v>2022</v>
      </c>
      <c r="E12389" s="18" t="s">
        <v>0</v>
      </c>
      <c r="F12389" s="41">
        <v>1</v>
      </c>
      <c r="G12389" s="4">
        <v>15</v>
      </c>
      <c r="H12389" s="18">
        <v>23.566099999999999</v>
      </c>
      <c r="I12389" s="90"/>
      <c r="J12389" s="90"/>
    </row>
    <row r="12390" spans="1:10" s="15" customFormat="1" ht="16.5" hidden="1" customHeight="1" outlineLevel="1" x14ac:dyDescent="0.25">
      <c r="A12390" s="18">
        <v>2460</v>
      </c>
      <c r="B12390" s="4" t="s">
        <v>44</v>
      </c>
      <c r="C12390" s="38" t="s">
        <v>7123</v>
      </c>
      <c r="D12390" s="18">
        <v>2022</v>
      </c>
      <c r="E12390" s="18" t="s">
        <v>0</v>
      </c>
      <c r="F12390" s="41">
        <v>1</v>
      </c>
      <c r="G12390" s="4">
        <v>10</v>
      </c>
      <c r="H12390" s="18">
        <v>19.49532</v>
      </c>
      <c r="I12390" s="90"/>
      <c r="J12390" s="90"/>
    </row>
    <row r="12391" spans="1:10" s="15" customFormat="1" ht="16.5" hidden="1" customHeight="1" outlineLevel="1" x14ac:dyDescent="0.25">
      <c r="A12391" s="18">
        <v>2461</v>
      </c>
      <c r="B12391" s="4" t="s">
        <v>44</v>
      </c>
      <c r="C12391" s="38" t="s">
        <v>7124</v>
      </c>
      <c r="D12391" s="18">
        <v>2022</v>
      </c>
      <c r="E12391" s="18" t="s">
        <v>0</v>
      </c>
      <c r="F12391" s="41">
        <v>1</v>
      </c>
      <c r="G12391" s="4">
        <v>15</v>
      </c>
      <c r="H12391" s="18">
        <v>19.790459999999999</v>
      </c>
      <c r="I12391" s="90"/>
      <c r="J12391" s="90"/>
    </row>
    <row r="12392" spans="1:10" s="15" customFormat="1" ht="16.5" hidden="1" customHeight="1" outlineLevel="1" x14ac:dyDescent="0.25">
      <c r="A12392" s="18">
        <v>2462</v>
      </c>
      <c r="B12392" s="4" t="s">
        <v>44</v>
      </c>
      <c r="C12392" s="38" t="s">
        <v>7125</v>
      </c>
      <c r="D12392" s="18">
        <v>2022</v>
      </c>
      <c r="E12392" s="18" t="s">
        <v>0</v>
      </c>
      <c r="F12392" s="41">
        <v>1</v>
      </c>
      <c r="G12392" s="4">
        <v>15</v>
      </c>
      <c r="H12392" s="18">
        <v>22.161750000000001</v>
      </c>
      <c r="I12392" s="90"/>
      <c r="J12392" s="90"/>
    </row>
    <row r="12393" spans="1:10" s="15" customFormat="1" ht="16.5" hidden="1" customHeight="1" outlineLevel="1" x14ac:dyDescent="0.25">
      <c r="A12393" s="18">
        <v>2463</v>
      </c>
      <c r="B12393" s="4" t="s">
        <v>44</v>
      </c>
      <c r="C12393" s="38" t="s">
        <v>7126</v>
      </c>
      <c r="D12393" s="18">
        <v>2022</v>
      </c>
      <c r="E12393" s="18" t="s">
        <v>0</v>
      </c>
      <c r="F12393" s="41">
        <v>1</v>
      </c>
      <c r="G12393" s="4">
        <v>15</v>
      </c>
      <c r="H12393" s="18">
        <v>21.044750000000001</v>
      </c>
      <c r="I12393" s="90"/>
      <c r="J12393" s="90"/>
    </row>
    <row r="12394" spans="1:10" s="15" customFormat="1" ht="16.5" hidden="1" customHeight="1" outlineLevel="1" x14ac:dyDescent="0.25">
      <c r="A12394" s="18">
        <v>2464</v>
      </c>
      <c r="B12394" s="4" t="s">
        <v>44</v>
      </c>
      <c r="C12394" s="38" t="s">
        <v>7127</v>
      </c>
      <c r="D12394" s="18">
        <v>2022</v>
      </c>
      <c r="E12394" s="18" t="s">
        <v>0</v>
      </c>
      <c r="F12394" s="41">
        <v>1</v>
      </c>
      <c r="G12394" s="4">
        <v>10</v>
      </c>
      <c r="H12394" s="18">
        <v>20.897860000000001</v>
      </c>
      <c r="I12394" s="90"/>
      <c r="J12394" s="90"/>
    </row>
    <row r="12395" spans="1:10" s="15" customFormat="1" ht="16.5" hidden="1" customHeight="1" outlineLevel="1" x14ac:dyDescent="0.25">
      <c r="A12395" s="18">
        <v>2465</v>
      </c>
      <c r="B12395" s="4" t="s">
        <v>44</v>
      </c>
      <c r="C12395" s="38" t="s">
        <v>7128</v>
      </c>
      <c r="D12395" s="18">
        <v>2022</v>
      </c>
      <c r="E12395" s="18" t="s">
        <v>0</v>
      </c>
      <c r="F12395" s="41">
        <v>1</v>
      </c>
      <c r="G12395" s="4">
        <v>15</v>
      </c>
      <c r="H12395" s="18">
        <v>19.20036</v>
      </c>
      <c r="I12395" s="90"/>
      <c r="J12395" s="90"/>
    </row>
    <row r="12396" spans="1:10" s="15" customFormat="1" ht="16.5" hidden="1" customHeight="1" outlineLevel="1" x14ac:dyDescent="0.25">
      <c r="A12396" s="18">
        <v>2466</v>
      </c>
      <c r="B12396" s="4" t="s">
        <v>44</v>
      </c>
      <c r="C12396" s="38" t="s">
        <v>7129</v>
      </c>
      <c r="D12396" s="18">
        <v>2022</v>
      </c>
      <c r="E12396" s="18" t="s">
        <v>0</v>
      </c>
      <c r="F12396" s="41">
        <v>1</v>
      </c>
      <c r="G12396" s="4">
        <v>10</v>
      </c>
      <c r="H12396" s="18">
        <v>19.493380000000002</v>
      </c>
      <c r="I12396" s="90"/>
      <c r="J12396" s="90"/>
    </row>
    <row r="12397" spans="1:10" s="15" customFormat="1" ht="16.5" hidden="1" customHeight="1" outlineLevel="1" x14ac:dyDescent="0.25">
      <c r="A12397" s="18">
        <v>2467</v>
      </c>
      <c r="B12397" s="4" t="s">
        <v>44</v>
      </c>
      <c r="C12397" s="38" t="s">
        <v>7130</v>
      </c>
      <c r="D12397" s="18">
        <v>2022</v>
      </c>
      <c r="E12397" s="18" t="s">
        <v>0</v>
      </c>
      <c r="F12397" s="41">
        <v>1</v>
      </c>
      <c r="G12397" s="4">
        <v>10</v>
      </c>
      <c r="H12397" s="18">
        <v>19.07441</v>
      </c>
      <c r="I12397" s="90"/>
      <c r="J12397" s="90"/>
    </row>
    <row r="12398" spans="1:10" s="15" customFormat="1" ht="16.5" hidden="1" customHeight="1" outlineLevel="1" x14ac:dyDescent="0.25">
      <c r="A12398" s="18">
        <v>2468</v>
      </c>
      <c r="B12398" s="4" t="s">
        <v>44</v>
      </c>
      <c r="C12398" s="38" t="s">
        <v>7131</v>
      </c>
      <c r="D12398" s="18">
        <v>2022</v>
      </c>
      <c r="E12398" s="18" t="s">
        <v>0</v>
      </c>
      <c r="F12398" s="41">
        <v>1</v>
      </c>
      <c r="G12398" s="4">
        <v>15</v>
      </c>
      <c r="H12398" s="18">
        <v>21.044760000000004</v>
      </c>
      <c r="I12398" s="90"/>
      <c r="J12398" s="90"/>
    </row>
    <row r="12399" spans="1:10" s="15" customFormat="1" ht="16.5" hidden="1" customHeight="1" outlineLevel="1" x14ac:dyDescent="0.25">
      <c r="A12399" s="18">
        <v>2469</v>
      </c>
      <c r="B12399" s="4" t="s">
        <v>44</v>
      </c>
      <c r="C12399" s="38" t="s">
        <v>7132</v>
      </c>
      <c r="D12399" s="18">
        <v>2022</v>
      </c>
      <c r="E12399" s="18" t="s">
        <v>0</v>
      </c>
      <c r="F12399" s="41">
        <v>1</v>
      </c>
      <c r="G12399" s="4">
        <v>10</v>
      </c>
      <c r="H12399" s="18">
        <v>21.044650000000001</v>
      </c>
      <c r="I12399" s="90"/>
      <c r="J12399" s="90"/>
    </row>
    <row r="12400" spans="1:10" s="15" customFormat="1" ht="16.5" hidden="1" customHeight="1" outlineLevel="1" x14ac:dyDescent="0.25">
      <c r="A12400" s="18">
        <v>2470</v>
      </c>
      <c r="B12400" s="4" t="s">
        <v>44</v>
      </c>
      <c r="C12400" s="38" t="s">
        <v>7133</v>
      </c>
      <c r="D12400" s="18">
        <v>2022</v>
      </c>
      <c r="E12400" s="18" t="s">
        <v>0</v>
      </c>
      <c r="F12400" s="41">
        <v>1</v>
      </c>
      <c r="G12400" s="4">
        <v>15</v>
      </c>
      <c r="H12400" s="18">
        <v>20.89968</v>
      </c>
      <c r="I12400" s="90"/>
      <c r="J12400" s="90"/>
    </row>
    <row r="12401" spans="1:10" s="15" customFormat="1" ht="16.5" hidden="1" customHeight="1" outlineLevel="1" x14ac:dyDescent="0.25">
      <c r="A12401" s="18">
        <v>2471</v>
      </c>
      <c r="B12401" s="4" t="s">
        <v>44</v>
      </c>
      <c r="C12401" s="38" t="s">
        <v>7134</v>
      </c>
      <c r="D12401" s="18">
        <v>2022</v>
      </c>
      <c r="E12401" s="18" t="s">
        <v>0</v>
      </c>
      <c r="F12401" s="41">
        <v>1</v>
      </c>
      <c r="G12401" s="4">
        <v>14</v>
      </c>
      <c r="H12401" s="18">
        <v>19.212630000000001</v>
      </c>
      <c r="I12401" s="90"/>
      <c r="J12401" s="90"/>
    </row>
    <row r="12402" spans="1:10" s="15" customFormat="1" ht="16.5" hidden="1" customHeight="1" outlineLevel="1" x14ac:dyDescent="0.25">
      <c r="A12402" s="18">
        <v>2472</v>
      </c>
      <c r="B12402" s="4" t="s">
        <v>44</v>
      </c>
      <c r="C12402" s="38" t="s">
        <v>7135</v>
      </c>
      <c r="D12402" s="18">
        <v>2022</v>
      </c>
      <c r="E12402" s="18" t="s">
        <v>0</v>
      </c>
      <c r="F12402" s="41">
        <v>1</v>
      </c>
      <c r="G12402" s="4">
        <v>15</v>
      </c>
      <c r="H12402" s="18">
        <v>20.904349999999997</v>
      </c>
      <c r="I12402" s="90"/>
      <c r="J12402" s="90"/>
    </row>
    <row r="12403" spans="1:10" s="15" customFormat="1" ht="16.5" hidden="1" customHeight="1" outlineLevel="1" x14ac:dyDescent="0.25">
      <c r="A12403" s="18">
        <v>2473</v>
      </c>
      <c r="B12403" s="4" t="s">
        <v>44</v>
      </c>
      <c r="C12403" s="38" t="s">
        <v>7136</v>
      </c>
      <c r="D12403" s="18">
        <v>2022</v>
      </c>
      <c r="E12403" s="18" t="s">
        <v>0</v>
      </c>
      <c r="F12403" s="41">
        <v>1</v>
      </c>
      <c r="G12403" s="4">
        <v>15</v>
      </c>
      <c r="H12403" s="18">
        <v>20.329150000000002</v>
      </c>
      <c r="I12403" s="90"/>
      <c r="J12403" s="90"/>
    </row>
    <row r="12404" spans="1:10" s="15" customFormat="1" ht="16.5" hidden="1" customHeight="1" outlineLevel="1" x14ac:dyDescent="0.25">
      <c r="A12404" s="18">
        <v>2474</v>
      </c>
      <c r="B12404" s="4" t="s">
        <v>44</v>
      </c>
      <c r="C12404" s="38" t="s">
        <v>7137</v>
      </c>
      <c r="D12404" s="18">
        <v>2022</v>
      </c>
      <c r="E12404" s="18" t="s">
        <v>0</v>
      </c>
      <c r="F12404" s="41">
        <v>1</v>
      </c>
      <c r="G12404" s="4">
        <v>3</v>
      </c>
      <c r="H12404" s="18">
        <v>17.955169999999999</v>
      </c>
      <c r="I12404" s="90"/>
      <c r="J12404" s="90"/>
    </row>
    <row r="12405" spans="1:10" s="15" customFormat="1" ht="16.5" hidden="1" customHeight="1" outlineLevel="1" x14ac:dyDescent="0.25">
      <c r="A12405" s="18">
        <v>2475</v>
      </c>
      <c r="B12405" s="4" t="s">
        <v>44</v>
      </c>
      <c r="C12405" s="38" t="s">
        <v>7138</v>
      </c>
      <c r="D12405" s="18">
        <v>2022</v>
      </c>
      <c r="E12405" s="18" t="s">
        <v>0</v>
      </c>
      <c r="F12405" s="41">
        <v>1</v>
      </c>
      <c r="G12405" s="4">
        <v>15</v>
      </c>
      <c r="H12405" s="18">
        <v>19.353009999999998</v>
      </c>
      <c r="I12405" s="90"/>
      <c r="J12405" s="90"/>
    </row>
    <row r="12406" spans="1:10" s="15" customFormat="1" ht="16.5" hidden="1" customHeight="1" outlineLevel="1" x14ac:dyDescent="0.25">
      <c r="A12406" s="18">
        <v>2476</v>
      </c>
      <c r="B12406" s="4" t="s">
        <v>44</v>
      </c>
      <c r="C12406" s="38" t="s">
        <v>7139</v>
      </c>
      <c r="D12406" s="18">
        <v>2022</v>
      </c>
      <c r="E12406" s="18" t="s">
        <v>0</v>
      </c>
      <c r="F12406" s="41">
        <v>1</v>
      </c>
      <c r="G12406" s="4">
        <v>10</v>
      </c>
      <c r="H12406" s="18">
        <v>17.950480000000002</v>
      </c>
      <c r="I12406" s="90"/>
      <c r="J12406" s="90"/>
    </row>
    <row r="12407" spans="1:10" s="15" customFormat="1" ht="16.5" hidden="1" customHeight="1" outlineLevel="1" x14ac:dyDescent="0.25">
      <c r="A12407" s="18">
        <v>2477</v>
      </c>
      <c r="B12407" s="4" t="s">
        <v>44</v>
      </c>
      <c r="C12407" s="38" t="s">
        <v>7140</v>
      </c>
      <c r="D12407" s="18">
        <v>2022</v>
      </c>
      <c r="E12407" s="18" t="s">
        <v>0</v>
      </c>
      <c r="F12407" s="41">
        <v>1</v>
      </c>
      <c r="G12407" s="4">
        <v>10</v>
      </c>
      <c r="H12407" s="18">
        <v>17.167459999999998</v>
      </c>
      <c r="I12407" s="90"/>
      <c r="J12407" s="90"/>
    </row>
    <row r="12408" spans="1:10" s="15" customFormat="1" ht="16.5" hidden="1" customHeight="1" outlineLevel="1" x14ac:dyDescent="0.25">
      <c r="A12408" s="18">
        <v>2478</v>
      </c>
      <c r="B12408" s="4" t="s">
        <v>44</v>
      </c>
      <c r="C12408" s="38" t="s">
        <v>7141</v>
      </c>
      <c r="D12408" s="18">
        <v>2022</v>
      </c>
      <c r="E12408" s="18" t="s">
        <v>0</v>
      </c>
      <c r="F12408" s="41">
        <v>1</v>
      </c>
      <c r="G12408" s="4">
        <v>15</v>
      </c>
      <c r="H12408" s="18">
        <v>20.386009999999999</v>
      </c>
      <c r="I12408" s="90"/>
      <c r="J12408" s="90"/>
    </row>
    <row r="12409" spans="1:10" s="15" customFormat="1" ht="16.5" hidden="1" customHeight="1" outlineLevel="1" x14ac:dyDescent="0.25">
      <c r="A12409" s="18">
        <v>2479</v>
      </c>
      <c r="B12409" s="4" t="s">
        <v>44</v>
      </c>
      <c r="C12409" s="38" t="s">
        <v>7142</v>
      </c>
      <c r="D12409" s="18">
        <v>2022</v>
      </c>
      <c r="E12409" s="18" t="s">
        <v>0</v>
      </c>
      <c r="F12409" s="41">
        <v>1</v>
      </c>
      <c r="G12409" s="4">
        <v>15</v>
      </c>
      <c r="H12409" s="18">
        <v>21.185220000000001</v>
      </c>
      <c r="I12409" s="90"/>
      <c r="J12409" s="90"/>
    </row>
    <row r="12410" spans="1:10" s="15" customFormat="1" ht="16.5" hidden="1" customHeight="1" outlineLevel="1" x14ac:dyDescent="0.25">
      <c r="A12410" s="18">
        <v>2485</v>
      </c>
      <c r="B12410" s="4" t="s">
        <v>44</v>
      </c>
      <c r="C12410" s="38" t="s">
        <v>7143</v>
      </c>
      <c r="D12410" s="18">
        <v>2022</v>
      </c>
      <c r="E12410" s="18" t="s">
        <v>0</v>
      </c>
      <c r="F12410" s="41">
        <v>1</v>
      </c>
      <c r="G12410" s="4">
        <v>15</v>
      </c>
      <c r="H12410" s="18">
        <v>19.26229</v>
      </c>
      <c r="I12410" s="90"/>
      <c r="J12410" s="90"/>
    </row>
    <row r="12411" spans="1:10" s="15" customFormat="1" ht="16.5" hidden="1" customHeight="1" outlineLevel="1" x14ac:dyDescent="0.25">
      <c r="A12411" s="18">
        <v>2487</v>
      </c>
      <c r="B12411" s="4" t="s">
        <v>44</v>
      </c>
      <c r="C12411" s="38" t="s">
        <v>7144</v>
      </c>
      <c r="D12411" s="18">
        <v>2022</v>
      </c>
      <c r="E12411" s="18" t="s">
        <v>0</v>
      </c>
      <c r="F12411" s="41">
        <v>1</v>
      </c>
      <c r="G12411" s="4">
        <v>15</v>
      </c>
      <c r="H12411" s="18">
        <v>24.458410000000001</v>
      </c>
      <c r="I12411" s="90"/>
      <c r="J12411" s="90"/>
    </row>
    <row r="12412" spans="1:10" s="15" customFormat="1" ht="16.5" hidden="1" customHeight="1" outlineLevel="1" x14ac:dyDescent="0.25">
      <c r="A12412" s="18">
        <v>2492</v>
      </c>
      <c r="B12412" s="4" t="s">
        <v>44</v>
      </c>
      <c r="C12412" s="38" t="s">
        <v>7145</v>
      </c>
      <c r="D12412" s="18">
        <v>2022</v>
      </c>
      <c r="E12412" s="18" t="s">
        <v>0</v>
      </c>
      <c r="F12412" s="41">
        <v>1</v>
      </c>
      <c r="G12412" s="4">
        <v>15</v>
      </c>
      <c r="H12412" s="18">
        <v>20.352049999999998</v>
      </c>
      <c r="I12412" s="90"/>
      <c r="J12412" s="90"/>
    </row>
    <row r="12413" spans="1:10" s="15" customFormat="1" ht="16.5" hidden="1" customHeight="1" outlineLevel="1" x14ac:dyDescent="0.25">
      <c r="A12413" s="18">
        <v>2493</v>
      </c>
      <c r="B12413" s="4" t="s">
        <v>44</v>
      </c>
      <c r="C12413" s="38" t="s">
        <v>7146</v>
      </c>
      <c r="D12413" s="18">
        <v>2022</v>
      </c>
      <c r="E12413" s="18" t="s">
        <v>0</v>
      </c>
      <c r="F12413" s="41">
        <v>1</v>
      </c>
      <c r="G12413" s="4">
        <v>15</v>
      </c>
      <c r="H12413" s="18">
        <v>20.492569999999997</v>
      </c>
      <c r="I12413" s="90"/>
      <c r="J12413" s="90"/>
    </row>
    <row r="12414" spans="1:10" s="15" customFormat="1" ht="16.5" hidden="1" customHeight="1" outlineLevel="1" x14ac:dyDescent="0.25">
      <c r="A12414" s="18">
        <v>2496</v>
      </c>
      <c r="B12414" s="4" t="s">
        <v>44</v>
      </c>
      <c r="C12414" s="38" t="s">
        <v>7147</v>
      </c>
      <c r="D12414" s="18">
        <v>2022</v>
      </c>
      <c r="E12414" s="18" t="s">
        <v>0</v>
      </c>
      <c r="F12414" s="41">
        <v>1</v>
      </c>
      <c r="G12414" s="4">
        <v>3</v>
      </c>
      <c r="H12414" s="18">
        <v>19.35998</v>
      </c>
      <c r="I12414" s="90"/>
      <c r="J12414" s="90"/>
    </row>
    <row r="12415" spans="1:10" s="15" customFormat="1" ht="16.5" hidden="1" customHeight="1" outlineLevel="1" x14ac:dyDescent="0.25">
      <c r="A12415" s="18">
        <v>2497</v>
      </c>
      <c r="B12415" s="4" t="s">
        <v>44</v>
      </c>
      <c r="C12415" s="38" t="s">
        <v>7148</v>
      </c>
      <c r="D12415" s="18">
        <v>2022</v>
      </c>
      <c r="E12415" s="18" t="s">
        <v>0</v>
      </c>
      <c r="F12415" s="41">
        <v>1</v>
      </c>
      <c r="G12415" s="4">
        <v>3</v>
      </c>
      <c r="H12415" s="18">
        <v>19.402709999999999</v>
      </c>
      <c r="I12415" s="90"/>
      <c r="J12415" s="90"/>
    </row>
    <row r="12416" spans="1:10" s="15" customFormat="1" ht="16.5" hidden="1" customHeight="1" outlineLevel="1" x14ac:dyDescent="0.25">
      <c r="A12416" s="18">
        <v>2499</v>
      </c>
      <c r="B12416" s="4" t="s">
        <v>44</v>
      </c>
      <c r="C12416" s="38" t="s">
        <v>7149</v>
      </c>
      <c r="D12416" s="18">
        <v>2022</v>
      </c>
      <c r="E12416" s="18" t="s">
        <v>0</v>
      </c>
      <c r="F12416" s="41">
        <v>1</v>
      </c>
      <c r="G12416" s="4">
        <v>10</v>
      </c>
      <c r="H12416" s="18">
        <v>19.95438</v>
      </c>
      <c r="I12416" s="90"/>
      <c r="J12416" s="90"/>
    </row>
    <row r="12417" spans="1:10" s="15" customFormat="1" ht="16.5" hidden="1" customHeight="1" outlineLevel="1" x14ac:dyDescent="0.25">
      <c r="A12417" s="18">
        <v>2500</v>
      </c>
      <c r="B12417" s="4" t="s">
        <v>44</v>
      </c>
      <c r="C12417" s="38" t="s">
        <v>7150</v>
      </c>
      <c r="D12417" s="18">
        <v>2022</v>
      </c>
      <c r="E12417" s="18" t="s">
        <v>0</v>
      </c>
      <c r="F12417" s="41">
        <v>1</v>
      </c>
      <c r="G12417" s="4">
        <v>10</v>
      </c>
      <c r="H12417" s="18">
        <v>22.021659999999997</v>
      </c>
      <c r="I12417" s="90"/>
      <c r="J12417" s="90"/>
    </row>
    <row r="12418" spans="1:10" s="15" customFormat="1" ht="16.5" hidden="1" customHeight="1" outlineLevel="1" x14ac:dyDescent="0.25">
      <c r="A12418" s="18">
        <v>2501</v>
      </c>
      <c r="B12418" s="4" t="s">
        <v>44</v>
      </c>
      <c r="C12418" s="38" t="s">
        <v>7151</v>
      </c>
      <c r="D12418" s="18">
        <v>2022</v>
      </c>
      <c r="E12418" s="18" t="s">
        <v>0</v>
      </c>
      <c r="F12418" s="41">
        <v>1</v>
      </c>
      <c r="G12418" s="4">
        <v>15</v>
      </c>
      <c r="H12418" s="18">
        <v>18.035249999999998</v>
      </c>
      <c r="I12418" s="90"/>
      <c r="J12418" s="90"/>
    </row>
    <row r="12419" spans="1:10" s="15" customFormat="1" ht="16.5" hidden="1" customHeight="1" outlineLevel="1" x14ac:dyDescent="0.25">
      <c r="A12419" s="18">
        <v>2502</v>
      </c>
      <c r="B12419" s="4" t="s">
        <v>44</v>
      </c>
      <c r="C12419" s="38" t="s">
        <v>7152</v>
      </c>
      <c r="D12419" s="18">
        <v>2022</v>
      </c>
      <c r="E12419" s="18" t="s">
        <v>0</v>
      </c>
      <c r="F12419" s="41">
        <v>1</v>
      </c>
      <c r="G12419" s="4">
        <v>10</v>
      </c>
      <c r="H12419" s="18">
        <v>18.035209999999999</v>
      </c>
      <c r="I12419" s="90"/>
      <c r="J12419" s="90"/>
    </row>
    <row r="12420" spans="1:10" s="15" customFormat="1" ht="16.5" hidden="1" customHeight="1" outlineLevel="1" x14ac:dyDescent="0.25">
      <c r="A12420" s="18">
        <v>2503</v>
      </c>
      <c r="B12420" s="4" t="s">
        <v>44</v>
      </c>
      <c r="C12420" s="38" t="s">
        <v>7153</v>
      </c>
      <c r="D12420" s="18">
        <v>2022</v>
      </c>
      <c r="E12420" s="18" t="s">
        <v>0</v>
      </c>
      <c r="F12420" s="41">
        <v>1</v>
      </c>
      <c r="G12420" s="4">
        <v>12</v>
      </c>
      <c r="H12420" s="18">
        <v>18.044779999999999</v>
      </c>
      <c r="I12420" s="90"/>
      <c r="J12420" s="90"/>
    </row>
    <row r="12421" spans="1:10" s="15" customFormat="1" ht="16.5" hidden="1" customHeight="1" outlineLevel="1" x14ac:dyDescent="0.25">
      <c r="A12421" s="18">
        <v>2504</v>
      </c>
      <c r="B12421" s="4" t="s">
        <v>44</v>
      </c>
      <c r="C12421" s="38" t="s">
        <v>7154</v>
      </c>
      <c r="D12421" s="18">
        <v>2022</v>
      </c>
      <c r="E12421" s="18" t="s">
        <v>0</v>
      </c>
      <c r="F12421" s="41">
        <v>1</v>
      </c>
      <c r="G12421" s="4">
        <v>12</v>
      </c>
      <c r="H12421" s="18">
        <v>18.035249999999998</v>
      </c>
      <c r="I12421" s="90"/>
      <c r="J12421" s="90"/>
    </row>
    <row r="12422" spans="1:10" s="15" customFormat="1" ht="16.5" hidden="1" customHeight="1" outlineLevel="1" x14ac:dyDescent="0.25">
      <c r="A12422" s="18">
        <v>2505</v>
      </c>
      <c r="B12422" s="4" t="s">
        <v>44</v>
      </c>
      <c r="C12422" s="38" t="s">
        <v>7155</v>
      </c>
      <c r="D12422" s="18">
        <v>2022</v>
      </c>
      <c r="E12422" s="18" t="s">
        <v>0</v>
      </c>
      <c r="F12422" s="41">
        <v>1</v>
      </c>
      <c r="G12422" s="4">
        <v>12</v>
      </c>
      <c r="H12422" s="18">
        <v>18.0352</v>
      </c>
      <c r="I12422" s="90"/>
      <c r="J12422" s="90"/>
    </row>
    <row r="12423" spans="1:10" s="15" customFormat="1" ht="16.5" hidden="1" customHeight="1" outlineLevel="1" x14ac:dyDescent="0.25">
      <c r="A12423" s="18">
        <v>2506</v>
      </c>
      <c r="B12423" s="4" t="s">
        <v>44</v>
      </c>
      <c r="C12423" s="38" t="s">
        <v>7156</v>
      </c>
      <c r="D12423" s="18">
        <v>2022</v>
      </c>
      <c r="E12423" s="18" t="s">
        <v>0</v>
      </c>
      <c r="F12423" s="41">
        <v>1</v>
      </c>
      <c r="G12423" s="4">
        <v>12</v>
      </c>
      <c r="H12423" s="18">
        <v>19.490470000000002</v>
      </c>
      <c r="I12423" s="90"/>
      <c r="J12423" s="90"/>
    </row>
    <row r="12424" spans="1:10" s="15" customFormat="1" ht="16.5" hidden="1" customHeight="1" outlineLevel="1" x14ac:dyDescent="0.25">
      <c r="A12424" s="18">
        <v>1865</v>
      </c>
      <c r="B12424" s="4" t="s">
        <v>44</v>
      </c>
      <c r="C12424" s="38" t="s">
        <v>3044</v>
      </c>
      <c r="D12424" s="18">
        <v>2022</v>
      </c>
      <c r="E12424" s="18" t="s">
        <v>0</v>
      </c>
      <c r="F12424" s="41">
        <v>1</v>
      </c>
      <c r="G12424" s="4">
        <v>15</v>
      </c>
      <c r="H12424" s="18">
        <v>25.669259999999998</v>
      </c>
      <c r="I12424" s="90"/>
      <c r="J12424" s="90"/>
    </row>
    <row r="12425" spans="1:10" s="15" customFormat="1" ht="16.5" hidden="1" customHeight="1" outlineLevel="1" x14ac:dyDescent="0.25">
      <c r="A12425" s="18">
        <v>2062</v>
      </c>
      <c r="B12425" s="4" t="s">
        <v>44</v>
      </c>
      <c r="C12425" s="38" t="s">
        <v>3045</v>
      </c>
      <c r="D12425" s="18">
        <v>2022</v>
      </c>
      <c r="E12425" s="18" t="s">
        <v>0</v>
      </c>
      <c r="F12425" s="41">
        <v>1</v>
      </c>
      <c r="G12425" s="4">
        <v>10</v>
      </c>
      <c r="H12425" s="18">
        <v>16.431930000000001</v>
      </c>
      <c r="I12425" s="90"/>
      <c r="J12425" s="90"/>
    </row>
    <row r="12426" spans="1:10" s="15" customFormat="1" ht="16.5" hidden="1" customHeight="1" outlineLevel="1" x14ac:dyDescent="0.25">
      <c r="A12426" s="18">
        <v>2182</v>
      </c>
      <c r="B12426" s="4" t="s">
        <v>44</v>
      </c>
      <c r="C12426" s="38" t="s">
        <v>7157</v>
      </c>
      <c r="D12426" s="18">
        <v>2022</v>
      </c>
      <c r="E12426" s="18" t="s">
        <v>0</v>
      </c>
      <c r="F12426" s="41">
        <v>1</v>
      </c>
      <c r="G12426" s="4">
        <v>5</v>
      </c>
      <c r="H12426" s="18">
        <v>26.478560000000002</v>
      </c>
      <c r="I12426" s="90"/>
      <c r="J12426" s="90"/>
    </row>
    <row r="12427" spans="1:10" s="15" customFormat="1" ht="16.5" hidden="1" customHeight="1" outlineLevel="1" x14ac:dyDescent="0.25">
      <c r="A12427" s="18">
        <v>2189</v>
      </c>
      <c r="B12427" s="4" t="s">
        <v>44</v>
      </c>
      <c r="C12427" s="38" t="s">
        <v>7158</v>
      </c>
      <c r="D12427" s="18">
        <v>2022</v>
      </c>
      <c r="E12427" s="18" t="s">
        <v>0</v>
      </c>
      <c r="F12427" s="41">
        <v>1</v>
      </c>
      <c r="G12427" s="4">
        <v>10</v>
      </c>
      <c r="H12427" s="18">
        <v>28.218599999999999</v>
      </c>
      <c r="I12427" s="90"/>
      <c r="J12427" s="90"/>
    </row>
    <row r="12428" spans="1:10" s="15" customFormat="1" ht="16.5" hidden="1" customHeight="1" outlineLevel="1" x14ac:dyDescent="0.25">
      <c r="A12428" s="18">
        <v>2327</v>
      </c>
      <c r="B12428" s="4" t="s">
        <v>44</v>
      </c>
      <c r="C12428" s="38" t="s">
        <v>7159</v>
      </c>
      <c r="D12428" s="18">
        <v>2022</v>
      </c>
      <c r="E12428" s="18" t="s">
        <v>0</v>
      </c>
      <c r="F12428" s="41">
        <v>1</v>
      </c>
      <c r="G12428" s="4">
        <v>1.5</v>
      </c>
      <c r="H12428" s="18">
        <v>25.761659999999999</v>
      </c>
      <c r="I12428" s="90"/>
      <c r="J12428" s="90"/>
    </row>
    <row r="12429" spans="1:10" s="15" customFormat="1" ht="16.5" hidden="1" customHeight="1" outlineLevel="1" x14ac:dyDescent="0.25">
      <c r="A12429" s="18">
        <v>2329</v>
      </c>
      <c r="B12429" s="4" t="s">
        <v>44</v>
      </c>
      <c r="C12429" s="38" t="s">
        <v>7160</v>
      </c>
      <c r="D12429" s="18">
        <v>2022</v>
      </c>
      <c r="E12429" s="18" t="s">
        <v>0</v>
      </c>
      <c r="F12429" s="41">
        <v>1</v>
      </c>
      <c r="G12429" s="4">
        <v>15</v>
      </c>
      <c r="H12429" s="18">
        <v>24.021560000000001</v>
      </c>
      <c r="I12429" s="90"/>
      <c r="J12429" s="90"/>
    </row>
    <row r="12430" spans="1:10" s="15" customFormat="1" ht="16.5" hidden="1" customHeight="1" outlineLevel="1" x14ac:dyDescent="0.25">
      <c r="A12430" s="18">
        <v>2331</v>
      </c>
      <c r="B12430" s="4" t="s">
        <v>44</v>
      </c>
      <c r="C12430" s="38" t="s">
        <v>7161</v>
      </c>
      <c r="D12430" s="18">
        <v>2022</v>
      </c>
      <c r="E12430" s="18" t="s">
        <v>0</v>
      </c>
      <c r="F12430" s="41">
        <v>1</v>
      </c>
      <c r="G12430" s="4">
        <v>10</v>
      </c>
      <c r="H12430" s="18">
        <v>24.891639999999999</v>
      </c>
      <c r="I12430" s="90"/>
      <c r="J12430" s="90"/>
    </row>
    <row r="12431" spans="1:10" s="15" customFormat="1" ht="16.5" hidden="1" customHeight="1" outlineLevel="1" x14ac:dyDescent="0.25">
      <c r="A12431" s="18">
        <v>2334</v>
      </c>
      <c r="B12431" s="4" t="s">
        <v>44</v>
      </c>
      <c r="C12431" s="38" t="s">
        <v>7162</v>
      </c>
      <c r="D12431" s="18">
        <v>2022</v>
      </c>
      <c r="E12431" s="18" t="s">
        <v>0</v>
      </c>
      <c r="F12431" s="41">
        <v>1</v>
      </c>
      <c r="G12431" s="4">
        <v>10</v>
      </c>
      <c r="H12431" s="18">
        <v>24.195630000000001</v>
      </c>
      <c r="I12431" s="90"/>
      <c r="J12431" s="90"/>
    </row>
    <row r="12432" spans="1:10" s="15" customFormat="1" ht="16.5" hidden="1" customHeight="1" outlineLevel="1" x14ac:dyDescent="0.25">
      <c r="A12432" s="18">
        <v>2335</v>
      </c>
      <c r="B12432" s="4" t="s">
        <v>44</v>
      </c>
      <c r="C12432" s="38" t="s">
        <v>7163</v>
      </c>
      <c r="D12432" s="18">
        <v>2022</v>
      </c>
      <c r="E12432" s="18" t="s">
        <v>0</v>
      </c>
      <c r="F12432" s="41">
        <v>1</v>
      </c>
      <c r="G12432" s="4">
        <v>15</v>
      </c>
      <c r="H12432" s="18">
        <v>27.501650000000001</v>
      </c>
      <c r="I12432" s="90"/>
      <c r="J12432" s="90"/>
    </row>
    <row r="12433" spans="1:10" s="15" customFormat="1" ht="16.5" hidden="1" customHeight="1" outlineLevel="1" x14ac:dyDescent="0.25">
      <c r="A12433" s="18">
        <v>2338</v>
      </c>
      <c r="B12433" s="4" t="s">
        <v>44</v>
      </c>
      <c r="C12433" s="38" t="s">
        <v>7164</v>
      </c>
      <c r="D12433" s="18">
        <v>2022</v>
      </c>
      <c r="E12433" s="18" t="s">
        <v>0</v>
      </c>
      <c r="F12433" s="41">
        <v>1</v>
      </c>
      <c r="G12433" s="4">
        <v>15</v>
      </c>
      <c r="H12433" s="18">
        <v>25.761669999999995</v>
      </c>
      <c r="I12433" s="90"/>
      <c r="J12433" s="90"/>
    </row>
    <row r="12434" spans="1:10" s="15" customFormat="1" ht="16.5" hidden="1" customHeight="1" outlineLevel="1" x14ac:dyDescent="0.25">
      <c r="A12434" s="18">
        <v>2339</v>
      </c>
      <c r="B12434" s="4" t="s">
        <v>44</v>
      </c>
      <c r="C12434" s="38" t="s">
        <v>7165</v>
      </c>
      <c r="D12434" s="18">
        <v>2022</v>
      </c>
      <c r="E12434" s="18" t="s">
        <v>0</v>
      </c>
      <c r="F12434" s="41">
        <v>1</v>
      </c>
      <c r="G12434" s="4">
        <v>15</v>
      </c>
      <c r="H12434" s="18">
        <v>24.8916</v>
      </c>
      <c r="I12434" s="90"/>
      <c r="J12434" s="90"/>
    </row>
    <row r="12435" spans="1:10" s="15" customFormat="1" ht="16.5" hidden="1" customHeight="1" outlineLevel="1" x14ac:dyDescent="0.25">
      <c r="A12435" s="18">
        <v>2340</v>
      </c>
      <c r="B12435" s="4" t="s">
        <v>44</v>
      </c>
      <c r="C12435" s="38" t="s">
        <v>7166</v>
      </c>
      <c r="D12435" s="18">
        <v>2022</v>
      </c>
      <c r="E12435" s="18" t="s">
        <v>0</v>
      </c>
      <c r="F12435" s="41">
        <v>1</v>
      </c>
      <c r="G12435" s="4">
        <v>15</v>
      </c>
      <c r="H12435" s="18">
        <v>25.23959</v>
      </c>
      <c r="I12435" s="90"/>
      <c r="J12435" s="90"/>
    </row>
    <row r="12436" spans="1:10" s="15" customFormat="1" ht="16.5" hidden="1" customHeight="1" outlineLevel="1" x14ac:dyDescent="0.25">
      <c r="A12436" s="18">
        <v>2342</v>
      </c>
      <c r="B12436" s="4" t="s">
        <v>44</v>
      </c>
      <c r="C12436" s="38" t="s">
        <v>7167</v>
      </c>
      <c r="D12436" s="18">
        <v>2022</v>
      </c>
      <c r="E12436" s="18" t="s">
        <v>0</v>
      </c>
      <c r="F12436" s="41">
        <v>1</v>
      </c>
      <c r="G12436" s="4">
        <v>15</v>
      </c>
      <c r="H12436" s="18">
        <v>24.010560000000002</v>
      </c>
      <c r="I12436" s="90"/>
      <c r="J12436" s="90"/>
    </row>
    <row r="12437" spans="1:10" s="15" customFormat="1" ht="16.5" hidden="1" customHeight="1" outlineLevel="1" x14ac:dyDescent="0.25">
      <c r="A12437" s="18">
        <v>2362</v>
      </c>
      <c r="B12437" s="4" t="s">
        <v>44</v>
      </c>
      <c r="C12437" s="38" t="s">
        <v>3048</v>
      </c>
      <c r="D12437" s="18">
        <v>2022</v>
      </c>
      <c r="E12437" s="18" t="s">
        <v>0</v>
      </c>
      <c r="F12437" s="41">
        <v>1</v>
      </c>
      <c r="G12437" s="4">
        <v>15</v>
      </c>
      <c r="H12437" s="18">
        <v>30.670999999999999</v>
      </c>
      <c r="I12437" s="90"/>
      <c r="J12437" s="90"/>
    </row>
    <row r="12438" spans="1:10" s="15" customFormat="1" ht="16.5" hidden="1" customHeight="1" outlineLevel="1" x14ac:dyDescent="0.25">
      <c r="A12438" s="18">
        <v>2371</v>
      </c>
      <c r="B12438" s="4" t="s">
        <v>44</v>
      </c>
      <c r="C12438" s="38" t="s">
        <v>3049</v>
      </c>
      <c r="D12438" s="18">
        <v>2022</v>
      </c>
      <c r="E12438" s="18" t="s">
        <v>0</v>
      </c>
      <c r="F12438" s="41">
        <v>1</v>
      </c>
      <c r="G12438" s="4">
        <v>15</v>
      </c>
      <c r="H12438" s="18">
        <v>27.376999999999999</v>
      </c>
      <c r="I12438" s="90"/>
      <c r="J12438" s="90"/>
    </row>
    <row r="12439" spans="1:10" s="15" customFormat="1" ht="16.5" hidden="1" customHeight="1" outlineLevel="1" x14ac:dyDescent="0.25">
      <c r="A12439" s="18">
        <v>2373</v>
      </c>
      <c r="B12439" s="4" t="s">
        <v>44</v>
      </c>
      <c r="C12439" s="38" t="s">
        <v>3050</v>
      </c>
      <c r="D12439" s="18">
        <v>2022</v>
      </c>
      <c r="E12439" s="18" t="s">
        <v>0</v>
      </c>
      <c r="F12439" s="41">
        <v>1</v>
      </c>
      <c r="G12439" s="4">
        <v>15</v>
      </c>
      <c r="H12439" s="18">
        <v>27.712</v>
      </c>
      <c r="I12439" s="90"/>
      <c r="J12439" s="90"/>
    </row>
    <row r="12440" spans="1:10" s="15" customFormat="1" ht="16.5" hidden="1" customHeight="1" outlineLevel="1" x14ac:dyDescent="0.25">
      <c r="A12440" s="18">
        <v>2378</v>
      </c>
      <c r="B12440" s="4" t="s">
        <v>44</v>
      </c>
      <c r="C12440" s="38" t="s">
        <v>7168</v>
      </c>
      <c r="D12440" s="18">
        <v>2022</v>
      </c>
      <c r="E12440" s="18" t="s">
        <v>0</v>
      </c>
      <c r="F12440" s="41">
        <v>1</v>
      </c>
      <c r="G12440" s="4">
        <v>15</v>
      </c>
      <c r="H12440" s="18">
        <v>25.848559999999999</v>
      </c>
      <c r="I12440" s="90"/>
      <c r="J12440" s="90"/>
    </row>
    <row r="12441" spans="1:10" s="15" customFormat="1" ht="16.5" hidden="1" customHeight="1" outlineLevel="1" x14ac:dyDescent="0.25">
      <c r="A12441" s="18">
        <v>2381</v>
      </c>
      <c r="B12441" s="4" t="s">
        <v>44</v>
      </c>
      <c r="C12441" s="38" t="s">
        <v>7169</v>
      </c>
      <c r="D12441" s="18">
        <v>2022</v>
      </c>
      <c r="E12441" s="18" t="s">
        <v>0</v>
      </c>
      <c r="F12441" s="41">
        <v>1</v>
      </c>
      <c r="G12441" s="4">
        <v>10</v>
      </c>
      <c r="H12441" s="18">
        <v>24.282439999999998</v>
      </c>
      <c r="I12441" s="90"/>
      <c r="J12441" s="90"/>
    </row>
    <row r="12442" spans="1:10" s="15" customFormat="1" ht="16.5" hidden="1" customHeight="1" outlineLevel="1" x14ac:dyDescent="0.25">
      <c r="A12442" s="18">
        <v>2386</v>
      </c>
      <c r="B12442" s="4" t="s">
        <v>44</v>
      </c>
      <c r="C12442" s="38" t="s">
        <v>7170</v>
      </c>
      <c r="D12442" s="18">
        <v>2022</v>
      </c>
      <c r="E12442" s="18" t="s">
        <v>0</v>
      </c>
      <c r="F12442" s="41">
        <v>1</v>
      </c>
      <c r="G12442" s="4">
        <v>10</v>
      </c>
      <c r="H12442" s="18">
        <v>24.108490000000003</v>
      </c>
      <c r="I12442" s="90"/>
      <c r="J12442" s="90"/>
    </row>
    <row r="12443" spans="1:10" s="15" customFormat="1" ht="16.5" hidden="1" customHeight="1" outlineLevel="1" x14ac:dyDescent="0.25">
      <c r="A12443" s="18">
        <v>2391</v>
      </c>
      <c r="B12443" s="4" t="s">
        <v>44</v>
      </c>
      <c r="C12443" s="38" t="s">
        <v>7171</v>
      </c>
      <c r="D12443" s="18">
        <v>2022</v>
      </c>
      <c r="E12443" s="18" t="s">
        <v>0</v>
      </c>
      <c r="F12443" s="41">
        <v>1</v>
      </c>
      <c r="G12443" s="4">
        <v>15</v>
      </c>
      <c r="H12443" s="18">
        <v>24.630470000000003</v>
      </c>
      <c r="I12443" s="90"/>
      <c r="J12443" s="90"/>
    </row>
    <row r="12444" spans="1:10" s="15" customFormat="1" ht="16.5" hidden="1" customHeight="1" outlineLevel="1" x14ac:dyDescent="0.25">
      <c r="A12444" s="18">
        <v>2395</v>
      </c>
      <c r="B12444" s="4" t="s">
        <v>44</v>
      </c>
      <c r="C12444" s="38" t="s">
        <v>7172</v>
      </c>
      <c r="D12444" s="18">
        <v>2022</v>
      </c>
      <c r="E12444" s="18" t="s">
        <v>0</v>
      </c>
      <c r="F12444" s="41">
        <v>1</v>
      </c>
      <c r="G12444" s="4">
        <v>15</v>
      </c>
      <c r="H12444" s="18">
        <v>24.108470000000001</v>
      </c>
      <c r="I12444" s="90"/>
      <c r="J12444" s="90"/>
    </row>
    <row r="12445" spans="1:10" s="15" customFormat="1" ht="16.5" hidden="1" customHeight="1" outlineLevel="1" x14ac:dyDescent="0.25">
      <c r="A12445" s="18">
        <v>2401</v>
      </c>
      <c r="B12445" s="4" t="s">
        <v>44</v>
      </c>
      <c r="C12445" s="38" t="s">
        <v>7173</v>
      </c>
      <c r="D12445" s="18">
        <v>2022</v>
      </c>
      <c r="E12445" s="18" t="s">
        <v>0</v>
      </c>
      <c r="F12445" s="41">
        <v>1</v>
      </c>
      <c r="G12445" s="4">
        <v>10</v>
      </c>
      <c r="H12445" s="18">
        <v>28.430029999999999</v>
      </c>
      <c r="I12445" s="90"/>
      <c r="J12445" s="90"/>
    </row>
    <row r="12446" spans="1:10" s="15" customFormat="1" ht="16.5" hidden="1" customHeight="1" outlineLevel="1" x14ac:dyDescent="0.25">
      <c r="A12446" s="18">
        <v>2412</v>
      </c>
      <c r="B12446" s="4" t="s">
        <v>44</v>
      </c>
      <c r="C12446" s="38" t="s">
        <v>3051</v>
      </c>
      <c r="D12446" s="18">
        <v>2022</v>
      </c>
      <c r="E12446" s="18" t="s">
        <v>0</v>
      </c>
      <c r="F12446" s="41">
        <v>1</v>
      </c>
      <c r="G12446" s="4">
        <v>15</v>
      </c>
      <c r="H12446" s="18">
        <v>26.146999999999998</v>
      </c>
      <c r="I12446" s="90"/>
      <c r="J12446" s="90"/>
    </row>
    <row r="12447" spans="1:10" s="15" customFormat="1" ht="16.5" hidden="1" customHeight="1" outlineLevel="1" x14ac:dyDescent="0.25">
      <c r="A12447" s="18">
        <v>2413</v>
      </c>
      <c r="B12447" s="4" t="s">
        <v>44</v>
      </c>
      <c r="C12447" s="38" t="s">
        <v>3052</v>
      </c>
      <c r="D12447" s="18">
        <v>2022</v>
      </c>
      <c r="E12447" s="18" t="s">
        <v>0</v>
      </c>
      <c r="F12447" s="41">
        <v>1</v>
      </c>
      <c r="G12447" s="4">
        <v>10</v>
      </c>
      <c r="H12447" s="18">
        <v>27.96266</v>
      </c>
      <c r="I12447" s="90"/>
      <c r="J12447" s="90"/>
    </row>
    <row r="12448" spans="1:10" s="15" customFormat="1" ht="16.5" hidden="1" customHeight="1" outlineLevel="1" x14ac:dyDescent="0.25">
      <c r="A12448" s="18">
        <v>2414</v>
      </c>
      <c r="B12448" s="4" t="s">
        <v>44</v>
      </c>
      <c r="C12448" s="38" t="s">
        <v>3053</v>
      </c>
      <c r="D12448" s="18">
        <v>2022</v>
      </c>
      <c r="E12448" s="18" t="s">
        <v>0</v>
      </c>
      <c r="F12448" s="41">
        <v>1</v>
      </c>
      <c r="G12448" s="4">
        <v>15</v>
      </c>
      <c r="H12448" s="18">
        <v>25.936</v>
      </c>
      <c r="I12448" s="90"/>
      <c r="J12448" s="90"/>
    </row>
    <row r="12449" spans="1:10" s="15" customFormat="1" ht="16.5" hidden="1" customHeight="1" outlineLevel="1" x14ac:dyDescent="0.25">
      <c r="A12449" s="18">
        <v>2416</v>
      </c>
      <c r="B12449" s="4" t="s">
        <v>44</v>
      </c>
      <c r="C12449" s="38" t="s">
        <v>3092</v>
      </c>
      <c r="D12449" s="18">
        <v>2022</v>
      </c>
      <c r="E12449" s="18" t="s">
        <v>0</v>
      </c>
      <c r="F12449" s="41">
        <v>1</v>
      </c>
      <c r="G12449" s="4">
        <v>150</v>
      </c>
      <c r="H12449" s="18">
        <v>18.37659</v>
      </c>
      <c r="I12449" s="90"/>
      <c r="J12449" s="90"/>
    </row>
    <row r="12450" spans="1:10" s="15" customFormat="1" ht="16.5" hidden="1" customHeight="1" outlineLevel="1" x14ac:dyDescent="0.25">
      <c r="A12450" s="18">
        <v>2456</v>
      </c>
      <c r="B12450" s="4" t="s">
        <v>44</v>
      </c>
      <c r="C12450" s="38" t="s">
        <v>3054</v>
      </c>
      <c r="D12450" s="18">
        <v>2022</v>
      </c>
      <c r="E12450" s="18" t="s">
        <v>0</v>
      </c>
      <c r="F12450" s="41">
        <v>1</v>
      </c>
      <c r="G12450" s="4">
        <v>15</v>
      </c>
      <c r="H12450" s="18">
        <v>31.857999999999997</v>
      </c>
      <c r="I12450" s="90"/>
      <c r="J12450" s="90"/>
    </row>
    <row r="12451" spans="1:10" s="15" customFormat="1" ht="16.5" hidden="1" customHeight="1" outlineLevel="1" x14ac:dyDescent="0.25">
      <c r="A12451" s="18">
        <v>2513</v>
      </c>
      <c r="B12451" s="4" t="s">
        <v>44</v>
      </c>
      <c r="C12451" s="38" t="s">
        <v>7174</v>
      </c>
      <c r="D12451" s="18">
        <v>2022</v>
      </c>
      <c r="E12451" s="18" t="s">
        <v>0</v>
      </c>
      <c r="F12451" s="41">
        <v>1</v>
      </c>
      <c r="G12451" s="4">
        <v>1</v>
      </c>
      <c r="H12451" s="18">
        <v>11.443069999999999</v>
      </c>
      <c r="I12451" s="90"/>
      <c r="J12451" s="90"/>
    </row>
    <row r="12452" spans="1:10" s="15" customFormat="1" ht="16.5" hidden="1" customHeight="1" outlineLevel="1" x14ac:dyDescent="0.25">
      <c r="A12452" s="18">
        <v>2523</v>
      </c>
      <c r="B12452" s="4" t="s">
        <v>44</v>
      </c>
      <c r="C12452" s="38" t="s">
        <v>7175</v>
      </c>
      <c r="D12452" s="18">
        <v>2022</v>
      </c>
      <c r="E12452" s="18" t="s">
        <v>0</v>
      </c>
      <c r="F12452" s="41">
        <v>1</v>
      </c>
      <c r="G12452" s="4">
        <v>13.5</v>
      </c>
      <c r="H12452" s="18">
        <v>20.464259999999999</v>
      </c>
      <c r="I12452" s="90"/>
      <c r="J12452" s="90"/>
    </row>
    <row r="12453" spans="1:10" s="15" customFormat="1" ht="16.5" hidden="1" customHeight="1" outlineLevel="1" x14ac:dyDescent="0.25">
      <c r="A12453" s="18">
        <v>2524</v>
      </c>
      <c r="B12453" s="4" t="s">
        <v>44</v>
      </c>
      <c r="C12453" s="38" t="s">
        <v>7176</v>
      </c>
      <c r="D12453" s="18">
        <v>2022</v>
      </c>
      <c r="E12453" s="18" t="s">
        <v>0</v>
      </c>
      <c r="F12453" s="41">
        <v>1</v>
      </c>
      <c r="G12453" s="4">
        <v>5</v>
      </c>
      <c r="H12453" s="18">
        <v>19.942239999999998</v>
      </c>
      <c r="I12453" s="90"/>
      <c r="J12453" s="90"/>
    </row>
    <row r="12454" spans="1:10" s="15" customFormat="1" ht="16.5" hidden="1" customHeight="1" outlineLevel="1" x14ac:dyDescent="0.25">
      <c r="A12454" s="18">
        <v>2525</v>
      </c>
      <c r="B12454" s="4" t="s">
        <v>44</v>
      </c>
      <c r="C12454" s="38" t="s">
        <v>7177</v>
      </c>
      <c r="D12454" s="18">
        <v>2022</v>
      </c>
      <c r="E12454" s="18" t="s">
        <v>0</v>
      </c>
      <c r="F12454" s="41">
        <v>1</v>
      </c>
      <c r="G12454" s="4">
        <v>10</v>
      </c>
      <c r="H12454" s="18">
        <v>20.46424</v>
      </c>
      <c r="I12454" s="90"/>
      <c r="J12454" s="90"/>
    </row>
    <row r="12455" spans="1:10" s="15" customFormat="1" ht="16.5" hidden="1" customHeight="1" outlineLevel="1" x14ac:dyDescent="0.25">
      <c r="A12455" s="18">
        <v>2526</v>
      </c>
      <c r="B12455" s="4" t="s">
        <v>44</v>
      </c>
      <c r="C12455" s="38" t="s">
        <v>7178</v>
      </c>
      <c r="D12455" s="18">
        <v>2022</v>
      </c>
      <c r="E12455" s="18" t="s">
        <v>0</v>
      </c>
      <c r="F12455" s="41">
        <v>1</v>
      </c>
      <c r="G12455" s="4">
        <v>10</v>
      </c>
      <c r="H12455" s="18">
        <v>20.143699999999999</v>
      </c>
      <c r="I12455" s="90"/>
      <c r="J12455" s="90"/>
    </row>
    <row r="12456" spans="1:10" s="15" customFormat="1" ht="16.5" hidden="1" customHeight="1" outlineLevel="1" x14ac:dyDescent="0.25">
      <c r="A12456" s="18">
        <v>2527</v>
      </c>
      <c r="B12456" s="4" t="s">
        <v>44</v>
      </c>
      <c r="C12456" s="38" t="s">
        <v>7179</v>
      </c>
      <c r="D12456" s="18">
        <v>2022</v>
      </c>
      <c r="E12456" s="18" t="s">
        <v>0</v>
      </c>
      <c r="F12456" s="41">
        <v>1</v>
      </c>
      <c r="G12456" s="4">
        <v>6</v>
      </c>
      <c r="H12456" s="18">
        <v>21.01258</v>
      </c>
      <c r="I12456" s="90"/>
      <c r="J12456" s="90"/>
    </row>
    <row r="12457" spans="1:10" s="15" customFormat="1" ht="16.5" hidden="1" customHeight="1" outlineLevel="1" x14ac:dyDescent="0.25">
      <c r="A12457" s="18">
        <v>2528</v>
      </c>
      <c r="B12457" s="4" t="s">
        <v>44</v>
      </c>
      <c r="C12457" s="38" t="s">
        <v>7180</v>
      </c>
      <c r="D12457" s="18">
        <v>2022</v>
      </c>
      <c r="E12457" s="18" t="s">
        <v>0</v>
      </c>
      <c r="F12457" s="41">
        <v>1</v>
      </c>
      <c r="G12457" s="4">
        <v>15</v>
      </c>
      <c r="H12457" s="18">
        <v>20.676290000000002</v>
      </c>
      <c r="I12457" s="90"/>
      <c r="J12457" s="90"/>
    </row>
    <row r="12458" spans="1:10" s="15" customFormat="1" ht="16.5" hidden="1" customHeight="1" outlineLevel="1" x14ac:dyDescent="0.25">
      <c r="A12458" s="18">
        <v>2529</v>
      </c>
      <c r="B12458" s="4" t="s">
        <v>44</v>
      </c>
      <c r="C12458" s="38" t="s">
        <v>7181</v>
      </c>
      <c r="D12458" s="18">
        <v>2022</v>
      </c>
      <c r="E12458" s="18" t="s">
        <v>0</v>
      </c>
      <c r="F12458" s="41">
        <v>1</v>
      </c>
      <c r="G12458" s="4">
        <v>1</v>
      </c>
      <c r="H12458" s="18">
        <v>24.282770000000003</v>
      </c>
      <c r="I12458" s="90"/>
      <c r="J12458" s="90"/>
    </row>
    <row r="12459" spans="1:10" s="15" customFormat="1" ht="16.5" hidden="1" customHeight="1" outlineLevel="1" x14ac:dyDescent="0.25">
      <c r="A12459" s="18">
        <v>2530</v>
      </c>
      <c r="B12459" s="4" t="s">
        <v>44</v>
      </c>
      <c r="C12459" s="38" t="s">
        <v>7182</v>
      </c>
      <c r="D12459" s="18">
        <v>2022</v>
      </c>
      <c r="E12459" s="18" t="s">
        <v>0</v>
      </c>
      <c r="F12459" s="41">
        <v>1</v>
      </c>
      <c r="G12459" s="4">
        <v>10</v>
      </c>
      <c r="H12459" s="18">
        <v>20.21048</v>
      </c>
      <c r="I12459" s="90"/>
      <c r="J12459" s="90"/>
    </row>
    <row r="12460" spans="1:10" s="15" customFormat="1" ht="16.5" hidden="1" customHeight="1" outlineLevel="1" x14ac:dyDescent="0.25">
      <c r="A12460" s="18">
        <v>2531</v>
      </c>
      <c r="B12460" s="4" t="s">
        <v>44</v>
      </c>
      <c r="C12460" s="38" t="s">
        <v>7183</v>
      </c>
      <c r="D12460" s="18">
        <v>2022</v>
      </c>
      <c r="E12460" s="18" t="s">
        <v>0</v>
      </c>
      <c r="F12460" s="41">
        <v>1</v>
      </c>
      <c r="G12460" s="4">
        <v>15</v>
      </c>
      <c r="H12460" s="18">
        <v>20.511299999999999</v>
      </c>
      <c r="I12460" s="90"/>
      <c r="J12460" s="90"/>
    </row>
    <row r="12461" spans="1:10" s="15" customFormat="1" ht="16.5" hidden="1" customHeight="1" outlineLevel="1" x14ac:dyDescent="0.25">
      <c r="A12461" s="18">
        <v>2532</v>
      </c>
      <c r="B12461" s="4" t="s">
        <v>44</v>
      </c>
      <c r="C12461" s="38" t="s">
        <v>7184</v>
      </c>
      <c r="D12461" s="18">
        <v>2022</v>
      </c>
      <c r="E12461" s="18" t="s">
        <v>0</v>
      </c>
      <c r="F12461" s="41">
        <v>1</v>
      </c>
      <c r="G12461" s="4">
        <v>15</v>
      </c>
      <c r="H12461" s="18">
        <v>18.081150000000001</v>
      </c>
      <c r="I12461" s="90"/>
      <c r="J12461" s="90"/>
    </row>
    <row r="12462" spans="1:10" s="15" customFormat="1" ht="16.5" hidden="1" customHeight="1" outlineLevel="1" x14ac:dyDescent="0.25">
      <c r="A12462" s="18">
        <v>2533</v>
      </c>
      <c r="B12462" s="4" t="s">
        <v>44</v>
      </c>
      <c r="C12462" s="38" t="s">
        <v>7185</v>
      </c>
      <c r="D12462" s="18">
        <v>2022</v>
      </c>
      <c r="E12462" s="18" t="s">
        <v>0</v>
      </c>
      <c r="F12462" s="41">
        <v>1</v>
      </c>
      <c r="G12462" s="4">
        <v>3</v>
      </c>
      <c r="H12462" s="18">
        <v>20.313680000000002</v>
      </c>
      <c r="I12462" s="90"/>
      <c r="J12462" s="90"/>
    </row>
    <row r="12463" spans="1:10" s="15" customFormat="1" ht="16.5" hidden="1" customHeight="1" outlineLevel="1" x14ac:dyDescent="0.25">
      <c r="A12463" s="18">
        <v>2534</v>
      </c>
      <c r="B12463" s="4" t="s">
        <v>44</v>
      </c>
      <c r="C12463" s="38" t="s">
        <v>7186</v>
      </c>
      <c r="D12463" s="18">
        <v>2022</v>
      </c>
      <c r="E12463" s="18" t="s">
        <v>0</v>
      </c>
      <c r="F12463" s="41">
        <v>1</v>
      </c>
      <c r="G12463" s="4">
        <v>5</v>
      </c>
      <c r="H12463" s="18">
        <v>20.575320000000001</v>
      </c>
      <c r="I12463" s="90"/>
      <c r="J12463" s="90"/>
    </row>
    <row r="12464" spans="1:10" s="15" customFormat="1" ht="16.5" hidden="1" customHeight="1" outlineLevel="1" x14ac:dyDescent="0.25">
      <c r="A12464" s="18">
        <v>2535</v>
      </c>
      <c r="B12464" s="4" t="s">
        <v>44</v>
      </c>
      <c r="C12464" s="38" t="s">
        <v>7187</v>
      </c>
      <c r="D12464" s="18">
        <v>2022</v>
      </c>
      <c r="E12464" s="18" t="s">
        <v>0</v>
      </c>
      <c r="F12464" s="41">
        <v>1</v>
      </c>
      <c r="G12464" s="4">
        <v>10</v>
      </c>
      <c r="H12464" s="18">
        <v>20.212720000000001</v>
      </c>
      <c r="I12464" s="90"/>
      <c r="J12464" s="90"/>
    </row>
    <row r="12465" spans="1:10" s="15" customFormat="1" ht="16.5" hidden="1" customHeight="1" outlineLevel="1" x14ac:dyDescent="0.25">
      <c r="A12465" s="18">
        <v>2536</v>
      </c>
      <c r="B12465" s="4" t="s">
        <v>44</v>
      </c>
      <c r="C12465" s="38" t="s">
        <v>7188</v>
      </c>
      <c r="D12465" s="18">
        <v>2022</v>
      </c>
      <c r="E12465" s="18" t="s">
        <v>0</v>
      </c>
      <c r="F12465" s="41">
        <v>1</v>
      </c>
      <c r="G12465" s="4">
        <v>15</v>
      </c>
      <c r="H12465" s="18">
        <v>20.216400000000004</v>
      </c>
      <c r="I12465" s="90"/>
      <c r="J12465" s="90"/>
    </row>
    <row r="12466" spans="1:10" s="15" customFormat="1" ht="16.5" hidden="1" customHeight="1" outlineLevel="1" x14ac:dyDescent="0.25">
      <c r="A12466" s="18">
        <v>2537</v>
      </c>
      <c r="B12466" s="4" t="s">
        <v>44</v>
      </c>
      <c r="C12466" s="38" t="s">
        <v>7189</v>
      </c>
      <c r="D12466" s="18">
        <v>2022</v>
      </c>
      <c r="E12466" s="18" t="s">
        <v>0</v>
      </c>
      <c r="F12466" s="41">
        <v>1</v>
      </c>
      <c r="G12466" s="4">
        <v>10</v>
      </c>
      <c r="H12466" s="18">
        <v>20.397099999999998</v>
      </c>
      <c r="I12466" s="90"/>
      <c r="J12466" s="90"/>
    </row>
    <row r="12467" spans="1:10" s="15" customFormat="1" ht="16.5" hidden="1" customHeight="1" outlineLevel="1" x14ac:dyDescent="0.25">
      <c r="A12467" s="18">
        <v>2538</v>
      </c>
      <c r="B12467" s="4" t="s">
        <v>44</v>
      </c>
      <c r="C12467" s="38" t="s">
        <v>7190</v>
      </c>
      <c r="D12467" s="18">
        <v>2022</v>
      </c>
      <c r="E12467" s="18" t="s">
        <v>0</v>
      </c>
      <c r="F12467" s="41">
        <v>1</v>
      </c>
      <c r="G12467" s="4">
        <v>5</v>
      </c>
      <c r="H12467" s="18">
        <v>19.952359999999995</v>
      </c>
      <c r="I12467" s="90"/>
      <c r="J12467" s="90"/>
    </row>
    <row r="12468" spans="1:10" s="15" customFormat="1" ht="16.5" hidden="1" customHeight="1" outlineLevel="1" x14ac:dyDescent="0.25">
      <c r="A12468" s="18">
        <v>2539</v>
      </c>
      <c r="B12468" s="4" t="s">
        <v>44</v>
      </c>
      <c r="C12468" s="38" t="s">
        <v>7191</v>
      </c>
      <c r="D12468" s="18">
        <v>2022</v>
      </c>
      <c r="E12468" s="18" t="s">
        <v>0</v>
      </c>
      <c r="F12468" s="41">
        <v>1</v>
      </c>
      <c r="G12468" s="4">
        <v>5</v>
      </c>
      <c r="H12468" s="18">
        <v>20.352240000000002</v>
      </c>
      <c r="I12468" s="90"/>
      <c r="J12468" s="90"/>
    </row>
    <row r="12469" spans="1:10" s="15" customFormat="1" ht="16.5" hidden="1" customHeight="1" outlineLevel="1" x14ac:dyDescent="0.25">
      <c r="A12469" s="18">
        <v>2540</v>
      </c>
      <c r="B12469" s="4" t="s">
        <v>44</v>
      </c>
      <c r="C12469" s="38" t="s">
        <v>7192</v>
      </c>
      <c r="D12469" s="18">
        <v>2022</v>
      </c>
      <c r="E12469" s="18" t="s">
        <v>0</v>
      </c>
      <c r="F12469" s="41">
        <v>1</v>
      </c>
      <c r="G12469" s="4">
        <v>15</v>
      </c>
      <c r="H12469" s="18">
        <v>20.64265</v>
      </c>
      <c r="I12469" s="90"/>
      <c r="J12469" s="90"/>
    </row>
    <row r="12470" spans="1:10" s="15" customFormat="1" ht="16.5" hidden="1" customHeight="1" outlineLevel="1" x14ac:dyDescent="0.25">
      <c r="A12470" s="18">
        <v>2541</v>
      </c>
      <c r="B12470" s="4" t="s">
        <v>44</v>
      </c>
      <c r="C12470" s="38" t="s">
        <v>3055</v>
      </c>
      <c r="D12470" s="18">
        <v>2022</v>
      </c>
      <c r="E12470" s="18" t="s">
        <v>0</v>
      </c>
      <c r="F12470" s="41">
        <v>1</v>
      </c>
      <c r="G12470" s="4">
        <v>15</v>
      </c>
      <c r="H12470" s="18">
        <v>119.66177999999999</v>
      </c>
      <c r="I12470" s="90"/>
      <c r="J12470" s="90"/>
    </row>
    <row r="12471" spans="1:10" s="15" customFormat="1" ht="16.5" hidden="1" customHeight="1" outlineLevel="1" x14ac:dyDescent="0.25">
      <c r="A12471" s="18">
        <v>2542</v>
      </c>
      <c r="B12471" s="4" t="s">
        <v>44</v>
      </c>
      <c r="C12471" s="38" t="s">
        <v>3108</v>
      </c>
      <c r="D12471" s="18">
        <v>2022</v>
      </c>
      <c r="E12471" s="18" t="s">
        <v>0</v>
      </c>
      <c r="F12471" s="41">
        <v>1</v>
      </c>
      <c r="G12471" s="4">
        <v>150</v>
      </c>
      <c r="H12471" s="18">
        <v>649.82300000000009</v>
      </c>
      <c r="I12471" s="90"/>
      <c r="J12471" s="90"/>
    </row>
    <row r="12472" spans="1:10" s="15" customFormat="1" ht="16.5" hidden="1" customHeight="1" outlineLevel="1" x14ac:dyDescent="0.25">
      <c r="A12472" s="18">
        <v>2543</v>
      </c>
      <c r="B12472" s="4" t="s">
        <v>44</v>
      </c>
      <c r="C12472" s="38" t="s">
        <v>3093</v>
      </c>
      <c r="D12472" s="18">
        <v>2022</v>
      </c>
      <c r="E12472" s="18" t="s">
        <v>0</v>
      </c>
      <c r="F12472" s="41">
        <v>1</v>
      </c>
      <c r="G12472" s="4">
        <v>150</v>
      </c>
      <c r="H12472" s="18">
        <v>108.96867</v>
      </c>
      <c r="I12472" s="90"/>
      <c r="J12472" s="90"/>
    </row>
    <row r="12473" spans="1:10" s="15" customFormat="1" ht="16.5" hidden="1" customHeight="1" outlineLevel="1" x14ac:dyDescent="0.25">
      <c r="A12473" s="18">
        <v>2544</v>
      </c>
      <c r="B12473" s="4" t="s">
        <v>44</v>
      </c>
      <c r="C12473" s="38" t="s">
        <v>3056</v>
      </c>
      <c r="D12473" s="18">
        <v>2022</v>
      </c>
      <c r="E12473" s="18" t="s">
        <v>0</v>
      </c>
      <c r="F12473" s="41">
        <v>1</v>
      </c>
      <c r="G12473" s="4">
        <v>15</v>
      </c>
      <c r="H12473" s="18">
        <v>106.30677</v>
      </c>
      <c r="I12473" s="90"/>
      <c r="J12473" s="90"/>
    </row>
    <row r="12474" spans="1:10" s="15" customFormat="1" ht="16.5" hidden="1" customHeight="1" outlineLevel="1" x14ac:dyDescent="0.25">
      <c r="A12474" s="18">
        <v>2545</v>
      </c>
      <c r="B12474" s="4" t="s">
        <v>44</v>
      </c>
      <c r="C12474" s="38" t="s">
        <v>3109</v>
      </c>
      <c r="D12474" s="18">
        <v>2022</v>
      </c>
      <c r="E12474" s="18" t="s">
        <v>0</v>
      </c>
      <c r="F12474" s="41">
        <v>2</v>
      </c>
      <c r="G12474" s="4">
        <v>25</v>
      </c>
      <c r="H12474" s="18">
        <v>238.91354000000001</v>
      </c>
      <c r="I12474" s="90"/>
      <c r="J12474" s="90"/>
    </row>
    <row r="12475" spans="1:10" s="15" customFormat="1" ht="16.5" hidden="1" customHeight="1" outlineLevel="1" x14ac:dyDescent="0.25">
      <c r="A12475" s="18">
        <v>2546</v>
      </c>
      <c r="B12475" s="4" t="s">
        <v>44</v>
      </c>
      <c r="C12475" s="38" t="s">
        <v>3057</v>
      </c>
      <c r="D12475" s="18">
        <v>2022</v>
      </c>
      <c r="E12475" s="18" t="s">
        <v>0</v>
      </c>
      <c r="F12475" s="41">
        <v>3</v>
      </c>
      <c r="G12475" s="4">
        <v>5</v>
      </c>
      <c r="H12475" s="18">
        <v>285.76085999999998</v>
      </c>
      <c r="I12475" s="90"/>
      <c r="J12475" s="90"/>
    </row>
    <row r="12476" spans="1:10" s="15" customFormat="1" ht="16.5" hidden="1" customHeight="1" outlineLevel="1" x14ac:dyDescent="0.25">
      <c r="A12476" s="18">
        <v>2547</v>
      </c>
      <c r="B12476" s="4" t="s">
        <v>44</v>
      </c>
      <c r="C12476" s="38" t="s">
        <v>3058</v>
      </c>
      <c r="D12476" s="18">
        <v>2022</v>
      </c>
      <c r="E12476" s="18" t="s">
        <v>0</v>
      </c>
      <c r="F12476" s="41">
        <v>1</v>
      </c>
      <c r="G12476" s="4">
        <v>15</v>
      </c>
      <c r="H12476" s="18">
        <v>144.94617000000002</v>
      </c>
      <c r="I12476" s="90"/>
      <c r="J12476" s="90"/>
    </row>
    <row r="12477" spans="1:10" s="15" customFormat="1" ht="16.5" hidden="1" customHeight="1" outlineLevel="1" x14ac:dyDescent="0.25">
      <c r="A12477" s="18">
        <v>2068</v>
      </c>
      <c r="B12477" s="4" t="s">
        <v>44</v>
      </c>
      <c r="C12477" s="38" t="s">
        <v>3094</v>
      </c>
      <c r="D12477" s="18">
        <v>2022</v>
      </c>
      <c r="E12477" s="18" t="s">
        <v>0</v>
      </c>
      <c r="F12477" s="41">
        <v>1</v>
      </c>
      <c r="G12477" s="4">
        <v>135</v>
      </c>
      <c r="H12477" s="18">
        <v>21.560960000000001</v>
      </c>
      <c r="I12477" s="90"/>
      <c r="J12477" s="90"/>
    </row>
    <row r="12478" spans="1:10" s="15" customFormat="1" ht="16.5" hidden="1" customHeight="1" outlineLevel="1" x14ac:dyDescent="0.25">
      <c r="A12478" s="18">
        <v>2069</v>
      </c>
      <c r="B12478" s="4" t="s">
        <v>44</v>
      </c>
      <c r="C12478" s="38" t="s">
        <v>3095</v>
      </c>
      <c r="D12478" s="18">
        <v>2022</v>
      </c>
      <c r="E12478" s="18" t="s">
        <v>0</v>
      </c>
      <c r="F12478" s="41">
        <v>1</v>
      </c>
      <c r="G12478" s="4">
        <v>80</v>
      </c>
      <c r="H12478" s="18">
        <v>24.043660000000003</v>
      </c>
      <c r="I12478" s="90"/>
      <c r="J12478" s="90"/>
    </row>
    <row r="12479" spans="1:10" s="15" customFormat="1" ht="16.5" hidden="1" customHeight="1" outlineLevel="1" x14ac:dyDescent="0.25">
      <c r="A12479" s="18">
        <v>2074</v>
      </c>
      <c r="B12479" s="4" t="s">
        <v>44</v>
      </c>
      <c r="C12479" s="38" t="s">
        <v>3059</v>
      </c>
      <c r="D12479" s="18">
        <v>2022</v>
      </c>
      <c r="E12479" s="18" t="s">
        <v>0</v>
      </c>
      <c r="F12479" s="41">
        <v>1</v>
      </c>
      <c r="G12479" s="4">
        <v>15</v>
      </c>
      <c r="H12479" s="18">
        <v>34.560899999999997</v>
      </c>
      <c r="I12479" s="90"/>
      <c r="J12479" s="90"/>
    </row>
    <row r="12480" spans="1:10" s="15" customFormat="1" ht="16.5" hidden="1" customHeight="1" outlineLevel="1" x14ac:dyDescent="0.25">
      <c r="A12480" s="18">
        <v>2263</v>
      </c>
      <c r="B12480" s="4" t="s">
        <v>44</v>
      </c>
      <c r="C12480" s="38" t="s">
        <v>7193</v>
      </c>
      <c r="D12480" s="18">
        <v>2022</v>
      </c>
      <c r="E12480" s="18" t="s">
        <v>0</v>
      </c>
      <c r="F12480" s="41">
        <v>1</v>
      </c>
      <c r="G12480" s="4">
        <v>10</v>
      </c>
      <c r="H12480" s="18">
        <v>25.290489999999998</v>
      </c>
      <c r="I12480" s="90"/>
      <c r="J12480" s="90"/>
    </row>
    <row r="12481" spans="1:10" s="15" customFormat="1" ht="16.5" hidden="1" customHeight="1" outlineLevel="1" x14ac:dyDescent="0.25">
      <c r="A12481" s="18">
        <v>2285</v>
      </c>
      <c r="B12481" s="4" t="s">
        <v>44</v>
      </c>
      <c r="C12481" s="38" t="s">
        <v>7194</v>
      </c>
      <c r="D12481" s="18">
        <v>2022</v>
      </c>
      <c r="E12481" s="18" t="s">
        <v>0</v>
      </c>
      <c r="F12481" s="41">
        <v>1</v>
      </c>
      <c r="G12481" s="4">
        <v>14</v>
      </c>
      <c r="H12481" s="18">
        <v>25.290480000000002</v>
      </c>
      <c r="I12481" s="90"/>
      <c r="J12481" s="90"/>
    </row>
    <row r="12482" spans="1:10" s="15" customFormat="1" ht="16.5" hidden="1" customHeight="1" outlineLevel="1" x14ac:dyDescent="0.25">
      <c r="A12482" s="18">
        <v>2298</v>
      </c>
      <c r="B12482" s="4" t="s">
        <v>44</v>
      </c>
      <c r="C12482" s="38" t="s">
        <v>7195</v>
      </c>
      <c r="D12482" s="18">
        <v>2022</v>
      </c>
      <c r="E12482" s="18" t="s">
        <v>0</v>
      </c>
      <c r="F12482" s="41">
        <v>1</v>
      </c>
      <c r="G12482" s="4">
        <v>200</v>
      </c>
      <c r="H12482" s="18">
        <v>449.57803999999993</v>
      </c>
      <c r="I12482" s="90"/>
      <c r="J12482" s="90"/>
    </row>
    <row r="12483" spans="1:10" s="15" customFormat="1" ht="16.5" hidden="1" customHeight="1" outlineLevel="1" x14ac:dyDescent="0.25">
      <c r="A12483" s="18">
        <v>2313</v>
      </c>
      <c r="B12483" s="4" t="s">
        <v>44</v>
      </c>
      <c r="C12483" s="38" t="s">
        <v>7196</v>
      </c>
      <c r="D12483" s="18">
        <v>2022</v>
      </c>
      <c r="E12483" s="18" t="s">
        <v>0</v>
      </c>
      <c r="F12483" s="41">
        <v>1</v>
      </c>
      <c r="G12483" s="4">
        <v>15</v>
      </c>
      <c r="H12483" s="18">
        <v>43.916360000000005</v>
      </c>
      <c r="I12483" s="90"/>
      <c r="J12483" s="90"/>
    </row>
    <row r="12484" spans="1:10" s="15" customFormat="1" ht="16.5" hidden="1" customHeight="1" outlineLevel="1" x14ac:dyDescent="0.25">
      <c r="A12484" s="18">
        <v>2314</v>
      </c>
      <c r="B12484" s="4" t="s">
        <v>44</v>
      </c>
      <c r="C12484" s="38" t="s">
        <v>7197</v>
      </c>
      <c r="D12484" s="18">
        <v>2022</v>
      </c>
      <c r="E12484" s="18" t="s">
        <v>0</v>
      </c>
      <c r="F12484" s="41">
        <v>1</v>
      </c>
      <c r="G12484" s="4">
        <v>14</v>
      </c>
      <c r="H12484" s="18">
        <v>43.740600000000001</v>
      </c>
      <c r="I12484" s="90"/>
      <c r="J12484" s="90"/>
    </row>
    <row r="12485" spans="1:10" s="15" customFormat="1" ht="16.5" hidden="1" customHeight="1" outlineLevel="1" x14ac:dyDescent="0.25">
      <c r="A12485" s="18">
        <v>2322</v>
      </c>
      <c r="B12485" s="4" t="s">
        <v>44</v>
      </c>
      <c r="C12485" s="38" t="s">
        <v>3061</v>
      </c>
      <c r="D12485" s="18">
        <v>2022</v>
      </c>
      <c r="E12485" s="18" t="s">
        <v>0</v>
      </c>
      <c r="F12485" s="41">
        <v>1</v>
      </c>
      <c r="G12485" s="4">
        <v>15</v>
      </c>
      <c r="H12485" s="18">
        <v>13.788</v>
      </c>
      <c r="I12485" s="90"/>
      <c r="J12485" s="90"/>
    </row>
    <row r="12486" spans="1:10" s="15" customFormat="1" ht="16.5" hidden="1" customHeight="1" outlineLevel="1" x14ac:dyDescent="0.25">
      <c r="A12486" s="18">
        <v>2365</v>
      </c>
      <c r="B12486" s="4" t="s">
        <v>44</v>
      </c>
      <c r="C12486" s="38" t="s">
        <v>7198</v>
      </c>
      <c r="D12486" s="18">
        <v>2022</v>
      </c>
      <c r="E12486" s="18" t="s">
        <v>0</v>
      </c>
      <c r="F12486" s="41">
        <v>1</v>
      </c>
      <c r="G12486" s="4">
        <v>15</v>
      </c>
      <c r="H12486" s="18">
        <v>61.592500000000001</v>
      </c>
      <c r="I12486" s="90"/>
      <c r="J12486" s="90"/>
    </row>
    <row r="12487" spans="1:10" s="15" customFormat="1" ht="16.5" hidden="1" customHeight="1" outlineLevel="1" x14ac:dyDescent="0.25">
      <c r="A12487" s="18">
        <v>2367</v>
      </c>
      <c r="B12487" s="4" t="s">
        <v>44</v>
      </c>
      <c r="C12487" s="38" t="s">
        <v>3062</v>
      </c>
      <c r="D12487" s="18">
        <v>2022</v>
      </c>
      <c r="E12487" s="18" t="s">
        <v>0</v>
      </c>
      <c r="F12487" s="41">
        <v>1</v>
      </c>
      <c r="G12487" s="4">
        <v>15</v>
      </c>
      <c r="H12487" s="18">
        <v>49.336999999999996</v>
      </c>
      <c r="I12487" s="90"/>
      <c r="J12487" s="90"/>
    </row>
    <row r="12488" spans="1:10" s="15" customFormat="1" ht="16.5" hidden="1" customHeight="1" outlineLevel="1" x14ac:dyDescent="0.25">
      <c r="A12488" s="18">
        <v>2368</v>
      </c>
      <c r="B12488" s="4" t="s">
        <v>44</v>
      </c>
      <c r="C12488" s="38" t="s">
        <v>3063</v>
      </c>
      <c r="D12488" s="18">
        <v>2022</v>
      </c>
      <c r="E12488" s="18" t="s">
        <v>0</v>
      </c>
      <c r="F12488" s="41">
        <v>1</v>
      </c>
      <c r="G12488" s="4">
        <v>30</v>
      </c>
      <c r="H12488" s="18">
        <v>60.515619999999998</v>
      </c>
      <c r="I12488" s="90"/>
      <c r="J12488" s="90"/>
    </row>
    <row r="12489" spans="1:10" s="15" customFormat="1" ht="16.5" hidden="1" customHeight="1" outlineLevel="1" x14ac:dyDescent="0.25">
      <c r="A12489" s="18">
        <v>2372</v>
      </c>
      <c r="B12489" s="4" t="s">
        <v>44</v>
      </c>
      <c r="C12489" s="38" t="s">
        <v>3065</v>
      </c>
      <c r="D12489" s="18">
        <v>2022</v>
      </c>
      <c r="E12489" s="18" t="s">
        <v>0</v>
      </c>
      <c r="F12489" s="41">
        <v>1</v>
      </c>
      <c r="G12489" s="4">
        <v>15</v>
      </c>
      <c r="H12489" s="18">
        <v>47.527999999999999</v>
      </c>
      <c r="I12489" s="90"/>
      <c r="J12489" s="90"/>
    </row>
    <row r="12490" spans="1:10" s="15" customFormat="1" ht="16.5" hidden="1" customHeight="1" outlineLevel="1" x14ac:dyDescent="0.25">
      <c r="A12490" s="18">
        <v>2382</v>
      </c>
      <c r="B12490" s="4" t="s">
        <v>44</v>
      </c>
      <c r="C12490" s="38" t="s">
        <v>7199</v>
      </c>
      <c r="D12490" s="18">
        <v>2022</v>
      </c>
      <c r="E12490" s="18" t="s">
        <v>0</v>
      </c>
      <c r="F12490" s="41">
        <v>1</v>
      </c>
      <c r="G12490" s="4">
        <v>11</v>
      </c>
      <c r="H12490" s="18">
        <v>45.394669999999998</v>
      </c>
      <c r="I12490" s="90"/>
      <c r="J12490" s="90"/>
    </row>
    <row r="12491" spans="1:10" s="15" customFormat="1" ht="16.5" hidden="1" customHeight="1" outlineLevel="1" x14ac:dyDescent="0.25">
      <c r="A12491" s="18">
        <v>2405</v>
      </c>
      <c r="B12491" s="4" t="s">
        <v>44</v>
      </c>
      <c r="C12491" s="38" t="s">
        <v>3066</v>
      </c>
      <c r="D12491" s="18">
        <v>2022</v>
      </c>
      <c r="E12491" s="18" t="s">
        <v>0</v>
      </c>
      <c r="F12491" s="41">
        <v>1</v>
      </c>
      <c r="G12491" s="4">
        <v>10</v>
      </c>
      <c r="H12491" s="18">
        <v>10.0456</v>
      </c>
      <c r="I12491" s="90"/>
      <c r="J12491" s="90"/>
    </row>
    <row r="12492" spans="1:10" s="15" customFormat="1" ht="16.5" hidden="1" customHeight="1" outlineLevel="1" x14ac:dyDescent="0.25">
      <c r="A12492" s="18">
        <v>2417</v>
      </c>
      <c r="B12492" s="4" t="s">
        <v>44</v>
      </c>
      <c r="C12492" s="38" t="s">
        <v>3067</v>
      </c>
      <c r="D12492" s="18">
        <v>2022</v>
      </c>
      <c r="E12492" s="18" t="s">
        <v>0</v>
      </c>
      <c r="F12492" s="41">
        <v>1</v>
      </c>
      <c r="G12492" s="4">
        <v>15</v>
      </c>
      <c r="H12492" s="18">
        <v>27.768000000000001</v>
      </c>
      <c r="I12492" s="90"/>
      <c r="J12492" s="90"/>
    </row>
    <row r="12493" spans="1:10" s="15" customFormat="1" ht="16.5" hidden="1" customHeight="1" outlineLevel="1" x14ac:dyDescent="0.25">
      <c r="A12493" s="18">
        <v>2418</v>
      </c>
      <c r="B12493" s="4" t="s">
        <v>44</v>
      </c>
      <c r="C12493" s="38" t="s">
        <v>3068</v>
      </c>
      <c r="D12493" s="18">
        <v>2022</v>
      </c>
      <c r="E12493" s="18" t="s">
        <v>0</v>
      </c>
      <c r="F12493" s="41">
        <v>1</v>
      </c>
      <c r="G12493" s="4">
        <v>15</v>
      </c>
      <c r="H12493" s="18">
        <v>27.723000000000003</v>
      </c>
      <c r="I12493" s="90"/>
      <c r="J12493" s="90"/>
    </row>
    <row r="12494" spans="1:10" s="15" customFormat="1" ht="16.5" hidden="1" customHeight="1" outlineLevel="1" x14ac:dyDescent="0.25">
      <c r="A12494" s="18">
        <v>2427</v>
      </c>
      <c r="B12494" s="4" t="s">
        <v>44</v>
      </c>
      <c r="C12494" s="38" t="s">
        <v>7200</v>
      </c>
      <c r="D12494" s="18">
        <v>2022</v>
      </c>
      <c r="E12494" s="18" t="s">
        <v>0</v>
      </c>
      <c r="F12494" s="41">
        <v>1</v>
      </c>
      <c r="G12494" s="4">
        <v>5</v>
      </c>
      <c r="H12494" s="18">
        <v>12.98348</v>
      </c>
      <c r="I12494" s="90"/>
      <c r="J12494" s="90"/>
    </row>
    <row r="12495" spans="1:10" s="15" customFormat="1" ht="16.5" hidden="1" customHeight="1" outlineLevel="1" x14ac:dyDescent="0.25">
      <c r="A12495" s="18">
        <v>2428</v>
      </c>
      <c r="B12495" s="4" t="s">
        <v>44</v>
      </c>
      <c r="C12495" s="38" t="s">
        <v>3069</v>
      </c>
      <c r="D12495" s="18">
        <v>2022</v>
      </c>
      <c r="E12495" s="18" t="s">
        <v>0</v>
      </c>
      <c r="F12495" s="41">
        <v>1</v>
      </c>
      <c r="G12495" s="4">
        <v>15</v>
      </c>
      <c r="H12495" s="18">
        <v>41.859550000000006</v>
      </c>
      <c r="I12495" s="90"/>
      <c r="J12495" s="90"/>
    </row>
    <row r="12496" spans="1:10" s="15" customFormat="1" ht="16.5" hidden="1" customHeight="1" outlineLevel="1" x14ac:dyDescent="0.25">
      <c r="A12496" s="18">
        <v>2430</v>
      </c>
      <c r="B12496" s="4" t="s">
        <v>44</v>
      </c>
      <c r="C12496" s="38" t="s">
        <v>3070</v>
      </c>
      <c r="D12496" s="18">
        <v>2022</v>
      </c>
      <c r="E12496" s="18" t="s">
        <v>0</v>
      </c>
      <c r="F12496" s="41">
        <v>1</v>
      </c>
      <c r="G12496" s="4">
        <v>15</v>
      </c>
      <c r="H12496" s="18">
        <v>19.025650000000002</v>
      </c>
      <c r="I12496" s="90"/>
      <c r="J12496" s="90"/>
    </row>
    <row r="12497" spans="1:10" s="15" customFormat="1" ht="16.5" hidden="1" customHeight="1" outlineLevel="1" x14ac:dyDescent="0.25">
      <c r="A12497" s="18">
        <v>2431</v>
      </c>
      <c r="B12497" s="4" t="s">
        <v>44</v>
      </c>
      <c r="C12497" s="38" t="s">
        <v>3096</v>
      </c>
      <c r="D12497" s="18">
        <v>2022</v>
      </c>
      <c r="E12497" s="18" t="s">
        <v>0</v>
      </c>
      <c r="F12497" s="41">
        <v>1</v>
      </c>
      <c r="G12497" s="4">
        <v>150</v>
      </c>
      <c r="H12497" s="18">
        <v>18.380659999999999</v>
      </c>
      <c r="I12497" s="90"/>
      <c r="J12497" s="90"/>
    </row>
    <row r="12498" spans="1:10" s="15" customFormat="1" ht="16.5" hidden="1" customHeight="1" outlineLevel="1" x14ac:dyDescent="0.25">
      <c r="A12498" s="18">
        <v>2455</v>
      </c>
      <c r="B12498" s="4" t="s">
        <v>44</v>
      </c>
      <c r="C12498" s="38" t="s">
        <v>3071</v>
      </c>
      <c r="D12498" s="18">
        <v>2022</v>
      </c>
      <c r="E12498" s="18" t="s">
        <v>0</v>
      </c>
      <c r="F12498" s="41">
        <v>1</v>
      </c>
      <c r="G12498" s="4">
        <v>15</v>
      </c>
      <c r="H12498" s="18">
        <v>46.260000000000005</v>
      </c>
      <c r="I12498" s="90"/>
      <c r="J12498" s="90"/>
    </row>
    <row r="12499" spans="1:10" s="15" customFormat="1" ht="16.5" hidden="1" customHeight="1" outlineLevel="1" x14ac:dyDescent="0.25">
      <c r="A12499" s="18">
        <v>2507</v>
      </c>
      <c r="B12499" s="4" t="s">
        <v>44</v>
      </c>
      <c r="C12499" s="38" t="s">
        <v>3072</v>
      </c>
      <c r="D12499" s="18">
        <v>2022</v>
      </c>
      <c r="E12499" s="18" t="s">
        <v>0</v>
      </c>
      <c r="F12499" s="41">
        <v>1</v>
      </c>
      <c r="G12499" s="4">
        <v>15</v>
      </c>
      <c r="H12499" s="18">
        <v>46.468899999999998</v>
      </c>
      <c r="I12499" s="90"/>
      <c r="J12499" s="90"/>
    </row>
    <row r="12500" spans="1:10" s="15" customFormat="1" ht="16.5" hidden="1" customHeight="1" outlineLevel="1" x14ac:dyDescent="0.25">
      <c r="A12500" s="18">
        <v>2508</v>
      </c>
      <c r="B12500" s="4" t="s">
        <v>44</v>
      </c>
      <c r="C12500" s="38" t="s">
        <v>3073</v>
      </c>
      <c r="D12500" s="18">
        <v>2022</v>
      </c>
      <c r="E12500" s="18" t="s">
        <v>0</v>
      </c>
      <c r="F12500" s="41">
        <v>1</v>
      </c>
      <c r="G12500" s="4">
        <v>15</v>
      </c>
      <c r="H12500" s="18">
        <v>28.227</v>
      </c>
      <c r="I12500" s="90"/>
      <c r="J12500" s="90"/>
    </row>
    <row r="12501" spans="1:10" s="15" customFormat="1" ht="16.5" hidden="1" customHeight="1" outlineLevel="1" x14ac:dyDescent="0.25">
      <c r="A12501" s="18">
        <v>2509</v>
      </c>
      <c r="B12501" s="4" t="s">
        <v>44</v>
      </c>
      <c r="C12501" s="38" t="s">
        <v>3074</v>
      </c>
      <c r="D12501" s="18">
        <v>2022</v>
      </c>
      <c r="E12501" s="18" t="s">
        <v>0</v>
      </c>
      <c r="F12501" s="41">
        <v>1</v>
      </c>
      <c r="G12501" s="4">
        <v>6</v>
      </c>
      <c r="H12501" s="18">
        <v>27.465769999999999</v>
      </c>
      <c r="I12501" s="90"/>
      <c r="J12501" s="90"/>
    </row>
    <row r="12502" spans="1:10" s="15" customFormat="1" ht="16.5" hidden="1" customHeight="1" outlineLevel="1" x14ac:dyDescent="0.25">
      <c r="A12502" s="18">
        <v>2510</v>
      </c>
      <c r="B12502" s="4" t="s">
        <v>44</v>
      </c>
      <c r="C12502" s="38" t="s">
        <v>3097</v>
      </c>
      <c r="D12502" s="18">
        <v>2022</v>
      </c>
      <c r="E12502" s="18" t="s">
        <v>0</v>
      </c>
      <c r="F12502" s="41">
        <v>1</v>
      </c>
      <c r="G12502" s="4">
        <v>200</v>
      </c>
      <c r="H12502" s="18">
        <v>20.376350000000002</v>
      </c>
      <c r="I12502" s="90"/>
      <c r="J12502" s="90"/>
    </row>
    <row r="12503" spans="1:10" s="15" customFormat="1" ht="16.5" hidden="1" customHeight="1" outlineLevel="1" x14ac:dyDescent="0.25">
      <c r="A12503" s="18">
        <v>2511</v>
      </c>
      <c r="B12503" s="4" t="s">
        <v>44</v>
      </c>
      <c r="C12503" s="38" t="s">
        <v>3075</v>
      </c>
      <c r="D12503" s="18">
        <v>2022</v>
      </c>
      <c r="E12503" s="18" t="s">
        <v>0</v>
      </c>
      <c r="F12503" s="41">
        <v>1</v>
      </c>
      <c r="G12503" s="4">
        <v>8</v>
      </c>
      <c r="H12503" s="18">
        <v>51.735000000000007</v>
      </c>
      <c r="I12503" s="90"/>
      <c r="J12503" s="90"/>
    </row>
    <row r="12504" spans="1:10" s="15" customFormat="1" ht="16.5" hidden="1" customHeight="1" outlineLevel="1" x14ac:dyDescent="0.25">
      <c r="A12504" s="18">
        <v>2548</v>
      </c>
      <c r="B12504" s="4" t="s">
        <v>44</v>
      </c>
      <c r="C12504" s="38" t="s">
        <v>3077</v>
      </c>
      <c r="D12504" s="18">
        <v>2022</v>
      </c>
      <c r="E12504" s="18" t="s">
        <v>0</v>
      </c>
      <c r="F12504" s="41">
        <v>1</v>
      </c>
      <c r="G12504" s="4">
        <v>15</v>
      </c>
      <c r="H12504" s="18">
        <v>45.877980000000001</v>
      </c>
      <c r="I12504" s="90"/>
      <c r="J12504" s="90"/>
    </row>
    <row r="12505" spans="1:10" s="15" customFormat="1" ht="16.5" hidden="1" customHeight="1" outlineLevel="1" x14ac:dyDescent="0.25">
      <c r="A12505" s="18">
        <v>2549</v>
      </c>
      <c r="B12505" s="4" t="s">
        <v>44</v>
      </c>
      <c r="C12505" s="38" t="s">
        <v>7201</v>
      </c>
      <c r="D12505" s="18">
        <v>2022</v>
      </c>
      <c r="E12505" s="18" t="s">
        <v>0</v>
      </c>
      <c r="F12505" s="41">
        <v>1</v>
      </c>
      <c r="G12505" s="4">
        <v>15</v>
      </c>
      <c r="H12505" s="18">
        <v>24.605990000000002</v>
      </c>
      <c r="I12505" s="90"/>
      <c r="J12505" s="90"/>
    </row>
    <row r="12506" spans="1:10" s="15" customFormat="1" ht="16.5" hidden="1" customHeight="1" outlineLevel="1" x14ac:dyDescent="0.25">
      <c r="A12506" s="18">
        <v>2550</v>
      </c>
      <c r="B12506" s="4" t="s">
        <v>44</v>
      </c>
      <c r="C12506" s="38" t="s">
        <v>7202</v>
      </c>
      <c r="D12506" s="18">
        <v>2022</v>
      </c>
      <c r="E12506" s="18" t="s">
        <v>0</v>
      </c>
      <c r="F12506" s="41">
        <v>1</v>
      </c>
      <c r="G12506" s="4">
        <v>15</v>
      </c>
      <c r="H12506" s="18">
        <v>23.152889999999999</v>
      </c>
      <c r="I12506" s="90"/>
      <c r="J12506" s="90"/>
    </row>
    <row r="12507" spans="1:10" s="15" customFormat="1" ht="16.5" hidden="1" customHeight="1" outlineLevel="1" x14ac:dyDescent="0.25">
      <c r="A12507" s="18">
        <v>2551</v>
      </c>
      <c r="B12507" s="4" t="s">
        <v>44</v>
      </c>
      <c r="C12507" s="38" t="s">
        <v>7203</v>
      </c>
      <c r="D12507" s="18">
        <v>2022</v>
      </c>
      <c r="E12507" s="18" t="s">
        <v>0</v>
      </c>
      <c r="F12507" s="41">
        <v>1</v>
      </c>
      <c r="G12507" s="4">
        <v>10</v>
      </c>
      <c r="H12507" s="18">
        <v>25.205209999999997</v>
      </c>
      <c r="I12507" s="90"/>
      <c r="J12507" s="90"/>
    </row>
    <row r="12508" spans="1:10" s="15" customFormat="1" ht="16.5" hidden="1" customHeight="1" outlineLevel="1" x14ac:dyDescent="0.25">
      <c r="A12508" s="18">
        <v>2552</v>
      </c>
      <c r="B12508" s="4" t="s">
        <v>44</v>
      </c>
      <c r="C12508" s="38" t="s">
        <v>7204</v>
      </c>
      <c r="D12508" s="18">
        <v>2022</v>
      </c>
      <c r="E12508" s="18" t="s">
        <v>0</v>
      </c>
      <c r="F12508" s="41">
        <v>1</v>
      </c>
      <c r="G12508" s="4">
        <v>15</v>
      </c>
      <c r="H12508" s="18">
        <v>23.42754</v>
      </c>
      <c r="I12508" s="90"/>
      <c r="J12508" s="90"/>
    </row>
    <row r="12509" spans="1:10" s="15" customFormat="1" ht="16.5" hidden="1" customHeight="1" outlineLevel="1" x14ac:dyDescent="0.25">
      <c r="A12509" s="18">
        <v>2553</v>
      </c>
      <c r="B12509" s="4" t="s">
        <v>44</v>
      </c>
      <c r="C12509" s="38" t="s">
        <v>7205</v>
      </c>
      <c r="D12509" s="18">
        <v>2022</v>
      </c>
      <c r="E12509" s="18" t="s">
        <v>0</v>
      </c>
      <c r="F12509" s="41">
        <v>1</v>
      </c>
      <c r="G12509" s="4">
        <v>15</v>
      </c>
      <c r="H12509" s="18">
        <v>26.051810000000003</v>
      </c>
      <c r="I12509" s="90"/>
      <c r="J12509" s="90"/>
    </row>
    <row r="12510" spans="1:10" s="15" customFormat="1" ht="16.5" hidden="1" customHeight="1" outlineLevel="1" x14ac:dyDescent="0.25">
      <c r="A12510" s="18">
        <v>2554</v>
      </c>
      <c r="B12510" s="4" t="s">
        <v>44</v>
      </c>
      <c r="C12510" s="38" t="s">
        <v>7206</v>
      </c>
      <c r="D12510" s="18">
        <v>2022</v>
      </c>
      <c r="E12510" s="18" t="s">
        <v>0</v>
      </c>
      <c r="F12510" s="41">
        <v>1</v>
      </c>
      <c r="G12510" s="4">
        <v>5</v>
      </c>
      <c r="H12510" s="18">
        <v>13.091989999999999</v>
      </c>
      <c r="I12510" s="90"/>
      <c r="J12510" s="90"/>
    </row>
    <row r="12511" spans="1:10" s="15" customFormat="1" ht="16.5" hidden="1" customHeight="1" outlineLevel="1" x14ac:dyDescent="0.25">
      <c r="A12511" s="18">
        <v>2555</v>
      </c>
      <c r="B12511" s="4" t="s">
        <v>44</v>
      </c>
      <c r="C12511" s="38" t="s">
        <v>7207</v>
      </c>
      <c r="D12511" s="18">
        <v>2022</v>
      </c>
      <c r="E12511" s="18" t="s">
        <v>0</v>
      </c>
      <c r="F12511" s="41">
        <v>1</v>
      </c>
      <c r="G12511" s="4">
        <v>11</v>
      </c>
      <c r="H12511" s="18">
        <v>23.529140000000002</v>
      </c>
      <c r="I12511" s="90"/>
      <c r="J12511" s="90"/>
    </row>
    <row r="12512" spans="1:10" s="15" customFormat="1" ht="16.5" hidden="1" customHeight="1" outlineLevel="1" x14ac:dyDescent="0.25">
      <c r="A12512" s="18">
        <v>2556</v>
      </c>
      <c r="B12512" s="4" t="s">
        <v>44</v>
      </c>
      <c r="C12512" s="38" t="s">
        <v>7208</v>
      </c>
      <c r="D12512" s="18">
        <v>2022</v>
      </c>
      <c r="E12512" s="18" t="s">
        <v>0</v>
      </c>
      <c r="F12512" s="41">
        <v>1</v>
      </c>
      <c r="G12512" s="4">
        <v>10</v>
      </c>
      <c r="H12512" s="18">
        <v>22.837819999999997</v>
      </c>
      <c r="I12512" s="90"/>
      <c r="J12512" s="90"/>
    </row>
    <row r="12513" spans="1:10" s="15" customFormat="1" ht="16.5" hidden="1" customHeight="1" outlineLevel="1" x14ac:dyDescent="0.25">
      <c r="A12513" s="18">
        <v>2557</v>
      </c>
      <c r="B12513" s="4" t="s">
        <v>44</v>
      </c>
      <c r="C12513" s="38" t="s">
        <v>7209</v>
      </c>
      <c r="D12513" s="18">
        <v>2022</v>
      </c>
      <c r="E12513" s="18" t="s">
        <v>0</v>
      </c>
      <c r="F12513" s="41">
        <v>1</v>
      </c>
      <c r="G12513" s="4">
        <v>2</v>
      </c>
      <c r="H12513" s="18">
        <v>12.588849999999999</v>
      </c>
      <c r="I12513" s="90"/>
      <c r="J12513" s="90"/>
    </row>
    <row r="12514" spans="1:10" s="15" customFormat="1" ht="16.5" hidden="1" customHeight="1" outlineLevel="1" x14ac:dyDescent="0.25">
      <c r="A12514" s="18">
        <v>2558</v>
      </c>
      <c r="B12514" s="4" t="s">
        <v>44</v>
      </c>
      <c r="C12514" s="38" t="s">
        <v>7210</v>
      </c>
      <c r="D12514" s="18">
        <v>2022</v>
      </c>
      <c r="E12514" s="18" t="s">
        <v>0</v>
      </c>
      <c r="F12514" s="41">
        <v>1</v>
      </c>
      <c r="G12514" s="4">
        <v>2</v>
      </c>
      <c r="H12514" s="18">
        <v>14.112879999999999</v>
      </c>
      <c r="I12514" s="90"/>
      <c r="J12514" s="90"/>
    </row>
    <row r="12515" spans="1:10" s="15" customFormat="1" ht="16.5" hidden="1" customHeight="1" outlineLevel="1" x14ac:dyDescent="0.25">
      <c r="A12515" s="18">
        <v>2559</v>
      </c>
      <c r="B12515" s="4" t="s">
        <v>44</v>
      </c>
      <c r="C12515" s="38" t="s">
        <v>7211</v>
      </c>
      <c r="D12515" s="18">
        <v>2022</v>
      </c>
      <c r="E12515" s="18" t="s">
        <v>0</v>
      </c>
      <c r="F12515" s="41">
        <v>1</v>
      </c>
      <c r="G12515" s="4">
        <v>2</v>
      </c>
      <c r="H12515" s="18">
        <v>14.112870000000001</v>
      </c>
      <c r="I12515" s="90"/>
      <c r="J12515" s="90"/>
    </row>
    <row r="12516" spans="1:10" s="15" customFormat="1" ht="16.5" hidden="1" customHeight="1" outlineLevel="1" x14ac:dyDescent="0.25">
      <c r="A12516" s="18">
        <v>2560</v>
      </c>
      <c r="B12516" s="4" t="s">
        <v>44</v>
      </c>
      <c r="C12516" s="38" t="s">
        <v>7212</v>
      </c>
      <c r="D12516" s="18">
        <v>2022</v>
      </c>
      <c r="E12516" s="18" t="s">
        <v>0</v>
      </c>
      <c r="F12516" s="41">
        <v>1</v>
      </c>
      <c r="G12516" s="4">
        <v>50</v>
      </c>
      <c r="H12516" s="18">
        <v>21.144720000000003</v>
      </c>
      <c r="I12516" s="90"/>
      <c r="J12516" s="90"/>
    </row>
    <row r="12517" spans="1:10" s="15" customFormat="1" ht="16.5" hidden="1" customHeight="1" outlineLevel="1" x14ac:dyDescent="0.25">
      <c r="A12517" s="18">
        <v>2561</v>
      </c>
      <c r="B12517" s="4" t="s">
        <v>44</v>
      </c>
      <c r="C12517" s="38" t="s">
        <v>7213</v>
      </c>
      <c r="D12517" s="18">
        <v>2022</v>
      </c>
      <c r="E12517" s="18" t="s">
        <v>0</v>
      </c>
      <c r="F12517" s="41">
        <v>1</v>
      </c>
      <c r="G12517" s="4">
        <v>7</v>
      </c>
      <c r="H12517" s="18">
        <v>21.350599999999996</v>
      </c>
      <c r="I12517" s="90"/>
      <c r="J12517" s="90"/>
    </row>
    <row r="12518" spans="1:10" s="15" customFormat="1" ht="16.5" hidden="1" customHeight="1" outlineLevel="1" x14ac:dyDescent="0.25">
      <c r="A12518" s="18">
        <v>2562</v>
      </c>
      <c r="B12518" s="4" t="s">
        <v>44</v>
      </c>
      <c r="C12518" s="38" t="s">
        <v>7214</v>
      </c>
      <c r="D12518" s="18">
        <v>2022</v>
      </c>
      <c r="E12518" s="18" t="s">
        <v>0</v>
      </c>
      <c r="F12518" s="41">
        <v>1</v>
      </c>
      <c r="G12518" s="4">
        <v>10</v>
      </c>
      <c r="H12518" s="18">
        <v>22.545119999999997</v>
      </c>
      <c r="I12518" s="90"/>
      <c r="J12518" s="90"/>
    </row>
    <row r="12519" spans="1:10" s="15" customFormat="1" ht="16.5" hidden="1" customHeight="1" outlineLevel="1" x14ac:dyDescent="0.25">
      <c r="A12519" s="18">
        <v>2563</v>
      </c>
      <c r="B12519" s="4" t="s">
        <v>44</v>
      </c>
      <c r="C12519" s="38" t="s">
        <v>7215</v>
      </c>
      <c r="D12519" s="18">
        <v>2022</v>
      </c>
      <c r="E12519" s="18" t="s">
        <v>0</v>
      </c>
      <c r="F12519" s="41">
        <v>1</v>
      </c>
      <c r="G12519" s="4">
        <v>1</v>
      </c>
      <c r="H12519" s="18">
        <v>11.92733</v>
      </c>
      <c r="I12519" s="90"/>
      <c r="J12519" s="90"/>
    </row>
    <row r="12520" spans="1:10" s="15" customFormat="1" ht="16.5" hidden="1" customHeight="1" outlineLevel="1" x14ac:dyDescent="0.25">
      <c r="A12520" s="18">
        <v>2565</v>
      </c>
      <c r="B12520" s="4" t="s">
        <v>44</v>
      </c>
      <c r="C12520" s="38" t="s">
        <v>3078</v>
      </c>
      <c r="D12520" s="18">
        <v>2022</v>
      </c>
      <c r="E12520" s="18" t="s">
        <v>0</v>
      </c>
      <c r="F12520" s="41">
        <v>1</v>
      </c>
      <c r="G12520" s="4">
        <v>15</v>
      </c>
      <c r="H12520" s="18">
        <v>86.843000000000004</v>
      </c>
      <c r="I12520" s="90"/>
      <c r="J12520" s="90"/>
    </row>
    <row r="12521" spans="1:10" s="15" customFormat="1" ht="16.5" hidden="1" customHeight="1" outlineLevel="1" x14ac:dyDescent="0.25">
      <c r="A12521" s="18">
        <v>2566</v>
      </c>
      <c r="B12521" s="4" t="s">
        <v>44</v>
      </c>
      <c r="C12521" s="38" t="s">
        <v>3079</v>
      </c>
      <c r="D12521" s="18">
        <v>2022</v>
      </c>
      <c r="E12521" s="18" t="s">
        <v>0</v>
      </c>
      <c r="F12521" s="41">
        <v>1</v>
      </c>
      <c r="G12521" s="4">
        <v>5</v>
      </c>
      <c r="H12521" s="18">
        <v>137.61100000000002</v>
      </c>
      <c r="I12521" s="90"/>
      <c r="J12521" s="90"/>
    </row>
    <row r="12522" spans="1:10" s="15" customFormat="1" ht="16.5" hidden="1" customHeight="1" outlineLevel="1" x14ac:dyDescent="0.25">
      <c r="A12522" s="18">
        <v>2567</v>
      </c>
      <c r="B12522" s="4" t="s">
        <v>44</v>
      </c>
      <c r="C12522" s="38" t="s">
        <v>3098</v>
      </c>
      <c r="D12522" s="18">
        <v>2022</v>
      </c>
      <c r="E12522" s="18" t="s">
        <v>0</v>
      </c>
      <c r="F12522" s="41">
        <v>1</v>
      </c>
      <c r="G12522" s="4">
        <v>150</v>
      </c>
      <c r="H12522" s="18">
        <v>125.646</v>
      </c>
      <c r="I12522" s="90"/>
      <c r="J12522" s="90"/>
    </row>
    <row r="12523" spans="1:10" s="15" customFormat="1" ht="16.5" hidden="1" customHeight="1" outlineLevel="1" x14ac:dyDescent="0.25">
      <c r="A12523" s="18">
        <v>2568</v>
      </c>
      <c r="B12523" s="4" t="s">
        <v>44</v>
      </c>
      <c r="C12523" s="38" t="s">
        <v>3080</v>
      </c>
      <c r="D12523" s="18">
        <v>2022</v>
      </c>
      <c r="E12523" s="18" t="s">
        <v>0</v>
      </c>
      <c r="F12523" s="41">
        <v>1</v>
      </c>
      <c r="G12523" s="4">
        <v>15</v>
      </c>
      <c r="H12523" s="18">
        <v>136.04759999999999</v>
      </c>
      <c r="I12523" s="90"/>
      <c r="J12523" s="90"/>
    </row>
    <row r="12524" spans="1:10" s="15" customFormat="1" ht="16.5" hidden="1" customHeight="1" outlineLevel="1" x14ac:dyDescent="0.25">
      <c r="A12524" s="18">
        <v>2613</v>
      </c>
      <c r="B12524" s="4" t="s">
        <v>44</v>
      </c>
      <c r="C12524" s="38" t="s">
        <v>7216</v>
      </c>
      <c r="D12524" s="18">
        <v>2022</v>
      </c>
      <c r="E12524" s="18" t="s">
        <v>0</v>
      </c>
      <c r="F12524" s="41">
        <v>1</v>
      </c>
      <c r="G12524" s="4">
        <v>14</v>
      </c>
      <c r="H12524" s="18">
        <v>5.3943700000000003</v>
      </c>
      <c r="I12524" s="90"/>
      <c r="J12524" s="90"/>
    </row>
    <row r="12525" spans="1:10" s="15" customFormat="1" ht="16.5" hidden="1" customHeight="1" outlineLevel="1" x14ac:dyDescent="0.25">
      <c r="A12525" s="18">
        <v>2614</v>
      </c>
      <c r="B12525" s="4" t="s">
        <v>44</v>
      </c>
      <c r="C12525" s="38" t="s">
        <v>7217</v>
      </c>
      <c r="D12525" s="18">
        <v>2022</v>
      </c>
      <c r="E12525" s="18" t="s">
        <v>0</v>
      </c>
      <c r="F12525" s="41">
        <v>1</v>
      </c>
      <c r="G12525" s="4">
        <v>15</v>
      </c>
      <c r="H12525" s="18">
        <v>5.3944399999999995</v>
      </c>
      <c r="I12525" s="90"/>
      <c r="J12525" s="90"/>
    </row>
    <row r="12526" spans="1:10" s="15" customFormat="1" ht="16.5" hidden="1" customHeight="1" outlineLevel="1" x14ac:dyDescent="0.25">
      <c r="A12526" s="18">
        <v>2615</v>
      </c>
      <c r="B12526" s="4" t="s">
        <v>44</v>
      </c>
      <c r="C12526" s="38" t="s">
        <v>7218</v>
      </c>
      <c r="D12526" s="18">
        <v>2022</v>
      </c>
      <c r="E12526" s="18" t="s">
        <v>0</v>
      </c>
      <c r="F12526" s="41">
        <v>1</v>
      </c>
      <c r="G12526" s="4">
        <v>15</v>
      </c>
      <c r="H12526" s="18">
        <v>6.7879099999999992</v>
      </c>
      <c r="I12526" s="90"/>
      <c r="J12526" s="90"/>
    </row>
    <row r="12527" spans="1:10" s="15" customFormat="1" ht="16.5" hidden="1" customHeight="1" outlineLevel="1" x14ac:dyDescent="0.25">
      <c r="A12527" s="18">
        <v>2616</v>
      </c>
      <c r="B12527" s="4" t="s">
        <v>44</v>
      </c>
      <c r="C12527" s="38" t="s">
        <v>7219</v>
      </c>
      <c r="D12527" s="18">
        <v>2022</v>
      </c>
      <c r="E12527" s="18" t="s">
        <v>0</v>
      </c>
      <c r="F12527" s="41">
        <v>1</v>
      </c>
      <c r="G12527" s="4">
        <v>15</v>
      </c>
      <c r="H12527" s="18">
        <v>9.5748700000000007</v>
      </c>
      <c r="I12527" s="90"/>
      <c r="J12527" s="90"/>
    </row>
    <row r="12528" spans="1:10" s="15" customFormat="1" ht="16.5" hidden="1" customHeight="1" outlineLevel="1" x14ac:dyDescent="0.25">
      <c r="A12528" s="18">
        <v>2617</v>
      </c>
      <c r="B12528" s="4" t="s">
        <v>44</v>
      </c>
      <c r="C12528" s="38" t="s">
        <v>7220</v>
      </c>
      <c r="D12528" s="18">
        <v>2022</v>
      </c>
      <c r="E12528" s="18" t="s">
        <v>0</v>
      </c>
      <c r="F12528" s="41">
        <v>1</v>
      </c>
      <c r="G12528" s="4">
        <v>10</v>
      </c>
      <c r="H12528" s="18">
        <v>5.3944000000000001</v>
      </c>
      <c r="I12528" s="90"/>
      <c r="J12528" s="90"/>
    </row>
    <row r="12529" spans="1:10" s="15" customFormat="1" ht="16.5" hidden="1" customHeight="1" outlineLevel="1" x14ac:dyDescent="0.25">
      <c r="A12529" s="18">
        <v>2618</v>
      </c>
      <c r="B12529" s="4" t="s">
        <v>44</v>
      </c>
      <c r="C12529" s="38" t="s">
        <v>7221</v>
      </c>
      <c r="D12529" s="18">
        <v>2022</v>
      </c>
      <c r="E12529" s="18" t="s">
        <v>0</v>
      </c>
      <c r="F12529" s="41">
        <v>1</v>
      </c>
      <c r="G12529" s="4">
        <v>15</v>
      </c>
      <c r="H12529" s="18">
        <v>5.3943399999999997</v>
      </c>
      <c r="I12529" s="90"/>
      <c r="J12529" s="90"/>
    </row>
    <row r="12530" spans="1:10" s="15" customFormat="1" ht="16.5" hidden="1" customHeight="1" outlineLevel="1" x14ac:dyDescent="0.25">
      <c r="A12530" s="18">
        <v>2619</v>
      </c>
      <c r="B12530" s="4" t="s">
        <v>44</v>
      </c>
      <c r="C12530" s="38" t="s">
        <v>7222</v>
      </c>
      <c r="D12530" s="18">
        <v>2022</v>
      </c>
      <c r="E12530" s="18" t="s">
        <v>0</v>
      </c>
      <c r="F12530" s="41">
        <v>1</v>
      </c>
      <c r="G12530" s="4">
        <v>15</v>
      </c>
      <c r="H12530" s="18">
        <v>5.3943500000000002</v>
      </c>
      <c r="I12530" s="90"/>
      <c r="J12530" s="90"/>
    </row>
    <row r="12531" spans="1:10" s="15" customFormat="1" ht="16.5" hidden="1" customHeight="1" outlineLevel="1" x14ac:dyDescent="0.25">
      <c r="A12531" s="18">
        <v>2620</v>
      </c>
      <c r="B12531" s="4" t="s">
        <v>44</v>
      </c>
      <c r="C12531" s="38" t="s">
        <v>7223</v>
      </c>
      <c r="D12531" s="18">
        <v>2022</v>
      </c>
      <c r="E12531" s="18" t="s">
        <v>0</v>
      </c>
      <c r="F12531" s="41">
        <v>1</v>
      </c>
      <c r="G12531" s="4">
        <v>10</v>
      </c>
      <c r="H12531" s="18">
        <v>6.6111399999999998</v>
      </c>
      <c r="I12531" s="90"/>
      <c r="J12531" s="90"/>
    </row>
    <row r="12532" spans="1:10" s="15" customFormat="1" ht="16.5" hidden="1" customHeight="1" outlineLevel="1" x14ac:dyDescent="0.25">
      <c r="A12532" s="18">
        <v>2621</v>
      </c>
      <c r="B12532" s="4" t="s">
        <v>44</v>
      </c>
      <c r="C12532" s="38" t="s">
        <v>7224</v>
      </c>
      <c r="D12532" s="18">
        <v>2022</v>
      </c>
      <c r="E12532" s="18" t="s">
        <v>0</v>
      </c>
      <c r="F12532" s="41">
        <v>1</v>
      </c>
      <c r="G12532" s="4">
        <v>15</v>
      </c>
      <c r="H12532" s="18">
        <v>6.6100899999999996</v>
      </c>
      <c r="I12532" s="90"/>
      <c r="J12532" s="90"/>
    </row>
    <row r="12533" spans="1:10" s="15" customFormat="1" ht="16.5" hidden="1" customHeight="1" outlineLevel="1" x14ac:dyDescent="0.25">
      <c r="A12533" s="18">
        <v>2622</v>
      </c>
      <c r="B12533" s="4" t="s">
        <v>44</v>
      </c>
      <c r="C12533" s="38" t="s">
        <v>7225</v>
      </c>
      <c r="D12533" s="18">
        <v>2022</v>
      </c>
      <c r="E12533" s="18" t="s">
        <v>0</v>
      </c>
      <c r="F12533" s="41">
        <v>1</v>
      </c>
      <c r="G12533" s="4">
        <v>15</v>
      </c>
      <c r="H12533" s="18">
        <v>10.6149</v>
      </c>
      <c r="I12533" s="90"/>
      <c r="J12533" s="90"/>
    </row>
    <row r="12534" spans="1:10" s="15" customFormat="1" ht="16.5" hidden="1" customHeight="1" outlineLevel="1" x14ac:dyDescent="0.25">
      <c r="A12534" s="18">
        <v>2623</v>
      </c>
      <c r="B12534" s="4" t="s">
        <v>44</v>
      </c>
      <c r="C12534" s="38" t="s">
        <v>7226</v>
      </c>
      <c r="D12534" s="18">
        <v>2022</v>
      </c>
      <c r="E12534" s="18" t="s">
        <v>0</v>
      </c>
      <c r="F12534" s="41">
        <v>1</v>
      </c>
      <c r="G12534" s="4">
        <v>15</v>
      </c>
      <c r="H12534" s="18">
        <v>5.3943500000000002</v>
      </c>
      <c r="I12534" s="90"/>
      <c r="J12534" s="90"/>
    </row>
    <row r="12535" spans="1:10" s="15" customFormat="1" ht="16.5" hidden="1" customHeight="1" outlineLevel="1" x14ac:dyDescent="0.25">
      <c r="A12535" s="18">
        <v>2624</v>
      </c>
      <c r="B12535" s="4" t="s">
        <v>44</v>
      </c>
      <c r="C12535" s="38" t="s">
        <v>7227</v>
      </c>
      <c r="D12535" s="18">
        <v>2022</v>
      </c>
      <c r="E12535" s="18" t="s">
        <v>0</v>
      </c>
      <c r="F12535" s="41">
        <v>1</v>
      </c>
      <c r="G12535" s="4">
        <v>15</v>
      </c>
      <c r="H12535" s="18">
        <v>5.3943399999999997</v>
      </c>
      <c r="I12535" s="90"/>
      <c r="J12535" s="90"/>
    </row>
    <row r="12536" spans="1:10" s="15" customFormat="1" ht="16.5" hidden="1" customHeight="1" outlineLevel="1" x14ac:dyDescent="0.25">
      <c r="A12536" s="18">
        <v>2625</v>
      </c>
      <c r="B12536" s="4" t="s">
        <v>44</v>
      </c>
      <c r="C12536" s="38" t="s">
        <v>7228</v>
      </c>
      <c r="D12536" s="18">
        <v>2022</v>
      </c>
      <c r="E12536" s="18" t="s">
        <v>0</v>
      </c>
      <c r="F12536" s="41">
        <v>1</v>
      </c>
      <c r="G12536" s="4">
        <v>15</v>
      </c>
      <c r="H12536" s="18">
        <v>5.3943500000000002</v>
      </c>
      <c r="I12536" s="90"/>
      <c r="J12536" s="90"/>
    </row>
    <row r="12537" spans="1:10" s="15" customFormat="1" ht="16.5" hidden="1" customHeight="1" outlineLevel="1" x14ac:dyDescent="0.25">
      <c r="A12537" s="18">
        <v>2626</v>
      </c>
      <c r="B12537" s="4" t="s">
        <v>44</v>
      </c>
      <c r="C12537" s="38" t="s">
        <v>7229</v>
      </c>
      <c r="D12537" s="18">
        <v>2022</v>
      </c>
      <c r="E12537" s="18" t="s">
        <v>0</v>
      </c>
      <c r="F12537" s="41">
        <v>1</v>
      </c>
      <c r="G12537" s="4">
        <v>10</v>
      </c>
      <c r="H12537" s="18">
        <v>5.3943399999999997</v>
      </c>
      <c r="I12537" s="90"/>
      <c r="J12537" s="90"/>
    </row>
    <row r="12538" spans="1:10" s="15" customFormat="1" ht="16.5" hidden="1" customHeight="1" outlineLevel="1" x14ac:dyDescent="0.25">
      <c r="A12538" s="18">
        <v>2627</v>
      </c>
      <c r="B12538" s="4" t="s">
        <v>44</v>
      </c>
      <c r="C12538" s="38" t="s">
        <v>7230</v>
      </c>
      <c r="D12538" s="18">
        <v>2022</v>
      </c>
      <c r="E12538" s="18" t="s">
        <v>0</v>
      </c>
      <c r="F12538" s="41">
        <v>1</v>
      </c>
      <c r="G12538" s="4">
        <v>10</v>
      </c>
      <c r="H12538" s="18">
        <v>5.3943500000000002</v>
      </c>
      <c r="I12538" s="90"/>
      <c r="J12538" s="90"/>
    </row>
    <row r="12539" spans="1:10" s="15" customFormat="1" ht="16.5" hidden="1" customHeight="1" outlineLevel="1" x14ac:dyDescent="0.25">
      <c r="A12539" s="18">
        <v>2628</v>
      </c>
      <c r="B12539" s="4" t="s">
        <v>44</v>
      </c>
      <c r="C12539" s="38" t="s">
        <v>7231</v>
      </c>
      <c r="D12539" s="18">
        <v>2022</v>
      </c>
      <c r="E12539" s="18" t="s">
        <v>0</v>
      </c>
      <c r="F12539" s="41">
        <v>1</v>
      </c>
      <c r="G12539" s="4">
        <v>15</v>
      </c>
      <c r="H12539" s="18">
        <v>6.6111400000000007</v>
      </c>
      <c r="I12539" s="90"/>
      <c r="J12539" s="90"/>
    </row>
    <row r="12540" spans="1:10" s="15" customFormat="1" ht="16.5" hidden="1" customHeight="1" outlineLevel="1" x14ac:dyDescent="0.25">
      <c r="A12540" s="18">
        <v>2629</v>
      </c>
      <c r="B12540" s="4" t="s">
        <v>44</v>
      </c>
      <c r="C12540" s="38" t="s">
        <v>7232</v>
      </c>
      <c r="D12540" s="18">
        <v>2022</v>
      </c>
      <c r="E12540" s="18" t="s">
        <v>0</v>
      </c>
      <c r="F12540" s="41">
        <v>1</v>
      </c>
      <c r="G12540" s="4">
        <v>15</v>
      </c>
      <c r="H12540" s="18">
        <v>6.6111499999999994</v>
      </c>
      <c r="I12540" s="90"/>
      <c r="J12540" s="90"/>
    </row>
    <row r="12541" spans="1:10" s="15" customFormat="1" ht="16.5" hidden="1" customHeight="1" outlineLevel="1" x14ac:dyDescent="0.25">
      <c r="A12541" s="18">
        <v>2630</v>
      </c>
      <c r="B12541" s="4" t="s">
        <v>44</v>
      </c>
      <c r="C12541" s="38" t="s">
        <v>7233</v>
      </c>
      <c r="D12541" s="18">
        <v>2022</v>
      </c>
      <c r="E12541" s="18" t="s">
        <v>0</v>
      </c>
      <c r="F12541" s="41">
        <v>1</v>
      </c>
      <c r="G12541" s="4">
        <v>15</v>
      </c>
      <c r="H12541" s="18">
        <v>10.6149</v>
      </c>
      <c r="I12541" s="90"/>
      <c r="J12541" s="90"/>
    </row>
    <row r="12542" spans="1:10" s="15" customFormat="1" ht="16.5" hidden="1" customHeight="1" outlineLevel="1" x14ac:dyDescent="0.25">
      <c r="A12542" s="18">
        <v>2631</v>
      </c>
      <c r="B12542" s="4" t="s">
        <v>44</v>
      </c>
      <c r="C12542" s="38" t="s">
        <v>7234</v>
      </c>
      <c r="D12542" s="18">
        <v>2022</v>
      </c>
      <c r="E12542" s="18" t="s">
        <v>0</v>
      </c>
      <c r="F12542" s="41">
        <v>1</v>
      </c>
      <c r="G12542" s="4">
        <v>15</v>
      </c>
      <c r="H12542" s="18">
        <v>10.96838</v>
      </c>
      <c r="I12542" s="90"/>
      <c r="J12542" s="90"/>
    </row>
    <row r="12543" spans="1:10" s="15" customFormat="1" ht="16.5" hidden="1" customHeight="1" outlineLevel="1" x14ac:dyDescent="0.25">
      <c r="A12543" s="18">
        <v>2632</v>
      </c>
      <c r="B12543" s="4" t="s">
        <v>44</v>
      </c>
      <c r="C12543" s="38" t="s">
        <v>7235</v>
      </c>
      <c r="D12543" s="18">
        <v>2022</v>
      </c>
      <c r="E12543" s="18" t="s">
        <v>0</v>
      </c>
      <c r="F12543" s="41">
        <v>1</v>
      </c>
      <c r="G12543" s="4">
        <v>15</v>
      </c>
      <c r="H12543" s="18">
        <v>20.62434</v>
      </c>
      <c r="I12543" s="90"/>
      <c r="J12543" s="90"/>
    </row>
    <row r="12544" spans="1:10" s="15" customFormat="1" ht="16.5" hidden="1" customHeight="1" outlineLevel="1" x14ac:dyDescent="0.25">
      <c r="A12544" s="18">
        <v>2633</v>
      </c>
      <c r="B12544" s="4" t="s">
        <v>44</v>
      </c>
      <c r="C12544" s="38" t="s">
        <v>7236</v>
      </c>
      <c r="D12544" s="18">
        <v>2022</v>
      </c>
      <c r="E12544" s="18" t="s">
        <v>0</v>
      </c>
      <c r="F12544" s="41">
        <v>1</v>
      </c>
      <c r="G12544" s="4">
        <v>14</v>
      </c>
      <c r="H12544" s="18">
        <v>6.7878699999999998</v>
      </c>
      <c r="I12544" s="90"/>
      <c r="J12544" s="90"/>
    </row>
    <row r="12545" spans="1:10" s="15" customFormat="1" ht="16.5" hidden="1" customHeight="1" outlineLevel="1" x14ac:dyDescent="0.25">
      <c r="A12545" s="18">
        <v>2634</v>
      </c>
      <c r="B12545" s="4" t="s">
        <v>44</v>
      </c>
      <c r="C12545" s="38" t="s">
        <v>7237</v>
      </c>
      <c r="D12545" s="18">
        <v>2022</v>
      </c>
      <c r="E12545" s="18" t="s">
        <v>0</v>
      </c>
      <c r="F12545" s="41">
        <v>1</v>
      </c>
      <c r="G12545" s="4">
        <v>14</v>
      </c>
      <c r="H12545" s="18">
        <v>5.3943399999999997</v>
      </c>
      <c r="I12545" s="90"/>
      <c r="J12545" s="90"/>
    </row>
    <row r="12546" spans="1:10" s="15" customFormat="1" ht="16.5" hidden="1" customHeight="1" outlineLevel="1" x14ac:dyDescent="0.25">
      <c r="A12546" s="18">
        <v>2635</v>
      </c>
      <c r="B12546" s="4" t="s">
        <v>44</v>
      </c>
      <c r="C12546" s="38" t="s">
        <v>7238</v>
      </c>
      <c r="D12546" s="18">
        <v>2022</v>
      </c>
      <c r="E12546" s="18" t="s">
        <v>0</v>
      </c>
      <c r="F12546" s="41">
        <v>1</v>
      </c>
      <c r="G12546" s="4">
        <v>15</v>
      </c>
      <c r="H12546" s="18">
        <v>4.0008999999999997</v>
      </c>
      <c r="I12546" s="90"/>
      <c r="J12546" s="90"/>
    </row>
    <row r="12547" spans="1:10" s="15" customFormat="1" ht="16.5" hidden="1" customHeight="1" outlineLevel="1" x14ac:dyDescent="0.25">
      <c r="A12547" s="18">
        <v>2636</v>
      </c>
      <c r="B12547" s="4" t="s">
        <v>44</v>
      </c>
      <c r="C12547" s="38" t="s">
        <v>7239</v>
      </c>
      <c r="D12547" s="18">
        <v>2022</v>
      </c>
      <c r="E12547" s="18" t="s">
        <v>0</v>
      </c>
      <c r="F12547" s="41">
        <v>1</v>
      </c>
      <c r="G12547" s="4">
        <v>150</v>
      </c>
      <c r="H12547" s="18">
        <v>5.3943399999999997</v>
      </c>
      <c r="I12547" s="90"/>
      <c r="J12547" s="90"/>
    </row>
    <row r="12548" spans="1:10" s="15" customFormat="1" ht="16.5" hidden="1" customHeight="1" outlineLevel="1" x14ac:dyDescent="0.25">
      <c r="A12548" s="18">
        <v>2637</v>
      </c>
      <c r="B12548" s="4" t="s">
        <v>44</v>
      </c>
      <c r="C12548" s="38" t="s">
        <v>7240</v>
      </c>
      <c r="D12548" s="18">
        <v>2022</v>
      </c>
      <c r="E12548" s="18" t="s">
        <v>0</v>
      </c>
      <c r="F12548" s="41">
        <v>1</v>
      </c>
      <c r="G12548" s="4">
        <v>6</v>
      </c>
      <c r="H12548" s="18">
        <v>5.3943500000000002</v>
      </c>
      <c r="I12548" s="90"/>
      <c r="J12548" s="90"/>
    </row>
    <row r="12549" spans="1:10" s="15" customFormat="1" ht="16.5" hidden="1" customHeight="1" outlineLevel="1" x14ac:dyDescent="0.25">
      <c r="A12549" s="18">
        <v>2638</v>
      </c>
      <c r="B12549" s="4" t="s">
        <v>44</v>
      </c>
      <c r="C12549" s="38" t="s">
        <v>7241</v>
      </c>
      <c r="D12549" s="18">
        <v>2022</v>
      </c>
      <c r="E12549" s="18" t="s">
        <v>0</v>
      </c>
      <c r="F12549" s="41">
        <v>1</v>
      </c>
      <c r="G12549" s="4">
        <v>10</v>
      </c>
      <c r="H12549" s="18">
        <v>6.6111400000000007</v>
      </c>
      <c r="I12549" s="90"/>
      <c r="J12549" s="90"/>
    </row>
    <row r="12550" spans="1:10" s="15" customFormat="1" ht="16.5" hidden="1" customHeight="1" outlineLevel="1" x14ac:dyDescent="0.25">
      <c r="A12550" s="18">
        <v>2639</v>
      </c>
      <c r="B12550" s="4" t="s">
        <v>44</v>
      </c>
      <c r="C12550" s="38" t="s">
        <v>7242</v>
      </c>
      <c r="D12550" s="18">
        <v>2022</v>
      </c>
      <c r="E12550" s="18" t="s">
        <v>0</v>
      </c>
      <c r="F12550" s="41">
        <v>1</v>
      </c>
      <c r="G12550" s="4">
        <v>15</v>
      </c>
      <c r="H12550" s="18">
        <v>4.0008999999999997</v>
      </c>
      <c r="I12550" s="90"/>
      <c r="J12550" s="90"/>
    </row>
    <row r="12551" spans="1:10" s="15" customFormat="1" ht="16.5" hidden="1" customHeight="1" outlineLevel="1" x14ac:dyDescent="0.25">
      <c r="A12551" s="18">
        <v>2640</v>
      </c>
      <c r="B12551" s="4" t="s">
        <v>44</v>
      </c>
      <c r="C12551" s="38" t="s">
        <v>7243</v>
      </c>
      <c r="D12551" s="18">
        <v>2022</v>
      </c>
      <c r="E12551" s="18" t="s">
        <v>0</v>
      </c>
      <c r="F12551" s="41">
        <v>1</v>
      </c>
      <c r="G12551" s="4">
        <v>15</v>
      </c>
      <c r="H12551" s="18">
        <v>5.3943700000000003</v>
      </c>
      <c r="I12551" s="90"/>
      <c r="J12551" s="90"/>
    </row>
    <row r="12552" spans="1:10" s="15" customFormat="1" ht="16.5" hidden="1" customHeight="1" outlineLevel="1" x14ac:dyDescent="0.25">
      <c r="A12552" s="18">
        <v>2641</v>
      </c>
      <c r="B12552" s="4" t="s">
        <v>44</v>
      </c>
      <c r="C12552" s="38" t="s">
        <v>7244</v>
      </c>
      <c r="D12552" s="18">
        <v>2022</v>
      </c>
      <c r="E12552" s="18" t="s">
        <v>0</v>
      </c>
      <c r="F12552" s="41">
        <v>1</v>
      </c>
      <c r="G12552" s="4">
        <v>10</v>
      </c>
      <c r="H12552" s="18">
        <v>10.6149</v>
      </c>
      <c r="I12552" s="90"/>
      <c r="J12552" s="90"/>
    </row>
    <row r="12553" spans="1:10" s="15" customFormat="1" ht="16.5" hidden="1" customHeight="1" outlineLevel="1" x14ac:dyDescent="0.25">
      <c r="A12553" s="18">
        <v>2642</v>
      </c>
      <c r="B12553" s="4" t="s">
        <v>44</v>
      </c>
      <c r="C12553" s="38" t="s">
        <v>7245</v>
      </c>
      <c r="D12553" s="18">
        <v>2022</v>
      </c>
      <c r="E12553" s="18" t="s">
        <v>0</v>
      </c>
      <c r="F12553" s="41">
        <v>1</v>
      </c>
      <c r="G12553" s="4">
        <v>7.5</v>
      </c>
      <c r="H12553" s="18">
        <v>5.3943900000000005</v>
      </c>
      <c r="I12553" s="90"/>
      <c r="J12553" s="90"/>
    </row>
    <row r="12554" spans="1:10" s="15" customFormat="1" ht="16.5" hidden="1" customHeight="1" outlineLevel="1" x14ac:dyDescent="0.25">
      <c r="A12554" s="18">
        <v>2643</v>
      </c>
      <c r="B12554" s="4" t="s">
        <v>44</v>
      </c>
      <c r="C12554" s="38" t="s">
        <v>7246</v>
      </c>
      <c r="D12554" s="18">
        <v>2022</v>
      </c>
      <c r="E12554" s="18" t="s">
        <v>0</v>
      </c>
      <c r="F12554" s="41">
        <v>1</v>
      </c>
      <c r="G12554" s="4">
        <v>15</v>
      </c>
      <c r="H12554" s="18">
        <v>6.6111400000000007</v>
      </c>
      <c r="I12554" s="90"/>
      <c r="J12554" s="90"/>
    </row>
    <row r="12555" spans="1:10" s="15" customFormat="1" ht="16.5" hidden="1" customHeight="1" outlineLevel="1" x14ac:dyDescent="0.25">
      <c r="A12555" s="18">
        <v>2644</v>
      </c>
      <c r="B12555" s="4" t="s">
        <v>44</v>
      </c>
      <c r="C12555" s="38" t="s">
        <v>7247</v>
      </c>
      <c r="D12555" s="18">
        <v>2022</v>
      </c>
      <c r="E12555" s="18" t="s">
        <v>0</v>
      </c>
      <c r="F12555" s="41">
        <v>1</v>
      </c>
      <c r="G12555" s="4">
        <v>15</v>
      </c>
      <c r="H12555" s="18">
        <v>36.094089999999994</v>
      </c>
      <c r="I12555" s="90"/>
      <c r="J12555" s="90"/>
    </row>
    <row r="12556" spans="1:10" s="15" customFormat="1" ht="16.5" hidden="1" customHeight="1" outlineLevel="1" x14ac:dyDescent="0.25">
      <c r="A12556" s="18">
        <v>2645</v>
      </c>
      <c r="B12556" s="4" t="s">
        <v>44</v>
      </c>
      <c r="C12556" s="38" t="s">
        <v>7248</v>
      </c>
      <c r="D12556" s="18">
        <v>2022</v>
      </c>
      <c r="E12556" s="18" t="s">
        <v>0</v>
      </c>
      <c r="F12556" s="41">
        <v>1</v>
      </c>
      <c r="G12556" s="4">
        <v>15</v>
      </c>
      <c r="H12556" s="18">
        <v>38.881089999999993</v>
      </c>
      <c r="I12556" s="90"/>
      <c r="J12556" s="90"/>
    </row>
    <row r="12557" spans="1:10" s="15" customFormat="1" ht="16.5" hidden="1" customHeight="1" outlineLevel="1" x14ac:dyDescent="0.25">
      <c r="A12557" s="18">
        <v>2646</v>
      </c>
      <c r="B12557" s="4" t="s">
        <v>44</v>
      </c>
      <c r="C12557" s="38" t="s">
        <v>7249</v>
      </c>
      <c r="D12557" s="18">
        <v>2022</v>
      </c>
      <c r="E12557" s="18" t="s">
        <v>0</v>
      </c>
      <c r="F12557" s="41">
        <v>1</v>
      </c>
      <c r="G12557" s="4">
        <v>15</v>
      </c>
      <c r="H12557" s="18">
        <v>38.704349999999998</v>
      </c>
      <c r="I12557" s="90"/>
      <c r="J12557" s="90"/>
    </row>
    <row r="12558" spans="1:10" s="15" customFormat="1" ht="16.5" hidden="1" customHeight="1" outlineLevel="1" x14ac:dyDescent="0.25">
      <c r="A12558" s="18">
        <v>2647</v>
      </c>
      <c r="B12558" s="4" t="s">
        <v>44</v>
      </c>
      <c r="C12558" s="38" t="s">
        <v>7250</v>
      </c>
      <c r="D12558" s="18">
        <v>2022</v>
      </c>
      <c r="E12558" s="18" t="s">
        <v>0</v>
      </c>
      <c r="F12558" s="41">
        <v>1</v>
      </c>
      <c r="G12558" s="4">
        <v>15</v>
      </c>
      <c r="H12558" s="18">
        <v>41.668120000000002</v>
      </c>
      <c r="I12558" s="90"/>
      <c r="J12558" s="90"/>
    </row>
    <row r="12559" spans="1:10" s="15" customFormat="1" ht="16.5" hidden="1" customHeight="1" outlineLevel="1" x14ac:dyDescent="0.25">
      <c r="A12559" s="18">
        <v>2648</v>
      </c>
      <c r="B12559" s="4" t="s">
        <v>44</v>
      </c>
      <c r="C12559" s="38" t="s">
        <v>7251</v>
      </c>
      <c r="D12559" s="18">
        <v>2022</v>
      </c>
      <c r="E12559" s="18" t="s">
        <v>0</v>
      </c>
      <c r="F12559" s="41">
        <v>1</v>
      </c>
      <c r="G12559" s="4">
        <v>5</v>
      </c>
      <c r="H12559" s="18">
        <v>37.487559999999995</v>
      </c>
      <c r="I12559" s="90"/>
      <c r="J12559" s="90"/>
    </row>
    <row r="12560" spans="1:10" s="15" customFormat="1" ht="16.5" hidden="1" customHeight="1" outlineLevel="1" x14ac:dyDescent="0.25">
      <c r="A12560" s="18">
        <v>2649</v>
      </c>
      <c r="B12560" s="4" t="s">
        <v>44</v>
      </c>
      <c r="C12560" s="38" t="s">
        <v>7252</v>
      </c>
      <c r="D12560" s="18">
        <v>2022</v>
      </c>
      <c r="E12560" s="18" t="s">
        <v>0</v>
      </c>
      <c r="F12560" s="41">
        <v>1</v>
      </c>
      <c r="G12560" s="4">
        <v>15</v>
      </c>
      <c r="H12560" s="18">
        <v>37.487569999999998</v>
      </c>
      <c r="I12560" s="90"/>
      <c r="J12560" s="90"/>
    </row>
    <row r="12561" spans="1:10" s="15" customFormat="1" ht="16.5" hidden="1" customHeight="1" outlineLevel="1" x14ac:dyDescent="0.25">
      <c r="A12561" s="18">
        <v>2650</v>
      </c>
      <c r="B12561" s="4" t="s">
        <v>44</v>
      </c>
      <c r="C12561" s="38" t="s">
        <v>7253</v>
      </c>
      <c r="D12561" s="18">
        <v>2022</v>
      </c>
      <c r="E12561" s="18" t="s">
        <v>0</v>
      </c>
      <c r="F12561" s="41">
        <v>1</v>
      </c>
      <c r="G12561" s="4">
        <v>15</v>
      </c>
      <c r="H12561" s="18">
        <v>36.094090000000001</v>
      </c>
      <c r="I12561" s="90"/>
      <c r="J12561" s="90"/>
    </row>
    <row r="12562" spans="1:10" s="15" customFormat="1" ht="16.5" hidden="1" customHeight="1" outlineLevel="1" x14ac:dyDescent="0.25">
      <c r="A12562" s="18">
        <v>2651</v>
      </c>
      <c r="B12562" s="4" t="s">
        <v>44</v>
      </c>
      <c r="C12562" s="38" t="s">
        <v>7254</v>
      </c>
      <c r="D12562" s="18">
        <v>2022</v>
      </c>
      <c r="E12562" s="18" t="s">
        <v>0</v>
      </c>
      <c r="F12562" s="41">
        <v>1</v>
      </c>
      <c r="G12562" s="4">
        <v>30</v>
      </c>
      <c r="H12562" s="18">
        <v>38.704339999999995</v>
      </c>
      <c r="I12562" s="90"/>
      <c r="J12562" s="90"/>
    </row>
    <row r="12563" spans="1:10" s="15" customFormat="1" ht="16.5" hidden="1" customHeight="1" outlineLevel="1" x14ac:dyDescent="0.25">
      <c r="A12563" s="18">
        <v>2652</v>
      </c>
      <c r="B12563" s="4" t="s">
        <v>44</v>
      </c>
      <c r="C12563" s="38" t="s">
        <v>7255</v>
      </c>
      <c r="D12563" s="18">
        <v>2022</v>
      </c>
      <c r="E12563" s="18" t="s">
        <v>0</v>
      </c>
      <c r="F12563" s="41">
        <v>1</v>
      </c>
      <c r="G12563" s="4">
        <v>10</v>
      </c>
      <c r="H12563" s="18">
        <v>38.704349999999998</v>
      </c>
      <c r="I12563" s="90"/>
      <c r="J12563" s="90"/>
    </row>
    <row r="12564" spans="1:10" s="15" customFormat="1" ht="16.5" hidden="1" customHeight="1" outlineLevel="1" x14ac:dyDescent="0.25">
      <c r="A12564" s="18">
        <v>2653</v>
      </c>
      <c r="B12564" s="4" t="s">
        <v>44</v>
      </c>
      <c r="C12564" s="38" t="s">
        <v>7256</v>
      </c>
      <c r="D12564" s="18">
        <v>2022</v>
      </c>
      <c r="E12564" s="18" t="s">
        <v>0</v>
      </c>
      <c r="F12564" s="41">
        <v>1</v>
      </c>
      <c r="G12564" s="4">
        <v>15</v>
      </c>
      <c r="H12564" s="18">
        <v>38.704360000000001</v>
      </c>
      <c r="I12564" s="90"/>
      <c r="J12564" s="90"/>
    </row>
    <row r="12565" spans="1:10" s="15" customFormat="1" ht="16.5" hidden="1" customHeight="1" outlineLevel="1" x14ac:dyDescent="0.25">
      <c r="A12565" s="18">
        <v>2654</v>
      </c>
      <c r="B12565" s="4" t="s">
        <v>44</v>
      </c>
      <c r="C12565" s="38" t="s">
        <v>7257</v>
      </c>
      <c r="D12565" s="18">
        <v>2022</v>
      </c>
      <c r="E12565" s="18" t="s">
        <v>0</v>
      </c>
      <c r="F12565" s="41">
        <v>1</v>
      </c>
      <c r="G12565" s="4">
        <v>15</v>
      </c>
      <c r="H12565" s="18">
        <v>38.881079999999997</v>
      </c>
      <c r="I12565" s="90"/>
      <c r="J12565" s="90"/>
    </row>
    <row r="12566" spans="1:10" s="15" customFormat="1" ht="16.5" hidden="1" customHeight="1" outlineLevel="1" x14ac:dyDescent="0.25">
      <c r="A12566" s="18">
        <v>2655</v>
      </c>
      <c r="B12566" s="4" t="s">
        <v>44</v>
      </c>
      <c r="C12566" s="38" t="s">
        <v>7258</v>
      </c>
      <c r="D12566" s="18">
        <v>2022</v>
      </c>
      <c r="E12566" s="18" t="s">
        <v>0</v>
      </c>
      <c r="F12566" s="41">
        <v>1</v>
      </c>
      <c r="G12566" s="4">
        <v>15</v>
      </c>
      <c r="H12566" s="18">
        <v>50.715619999999994</v>
      </c>
      <c r="I12566" s="90"/>
      <c r="J12566" s="90"/>
    </row>
    <row r="12567" spans="1:10" s="15" customFormat="1" ht="16.5" hidden="1" customHeight="1" outlineLevel="1" x14ac:dyDescent="0.25">
      <c r="A12567" s="18">
        <v>2656</v>
      </c>
      <c r="B12567" s="4" t="s">
        <v>44</v>
      </c>
      <c r="C12567" s="38" t="s">
        <v>7259</v>
      </c>
      <c r="D12567" s="18">
        <v>2022</v>
      </c>
      <c r="E12567" s="18" t="s">
        <v>0</v>
      </c>
      <c r="F12567" s="41">
        <v>1</v>
      </c>
      <c r="G12567" s="4">
        <v>15</v>
      </c>
      <c r="H12567" s="18">
        <v>5.3933200000000001</v>
      </c>
      <c r="I12567" s="90"/>
      <c r="J12567" s="90"/>
    </row>
    <row r="12568" spans="1:10" s="15" customFormat="1" ht="16.5" hidden="1" customHeight="1" outlineLevel="1" x14ac:dyDescent="0.25">
      <c r="A12568" s="18">
        <v>2657</v>
      </c>
      <c r="B12568" s="4" t="s">
        <v>44</v>
      </c>
      <c r="C12568" s="38" t="s">
        <v>7260</v>
      </c>
      <c r="D12568" s="18">
        <v>2022</v>
      </c>
      <c r="E12568" s="18" t="s">
        <v>0</v>
      </c>
      <c r="F12568" s="41">
        <v>1</v>
      </c>
      <c r="G12568" s="4">
        <v>15</v>
      </c>
      <c r="H12568" s="18">
        <v>5.3933299999999997</v>
      </c>
      <c r="I12568" s="90"/>
      <c r="J12568" s="90"/>
    </row>
    <row r="12569" spans="1:10" s="15" customFormat="1" ht="16.5" hidden="1" customHeight="1" outlineLevel="1" x14ac:dyDescent="0.25">
      <c r="A12569" s="18">
        <v>2658</v>
      </c>
      <c r="B12569" s="4" t="s">
        <v>44</v>
      </c>
      <c r="C12569" s="38" t="s">
        <v>7261</v>
      </c>
      <c r="D12569" s="18">
        <v>2022</v>
      </c>
      <c r="E12569" s="18" t="s">
        <v>0</v>
      </c>
      <c r="F12569" s="41">
        <v>1</v>
      </c>
      <c r="G12569" s="4">
        <v>15</v>
      </c>
      <c r="H12569" s="18">
        <v>6.7868399999999998</v>
      </c>
      <c r="I12569" s="90"/>
      <c r="J12569" s="90"/>
    </row>
    <row r="12570" spans="1:10" s="15" customFormat="1" ht="16.5" hidden="1" customHeight="1" outlineLevel="1" x14ac:dyDescent="0.25">
      <c r="A12570" s="18">
        <v>2659</v>
      </c>
      <c r="B12570" s="4" t="s">
        <v>44</v>
      </c>
      <c r="C12570" s="38" t="s">
        <v>7262</v>
      </c>
      <c r="D12570" s="18">
        <v>2022</v>
      </c>
      <c r="E12570" s="18" t="s">
        <v>0</v>
      </c>
      <c r="F12570" s="41">
        <v>1</v>
      </c>
      <c r="G12570" s="4">
        <v>15</v>
      </c>
      <c r="H12570" s="18">
        <v>8.1805699999999995</v>
      </c>
      <c r="I12570" s="90"/>
      <c r="J12570" s="90"/>
    </row>
    <row r="12571" spans="1:10" s="15" customFormat="1" ht="16.5" hidden="1" customHeight="1" outlineLevel="1" x14ac:dyDescent="0.25">
      <c r="A12571" s="18">
        <v>2660</v>
      </c>
      <c r="B12571" s="4" t="s">
        <v>44</v>
      </c>
      <c r="C12571" s="38" t="s">
        <v>7263</v>
      </c>
      <c r="D12571" s="18">
        <v>2022</v>
      </c>
      <c r="E12571" s="18" t="s">
        <v>0</v>
      </c>
      <c r="F12571" s="41">
        <v>1</v>
      </c>
      <c r="G12571" s="4">
        <v>15</v>
      </c>
      <c r="H12571" s="18">
        <v>10.613850000000001</v>
      </c>
      <c r="I12571" s="90"/>
      <c r="J12571" s="90"/>
    </row>
    <row r="12572" spans="1:10" s="15" customFormat="1" ht="16.5" hidden="1" customHeight="1" outlineLevel="1" x14ac:dyDescent="0.25">
      <c r="A12572" s="18">
        <v>2661</v>
      </c>
      <c r="B12572" s="4" t="s">
        <v>44</v>
      </c>
      <c r="C12572" s="38" t="s">
        <v>7264</v>
      </c>
      <c r="D12572" s="18">
        <v>2022</v>
      </c>
      <c r="E12572" s="18" t="s">
        <v>0</v>
      </c>
      <c r="F12572" s="41">
        <v>1</v>
      </c>
      <c r="G12572" s="4">
        <v>15</v>
      </c>
      <c r="H12572" s="18">
        <v>6.7868499999999994</v>
      </c>
      <c r="I12572" s="90"/>
      <c r="J12572" s="90"/>
    </row>
    <row r="12573" spans="1:10" s="15" customFormat="1" ht="16.5" hidden="1" customHeight="1" outlineLevel="1" x14ac:dyDescent="0.25">
      <c r="A12573" s="18">
        <v>2662</v>
      </c>
      <c r="B12573" s="4" t="s">
        <v>44</v>
      </c>
      <c r="C12573" s="38" t="s">
        <v>7265</v>
      </c>
      <c r="D12573" s="18">
        <v>2022</v>
      </c>
      <c r="E12573" s="18" t="s">
        <v>0</v>
      </c>
      <c r="F12573" s="41">
        <v>1</v>
      </c>
      <c r="G12573" s="4">
        <v>15</v>
      </c>
      <c r="H12573" s="18">
        <v>8.1803599999999985</v>
      </c>
      <c r="I12573" s="90"/>
      <c r="J12573" s="90"/>
    </row>
    <row r="12574" spans="1:10" s="15" customFormat="1" ht="16.5" hidden="1" customHeight="1" outlineLevel="1" x14ac:dyDescent="0.25">
      <c r="A12574" s="18">
        <v>2663</v>
      </c>
      <c r="B12574" s="4" t="s">
        <v>44</v>
      </c>
      <c r="C12574" s="38" t="s">
        <v>7266</v>
      </c>
      <c r="D12574" s="18">
        <v>2022</v>
      </c>
      <c r="E12574" s="18" t="s">
        <v>0</v>
      </c>
      <c r="F12574" s="41">
        <v>1</v>
      </c>
      <c r="G12574" s="4">
        <v>15</v>
      </c>
      <c r="H12574" s="18">
        <v>5.3933299999999997</v>
      </c>
      <c r="I12574" s="90"/>
      <c r="J12574" s="90"/>
    </row>
    <row r="12575" spans="1:10" s="15" customFormat="1" ht="16.5" hidden="1" customHeight="1" outlineLevel="1" x14ac:dyDescent="0.25">
      <c r="A12575" s="18">
        <v>2664</v>
      </c>
      <c r="B12575" s="4" t="s">
        <v>44</v>
      </c>
      <c r="C12575" s="38" t="s">
        <v>7267</v>
      </c>
      <c r="D12575" s="18">
        <v>2022</v>
      </c>
      <c r="E12575" s="18" t="s">
        <v>0</v>
      </c>
      <c r="F12575" s="41">
        <v>1</v>
      </c>
      <c r="G12575" s="4">
        <v>15</v>
      </c>
      <c r="H12575" s="18">
        <v>3.9998499999999999</v>
      </c>
      <c r="I12575" s="90"/>
      <c r="J12575" s="90"/>
    </row>
    <row r="12576" spans="1:10" s="15" customFormat="1" ht="16.5" hidden="1" customHeight="1" outlineLevel="1" x14ac:dyDescent="0.25">
      <c r="A12576" s="18">
        <v>2665</v>
      </c>
      <c r="B12576" s="4" t="s">
        <v>44</v>
      </c>
      <c r="C12576" s="38" t="s">
        <v>7268</v>
      </c>
      <c r="D12576" s="18">
        <v>2022</v>
      </c>
      <c r="E12576" s="18" t="s">
        <v>0</v>
      </c>
      <c r="F12576" s="41">
        <v>1</v>
      </c>
      <c r="G12576" s="4">
        <v>15</v>
      </c>
      <c r="H12576" s="18">
        <v>10.613860000000001</v>
      </c>
      <c r="I12576" s="90"/>
      <c r="J12576" s="90"/>
    </row>
    <row r="12577" spans="1:10" s="15" customFormat="1" ht="16.5" hidden="1" customHeight="1" outlineLevel="1" x14ac:dyDescent="0.25">
      <c r="A12577" s="18">
        <v>2666</v>
      </c>
      <c r="B12577" s="4" t="s">
        <v>44</v>
      </c>
      <c r="C12577" s="38" t="s">
        <v>7269</v>
      </c>
      <c r="D12577" s="18">
        <v>2022</v>
      </c>
      <c r="E12577" s="18" t="s">
        <v>0</v>
      </c>
      <c r="F12577" s="41">
        <v>1</v>
      </c>
      <c r="G12577" s="4">
        <v>15</v>
      </c>
      <c r="H12577" s="18">
        <v>18.62134</v>
      </c>
      <c r="I12577" s="90"/>
      <c r="J12577" s="90"/>
    </row>
    <row r="12578" spans="1:10" s="15" customFormat="1" ht="16.5" hidden="1" customHeight="1" outlineLevel="1" x14ac:dyDescent="0.25">
      <c r="A12578" s="18">
        <v>2667</v>
      </c>
      <c r="B12578" s="4" t="s">
        <v>44</v>
      </c>
      <c r="C12578" s="38" t="s">
        <v>7270</v>
      </c>
      <c r="D12578" s="18">
        <v>2022</v>
      </c>
      <c r="E12578" s="18" t="s">
        <v>0</v>
      </c>
      <c r="F12578" s="41">
        <v>1</v>
      </c>
      <c r="G12578" s="4">
        <v>15</v>
      </c>
      <c r="H12578" s="18">
        <v>5.3932900000000004</v>
      </c>
      <c r="I12578" s="90"/>
      <c r="J12578" s="90"/>
    </row>
    <row r="12579" spans="1:10" s="15" customFormat="1" ht="16.5" hidden="1" customHeight="1" outlineLevel="1" x14ac:dyDescent="0.25">
      <c r="A12579" s="18">
        <v>2668</v>
      </c>
      <c r="B12579" s="4" t="s">
        <v>44</v>
      </c>
      <c r="C12579" s="38" t="s">
        <v>7271</v>
      </c>
      <c r="D12579" s="18">
        <v>2022</v>
      </c>
      <c r="E12579" s="18" t="s">
        <v>0</v>
      </c>
      <c r="F12579" s="41">
        <v>1</v>
      </c>
      <c r="G12579" s="4">
        <v>15</v>
      </c>
      <c r="H12579" s="18">
        <v>5.3933200000000001</v>
      </c>
      <c r="I12579" s="90"/>
      <c r="J12579" s="90"/>
    </row>
    <row r="12580" spans="1:10" s="15" customFormat="1" ht="16.5" hidden="1" customHeight="1" outlineLevel="1" x14ac:dyDescent="0.25">
      <c r="A12580" s="18">
        <v>2669</v>
      </c>
      <c r="B12580" s="4" t="s">
        <v>44</v>
      </c>
      <c r="C12580" s="38" t="s">
        <v>7272</v>
      </c>
      <c r="D12580" s="18">
        <v>2022</v>
      </c>
      <c r="E12580" s="18" t="s">
        <v>0</v>
      </c>
      <c r="F12580" s="41">
        <v>1</v>
      </c>
      <c r="G12580" s="4">
        <v>9</v>
      </c>
      <c r="H12580" s="18">
        <v>6.7868500000000003</v>
      </c>
      <c r="I12580" s="90"/>
      <c r="J12580" s="90"/>
    </row>
    <row r="12581" spans="1:10" s="15" customFormat="1" ht="16.5" hidden="1" customHeight="1" outlineLevel="1" x14ac:dyDescent="0.25">
      <c r="A12581" s="18">
        <v>2670</v>
      </c>
      <c r="B12581" s="4" t="s">
        <v>44</v>
      </c>
      <c r="C12581" s="38" t="s">
        <v>7273</v>
      </c>
      <c r="D12581" s="18">
        <v>2022</v>
      </c>
      <c r="E12581" s="18" t="s">
        <v>0</v>
      </c>
      <c r="F12581" s="41">
        <v>1</v>
      </c>
      <c r="G12581" s="4">
        <v>10</v>
      </c>
      <c r="H12581" s="18">
        <v>5.3933299999999997</v>
      </c>
      <c r="I12581" s="90"/>
      <c r="J12581" s="90"/>
    </row>
    <row r="12582" spans="1:10" s="15" customFormat="1" ht="16.5" hidden="1" customHeight="1" outlineLevel="1" x14ac:dyDescent="0.25">
      <c r="A12582" s="18">
        <v>2671</v>
      </c>
      <c r="B12582" s="4" t="s">
        <v>44</v>
      </c>
      <c r="C12582" s="38" t="s">
        <v>7274</v>
      </c>
      <c r="D12582" s="18">
        <v>2022</v>
      </c>
      <c r="E12582" s="18" t="s">
        <v>0</v>
      </c>
      <c r="F12582" s="41">
        <v>1</v>
      </c>
      <c r="G12582" s="4">
        <v>15</v>
      </c>
      <c r="H12582" s="18">
        <v>5.3933</v>
      </c>
      <c r="I12582" s="90"/>
      <c r="J12582" s="90"/>
    </row>
    <row r="12583" spans="1:10" s="15" customFormat="1" ht="16.5" hidden="1" customHeight="1" outlineLevel="1" x14ac:dyDescent="0.25">
      <c r="A12583" s="18">
        <v>2672</v>
      </c>
      <c r="B12583" s="4" t="s">
        <v>44</v>
      </c>
      <c r="C12583" s="38" t="s">
        <v>7275</v>
      </c>
      <c r="D12583" s="18">
        <v>2022</v>
      </c>
      <c r="E12583" s="18" t="s">
        <v>0</v>
      </c>
      <c r="F12583" s="41">
        <v>1</v>
      </c>
      <c r="G12583" s="4">
        <v>14.3</v>
      </c>
      <c r="H12583" s="18">
        <v>24.375060000000001</v>
      </c>
      <c r="I12583" s="90"/>
      <c r="J12583" s="90"/>
    </row>
    <row r="12584" spans="1:10" s="15" customFormat="1" ht="16.5" hidden="1" customHeight="1" outlineLevel="1" x14ac:dyDescent="0.25">
      <c r="A12584" s="18">
        <v>2673</v>
      </c>
      <c r="B12584" s="4" t="s">
        <v>44</v>
      </c>
      <c r="C12584" s="38" t="s">
        <v>7276</v>
      </c>
      <c r="D12584" s="18">
        <v>2022</v>
      </c>
      <c r="E12584" s="18" t="s">
        <v>0</v>
      </c>
      <c r="F12584" s="41">
        <v>1</v>
      </c>
      <c r="G12584" s="4">
        <v>2</v>
      </c>
      <c r="H12584" s="18">
        <v>39.298390000000005</v>
      </c>
      <c r="I12584" s="90"/>
      <c r="J12584" s="90"/>
    </row>
    <row r="12585" spans="1:10" s="15" customFormat="1" ht="16.5" hidden="1" customHeight="1" outlineLevel="1" x14ac:dyDescent="0.25">
      <c r="A12585" s="18">
        <v>2674</v>
      </c>
      <c r="B12585" s="4" t="s">
        <v>44</v>
      </c>
      <c r="C12585" s="38" t="s">
        <v>7277</v>
      </c>
      <c r="D12585" s="18">
        <v>2022</v>
      </c>
      <c r="E12585" s="18" t="s">
        <v>0</v>
      </c>
      <c r="F12585" s="41">
        <v>1</v>
      </c>
      <c r="G12585" s="4">
        <v>5</v>
      </c>
      <c r="H12585" s="18">
        <v>26.747889999999998</v>
      </c>
      <c r="I12585" s="90"/>
      <c r="J12585" s="90"/>
    </row>
    <row r="12586" spans="1:10" s="15" customFormat="1" ht="16.5" hidden="1" customHeight="1" outlineLevel="1" x14ac:dyDescent="0.25">
      <c r="A12586" s="18">
        <v>2675</v>
      </c>
      <c r="B12586" s="4" t="s">
        <v>44</v>
      </c>
      <c r="C12586" s="38" t="s">
        <v>7278</v>
      </c>
      <c r="D12586" s="18">
        <v>2022</v>
      </c>
      <c r="E12586" s="18" t="s">
        <v>0</v>
      </c>
      <c r="F12586" s="41">
        <v>1</v>
      </c>
      <c r="G12586" s="4">
        <v>15</v>
      </c>
      <c r="H12586" s="18">
        <v>38.732240000000004</v>
      </c>
      <c r="I12586" s="90"/>
      <c r="J12586" s="90"/>
    </row>
    <row r="12587" spans="1:10" s="15" customFormat="1" ht="16.5" hidden="1" customHeight="1" outlineLevel="1" x14ac:dyDescent="0.25">
      <c r="A12587" s="18">
        <v>2676</v>
      </c>
      <c r="B12587" s="4" t="s">
        <v>44</v>
      </c>
      <c r="C12587" s="38" t="s">
        <v>7279</v>
      </c>
      <c r="D12587" s="18">
        <v>2022</v>
      </c>
      <c r="E12587" s="18" t="s">
        <v>0</v>
      </c>
      <c r="F12587" s="41">
        <v>1</v>
      </c>
      <c r="G12587" s="4">
        <v>12.5</v>
      </c>
      <c r="H12587" s="18">
        <v>41.368750000000006</v>
      </c>
      <c r="I12587" s="90"/>
      <c r="J12587" s="90"/>
    </row>
    <row r="12588" spans="1:10" s="15" customFormat="1" ht="16.5" hidden="1" customHeight="1" outlineLevel="1" x14ac:dyDescent="0.25">
      <c r="A12588" s="18">
        <v>2677</v>
      </c>
      <c r="B12588" s="4" t="s">
        <v>44</v>
      </c>
      <c r="C12588" s="38" t="s">
        <v>7280</v>
      </c>
      <c r="D12588" s="18">
        <v>2022</v>
      </c>
      <c r="E12588" s="18" t="s">
        <v>0</v>
      </c>
      <c r="F12588" s="41">
        <v>1</v>
      </c>
      <c r="G12588" s="4">
        <v>15</v>
      </c>
      <c r="H12588" s="18">
        <v>38.732250000000001</v>
      </c>
      <c r="I12588" s="90"/>
      <c r="J12588" s="90"/>
    </row>
    <row r="12589" spans="1:10" s="15" customFormat="1" ht="16.5" hidden="1" customHeight="1" outlineLevel="1" x14ac:dyDescent="0.25">
      <c r="A12589" s="18">
        <v>2678</v>
      </c>
      <c r="B12589" s="4" t="s">
        <v>44</v>
      </c>
      <c r="C12589" s="38" t="s">
        <v>7281</v>
      </c>
      <c r="D12589" s="18">
        <v>2022</v>
      </c>
      <c r="E12589" s="18" t="s">
        <v>0</v>
      </c>
      <c r="F12589" s="41">
        <v>1</v>
      </c>
      <c r="G12589" s="4">
        <v>1</v>
      </c>
      <c r="H12589" s="18">
        <v>40.077639999999995</v>
      </c>
      <c r="I12589" s="90"/>
      <c r="J12589" s="90"/>
    </row>
    <row r="12590" spans="1:10" s="15" customFormat="1" ht="16.5" hidden="1" customHeight="1" outlineLevel="1" x14ac:dyDescent="0.25">
      <c r="A12590" s="18">
        <v>2679</v>
      </c>
      <c r="B12590" s="4" t="s">
        <v>44</v>
      </c>
      <c r="C12590" s="38" t="s">
        <v>7282</v>
      </c>
      <c r="D12590" s="18">
        <v>2022</v>
      </c>
      <c r="E12590" s="18" t="s">
        <v>0</v>
      </c>
      <c r="F12590" s="41">
        <v>1</v>
      </c>
      <c r="G12590" s="4">
        <v>150</v>
      </c>
      <c r="H12590" s="18">
        <v>114.57234</v>
      </c>
      <c r="I12590" s="90"/>
      <c r="J12590" s="90"/>
    </row>
    <row r="12591" spans="1:10" s="15" customFormat="1" ht="16.5" hidden="1" customHeight="1" outlineLevel="1" x14ac:dyDescent="0.25">
      <c r="A12591" s="18">
        <v>2680</v>
      </c>
      <c r="B12591" s="4" t="s">
        <v>44</v>
      </c>
      <c r="C12591" s="38" t="s">
        <v>7283</v>
      </c>
      <c r="D12591" s="18">
        <v>2022</v>
      </c>
      <c r="E12591" s="18" t="s">
        <v>0</v>
      </c>
      <c r="F12591" s="41">
        <v>1</v>
      </c>
      <c r="G12591" s="4">
        <v>100</v>
      </c>
      <c r="H12591" s="18">
        <v>113.67014</v>
      </c>
      <c r="I12591" s="90"/>
      <c r="J12591" s="90"/>
    </row>
    <row r="12592" spans="1:10" s="15" customFormat="1" ht="16.5" hidden="1" customHeight="1" outlineLevel="1" x14ac:dyDescent="0.25">
      <c r="A12592" s="18">
        <v>2681</v>
      </c>
      <c r="B12592" s="4" t="s">
        <v>44</v>
      </c>
      <c r="C12592" s="38" t="s">
        <v>7284</v>
      </c>
      <c r="D12592" s="18">
        <v>2022</v>
      </c>
      <c r="E12592" s="18" t="s">
        <v>0</v>
      </c>
      <c r="F12592" s="41">
        <v>1</v>
      </c>
      <c r="G12592" s="4">
        <v>135</v>
      </c>
      <c r="H12592" s="18">
        <v>113.85755999999999</v>
      </c>
      <c r="I12592" s="90"/>
      <c r="J12592" s="90"/>
    </row>
    <row r="12593" spans="1:10" s="15" customFormat="1" ht="16.5" hidden="1" customHeight="1" outlineLevel="1" x14ac:dyDescent="0.25">
      <c r="A12593" s="18">
        <v>2682</v>
      </c>
      <c r="B12593" s="4" t="s">
        <v>44</v>
      </c>
      <c r="C12593" s="38" t="s">
        <v>7285</v>
      </c>
      <c r="D12593" s="18">
        <v>2022</v>
      </c>
      <c r="E12593" s="18" t="s">
        <v>0</v>
      </c>
      <c r="F12593" s="41">
        <v>1</v>
      </c>
      <c r="G12593" s="4">
        <v>2</v>
      </c>
      <c r="H12593" s="18">
        <v>21.436130000000002</v>
      </c>
      <c r="I12593" s="90"/>
      <c r="J12593" s="90"/>
    </row>
    <row r="12594" spans="1:10" s="15" customFormat="1" ht="16.5" hidden="1" customHeight="1" outlineLevel="1" x14ac:dyDescent="0.25">
      <c r="A12594" s="18">
        <v>2683</v>
      </c>
      <c r="B12594" s="4" t="s">
        <v>44</v>
      </c>
      <c r="C12594" s="38" t="s">
        <v>7286</v>
      </c>
      <c r="D12594" s="18">
        <v>2022</v>
      </c>
      <c r="E12594" s="18" t="s">
        <v>0</v>
      </c>
      <c r="F12594" s="41">
        <v>1</v>
      </c>
      <c r="G12594" s="4">
        <v>50</v>
      </c>
      <c r="H12594" s="18">
        <v>22.002219999999998</v>
      </c>
      <c r="I12594" s="90"/>
      <c r="J12594" s="90"/>
    </row>
    <row r="12595" spans="1:10" s="15" customFormat="1" ht="16.5" hidden="1" customHeight="1" outlineLevel="1" x14ac:dyDescent="0.25">
      <c r="A12595" s="18">
        <v>2684</v>
      </c>
      <c r="B12595" s="4" t="s">
        <v>44</v>
      </c>
      <c r="C12595" s="38" t="s">
        <v>7287</v>
      </c>
      <c r="D12595" s="18">
        <v>2022</v>
      </c>
      <c r="E12595" s="18" t="s">
        <v>0</v>
      </c>
      <c r="F12595" s="41">
        <v>1</v>
      </c>
      <c r="G12595" s="4">
        <v>150</v>
      </c>
      <c r="H12595" s="18">
        <v>115.46923</v>
      </c>
      <c r="I12595" s="90"/>
      <c r="J12595" s="90"/>
    </row>
    <row r="12596" spans="1:10" s="15" customFormat="1" ht="16.5" hidden="1" customHeight="1" outlineLevel="1" x14ac:dyDescent="0.25">
      <c r="A12596" s="18">
        <v>2685</v>
      </c>
      <c r="B12596" s="4" t="s">
        <v>44</v>
      </c>
      <c r="C12596" s="38" t="s">
        <v>7288</v>
      </c>
      <c r="D12596" s="18">
        <v>2022</v>
      </c>
      <c r="E12596" s="18" t="s">
        <v>0</v>
      </c>
      <c r="F12596" s="41">
        <v>1</v>
      </c>
      <c r="G12596" s="4">
        <v>6</v>
      </c>
      <c r="H12596" s="18">
        <v>20.684010000000001</v>
      </c>
      <c r="I12596" s="90"/>
      <c r="J12596" s="90"/>
    </row>
    <row r="12597" spans="1:10" s="15" customFormat="1" ht="16.5" hidden="1" customHeight="1" outlineLevel="1" x14ac:dyDescent="0.25">
      <c r="A12597" s="18">
        <v>2686</v>
      </c>
      <c r="B12597" s="4" t="s">
        <v>44</v>
      </c>
      <c r="C12597" s="38" t="s">
        <v>7289</v>
      </c>
      <c r="D12597" s="18">
        <v>2022</v>
      </c>
      <c r="E12597" s="18" t="s">
        <v>0</v>
      </c>
      <c r="F12597" s="41">
        <v>1</v>
      </c>
      <c r="G12597" s="4">
        <v>5</v>
      </c>
      <c r="H12597" s="18">
        <v>20.68402</v>
      </c>
      <c r="I12597" s="90"/>
      <c r="J12597" s="90"/>
    </row>
    <row r="12598" spans="1:10" s="15" customFormat="1" ht="16.5" hidden="1" customHeight="1" outlineLevel="1" x14ac:dyDescent="0.25">
      <c r="A12598" s="18">
        <v>2687</v>
      </c>
      <c r="B12598" s="4" t="s">
        <v>44</v>
      </c>
      <c r="C12598" s="38" t="s">
        <v>7290</v>
      </c>
      <c r="D12598" s="18">
        <v>2022</v>
      </c>
      <c r="E12598" s="18" t="s">
        <v>0</v>
      </c>
      <c r="F12598" s="41">
        <v>1</v>
      </c>
      <c r="G12598" s="4">
        <v>1</v>
      </c>
      <c r="H12598" s="18">
        <v>41.395870000000002</v>
      </c>
      <c r="I12598" s="90"/>
      <c r="J12598" s="90"/>
    </row>
    <row r="12599" spans="1:10" s="15" customFormat="1" ht="16.5" hidden="1" customHeight="1" outlineLevel="1" x14ac:dyDescent="0.25">
      <c r="A12599" s="18">
        <v>2688</v>
      </c>
      <c r="B12599" s="4" t="s">
        <v>44</v>
      </c>
      <c r="C12599" s="38" t="s">
        <v>7291</v>
      </c>
      <c r="D12599" s="18">
        <v>2022</v>
      </c>
      <c r="E12599" s="18" t="s">
        <v>0</v>
      </c>
      <c r="F12599" s="41">
        <v>1</v>
      </c>
      <c r="G12599" s="4">
        <v>15</v>
      </c>
      <c r="H12599" s="18">
        <v>19.551759999999998</v>
      </c>
      <c r="I12599" s="90"/>
      <c r="J12599" s="90"/>
    </row>
    <row r="12600" spans="1:10" s="15" customFormat="1" ht="16.5" hidden="1" customHeight="1" outlineLevel="1" x14ac:dyDescent="0.25">
      <c r="A12600" s="18">
        <v>2689</v>
      </c>
      <c r="B12600" s="4" t="s">
        <v>44</v>
      </c>
      <c r="C12600" s="38" t="s">
        <v>7292</v>
      </c>
      <c r="D12600" s="18">
        <v>2022</v>
      </c>
      <c r="E12600" s="18" t="s">
        <v>0</v>
      </c>
      <c r="F12600" s="41">
        <v>1</v>
      </c>
      <c r="G12600" s="4">
        <v>15</v>
      </c>
      <c r="H12600" s="18">
        <v>42.159649999999999</v>
      </c>
      <c r="I12600" s="90"/>
      <c r="J12600" s="90"/>
    </row>
    <row r="12601" spans="1:10" s="15" customFormat="1" ht="16.5" hidden="1" customHeight="1" outlineLevel="1" x14ac:dyDescent="0.25">
      <c r="A12601" s="18">
        <v>2690</v>
      </c>
      <c r="B12601" s="4" t="s">
        <v>44</v>
      </c>
      <c r="C12601" s="38" t="s">
        <v>7293</v>
      </c>
      <c r="D12601" s="18">
        <v>2022</v>
      </c>
      <c r="E12601" s="18" t="s">
        <v>0</v>
      </c>
      <c r="F12601" s="41">
        <v>1</v>
      </c>
      <c r="G12601" s="4">
        <v>5</v>
      </c>
      <c r="H12601" s="18">
        <v>27.43336</v>
      </c>
      <c r="I12601" s="90"/>
      <c r="J12601" s="90"/>
    </row>
    <row r="12602" spans="1:10" s="15" customFormat="1" ht="16.5" hidden="1" customHeight="1" outlineLevel="1" x14ac:dyDescent="0.25">
      <c r="A12602" s="18">
        <v>2691</v>
      </c>
      <c r="B12602" s="4" t="s">
        <v>44</v>
      </c>
      <c r="C12602" s="38" t="s">
        <v>7294</v>
      </c>
      <c r="D12602" s="18">
        <v>2022</v>
      </c>
      <c r="E12602" s="18" t="s">
        <v>0</v>
      </c>
      <c r="F12602" s="41">
        <v>1</v>
      </c>
      <c r="G12602" s="4">
        <v>10</v>
      </c>
      <c r="H12602" s="18">
        <v>28.85707</v>
      </c>
      <c r="I12602" s="90"/>
      <c r="J12602" s="90"/>
    </row>
    <row r="12603" spans="1:10" s="15" customFormat="1" ht="16.5" hidden="1" customHeight="1" outlineLevel="1" x14ac:dyDescent="0.25">
      <c r="A12603" s="18">
        <v>2692</v>
      </c>
      <c r="B12603" s="4" t="s">
        <v>44</v>
      </c>
      <c r="C12603" s="38" t="s">
        <v>7295</v>
      </c>
      <c r="D12603" s="18">
        <v>2022</v>
      </c>
      <c r="E12603" s="18" t="s">
        <v>0</v>
      </c>
      <c r="F12603" s="41">
        <v>1</v>
      </c>
      <c r="G12603" s="4">
        <v>1</v>
      </c>
      <c r="H12603" s="18">
        <v>24.111400000000003</v>
      </c>
      <c r="I12603" s="90"/>
      <c r="J12603" s="90"/>
    </row>
    <row r="12604" spans="1:10" s="15" customFormat="1" ht="16.5" hidden="1" customHeight="1" outlineLevel="1" x14ac:dyDescent="0.25">
      <c r="A12604" s="18">
        <v>2693</v>
      </c>
      <c r="B12604" s="4" t="s">
        <v>44</v>
      </c>
      <c r="C12604" s="38" t="s">
        <v>7296</v>
      </c>
      <c r="D12604" s="18">
        <v>2022</v>
      </c>
      <c r="E12604" s="18" t="s">
        <v>0</v>
      </c>
      <c r="F12604" s="41">
        <v>1</v>
      </c>
      <c r="G12604" s="4">
        <v>1</v>
      </c>
      <c r="H12604" s="18">
        <v>41.923099999999998</v>
      </c>
      <c r="I12604" s="90"/>
      <c r="J12604" s="90"/>
    </row>
    <row r="12605" spans="1:10" s="15" customFormat="1" ht="16.5" hidden="1" customHeight="1" outlineLevel="1" x14ac:dyDescent="0.25">
      <c r="A12605" s="18">
        <v>2694</v>
      </c>
      <c r="B12605" s="4" t="s">
        <v>44</v>
      </c>
      <c r="C12605" s="38" t="s">
        <v>7297</v>
      </c>
      <c r="D12605" s="18">
        <v>2022</v>
      </c>
      <c r="E12605" s="18" t="s">
        <v>0</v>
      </c>
      <c r="F12605" s="41">
        <v>1</v>
      </c>
      <c r="G12605" s="4">
        <v>14</v>
      </c>
      <c r="H12605" s="18">
        <v>27.725260000000002</v>
      </c>
      <c r="I12605" s="90"/>
      <c r="J12605" s="90"/>
    </row>
    <row r="12606" spans="1:10" s="15" customFormat="1" ht="16.5" hidden="1" customHeight="1" outlineLevel="1" x14ac:dyDescent="0.25">
      <c r="A12606" s="18">
        <v>2695</v>
      </c>
      <c r="B12606" s="4" t="s">
        <v>44</v>
      </c>
      <c r="C12606" s="38" t="s">
        <v>7298</v>
      </c>
      <c r="D12606" s="18">
        <v>2022</v>
      </c>
      <c r="E12606" s="18" t="s">
        <v>0</v>
      </c>
      <c r="F12606" s="41">
        <v>1</v>
      </c>
      <c r="G12606" s="4">
        <v>14</v>
      </c>
      <c r="H12606" s="18">
        <v>27.698090000000001</v>
      </c>
      <c r="I12606" s="90"/>
      <c r="J12606" s="90"/>
    </row>
    <row r="12607" spans="1:10" s="15" customFormat="1" ht="16.5" hidden="1" customHeight="1" outlineLevel="1" x14ac:dyDescent="0.25">
      <c r="A12607" s="18">
        <v>2696</v>
      </c>
      <c r="B12607" s="4" t="s">
        <v>44</v>
      </c>
      <c r="C12607" s="38" t="s">
        <v>7299</v>
      </c>
      <c r="D12607" s="18">
        <v>2022</v>
      </c>
      <c r="E12607" s="18" t="s">
        <v>0</v>
      </c>
      <c r="F12607" s="41">
        <v>1</v>
      </c>
      <c r="G12607" s="4">
        <v>14</v>
      </c>
      <c r="H12607" s="18">
        <v>26.670729999999999</v>
      </c>
      <c r="I12607" s="90"/>
      <c r="J12607" s="90"/>
    </row>
    <row r="12608" spans="1:10" s="15" customFormat="1" ht="16.5" hidden="1" customHeight="1" outlineLevel="1" x14ac:dyDescent="0.25">
      <c r="A12608" s="18">
        <v>2697</v>
      </c>
      <c r="B12608" s="4" t="s">
        <v>44</v>
      </c>
      <c r="C12608" s="38" t="s">
        <v>7300</v>
      </c>
      <c r="D12608" s="18">
        <v>2022</v>
      </c>
      <c r="E12608" s="18" t="s">
        <v>0</v>
      </c>
      <c r="F12608" s="41">
        <v>1</v>
      </c>
      <c r="G12608" s="4">
        <v>14</v>
      </c>
      <c r="H12608" s="18">
        <v>26.670700000000004</v>
      </c>
      <c r="I12608" s="90"/>
      <c r="J12608" s="90"/>
    </row>
    <row r="12609" spans="1:10" s="15" customFormat="1" ht="16.5" hidden="1" customHeight="1" outlineLevel="1" x14ac:dyDescent="0.25">
      <c r="A12609" s="18">
        <v>2698</v>
      </c>
      <c r="B12609" s="4" t="s">
        <v>44</v>
      </c>
      <c r="C12609" s="38" t="s">
        <v>7301</v>
      </c>
      <c r="D12609" s="18">
        <v>2022</v>
      </c>
      <c r="E12609" s="18" t="s">
        <v>0</v>
      </c>
      <c r="F12609" s="41">
        <v>1</v>
      </c>
      <c r="G12609" s="4">
        <v>14</v>
      </c>
      <c r="H12609" s="18">
        <v>26.608730000000001</v>
      </c>
      <c r="I12609" s="90"/>
      <c r="J12609" s="90"/>
    </row>
    <row r="12610" spans="1:10" s="15" customFormat="1" ht="16.5" hidden="1" customHeight="1" outlineLevel="1" x14ac:dyDescent="0.25">
      <c r="A12610" s="18">
        <v>5579</v>
      </c>
      <c r="B12610" s="4" t="s">
        <v>44</v>
      </c>
      <c r="C12610" s="38" t="s">
        <v>2497</v>
      </c>
      <c r="D12610" s="18">
        <v>2022</v>
      </c>
      <c r="E12610" s="18" t="s">
        <v>0</v>
      </c>
      <c r="F12610" s="41">
        <v>1</v>
      </c>
      <c r="G12610" s="4">
        <v>50</v>
      </c>
      <c r="H12610" s="18">
        <v>39.200000000000003</v>
      </c>
      <c r="I12610" s="90"/>
      <c r="J12610" s="90"/>
    </row>
    <row r="12611" spans="1:10" s="15" customFormat="1" ht="16.5" hidden="1" customHeight="1" outlineLevel="1" x14ac:dyDescent="0.25">
      <c r="A12611" s="18">
        <v>5443</v>
      </c>
      <c r="B12611" s="4" t="s">
        <v>44</v>
      </c>
      <c r="C12611" s="38" t="s">
        <v>7302</v>
      </c>
      <c r="D12611" s="18">
        <v>2022</v>
      </c>
      <c r="E12611" s="18" t="s">
        <v>0</v>
      </c>
      <c r="F12611" s="41">
        <v>1</v>
      </c>
      <c r="G12611" s="4">
        <v>10</v>
      </c>
      <c r="H12611" s="18">
        <v>42.457999999999998</v>
      </c>
      <c r="I12611" s="90"/>
      <c r="J12611" s="90"/>
    </row>
    <row r="12612" spans="1:10" s="15" customFormat="1" ht="16.5" hidden="1" customHeight="1" outlineLevel="1" x14ac:dyDescent="0.25">
      <c r="A12612" s="18">
        <v>5499</v>
      </c>
      <c r="B12612" s="4" t="s">
        <v>44</v>
      </c>
      <c r="C12612" s="38" t="s">
        <v>7303</v>
      </c>
      <c r="D12612" s="18">
        <v>2022</v>
      </c>
      <c r="E12612" s="18" t="s">
        <v>0</v>
      </c>
      <c r="F12612" s="41">
        <v>1</v>
      </c>
      <c r="G12612" s="4">
        <v>15</v>
      </c>
      <c r="H12612" s="18">
        <v>67.95</v>
      </c>
      <c r="I12612" s="90"/>
      <c r="J12612" s="90"/>
    </row>
    <row r="12613" spans="1:10" s="15" customFormat="1" ht="16.5" hidden="1" customHeight="1" outlineLevel="1" x14ac:dyDescent="0.25">
      <c r="A12613" s="18">
        <v>5502</v>
      </c>
      <c r="B12613" s="4" t="s">
        <v>44</v>
      </c>
      <c r="C12613" s="38" t="s">
        <v>7304</v>
      </c>
      <c r="D12613" s="18">
        <v>2022</v>
      </c>
      <c r="E12613" s="18" t="s">
        <v>0</v>
      </c>
      <c r="F12613" s="41">
        <v>1</v>
      </c>
      <c r="G12613" s="4">
        <v>62</v>
      </c>
      <c r="H12613" s="18">
        <v>71.269000000000005</v>
      </c>
      <c r="I12613" s="90"/>
      <c r="J12613" s="90"/>
    </row>
    <row r="12614" spans="1:10" s="15" customFormat="1" ht="16.5" hidden="1" customHeight="1" outlineLevel="1" x14ac:dyDescent="0.25">
      <c r="A12614" s="18">
        <v>5544</v>
      </c>
      <c r="B12614" s="4" t="s">
        <v>44</v>
      </c>
      <c r="C12614" s="38" t="s">
        <v>7305</v>
      </c>
      <c r="D12614" s="18">
        <v>2022</v>
      </c>
      <c r="E12614" s="18" t="s">
        <v>0</v>
      </c>
      <c r="F12614" s="41">
        <v>1</v>
      </c>
      <c r="G12614" s="4">
        <v>60</v>
      </c>
      <c r="H12614" s="18">
        <v>40.546999999999997</v>
      </c>
      <c r="I12614" s="90"/>
      <c r="J12614" s="90"/>
    </row>
    <row r="12615" spans="1:10" s="15" customFormat="1" ht="16.5" hidden="1" customHeight="1" outlineLevel="1" x14ac:dyDescent="0.25">
      <c r="A12615" s="18">
        <v>5576</v>
      </c>
      <c r="B12615" s="4" t="s">
        <v>44</v>
      </c>
      <c r="C12615" s="38" t="s">
        <v>2498</v>
      </c>
      <c r="D12615" s="18">
        <v>2022</v>
      </c>
      <c r="E12615" s="18" t="s">
        <v>0</v>
      </c>
      <c r="F12615" s="41">
        <v>3</v>
      </c>
      <c r="G12615" s="4">
        <v>28</v>
      </c>
      <c r="H12615" s="18">
        <v>107.672</v>
      </c>
      <c r="I12615" s="90"/>
      <c r="J12615" s="90"/>
    </row>
    <row r="12616" spans="1:10" s="15" customFormat="1" ht="16.5" hidden="1" customHeight="1" outlineLevel="1" x14ac:dyDescent="0.25">
      <c r="A12616" s="18">
        <v>5603</v>
      </c>
      <c r="B12616" s="4" t="s">
        <v>44</v>
      </c>
      <c r="C12616" s="38" t="s">
        <v>2499</v>
      </c>
      <c r="D12616" s="18">
        <v>2022</v>
      </c>
      <c r="E12616" s="18" t="s">
        <v>0</v>
      </c>
      <c r="F12616" s="41">
        <v>1</v>
      </c>
      <c r="G12616" s="4">
        <v>8</v>
      </c>
      <c r="H12616" s="18">
        <v>46.372</v>
      </c>
      <c r="I12616" s="90"/>
      <c r="J12616" s="90"/>
    </row>
    <row r="12617" spans="1:10" s="15" customFormat="1" ht="16.5" hidden="1" customHeight="1" outlineLevel="1" x14ac:dyDescent="0.25">
      <c r="A12617" s="18">
        <v>5435</v>
      </c>
      <c r="B12617" s="4" t="s">
        <v>44</v>
      </c>
      <c r="C12617" s="38" t="s">
        <v>2500</v>
      </c>
      <c r="D12617" s="18">
        <v>2022</v>
      </c>
      <c r="E12617" s="18" t="s">
        <v>0</v>
      </c>
      <c r="F12617" s="41">
        <v>1</v>
      </c>
      <c r="G12617" s="4">
        <v>15</v>
      </c>
      <c r="H12617" s="18">
        <v>44.49</v>
      </c>
      <c r="I12617" s="90"/>
      <c r="J12617" s="90"/>
    </row>
    <row r="12618" spans="1:10" s="15" customFormat="1" ht="16.5" hidden="1" customHeight="1" outlineLevel="1" x14ac:dyDescent="0.25">
      <c r="A12618" s="18">
        <v>5898</v>
      </c>
      <c r="B12618" s="4" t="s">
        <v>44</v>
      </c>
      <c r="C12618" s="38" t="s">
        <v>7306</v>
      </c>
      <c r="D12618" s="18">
        <v>2022</v>
      </c>
      <c r="E12618" s="18" t="s">
        <v>0</v>
      </c>
      <c r="F12618" s="41">
        <v>1</v>
      </c>
      <c r="G12618" s="4">
        <v>10</v>
      </c>
      <c r="H12618" s="18">
        <v>45.12</v>
      </c>
      <c r="I12618" s="90"/>
      <c r="J12618" s="90"/>
    </row>
    <row r="12619" spans="1:10" s="15" customFormat="1" ht="16.5" hidden="1" customHeight="1" outlineLevel="1" x14ac:dyDescent="0.25">
      <c r="A12619" s="18">
        <v>5655</v>
      </c>
      <c r="B12619" s="4" t="s">
        <v>44</v>
      </c>
      <c r="C12619" s="38" t="s">
        <v>7307</v>
      </c>
      <c r="D12619" s="18">
        <v>2022</v>
      </c>
      <c r="E12619" s="18" t="s">
        <v>0</v>
      </c>
      <c r="F12619" s="41">
        <v>1</v>
      </c>
      <c r="G12619" s="4">
        <v>8</v>
      </c>
      <c r="H12619" s="18">
        <v>68.491</v>
      </c>
      <c r="I12619" s="90"/>
      <c r="J12619" s="90"/>
    </row>
    <row r="12620" spans="1:10" s="15" customFormat="1" ht="16.5" hidden="1" customHeight="1" outlineLevel="1" x14ac:dyDescent="0.25">
      <c r="A12620" s="18">
        <v>5446</v>
      </c>
      <c r="B12620" s="4" t="s">
        <v>44</v>
      </c>
      <c r="C12620" s="38" t="s">
        <v>7308</v>
      </c>
      <c r="D12620" s="18">
        <v>2022</v>
      </c>
      <c r="E12620" s="18" t="s">
        <v>0</v>
      </c>
      <c r="F12620" s="41">
        <v>1</v>
      </c>
      <c r="G12620" s="4">
        <v>15</v>
      </c>
      <c r="H12620" s="18">
        <v>55.405000000000001</v>
      </c>
      <c r="I12620" s="90"/>
      <c r="J12620" s="90"/>
    </row>
    <row r="12621" spans="1:10" s="15" customFormat="1" ht="16.5" hidden="1" customHeight="1" outlineLevel="1" x14ac:dyDescent="0.25">
      <c r="A12621" s="18">
        <v>5447</v>
      </c>
      <c r="B12621" s="4" t="s">
        <v>44</v>
      </c>
      <c r="C12621" s="38" t="s">
        <v>7309</v>
      </c>
      <c r="D12621" s="18">
        <v>2022</v>
      </c>
      <c r="E12621" s="18" t="s">
        <v>0</v>
      </c>
      <c r="F12621" s="41">
        <v>1</v>
      </c>
      <c r="G12621" s="4">
        <v>15</v>
      </c>
      <c r="H12621" s="18">
        <v>63.231999999999999</v>
      </c>
      <c r="I12621" s="90"/>
      <c r="J12621" s="90"/>
    </row>
    <row r="12622" spans="1:10" s="15" customFormat="1" ht="16.5" hidden="1" customHeight="1" outlineLevel="1" x14ac:dyDescent="0.25">
      <c r="A12622" s="18">
        <v>5457</v>
      </c>
      <c r="B12622" s="4" t="s">
        <v>44</v>
      </c>
      <c r="C12622" s="38" t="s">
        <v>7310</v>
      </c>
      <c r="D12622" s="18">
        <v>2022</v>
      </c>
      <c r="E12622" s="18" t="s">
        <v>0</v>
      </c>
      <c r="F12622" s="41">
        <v>1</v>
      </c>
      <c r="G12622" s="4">
        <v>15</v>
      </c>
      <c r="H12622" s="18">
        <v>53.963999999999999</v>
      </c>
      <c r="I12622" s="90"/>
      <c r="J12622" s="90"/>
    </row>
    <row r="12623" spans="1:10" s="15" customFormat="1" ht="16.5" hidden="1" customHeight="1" outlineLevel="1" x14ac:dyDescent="0.25">
      <c r="A12623" s="18">
        <v>5455</v>
      </c>
      <c r="B12623" s="4" t="s">
        <v>44</v>
      </c>
      <c r="C12623" s="38" t="s">
        <v>7311</v>
      </c>
      <c r="D12623" s="18">
        <v>2022</v>
      </c>
      <c r="E12623" s="18" t="s">
        <v>0</v>
      </c>
      <c r="F12623" s="41">
        <v>1</v>
      </c>
      <c r="G12623" s="4">
        <v>15</v>
      </c>
      <c r="H12623" s="18">
        <v>41.716000000000001</v>
      </c>
      <c r="I12623" s="90"/>
      <c r="J12623" s="90"/>
    </row>
    <row r="12624" spans="1:10" s="15" customFormat="1" ht="16.5" hidden="1" customHeight="1" outlineLevel="1" x14ac:dyDescent="0.25">
      <c r="A12624" s="18">
        <v>5431</v>
      </c>
      <c r="B12624" s="4" t="s">
        <v>44</v>
      </c>
      <c r="C12624" s="38" t="s">
        <v>7312</v>
      </c>
      <c r="D12624" s="18">
        <v>2022</v>
      </c>
      <c r="E12624" s="18" t="s">
        <v>0</v>
      </c>
      <c r="F12624" s="41">
        <v>1</v>
      </c>
      <c r="G12624" s="4">
        <v>15</v>
      </c>
      <c r="H12624" s="18">
        <v>38.789000000000001</v>
      </c>
      <c r="I12624" s="90"/>
      <c r="J12624" s="90"/>
    </row>
    <row r="12625" spans="1:10" s="15" customFormat="1" ht="16.5" hidden="1" customHeight="1" outlineLevel="1" x14ac:dyDescent="0.25">
      <c r="A12625" s="18">
        <v>5591</v>
      </c>
      <c r="B12625" s="4" t="s">
        <v>44</v>
      </c>
      <c r="C12625" s="38" t="s">
        <v>7313</v>
      </c>
      <c r="D12625" s="18">
        <v>2022</v>
      </c>
      <c r="E12625" s="18" t="s">
        <v>0</v>
      </c>
      <c r="F12625" s="41">
        <v>1</v>
      </c>
      <c r="G12625" s="4">
        <v>15</v>
      </c>
      <c r="H12625" s="18">
        <v>33.448</v>
      </c>
      <c r="I12625" s="90"/>
      <c r="J12625" s="90"/>
    </row>
    <row r="12626" spans="1:10" s="15" customFormat="1" ht="16.5" hidden="1" customHeight="1" outlineLevel="1" x14ac:dyDescent="0.25">
      <c r="A12626" s="18">
        <v>5593</v>
      </c>
      <c r="B12626" s="4" t="s">
        <v>44</v>
      </c>
      <c r="C12626" s="38" t="s">
        <v>7314</v>
      </c>
      <c r="D12626" s="18">
        <v>2022</v>
      </c>
      <c r="E12626" s="18" t="s">
        <v>0</v>
      </c>
      <c r="F12626" s="41">
        <v>1</v>
      </c>
      <c r="G12626" s="4">
        <v>15</v>
      </c>
      <c r="H12626" s="18">
        <v>32.645000000000003</v>
      </c>
      <c r="I12626" s="90"/>
      <c r="J12626" s="90"/>
    </row>
    <row r="12627" spans="1:10" s="15" customFormat="1" ht="16.5" hidden="1" customHeight="1" outlineLevel="1" x14ac:dyDescent="0.25">
      <c r="A12627" s="18">
        <v>5645</v>
      </c>
      <c r="B12627" s="4" t="s">
        <v>44</v>
      </c>
      <c r="C12627" s="38" t="s">
        <v>7315</v>
      </c>
      <c r="D12627" s="18">
        <v>2022</v>
      </c>
      <c r="E12627" s="18" t="s">
        <v>0</v>
      </c>
      <c r="F12627" s="41">
        <v>1</v>
      </c>
      <c r="G12627" s="4">
        <v>10</v>
      </c>
      <c r="H12627" s="18">
        <v>28.876999999999999</v>
      </c>
      <c r="I12627" s="90"/>
      <c r="J12627" s="90"/>
    </row>
    <row r="12628" spans="1:10" s="15" customFormat="1" ht="16.5" hidden="1" customHeight="1" outlineLevel="1" x14ac:dyDescent="0.25">
      <c r="A12628" s="18">
        <v>5656</v>
      </c>
      <c r="B12628" s="4" t="s">
        <v>44</v>
      </c>
      <c r="C12628" s="38" t="s">
        <v>7316</v>
      </c>
      <c r="D12628" s="18">
        <v>2022</v>
      </c>
      <c r="E12628" s="18" t="s">
        <v>0</v>
      </c>
      <c r="F12628" s="41">
        <v>1</v>
      </c>
      <c r="G12628" s="4">
        <v>10</v>
      </c>
      <c r="H12628" s="18">
        <v>28.631</v>
      </c>
      <c r="I12628" s="90"/>
      <c r="J12628" s="90"/>
    </row>
    <row r="12629" spans="1:10" s="15" customFormat="1" ht="16.5" hidden="1" customHeight="1" outlineLevel="1" x14ac:dyDescent="0.25">
      <c r="A12629" s="18">
        <v>5895</v>
      </c>
      <c r="B12629" s="4" t="s">
        <v>44</v>
      </c>
      <c r="C12629" s="38" t="s">
        <v>7317</v>
      </c>
      <c r="D12629" s="18">
        <v>2022</v>
      </c>
      <c r="E12629" s="18" t="s">
        <v>0</v>
      </c>
      <c r="F12629" s="41">
        <v>1</v>
      </c>
      <c r="G12629" s="4">
        <v>15</v>
      </c>
      <c r="H12629" s="18">
        <v>32.356999999999999</v>
      </c>
      <c r="I12629" s="90"/>
      <c r="J12629" s="90"/>
    </row>
    <row r="12630" spans="1:10" s="15" customFormat="1" ht="16.5" hidden="1" customHeight="1" outlineLevel="1" x14ac:dyDescent="0.25">
      <c r="A12630" s="18">
        <v>5893</v>
      </c>
      <c r="B12630" s="4" t="s">
        <v>44</v>
      </c>
      <c r="C12630" s="38" t="s">
        <v>7318</v>
      </c>
      <c r="D12630" s="18">
        <v>2022</v>
      </c>
      <c r="E12630" s="18" t="s">
        <v>0</v>
      </c>
      <c r="F12630" s="41">
        <v>1</v>
      </c>
      <c r="G12630" s="4">
        <v>15</v>
      </c>
      <c r="H12630" s="18">
        <v>32.853000000000002</v>
      </c>
      <c r="I12630" s="90"/>
      <c r="J12630" s="90"/>
    </row>
    <row r="12631" spans="1:10" s="15" customFormat="1" ht="16.5" hidden="1" customHeight="1" outlineLevel="1" x14ac:dyDescent="0.25">
      <c r="A12631" s="18">
        <v>5894</v>
      </c>
      <c r="B12631" s="4" t="s">
        <v>44</v>
      </c>
      <c r="C12631" s="38" t="s">
        <v>7319</v>
      </c>
      <c r="D12631" s="18">
        <v>2022</v>
      </c>
      <c r="E12631" s="18" t="s">
        <v>0</v>
      </c>
      <c r="F12631" s="41">
        <v>1</v>
      </c>
      <c r="G12631" s="4">
        <v>15</v>
      </c>
      <c r="H12631" s="18">
        <v>31.204999999999998</v>
      </c>
      <c r="I12631" s="90"/>
      <c r="J12631" s="90"/>
    </row>
    <row r="12632" spans="1:10" s="15" customFormat="1" ht="16.5" hidden="1" customHeight="1" outlineLevel="1" x14ac:dyDescent="0.25">
      <c r="A12632" s="18">
        <v>5583</v>
      </c>
      <c r="B12632" s="4" t="s">
        <v>44</v>
      </c>
      <c r="C12632" s="38" t="s">
        <v>7320</v>
      </c>
      <c r="D12632" s="18">
        <v>2022</v>
      </c>
      <c r="E12632" s="18" t="s">
        <v>0</v>
      </c>
      <c r="F12632" s="41">
        <v>1</v>
      </c>
      <c r="G12632" s="4">
        <v>15</v>
      </c>
      <c r="H12632" s="18">
        <v>31.576000000000001</v>
      </c>
      <c r="I12632" s="90"/>
      <c r="J12632" s="90"/>
    </row>
    <row r="12633" spans="1:10" s="15" customFormat="1" ht="16.5" hidden="1" customHeight="1" outlineLevel="1" x14ac:dyDescent="0.25">
      <c r="A12633" s="18">
        <v>5668</v>
      </c>
      <c r="B12633" s="4" t="s">
        <v>44</v>
      </c>
      <c r="C12633" s="38" t="s">
        <v>7321</v>
      </c>
      <c r="D12633" s="18">
        <v>2022</v>
      </c>
      <c r="E12633" s="18" t="s">
        <v>0</v>
      </c>
      <c r="F12633" s="41">
        <v>1</v>
      </c>
      <c r="G12633" s="4">
        <v>15</v>
      </c>
      <c r="H12633" s="18">
        <v>29.885000000000002</v>
      </c>
      <c r="I12633" s="90"/>
      <c r="J12633" s="90"/>
    </row>
    <row r="12634" spans="1:10" s="15" customFormat="1" ht="16.5" hidden="1" customHeight="1" outlineLevel="1" x14ac:dyDescent="0.25">
      <c r="A12634" s="18">
        <v>5532</v>
      </c>
      <c r="B12634" s="4" t="s">
        <v>44</v>
      </c>
      <c r="C12634" s="38" t="s">
        <v>7322</v>
      </c>
      <c r="D12634" s="18">
        <v>2022</v>
      </c>
      <c r="E12634" s="18" t="s">
        <v>0</v>
      </c>
      <c r="F12634" s="41">
        <v>1</v>
      </c>
      <c r="G12634" s="4">
        <v>15</v>
      </c>
      <c r="H12634" s="18">
        <v>28.581</v>
      </c>
      <c r="I12634" s="90"/>
      <c r="J12634" s="90"/>
    </row>
    <row r="12635" spans="1:10" s="15" customFormat="1" ht="16.5" hidden="1" customHeight="1" outlineLevel="1" x14ac:dyDescent="0.25">
      <c r="A12635" s="18">
        <v>5563</v>
      </c>
      <c r="B12635" s="4" t="s">
        <v>44</v>
      </c>
      <c r="C12635" s="38" t="s">
        <v>7323</v>
      </c>
      <c r="D12635" s="18">
        <v>2022</v>
      </c>
      <c r="E12635" s="18" t="s">
        <v>0</v>
      </c>
      <c r="F12635" s="41">
        <v>1</v>
      </c>
      <c r="G12635" s="4">
        <v>15</v>
      </c>
      <c r="H12635" s="18">
        <v>28.238</v>
      </c>
      <c r="I12635" s="90"/>
      <c r="J12635" s="90"/>
    </row>
    <row r="12636" spans="1:10" s="15" customFormat="1" ht="16.5" hidden="1" customHeight="1" outlineLevel="1" x14ac:dyDescent="0.25">
      <c r="A12636" s="18">
        <v>5590</v>
      </c>
      <c r="B12636" s="4" t="s">
        <v>44</v>
      </c>
      <c r="C12636" s="38" t="s">
        <v>7324</v>
      </c>
      <c r="D12636" s="18">
        <v>2022</v>
      </c>
      <c r="E12636" s="18" t="s">
        <v>0</v>
      </c>
      <c r="F12636" s="41">
        <v>1</v>
      </c>
      <c r="G12636" s="4">
        <v>15</v>
      </c>
      <c r="H12636" s="18">
        <v>30.98</v>
      </c>
      <c r="I12636" s="90"/>
      <c r="J12636" s="90"/>
    </row>
    <row r="12637" spans="1:10" s="15" customFormat="1" ht="16.5" hidden="1" customHeight="1" outlineLevel="1" x14ac:dyDescent="0.25">
      <c r="A12637" s="18">
        <v>5451</v>
      </c>
      <c r="B12637" s="4" t="s">
        <v>44</v>
      </c>
      <c r="C12637" s="38" t="s">
        <v>7325</v>
      </c>
      <c r="D12637" s="18">
        <v>2022</v>
      </c>
      <c r="E12637" s="18" t="s">
        <v>0</v>
      </c>
      <c r="F12637" s="41">
        <v>1</v>
      </c>
      <c r="G12637" s="4">
        <v>15</v>
      </c>
      <c r="H12637" s="18">
        <v>35.338999999999999</v>
      </c>
      <c r="I12637" s="90"/>
      <c r="J12637" s="90"/>
    </row>
    <row r="12638" spans="1:10" s="15" customFormat="1" ht="16.5" hidden="1" customHeight="1" outlineLevel="1" x14ac:dyDescent="0.25">
      <c r="A12638" s="18">
        <v>5466</v>
      </c>
      <c r="B12638" s="4" t="s">
        <v>44</v>
      </c>
      <c r="C12638" s="38" t="s">
        <v>7326</v>
      </c>
      <c r="D12638" s="18">
        <v>2022</v>
      </c>
      <c r="E12638" s="18" t="s">
        <v>0</v>
      </c>
      <c r="F12638" s="41">
        <v>1</v>
      </c>
      <c r="G12638" s="4">
        <v>15</v>
      </c>
      <c r="H12638" s="18">
        <v>50.53</v>
      </c>
      <c r="I12638" s="90"/>
      <c r="J12638" s="90"/>
    </row>
    <row r="12639" spans="1:10" s="15" customFormat="1" ht="16.5" hidden="1" customHeight="1" outlineLevel="1" x14ac:dyDescent="0.25">
      <c r="A12639" s="18">
        <v>5510</v>
      </c>
      <c r="B12639" s="4" t="s">
        <v>44</v>
      </c>
      <c r="C12639" s="38" t="s">
        <v>7327</v>
      </c>
      <c r="D12639" s="18">
        <v>2022</v>
      </c>
      <c r="E12639" s="18" t="s">
        <v>0</v>
      </c>
      <c r="F12639" s="41">
        <v>1</v>
      </c>
      <c r="G12639" s="4">
        <v>15</v>
      </c>
      <c r="H12639" s="18">
        <v>45.851999999999997</v>
      </c>
      <c r="I12639" s="90"/>
      <c r="J12639" s="90"/>
    </row>
    <row r="12640" spans="1:10" s="15" customFormat="1" ht="16.5" hidden="1" customHeight="1" outlineLevel="1" x14ac:dyDescent="0.25">
      <c r="A12640" s="18">
        <v>5424</v>
      </c>
      <c r="B12640" s="4" t="s">
        <v>44</v>
      </c>
      <c r="C12640" s="38" t="s">
        <v>2502</v>
      </c>
      <c r="D12640" s="18">
        <v>2022</v>
      </c>
      <c r="E12640" s="18" t="s">
        <v>0</v>
      </c>
      <c r="F12640" s="41">
        <v>1</v>
      </c>
      <c r="G12640" s="4">
        <v>15</v>
      </c>
      <c r="H12640" s="18">
        <v>75.024000000000001</v>
      </c>
      <c r="I12640" s="90"/>
      <c r="J12640" s="90"/>
    </row>
    <row r="12641" spans="1:10" s="15" customFormat="1" ht="16.5" hidden="1" customHeight="1" outlineLevel="1" x14ac:dyDescent="0.25">
      <c r="A12641" s="18">
        <v>5492</v>
      </c>
      <c r="B12641" s="4" t="s">
        <v>44</v>
      </c>
      <c r="C12641" s="38" t="s">
        <v>7328</v>
      </c>
      <c r="D12641" s="18">
        <v>2022</v>
      </c>
      <c r="E12641" s="18" t="s">
        <v>0</v>
      </c>
      <c r="F12641" s="41">
        <v>1</v>
      </c>
      <c r="G12641" s="4">
        <v>15</v>
      </c>
      <c r="H12641" s="18">
        <v>90.927000000000007</v>
      </c>
      <c r="I12641" s="90"/>
      <c r="J12641" s="90"/>
    </row>
    <row r="12642" spans="1:10" s="15" customFormat="1" ht="16.5" hidden="1" customHeight="1" outlineLevel="1" x14ac:dyDescent="0.25">
      <c r="A12642" s="18">
        <v>5566</v>
      </c>
      <c r="B12642" s="4" t="s">
        <v>44</v>
      </c>
      <c r="C12642" s="38" t="s">
        <v>7329</v>
      </c>
      <c r="D12642" s="18">
        <v>2022</v>
      </c>
      <c r="E12642" s="18" t="s">
        <v>0</v>
      </c>
      <c r="F12642" s="41">
        <v>1</v>
      </c>
      <c r="G12642" s="4">
        <v>15</v>
      </c>
      <c r="H12642" s="18">
        <v>87.575999999999993</v>
      </c>
      <c r="I12642" s="90"/>
      <c r="J12642" s="90"/>
    </row>
    <row r="12643" spans="1:10" s="15" customFormat="1" ht="16.5" hidden="1" customHeight="1" outlineLevel="1" x14ac:dyDescent="0.25">
      <c r="A12643" s="18">
        <v>5614</v>
      </c>
      <c r="B12643" s="4" t="s">
        <v>44</v>
      </c>
      <c r="C12643" s="38" t="s">
        <v>7330</v>
      </c>
      <c r="D12643" s="18">
        <v>2022</v>
      </c>
      <c r="E12643" s="18" t="s">
        <v>0</v>
      </c>
      <c r="F12643" s="41">
        <v>1</v>
      </c>
      <c r="G12643" s="4">
        <v>20</v>
      </c>
      <c r="H12643" s="18">
        <v>93.510999999999996</v>
      </c>
      <c r="I12643" s="90"/>
      <c r="J12643" s="90"/>
    </row>
    <row r="12644" spans="1:10" s="15" customFormat="1" ht="16.5" hidden="1" customHeight="1" outlineLevel="1" x14ac:dyDescent="0.25">
      <c r="A12644" s="18">
        <v>5506</v>
      </c>
      <c r="B12644" s="4" t="s">
        <v>44</v>
      </c>
      <c r="C12644" s="38" t="s">
        <v>7331</v>
      </c>
      <c r="D12644" s="18">
        <v>2022</v>
      </c>
      <c r="E12644" s="18" t="s">
        <v>0</v>
      </c>
      <c r="F12644" s="41">
        <v>1</v>
      </c>
      <c r="G12644" s="4">
        <v>15</v>
      </c>
      <c r="H12644" s="18">
        <v>96.83</v>
      </c>
      <c r="I12644" s="90"/>
      <c r="J12644" s="90"/>
    </row>
    <row r="12645" spans="1:10" s="15" customFormat="1" ht="16.5" hidden="1" customHeight="1" outlineLevel="1" x14ac:dyDescent="0.25">
      <c r="A12645" s="18">
        <v>5557</v>
      </c>
      <c r="B12645" s="4" t="s">
        <v>44</v>
      </c>
      <c r="C12645" s="38" t="s">
        <v>7332</v>
      </c>
      <c r="D12645" s="18">
        <v>2022</v>
      </c>
      <c r="E12645" s="18" t="s">
        <v>0</v>
      </c>
      <c r="F12645" s="41">
        <v>1</v>
      </c>
      <c r="G12645" s="4">
        <v>15</v>
      </c>
      <c r="H12645" s="18">
        <v>94.311000000000007</v>
      </c>
      <c r="I12645" s="90"/>
      <c r="J12645" s="90"/>
    </row>
    <row r="12646" spans="1:10" s="15" customFormat="1" ht="16.5" hidden="1" customHeight="1" outlineLevel="1" x14ac:dyDescent="0.25">
      <c r="A12646" s="18">
        <v>5464</v>
      </c>
      <c r="B12646" s="4" t="s">
        <v>44</v>
      </c>
      <c r="C12646" s="38" t="s">
        <v>7333</v>
      </c>
      <c r="D12646" s="18">
        <v>2022</v>
      </c>
      <c r="E12646" s="18" t="s">
        <v>0</v>
      </c>
      <c r="F12646" s="41">
        <v>1</v>
      </c>
      <c r="G12646" s="4">
        <v>15</v>
      </c>
      <c r="H12646" s="18">
        <v>90.733999999999995</v>
      </c>
      <c r="I12646" s="90"/>
      <c r="J12646" s="90"/>
    </row>
    <row r="12647" spans="1:10" s="15" customFormat="1" ht="16.5" hidden="1" customHeight="1" outlineLevel="1" x14ac:dyDescent="0.25">
      <c r="A12647" s="18">
        <v>5426</v>
      </c>
      <c r="B12647" s="4" t="s">
        <v>44</v>
      </c>
      <c r="C12647" s="38" t="s">
        <v>7334</v>
      </c>
      <c r="D12647" s="18">
        <v>2022</v>
      </c>
      <c r="E12647" s="18" t="s">
        <v>0</v>
      </c>
      <c r="F12647" s="41">
        <v>1</v>
      </c>
      <c r="G12647" s="4">
        <v>10</v>
      </c>
      <c r="H12647" s="18">
        <v>97.006</v>
      </c>
      <c r="I12647" s="90"/>
      <c r="J12647" s="90"/>
    </row>
    <row r="12648" spans="1:10" s="15" customFormat="1" ht="16.5" hidden="1" customHeight="1" outlineLevel="1" x14ac:dyDescent="0.25">
      <c r="A12648" s="18">
        <v>5481</v>
      </c>
      <c r="B12648" s="4" t="s">
        <v>44</v>
      </c>
      <c r="C12648" s="38" t="s">
        <v>7335</v>
      </c>
      <c r="D12648" s="18">
        <v>2022</v>
      </c>
      <c r="E12648" s="18" t="s">
        <v>0</v>
      </c>
      <c r="F12648" s="41">
        <v>1</v>
      </c>
      <c r="G12648" s="4">
        <v>15</v>
      </c>
      <c r="H12648" s="18">
        <v>91.052000000000007</v>
      </c>
      <c r="I12648" s="90"/>
      <c r="J12648" s="90"/>
    </row>
    <row r="12649" spans="1:10" s="15" customFormat="1" ht="16.5" hidden="1" customHeight="1" outlineLevel="1" x14ac:dyDescent="0.25">
      <c r="A12649" s="18">
        <v>5430</v>
      </c>
      <c r="B12649" s="4" t="s">
        <v>44</v>
      </c>
      <c r="C12649" s="38" t="s">
        <v>7336</v>
      </c>
      <c r="D12649" s="18">
        <v>2022</v>
      </c>
      <c r="E12649" s="18" t="s">
        <v>0</v>
      </c>
      <c r="F12649" s="41">
        <v>1</v>
      </c>
      <c r="G12649" s="4">
        <v>15</v>
      </c>
      <c r="H12649" s="18">
        <v>90.869</v>
      </c>
      <c r="I12649" s="90"/>
      <c r="J12649" s="90"/>
    </row>
    <row r="12650" spans="1:10" s="15" customFormat="1" ht="16.5" hidden="1" customHeight="1" outlineLevel="1" x14ac:dyDescent="0.25">
      <c r="A12650" s="18">
        <v>5489</v>
      </c>
      <c r="B12650" s="4" t="s">
        <v>44</v>
      </c>
      <c r="C12650" s="38" t="s">
        <v>7337</v>
      </c>
      <c r="D12650" s="18">
        <v>2022</v>
      </c>
      <c r="E12650" s="18" t="s">
        <v>0</v>
      </c>
      <c r="F12650" s="41">
        <v>1</v>
      </c>
      <c r="G12650" s="4">
        <v>15</v>
      </c>
      <c r="H12650" s="18">
        <v>91.293000000000006</v>
      </c>
      <c r="I12650" s="90"/>
      <c r="J12650" s="90"/>
    </row>
    <row r="12651" spans="1:10" s="15" customFormat="1" ht="16.5" hidden="1" customHeight="1" outlineLevel="1" x14ac:dyDescent="0.25">
      <c r="A12651" s="18">
        <v>5449</v>
      </c>
      <c r="B12651" s="4" t="s">
        <v>44</v>
      </c>
      <c r="C12651" s="38" t="s">
        <v>2503</v>
      </c>
      <c r="D12651" s="18">
        <v>2022</v>
      </c>
      <c r="E12651" s="18" t="s">
        <v>0</v>
      </c>
      <c r="F12651" s="41">
        <v>1</v>
      </c>
      <c r="G12651" s="4">
        <v>15</v>
      </c>
      <c r="H12651" s="18">
        <v>65.789000000000001</v>
      </c>
      <c r="I12651" s="90"/>
      <c r="J12651" s="90"/>
    </row>
    <row r="12652" spans="1:10" s="15" customFormat="1" ht="16.5" hidden="1" customHeight="1" outlineLevel="1" x14ac:dyDescent="0.25">
      <c r="A12652" s="18">
        <v>5537</v>
      </c>
      <c r="B12652" s="4" t="s">
        <v>44</v>
      </c>
      <c r="C12652" s="38" t="s">
        <v>2504</v>
      </c>
      <c r="D12652" s="18">
        <v>2022</v>
      </c>
      <c r="E12652" s="18" t="s">
        <v>0</v>
      </c>
      <c r="F12652" s="41">
        <v>1</v>
      </c>
      <c r="G12652" s="4">
        <v>15</v>
      </c>
      <c r="H12652" s="18">
        <v>67.650000000000006</v>
      </c>
      <c r="I12652" s="90"/>
      <c r="J12652" s="90"/>
    </row>
    <row r="12653" spans="1:10" s="15" customFormat="1" ht="16.5" hidden="1" customHeight="1" outlineLevel="1" x14ac:dyDescent="0.25">
      <c r="A12653" s="18">
        <v>5682</v>
      </c>
      <c r="B12653" s="4" t="s">
        <v>44</v>
      </c>
      <c r="C12653" s="38" t="s">
        <v>7338</v>
      </c>
      <c r="D12653" s="18">
        <v>2022</v>
      </c>
      <c r="E12653" s="18" t="s">
        <v>0</v>
      </c>
      <c r="F12653" s="41">
        <v>1</v>
      </c>
      <c r="G12653" s="4">
        <v>4</v>
      </c>
      <c r="H12653" s="18">
        <v>80.97</v>
      </c>
      <c r="I12653" s="90"/>
      <c r="J12653" s="90"/>
    </row>
    <row r="12654" spans="1:10" s="15" customFormat="1" ht="16.5" hidden="1" customHeight="1" outlineLevel="1" x14ac:dyDescent="0.25">
      <c r="A12654" s="18">
        <v>5896</v>
      </c>
      <c r="B12654" s="4" t="s">
        <v>44</v>
      </c>
      <c r="C12654" s="38" t="s">
        <v>7339</v>
      </c>
      <c r="D12654" s="18">
        <v>2022</v>
      </c>
      <c r="E12654" s="18" t="s">
        <v>0</v>
      </c>
      <c r="F12654" s="41">
        <v>1</v>
      </c>
      <c r="G12654" s="4">
        <v>15</v>
      </c>
      <c r="H12654" s="18">
        <v>88.352000000000004</v>
      </c>
      <c r="I12654" s="90"/>
      <c r="J12654" s="90"/>
    </row>
    <row r="12655" spans="1:10" s="15" customFormat="1" ht="16.5" hidden="1" customHeight="1" outlineLevel="1" x14ac:dyDescent="0.25">
      <c r="A12655" s="18">
        <v>5442</v>
      </c>
      <c r="B12655" s="4" t="s">
        <v>44</v>
      </c>
      <c r="C12655" s="38" t="s">
        <v>7340</v>
      </c>
      <c r="D12655" s="18">
        <v>2022</v>
      </c>
      <c r="E12655" s="18" t="s">
        <v>0</v>
      </c>
      <c r="F12655" s="41">
        <v>1</v>
      </c>
      <c r="G12655" s="4">
        <v>15</v>
      </c>
      <c r="H12655" s="18">
        <v>104.407</v>
      </c>
      <c r="I12655" s="90"/>
      <c r="J12655" s="90"/>
    </row>
    <row r="12656" spans="1:10" s="15" customFormat="1" ht="16.5" hidden="1" customHeight="1" outlineLevel="1" x14ac:dyDescent="0.25">
      <c r="A12656" s="18">
        <v>5538</v>
      </c>
      <c r="B12656" s="4" t="s">
        <v>44</v>
      </c>
      <c r="C12656" s="38" t="s">
        <v>7341</v>
      </c>
      <c r="D12656" s="18">
        <v>2022</v>
      </c>
      <c r="E12656" s="18" t="s">
        <v>0</v>
      </c>
      <c r="F12656" s="41">
        <v>1</v>
      </c>
      <c r="G12656" s="4">
        <v>15</v>
      </c>
      <c r="H12656" s="18">
        <v>94.478999999999999</v>
      </c>
      <c r="I12656" s="90"/>
      <c r="J12656" s="90"/>
    </row>
    <row r="12657" spans="1:10" s="15" customFormat="1" ht="16.5" hidden="1" customHeight="1" outlineLevel="1" x14ac:dyDescent="0.25">
      <c r="A12657" s="18">
        <v>5479</v>
      </c>
      <c r="B12657" s="4" t="s">
        <v>44</v>
      </c>
      <c r="C12657" s="38" t="s">
        <v>7342</v>
      </c>
      <c r="D12657" s="18">
        <v>2022</v>
      </c>
      <c r="E12657" s="18" t="s">
        <v>0</v>
      </c>
      <c r="F12657" s="41">
        <v>1</v>
      </c>
      <c r="G12657" s="4">
        <v>15</v>
      </c>
      <c r="H12657" s="18">
        <v>98.492999999999995</v>
      </c>
      <c r="I12657" s="90"/>
      <c r="J12657" s="90"/>
    </row>
    <row r="12658" spans="1:10" s="15" customFormat="1" ht="16.5" hidden="1" customHeight="1" outlineLevel="1" x14ac:dyDescent="0.25">
      <c r="A12658" s="18">
        <v>5427</v>
      </c>
      <c r="B12658" s="4" t="s">
        <v>44</v>
      </c>
      <c r="C12658" s="38" t="s">
        <v>7343</v>
      </c>
      <c r="D12658" s="18">
        <v>2022</v>
      </c>
      <c r="E12658" s="18" t="s">
        <v>0</v>
      </c>
      <c r="F12658" s="41">
        <v>1</v>
      </c>
      <c r="G12658" s="4">
        <v>15</v>
      </c>
      <c r="H12658" s="18">
        <v>95.245999999999995</v>
      </c>
      <c r="I12658" s="90"/>
      <c r="J12658" s="90"/>
    </row>
    <row r="12659" spans="1:10" s="15" customFormat="1" ht="16.5" hidden="1" customHeight="1" outlineLevel="1" x14ac:dyDescent="0.25">
      <c r="A12659" s="18">
        <v>5527</v>
      </c>
      <c r="B12659" s="4" t="s">
        <v>44</v>
      </c>
      <c r="C12659" s="38" t="s">
        <v>7344</v>
      </c>
      <c r="D12659" s="18">
        <v>2022</v>
      </c>
      <c r="E12659" s="18" t="s">
        <v>0</v>
      </c>
      <c r="F12659" s="41">
        <v>1</v>
      </c>
      <c r="G12659" s="4">
        <v>15</v>
      </c>
      <c r="H12659" s="18">
        <v>94.629000000000005</v>
      </c>
      <c r="I12659" s="90"/>
      <c r="J12659" s="90"/>
    </row>
    <row r="12660" spans="1:10" s="15" customFormat="1" ht="16.5" hidden="1" customHeight="1" outlineLevel="1" x14ac:dyDescent="0.25">
      <c r="A12660" s="18">
        <v>5573</v>
      </c>
      <c r="B12660" s="4" t="s">
        <v>44</v>
      </c>
      <c r="C12660" s="38" t="s">
        <v>7345</v>
      </c>
      <c r="D12660" s="18">
        <v>2022</v>
      </c>
      <c r="E12660" s="18" t="s">
        <v>0</v>
      </c>
      <c r="F12660" s="41">
        <v>1</v>
      </c>
      <c r="G12660" s="4">
        <v>15</v>
      </c>
      <c r="H12660" s="18">
        <v>93.858000000000004</v>
      </c>
      <c r="I12660" s="90"/>
      <c r="J12660" s="90"/>
    </row>
    <row r="12661" spans="1:10" s="15" customFormat="1" ht="16.5" hidden="1" customHeight="1" outlineLevel="1" x14ac:dyDescent="0.25">
      <c r="A12661" s="18">
        <v>5456</v>
      </c>
      <c r="B12661" s="4" t="s">
        <v>44</v>
      </c>
      <c r="C12661" s="38" t="s">
        <v>7346</v>
      </c>
      <c r="D12661" s="18">
        <v>2022</v>
      </c>
      <c r="E12661" s="18" t="s">
        <v>0</v>
      </c>
      <c r="F12661" s="41">
        <v>1</v>
      </c>
      <c r="G12661" s="4">
        <v>5</v>
      </c>
      <c r="H12661" s="18">
        <v>103.114</v>
      </c>
      <c r="I12661" s="90"/>
      <c r="J12661" s="90"/>
    </row>
    <row r="12662" spans="1:10" s="15" customFormat="1" ht="16.5" hidden="1" customHeight="1" outlineLevel="1" x14ac:dyDescent="0.25">
      <c r="A12662" s="18">
        <v>5536</v>
      </c>
      <c r="B12662" s="4" t="s">
        <v>44</v>
      </c>
      <c r="C12662" s="38" t="s">
        <v>2505</v>
      </c>
      <c r="D12662" s="18">
        <v>2022</v>
      </c>
      <c r="E12662" s="18" t="s">
        <v>0</v>
      </c>
      <c r="F12662" s="41">
        <v>1</v>
      </c>
      <c r="G12662" s="4">
        <v>3</v>
      </c>
      <c r="H12662" s="18">
        <v>63.432000000000002</v>
      </c>
      <c r="I12662" s="90"/>
      <c r="J12662" s="90"/>
    </row>
    <row r="12663" spans="1:10" s="15" customFormat="1" ht="16.5" hidden="1" customHeight="1" outlineLevel="1" x14ac:dyDescent="0.25">
      <c r="A12663" s="18">
        <v>5616</v>
      </c>
      <c r="B12663" s="4" t="s">
        <v>44</v>
      </c>
      <c r="C12663" s="38" t="s">
        <v>7347</v>
      </c>
      <c r="D12663" s="18">
        <v>2022</v>
      </c>
      <c r="E12663" s="18" t="s">
        <v>0</v>
      </c>
      <c r="F12663" s="41">
        <v>1</v>
      </c>
      <c r="G12663" s="4">
        <v>10</v>
      </c>
      <c r="H12663" s="18">
        <v>74.918000000000006</v>
      </c>
      <c r="I12663" s="90"/>
      <c r="J12663" s="90"/>
    </row>
    <row r="12664" spans="1:10" s="15" customFormat="1" ht="16.5" hidden="1" customHeight="1" outlineLevel="1" x14ac:dyDescent="0.25">
      <c r="A12664" s="18">
        <v>5661</v>
      </c>
      <c r="B12664" s="4" t="s">
        <v>44</v>
      </c>
      <c r="C12664" s="38" t="s">
        <v>7348</v>
      </c>
      <c r="D12664" s="18">
        <v>2022</v>
      </c>
      <c r="E12664" s="18" t="s">
        <v>0</v>
      </c>
      <c r="F12664" s="41">
        <v>1</v>
      </c>
      <c r="G12664" s="4">
        <v>10</v>
      </c>
      <c r="H12664" s="18">
        <v>72.77</v>
      </c>
      <c r="I12664" s="90"/>
      <c r="J12664" s="90"/>
    </row>
    <row r="12665" spans="1:10" s="15" customFormat="1" ht="16.5" hidden="1" customHeight="1" outlineLevel="1" x14ac:dyDescent="0.25">
      <c r="A12665" s="18">
        <v>5619</v>
      </c>
      <c r="B12665" s="4" t="s">
        <v>44</v>
      </c>
      <c r="C12665" s="38" t="s">
        <v>7349</v>
      </c>
      <c r="D12665" s="18">
        <v>2022</v>
      </c>
      <c r="E12665" s="18" t="s">
        <v>0</v>
      </c>
      <c r="F12665" s="41">
        <v>1</v>
      </c>
      <c r="G12665" s="4">
        <v>14</v>
      </c>
      <c r="H12665" s="18">
        <v>72.956999999999994</v>
      </c>
      <c r="I12665" s="90"/>
      <c r="J12665" s="90"/>
    </row>
    <row r="12666" spans="1:10" s="15" customFormat="1" ht="16.5" hidden="1" customHeight="1" outlineLevel="1" x14ac:dyDescent="0.25">
      <c r="A12666" s="18">
        <v>5630</v>
      </c>
      <c r="B12666" s="4" t="s">
        <v>44</v>
      </c>
      <c r="C12666" s="38" t="s">
        <v>7350</v>
      </c>
      <c r="D12666" s="18">
        <v>2022</v>
      </c>
      <c r="E12666" s="18" t="s">
        <v>0</v>
      </c>
      <c r="F12666" s="41">
        <v>1</v>
      </c>
      <c r="G12666" s="4">
        <v>14</v>
      </c>
      <c r="H12666" s="18">
        <v>73.19</v>
      </c>
      <c r="I12666" s="90"/>
      <c r="J12666" s="90"/>
    </row>
    <row r="12667" spans="1:10" s="15" customFormat="1" ht="16.5" hidden="1" customHeight="1" outlineLevel="1" x14ac:dyDescent="0.25">
      <c r="A12667" s="18">
        <v>5620</v>
      </c>
      <c r="B12667" s="4" t="s">
        <v>44</v>
      </c>
      <c r="C12667" s="38" t="s">
        <v>7351</v>
      </c>
      <c r="D12667" s="18">
        <v>2022</v>
      </c>
      <c r="E12667" s="18" t="s">
        <v>0</v>
      </c>
      <c r="F12667" s="41">
        <v>1</v>
      </c>
      <c r="G12667" s="4">
        <v>14</v>
      </c>
      <c r="H12667" s="18">
        <v>72.23</v>
      </c>
      <c r="I12667" s="90"/>
      <c r="J12667" s="90"/>
    </row>
    <row r="12668" spans="1:10" s="15" customFormat="1" ht="16.5" hidden="1" customHeight="1" outlineLevel="1" x14ac:dyDescent="0.25">
      <c r="A12668" s="18">
        <v>5437</v>
      </c>
      <c r="B12668" s="4" t="s">
        <v>44</v>
      </c>
      <c r="C12668" s="38" t="s">
        <v>7352</v>
      </c>
      <c r="D12668" s="18">
        <v>2022</v>
      </c>
      <c r="E12668" s="18" t="s">
        <v>0</v>
      </c>
      <c r="F12668" s="41">
        <v>1</v>
      </c>
      <c r="G12668" s="4">
        <v>15</v>
      </c>
      <c r="H12668" s="18">
        <v>77.332999999999998</v>
      </c>
      <c r="I12668" s="90"/>
      <c r="J12668" s="90"/>
    </row>
    <row r="12669" spans="1:10" s="15" customFormat="1" ht="16.5" hidden="1" customHeight="1" outlineLevel="1" x14ac:dyDescent="0.25">
      <c r="A12669" s="18">
        <v>5698</v>
      </c>
      <c r="B12669" s="4" t="s">
        <v>44</v>
      </c>
      <c r="C12669" s="38" t="s">
        <v>7353</v>
      </c>
      <c r="D12669" s="18">
        <v>2022</v>
      </c>
      <c r="E12669" s="18" t="s">
        <v>0</v>
      </c>
      <c r="F12669" s="41">
        <v>1</v>
      </c>
      <c r="G12669" s="4">
        <v>15</v>
      </c>
      <c r="H12669" s="18">
        <v>91.456999999999994</v>
      </c>
      <c r="I12669" s="90"/>
      <c r="J12669" s="90"/>
    </row>
    <row r="12670" spans="1:10" s="15" customFormat="1" ht="16.5" hidden="1" customHeight="1" outlineLevel="1" x14ac:dyDescent="0.25">
      <c r="A12670" s="18">
        <v>5542</v>
      </c>
      <c r="B12670" s="4" t="s">
        <v>44</v>
      </c>
      <c r="C12670" s="38" t="s">
        <v>7354</v>
      </c>
      <c r="D12670" s="18">
        <v>2022</v>
      </c>
      <c r="E12670" s="18" t="s">
        <v>0</v>
      </c>
      <c r="F12670" s="41">
        <v>1</v>
      </c>
      <c r="G12670" s="4">
        <v>15</v>
      </c>
      <c r="H12670" s="18">
        <v>83.268000000000001</v>
      </c>
      <c r="I12670" s="90"/>
      <c r="J12670" s="90"/>
    </row>
    <row r="12671" spans="1:10" s="15" customFormat="1" ht="16.5" hidden="1" customHeight="1" outlineLevel="1" x14ac:dyDescent="0.25">
      <c r="A12671" s="18">
        <v>5701</v>
      </c>
      <c r="B12671" s="4" t="s">
        <v>44</v>
      </c>
      <c r="C12671" s="38" t="s">
        <v>7355</v>
      </c>
      <c r="D12671" s="18">
        <v>2022</v>
      </c>
      <c r="E12671" s="18" t="s">
        <v>0</v>
      </c>
      <c r="F12671" s="41">
        <v>1</v>
      </c>
      <c r="G12671" s="4">
        <v>15</v>
      </c>
      <c r="H12671" s="18">
        <v>81.962999999999994</v>
      </c>
      <c r="I12671" s="90"/>
      <c r="J12671" s="90"/>
    </row>
    <row r="12672" spans="1:10" s="15" customFormat="1" ht="16.5" hidden="1" customHeight="1" outlineLevel="1" x14ac:dyDescent="0.25">
      <c r="A12672" s="18">
        <v>5586</v>
      </c>
      <c r="B12672" s="4" t="s">
        <v>44</v>
      </c>
      <c r="C12672" s="38" t="s">
        <v>7356</v>
      </c>
      <c r="D12672" s="18">
        <v>2022</v>
      </c>
      <c r="E12672" s="18" t="s">
        <v>0</v>
      </c>
      <c r="F12672" s="41">
        <v>1</v>
      </c>
      <c r="G12672" s="4">
        <v>14</v>
      </c>
      <c r="H12672" s="18">
        <v>84.132000000000005</v>
      </c>
      <c r="I12672" s="90"/>
      <c r="J12672" s="90"/>
    </row>
    <row r="12673" spans="1:10" s="15" customFormat="1" ht="16.5" hidden="1" customHeight="1" outlineLevel="1" x14ac:dyDescent="0.25">
      <c r="A12673" s="18">
        <v>5584</v>
      </c>
      <c r="B12673" s="4" t="s">
        <v>44</v>
      </c>
      <c r="C12673" s="38" t="s">
        <v>7357</v>
      </c>
      <c r="D12673" s="18">
        <v>2022</v>
      </c>
      <c r="E12673" s="18" t="s">
        <v>0</v>
      </c>
      <c r="F12673" s="41">
        <v>1</v>
      </c>
      <c r="G12673" s="4">
        <v>14</v>
      </c>
      <c r="H12673" s="18">
        <v>84.463999999999999</v>
      </c>
      <c r="I12673" s="90"/>
      <c r="J12673" s="90"/>
    </row>
    <row r="12674" spans="1:10" s="15" customFormat="1" ht="16.5" hidden="1" customHeight="1" outlineLevel="1" x14ac:dyDescent="0.25">
      <c r="A12674" s="18">
        <v>5585</v>
      </c>
      <c r="B12674" s="4" t="s">
        <v>44</v>
      </c>
      <c r="C12674" s="38" t="s">
        <v>7358</v>
      </c>
      <c r="D12674" s="18">
        <v>2022</v>
      </c>
      <c r="E12674" s="18" t="s">
        <v>0</v>
      </c>
      <c r="F12674" s="41">
        <v>1</v>
      </c>
      <c r="G12674" s="4">
        <v>14</v>
      </c>
      <c r="H12674" s="18">
        <v>84.132000000000005</v>
      </c>
      <c r="I12674" s="90"/>
      <c r="J12674" s="90"/>
    </row>
    <row r="12675" spans="1:10" s="15" customFormat="1" ht="16.5" hidden="1" customHeight="1" outlineLevel="1" x14ac:dyDescent="0.25">
      <c r="A12675" s="18">
        <v>5617</v>
      </c>
      <c r="B12675" s="4" t="s">
        <v>44</v>
      </c>
      <c r="C12675" s="38" t="s">
        <v>7359</v>
      </c>
      <c r="D12675" s="18">
        <v>2022</v>
      </c>
      <c r="E12675" s="18" t="s">
        <v>0</v>
      </c>
      <c r="F12675" s="41">
        <v>1</v>
      </c>
      <c r="G12675" s="4">
        <v>15</v>
      </c>
      <c r="H12675" s="18">
        <v>84.745999999999995</v>
      </c>
      <c r="I12675" s="90"/>
      <c r="J12675" s="90"/>
    </row>
    <row r="12676" spans="1:10" s="15" customFormat="1" ht="16.5" hidden="1" customHeight="1" outlineLevel="1" x14ac:dyDescent="0.25">
      <c r="A12676" s="18">
        <v>5518</v>
      </c>
      <c r="B12676" s="4" t="s">
        <v>44</v>
      </c>
      <c r="C12676" s="38" t="s">
        <v>7360</v>
      </c>
      <c r="D12676" s="18">
        <v>2022</v>
      </c>
      <c r="E12676" s="18" t="s">
        <v>0</v>
      </c>
      <c r="F12676" s="41">
        <v>1</v>
      </c>
      <c r="G12676" s="4">
        <v>15</v>
      </c>
      <c r="H12676" s="18">
        <v>85.841999999999999</v>
      </c>
      <c r="I12676" s="90"/>
      <c r="J12676" s="90"/>
    </row>
    <row r="12677" spans="1:10" s="15" customFormat="1" ht="16.5" hidden="1" customHeight="1" outlineLevel="1" x14ac:dyDescent="0.25">
      <c r="A12677" s="18">
        <v>5728</v>
      </c>
      <c r="B12677" s="4" t="s">
        <v>44</v>
      </c>
      <c r="C12677" s="38" t="s">
        <v>2507</v>
      </c>
      <c r="D12677" s="18">
        <v>2022</v>
      </c>
      <c r="E12677" s="18" t="s">
        <v>0</v>
      </c>
      <c r="F12677" s="41">
        <v>1</v>
      </c>
      <c r="G12677" s="4">
        <v>50</v>
      </c>
      <c r="H12677" s="18">
        <v>52.686</v>
      </c>
      <c r="I12677" s="90"/>
      <c r="J12677" s="90"/>
    </row>
    <row r="12678" spans="1:10" s="15" customFormat="1" ht="16.5" hidden="1" customHeight="1" outlineLevel="1" x14ac:dyDescent="0.25">
      <c r="A12678" s="18">
        <v>5623</v>
      </c>
      <c r="B12678" s="4" t="s">
        <v>44</v>
      </c>
      <c r="C12678" s="38" t="s">
        <v>2509</v>
      </c>
      <c r="D12678" s="18">
        <v>2022</v>
      </c>
      <c r="E12678" s="18" t="s">
        <v>0</v>
      </c>
      <c r="F12678" s="41">
        <v>1</v>
      </c>
      <c r="G12678" s="4">
        <v>15</v>
      </c>
      <c r="H12678" s="18">
        <v>29.436</v>
      </c>
      <c r="I12678" s="90"/>
      <c r="J12678" s="90"/>
    </row>
    <row r="12679" spans="1:10" s="15" customFormat="1" ht="16.5" hidden="1" customHeight="1" outlineLevel="1" x14ac:dyDescent="0.25">
      <c r="A12679" s="18">
        <v>5758</v>
      </c>
      <c r="B12679" s="4" t="s">
        <v>44</v>
      </c>
      <c r="C12679" s="38" t="s">
        <v>7361</v>
      </c>
      <c r="D12679" s="18">
        <v>2022</v>
      </c>
      <c r="E12679" s="18" t="s">
        <v>0</v>
      </c>
      <c r="F12679" s="41">
        <v>1</v>
      </c>
      <c r="G12679" s="4">
        <v>15</v>
      </c>
      <c r="H12679" s="18">
        <v>20.097999999999999</v>
      </c>
      <c r="I12679" s="90"/>
      <c r="J12679" s="90"/>
    </row>
    <row r="12680" spans="1:10" s="15" customFormat="1" ht="16.5" hidden="1" customHeight="1" outlineLevel="1" x14ac:dyDescent="0.25">
      <c r="A12680" s="18">
        <v>5629</v>
      </c>
      <c r="B12680" s="4" t="s">
        <v>44</v>
      </c>
      <c r="C12680" s="38" t="s">
        <v>7362</v>
      </c>
      <c r="D12680" s="18">
        <v>2022</v>
      </c>
      <c r="E12680" s="18" t="s">
        <v>0</v>
      </c>
      <c r="F12680" s="41">
        <v>1</v>
      </c>
      <c r="G12680" s="4">
        <v>15</v>
      </c>
      <c r="H12680" s="18">
        <v>29.498000000000001</v>
      </c>
      <c r="I12680" s="90"/>
      <c r="J12680" s="90"/>
    </row>
    <row r="12681" spans="1:10" s="15" customFormat="1" ht="16.5" hidden="1" customHeight="1" outlineLevel="1" x14ac:dyDescent="0.25">
      <c r="A12681" s="18">
        <v>5529</v>
      </c>
      <c r="B12681" s="4" t="s">
        <v>44</v>
      </c>
      <c r="C12681" s="38" t="s">
        <v>7363</v>
      </c>
      <c r="D12681" s="18">
        <v>2022</v>
      </c>
      <c r="E12681" s="18" t="s">
        <v>0</v>
      </c>
      <c r="F12681" s="41">
        <v>1</v>
      </c>
      <c r="G12681" s="4">
        <v>10</v>
      </c>
      <c r="H12681" s="18">
        <v>30.79</v>
      </c>
      <c r="I12681" s="90"/>
      <c r="J12681" s="90"/>
    </row>
    <row r="12682" spans="1:10" s="15" customFormat="1" ht="16.5" hidden="1" customHeight="1" outlineLevel="1" x14ac:dyDescent="0.25">
      <c r="A12682" s="18">
        <v>5460</v>
      </c>
      <c r="B12682" s="4" t="s">
        <v>44</v>
      </c>
      <c r="C12682" s="38" t="s">
        <v>7364</v>
      </c>
      <c r="D12682" s="18">
        <v>2022</v>
      </c>
      <c r="E12682" s="18" t="s">
        <v>0</v>
      </c>
      <c r="F12682" s="41">
        <v>1</v>
      </c>
      <c r="G12682" s="4">
        <v>15</v>
      </c>
      <c r="H12682" s="18">
        <v>36.799999999999997</v>
      </c>
      <c r="I12682" s="90"/>
      <c r="J12682" s="90"/>
    </row>
    <row r="12683" spans="1:10" s="15" customFormat="1" ht="16.5" hidden="1" customHeight="1" outlineLevel="1" x14ac:dyDescent="0.25">
      <c r="A12683" s="18">
        <v>5533</v>
      </c>
      <c r="B12683" s="4" t="s">
        <v>44</v>
      </c>
      <c r="C12683" s="38" t="s">
        <v>7365</v>
      </c>
      <c r="D12683" s="18">
        <v>2022</v>
      </c>
      <c r="E12683" s="18" t="s">
        <v>0</v>
      </c>
      <c r="F12683" s="41">
        <v>1</v>
      </c>
      <c r="G12683" s="4">
        <v>15</v>
      </c>
      <c r="H12683" s="18">
        <v>43.856999999999999</v>
      </c>
      <c r="I12683" s="90"/>
      <c r="J12683" s="90"/>
    </row>
    <row r="12684" spans="1:10" s="15" customFormat="1" ht="16.5" hidden="1" customHeight="1" outlineLevel="1" x14ac:dyDescent="0.25">
      <c r="A12684" s="18">
        <v>5512</v>
      </c>
      <c r="B12684" s="4" t="s">
        <v>44</v>
      </c>
      <c r="C12684" s="38" t="s">
        <v>7366</v>
      </c>
      <c r="D12684" s="18">
        <v>2022</v>
      </c>
      <c r="E12684" s="18" t="s">
        <v>0</v>
      </c>
      <c r="F12684" s="41">
        <v>1</v>
      </c>
      <c r="G12684" s="4">
        <v>15</v>
      </c>
      <c r="H12684" s="18">
        <v>40.92</v>
      </c>
      <c r="I12684" s="90"/>
      <c r="J12684" s="90"/>
    </row>
    <row r="12685" spans="1:10" s="15" customFormat="1" ht="16.5" hidden="1" customHeight="1" outlineLevel="1" x14ac:dyDescent="0.25">
      <c r="A12685" s="18">
        <v>5552</v>
      </c>
      <c r="B12685" s="4" t="s">
        <v>44</v>
      </c>
      <c r="C12685" s="38" t="s">
        <v>7367</v>
      </c>
      <c r="D12685" s="18">
        <v>2022</v>
      </c>
      <c r="E12685" s="18" t="s">
        <v>0</v>
      </c>
      <c r="F12685" s="41">
        <v>1</v>
      </c>
      <c r="G12685" s="4">
        <v>14</v>
      </c>
      <c r="H12685" s="18">
        <v>30.548999999999999</v>
      </c>
      <c r="I12685" s="90"/>
      <c r="J12685" s="90"/>
    </row>
    <row r="12686" spans="1:10" s="15" customFormat="1" ht="16.5" hidden="1" customHeight="1" outlineLevel="1" x14ac:dyDescent="0.25">
      <c r="A12686" s="18">
        <v>5553</v>
      </c>
      <c r="B12686" s="4" t="s">
        <v>44</v>
      </c>
      <c r="C12686" s="38" t="s">
        <v>7368</v>
      </c>
      <c r="D12686" s="18">
        <v>2022</v>
      </c>
      <c r="E12686" s="18" t="s">
        <v>0</v>
      </c>
      <c r="F12686" s="41">
        <v>1</v>
      </c>
      <c r="G12686" s="4">
        <v>14</v>
      </c>
      <c r="H12686" s="18">
        <v>32.180999999999997</v>
      </c>
      <c r="I12686" s="90"/>
      <c r="J12686" s="90"/>
    </row>
    <row r="12687" spans="1:10" s="15" customFormat="1" ht="16.5" hidden="1" customHeight="1" outlineLevel="1" x14ac:dyDescent="0.25">
      <c r="A12687" s="18">
        <v>5551</v>
      </c>
      <c r="B12687" s="4" t="s">
        <v>44</v>
      </c>
      <c r="C12687" s="38" t="s">
        <v>7369</v>
      </c>
      <c r="D12687" s="18">
        <v>2022</v>
      </c>
      <c r="E12687" s="18" t="s">
        <v>0</v>
      </c>
      <c r="F12687" s="41">
        <v>1</v>
      </c>
      <c r="G12687" s="4">
        <v>14</v>
      </c>
      <c r="H12687" s="18">
        <v>31.925000000000001</v>
      </c>
      <c r="I12687" s="90"/>
      <c r="J12687" s="90"/>
    </row>
    <row r="12688" spans="1:10" s="15" customFormat="1" ht="16.5" hidden="1" customHeight="1" outlineLevel="1" x14ac:dyDescent="0.25">
      <c r="A12688" s="18">
        <v>5550</v>
      </c>
      <c r="B12688" s="4" t="s">
        <v>44</v>
      </c>
      <c r="C12688" s="38" t="s">
        <v>7370</v>
      </c>
      <c r="D12688" s="18">
        <v>2022</v>
      </c>
      <c r="E12688" s="18" t="s">
        <v>0</v>
      </c>
      <c r="F12688" s="41">
        <v>1</v>
      </c>
      <c r="G12688" s="4">
        <v>14</v>
      </c>
      <c r="H12688" s="18">
        <v>28.140999999999998</v>
      </c>
      <c r="I12688" s="90"/>
      <c r="J12688" s="90"/>
    </row>
    <row r="12689" spans="1:10" s="15" customFormat="1" ht="16.5" hidden="1" customHeight="1" outlineLevel="1" x14ac:dyDescent="0.25">
      <c r="A12689" s="18">
        <v>5530</v>
      </c>
      <c r="B12689" s="4" t="s">
        <v>44</v>
      </c>
      <c r="C12689" s="38" t="s">
        <v>7371</v>
      </c>
      <c r="D12689" s="18">
        <v>2022</v>
      </c>
      <c r="E12689" s="18" t="s">
        <v>0</v>
      </c>
      <c r="F12689" s="41">
        <v>1</v>
      </c>
      <c r="G12689" s="4">
        <v>7.5</v>
      </c>
      <c r="H12689" s="18">
        <v>29.073</v>
      </c>
      <c r="I12689" s="90"/>
      <c r="J12689" s="90"/>
    </row>
    <row r="12690" spans="1:10" s="15" customFormat="1" ht="16.5" hidden="1" customHeight="1" outlineLevel="1" x14ac:dyDescent="0.25">
      <c r="A12690" s="18">
        <v>5501</v>
      </c>
      <c r="B12690" s="4" t="s">
        <v>44</v>
      </c>
      <c r="C12690" s="38" t="s">
        <v>2510</v>
      </c>
      <c r="D12690" s="18">
        <v>2022</v>
      </c>
      <c r="E12690" s="18" t="s">
        <v>0</v>
      </c>
      <c r="F12690" s="41">
        <v>1</v>
      </c>
      <c r="G12690" s="4">
        <v>15</v>
      </c>
      <c r="H12690" s="18">
        <v>81.652000000000001</v>
      </c>
      <c r="I12690" s="90"/>
      <c r="J12690" s="90"/>
    </row>
    <row r="12691" spans="1:10" s="15" customFormat="1" ht="16.5" hidden="1" customHeight="1" outlineLevel="1" x14ac:dyDescent="0.25">
      <c r="A12691" s="18">
        <v>5522</v>
      </c>
      <c r="B12691" s="4" t="s">
        <v>44</v>
      </c>
      <c r="C12691" s="38" t="s">
        <v>2511</v>
      </c>
      <c r="D12691" s="18">
        <v>2022</v>
      </c>
      <c r="E12691" s="18" t="s">
        <v>0</v>
      </c>
      <c r="F12691" s="41">
        <v>1</v>
      </c>
      <c r="G12691" s="4">
        <v>5</v>
      </c>
      <c r="H12691" s="18">
        <v>70.085999999999999</v>
      </c>
      <c r="I12691" s="90"/>
      <c r="J12691" s="90"/>
    </row>
    <row r="12692" spans="1:10" s="15" customFormat="1" ht="16.5" hidden="1" customHeight="1" outlineLevel="1" x14ac:dyDescent="0.25">
      <c r="A12692" s="18">
        <v>5549</v>
      </c>
      <c r="B12692" s="4" t="s">
        <v>44</v>
      </c>
      <c r="C12692" s="38" t="s">
        <v>2512</v>
      </c>
      <c r="D12692" s="18">
        <v>2022</v>
      </c>
      <c r="E12692" s="18" t="s">
        <v>0</v>
      </c>
      <c r="F12692" s="41">
        <v>1</v>
      </c>
      <c r="G12692" s="4">
        <v>15</v>
      </c>
      <c r="H12692" s="18">
        <v>66.320999999999998</v>
      </c>
      <c r="I12692" s="90"/>
      <c r="J12692" s="90"/>
    </row>
    <row r="12693" spans="1:10" s="15" customFormat="1" ht="16.5" hidden="1" customHeight="1" outlineLevel="1" x14ac:dyDescent="0.25">
      <c r="A12693" s="18">
        <v>5693</v>
      </c>
      <c r="B12693" s="4" t="s">
        <v>44</v>
      </c>
      <c r="C12693" s="38" t="s">
        <v>2513</v>
      </c>
      <c r="D12693" s="18">
        <v>2022</v>
      </c>
      <c r="E12693" s="18" t="s">
        <v>0</v>
      </c>
      <c r="F12693" s="41">
        <v>1</v>
      </c>
      <c r="G12693" s="4">
        <v>15</v>
      </c>
      <c r="H12693" s="18">
        <v>65.302999999999997</v>
      </c>
      <c r="I12693" s="90"/>
      <c r="J12693" s="90"/>
    </row>
    <row r="12694" spans="1:10" s="15" customFormat="1" ht="16.5" hidden="1" customHeight="1" outlineLevel="1" x14ac:dyDescent="0.25">
      <c r="A12694" s="18">
        <v>5713</v>
      </c>
      <c r="B12694" s="4" t="s">
        <v>44</v>
      </c>
      <c r="C12694" s="38" t="s">
        <v>7372</v>
      </c>
      <c r="D12694" s="18">
        <v>2022</v>
      </c>
      <c r="E12694" s="18" t="s">
        <v>0</v>
      </c>
      <c r="F12694" s="41">
        <v>1</v>
      </c>
      <c r="G12694" s="4">
        <v>15</v>
      </c>
      <c r="H12694" s="18">
        <v>21.297000000000001</v>
      </c>
      <c r="I12694" s="90"/>
      <c r="J12694" s="90"/>
    </row>
    <row r="12695" spans="1:10" s="15" customFormat="1" ht="16.5" hidden="1" customHeight="1" outlineLevel="1" x14ac:dyDescent="0.25">
      <c r="A12695" s="18">
        <v>5495</v>
      </c>
      <c r="B12695" s="4" t="s">
        <v>44</v>
      </c>
      <c r="C12695" s="38" t="s">
        <v>7373</v>
      </c>
      <c r="D12695" s="18">
        <v>2022</v>
      </c>
      <c r="E12695" s="18" t="s">
        <v>0</v>
      </c>
      <c r="F12695" s="41">
        <v>1</v>
      </c>
      <c r="G12695" s="4">
        <v>7</v>
      </c>
      <c r="H12695" s="18">
        <v>30.751000000000001</v>
      </c>
      <c r="I12695" s="90"/>
      <c r="J12695" s="90"/>
    </row>
    <row r="12696" spans="1:10" s="15" customFormat="1" ht="16.5" hidden="1" customHeight="1" outlineLevel="1" x14ac:dyDescent="0.25">
      <c r="A12696" s="18">
        <v>5658</v>
      </c>
      <c r="B12696" s="4" t="s">
        <v>44</v>
      </c>
      <c r="C12696" s="38" t="s">
        <v>7374</v>
      </c>
      <c r="D12696" s="18">
        <v>2022</v>
      </c>
      <c r="E12696" s="18" t="s">
        <v>0</v>
      </c>
      <c r="F12696" s="41">
        <v>1</v>
      </c>
      <c r="G12696" s="4">
        <v>10</v>
      </c>
      <c r="H12696" s="18">
        <v>32.033999999999999</v>
      </c>
      <c r="I12696" s="90"/>
      <c r="J12696" s="90"/>
    </row>
    <row r="12697" spans="1:10" s="15" customFormat="1" ht="16.5" hidden="1" customHeight="1" outlineLevel="1" x14ac:dyDescent="0.25">
      <c r="A12697" s="18">
        <v>5467</v>
      </c>
      <c r="B12697" s="4" t="s">
        <v>44</v>
      </c>
      <c r="C12697" s="38" t="s">
        <v>7375</v>
      </c>
      <c r="D12697" s="18">
        <v>2022</v>
      </c>
      <c r="E12697" s="18" t="s">
        <v>0</v>
      </c>
      <c r="F12697" s="41">
        <v>1</v>
      </c>
      <c r="G12697" s="4">
        <v>15</v>
      </c>
      <c r="H12697" s="18">
        <v>28.47</v>
      </c>
      <c r="I12697" s="90"/>
      <c r="J12697" s="90"/>
    </row>
    <row r="12698" spans="1:10" s="15" customFormat="1" ht="16.5" hidden="1" customHeight="1" outlineLevel="1" x14ac:dyDescent="0.25">
      <c r="A12698" s="18">
        <v>5486</v>
      </c>
      <c r="B12698" s="4" t="s">
        <v>44</v>
      </c>
      <c r="C12698" s="38" t="s">
        <v>7376</v>
      </c>
      <c r="D12698" s="18">
        <v>2022</v>
      </c>
      <c r="E12698" s="18" t="s">
        <v>0</v>
      </c>
      <c r="F12698" s="41">
        <v>1</v>
      </c>
      <c r="G12698" s="4">
        <v>8</v>
      </c>
      <c r="H12698" s="18">
        <v>30.221</v>
      </c>
      <c r="I12698" s="90"/>
      <c r="J12698" s="90"/>
    </row>
    <row r="12699" spans="1:10" s="15" customFormat="1" ht="16.5" hidden="1" customHeight="1" outlineLevel="1" x14ac:dyDescent="0.25">
      <c r="A12699" s="18">
        <v>5476</v>
      </c>
      <c r="B12699" s="4" t="s">
        <v>44</v>
      </c>
      <c r="C12699" s="38" t="s">
        <v>7377</v>
      </c>
      <c r="D12699" s="18">
        <v>2022</v>
      </c>
      <c r="E12699" s="18" t="s">
        <v>0</v>
      </c>
      <c r="F12699" s="41">
        <v>1</v>
      </c>
      <c r="G12699" s="4">
        <v>10</v>
      </c>
      <c r="H12699" s="18">
        <v>30.547000000000001</v>
      </c>
      <c r="I12699" s="90"/>
      <c r="J12699" s="90"/>
    </row>
    <row r="12700" spans="1:10" s="15" customFormat="1" ht="16.5" hidden="1" customHeight="1" outlineLevel="1" x14ac:dyDescent="0.25">
      <c r="A12700" s="18">
        <v>5639</v>
      </c>
      <c r="B12700" s="4" t="s">
        <v>44</v>
      </c>
      <c r="C12700" s="38" t="s">
        <v>7378</v>
      </c>
      <c r="D12700" s="18">
        <v>2022</v>
      </c>
      <c r="E12700" s="18" t="s">
        <v>0</v>
      </c>
      <c r="F12700" s="41">
        <v>1</v>
      </c>
      <c r="G12700" s="4">
        <v>12</v>
      </c>
      <c r="H12700" s="18">
        <v>31.158000000000001</v>
      </c>
      <c r="I12700" s="90"/>
      <c r="J12700" s="90"/>
    </row>
    <row r="12701" spans="1:10" s="15" customFormat="1" ht="16.5" hidden="1" customHeight="1" outlineLevel="1" x14ac:dyDescent="0.25">
      <c r="A12701" s="18">
        <v>5567</v>
      </c>
      <c r="B12701" s="4" t="s">
        <v>44</v>
      </c>
      <c r="C12701" s="38" t="s">
        <v>7379</v>
      </c>
      <c r="D12701" s="18">
        <v>2022</v>
      </c>
      <c r="E12701" s="18" t="s">
        <v>0</v>
      </c>
      <c r="F12701" s="41">
        <v>1</v>
      </c>
      <c r="G12701" s="4">
        <v>10</v>
      </c>
      <c r="H12701" s="18">
        <v>31.533999999999999</v>
      </c>
      <c r="I12701" s="90"/>
      <c r="J12701" s="90"/>
    </row>
    <row r="12702" spans="1:10" s="15" customFormat="1" ht="16.5" hidden="1" customHeight="1" outlineLevel="1" x14ac:dyDescent="0.25">
      <c r="A12702" s="18">
        <v>5571</v>
      </c>
      <c r="B12702" s="4" t="s">
        <v>44</v>
      </c>
      <c r="C12702" s="38" t="s">
        <v>7380</v>
      </c>
      <c r="D12702" s="18">
        <v>2022</v>
      </c>
      <c r="E12702" s="18" t="s">
        <v>0</v>
      </c>
      <c r="F12702" s="41">
        <v>1</v>
      </c>
      <c r="G12702" s="4">
        <v>10</v>
      </c>
      <c r="H12702" s="18">
        <v>31.8</v>
      </c>
      <c r="I12702" s="90"/>
      <c r="J12702" s="90"/>
    </row>
    <row r="12703" spans="1:10" s="15" customFormat="1" ht="16.5" hidden="1" customHeight="1" outlineLevel="1" x14ac:dyDescent="0.25">
      <c r="A12703" s="18">
        <v>5504</v>
      </c>
      <c r="B12703" s="4" t="s">
        <v>44</v>
      </c>
      <c r="C12703" s="38" t="s">
        <v>7381</v>
      </c>
      <c r="D12703" s="18">
        <v>2022</v>
      </c>
      <c r="E12703" s="18" t="s">
        <v>0</v>
      </c>
      <c r="F12703" s="41">
        <v>1</v>
      </c>
      <c r="G12703" s="4">
        <v>10</v>
      </c>
      <c r="H12703" s="18">
        <v>28.321000000000002</v>
      </c>
      <c r="I12703" s="90"/>
      <c r="J12703" s="90"/>
    </row>
    <row r="12704" spans="1:10" s="15" customFormat="1" ht="16.5" hidden="1" customHeight="1" outlineLevel="1" x14ac:dyDescent="0.25">
      <c r="A12704" s="18">
        <v>5487</v>
      </c>
      <c r="B12704" s="4" t="s">
        <v>44</v>
      </c>
      <c r="C12704" s="38" t="s">
        <v>7382</v>
      </c>
      <c r="D12704" s="18">
        <v>2022</v>
      </c>
      <c r="E12704" s="18" t="s">
        <v>0</v>
      </c>
      <c r="F12704" s="41">
        <v>1</v>
      </c>
      <c r="G12704" s="4">
        <v>10</v>
      </c>
      <c r="H12704" s="18">
        <v>29.832000000000001</v>
      </c>
      <c r="I12704" s="90"/>
      <c r="J12704" s="90"/>
    </row>
    <row r="12705" spans="1:10" s="15" customFormat="1" ht="16.5" hidden="1" customHeight="1" outlineLevel="1" x14ac:dyDescent="0.25">
      <c r="A12705" s="18">
        <v>5554</v>
      </c>
      <c r="B12705" s="4" t="s">
        <v>44</v>
      </c>
      <c r="C12705" s="38" t="s">
        <v>7383</v>
      </c>
      <c r="D12705" s="18">
        <v>2022</v>
      </c>
      <c r="E12705" s="18" t="s">
        <v>0</v>
      </c>
      <c r="F12705" s="41">
        <v>1</v>
      </c>
      <c r="G12705" s="4">
        <v>10</v>
      </c>
      <c r="H12705" s="18">
        <v>33.773000000000003</v>
      </c>
      <c r="I12705" s="90"/>
      <c r="J12705" s="90"/>
    </row>
    <row r="12706" spans="1:10" s="15" customFormat="1" ht="16.5" hidden="1" customHeight="1" outlineLevel="1" x14ac:dyDescent="0.25">
      <c r="A12706" s="18">
        <v>5472</v>
      </c>
      <c r="B12706" s="4" t="s">
        <v>44</v>
      </c>
      <c r="C12706" s="38" t="s">
        <v>7384</v>
      </c>
      <c r="D12706" s="18">
        <v>2022</v>
      </c>
      <c r="E12706" s="18" t="s">
        <v>0</v>
      </c>
      <c r="F12706" s="41">
        <v>1</v>
      </c>
      <c r="G12706" s="4">
        <v>10</v>
      </c>
      <c r="H12706" s="18">
        <v>30.998000000000001</v>
      </c>
      <c r="I12706" s="90"/>
      <c r="J12706" s="90"/>
    </row>
    <row r="12707" spans="1:10" s="15" customFormat="1" ht="16.5" hidden="1" customHeight="1" outlineLevel="1" x14ac:dyDescent="0.25">
      <c r="A12707" s="18">
        <v>5555</v>
      </c>
      <c r="B12707" s="4" t="s">
        <v>44</v>
      </c>
      <c r="C12707" s="38" t="s">
        <v>7385</v>
      </c>
      <c r="D12707" s="18">
        <v>2022</v>
      </c>
      <c r="E12707" s="18" t="s">
        <v>0</v>
      </c>
      <c r="F12707" s="41">
        <v>1</v>
      </c>
      <c r="G12707" s="4">
        <v>10</v>
      </c>
      <c r="H12707" s="18">
        <v>32.014000000000003</v>
      </c>
      <c r="I12707" s="90"/>
      <c r="J12707" s="90"/>
    </row>
    <row r="12708" spans="1:10" s="15" customFormat="1" ht="16.5" hidden="1" customHeight="1" outlineLevel="1" x14ac:dyDescent="0.25">
      <c r="A12708" s="18">
        <v>5643</v>
      </c>
      <c r="B12708" s="4" t="s">
        <v>44</v>
      </c>
      <c r="C12708" s="38" t="s">
        <v>2514</v>
      </c>
      <c r="D12708" s="18">
        <v>2022</v>
      </c>
      <c r="E12708" s="18" t="s">
        <v>0</v>
      </c>
      <c r="F12708" s="41">
        <v>1</v>
      </c>
      <c r="G12708" s="4">
        <v>15</v>
      </c>
      <c r="H12708" s="18">
        <v>57.478000000000002</v>
      </c>
      <c r="I12708" s="90"/>
      <c r="J12708" s="90"/>
    </row>
    <row r="12709" spans="1:10" s="15" customFormat="1" ht="16.5" hidden="1" customHeight="1" outlineLevel="1" x14ac:dyDescent="0.25">
      <c r="A12709" s="18">
        <v>5644</v>
      </c>
      <c r="B12709" s="4" t="s">
        <v>44</v>
      </c>
      <c r="C12709" s="38" t="s">
        <v>2515</v>
      </c>
      <c r="D12709" s="18">
        <v>2022</v>
      </c>
      <c r="E12709" s="18" t="s">
        <v>0</v>
      </c>
      <c r="F12709" s="41">
        <v>1</v>
      </c>
      <c r="G12709" s="4">
        <v>15</v>
      </c>
      <c r="H12709" s="18">
        <v>44.762999999999998</v>
      </c>
      <c r="I12709" s="90"/>
      <c r="J12709" s="90"/>
    </row>
    <row r="12710" spans="1:10" s="15" customFormat="1" ht="16.5" hidden="1" customHeight="1" outlineLevel="1" x14ac:dyDescent="0.25">
      <c r="A12710" s="18">
        <v>5732</v>
      </c>
      <c r="B12710" s="4" t="s">
        <v>44</v>
      </c>
      <c r="C12710" s="38" t="s">
        <v>7386</v>
      </c>
      <c r="D12710" s="18">
        <v>2022</v>
      </c>
      <c r="E12710" s="18" t="s">
        <v>0</v>
      </c>
      <c r="F12710" s="41">
        <v>1</v>
      </c>
      <c r="G12710" s="4">
        <v>100</v>
      </c>
      <c r="H12710" s="18">
        <v>46.21</v>
      </c>
      <c r="I12710" s="90"/>
      <c r="J12710" s="90"/>
    </row>
    <row r="12711" spans="1:10" s="15" customFormat="1" ht="16.5" hidden="1" customHeight="1" outlineLevel="1" x14ac:dyDescent="0.25">
      <c r="A12711" s="18">
        <v>5699</v>
      </c>
      <c r="B12711" s="4" t="s">
        <v>44</v>
      </c>
      <c r="C12711" s="38" t="s">
        <v>7387</v>
      </c>
      <c r="D12711" s="18">
        <v>2022</v>
      </c>
      <c r="E12711" s="18" t="s">
        <v>0</v>
      </c>
      <c r="F12711" s="41">
        <v>1</v>
      </c>
      <c r="G12711" s="4">
        <v>15</v>
      </c>
      <c r="H12711" s="18">
        <v>28.986999999999998</v>
      </c>
      <c r="I12711" s="90"/>
      <c r="J12711" s="90"/>
    </row>
    <row r="12712" spans="1:10" s="15" customFormat="1" ht="16.5" hidden="1" customHeight="1" outlineLevel="1" x14ac:dyDescent="0.25">
      <c r="A12712" s="18">
        <v>5678</v>
      </c>
      <c r="B12712" s="4" t="s">
        <v>44</v>
      </c>
      <c r="C12712" s="38" t="s">
        <v>7388</v>
      </c>
      <c r="D12712" s="18">
        <v>2022</v>
      </c>
      <c r="E12712" s="18" t="s">
        <v>0</v>
      </c>
      <c r="F12712" s="41">
        <v>1</v>
      </c>
      <c r="G12712" s="4">
        <v>15</v>
      </c>
      <c r="H12712" s="18">
        <v>30.794</v>
      </c>
      <c r="I12712" s="90"/>
      <c r="J12712" s="90"/>
    </row>
    <row r="12713" spans="1:10" s="15" customFormat="1" ht="16.5" hidden="1" customHeight="1" outlineLevel="1" x14ac:dyDescent="0.25">
      <c r="A12713" s="18">
        <v>5642</v>
      </c>
      <c r="B12713" s="4" t="s">
        <v>44</v>
      </c>
      <c r="C12713" s="38" t="s">
        <v>2516</v>
      </c>
      <c r="D12713" s="18">
        <v>2022</v>
      </c>
      <c r="E12713" s="18" t="s">
        <v>0</v>
      </c>
      <c r="F12713" s="41">
        <v>1</v>
      </c>
      <c r="G12713" s="4">
        <v>13</v>
      </c>
      <c r="H12713" s="18">
        <v>51.177999999999997</v>
      </c>
      <c r="I12713" s="90"/>
      <c r="J12713" s="90"/>
    </row>
    <row r="12714" spans="1:10" s="15" customFormat="1" ht="16.5" hidden="1" customHeight="1" outlineLevel="1" x14ac:dyDescent="0.25">
      <c r="A12714" s="18">
        <v>5422</v>
      </c>
      <c r="B12714" s="4" t="s">
        <v>44</v>
      </c>
      <c r="C12714" s="38" t="s">
        <v>2517</v>
      </c>
      <c r="D12714" s="18">
        <v>2022</v>
      </c>
      <c r="E12714" s="18" t="s">
        <v>0</v>
      </c>
      <c r="F12714" s="41">
        <v>1</v>
      </c>
      <c r="G12714" s="4">
        <v>25</v>
      </c>
      <c r="H12714" s="18">
        <v>52.929000000000002</v>
      </c>
      <c r="I12714" s="90"/>
      <c r="J12714" s="90"/>
    </row>
    <row r="12715" spans="1:10" s="15" customFormat="1" ht="16.5" hidden="1" customHeight="1" outlineLevel="1" x14ac:dyDescent="0.25">
      <c r="A12715" s="18">
        <v>5423</v>
      </c>
      <c r="B12715" s="4" t="s">
        <v>44</v>
      </c>
      <c r="C12715" s="38" t="s">
        <v>2518</v>
      </c>
      <c r="D12715" s="18">
        <v>2022</v>
      </c>
      <c r="E12715" s="18" t="s">
        <v>0</v>
      </c>
      <c r="F12715" s="41">
        <v>1</v>
      </c>
      <c r="G12715" s="4">
        <v>15</v>
      </c>
      <c r="H12715" s="18">
        <v>75.266000000000005</v>
      </c>
      <c r="I12715" s="90"/>
      <c r="J12715" s="90"/>
    </row>
    <row r="12716" spans="1:10" s="15" customFormat="1" ht="16.5" hidden="1" customHeight="1" outlineLevel="1" x14ac:dyDescent="0.25">
      <c r="A12716" s="18">
        <v>5425</v>
      </c>
      <c r="B12716" s="4" t="s">
        <v>44</v>
      </c>
      <c r="C12716" s="38" t="s">
        <v>7389</v>
      </c>
      <c r="D12716" s="18">
        <v>2022</v>
      </c>
      <c r="E12716" s="18" t="s">
        <v>0</v>
      </c>
      <c r="F12716" s="41">
        <v>1</v>
      </c>
      <c r="G12716" s="4">
        <v>7</v>
      </c>
      <c r="H12716" s="18">
        <v>26.097999999999999</v>
      </c>
      <c r="I12716" s="90"/>
      <c r="J12716" s="90"/>
    </row>
    <row r="12717" spans="1:10" s="15" customFormat="1" ht="16.5" hidden="1" customHeight="1" outlineLevel="1" x14ac:dyDescent="0.25">
      <c r="A12717" s="18">
        <v>5427</v>
      </c>
      <c r="B12717" s="4" t="s">
        <v>44</v>
      </c>
      <c r="C12717" s="38" t="s">
        <v>7390</v>
      </c>
      <c r="D12717" s="18">
        <v>2022</v>
      </c>
      <c r="E12717" s="18" t="s">
        <v>0</v>
      </c>
      <c r="F12717" s="41">
        <v>1</v>
      </c>
      <c r="G12717" s="4">
        <v>10</v>
      </c>
      <c r="H12717" s="18">
        <v>26.550999999999998</v>
      </c>
      <c r="I12717" s="90"/>
      <c r="J12717" s="90"/>
    </row>
    <row r="12718" spans="1:10" s="15" customFormat="1" ht="16.5" hidden="1" customHeight="1" outlineLevel="1" x14ac:dyDescent="0.25">
      <c r="A12718" s="18">
        <v>5439</v>
      </c>
      <c r="B12718" s="4" t="s">
        <v>44</v>
      </c>
      <c r="C12718" s="38" t="s">
        <v>7391</v>
      </c>
      <c r="D12718" s="18">
        <v>2022</v>
      </c>
      <c r="E12718" s="18" t="s">
        <v>0</v>
      </c>
      <c r="F12718" s="41">
        <v>1</v>
      </c>
      <c r="G12718" s="4">
        <v>15</v>
      </c>
      <c r="H12718" s="18">
        <v>42.726999999999997</v>
      </c>
      <c r="I12718" s="90"/>
      <c r="J12718" s="90"/>
    </row>
    <row r="12719" spans="1:10" s="15" customFormat="1" ht="16.5" hidden="1" customHeight="1" outlineLevel="1" x14ac:dyDescent="0.25">
      <c r="A12719" s="18">
        <v>5445</v>
      </c>
      <c r="B12719" s="4" t="s">
        <v>44</v>
      </c>
      <c r="C12719" s="38" t="s">
        <v>7392</v>
      </c>
      <c r="D12719" s="18">
        <v>2022</v>
      </c>
      <c r="E12719" s="18" t="s">
        <v>0</v>
      </c>
      <c r="F12719" s="41">
        <v>1</v>
      </c>
      <c r="G12719" s="4">
        <v>15</v>
      </c>
      <c r="H12719" s="18">
        <v>33.173999999999999</v>
      </c>
      <c r="I12719" s="90"/>
      <c r="J12719" s="90"/>
    </row>
    <row r="12720" spans="1:10" s="15" customFormat="1" ht="16.5" hidden="1" customHeight="1" outlineLevel="1" x14ac:dyDescent="0.25">
      <c r="A12720" s="18">
        <v>5448</v>
      </c>
      <c r="B12720" s="4" t="s">
        <v>44</v>
      </c>
      <c r="C12720" s="38" t="s">
        <v>7393</v>
      </c>
      <c r="D12720" s="18">
        <v>2022</v>
      </c>
      <c r="E12720" s="18" t="s">
        <v>0</v>
      </c>
      <c r="F12720" s="41">
        <v>1</v>
      </c>
      <c r="G12720" s="4">
        <v>10</v>
      </c>
      <c r="H12720" s="18">
        <v>30.395</v>
      </c>
      <c r="I12720" s="90"/>
      <c r="J12720" s="90"/>
    </row>
    <row r="12721" spans="1:10" s="15" customFormat="1" ht="16.5" hidden="1" customHeight="1" outlineLevel="1" x14ac:dyDescent="0.25">
      <c r="A12721" s="18">
        <v>5450</v>
      </c>
      <c r="B12721" s="4" t="s">
        <v>44</v>
      </c>
      <c r="C12721" s="38" t="s">
        <v>7394</v>
      </c>
      <c r="D12721" s="18">
        <v>2022</v>
      </c>
      <c r="E12721" s="18" t="s">
        <v>0</v>
      </c>
      <c r="F12721" s="41">
        <v>1</v>
      </c>
      <c r="G12721" s="4">
        <v>15</v>
      </c>
      <c r="H12721" s="18">
        <v>33.366</v>
      </c>
      <c r="I12721" s="90"/>
      <c r="J12721" s="90"/>
    </row>
    <row r="12722" spans="1:10" s="15" customFormat="1" ht="16.5" hidden="1" customHeight="1" outlineLevel="1" x14ac:dyDescent="0.25">
      <c r="A12722" s="18">
        <v>5463</v>
      </c>
      <c r="B12722" s="4" t="s">
        <v>44</v>
      </c>
      <c r="C12722" s="38" t="s">
        <v>7395</v>
      </c>
      <c r="D12722" s="18">
        <v>2022</v>
      </c>
      <c r="E12722" s="18" t="s">
        <v>0</v>
      </c>
      <c r="F12722" s="41">
        <v>1</v>
      </c>
      <c r="G12722" s="4">
        <v>15</v>
      </c>
      <c r="H12722" s="18">
        <v>29.356000000000002</v>
      </c>
      <c r="I12722" s="90"/>
      <c r="J12722" s="90"/>
    </row>
    <row r="12723" spans="1:10" s="15" customFormat="1" ht="16.5" hidden="1" customHeight="1" outlineLevel="1" x14ac:dyDescent="0.25">
      <c r="A12723" s="18">
        <v>5468</v>
      </c>
      <c r="B12723" s="4" t="s">
        <v>44</v>
      </c>
      <c r="C12723" s="38" t="s">
        <v>7396</v>
      </c>
      <c r="D12723" s="18">
        <v>2022</v>
      </c>
      <c r="E12723" s="18" t="s">
        <v>0</v>
      </c>
      <c r="F12723" s="41">
        <v>1</v>
      </c>
      <c r="G12723" s="4">
        <v>7</v>
      </c>
      <c r="H12723" s="18">
        <v>21.922000000000001</v>
      </c>
      <c r="I12723" s="90"/>
      <c r="J12723" s="90"/>
    </row>
    <row r="12724" spans="1:10" s="15" customFormat="1" ht="16.5" hidden="1" customHeight="1" outlineLevel="1" x14ac:dyDescent="0.25">
      <c r="A12724" s="18">
        <v>5469</v>
      </c>
      <c r="B12724" s="4" t="s">
        <v>44</v>
      </c>
      <c r="C12724" s="38" t="s">
        <v>7397</v>
      </c>
      <c r="D12724" s="18">
        <v>2022</v>
      </c>
      <c r="E12724" s="18" t="s">
        <v>0</v>
      </c>
      <c r="F12724" s="41">
        <v>1</v>
      </c>
      <c r="G12724" s="4">
        <v>8</v>
      </c>
      <c r="H12724" s="18">
        <v>28.759</v>
      </c>
      <c r="I12724" s="90"/>
      <c r="J12724" s="90"/>
    </row>
    <row r="12725" spans="1:10" s="15" customFormat="1" ht="16.5" hidden="1" customHeight="1" outlineLevel="1" x14ac:dyDescent="0.25">
      <c r="A12725" s="18">
        <v>5470</v>
      </c>
      <c r="B12725" s="4" t="s">
        <v>44</v>
      </c>
      <c r="C12725" s="38" t="s">
        <v>7398</v>
      </c>
      <c r="D12725" s="18">
        <v>2022</v>
      </c>
      <c r="E12725" s="18" t="s">
        <v>0</v>
      </c>
      <c r="F12725" s="41">
        <v>1</v>
      </c>
      <c r="G12725" s="4">
        <v>11</v>
      </c>
      <c r="H12725" s="18">
        <v>24.370999999999999</v>
      </c>
      <c r="I12725" s="90"/>
      <c r="J12725" s="90"/>
    </row>
    <row r="12726" spans="1:10" s="15" customFormat="1" ht="16.5" hidden="1" customHeight="1" outlineLevel="1" x14ac:dyDescent="0.25">
      <c r="A12726" s="18">
        <v>5478</v>
      </c>
      <c r="B12726" s="4" t="s">
        <v>44</v>
      </c>
      <c r="C12726" s="38" t="s">
        <v>2519</v>
      </c>
      <c r="D12726" s="18">
        <v>2022</v>
      </c>
      <c r="E12726" s="18" t="s">
        <v>0</v>
      </c>
      <c r="F12726" s="41">
        <v>1</v>
      </c>
      <c r="G12726" s="4">
        <v>15</v>
      </c>
      <c r="H12726" s="18">
        <v>98.37</v>
      </c>
      <c r="I12726" s="90"/>
      <c r="J12726" s="90"/>
    </row>
    <row r="12727" spans="1:10" s="15" customFormat="1" ht="16.5" hidden="1" customHeight="1" outlineLevel="1" x14ac:dyDescent="0.25">
      <c r="A12727" s="18">
        <v>5482</v>
      </c>
      <c r="B12727" s="4" t="s">
        <v>44</v>
      </c>
      <c r="C12727" s="38" t="s">
        <v>7399</v>
      </c>
      <c r="D12727" s="18">
        <v>2022</v>
      </c>
      <c r="E12727" s="18" t="s">
        <v>0</v>
      </c>
      <c r="F12727" s="41">
        <v>1</v>
      </c>
      <c r="G12727" s="4">
        <v>10</v>
      </c>
      <c r="H12727" s="18">
        <v>29.187000000000001</v>
      </c>
      <c r="I12727" s="90"/>
      <c r="J12727" s="90"/>
    </row>
    <row r="12728" spans="1:10" s="15" customFormat="1" ht="16.5" hidden="1" customHeight="1" outlineLevel="1" x14ac:dyDescent="0.25">
      <c r="A12728" s="18">
        <v>5483</v>
      </c>
      <c r="B12728" s="4" t="s">
        <v>44</v>
      </c>
      <c r="C12728" s="38" t="s">
        <v>7400</v>
      </c>
      <c r="D12728" s="18">
        <v>2022</v>
      </c>
      <c r="E12728" s="18" t="s">
        <v>0</v>
      </c>
      <c r="F12728" s="41">
        <v>1</v>
      </c>
      <c r="G12728" s="4">
        <v>10</v>
      </c>
      <c r="H12728" s="18">
        <v>24.571000000000002</v>
      </c>
      <c r="I12728" s="90"/>
      <c r="J12728" s="90"/>
    </row>
    <row r="12729" spans="1:10" s="15" customFormat="1" ht="16.5" hidden="1" customHeight="1" outlineLevel="1" x14ac:dyDescent="0.25">
      <c r="A12729" s="18">
        <v>5488</v>
      </c>
      <c r="B12729" s="4" t="s">
        <v>44</v>
      </c>
      <c r="C12729" s="38" t="s">
        <v>7401</v>
      </c>
      <c r="D12729" s="18">
        <v>2022</v>
      </c>
      <c r="E12729" s="18" t="s">
        <v>0</v>
      </c>
      <c r="F12729" s="41">
        <v>1</v>
      </c>
      <c r="G12729" s="4">
        <v>15</v>
      </c>
      <c r="H12729" s="18">
        <v>31.082000000000001</v>
      </c>
      <c r="I12729" s="90"/>
      <c r="J12729" s="90"/>
    </row>
    <row r="12730" spans="1:10" s="15" customFormat="1" ht="16.5" hidden="1" customHeight="1" outlineLevel="1" x14ac:dyDescent="0.25">
      <c r="A12730" s="18">
        <v>5496</v>
      </c>
      <c r="B12730" s="4" t="s">
        <v>44</v>
      </c>
      <c r="C12730" s="38" t="s">
        <v>7402</v>
      </c>
      <c r="D12730" s="18">
        <v>2022</v>
      </c>
      <c r="E12730" s="18" t="s">
        <v>0</v>
      </c>
      <c r="F12730" s="41">
        <v>1</v>
      </c>
      <c r="G12730" s="4">
        <v>7</v>
      </c>
      <c r="H12730" s="18">
        <v>26.498999999999999</v>
      </c>
      <c r="I12730" s="90"/>
      <c r="J12730" s="90"/>
    </row>
    <row r="12731" spans="1:10" s="15" customFormat="1" ht="16.5" hidden="1" customHeight="1" outlineLevel="1" x14ac:dyDescent="0.25">
      <c r="A12731" s="18">
        <v>5500</v>
      </c>
      <c r="B12731" s="4" t="s">
        <v>44</v>
      </c>
      <c r="C12731" s="38" t="s">
        <v>2520</v>
      </c>
      <c r="D12731" s="18">
        <v>2022</v>
      </c>
      <c r="E12731" s="18" t="s">
        <v>0</v>
      </c>
      <c r="F12731" s="41">
        <v>1</v>
      </c>
      <c r="G12731" s="4">
        <v>10</v>
      </c>
      <c r="H12731" s="18">
        <v>75.367000000000004</v>
      </c>
      <c r="I12731" s="90"/>
      <c r="J12731" s="90"/>
    </row>
    <row r="12732" spans="1:10" s="15" customFormat="1" ht="16.5" hidden="1" customHeight="1" outlineLevel="1" x14ac:dyDescent="0.25">
      <c r="A12732" s="18">
        <v>5505</v>
      </c>
      <c r="B12732" s="4" t="s">
        <v>44</v>
      </c>
      <c r="C12732" s="38" t="s">
        <v>7403</v>
      </c>
      <c r="D12732" s="18">
        <v>2022</v>
      </c>
      <c r="E12732" s="18" t="s">
        <v>0</v>
      </c>
      <c r="F12732" s="41">
        <v>1</v>
      </c>
      <c r="G12732" s="4">
        <v>15</v>
      </c>
      <c r="H12732" s="18">
        <v>30.821000000000002</v>
      </c>
      <c r="I12732" s="90"/>
      <c r="J12732" s="90"/>
    </row>
    <row r="12733" spans="1:10" s="15" customFormat="1" ht="16.5" hidden="1" customHeight="1" outlineLevel="1" x14ac:dyDescent="0.25">
      <c r="A12733" s="18">
        <v>5507</v>
      </c>
      <c r="B12733" s="4" t="s">
        <v>44</v>
      </c>
      <c r="C12733" s="38" t="s">
        <v>7404</v>
      </c>
      <c r="D12733" s="18">
        <v>2022</v>
      </c>
      <c r="E12733" s="18" t="s">
        <v>0</v>
      </c>
      <c r="F12733" s="41">
        <v>1</v>
      </c>
      <c r="G12733" s="4">
        <v>15</v>
      </c>
      <c r="H12733" s="18">
        <v>31.28</v>
      </c>
      <c r="I12733" s="90"/>
      <c r="J12733" s="90"/>
    </row>
    <row r="12734" spans="1:10" s="15" customFormat="1" ht="16.5" hidden="1" customHeight="1" outlineLevel="1" x14ac:dyDescent="0.25">
      <c r="A12734" s="18">
        <v>5509</v>
      </c>
      <c r="B12734" s="4" t="s">
        <v>44</v>
      </c>
      <c r="C12734" s="38" t="s">
        <v>7405</v>
      </c>
      <c r="D12734" s="18">
        <v>2022</v>
      </c>
      <c r="E12734" s="18" t="s">
        <v>0</v>
      </c>
      <c r="F12734" s="41">
        <v>1</v>
      </c>
      <c r="G12734" s="4">
        <v>10</v>
      </c>
      <c r="H12734" s="18">
        <v>34.273000000000003</v>
      </c>
      <c r="I12734" s="90"/>
      <c r="J12734" s="90"/>
    </row>
    <row r="12735" spans="1:10" s="15" customFormat="1" ht="16.5" hidden="1" customHeight="1" outlineLevel="1" x14ac:dyDescent="0.25">
      <c r="A12735" s="18">
        <v>5521</v>
      </c>
      <c r="B12735" s="4" t="s">
        <v>44</v>
      </c>
      <c r="C12735" s="38" t="s">
        <v>2521</v>
      </c>
      <c r="D12735" s="18">
        <v>2022</v>
      </c>
      <c r="E12735" s="18" t="s">
        <v>0</v>
      </c>
      <c r="F12735" s="41">
        <v>1</v>
      </c>
      <c r="G12735" s="4">
        <v>10</v>
      </c>
      <c r="H12735" s="18">
        <v>75.150999999999996</v>
      </c>
      <c r="I12735" s="90"/>
      <c r="J12735" s="90"/>
    </row>
    <row r="12736" spans="1:10" s="15" customFormat="1" ht="16.5" hidden="1" customHeight="1" outlineLevel="1" x14ac:dyDescent="0.25">
      <c r="A12736" s="18">
        <v>5523</v>
      </c>
      <c r="B12736" s="4" t="s">
        <v>44</v>
      </c>
      <c r="C12736" s="38" t="s">
        <v>2522</v>
      </c>
      <c r="D12736" s="18">
        <v>2022</v>
      </c>
      <c r="E12736" s="18" t="s">
        <v>0</v>
      </c>
      <c r="F12736" s="41">
        <v>1</v>
      </c>
      <c r="G12736" s="4">
        <v>10</v>
      </c>
      <c r="H12736" s="18">
        <v>80.004000000000005</v>
      </c>
      <c r="I12736" s="90"/>
      <c r="J12736" s="90"/>
    </row>
    <row r="12737" spans="1:10" s="15" customFormat="1" ht="16.5" hidden="1" customHeight="1" outlineLevel="1" x14ac:dyDescent="0.25">
      <c r="A12737" s="18">
        <v>5524</v>
      </c>
      <c r="B12737" s="4" t="s">
        <v>44</v>
      </c>
      <c r="C12737" s="38" t="s">
        <v>7406</v>
      </c>
      <c r="D12737" s="18">
        <v>2022</v>
      </c>
      <c r="E12737" s="18" t="s">
        <v>0</v>
      </c>
      <c r="F12737" s="41">
        <v>1</v>
      </c>
      <c r="G12737" s="4">
        <v>15</v>
      </c>
      <c r="H12737" s="18">
        <v>32.156999999999996</v>
      </c>
      <c r="I12737" s="90"/>
      <c r="J12737" s="90"/>
    </row>
    <row r="12738" spans="1:10" s="15" customFormat="1" ht="16.5" hidden="1" customHeight="1" outlineLevel="1" x14ac:dyDescent="0.25">
      <c r="A12738" s="18">
        <v>5525</v>
      </c>
      <c r="B12738" s="4" t="s">
        <v>44</v>
      </c>
      <c r="C12738" s="38" t="s">
        <v>7407</v>
      </c>
      <c r="D12738" s="18">
        <v>2022</v>
      </c>
      <c r="E12738" s="18" t="s">
        <v>0</v>
      </c>
      <c r="F12738" s="41">
        <v>1</v>
      </c>
      <c r="G12738" s="4">
        <v>10</v>
      </c>
      <c r="H12738" s="18">
        <v>26.759</v>
      </c>
      <c r="I12738" s="90"/>
      <c r="J12738" s="90"/>
    </row>
    <row r="12739" spans="1:10" s="15" customFormat="1" ht="16.5" hidden="1" customHeight="1" outlineLevel="1" x14ac:dyDescent="0.25">
      <c r="A12739" s="18">
        <v>5526</v>
      </c>
      <c r="B12739" s="4" t="s">
        <v>44</v>
      </c>
      <c r="C12739" s="38" t="s">
        <v>7408</v>
      </c>
      <c r="D12739" s="18">
        <v>2022</v>
      </c>
      <c r="E12739" s="18" t="s">
        <v>0</v>
      </c>
      <c r="F12739" s="41">
        <v>1</v>
      </c>
      <c r="G12739" s="4">
        <v>15</v>
      </c>
      <c r="H12739" s="18">
        <v>32.216000000000001</v>
      </c>
      <c r="I12739" s="90"/>
      <c r="J12739" s="90"/>
    </row>
    <row r="12740" spans="1:10" s="15" customFormat="1" ht="16.5" hidden="1" customHeight="1" outlineLevel="1" x14ac:dyDescent="0.25">
      <c r="A12740" s="18">
        <v>5528</v>
      </c>
      <c r="B12740" s="4" t="s">
        <v>44</v>
      </c>
      <c r="C12740" s="38" t="s">
        <v>7409</v>
      </c>
      <c r="D12740" s="18">
        <v>2022</v>
      </c>
      <c r="E12740" s="18" t="s">
        <v>0</v>
      </c>
      <c r="F12740" s="41">
        <v>1</v>
      </c>
      <c r="G12740" s="4">
        <v>15</v>
      </c>
      <c r="H12740" s="18">
        <v>32.985999999999997</v>
      </c>
      <c r="I12740" s="90"/>
      <c r="J12740" s="90"/>
    </row>
    <row r="12741" spans="1:10" s="15" customFormat="1" ht="16.5" hidden="1" customHeight="1" outlineLevel="1" x14ac:dyDescent="0.25">
      <c r="A12741" s="18">
        <v>5531</v>
      </c>
      <c r="B12741" s="4" t="s">
        <v>44</v>
      </c>
      <c r="C12741" s="38" t="s">
        <v>7410</v>
      </c>
      <c r="D12741" s="18">
        <v>2022</v>
      </c>
      <c r="E12741" s="18" t="s">
        <v>0</v>
      </c>
      <c r="F12741" s="41">
        <v>1</v>
      </c>
      <c r="G12741" s="4">
        <v>15</v>
      </c>
      <c r="H12741" s="18">
        <v>28.344999999999999</v>
      </c>
      <c r="I12741" s="90"/>
      <c r="J12741" s="90"/>
    </row>
    <row r="12742" spans="1:10" s="15" customFormat="1" ht="16.5" hidden="1" customHeight="1" outlineLevel="1" x14ac:dyDescent="0.25">
      <c r="A12742" s="18">
        <v>5535</v>
      </c>
      <c r="B12742" s="4" t="s">
        <v>44</v>
      </c>
      <c r="C12742" s="38" t="s">
        <v>2523</v>
      </c>
      <c r="D12742" s="18">
        <v>2022</v>
      </c>
      <c r="E12742" s="18" t="s">
        <v>0</v>
      </c>
      <c r="F12742" s="41">
        <v>1</v>
      </c>
      <c r="G12742" s="4">
        <v>10</v>
      </c>
      <c r="H12742" s="18">
        <v>83.539000000000001</v>
      </c>
      <c r="I12742" s="90"/>
      <c r="J12742" s="90"/>
    </row>
    <row r="12743" spans="1:10" s="15" customFormat="1" ht="16.5" hidden="1" customHeight="1" outlineLevel="1" x14ac:dyDescent="0.25">
      <c r="A12743" s="18">
        <v>5541</v>
      </c>
      <c r="B12743" s="4" t="s">
        <v>44</v>
      </c>
      <c r="C12743" s="38" t="s">
        <v>7411</v>
      </c>
      <c r="D12743" s="18">
        <v>2022</v>
      </c>
      <c r="E12743" s="18" t="s">
        <v>0</v>
      </c>
      <c r="F12743" s="41">
        <v>1</v>
      </c>
      <c r="G12743" s="4">
        <v>15</v>
      </c>
      <c r="H12743" s="18">
        <v>32.284999999999997</v>
      </c>
      <c r="I12743" s="90"/>
      <c r="J12743" s="90"/>
    </row>
    <row r="12744" spans="1:10" s="15" customFormat="1" ht="16.5" hidden="1" customHeight="1" outlineLevel="1" x14ac:dyDescent="0.25">
      <c r="A12744" s="18">
        <v>5543</v>
      </c>
      <c r="B12744" s="4" t="s">
        <v>44</v>
      </c>
      <c r="C12744" s="38" t="s">
        <v>7412</v>
      </c>
      <c r="D12744" s="18">
        <v>2022</v>
      </c>
      <c r="E12744" s="18" t="s">
        <v>0</v>
      </c>
      <c r="F12744" s="41">
        <v>1</v>
      </c>
      <c r="G12744" s="4">
        <v>15</v>
      </c>
      <c r="H12744" s="18">
        <v>32.435000000000002</v>
      </c>
      <c r="I12744" s="90"/>
      <c r="J12744" s="90"/>
    </row>
    <row r="12745" spans="1:10" s="15" customFormat="1" ht="16.5" hidden="1" customHeight="1" outlineLevel="1" x14ac:dyDescent="0.25">
      <c r="A12745" s="18">
        <v>5546</v>
      </c>
      <c r="B12745" s="4" t="s">
        <v>44</v>
      </c>
      <c r="C12745" s="38" t="s">
        <v>7413</v>
      </c>
      <c r="D12745" s="18">
        <v>2022</v>
      </c>
      <c r="E12745" s="18" t="s">
        <v>0</v>
      </c>
      <c r="F12745" s="41">
        <v>1</v>
      </c>
      <c r="G12745" s="4">
        <v>15</v>
      </c>
      <c r="H12745" s="18">
        <v>32.119999999999997</v>
      </c>
      <c r="I12745" s="90"/>
      <c r="J12745" s="90"/>
    </row>
    <row r="12746" spans="1:10" s="15" customFormat="1" ht="16.5" hidden="1" customHeight="1" outlineLevel="1" x14ac:dyDescent="0.25">
      <c r="A12746" s="18">
        <v>5558</v>
      </c>
      <c r="B12746" s="4" t="s">
        <v>44</v>
      </c>
      <c r="C12746" s="38" t="s">
        <v>7414</v>
      </c>
      <c r="D12746" s="18">
        <v>2022</v>
      </c>
      <c r="E12746" s="18" t="s">
        <v>0</v>
      </c>
      <c r="F12746" s="41">
        <v>1</v>
      </c>
      <c r="G12746" s="4">
        <v>12</v>
      </c>
      <c r="H12746" s="18">
        <v>26.585000000000001</v>
      </c>
      <c r="I12746" s="90"/>
      <c r="J12746" s="90"/>
    </row>
    <row r="12747" spans="1:10" s="15" customFormat="1" ht="16.5" hidden="1" customHeight="1" outlineLevel="1" x14ac:dyDescent="0.25">
      <c r="A12747" s="18">
        <v>5562</v>
      </c>
      <c r="B12747" s="4" t="s">
        <v>44</v>
      </c>
      <c r="C12747" s="38" t="s">
        <v>7415</v>
      </c>
      <c r="D12747" s="18">
        <v>2022</v>
      </c>
      <c r="E12747" s="18" t="s">
        <v>0</v>
      </c>
      <c r="F12747" s="41">
        <v>1</v>
      </c>
      <c r="G12747" s="4">
        <v>15</v>
      </c>
      <c r="H12747" s="18">
        <v>32.329000000000001</v>
      </c>
      <c r="I12747" s="90"/>
      <c r="J12747" s="90"/>
    </row>
    <row r="12748" spans="1:10" s="15" customFormat="1" ht="16.5" hidden="1" customHeight="1" outlineLevel="1" x14ac:dyDescent="0.25">
      <c r="A12748" s="18">
        <v>5569</v>
      </c>
      <c r="B12748" s="4" t="s">
        <v>44</v>
      </c>
      <c r="C12748" s="38" t="s">
        <v>7416</v>
      </c>
      <c r="D12748" s="18">
        <v>2022</v>
      </c>
      <c r="E12748" s="18" t="s">
        <v>0</v>
      </c>
      <c r="F12748" s="41">
        <v>1</v>
      </c>
      <c r="G12748" s="4">
        <v>15</v>
      </c>
      <c r="H12748" s="18">
        <v>28.962</v>
      </c>
      <c r="I12748" s="90"/>
      <c r="J12748" s="90"/>
    </row>
    <row r="12749" spans="1:10" s="15" customFormat="1" ht="16.5" hidden="1" customHeight="1" outlineLevel="1" x14ac:dyDescent="0.25">
      <c r="A12749" s="18">
        <v>5572</v>
      </c>
      <c r="B12749" s="4" t="s">
        <v>44</v>
      </c>
      <c r="C12749" s="38" t="s">
        <v>7417</v>
      </c>
      <c r="D12749" s="18">
        <v>2022</v>
      </c>
      <c r="E12749" s="18" t="s">
        <v>0</v>
      </c>
      <c r="F12749" s="41">
        <v>1</v>
      </c>
      <c r="G12749" s="4">
        <v>15</v>
      </c>
      <c r="H12749" s="18">
        <v>31.048999999999999</v>
      </c>
      <c r="I12749" s="90"/>
      <c r="J12749" s="90"/>
    </row>
    <row r="12750" spans="1:10" s="15" customFormat="1" ht="16.5" hidden="1" customHeight="1" outlineLevel="1" x14ac:dyDescent="0.25">
      <c r="A12750" s="18">
        <v>5578</v>
      </c>
      <c r="B12750" s="4" t="s">
        <v>44</v>
      </c>
      <c r="C12750" s="38" t="s">
        <v>2524</v>
      </c>
      <c r="D12750" s="18">
        <v>2022</v>
      </c>
      <c r="E12750" s="18" t="s">
        <v>0</v>
      </c>
      <c r="F12750" s="41">
        <v>2</v>
      </c>
      <c r="G12750" s="4">
        <v>17</v>
      </c>
      <c r="H12750" s="18">
        <v>61.311999999999998</v>
      </c>
      <c r="I12750" s="90"/>
      <c r="J12750" s="90"/>
    </row>
    <row r="12751" spans="1:10" s="15" customFormat="1" ht="16.5" hidden="1" customHeight="1" outlineLevel="1" x14ac:dyDescent="0.25">
      <c r="A12751" s="18">
        <v>5581</v>
      </c>
      <c r="B12751" s="4" t="s">
        <v>44</v>
      </c>
      <c r="C12751" s="38" t="s">
        <v>7418</v>
      </c>
      <c r="D12751" s="18">
        <v>2022</v>
      </c>
      <c r="E12751" s="18" t="s">
        <v>0</v>
      </c>
      <c r="F12751" s="41">
        <v>1</v>
      </c>
      <c r="G12751" s="4">
        <v>5</v>
      </c>
      <c r="H12751" s="18">
        <v>32.921999999999997</v>
      </c>
      <c r="I12751" s="90"/>
      <c r="J12751" s="90"/>
    </row>
    <row r="12752" spans="1:10" s="15" customFormat="1" ht="16.5" hidden="1" customHeight="1" outlineLevel="1" x14ac:dyDescent="0.25">
      <c r="A12752" s="18">
        <v>5589</v>
      </c>
      <c r="B12752" s="4" t="s">
        <v>44</v>
      </c>
      <c r="C12752" s="38" t="s">
        <v>7419</v>
      </c>
      <c r="D12752" s="18">
        <v>2022</v>
      </c>
      <c r="E12752" s="18" t="s">
        <v>0</v>
      </c>
      <c r="F12752" s="41">
        <v>1</v>
      </c>
      <c r="G12752" s="4">
        <v>15</v>
      </c>
      <c r="H12752" s="18">
        <v>29.867999999999999</v>
      </c>
      <c r="I12752" s="90"/>
      <c r="J12752" s="90"/>
    </row>
    <row r="12753" spans="1:10" s="15" customFormat="1" ht="16.5" hidden="1" customHeight="1" outlineLevel="1" x14ac:dyDescent="0.25">
      <c r="A12753" s="18">
        <v>5592</v>
      </c>
      <c r="B12753" s="4" t="s">
        <v>44</v>
      </c>
      <c r="C12753" s="38" t="s">
        <v>7420</v>
      </c>
      <c r="D12753" s="18">
        <v>2022</v>
      </c>
      <c r="E12753" s="18" t="s">
        <v>0</v>
      </c>
      <c r="F12753" s="41">
        <v>1</v>
      </c>
      <c r="G12753" s="4">
        <v>10</v>
      </c>
      <c r="H12753" s="18">
        <v>27.184000000000001</v>
      </c>
      <c r="I12753" s="90"/>
      <c r="J12753" s="90"/>
    </row>
    <row r="12754" spans="1:10" s="15" customFormat="1" ht="16.5" hidden="1" customHeight="1" outlineLevel="1" x14ac:dyDescent="0.25">
      <c r="A12754" s="18">
        <v>5595</v>
      </c>
      <c r="B12754" s="4" t="s">
        <v>44</v>
      </c>
      <c r="C12754" s="38" t="s">
        <v>7421</v>
      </c>
      <c r="D12754" s="18">
        <v>2022</v>
      </c>
      <c r="E12754" s="18" t="s">
        <v>0</v>
      </c>
      <c r="F12754" s="41">
        <v>1</v>
      </c>
      <c r="G12754" s="4">
        <v>7</v>
      </c>
      <c r="H12754" s="18">
        <v>26.893999999999998</v>
      </c>
      <c r="I12754" s="90"/>
      <c r="J12754" s="90"/>
    </row>
    <row r="12755" spans="1:10" s="15" customFormat="1" ht="16.5" hidden="1" customHeight="1" outlineLevel="1" x14ac:dyDescent="0.25">
      <c r="A12755" s="18">
        <v>5597</v>
      </c>
      <c r="B12755" s="4" t="s">
        <v>44</v>
      </c>
      <c r="C12755" s="38" t="s">
        <v>7422</v>
      </c>
      <c r="D12755" s="18">
        <v>2022</v>
      </c>
      <c r="E12755" s="18" t="s">
        <v>0</v>
      </c>
      <c r="F12755" s="41">
        <v>1</v>
      </c>
      <c r="G12755" s="4">
        <v>15</v>
      </c>
      <c r="H12755" s="18">
        <v>36.087000000000003</v>
      </c>
      <c r="I12755" s="90"/>
      <c r="J12755" s="90"/>
    </row>
    <row r="12756" spans="1:10" s="15" customFormat="1" ht="16.5" hidden="1" customHeight="1" outlineLevel="1" x14ac:dyDescent="0.25">
      <c r="A12756" s="18">
        <v>5601</v>
      </c>
      <c r="B12756" s="4" t="s">
        <v>44</v>
      </c>
      <c r="C12756" s="38" t="s">
        <v>7423</v>
      </c>
      <c r="D12756" s="18">
        <v>2022</v>
      </c>
      <c r="E12756" s="18" t="s">
        <v>0</v>
      </c>
      <c r="F12756" s="41">
        <v>1</v>
      </c>
      <c r="G12756" s="4">
        <v>15</v>
      </c>
      <c r="H12756" s="18">
        <v>30.800999999999998</v>
      </c>
      <c r="I12756" s="90"/>
      <c r="J12756" s="90"/>
    </row>
    <row r="12757" spans="1:10" s="15" customFormat="1" ht="16.5" hidden="1" customHeight="1" outlineLevel="1" x14ac:dyDescent="0.25">
      <c r="A12757" s="18">
        <v>5602</v>
      </c>
      <c r="B12757" s="4" t="s">
        <v>44</v>
      </c>
      <c r="C12757" s="38" t="s">
        <v>7424</v>
      </c>
      <c r="D12757" s="18">
        <v>2022</v>
      </c>
      <c r="E12757" s="18" t="s">
        <v>0</v>
      </c>
      <c r="F12757" s="41">
        <v>1</v>
      </c>
      <c r="G12757" s="4">
        <v>15</v>
      </c>
      <c r="H12757" s="18">
        <v>29.562000000000001</v>
      </c>
      <c r="I12757" s="90"/>
      <c r="J12757" s="90"/>
    </row>
    <row r="12758" spans="1:10" s="15" customFormat="1" ht="16.5" hidden="1" customHeight="1" outlineLevel="1" x14ac:dyDescent="0.25">
      <c r="A12758" s="18">
        <v>5604</v>
      </c>
      <c r="B12758" s="4" t="s">
        <v>44</v>
      </c>
      <c r="C12758" s="38" t="s">
        <v>2525</v>
      </c>
      <c r="D12758" s="18">
        <v>2022</v>
      </c>
      <c r="E12758" s="18" t="s">
        <v>0</v>
      </c>
      <c r="F12758" s="41">
        <v>1</v>
      </c>
      <c r="G12758" s="4">
        <v>15</v>
      </c>
      <c r="H12758" s="18">
        <v>55.451000000000001</v>
      </c>
      <c r="I12758" s="90"/>
      <c r="J12758" s="90"/>
    </row>
    <row r="12759" spans="1:10" s="15" customFormat="1" ht="16.5" hidden="1" customHeight="1" outlineLevel="1" x14ac:dyDescent="0.25">
      <c r="A12759" s="18">
        <v>5605</v>
      </c>
      <c r="B12759" s="4" t="s">
        <v>44</v>
      </c>
      <c r="C12759" s="38" t="s">
        <v>2526</v>
      </c>
      <c r="D12759" s="18">
        <v>2022</v>
      </c>
      <c r="E12759" s="18" t="s">
        <v>0</v>
      </c>
      <c r="F12759" s="41">
        <v>1</v>
      </c>
      <c r="G12759" s="4">
        <v>15</v>
      </c>
      <c r="H12759" s="18">
        <v>60.871000000000002</v>
      </c>
      <c r="I12759" s="90"/>
      <c r="J12759" s="90"/>
    </row>
    <row r="12760" spans="1:10" s="15" customFormat="1" ht="16.5" hidden="1" customHeight="1" outlineLevel="1" x14ac:dyDescent="0.25">
      <c r="A12760" s="18">
        <v>5606</v>
      </c>
      <c r="B12760" s="4" t="s">
        <v>44</v>
      </c>
      <c r="C12760" s="38" t="s">
        <v>2527</v>
      </c>
      <c r="D12760" s="18">
        <v>2022</v>
      </c>
      <c r="E12760" s="18" t="s">
        <v>0</v>
      </c>
      <c r="F12760" s="41">
        <v>2</v>
      </c>
      <c r="G12760" s="4">
        <v>20</v>
      </c>
      <c r="H12760" s="18">
        <v>74.879000000000005</v>
      </c>
      <c r="I12760" s="90"/>
      <c r="J12760" s="90"/>
    </row>
    <row r="12761" spans="1:10" s="15" customFormat="1" ht="16.5" hidden="1" customHeight="1" outlineLevel="1" x14ac:dyDescent="0.25">
      <c r="A12761" s="18">
        <v>5610</v>
      </c>
      <c r="B12761" s="4" t="s">
        <v>44</v>
      </c>
      <c r="C12761" s="38" t="s">
        <v>7425</v>
      </c>
      <c r="D12761" s="18">
        <v>2022</v>
      </c>
      <c r="E12761" s="18" t="s">
        <v>0</v>
      </c>
      <c r="F12761" s="41">
        <v>1</v>
      </c>
      <c r="G12761" s="4">
        <v>15</v>
      </c>
      <c r="H12761" s="18">
        <v>29.919</v>
      </c>
      <c r="I12761" s="90"/>
      <c r="J12761" s="90"/>
    </row>
    <row r="12762" spans="1:10" s="15" customFormat="1" ht="16.5" hidden="1" customHeight="1" outlineLevel="1" x14ac:dyDescent="0.25">
      <c r="A12762" s="18">
        <v>5611</v>
      </c>
      <c r="B12762" s="4" t="s">
        <v>44</v>
      </c>
      <c r="C12762" s="38" t="s">
        <v>7426</v>
      </c>
      <c r="D12762" s="18">
        <v>2022</v>
      </c>
      <c r="E12762" s="18" t="s">
        <v>0</v>
      </c>
      <c r="F12762" s="41">
        <v>1</v>
      </c>
      <c r="G12762" s="4">
        <v>15</v>
      </c>
      <c r="H12762" s="18">
        <v>29.524000000000001</v>
      </c>
      <c r="I12762" s="90"/>
      <c r="J12762" s="90"/>
    </row>
    <row r="12763" spans="1:10" s="15" customFormat="1" ht="16.5" hidden="1" customHeight="1" outlineLevel="1" x14ac:dyDescent="0.25">
      <c r="A12763" s="18">
        <v>5612</v>
      </c>
      <c r="B12763" s="4" t="s">
        <v>44</v>
      </c>
      <c r="C12763" s="38" t="s">
        <v>7427</v>
      </c>
      <c r="D12763" s="18">
        <v>2022</v>
      </c>
      <c r="E12763" s="18" t="s">
        <v>0</v>
      </c>
      <c r="F12763" s="41">
        <v>1</v>
      </c>
      <c r="G12763" s="4">
        <v>15</v>
      </c>
      <c r="H12763" s="18">
        <v>29.562000000000001</v>
      </c>
      <c r="I12763" s="90"/>
      <c r="J12763" s="90"/>
    </row>
    <row r="12764" spans="1:10" s="15" customFormat="1" ht="16.5" hidden="1" customHeight="1" outlineLevel="1" x14ac:dyDescent="0.25">
      <c r="A12764" s="18">
        <v>5613</v>
      </c>
      <c r="B12764" s="4" t="s">
        <v>44</v>
      </c>
      <c r="C12764" s="38" t="s">
        <v>7428</v>
      </c>
      <c r="D12764" s="18">
        <v>2022</v>
      </c>
      <c r="E12764" s="18" t="s">
        <v>0</v>
      </c>
      <c r="F12764" s="41">
        <v>1</v>
      </c>
      <c r="G12764" s="4">
        <v>10</v>
      </c>
      <c r="H12764" s="18">
        <v>30.623000000000001</v>
      </c>
      <c r="I12764" s="90"/>
      <c r="J12764" s="90"/>
    </row>
    <row r="12765" spans="1:10" s="15" customFormat="1" ht="16.5" hidden="1" customHeight="1" outlineLevel="1" x14ac:dyDescent="0.25">
      <c r="A12765" s="18">
        <v>5626</v>
      </c>
      <c r="B12765" s="4" t="s">
        <v>44</v>
      </c>
      <c r="C12765" s="38" t="s">
        <v>7429</v>
      </c>
      <c r="D12765" s="18">
        <v>2022</v>
      </c>
      <c r="E12765" s="18" t="s">
        <v>0</v>
      </c>
      <c r="F12765" s="41">
        <v>1</v>
      </c>
      <c r="G12765" s="4">
        <v>15</v>
      </c>
      <c r="H12765" s="18">
        <v>31.117999999999999</v>
      </c>
      <c r="I12765" s="90"/>
      <c r="J12765" s="90"/>
    </row>
    <row r="12766" spans="1:10" s="15" customFormat="1" ht="16.5" hidden="1" customHeight="1" outlineLevel="1" x14ac:dyDescent="0.25">
      <c r="A12766" s="18">
        <v>5627</v>
      </c>
      <c r="B12766" s="4" t="s">
        <v>44</v>
      </c>
      <c r="C12766" s="38" t="s">
        <v>7430</v>
      </c>
      <c r="D12766" s="18">
        <v>2022</v>
      </c>
      <c r="E12766" s="18" t="s">
        <v>0</v>
      </c>
      <c r="F12766" s="41">
        <v>1</v>
      </c>
      <c r="G12766" s="4">
        <v>15</v>
      </c>
      <c r="H12766" s="18">
        <v>31.83</v>
      </c>
      <c r="I12766" s="90"/>
      <c r="J12766" s="90"/>
    </row>
    <row r="12767" spans="1:10" s="15" customFormat="1" ht="16.5" hidden="1" customHeight="1" outlineLevel="1" x14ac:dyDescent="0.25">
      <c r="A12767" s="18">
        <v>5631</v>
      </c>
      <c r="B12767" s="4" t="s">
        <v>44</v>
      </c>
      <c r="C12767" s="38" t="s">
        <v>7431</v>
      </c>
      <c r="D12767" s="18">
        <v>2022</v>
      </c>
      <c r="E12767" s="18" t="s">
        <v>0</v>
      </c>
      <c r="F12767" s="41">
        <v>1</v>
      </c>
      <c r="G12767" s="4">
        <v>10</v>
      </c>
      <c r="H12767" s="18">
        <v>34.523000000000003</v>
      </c>
      <c r="I12767" s="90"/>
      <c r="J12767" s="90"/>
    </row>
    <row r="12768" spans="1:10" s="15" customFormat="1" ht="16.5" hidden="1" customHeight="1" outlineLevel="1" x14ac:dyDescent="0.25">
      <c r="A12768" s="18">
        <v>5632</v>
      </c>
      <c r="B12768" s="4" t="s">
        <v>44</v>
      </c>
      <c r="C12768" s="38" t="s">
        <v>7432</v>
      </c>
      <c r="D12768" s="18">
        <v>2022</v>
      </c>
      <c r="E12768" s="18" t="s">
        <v>0</v>
      </c>
      <c r="F12768" s="41">
        <v>1</v>
      </c>
      <c r="G12768" s="4">
        <v>10</v>
      </c>
      <c r="H12768" s="18">
        <v>29.562000000000001</v>
      </c>
      <c r="I12768" s="90"/>
      <c r="J12768" s="90"/>
    </row>
    <row r="12769" spans="1:10" s="15" customFormat="1" ht="16.5" hidden="1" customHeight="1" outlineLevel="1" x14ac:dyDescent="0.25">
      <c r="A12769" s="18">
        <v>5638</v>
      </c>
      <c r="B12769" s="4" t="s">
        <v>44</v>
      </c>
      <c r="C12769" s="38" t="s">
        <v>7433</v>
      </c>
      <c r="D12769" s="18">
        <v>2022</v>
      </c>
      <c r="E12769" s="18" t="s">
        <v>0</v>
      </c>
      <c r="F12769" s="41">
        <v>1</v>
      </c>
      <c r="G12769" s="4">
        <v>10</v>
      </c>
      <c r="H12769" s="18">
        <v>30.355</v>
      </c>
      <c r="I12769" s="90"/>
      <c r="J12769" s="90"/>
    </row>
    <row r="12770" spans="1:10" s="15" customFormat="1" ht="16.5" hidden="1" customHeight="1" outlineLevel="1" x14ac:dyDescent="0.25">
      <c r="A12770" s="18">
        <v>5647</v>
      </c>
      <c r="B12770" s="4" t="s">
        <v>44</v>
      </c>
      <c r="C12770" s="38" t="s">
        <v>7434</v>
      </c>
      <c r="D12770" s="18">
        <v>2022</v>
      </c>
      <c r="E12770" s="18" t="s">
        <v>0</v>
      </c>
      <c r="F12770" s="41">
        <v>1</v>
      </c>
      <c r="G12770" s="4">
        <v>10</v>
      </c>
      <c r="H12770" s="18">
        <v>29.876000000000001</v>
      </c>
      <c r="I12770" s="90"/>
      <c r="J12770" s="90"/>
    </row>
    <row r="12771" spans="1:10" s="15" customFormat="1" ht="16.5" hidden="1" customHeight="1" outlineLevel="1" x14ac:dyDescent="0.25">
      <c r="A12771" s="18">
        <v>5653</v>
      </c>
      <c r="B12771" s="4" t="s">
        <v>44</v>
      </c>
      <c r="C12771" s="38" t="s">
        <v>7435</v>
      </c>
      <c r="D12771" s="18">
        <v>2022</v>
      </c>
      <c r="E12771" s="18" t="s">
        <v>0</v>
      </c>
      <c r="F12771" s="41">
        <v>1</v>
      </c>
      <c r="G12771" s="4">
        <v>10</v>
      </c>
      <c r="H12771" s="18">
        <v>29.876000000000001</v>
      </c>
      <c r="I12771" s="90"/>
      <c r="J12771" s="90"/>
    </row>
    <row r="12772" spans="1:10" s="15" customFormat="1" ht="16.5" hidden="1" customHeight="1" outlineLevel="1" x14ac:dyDescent="0.25">
      <c r="A12772" s="18">
        <v>5654</v>
      </c>
      <c r="B12772" s="4" t="s">
        <v>44</v>
      </c>
      <c r="C12772" s="38" t="s">
        <v>7436</v>
      </c>
      <c r="D12772" s="18">
        <v>2022</v>
      </c>
      <c r="E12772" s="18" t="s">
        <v>0</v>
      </c>
      <c r="F12772" s="41">
        <v>1</v>
      </c>
      <c r="G12772" s="4">
        <v>8</v>
      </c>
      <c r="H12772" s="18">
        <v>25.933</v>
      </c>
      <c r="I12772" s="90"/>
      <c r="J12772" s="90"/>
    </row>
    <row r="12773" spans="1:10" s="15" customFormat="1" ht="16.5" hidden="1" customHeight="1" outlineLevel="1" x14ac:dyDescent="0.25">
      <c r="A12773" s="18">
        <v>5659</v>
      </c>
      <c r="B12773" s="4" t="s">
        <v>44</v>
      </c>
      <c r="C12773" s="38" t="s">
        <v>7437</v>
      </c>
      <c r="D12773" s="18">
        <v>2022</v>
      </c>
      <c r="E12773" s="18" t="s">
        <v>0</v>
      </c>
      <c r="F12773" s="41">
        <v>1</v>
      </c>
      <c r="G12773" s="4">
        <v>10</v>
      </c>
      <c r="H12773" s="18">
        <v>30.992000000000001</v>
      </c>
      <c r="I12773" s="90"/>
      <c r="J12773" s="90"/>
    </row>
    <row r="12774" spans="1:10" s="15" customFormat="1" ht="16.5" hidden="1" customHeight="1" outlineLevel="1" x14ac:dyDescent="0.25">
      <c r="A12774" s="18">
        <v>5665</v>
      </c>
      <c r="B12774" s="4" t="s">
        <v>44</v>
      </c>
      <c r="C12774" s="38" t="s">
        <v>7438</v>
      </c>
      <c r="D12774" s="18">
        <v>2022</v>
      </c>
      <c r="E12774" s="18" t="s">
        <v>0</v>
      </c>
      <c r="F12774" s="41">
        <v>1</v>
      </c>
      <c r="G12774" s="4">
        <v>12</v>
      </c>
      <c r="H12774" s="18">
        <v>21.524000000000001</v>
      </c>
      <c r="I12774" s="90"/>
      <c r="J12774" s="90"/>
    </row>
    <row r="12775" spans="1:10" s="15" customFormat="1" ht="16.5" hidden="1" customHeight="1" outlineLevel="1" x14ac:dyDescent="0.25">
      <c r="A12775" s="18">
        <v>5669</v>
      </c>
      <c r="B12775" s="4" t="s">
        <v>44</v>
      </c>
      <c r="C12775" s="38" t="s">
        <v>7439</v>
      </c>
      <c r="D12775" s="18">
        <v>2022</v>
      </c>
      <c r="E12775" s="18" t="s">
        <v>0</v>
      </c>
      <c r="F12775" s="41">
        <v>1</v>
      </c>
      <c r="G12775" s="4">
        <v>15</v>
      </c>
      <c r="H12775" s="18">
        <v>31.143000000000001</v>
      </c>
      <c r="I12775" s="90"/>
      <c r="J12775" s="90"/>
    </row>
    <row r="12776" spans="1:10" s="15" customFormat="1" ht="16.5" hidden="1" customHeight="1" outlineLevel="1" x14ac:dyDescent="0.25">
      <c r="A12776" s="18">
        <v>5671</v>
      </c>
      <c r="B12776" s="4" t="s">
        <v>44</v>
      </c>
      <c r="C12776" s="38" t="s">
        <v>7440</v>
      </c>
      <c r="D12776" s="18">
        <v>2022</v>
      </c>
      <c r="E12776" s="18" t="s">
        <v>0</v>
      </c>
      <c r="F12776" s="41">
        <v>1</v>
      </c>
      <c r="G12776" s="4">
        <v>10</v>
      </c>
      <c r="H12776" s="18">
        <v>31.837</v>
      </c>
      <c r="I12776" s="90"/>
      <c r="J12776" s="90"/>
    </row>
    <row r="12777" spans="1:10" s="15" customFormat="1" ht="16.5" hidden="1" customHeight="1" outlineLevel="1" x14ac:dyDescent="0.25">
      <c r="A12777" s="18">
        <v>5674</v>
      </c>
      <c r="B12777" s="4" t="s">
        <v>44</v>
      </c>
      <c r="C12777" s="38" t="s">
        <v>7441</v>
      </c>
      <c r="D12777" s="18">
        <v>2022</v>
      </c>
      <c r="E12777" s="18" t="s">
        <v>0</v>
      </c>
      <c r="F12777" s="41">
        <v>1</v>
      </c>
      <c r="G12777" s="4">
        <v>9</v>
      </c>
      <c r="H12777" s="18">
        <v>26.202999999999999</v>
      </c>
      <c r="I12777" s="90"/>
      <c r="J12777" s="90"/>
    </row>
    <row r="12778" spans="1:10" s="15" customFormat="1" ht="16.5" hidden="1" customHeight="1" outlineLevel="1" x14ac:dyDescent="0.25">
      <c r="A12778" s="18">
        <v>5684</v>
      </c>
      <c r="B12778" s="4" t="s">
        <v>44</v>
      </c>
      <c r="C12778" s="38" t="s">
        <v>7442</v>
      </c>
      <c r="D12778" s="18">
        <v>2022</v>
      </c>
      <c r="E12778" s="18" t="s">
        <v>0</v>
      </c>
      <c r="F12778" s="41">
        <v>1</v>
      </c>
      <c r="G12778" s="4">
        <v>15</v>
      </c>
      <c r="H12778" s="18">
        <v>26.202999999999999</v>
      </c>
      <c r="I12778" s="90"/>
      <c r="J12778" s="90"/>
    </row>
    <row r="12779" spans="1:10" s="15" customFormat="1" ht="16.5" hidden="1" customHeight="1" outlineLevel="1" x14ac:dyDescent="0.25">
      <c r="A12779" s="18">
        <v>5687</v>
      </c>
      <c r="B12779" s="4" t="s">
        <v>44</v>
      </c>
      <c r="C12779" s="38" t="s">
        <v>2528</v>
      </c>
      <c r="D12779" s="18">
        <v>2022</v>
      </c>
      <c r="E12779" s="18" t="s">
        <v>0</v>
      </c>
      <c r="F12779" s="41">
        <v>1</v>
      </c>
      <c r="G12779" s="4">
        <v>15</v>
      </c>
      <c r="H12779" s="18">
        <v>34.398000000000003</v>
      </c>
      <c r="I12779" s="90"/>
      <c r="J12779" s="90"/>
    </row>
    <row r="12780" spans="1:10" s="15" customFormat="1" ht="16.5" hidden="1" customHeight="1" outlineLevel="1" x14ac:dyDescent="0.25">
      <c r="A12780" s="18">
        <v>5694</v>
      </c>
      <c r="B12780" s="4" t="s">
        <v>44</v>
      </c>
      <c r="C12780" s="38" t="s">
        <v>7443</v>
      </c>
      <c r="D12780" s="18">
        <v>2022</v>
      </c>
      <c r="E12780" s="18" t="s">
        <v>0</v>
      </c>
      <c r="F12780" s="41">
        <v>1</v>
      </c>
      <c r="G12780" s="4">
        <v>4.4400000000000004</v>
      </c>
      <c r="H12780" s="18">
        <v>30.965</v>
      </c>
      <c r="I12780" s="90"/>
      <c r="J12780" s="90"/>
    </row>
    <row r="12781" spans="1:10" s="15" customFormat="1" ht="16.5" hidden="1" customHeight="1" outlineLevel="1" x14ac:dyDescent="0.25">
      <c r="A12781" s="18">
        <v>5695</v>
      </c>
      <c r="B12781" s="4" t="s">
        <v>44</v>
      </c>
      <c r="C12781" s="38" t="s">
        <v>7444</v>
      </c>
      <c r="D12781" s="18">
        <v>2022</v>
      </c>
      <c r="E12781" s="18" t="s">
        <v>0</v>
      </c>
      <c r="F12781" s="41">
        <v>1</v>
      </c>
      <c r="G12781" s="4">
        <v>4.07</v>
      </c>
      <c r="H12781" s="18">
        <v>29.375</v>
      </c>
      <c r="I12781" s="90"/>
      <c r="J12781" s="90"/>
    </row>
    <row r="12782" spans="1:10" s="15" customFormat="1" ht="16.5" hidden="1" customHeight="1" outlineLevel="1" x14ac:dyDescent="0.25">
      <c r="A12782" s="18">
        <v>5696</v>
      </c>
      <c r="B12782" s="4" t="s">
        <v>44</v>
      </c>
      <c r="C12782" s="38" t="s">
        <v>7445</v>
      </c>
      <c r="D12782" s="18">
        <v>2022</v>
      </c>
      <c r="E12782" s="18" t="s">
        <v>0</v>
      </c>
      <c r="F12782" s="41">
        <v>1</v>
      </c>
      <c r="G12782" s="4">
        <v>10</v>
      </c>
      <c r="H12782" s="18">
        <v>31.568999999999999</v>
      </c>
      <c r="I12782" s="90"/>
      <c r="J12782" s="90"/>
    </row>
    <row r="12783" spans="1:10" s="15" customFormat="1" ht="16.5" hidden="1" customHeight="1" outlineLevel="1" x14ac:dyDescent="0.25">
      <c r="A12783" s="18">
        <v>5697</v>
      </c>
      <c r="B12783" s="4" t="s">
        <v>44</v>
      </c>
      <c r="C12783" s="38" t="s">
        <v>7446</v>
      </c>
      <c r="D12783" s="18">
        <v>2022</v>
      </c>
      <c r="E12783" s="18" t="s">
        <v>0</v>
      </c>
      <c r="F12783" s="41">
        <v>1</v>
      </c>
      <c r="G12783" s="4">
        <v>15</v>
      </c>
      <c r="H12783" s="18">
        <v>31.960999999999999</v>
      </c>
      <c r="I12783" s="90"/>
      <c r="J12783" s="90"/>
    </row>
    <row r="12784" spans="1:10" s="15" customFormat="1" ht="16.5" hidden="1" customHeight="1" outlineLevel="1" x14ac:dyDescent="0.25">
      <c r="A12784" s="18">
        <v>5700</v>
      </c>
      <c r="B12784" s="4" t="s">
        <v>44</v>
      </c>
      <c r="C12784" s="38" t="s">
        <v>7447</v>
      </c>
      <c r="D12784" s="18">
        <v>2022</v>
      </c>
      <c r="E12784" s="18" t="s">
        <v>0</v>
      </c>
      <c r="F12784" s="41">
        <v>1</v>
      </c>
      <c r="G12784" s="4">
        <v>15</v>
      </c>
      <c r="H12784" s="18">
        <v>29.565999999999999</v>
      </c>
      <c r="I12784" s="90"/>
      <c r="J12784" s="90"/>
    </row>
    <row r="12785" spans="1:10" s="15" customFormat="1" ht="16.5" hidden="1" customHeight="1" outlineLevel="1" x14ac:dyDescent="0.25">
      <c r="A12785" s="18">
        <v>5703</v>
      </c>
      <c r="B12785" s="4" t="s">
        <v>44</v>
      </c>
      <c r="C12785" s="38" t="s">
        <v>7448</v>
      </c>
      <c r="D12785" s="18">
        <v>2022</v>
      </c>
      <c r="E12785" s="18" t="s">
        <v>0</v>
      </c>
      <c r="F12785" s="41">
        <v>1</v>
      </c>
      <c r="G12785" s="4">
        <v>10</v>
      </c>
      <c r="H12785" s="18">
        <v>29.375</v>
      </c>
      <c r="I12785" s="90"/>
      <c r="J12785" s="90"/>
    </row>
    <row r="12786" spans="1:10" s="15" customFormat="1" ht="16.5" hidden="1" customHeight="1" outlineLevel="1" x14ac:dyDescent="0.25">
      <c r="A12786" s="18">
        <v>5707</v>
      </c>
      <c r="B12786" s="4" t="s">
        <v>44</v>
      </c>
      <c r="C12786" s="38" t="s">
        <v>7449</v>
      </c>
      <c r="D12786" s="18">
        <v>2022</v>
      </c>
      <c r="E12786" s="18" t="s">
        <v>0</v>
      </c>
      <c r="F12786" s="41">
        <v>1</v>
      </c>
      <c r="G12786" s="4">
        <v>10</v>
      </c>
      <c r="H12786" s="18">
        <v>29.661999999999999</v>
      </c>
      <c r="I12786" s="90"/>
      <c r="J12786" s="90"/>
    </row>
    <row r="12787" spans="1:10" s="15" customFormat="1" ht="16.5" hidden="1" customHeight="1" outlineLevel="1" x14ac:dyDescent="0.25">
      <c r="A12787" s="18">
        <v>5714</v>
      </c>
      <c r="B12787" s="4" t="s">
        <v>44</v>
      </c>
      <c r="C12787" s="38" t="s">
        <v>7450</v>
      </c>
      <c r="D12787" s="18">
        <v>2022</v>
      </c>
      <c r="E12787" s="18" t="s">
        <v>0</v>
      </c>
      <c r="F12787" s="41">
        <v>1</v>
      </c>
      <c r="G12787" s="4">
        <v>15</v>
      </c>
      <c r="H12787" s="18">
        <v>19.361999999999998</v>
      </c>
      <c r="I12787" s="90"/>
      <c r="J12787" s="90"/>
    </row>
    <row r="12788" spans="1:10" s="15" customFormat="1" ht="16.5" hidden="1" customHeight="1" outlineLevel="1" x14ac:dyDescent="0.25">
      <c r="A12788" s="18">
        <v>5719</v>
      </c>
      <c r="B12788" s="4" t="s">
        <v>44</v>
      </c>
      <c r="C12788" s="38" t="s">
        <v>7451</v>
      </c>
      <c r="D12788" s="18">
        <v>2022</v>
      </c>
      <c r="E12788" s="18" t="s">
        <v>0</v>
      </c>
      <c r="F12788" s="41">
        <v>1</v>
      </c>
      <c r="G12788" s="4">
        <v>15</v>
      </c>
      <c r="H12788" s="18">
        <v>21.119</v>
      </c>
      <c r="I12788" s="90"/>
      <c r="J12788" s="90"/>
    </row>
    <row r="12789" spans="1:10" s="15" customFormat="1" ht="16.5" hidden="1" customHeight="1" outlineLevel="1" x14ac:dyDescent="0.25">
      <c r="A12789" s="18">
        <v>5720</v>
      </c>
      <c r="B12789" s="4" t="s">
        <v>44</v>
      </c>
      <c r="C12789" s="38" t="s">
        <v>7452</v>
      </c>
      <c r="D12789" s="18">
        <v>2022</v>
      </c>
      <c r="E12789" s="18" t="s">
        <v>0</v>
      </c>
      <c r="F12789" s="41">
        <v>1</v>
      </c>
      <c r="G12789" s="4">
        <v>15</v>
      </c>
      <c r="H12789" s="18">
        <v>20.690999999999999</v>
      </c>
      <c r="I12789" s="90"/>
      <c r="J12789" s="90"/>
    </row>
    <row r="12790" spans="1:10" s="15" customFormat="1" ht="16.5" hidden="1" customHeight="1" outlineLevel="1" x14ac:dyDescent="0.25">
      <c r="A12790" s="18">
        <v>5722</v>
      </c>
      <c r="B12790" s="4" t="s">
        <v>44</v>
      </c>
      <c r="C12790" s="38" t="s">
        <v>7453</v>
      </c>
      <c r="D12790" s="18">
        <v>2022</v>
      </c>
      <c r="E12790" s="18" t="s">
        <v>0</v>
      </c>
      <c r="F12790" s="41">
        <v>1</v>
      </c>
      <c r="G12790" s="4">
        <v>15</v>
      </c>
      <c r="H12790" s="18">
        <v>22.613</v>
      </c>
      <c r="I12790" s="90"/>
      <c r="J12790" s="90"/>
    </row>
    <row r="12791" spans="1:10" s="15" customFormat="1" ht="16.5" hidden="1" customHeight="1" outlineLevel="1" x14ac:dyDescent="0.25">
      <c r="A12791" s="18">
        <v>5723</v>
      </c>
      <c r="B12791" s="4" t="s">
        <v>44</v>
      </c>
      <c r="C12791" s="38" t="s">
        <v>7454</v>
      </c>
      <c r="D12791" s="18">
        <v>2022</v>
      </c>
      <c r="E12791" s="18" t="s">
        <v>0</v>
      </c>
      <c r="F12791" s="41">
        <v>1</v>
      </c>
      <c r="G12791" s="4">
        <v>10</v>
      </c>
      <c r="H12791" s="18">
        <v>23.396000000000001</v>
      </c>
      <c r="I12791" s="90"/>
      <c r="J12791" s="90"/>
    </row>
    <row r="12792" spans="1:10" s="15" customFormat="1" ht="16.5" hidden="1" customHeight="1" outlineLevel="1" x14ac:dyDescent="0.25">
      <c r="A12792" s="18">
        <v>5725</v>
      </c>
      <c r="B12792" s="4" t="s">
        <v>44</v>
      </c>
      <c r="C12792" s="38" t="s">
        <v>7455</v>
      </c>
      <c r="D12792" s="18">
        <v>2022</v>
      </c>
      <c r="E12792" s="18" t="s">
        <v>0</v>
      </c>
      <c r="F12792" s="41">
        <v>1</v>
      </c>
      <c r="G12792" s="4">
        <v>15</v>
      </c>
      <c r="H12792" s="18">
        <v>20.687999999999999</v>
      </c>
      <c r="I12792" s="90"/>
      <c r="J12792" s="90"/>
    </row>
    <row r="12793" spans="1:10" s="15" customFormat="1" ht="16.5" hidden="1" customHeight="1" outlineLevel="1" x14ac:dyDescent="0.25">
      <c r="A12793" s="18">
        <v>5730</v>
      </c>
      <c r="B12793" s="4" t="s">
        <v>44</v>
      </c>
      <c r="C12793" s="38" t="s">
        <v>7456</v>
      </c>
      <c r="D12793" s="18">
        <v>2022</v>
      </c>
      <c r="E12793" s="18" t="s">
        <v>0</v>
      </c>
      <c r="F12793" s="41">
        <v>1</v>
      </c>
      <c r="G12793" s="4">
        <v>12</v>
      </c>
      <c r="H12793" s="18">
        <v>17.532</v>
      </c>
      <c r="I12793" s="90"/>
      <c r="J12793" s="90"/>
    </row>
    <row r="12794" spans="1:10" s="15" customFormat="1" ht="16.5" hidden="1" customHeight="1" outlineLevel="1" x14ac:dyDescent="0.25">
      <c r="A12794" s="18">
        <v>5731</v>
      </c>
      <c r="B12794" s="4" t="s">
        <v>44</v>
      </c>
      <c r="C12794" s="38" t="s">
        <v>7457</v>
      </c>
      <c r="D12794" s="18">
        <v>2022</v>
      </c>
      <c r="E12794" s="18" t="s">
        <v>0</v>
      </c>
      <c r="F12794" s="41">
        <v>1</v>
      </c>
      <c r="G12794" s="4">
        <v>15</v>
      </c>
      <c r="H12794" s="18">
        <v>18.347000000000001</v>
      </c>
      <c r="I12794" s="90"/>
      <c r="J12794" s="90"/>
    </row>
    <row r="12795" spans="1:10" s="15" customFormat="1" ht="16.5" hidden="1" customHeight="1" outlineLevel="1" x14ac:dyDescent="0.25">
      <c r="A12795" s="18">
        <v>5735</v>
      </c>
      <c r="B12795" s="4" t="s">
        <v>44</v>
      </c>
      <c r="C12795" s="38" t="s">
        <v>7458</v>
      </c>
      <c r="D12795" s="18">
        <v>2022</v>
      </c>
      <c r="E12795" s="18" t="s">
        <v>0</v>
      </c>
      <c r="F12795" s="41">
        <v>1</v>
      </c>
      <c r="G12795" s="4">
        <v>15</v>
      </c>
      <c r="H12795" s="18">
        <v>21.686</v>
      </c>
      <c r="I12795" s="90"/>
      <c r="J12795" s="90"/>
    </row>
    <row r="12796" spans="1:10" s="15" customFormat="1" ht="16.5" hidden="1" customHeight="1" outlineLevel="1" x14ac:dyDescent="0.25">
      <c r="A12796" s="18">
        <v>5740</v>
      </c>
      <c r="B12796" s="4" t="s">
        <v>44</v>
      </c>
      <c r="C12796" s="38" t="s">
        <v>7459</v>
      </c>
      <c r="D12796" s="18">
        <v>2022</v>
      </c>
      <c r="E12796" s="18" t="s">
        <v>0</v>
      </c>
      <c r="F12796" s="41">
        <v>1</v>
      </c>
      <c r="G12796" s="4">
        <v>12</v>
      </c>
      <c r="H12796" s="18">
        <v>18.8</v>
      </c>
      <c r="I12796" s="90"/>
      <c r="J12796" s="90"/>
    </row>
    <row r="12797" spans="1:10" s="15" customFormat="1" ht="16.5" hidden="1" customHeight="1" outlineLevel="1" x14ac:dyDescent="0.25">
      <c r="A12797" s="18">
        <v>5741</v>
      </c>
      <c r="B12797" s="4" t="s">
        <v>44</v>
      </c>
      <c r="C12797" s="38" t="s">
        <v>7460</v>
      </c>
      <c r="D12797" s="18">
        <v>2022</v>
      </c>
      <c r="E12797" s="18" t="s">
        <v>0</v>
      </c>
      <c r="F12797" s="41">
        <v>1</v>
      </c>
      <c r="G12797" s="4">
        <v>1.2</v>
      </c>
      <c r="H12797" s="18">
        <v>18.498000000000001</v>
      </c>
      <c r="I12797" s="90"/>
      <c r="J12797" s="90"/>
    </row>
    <row r="12798" spans="1:10" s="15" customFormat="1" ht="16.5" hidden="1" customHeight="1" outlineLevel="1" x14ac:dyDescent="0.25">
      <c r="A12798" s="18">
        <v>5744</v>
      </c>
      <c r="B12798" s="4" t="s">
        <v>44</v>
      </c>
      <c r="C12798" s="38" t="s">
        <v>7461</v>
      </c>
      <c r="D12798" s="18">
        <v>2022</v>
      </c>
      <c r="E12798" s="18" t="s">
        <v>0</v>
      </c>
      <c r="F12798" s="41">
        <v>1</v>
      </c>
      <c r="G12798" s="4">
        <v>15</v>
      </c>
      <c r="H12798" s="18">
        <v>20.151</v>
      </c>
      <c r="I12798" s="90"/>
      <c r="J12798" s="90"/>
    </row>
    <row r="12799" spans="1:10" s="15" customFormat="1" ht="16.5" hidden="1" customHeight="1" outlineLevel="1" x14ac:dyDescent="0.25">
      <c r="A12799" s="18">
        <v>5745</v>
      </c>
      <c r="B12799" s="4" t="s">
        <v>44</v>
      </c>
      <c r="C12799" s="38" t="s">
        <v>7462</v>
      </c>
      <c r="D12799" s="18">
        <v>2022</v>
      </c>
      <c r="E12799" s="18" t="s">
        <v>0</v>
      </c>
      <c r="F12799" s="41">
        <v>1</v>
      </c>
      <c r="G12799" s="4">
        <v>7</v>
      </c>
      <c r="H12799" s="18">
        <v>18.498000000000001</v>
      </c>
      <c r="I12799" s="90"/>
      <c r="J12799" s="90"/>
    </row>
    <row r="12800" spans="1:10" s="15" customFormat="1" ht="16.5" hidden="1" customHeight="1" outlineLevel="1" x14ac:dyDescent="0.25">
      <c r="A12800" s="18">
        <v>5746</v>
      </c>
      <c r="B12800" s="4" t="s">
        <v>44</v>
      </c>
      <c r="C12800" s="38" t="s">
        <v>7463</v>
      </c>
      <c r="D12800" s="18">
        <v>2022</v>
      </c>
      <c r="E12800" s="18" t="s">
        <v>0</v>
      </c>
      <c r="F12800" s="41">
        <v>1</v>
      </c>
      <c r="G12800" s="4">
        <v>15</v>
      </c>
      <c r="H12800" s="18">
        <v>21.006</v>
      </c>
      <c r="I12800" s="90"/>
      <c r="J12800" s="90"/>
    </row>
    <row r="12801" spans="1:10" s="15" customFormat="1" ht="16.5" hidden="1" customHeight="1" outlineLevel="1" x14ac:dyDescent="0.25">
      <c r="A12801" s="18">
        <v>5749</v>
      </c>
      <c r="B12801" s="4" t="s">
        <v>44</v>
      </c>
      <c r="C12801" s="38" t="s">
        <v>2935</v>
      </c>
      <c r="D12801" s="18">
        <v>2022</v>
      </c>
      <c r="E12801" s="18" t="s">
        <v>0</v>
      </c>
      <c r="F12801" s="41">
        <v>1</v>
      </c>
      <c r="G12801" s="4">
        <v>150</v>
      </c>
      <c r="H12801" s="18">
        <v>68.465999999999994</v>
      </c>
      <c r="I12801" s="90"/>
      <c r="J12801" s="90"/>
    </row>
    <row r="12802" spans="1:10" s="15" customFormat="1" ht="16.5" hidden="1" customHeight="1" outlineLevel="1" x14ac:dyDescent="0.25">
      <c r="A12802" s="18">
        <v>5750</v>
      </c>
      <c r="B12802" s="4" t="s">
        <v>44</v>
      </c>
      <c r="C12802" s="38" t="s">
        <v>7464</v>
      </c>
      <c r="D12802" s="18">
        <v>2022</v>
      </c>
      <c r="E12802" s="18" t="s">
        <v>0</v>
      </c>
      <c r="F12802" s="41" t="s">
        <v>1109</v>
      </c>
      <c r="G12802" s="4">
        <v>15</v>
      </c>
      <c r="H12802" s="18">
        <v>16.802</v>
      </c>
      <c r="I12802" s="90"/>
      <c r="J12802" s="90"/>
    </row>
    <row r="12803" spans="1:10" s="15" customFormat="1" ht="16.5" hidden="1" customHeight="1" outlineLevel="1" x14ac:dyDescent="0.25">
      <c r="A12803" s="18">
        <v>5751</v>
      </c>
      <c r="B12803" s="4" t="s">
        <v>44</v>
      </c>
      <c r="C12803" s="38" t="s">
        <v>7465</v>
      </c>
      <c r="D12803" s="18">
        <v>2022</v>
      </c>
      <c r="E12803" s="18" t="s">
        <v>0</v>
      </c>
      <c r="F12803" s="41" t="s">
        <v>1109</v>
      </c>
      <c r="G12803" s="4">
        <v>15</v>
      </c>
      <c r="H12803" s="18">
        <v>17.797999999999998</v>
      </c>
      <c r="I12803" s="90"/>
      <c r="J12803" s="90"/>
    </row>
    <row r="12804" spans="1:10" s="15" customFormat="1" ht="16.5" hidden="1" customHeight="1" outlineLevel="1" x14ac:dyDescent="0.25">
      <c r="A12804" s="18">
        <v>5752</v>
      </c>
      <c r="B12804" s="4" t="s">
        <v>44</v>
      </c>
      <c r="C12804" s="38" t="s">
        <v>7466</v>
      </c>
      <c r="D12804" s="18">
        <v>2022</v>
      </c>
      <c r="E12804" s="18" t="s">
        <v>0</v>
      </c>
      <c r="F12804" s="41" t="s">
        <v>1109</v>
      </c>
      <c r="G12804" s="4">
        <v>5</v>
      </c>
      <c r="H12804" s="18">
        <v>18.696999999999999</v>
      </c>
      <c r="I12804" s="90"/>
      <c r="J12804" s="90"/>
    </row>
    <row r="12805" spans="1:10" s="15" customFormat="1" ht="16.5" hidden="1" customHeight="1" outlineLevel="1" x14ac:dyDescent="0.25">
      <c r="A12805" s="18">
        <v>5753</v>
      </c>
      <c r="B12805" s="4" t="s">
        <v>44</v>
      </c>
      <c r="C12805" s="38" t="s">
        <v>7467</v>
      </c>
      <c r="D12805" s="18">
        <v>2022</v>
      </c>
      <c r="E12805" s="18" t="s">
        <v>0</v>
      </c>
      <c r="F12805" s="41" t="s">
        <v>1109</v>
      </c>
      <c r="G12805" s="4">
        <v>15</v>
      </c>
      <c r="H12805" s="18">
        <v>20.303999999999998</v>
      </c>
      <c r="I12805" s="90"/>
      <c r="J12805" s="90"/>
    </row>
    <row r="12806" spans="1:10" s="15" customFormat="1" ht="16.5" hidden="1" customHeight="1" outlineLevel="1" x14ac:dyDescent="0.25">
      <c r="A12806" s="18">
        <v>5754</v>
      </c>
      <c r="B12806" s="4" t="s">
        <v>44</v>
      </c>
      <c r="C12806" s="38" t="s">
        <v>7468</v>
      </c>
      <c r="D12806" s="18">
        <v>2022</v>
      </c>
      <c r="E12806" s="18" t="s">
        <v>0</v>
      </c>
      <c r="F12806" s="41" t="s">
        <v>1109</v>
      </c>
      <c r="G12806" s="4">
        <v>12</v>
      </c>
      <c r="H12806" s="18">
        <v>17.532</v>
      </c>
      <c r="I12806" s="90"/>
      <c r="J12806" s="90"/>
    </row>
    <row r="12807" spans="1:10" s="15" customFormat="1" ht="16.5" hidden="1" customHeight="1" outlineLevel="1" x14ac:dyDescent="0.25">
      <c r="A12807" s="18">
        <v>5756</v>
      </c>
      <c r="B12807" s="4" t="s">
        <v>44</v>
      </c>
      <c r="C12807" s="38" t="s">
        <v>7469</v>
      </c>
      <c r="D12807" s="18">
        <v>2022</v>
      </c>
      <c r="E12807" s="18" t="s">
        <v>0</v>
      </c>
      <c r="F12807" s="41" t="s">
        <v>1109</v>
      </c>
      <c r="G12807" s="4">
        <v>15</v>
      </c>
      <c r="H12807" s="18">
        <v>20.721</v>
      </c>
      <c r="I12807" s="90"/>
      <c r="J12807" s="90"/>
    </row>
    <row r="12808" spans="1:10" s="15" customFormat="1" ht="16.5" hidden="1" customHeight="1" outlineLevel="1" x14ac:dyDescent="0.25">
      <c r="A12808" s="18">
        <v>5757</v>
      </c>
      <c r="B12808" s="4" t="s">
        <v>44</v>
      </c>
      <c r="C12808" s="38" t="s">
        <v>7470</v>
      </c>
      <c r="D12808" s="18">
        <v>2022</v>
      </c>
      <c r="E12808" s="18" t="s">
        <v>0</v>
      </c>
      <c r="F12808" s="41" t="s">
        <v>1109</v>
      </c>
      <c r="G12808" s="4">
        <v>12</v>
      </c>
      <c r="H12808" s="18">
        <v>17.623000000000001</v>
      </c>
      <c r="I12808" s="90"/>
      <c r="J12808" s="90"/>
    </row>
    <row r="12809" spans="1:10" s="15" customFormat="1" ht="16.5" hidden="1" customHeight="1" outlineLevel="1" x14ac:dyDescent="0.25">
      <c r="A12809" s="18">
        <v>5759</v>
      </c>
      <c r="B12809" s="4" t="s">
        <v>44</v>
      </c>
      <c r="C12809" s="38" t="s">
        <v>7471</v>
      </c>
      <c r="D12809" s="18">
        <v>2022</v>
      </c>
      <c r="E12809" s="18" t="s">
        <v>0</v>
      </c>
      <c r="F12809" s="41" t="s">
        <v>1109</v>
      </c>
      <c r="G12809" s="4">
        <v>15</v>
      </c>
      <c r="H12809" s="18">
        <v>19.649000000000001</v>
      </c>
      <c r="I12809" s="90"/>
      <c r="J12809" s="90"/>
    </row>
    <row r="12810" spans="1:10" s="15" customFormat="1" ht="16.5" hidden="1" customHeight="1" outlineLevel="1" x14ac:dyDescent="0.25">
      <c r="A12810" s="18">
        <v>5761</v>
      </c>
      <c r="B12810" s="4" t="s">
        <v>44</v>
      </c>
      <c r="C12810" s="38" t="s">
        <v>7472</v>
      </c>
      <c r="D12810" s="18">
        <v>2022</v>
      </c>
      <c r="E12810" s="18" t="s">
        <v>0</v>
      </c>
      <c r="F12810" s="41">
        <v>1</v>
      </c>
      <c r="G12810" s="4">
        <v>15</v>
      </c>
      <c r="H12810" s="18">
        <v>21.148</v>
      </c>
      <c r="I12810" s="90"/>
      <c r="J12810" s="90"/>
    </row>
    <row r="12811" spans="1:10" s="15" customFormat="1" ht="16.5" hidden="1" customHeight="1" outlineLevel="1" x14ac:dyDescent="0.25">
      <c r="A12811" s="18">
        <v>5774</v>
      </c>
      <c r="B12811" s="4" t="s">
        <v>44</v>
      </c>
      <c r="C12811" s="38" t="s">
        <v>7473</v>
      </c>
      <c r="D12811" s="18">
        <v>2022</v>
      </c>
      <c r="E12811" s="18" t="s">
        <v>0</v>
      </c>
      <c r="F12811" s="41">
        <v>1</v>
      </c>
      <c r="G12811" s="4">
        <v>15</v>
      </c>
      <c r="H12811" s="18">
        <v>21.562000000000001</v>
      </c>
      <c r="I12811" s="90"/>
      <c r="J12811" s="90"/>
    </row>
    <row r="12812" spans="1:10" s="15" customFormat="1" ht="16.5" hidden="1" customHeight="1" outlineLevel="1" x14ac:dyDescent="0.25">
      <c r="A12812" s="18">
        <v>5776</v>
      </c>
      <c r="B12812" s="4" t="s">
        <v>44</v>
      </c>
      <c r="C12812" s="38" t="s">
        <v>7474</v>
      </c>
      <c r="D12812" s="18">
        <v>2022</v>
      </c>
      <c r="E12812" s="18" t="s">
        <v>0</v>
      </c>
      <c r="F12812" s="41">
        <v>1</v>
      </c>
      <c r="G12812" s="4">
        <v>15</v>
      </c>
      <c r="H12812" s="18">
        <v>19.361999999999998</v>
      </c>
      <c r="I12812" s="90"/>
      <c r="J12812" s="90"/>
    </row>
    <row r="12813" spans="1:10" s="15" customFormat="1" ht="16.5" hidden="1" customHeight="1" outlineLevel="1" x14ac:dyDescent="0.25">
      <c r="A12813" s="18">
        <v>5778</v>
      </c>
      <c r="B12813" s="4" t="s">
        <v>44</v>
      </c>
      <c r="C12813" s="38" t="s">
        <v>7475</v>
      </c>
      <c r="D12813" s="18">
        <v>2022</v>
      </c>
      <c r="E12813" s="18" t="s">
        <v>0</v>
      </c>
      <c r="F12813" s="41">
        <v>1</v>
      </c>
      <c r="G12813" s="4">
        <v>15</v>
      </c>
      <c r="H12813" s="18">
        <v>19.553000000000001</v>
      </c>
      <c r="I12813" s="90"/>
      <c r="J12813" s="90"/>
    </row>
    <row r="12814" spans="1:10" s="15" customFormat="1" ht="16.5" hidden="1" customHeight="1" outlineLevel="1" x14ac:dyDescent="0.25">
      <c r="A12814" s="18">
        <v>5779</v>
      </c>
      <c r="B12814" s="4" t="s">
        <v>44</v>
      </c>
      <c r="C12814" s="38" t="s">
        <v>7476</v>
      </c>
      <c r="D12814" s="18">
        <v>2022</v>
      </c>
      <c r="E12814" s="18" t="s">
        <v>0</v>
      </c>
      <c r="F12814" s="41">
        <v>1</v>
      </c>
      <c r="G12814" s="4">
        <v>12</v>
      </c>
      <c r="H12814" s="18">
        <v>21.148</v>
      </c>
      <c r="I12814" s="90"/>
      <c r="J12814" s="90"/>
    </row>
    <row r="12815" spans="1:10" s="15" customFormat="1" ht="16.5" hidden="1" customHeight="1" outlineLevel="1" x14ac:dyDescent="0.25">
      <c r="A12815" s="18">
        <v>5780</v>
      </c>
      <c r="B12815" s="4" t="s">
        <v>44</v>
      </c>
      <c r="C12815" s="38" t="s">
        <v>7477</v>
      </c>
      <c r="D12815" s="18">
        <v>2022</v>
      </c>
      <c r="E12815" s="18" t="s">
        <v>0</v>
      </c>
      <c r="F12815" s="41">
        <v>1</v>
      </c>
      <c r="G12815" s="4">
        <v>15</v>
      </c>
      <c r="H12815" s="18">
        <v>20.318999999999999</v>
      </c>
      <c r="I12815" s="90"/>
      <c r="J12815" s="90"/>
    </row>
    <row r="12816" spans="1:10" s="15" customFormat="1" ht="16.5" hidden="1" customHeight="1" outlineLevel="1" x14ac:dyDescent="0.25">
      <c r="A12816" s="18">
        <v>5783</v>
      </c>
      <c r="B12816" s="4" t="s">
        <v>44</v>
      </c>
      <c r="C12816" s="38" t="s">
        <v>7478</v>
      </c>
      <c r="D12816" s="18">
        <v>2022</v>
      </c>
      <c r="E12816" s="18" t="s">
        <v>0</v>
      </c>
      <c r="F12816" s="41">
        <v>1</v>
      </c>
      <c r="G12816" s="4">
        <v>10</v>
      </c>
      <c r="H12816" s="18">
        <v>18.696999999999999</v>
      </c>
      <c r="I12816" s="90"/>
      <c r="J12816" s="90"/>
    </row>
    <row r="12817" spans="1:10" s="15" customFormat="1" ht="16.5" hidden="1" customHeight="1" outlineLevel="1" x14ac:dyDescent="0.25">
      <c r="A12817" s="18">
        <v>5787</v>
      </c>
      <c r="B12817" s="4" t="s">
        <v>44</v>
      </c>
      <c r="C12817" s="38" t="s">
        <v>7479</v>
      </c>
      <c r="D12817" s="18">
        <v>2022</v>
      </c>
      <c r="E12817" s="18" t="s">
        <v>0</v>
      </c>
      <c r="F12817" s="41">
        <v>1</v>
      </c>
      <c r="G12817" s="4">
        <v>15</v>
      </c>
      <c r="H12817" s="18">
        <v>19.631</v>
      </c>
      <c r="I12817" s="90"/>
      <c r="J12817" s="90"/>
    </row>
    <row r="12818" spans="1:10" s="15" customFormat="1" ht="16.5" hidden="1" customHeight="1" outlineLevel="1" x14ac:dyDescent="0.25">
      <c r="A12818" s="18">
        <v>5789</v>
      </c>
      <c r="B12818" s="4" t="s">
        <v>44</v>
      </c>
      <c r="C12818" s="38" t="s">
        <v>7480</v>
      </c>
      <c r="D12818" s="18">
        <v>2022</v>
      </c>
      <c r="E12818" s="18" t="s">
        <v>0</v>
      </c>
      <c r="F12818" s="41">
        <v>1</v>
      </c>
      <c r="G12818" s="4">
        <v>15</v>
      </c>
      <c r="H12818" s="18">
        <v>19.991</v>
      </c>
      <c r="I12818" s="90"/>
      <c r="J12818" s="90"/>
    </row>
    <row r="12819" spans="1:10" s="15" customFormat="1" ht="16.5" hidden="1" customHeight="1" outlineLevel="1" x14ac:dyDescent="0.25">
      <c r="A12819" s="18">
        <v>5790</v>
      </c>
      <c r="B12819" s="4" t="s">
        <v>44</v>
      </c>
      <c r="C12819" s="38" t="s">
        <v>7481</v>
      </c>
      <c r="D12819" s="18">
        <v>2022</v>
      </c>
      <c r="E12819" s="18" t="s">
        <v>0</v>
      </c>
      <c r="F12819" s="41">
        <v>1</v>
      </c>
      <c r="G12819" s="4">
        <v>15</v>
      </c>
      <c r="H12819" s="18">
        <v>19.991</v>
      </c>
      <c r="I12819" s="90"/>
      <c r="J12819" s="90"/>
    </row>
    <row r="12820" spans="1:10" s="15" customFormat="1" ht="16.5" hidden="1" customHeight="1" outlineLevel="1" x14ac:dyDescent="0.25">
      <c r="A12820" s="18">
        <v>5791</v>
      </c>
      <c r="B12820" s="4" t="s">
        <v>44</v>
      </c>
      <c r="C12820" s="38" t="s">
        <v>7482</v>
      </c>
      <c r="D12820" s="18">
        <v>2022</v>
      </c>
      <c r="E12820" s="18" t="s">
        <v>0</v>
      </c>
      <c r="F12820" s="41">
        <v>1</v>
      </c>
      <c r="G12820" s="4">
        <v>15</v>
      </c>
      <c r="H12820" s="18">
        <v>19.795000000000002</v>
      </c>
      <c r="I12820" s="90"/>
      <c r="J12820" s="90"/>
    </row>
    <row r="12821" spans="1:10" s="15" customFormat="1" ht="16.5" hidden="1" customHeight="1" outlineLevel="1" x14ac:dyDescent="0.25">
      <c r="A12821" s="18">
        <v>5792</v>
      </c>
      <c r="B12821" s="4" t="s">
        <v>44</v>
      </c>
      <c r="C12821" s="38" t="s">
        <v>7483</v>
      </c>
      <c r="D12821" s="18">
        <v>2022</v>
      </c>
      <c r="E12821" s="18" t="s">
        <v>0</v>
      </c>
      <c r="F12821" s="41">
        <v>1</v>
      </c>
      <c r="G12821" s="4">
        <v>15</v>
      </c>
      <c r="H12821" s="18">
        <v>18.498000000000001</v>
      </c>
      <c r="I12821" s="90"/>
      <c r="J12821" s="90"/>
    </row>
    <row r="12822" spans="1:10" s="15" customFormat="1" ht="16.5" hidden="1" customHeight="1" outlineLevel="1" x14ac:dyDescent="0.25">
      <c r="A12822" s="18">
        <v>5793</v>
      </c>
      <c r="B12822" s="4" t="s">
        <v>44</v>
      </c>
      <c r="C12822" s="38" t="s">
        <v>7484</v>
      </c>
      <c r="D12822" s="18">
        <v>2022</v>
      </c>
      <c r="E12822" s="18" t="s">
        <v>0</v>
      </c>
      <c r="F12822" s="41">
        <v>1</v>
      </c>
      <c r="G12822" s="4">
        <v>10</v>
      </c>
      <c r="H12822" s="18">
        <v>18.696999999999999</v>
      </c>
      <c r="I12822" s="90"/>
      <c r="J12822" s="90"/>
    </row>
    <row r="12823" spans="1:10" s="15" customFormat="1" ht="16.5" hidden="1" customHeight="1" outlineLevel="1" x14ac:dyDescent="0.25">
      <c r="A12823" s="18">
        <v>5795</v>
      </c>
      <c r="B12823" s="4" t="s">
        <v>44</v>
      </c>
      <c r="C12823" s="38" t="s">
        <v>7485</v>
      </c>
      <c r="D12823" s="18">
        <v>2022</v>
      </c>
      <c r="E12823" s="18" t="s">
        <v>0</v>
      </c>
      <c r="F12823" s="41">
        <v>1</v>
      </c>
      <c r="G12823" s="4">
        <v>15</v>
      </c>
      <c r="H12823" s="18">
        <v>19.795000000000002</v>
      </c>
      <c r="I12823" s="90"/>
      <c r="J12823" s="90"/>
    </row>
    <row r="12824" spans="1:10" s="15" customFormat="1" ht="16.5" hidden="1" customHeight="1" outlineLevel="1" x14ac:dyDescent="0.25">
      <c r="A12824" s="18">
        <v>5797</v>
      </c>
      <c r="B12824" s="4" t="s">
        <v>44</v>
      </c>
      <c r="C12824" s="38" t="s">
        <v>7486</v>
      </c>
      <c r="D12824" s="18">
        <v>2022</v>
      </c>
      <c r="E12824" s="18" t="s">
        <v>0</v>
      </c>
      <c r="F12824" s="41">
        <v>1</v>
      </c>
      <c r="G12824" s="4">
        <v>15</v>
      </c>
      <c r="H12824" s="18">
        <v>19.795000000000002</v>
      </c>
      <c r="I12824" s="90"/>
      <c r="J12824" s="90"/>
    </row>
    <row r="12825" spans="1:10" s="15" customFormat="1" ht="16.5" hidden="1" customHeight="1" outlineLevel="1" x14ac:dyDescent="0.25">
      <c r="A12825" s="18">
        <v>5801</v>
      </c>
      <c r="B12825" s="4" t="s">
        <v>44</v>
      </c>
      <c r="C12825" s="38" t="s">
        <v>7487</v>
      </c>
      <c r="D12825" s="18">
        <v>2022</v>
      </c>
      <c r="E12825" s="18" t="s">
        <v>0</v>
      </c>
      <c r="F12825" s="41">
        <v>1</v>
      </c>
      <c r="G12825" s="4">
        <v>15</v>
      </c>
      <c r="H12825" s="18">
        <v>20.736000000000001</v>
      </c>
      <c r="I12825" s="90"/>
      <c r="J12825" s="90"/>
    </row>
    <row r="12826" spans="1:10" s="15" customFormat="1" ht="16.5" hidden="1" customHeight="1" outlineLevel="1" x14ac:dyDescent="0.25">
      <c r="A12826" s="18">
        <v>5813</v>
      </c>
      <c r="B12826" s="4" t="s">
        <v>44</v>
      </c>
      <c r="C12826" s="38" t="s">
        <v>7488</v>
      </c>
      <c r="D12826" s="18">
        <v>2022</v>
      </c>
      <c r="E12826" s="18" t="s">
        <v>0</v>
      </c>
      <c r="F12826" s="41">
        <v>1</v>
      </c>
      <c r="G12826" s="4">
        <v>15</v>
      </c>
      <c r="H12826" s="18">
        <v>22.003</v>
      </c>
      <c r="I12826" s="90"/>
      <c r="J12826" s="90"/>
    </row>
    <row r="12827" spans="1:10" s="15" customFormat="1" ht="16.5" hidden="1" customHeight="1" outlineLevel="1" x14ac:dyDescent="0.25">
      <c r="A12827" s="18">
        <v>5822</v>
      </c>
      <c r="B12827" s="4" t="s">
        <v>44</v>
      </c>
      <c r="C12827" s="38" t="s">
        <v>7489</v>
      </c>
      <c r="D12827" s="18">
        <v>2022</v>
      </c>
      <c r="E12827" s="18" t="s">
        <v>0</v>
      </c>
      <c r="F12827" s="41">
        <v>1</v>
      </c>
      <c r="G12827" s="4">
        <v>15</v>
      </c>
      <c r="H12827" s="18">
        <v>20.510999999999999</v>
      </c>
      <c r="I12827" s="90"/>
      <c r="J12827" s="90"/>
    </row>
    <row r="12828" spans="1:10" s="15" customFormat="1" ht="16.5" hidden="1" customHeight="1" outlineLevel="1" x14ac:dyDescent="0.25">
      <c r="A12828" s="18">
        <v>5842</v>
      </c>
      <c r="B12828" s="4" t="s">
        <v>44</v>
      </c>
      <c r="C12828" s="38" t="s">
        <v>7490</v>
      </c>
      <c r="D12828" s="18">
        <v>2022</v>
      </c>
      <c r="E12828" s="18" t="s">
        <v>0</v>
      </c>
      <c r="F12828" s="41">
        <v>1</v>
      </c>
      <c r="G12828" s="4">
        <v>15</v>
      </c>
      <c r="H12828" s="18">
        <v>20.428999999999998</v>
      </c>
      <c r="I12828" s="90"/>
      <c r="J12828" s="90"/>
    </row>
    <row r="12829" spans="1:10" s="15" customFormat="1" ht="16.5" hidden="1" customHeight="1" outlineLevel="1" x14ac:dyDescent="0.25">
      <c r="A12829" s="18">
        <v>5897</v>
      </c>
      <c r="B12829" s="4" t="s">
        <v>44</v>
      </c>
      <c r="C12829" s="38" t="s">
        <v>7491</v>
      </c>
      <c r="D12829" s="18">
        <v>2022</v>
      </c>
      <c r="E12829" s="18" t="s">
        <v>0</v>
      </c>
      <c r="F12829" s="41">
        <v>1</v>
      </c>
      <c r="G12829" s="4">
        <v>15</v>
      </c>
      <c r="H12829" s="18">
        <v>37.923000000000002</v>
      </c>
      <c r="I12829" s="90"/>
      <c r="J12829" s="90"/>
    </row>
    <row r="12830" spans="1:10" s="15" customFormat="1" ht="16.5" hidden="1" customHeight="1" outlineLevel="1" x14ac:dyDescent="0.25">
      <c r="A12830" s="18">
        <v>5901</v>
      </c>
      <c r="B12830" s="4" t="s">
        <v>44</v>
      </c>
      <c r="C12830" s="38" t="s">
        <v>7492</v>
      </c>
      <c r="D12830" s="18">
        <v>2022</v>
      </c>
      <c r="E12830" s="18" t="s">
        <v>0</v>
      </c>
      <c r="F12830" s="41">
        <v>1</v>
      </c>
      <c r="G12830" s="4">
        <v>15</v>
      </c>
      <c r="H12830" s="18">
        <v>21.715</v>
      </c>
      <c r="I12830" s="90"/>
      <c r="J12830" s="90"/>
    </row>
    <row r="12831" spans="1:10" s="15" customFormat="1" ht="16.5" hidden="1" customHeight="1" outlineLevel="1" x14ac:dyDescent="0.25">
      <c r="A12831" s="18">
        <v>5902</v>
      </c>
      <c r="B12831" s="4" t="s">
        <v>44</v>
      </c>
      <c r="C12831" s="38" t="s">
        <v>2530</v>
      </c>
      <c r="D12831" s="18">
        <v>2022</v>
      </c>
      <c r="E12831" s="18" t="s">
        <v>0</v>
      </c>
      <c r="F12831" s="41">
        <v>1</v>
      </c>
      <c r="G12831" s="4">
        <v>15</v>
      </c>
      <c r="H12831" s="18">
        <v>70.405000000000001</v>
      </c>
      <c r="I12831" s="90"/>
      <c r="J12831" s="90"/>
    </row>
    <row r="12832" spans="1:10" s="15" customFormat="1" ht="16.5" hidden="1" customHeight="1" outlineLevel="1" x14ac:dyDescent="0.25">
      <c r="A12832" s="18">
        <v>5903</v>
      </c>
      <c r="B12832" s="4" t="s">
        <v>44</v>
      </c>
      <c r="C12832" s="38" t="s">
        <v>2531</v>
      </c>
      <c r="D12832" s="18">
        <v>2022</v>
      </c>
      <c r="E12832" s="18" t="s">
        <v>0</v>
      </c>
      <c r="F12832" s="41">
        <v>1</v>
      </c>
      <c r="G12832" s="4">
        <v>15</v>
      </c>
      <c r="H12832" s="18">
        <v>71.159000000000006</v>
      </c>
      <c r="I12832" s="90"/>
      <c r="J12832" s="90"/>
    </row>
    <row r="12833" spans="1:10" s="15" customFormat="1" ht="16.5" hidden="1" customHeight="1" outlineLevel="1" x14ac:dyDescent="0.25">
      <c r="A12833" s="18">
        <v>5904</v>
      </c>
      <c r="B12833" s="4" t="s">
        <v>44</v>
      </c>
      <c r="C12833" s="38" t="s">
        <v>2532</v>
      </c>
      <c r="D12833" s="18">
        <v>2022</v>
      </c>
      <c r="E12833" s="18" t="s">
        <v>0</v>
      </c>
      <c r="F12833" s="41">
        <v>1</v>
      </c>
      <c r="G12833" s="4">
        <v>15</v>
      </c>
      <c r="H12833" s="18">
        <v>73.631</v>
      </c>
      <c r="I12833" s="90"/>
      <c r="J12833" s="90"/>
    </row>
    <row r="12834" spans="1:10" s="15" customFormat="1" ht="16.5" hidden="1" customHeight="1" outlineLevel="1" x14ac:dyDescent="0.25">
      <c r="A12834" s="18">
        <v>5474</v>
      </c>
      <c r="B12834" s="4" t="s">
        <v>44</v>
      </c>
      <c r="C12834" s="38" t="s">
        <v>7493</v>
      </c>
      <c r="D12834" s="18">
        <v>2022</v>
      </c>
      <c r="E12834" s="18" t="s">
        <v>0</v>
      </c>
      <c r="F12834" s="41">
        <v>1</v>
      </c>
      <c r="G12834" s="4">
        <v>8.41</v>
      </c>
      <c r="H12834" s="18">
        <v>28.477</v>
      </c>
      <c r="I12834" s="90"/>
      <c r="J12834" s="90"/>
    </row>
    <row r="12835" spans="1:10" s="15" customFormat="1" ht="16.5" hidden="1" customHeight="1" outlineLevel="1" x14ac:dyDescent="0.25">
      <c r="A12835" s="18">
        <v>5491</v>
      </c>
      <c r="B12835" s="4" t="s">
        <v>44</v>
      </c>
      <c r="C12835" s="38" t="s">
        <v>1607</v>
      </c>
      <c r="D12835" s="18">
        <v>2022</v>
      </c>
      <c r="E12835" s="18" t="s">
        <v>0</v>
      </c>
      <c r="F12835" s="41">
        <v>1</v>
      </c>
      <c r="G12835" s="4">
        <v>3.12</v>
      </c>
      <c r="H12835" s="18">
        <v>23.353000000000002</v>
      </c>
      <c r="I12835" s="90"/>
      <c r="J12835" s="90"/>
    </row>
    <row r="12836" spans="1:10" s="15" customFormat="1" ht="16.5" hidden="1" customHeight="1" outlineLevel="1" x14ac:dyDescent="0.25">
      <c r="A12836" s="18">
        <v>5618</v>
      </c>
      <c r="B12836" s="4" t="s">
        <v>44</v>
      </c>
      <c r="C12836" s="38" t="s">
        <v>7494</v>
      </c>
      <c r="D12836" s="18">
        <v>2022</v>
      </c>
      <c r="E12836" s="18" t="s">
        <v>0</v>
      </c>
      <c r="F12836" s="41">
        <v>1</v>
      </c>
      <c r="G12836" s="4">
        <v>12.9</v>
      </c>
      <c r="H12836" s="18">
        <v>25.831</v>
      </c>
      <c r="I12836" s="90"/>
      <c r="J12836" s="90"/>
    </row>
    <row r="12837" spans="1:10" s="15" customFormat="1" ht="16.5" hidden="1" customHeight="1" outlineLevel="1" x14ac:dyDescent="0.25">
      <c r="A12837" s="18">
        <v>5624</v>
      </c>
      <c r="B12837" s="4" t="s">
        <v>44</v>
      </c>
      <c r="C12837" s="38" t="s">
        <v>2533</v>
      </c>
      <c r="D12837" s="18">
        <v>2022</v>
      </c>
      <c r="E12837" s="18" t="s">
        <v>0</v>
      </c>
      <c r="F12837" s="41">
        <v>1</v>
      </c>
      <c r="G12837" s="4">
        <v>10</v>
      </c>
      <c r="H12837" s="18">
        <v>59.959000000000003</v>
      </c>
      <c r="I12837" s="90"/>
      <c r="J12837" s="90"/>
    </row>
    <row r="12838" spans="1:10" s="15" customFormat="1" ht="16.5" hidden="1" customHeight="1" outlineLevel="1" x14ac:dyDescent="0.25">
      <c r="A12838" s="18">
        <v>5724</v>
      </c>
      <c r="B12838" s="4" t="s">
        <v>44</v>
      </c>
      <c r="C12838" s="38" t="s">
        <v>7495</v>
      </c>
      <c r="D12838" s="18">
        <v>2022</v>
      </c>
      <c r="E12838" s="18" t="s">
        <v>0</v>
      </c>
      <c r="F12838" s="41">
        <v>1</v>
      </c>
      <c r="G12838" s="4">
        <v>15</v>
      </c>
      <c r="H12838" s="18">
        <v>23.742000000000001</v>
      </c>
      <c r="I12838" s="90"/>
      <c r="J12838" s="90"/>
    </row>
    <row r="12839" spans="1:10" s="15" customFormat="1" ht="16.5" hidden="1" customHeight="1" outlineLevel="1" x14ac:dyDescent="0.25">
      <c r="A12839" s="18">
        <v>5727</v>
      </c>
      <c r="B12839" s="4" t="s">
        <v>44</v>
      </c>
      <c r="C12839" s="38" t="s">
        <v>2534</v>
      </c>
      <c r="D12839" s="18">
        <v>2022</v>
      </c>
      <c r="E12839" s="18" t="s">
        <v>0</v>
      </c>
      <c r="F12839" s="41">
        <v>1</v>
      </c>
      <c r="G12839" s="4">
        <v>10</v>
      </c>
      <c r="H12839" s="18">
        <v>64.328000000000003</v>
      </c>
      <c r="I12839" s="90"/>
      <c r="J12839" s="90"/>
    </row>
    <row r="12840" spans="1:10" s="15" customFormat="1" ht="16.5" hidden="1" customHeight="1" outlineLevel="1" x14ac:dyDescent="0.25">
      <c r="A12840" s="18">
        <v>5736</v>
      </c>
      <c r="B12840" s="4" t="s">
        <v>44</v>
      </c>
      <c r="C12840" s="38" t="s">
        <v>7496</v>
      </c>
      <c r="D12840" s="18">
        <v>2022</v>
      </c>
      <c r="E12840" s="18" t="s">
        <v>0</v>
      </c>
      <c r="F12840" s="41">
        <v>1</v>
      </c>
      <c r="G12840" s="4">
        <v>15</v>
      </c>
      <c r="H12840" s="18">
        <v>17.398</v>
      </c>
      <c r="I12840" s="90"/>
      <c r="J12840" s="90"/>
    </row>
    <row r="12841" spans="1:10" s="15" customFormat="1" ht="16.5" hidden="1" customHeight="1" outlineLevel="1" x14ac:dyDescent="0.25">
      <c r="A12841" s="18">
        <v>5804</v>
      </c>
      <c r="B12841" s="4" t="s">
        <v>44</v>
      </c>
      <c r="C12841" s="38" t="s">
        <v>7497</v>
      </c>
      <c r="D12841" s="18">
        <v>2022</v>
      </c>
      <c r="E12841" s="18" t="s">
        <v>0</v>
      </c>
      <c r="F12841" s="41">
        <v>1</v>
      </c>
      <c r="G12841" s="4">
        <v>9</v>
      </c>
      <c r="H12841" s="18">
        <v>18.917000000000002</v>
      </c>
      <c r="I12841" s="90"/>
      <c r="J12841" s="90"/>
    </row>
    <row r="12842" spans="1:10" s="15" customFormat="1" ht="16.5" hidden="1" customHeight="1" outlineLevel="1" x14ac:dyDescent="0.25">
      <c r="A12842" s="18">
        <v>5807</v>
      </c>
      <c r="B12842" s="4" t="s">
        <v>44</v>
      </c>
      <c r="C12842" s="38" t="s">
        <v>7498</v>
      </c>
      <c r="D12842" s="18">
        <v>2022</v>
      </c>
      <c r="E12842" s="18" t="s">
        <v>0</v>
      </c>
      <c r="F12842" s="41">
        <v>1</v>
      </c>
      <c r="G12842" s="4">
        <v>7.5</v>
      </c>
      <c r="H12842" s="18">
        <v>17.202000000000002</v>
      </c>
      <c r="I12842" s="90"/>
      <c r="J12842" s="90"/>
    </row>
    <row r="12843" spans="1:10" s="15" customFormat="1" ht="16.5" hidden="1" customHeight="1" outlineLevel="1" x14ac:dyDescent="0.25">
      <c r="A12843" s="18">
        <v>5808</v>
      </c>
      <c r="B12843" s="4" t="s">
        <v>44</v>
      </c>
      <c r="C12843" s="38" t="s">
        <v>7499</v>
      </c>
      <c r="D12843" s="18">
        <v>2022</v>
      </c>
      <c r="E12843" s="18" t="s">
        <v>0</v>
      </c>
      <c r="F12843" s="41">
        <v>1</v>
      </c>
      <c r="G12843" s="4">
        <v>7.5</v>
      </c>
      <c r="H12843" s="18">
        <v>17.202000000000002</v>
      </c>
      <c r="I12843" s="90"/>
      <c r="J12843" s="90"/>
    </row>
    <row r="12844" spans="1:10" s="15" customFormat="1" ht="16.5" hidden="1" customHeight="1" outlineLevel="1" x14ac:dyDescent="0.25">
      <c r="A12844" s="18">
        <v>5809</v>
      </c>
      <c r="B12844" s="4" t="s">
        <v>44</v>
      </c>
      <c r="C12844" s="38" t="s">
        <v>7500</v>
      </c>
      <c r="D12844" s="18">
        <v>2022</v>
      </c>
      <c r="E12844" s="18" t="s">
        <v>0</v>
      </c>
      <c r="F12844" s="41">
        <v>1</v>
      </c>
      <c r="G12844" s="4">
        <v>7.5</v>
      </c>
      <c r="H12844" s="18">
        <v>16.940000000000001</v>
      </c>
      <c r="I12844" s="90"/>
      <c r="J12844" s="90"/>
    </row>
    <row r="12845" spans="1:10" s="15" customFormat="1" ht="16.5" hidden="1" customHeight="1" outlineLevel="1" x14ac:dyDescent="0.25">
      <c r="A12845" s="18">
        <v>5817</v>
      </c>
      <c r="B12845" s="4" t="s">
        <v>44</v>
      </c>
      <c r="C12845" s="38" t="s">
        <v>7501</v>
      </c>
      <c r="D12845" s="18">
        <v>2022</v>
      </c>
      <c r="E12845" s="18" t="s">
        <v>0</v>
      </c>
      <c r="F12845" s="41">
        <v>1</v>
      </c>
      <c r="G12845" s="4">
        <v>6</v>
      </c>
      <c r="H12845" s="18">
        <v>16.940000000000001</v>
      </c>
      <c r="I12845" s="90"/>
      <c r="J12845" s="90"/>
    </row>
    <row r="12846" spans="1:10" s="15" customFormat="1" ht="16.5" hidden="1" customHeight="1" outlineLevel="1" x14ac:dyDescent="0.25">
      <c r="A12846" s="18">
        <v>5818</v>
      </c>
      <c r="B12846" s="4" t="s">
        <v>44</v>
      </c>
      <c r="C12846" s="38" t="s">
        <v>7502</v>
      </c>
      <c r="D12846" s="18">
        <v>2022</v>
      </c>
      <c r="E12846" s="18" t="s">
        <v>0</v>
      </c>
      <c r="F12846" s="41">
        <v>1</v>
      </c>
      <c r="G12846" s="4">
        <v>13.9</v>
      </c>
      <c r="H12846" s="18">
        <v>17.334</v>
      </c>
      <c r="I12846" s="90"/>
      <c r="J12846" s="90"/>
    </row>
    <row r="12847" spans="1:10" s="15" customFormat="1" ht="16.5" hidden="1" customHeight="1" outlineLevel="1" x14ac:dyDescent="0.25">
      <c r="A12847" s="18">
        <v>5844</v>
      </c>
      <c r="B12847" s="4" t="s">
        <v>44</v>
      </c>
      <c r="C12847" s="38" t="s">
        <v>7503</v>
      </c>
      <c r="D12847" s="18">
        <v>2022</v>
      </c>
      <c r="E12847" s="18" t="s">
        <v>0</v>
      </c>
      <c r="F12847" s="41">
        <v>1</v>
      </c>
      <c r="G12847" s="4">
        <v>15</v>
      </c>
      <c r="H12847" s="18">
        <v>22.547000000000001</v>
      </c>
      <c r="I12847" s="90"/>
      <c r="J12847" s="90"/>
    </row>
    <row r="12848" spans="1:10" s="15" customFormat="1" ht="16.5" hidden="1" customHeight="1" outlineLevel="1" x14ac:dyDescent="0.25">
      <c r="A12848" s="18">
        <v>5461</v>
      </c>
      <c r="B12848" s="4" t="s">
        <v>44</v>
      </c>
      <c r="C12848" s="38" t="s">
        <v>7504</v>
      </c>
      <c r="D12848" s="18">
        <v>2022</v>
      </c>
      <c r="E12848" s="18" t="s">
        <v>0</v>
      </c>
      <c r="F12848" s="41" t="s">
        <v>1109</v>
      </c>
      <c r="G12848" s="4">
        <v>15</v>
      </c>
      <c r="H12848" s="18">
        <v>31.725999999999999</v>
      </c>
      <c r="I12848" s="90"/>
      <c r="J12848" s="90"/>
    </row>
    <row r="12849" spans="1:10" s="15" customFormat="1" ht="16.5" hidden="1" customHeight="1" outlineLevel="1" x14ac:dyDescent="0.25">
      <c r="A12849" s="18">
        <v>5685</v>
      </c>
      <c r="B12849" s="4" t="s">
        <v>44</v>
      </c>
      <c r="C12849" s="38" t="s">
        <v>2535</v>
      </c>
      <c r="D12849" s="18">
        <v>2022</v>
      </c>
      <c r="E12849" s="18" t="s">
        <v>0</v>
      </c>
      <c r="F12849" s="41" t="s">
        <v>1109</v>
      </c>
      <c r="G12849" s="4">
        <v>15</v>
      </c>
      <c r="H12849" s="18">
        <v>34.729999999999997</v>
      </c>
      <c r="I12849" s="90"/>
      <c r="J12849" s="90"/>
    </row>
    <row r="12850" spans="1:10" s="15" customFormat="1" ht="16.5" hidden="1" customHeight="1" outlineLevel="1" x14ac:dyDescent="0.25">
      <c r="A12850" s="18">
        <v>5688</v>
      </c>
      <c r="B12850" s="4" t="s">
        <v>44</v>
      </c>
      <c r="C12850" s="38" t="s">
        <v>2536</v>
      </c>
      <c r="D12850" s="18">
        <v>2022</v>
      </c>
      <c r="E12850" s="18" t="s">
        <v>0</v>
      </c>
      <c r="F12850" s="41" t="s">
        <v>1109</v>
      </c>
      <c r="G12850" s="4">
        <v>3.8849999999999998</v>
      </c>
      <c r="H12850" s="18">
        <v>45.198999999999998</v>
      </c>
      <c r="I12850" s="90"/>
      <c r="J12850" s="90"/>
    </row>
    <row r="12851" spans="1:10" s="15" customFormat="1" ht="16.5" hidden="1" customHeight="1" outlineLevel="1" x14ac:dyDescent="0.25">
      <c r="A12851" s="18">
        <v>5689</v>
      </c>
      <c r="B12851" s="4" t="s">
        <v>44</v>
      </c>
      <c r="C12851" s="38" t="s">
        <v>2537</v>
      </c>
      <c r="D12851" s="18">
        <v>2022</v>
      </c>
      <c r="E12851" s="18" t="s">
        <v>0</v>
      </c>
      <c r="F12851" s="41" t="s">
        <v>1109</v>
      </c>
      <c r="G12851" s="4">
        <v>3.145</v>
      </c>
      <c r="H12851" s="18">
        <v>49.112000000000002</v>
      </c>
      <c r="I12851" s="90"/>
      <c r="J12851" s="90"/>
    </row>
    <row r="12852" spans="1:10" s="15" customFormat="1" ht="16.5" hidden="1" customHeight="1" outlineLevel="1" x14ac:dyDescent="0.25">
      <c r="A12852" s="18">
        <v>5705</v>
      </c>
      <c r="B12852" s="4" t="s">
        <v>44</v>
      </c>
      <c r="C12852" s="38" t="s">
        <v>7505</v>
      </c>
      <c r="D12852" s="18">
        <v>2022</v>
      </c>
      <c r="E12852" s="18" t="s">
        <v>0</v>
      </c>
      <c r="F12852" s="41" t="s">
        <v>1109</v>
      </c>
      <c r="G12852" s="4">
        <v>10</v>
      </c>
      <c r="H12852" s="18">
        <v>29.408999999999999</v>
      </c>
      <c r="I12852" s="90"/>
      <c r="J12852" s="90"/>
    </row>
    <row r="12853" spans="1:10" s="15" customFormat="1" ht="16.5" hidden="1" customHeight="1" outlineLevel="1" x14ac:dyDescent="0.25">
      <c r="A12853" s="18">
        <v>5742</v>
      </c>
      <c r="B12853" s="4" t="s">
        <v>44</v>
      </c>
      <c r="C12853" s="38" t="s">
        <v>7506</v>
      </c>
      <c r="D12853" s="18">
        <v>2022</v>
      </c>
      <c r="E12853" s="18" t="s">
        <v>0</v>
      </c>
      <c r="F12853" s="41" t="s">
        <v>1109</v>
      </c>
      <c r="G12853" s="4">
        <v>15</v>
      </c>
      <c r="H12853" s="18">
        <v>22.576000000000001</v>
      </c>
      <c r="I12853" s="90"/>
      <c r="J12853" s="90"/>
    </row>
    <row r="12854" spans="1:10" s="15" customFormat="1" ht="16.5" hidden="1" customHeight="1" outlineLevel="1" x14ac:dyDescent="0.25">
      <c r="A12854" s="18">
        <v>5747</v>
      </c>
      <c r="B12854" s="4" t="s">
        <v>44</v>
      </c>
      <c r="C12854" s="38" t="s">
        <v>2538</v>
      </c>
      <c r="D12854" s="18">
        <v>2022</v>
      </c>
      <c r="E12854" s="18" t="s">
        <v>0</v>
      </c>
      <c r="F12854" s="41" t="s">
        <v>1109</v>
      </c>
      <c r="G12854" s="4">
        <v>7.5</v>
      </c>
      <c r="H12854" s="18">
        <v>60.911000000000001</v>
      </c>
      <c r="I12854" s="90"/>
      <c r="J12854" s="90"/>
    </row>
    <row r="12855" spans="1:10" s="15" customFormat="1" ht="16.5" hidden="1" customHeight="1" outlineLevel="1" x14ac:dyDescent="0.25">
      <c r="A12855" s="18">
        <v>5748</v>
      </c>
      <c r="B12855" s="4" t="s">
        <v>44</v>
      </c>
      <c r="C12855" s="38" t="s">
        <v>2539</v>
      </c>
      <c r="D12855" s="18">
        <v>2022</v>
      </c>
      <c r="E12855" s="18" t="s">
        <v>0</v>
      </c>
      <c r="F12855" s="41" t="s">
        <v>1109</v>
      </c>
      <c r="G12855" s="4">
        <v>7.5</v>
      </c>
      <c r="H12855" s="18">
        <v>45.588000000000001</v>
      </c>
      <c r="I12855" s="90"/>
      <c r="J12855" s="90"/>
    </row>
    <row r="12856" spans="1:10" s="15" customFormat="1" ht="16.5" hidden="1" customHeight="1" outlineLevel="1" x14ac:dyDescent="0.25">
      <c r="A12856" s="18">
        <v>5755</v>
      </c>
      <c r="B12856" s="4" t="s">
        <v>44</v>
      </c>
      <c r="C12856" s="38" t="s">
        <v>7507</v>
      </c>
      <c r="D12856" s="18">
        <v>2022</v>
      </c>
      <c r="E12856" s="18" t="s">
        <v>0</v>
      </c>
      <c r="F12856" s="41" t="s">
        <v>1109</v>
      </c>
      <c r="G12856" s="4">
        <v>7.1</v>
      </c>
      <c r="H12856" s="18">
        <v>20.010999999999999</v>
      </c>
      <c r="I12856" s="90"/>
      <c r="J12856" s="90"/>
    </row>
    <row r="12857" spans="1:10" s="15" customFormat="1" ht="16.5" hidden="1" customHeight="1" outlineLevel="1" x14ac:dyDescent="0.25">
      <c r="A12857" s="18">
        <v>5769</v>
      </c>
      <c r="B12857" s="4" t="s">
        <v>44</v>
      </c>
      <c r="C12857" s="38" t="s">
        <v>7508</v>
      </c>
      <c r="D12857" s="18">
        <v>2022</v>
      </c>
      <c r="E12857" s="18" t="s">
        <v>0</v>
      </c>
      <c r="F12857" s="41" t="s">
        <v>1109</v>
      </c>
      <c r="G12857" s="4">
        <v>15</v>
      </c>
      <c r="H12857" s="18">
        <v>22.001999999999999</v>
      </c>
      <c r="I12857" s="90"/>
      <c r="J12857" s="90"/>
    </row>
    <row r="12858" spans="1:10" s="15" customFormat="1" ht="16.5" hidden="1" customHeight="1" outlineLevel="1" x14ac:dyDescent="0.25">
      <c r="A12858" s="18">
        <v>5770</v>
      </c>
      <c r="B12858" s="4" t="s">
        <v>44</v>
      </c>
      <c r="C12858" s="38" t="s">
        <v>7509</v>
      </c>
      <c r="D12858" s="18">
        <v>2022</v>
      </c>
      <c r="E12858" s="18" t="s">
        <v>0</v>
      </c>
      <c r="F12858" s="41" t="s">
        <v>1109</v>
      </c>
      <c r="G12858" s="4">
        <v>15</v>
      </c>
      <c r="H12858" s="18">
        <v>19.279</v>
      </c>
      <c r="I12858" s="90"/>
      <c r="J12858" s="90"/>
    </row>
    <row r="12859" spans="1:10" s="15" customFormat="1" ht="16.5" hidden="1" customHeight="1" outlineLevel="1" x14ac:dyDescent="0.25">
      <c r="A12859" s="18">
        <v>5772</v>
      </c>
      <c r="B12859" s="4" t="s">
        <v>44</v>
      </c>
      <c r="C12859" s="38" t="s">
        <v>7510</v>
      </c>
      <c r="D12859" s="18">
        <v>2022</v>
      </c>
      <c r="E12859" s="18" t="s">
        <v>0</v>
      </c>
      <c r="F12859" s="41" t="s">
        <v>1109</v>
      </c>
      <c r="G12859" s="4">
        <v>15</v>
      </c>
      <c r="H12859" s="18">
        <v>18.363</v>
      </c>
      <c r="I12859" s="90"/>
      <c r="J12859" s="90"/>
    </row>
    <row r="12860" spans="1:10" s="15" customFormat="1" ht="16.5" hidden="1" customHeight="1" outlineLevel="1" x14ac:dyDescent="0.25">
      <c r="A12860" s="18">
        <v>5773</v>
      </c>
      <c r="B12860" s="4" t="s">
        <v>44</v>
      </c>
      <c r="C12860" s="38" t="s">
        <v>7511</v>
      </c>
      <c r="D12860" s="18">
        <v>2022</v>
      </c>
      <c r="E12860" s="18" t="s">
        <v>0</v>
      </c>
      <c r="F12860" s="41" t="s">
        <v>1109</v>
      </c>
      <c r="G12860" s="4">
        <v>15</v>
      </c>
      <c r="H12860" s="18">
        <v>22.096</v>
      </c>
      <c r="I12860" s="90"/>
      <c r="J12860" s="90"/>
    </row>
    <row r="12861" spans="1:10" s="15" customFormat="1" ht="16.5" hidden="1" customHeight="1" outlineLevel="1" x14ac:dyDescent="0.25">
      <c r="A12861" s="18">
        <v>5782</v>
      </c>
      <c r="B12861" s="4" t="s">
        <v>44</v>
      </c>
      <c r="C12861" s="38" t="s">
        <v>7512</v>
      </c>
      <c r="D12861" s="18">
        <v>2022</v>
      </c>
      <c r="E12861" s="18" t="s">
        <v>0</v>
      </c>
      <c r="F12861" s="41" t="s">
        <v>1109</v>
      </c>
      <c r="G12861" s="4">
        <v>15</v>
      </c>
      <c r="H12861" s="18">
        <v>21.779</v>
      </c>
      <c r="I12861" s="90"/>
      <c r="J12861" s="90"/>
    </row>
    <row r="12862" spans="1:10" s="15" customFormat="1" ht="16.5" hidden="1" customHeight="1" outlineLevel="1" x14ac:dyDescent="0.25">
      <c r="A12862" s="18">
        <v>5834</v>
      </c>
      <c r="B12862" s="4" t="s">
        <v>44</v>
      </c>
      <c r="C12862" s="38" t="s">
        <v>2540</v>
      </c>
      <c r="D12862" s="18">
        <v>2022</v>
      </c>
      <c r="E12862" s="18" t="s">
        <v>0</v>
      </c>
      <c r="F12862" s="41" t="s">
        <v>1109</v>
      </c>
      <c r="G12862" s="4">
        <v>100</v>
      </c>
      <c r="H12862" s="18">
        <v>53.552999999999997</v>
      </c>
      <c r="I12862" s="90"/>
      <c r="J12862" s="90"/>
    </row>
    <row r="12863" spans="1:10" s="15" customFormat="1" ht="16.5" hidden="1" customHeight="1" outlineLevel="1" x14ac:dyDescent="0.25">
      <c r="A12863" s="18">
        <v>5843</v>
      </c>
      <c r="B12863" s="4" t="s">
        <v>44</v>
      </c>
      <c r="C12863" s="38" t="s">
        <v>7513</v>
      </c>
      <c r="D12863" s="18">
        <v>2022</v>
      </c>
      <c r="E12863" s="18" t="s">
        <v>0</v>
      </c>
      <c r="F12863" s="41" t="s">
        <v>1109</v>
      </c>
      <c r="G12863" s="4">
        <v>15</v>
      </c>
      <c r="H12863" s="18">
        <v>29.666</v>
      </c>
      <c r="I12863" s="90"/>
      <c r="J12863" s="90"/>
    </row>
    <row r="12864" spans="1:10" s="15" customFormat="1" ht="16.5" hidden="1" customHeight="1" outlineLevel="1" x14ac:dyDescent="0.25">
      <c r="A12864" s="18">
        <v>5420</v>
      </c>
      <c r="B12864" s="4" t="s">
        <v>44</v>
      </c>
      <c r="C12864" s="38" t="s">
        <v>2541</v>
      </c>
      <c r="D12864" s="18">
        <v>2022</v>
      </c>
      <c r="E12864" s="18" t="s">
        <v>0</v>
      </c>
      <c r="F12864" s="41">
        <v>1</v>
      </c>
      <c r="G12864" s="4">
        <v>30</v>
      </c>
      <c r="H12864" s="18">
        <v>59.915999999999997</v>
      </c>
      <c r="I12864" s="90"/>
      <c r="J12864" s="90"/>
    </row>
    <row r="12865" spans="1:10" s="15" customFormat="1" ht="16.5" hidden="1" customHeight="1" outlineLevel="1" x14ac:dyDescent="0.25">
      <c r="A12865" s="18">
        <v>5429</v>
      </c>
      <c r="B12865" s="4" t="s">
        <v>44</v>
      </c>
      <c r="C12865" s="38" t="s">
        <v>7514</v>
      </c>
      <c r="D12865" s="18">
        <v>2022</v>
      </c>
      <c r="E12865" s="18" t="s">
        <v>0</v>
      </c>
      <c r="F12865" s="41">
        <v>1</v>
      </c>
      <c r="G12865" s="4">
        <v>15</v>
      </c>
      <c r="H12865" s="18">
        <v>31.434000000000001</v>
      </c>
      <c r="I12865" s="90"/>
      <c r="J12865" s="90"/>
    </row>
    <row r="12866" spans="1:10" s="15" customFormat="1" ht="16.5" hidden="1" customHeight="1" outlineLevel="1" x14ac:dyDescent="0.25">
      <c r="A12866" s="18">
        <v>5440</v>
      </c>
      <c r="B12866" s="4" t="s">
        <v>44</v>
      </c>
      <c r="C12866" s="38" t="s">
        <v>7515</v>
      </c>
      <c r="D12866" s="18">
        <v>2022</v>
      </c>
      <c r="E12866" s="18" t="s">
        <v>0</v>
      </c>
      <c r="F12866" s="41">
        <v>1</v>
      </c>
      <c r="G12866" s="4">
        <v>10</v>
      </c>
      <c r="H12866" s="18">
        <v>32.01</v>
      </c>
      <c r="I12866" s="90"/>
      <c r="J12866" s="90"/>
    </row>
    <row r="12867" spans="1:10" s="15" customFormat="1" ht="16.5" hidden="1" customHeight="1" outlineLevel="1" x14ac:dyDescent="0.25">
      <c r="A12867" s="18">
        <v>5473</v>
      </c>
      <c r="B12867" s="4" t="s">
        <v>44</v>
      </c>
      <c r="C12867" s="38" t="s">
        <v>7516</v>
      </c>
      <c r="D12867" s="18">
        <v>2022</v>
      </c>
      <c r="E12867" s="18" t="s">
        <v>0</v>
      </c>
      <c r="F12867" s="41">
        <v>1</v>
      </c>
      <c r="G12867" s="4">
        <v>15</v>
      </c>
      <c r="H12867" s="18">
        <v>32.036000000000001</v>
      </c>
      <c r="I12867" s="90"/>
      <c r="J12867" s="90"/>
    </row>
    <row r="12868" spans="1:10" s="15" customFormat="1" ht="16.5" hidden="1" customHeight="1" outlineLevel="1" x14ac:dyDescent="0.25">
      <c r="A12868" s="18">
        <v>5477</v>
      </c>
      <c r="B12868" s="4" t="s">
        <v>44</v>
      </c>
      <c r="C12868" s="38" t="s">
        <v>2542</v>
      </c>
      <c r="D12868" s="18">
        <v>2022</v>
      </c>
      <c r="E12868" s="18" t="s">
        <v>0</v>
      </c>
      <c r="F12868" s="41">
        <v>1</v>
      </c>
      <c r="G12868" s="4">
        <v>15</v>
      </c>
      <c r="H12868" s="18">
        <v>90.459000000000003</v>
      </c>
      <c r="I12868" s="90"/>
      <c r="J12868" s="90"/>
    </row>
    <row r="12869" spans="1:10" s="15" customFormat="1" ht="16.5" hidden="1" customHeight="1" outlineLevel="1" x14ac:dyDescent="0.25">
      <c r="A12869" s="18">
        <v>5485</v>
      </c>
      <c r="B12869" s="4" t="s">
        <v>44</v>
      </c>
      <c r="C12869" s="38" t="s">
        <v>7517</v>
      </c>
      <c r="D12869" s="18">
        <v>2022</v>
      </c>
      <c r="E12869" s="18" t="s">
        <v>0</v>
      </c>
      <c r="F12869" s="41">
        <v>1</v>
      </c>
      <c r="G12869" s="4">
        <v>3</v>
      </c>
      <c r="H12869" s="18">
        <v>33.844000000000001</v>
      </c>
      <c r="I12869" s="90"/>
      <c r="J12869" s="90"/>
    </row>
    <row r="12870" spans="1:10" s="15" customFormat="1" ht="16.5" hidden="1" customHeight="1" outlineLevel="1" x14ac:dyDescent="0.25">
      <c r="A12870" s="18">
        <v>5513</v>
      </c>
      <c r="B12870" s="4" t="s">
        <v>44</v>
      </c>
      <c r="C12870" s="38" t="s">
        <v>7518</v>
      </c>
      <c r="D12870" s="18">
        <v>2022</v>
      </c>
      <c r="E12870" s="18" t="s">
        <v>0</v>
      </c>
      <c r="F12870" s="41">
        <v>1</v>
      </c>
      <c r="G12870" s="4">
        <v>10</v>
      </c>
      <c r="H12870" s="18">
        <v>33.536999999999999</v>
      </c>
      <c r="I12870" s="90"/>
      <c r="J12870" s="90"/>
    </row>
    <row r="12871" spans="1:10" s="15" customFormat="1" ht="16.5" hidden="1" customHeight="1" outlineLevel="1" x14ac:dyDescent="0.25">
      <c r="A12871" s="18">
        <v>5556</v>
      </c>
      <c r="B12871" s="4" t="s">
        <v>44</v>
      </c>
      <c r="C12871" s="38" t="s">
        <v>7519</v>
      </c>
      <c r="D12871" s="18">
        <v>2022</v>
      </c>
      <c r="E12871" s="18" t="s">
        <v>0</v>
      </c>
      <c r="F12871" s="41">
        <v>1</v>
      </c>
      <c r="G12871" s="4">
        <v>10</v>
      </c>
      <c r="H12871" s="18">
        <v>36.152999999999999</v>
      </c>
      <c r="I12871" s="90"/>
      <c r="J12871" s="90"/>
    </row>
    <row r="12872" spans="1:10" s="15" customFormat="1" ht="16.5" hidden="1" customHeight="1" outlineLevel="1" x14ac:dyDescent="0.25">
      <c r="A12872" s="18">
        <v>5580</v>
      </c>
      <c r="B12872" s="4" t="s">
        <v>44</v>
      </c>
      <c r="C12872" s="38" t="s">
        <v>7520</v>
      </c>
      <c r="D12872" s="18">
        <v>2022</v>
      </c>
      <c r="E12872" s="18" t="s">
        <v>0</v>
      </c>
      <c r="F12872" s="41">
        <v>1</v>
      </c>
      <c r="G12872" s="4">
        <v>7</v>
      </c>
      <c r="H12872" s="18">
        <v>30.463999999999999</v>
      </c>
      <c r="I12872" s="90"/>
      <c r="J12872" s="90"/>
    </row>
    <row r="12873" spans="1:10" s="15" customFormat="1" ht="16.5" hidden="1" customHeight="1" outlineLevel="1" x14ac:dyDescent="0.25">
      <c r="A12873" s="18">
        <v>5587</v>
      </c>
      <c r="B12873" s="4" t="s">
        <v>44</v>
      </c>
      <c r="C12873" s="38" t="s">
        <v>7521</v>
      </c>
      <c r="D12873" s="18">
        <v>2022</v>
      </c>
      <c r="E12873" s="18" t="s">
        <v>0</v>
      </c>
      <c r="F12873" s="41">
        <v>1</v>
      </c>
      <c r="G12873" s="4">
        <v>15</v>
      </c>
      <c r="H12873" s="18">
        <v>32.667999999999999</v>
      </c>
      <c r="I12873" s="90"/>
      <c r="J12873" s="90"/>
    </row>
    <row r="12874" spans="1:10" s="15" customFormat="1" ht="16.5" hidden="1" customHeight="1" outlineLevel="1" x14ac:dyDescent="0.25">
      <c r="A12874" s="18">
        <v>5588</v>
      </c>
      <c r="B12874" s="4" t="s">
        <v>44</v>
      </c>
      <c r="C12874" s="38" t="s">
        <v>7522</v>
      </c>
      <c r="D12874" s="18">
        <v>2022</v>
      </c>
      <c r="E12874" s="18" t="s">
        <v>0</v>
      </c>
      <c r="F12874" s="41">
        <v>1</v>
      </c>
      <c r="G12874" s="4">
        <v>14</v>
      </c>
      <c r="H12874" s="18">
        <v>28.991</v>
      </c>
      <c r="I12874" s="90"/>
      <c r="J12874" s="90"/>
    </row>
    <row r="12875" spans="1:10" s="15" customFormat="1" ht="16.5" hidden="1" customHeight="1" outlineLevel="1" x14ac:dyDescent="0.25">
      <c r="A12875" s="18">
        <v>5594</v>
      </c>
      <c r="B12875" s="4" t="s">
        <v>44</v>
      </c>
      <c r="C12875" s="38" t="s">
        <v>7523</v>
      </c>
      <c r="D12875" s="18">
        <v>2022</v>
      </c>
      <c r="E12875" s="18" t="s">
        <v>0</v>
      </c>
      <c r="F12875" s="41">
        <v>1</v>
      </c>
      <c r="G12875" s="4">
        <v>15</v>
      </c>
      <c r="H12875" s="18">
        <v>31.562000000000001</v>
      </c>
      <c r="I12875" s="90"/>
      <c r="J12875" s="90"/>
    </row>
    <row r="12876" spans="1:10" s="15" customFormat="1" ht="16.5" hidden="1" customHeight="1" outlineLevel="1" x14ac:dyDescent="0.25">
      <c r="A12876" s="18">
        <v>5598</v>
      </c>
      <c r="B12876" s="4" t="s">
        <v>44</v>
      </c>
      <c r="C12876" s="38" t="s">
        <v>7524</v>
      </c>
      <c r="D12876" s="18">
        <v>2022</v>
      </c>
      <c r="E12876" s="18" t="s">
        <v>0</v>
      </c>
      <c r="F12876" s="41">
        <v>1</v>
      </c>
      <c r="G12876" s="4">
        <v>15</v>
      </c>
      <c r="H12876" s="18">
        <v>32.137</v>
      </c>
      <c r="I12876" s="90"/>
      <c r="J12876" s="90"/>
    </row>
    <row r="12877" spans="1:10" s="15" customFormat="1" ht="16.5" hidden="1" customHeight="1" outlineLevel="1" x14ac:dyDescent="0.25">
      <c r="A12877" s="18">
        <v>5599</v>
      </c>
      <c r="B12877" s="4" t="s">
        <v>44</v>
      </c>
      <c r="C12877" s="38" t="s">
        <v>7525</v>
      </c>
      <c r="D12877" s="18">
        <v>2022</v>
      </c>
      <c r="E12877" s="18" t="s">
        <v>0</v>
      </c>
      <c r="F12877" s="41">
        <v>1</v>
      </c>
      <c r="G12877" s="4">
        <v>15</v>
      </c>
      <c r="H12877" s="18">
        <v>30.231999999999999</v>
      </c>
      <c r="I12877" s="90"/>
      <c r="J12877" s="90"/>
    </row>
    <row r="12878" spans="1:10" s="15" customFormat="1" ht="16.5" hidden="1" customHeight="1" outlineLevel="1" x14ac:dyDescent="0.25">
      <c r="A12878" s="18">
        <v>5615</v>
      </c>
      <c r="B12878" s="4" t="s">
        <v>44</v>
      </c>
      <c r="C12878" s="38" t="s">
        <v>7526</v>
      </c>
      <c r="D12878" s="18">
        <v>2022</v>
      </c>
      <c r="E12878" s="18" t="s">
        <v>0</v>
      </c>
      <c r="F12878" s="41">
        <v>1</v>
      </c>
      <c r="G12878" s="4">
        <v>15</v>
      </c>
      <c r="H12878" s="18">
        <v>30.041</v>
      </c>
      <c r="I12878" s="90"/>
      <c r="J12878" s="90"/>
    </row>
    <row r="12879" spans="1:10" s="15" customFormat="1" ht="16.5" hidden="1" customHeight="1" outlineLevel="1" x14ac:dyDescent="0.25">
      <c r="A12879" s="18">
        <v>5621</v>
      </c>
      <c r="B12879" s="4" t="s">
        <v>44</v>
      </c>
      <c r="C12879" s="38" t="s">
        <v>7527</v>
      </c>
      <c r="D12879" s="18">
        <v>2022</v>
      </c>
      <c r="E12879" s="18" t="s">
        <v>0</v>
      </c>
      <c r="F12879" s="41">
        <v>1</v>
      </c>
      <c r="G12879" s="4">
        <v>15</v>
      </c>
      <c r="H12879" s="18">
        <v>28.920999999999999</v>
      </c>
      <c r="I12879" s="90"/>
      <c r="J12879" s="90"/>
    </row>
    <row r="12880" spans="1:10" s="15" customFormat="1" ht="16.5" hidden="1" customHeight="1" outlineLevel="1" x14ac:dyDescent="0.25">
      <c r="A12880" s="18">
        <v>5657</v>
      </c>
      <c r="B12880" s="4" t="s">
        <v>44</v>
      </c>
      <c r="C12880" s="38" t="s">
        <v>7528</v>
      </c>
      <c r="D12880" s="18">
        <v>2022</v>
      </c>
      <c r="E12880" s="18" t="s">
        <v>0</v>
      </c>
      <c r="F12880" s="41">
        <v>1</v>
      </c>
      <c r="G12880" s="4">
        <v>10</v>
      </c>
      <c r="H12880" s="18">
        <v>32.454000000000001</v>
      </c>
      <c r="I12880" s="90"/>
      <c r="J12880" s="90"/>
    </row>
    <row r="12881" spans="1:10" s="15" customFormat="1" ht="16.5" hidden="1" customHeight="1" outlineLevel="1" x14ac:dyDescent="0.25">
      <c r="A12881" s="18">
        <v>5666</v>
      </c>
      <c r="B12881" s="4" t="s">
        <v>44</v>
      </c>
      <c r="C12881" s="38" t="s">
        <v>2543</v>
      </c>
      <c r="D12881" s="18">
        <v>2022</v>
      </c>
      <c r="E12881" s="18" t="s">
        <v>0</v>
      </c>
      <c r="F12881" s="41">
        <v>1</v>
      </c>
      <c r="G12881" s="4">
        <v>15</v>
      </c>
      <c r="H12881" s="18">
        <v>34.220999999999997</v>
      </c>
      <c r="I12881" s="90"/>
      <c r="J12881" s="90"/>
    </row>
    <row r="12882" spans="1:10" s="15" customFormat="1" ht="16.5" hidden="1" customHeight="1" outlineLevel="1" x14ac:dyDescent="0.25">
      <c r="A12882" s="18">
        <v>5672</v>
      </c>
      <c r="B12882" s="4" t="s">
        <v>44</v>
      </c>
      <c r="C12882" s="38" t="s">
        <v>7529</v>
      </c>
      <c r="D12882" s="18">
        <v>2022</v>
      </c>
      <c r="E12882" s="18" t="s">
        <v>0</v>
      </c>
      <c r="F12882" s="41">
        <v>1</v>
      </c>
      <c r="G12882" s="4">
        <v>7</v>
      </c>
      <c r="H12882" s="18">
        <v>32.125</v>
      </c>
      <c r="I12882" s="90"/>
      <c r="J12882" s="90"/>
    </row>
    <row r="12883" spans="1:10" s="15" customFormat="1" ht="16.5" hidden="1" customHeight="1" outlineLevel="1" x14ac:dyDescent="0.25">
      <c r="A12883" s="18">
        <v>5686</v>
      </c>
      <c r="B12883" s="4" t="s">
        <v>44</v>
      </c>
      <c r="C12883" s="38" t="s">
        <v>2544</v>
      </c>
      <c r="D12883" s="18">
        <v>2022</v>
      </c>
      <c r="E12883" s="18" t="s">
        <v>0</v>
      </c>
      <c r="F12883" s="41">
        <v>1</v>
      </c>
      <c r="G12883" s="4">
        <v>15</v>
      </c>
      <c r="H12883" s="18">
        <v>27.783999999999999</v>
      </c>
      <c r="I12883" s="90"/>
      <c r="J12883" s="90"/>
    </row>
    <row r="12884" spans="1:10" s="15" customFormat="1" ht="16.5" hidden="1" customHeight="1" outlineLevel="1" x14ac:dyDescent="0.25">
      <c r="A12884" s="18">
        <v>5710</v>
      </c>
      <c r="B12884" s="4" t="s">
        <v>44</v>
      </c>
      <c r="C12884" s="38" t="s">
        <v>7530</v>
      </c>
      <c r="D12884" s="18">
        <v>2022</v>
      </c>
      <c r="E12884" s="18" t="s">
        <v>0</v>
      </c>
      <c r="F12884" s="41">
        <v>1</v>
      </c>
      <c r="G12884" s="4">
        <v>15</v>
      </c>
      <c r="H12884" s="18">
        <v>23.373999999999999</v>
      </c>
      <c r="I12884" s="90"/>
      <c r="J12884" s="90"/>
    </row>
    <row r="12885" spans="1:10" s="15" customFormat="1" ht="16.5" hidden="1" customHeight="1" outlineLevel="1" x14ac:dyDescent="0.25">
      <c r="A12885" s="18">
        <v>5711</v>
      </c>
      <c r="B12885" s="4" t="s">
        <v>44</v>
      </c>
      <c r="C12885" s="38" t="s">
        <v>7531</v>
      </c>
      <c r="D12885" s="18">
        <v>2022</v>
      </c>
      <c r="E12885" s="18" t="s">
        <v>0</v>
      </c>
      <c r="F12885" s="41">
        <v>1</v>
      </c>
      <c r="G12885" s="4">
        <v>5</v>
      </c>
      <c r="H12885" s="18">
        <v>23.202000000000002</v>
      </c>
      <c r="I12885" s="90"/>
      <c r="J12885" s="90"/>
    </row>
    <row r="12886" spans="1:10" s="15" customFormat="1" ht="16.5" hidden="1" customHeight="1" outlineLevel="1" x14ac:dyDescent="0.25">
      <c r="A12886" s="18">
        <v>5738</v>
      </c>
      <c r="B12886" s="4" t="s">
        <v>44</v>
      </c>
      <c r="C12886" s="38" t="s">
        <v>7532</v>
      </c>
      <c r="D12886" s="18">
        <v>2022</v>
      </c>
      <c r="E12886" s="18" t="s">
        <v>0</v>
      </c>
      <c r="F12886" s="41">
        <v>1</v>
      </c>
      <c r="G12886" s="4">
        <v>10</v>
      </c>
      <c r="H12886" s="18">
        <v>23.202000000000002</v>
      </c>
      <c r="I12886" s="90"/>
      <c r="J12886" s="90"/>
    </row>
    <row r="12887" spans="1:10" s="15" customFormat="1" ht="16.5" hidden="1" customHeight="1" outlineLevel="1" x14ac:dyDescent="0.25">
      <c r="A12887" s="18">
        <v>5763</v>
      </c>
      <c r="B12887" s="4" t="s">
        <v>44</v>
      </c>
      <c r="C12887" s="38" t="s">
        <v>2545</v>
      </c>
      <c r="D12887" s="18">
        <v>2022</v>
      </c>
      <c r="E12887" s="18" t="s">
        <v>0</v>
      </c>
      <c r="F12887" s="41">
        <v>1</v>
      </c>
      <c r="G12887" s="4">
        <v>15</v>
      </c>
      <c r="H12887" s="18">
        <v>33.280999999999999</v>
      </c>
      <c r="I12887" s="90"/>
      <c r="J12887" s="90"/>
    </row>
    <row r="12888" spans="1:10" s="15" customFormat="1" ht="16.5" hidden="1" customHeight="1" outlineLevel="1" x14ac:dyDescent="0.25">
      <c r="A12888" s="18">
        <v>5764</v>
      </c>
      <c r="B12888" s="4" t="s">
        <v>44</v>
      </c>
      <c r="C12888" s="38" t="s">
        <v>2546</v>
      </c>
      <c r="D12888" s="18">
        <v>2022</v>
      </c>
      <c r="E12888" s="18" t="s">
        <v>0</v>
      </c>
      <c r="F12888" s="41">
        <v>1</v>
      </c>
      <c r="G12888" s="4">
        <v>6.5</v>
      </c>
      <c r="H12888" s="18">
        <v>61.311999999999998</v>
      </c>
      <c r="I12888" s="90"/>
      <c r="J12888" s="90"/>
    </row>
    <row r="12889" spans="1:10" s="15" customFormat="1" ht="16.5" hidden="1" customHeight="1" outlineLevel="1" x14ac:dyDescent="0.25">
      <c r="A12889" s="18">
        <v>5788</v>
      </c>
      <c r="B12889" s="4" t="s">
        <v>44</v>
      </c>
      <c r="C12889" s="38" t="s">
        <v>7533</v>
      </c>
      <c r="D12889" s="18">
        <v>2022</v>
      </c>
      <c r="E12889" s="18" t="s">
        <v>0</v>
      </c>
      <c r="F12889" s="41">
        <v>1</v>
      </c>
      <c r="G12889" s="4">
        <v>100</v>
      </c>
      <c r="H12889" s="18">
        <v>26.38</v>
      </c>
      <c r="I12889" s="90"/>
      <c r="J12889" s="90"/>
    </row>
    <row r="12890" spans="1:10" s="15" customFormat="1" ht="16.5" hidden="1" customHeight="1" outlineLevel="1" x14ac:dyDescent="0.25">
      <c r="A12890" s="18">
        <v>5802</v>
      </c>
      <c r="B12890" s="4" t="s">
        <v>44</v>
      </c>
      <c r="C12890" s="38" t="s">
        <v>7534</v>
      </c>
      <c r="D12890" s="18">
        <v>2022</v>
      </c>
      <c r="E12890" s="18" t="s">
        <v>0</v>
      </c>
      <c r="F12890" s="41">
        <v>1</v>
      </c>
      <c r="G12890" s="4">
        <v>15</v>
      </c>
      <c r="H12890" s="18">
        <v>21.009</v>
      </c>
      <c r="I12890" s="90"/>
      <c r="J12890" s="90"/>
    </row>
    <row r="12891" spans="1:10" s="15" customFormat="1" ht="16.5" hidden="1" customHeight="1" outlineLevel="1" x14ac:dyDescent="0.25">
      <c r="A12891" s="18">
        <v>5810</v>
      </c>
      <c r="B12891" s="4" t="s">
        <v>44</v>
      </c>
      <c r="C12891" s="38" t="s">
        <v>7535</v>
      </c>
      <c r="D12891" s="18">
        <v>2022</v>
      </c>
      <c r="E12891" s="18" t="s">
        <v>0</v>
      </c>
      <c r="F12891" s="41">
        <v>1</v>
      </c>
      <c r="G12891" s="4">
        <v>15</v>
      </c>
      <c r="H12891" s="18">
        <v>24.689</v>
      </c>
      <c r="I12891" s="90"/>
      <c r="J12891" s="90"/>
    </row>
    <row r="12892" spans="1:10" s="15" customFormat="1" ht="16.5" hidden="1" customHeight="1" outlineLevel="1" x14ac:dyDescent="0.25">
      <c r="A12892" s="18">
        <v>5815</v>
      </c>
      <c r="B12892" s="4" t="s">
        <v>44</v>
      </c>
      <c r="C12892" s="38" t="s">
        <v>7536</v>
      </c>
      <c r="D12892" s="18">
        <v>2022</v>
      </c>
      <c r="E12892" s="18" t="s">
        <v>0</v>
      </c>
      <c r="F12892" s="41">
        <v>1</v>
      </c>
      <c r="G12892" s="4">
        <v>15</v>
      </c>
      <c r="H12892" s="18">
        <v>22.359000000000002</v>
      </c>
      <c r="I12892" s="90"/>
      <c r="J12892" s="90"/>
    </row>
    <row r="12893" spans="1:10" s="15" customFormat="1" ht="16.5" hidden="1" customHeight="1" outlineLevel="1" x14ac:dyDescent="0.25">
      <c r="A12893" s="18">
        <v>5828</v>
      </c>
      <c r="B12893" s="4" t="s">
        <v>44</v>
      </c>
      <c r="C12893" s="38" t="s">
        <v>7537</v>
      </c>
      <c r="D12893" s="18">
        <v>2022</v>
      </c>
      <c r="E12893" s="18" t="s">
        <v>0</v>
      </c>
      <c r="F12893" s="41">
        <v>1</v>
      </c>
      <c r="G12893" s="4">
        <v>10</v>
      </c>
      <c r="H12893" s="18">
        <v>24.279</v>
      </c>
      <c r="I12893" s="90"/>
      <c r="J12893" s="90"/>
    </row>
    <row r="12894" spans="1:10" s="15" customFormat="1" ht="16.5" hidden="1" customHeight="1" outlineLevel="1" x14ac:dyDescent="0.25">
      <c r="A12894" s="18">
        <v>5829</v>
      </c>
      <c r="B12894" s="4" t="s">
        <v>44</v>
      </c>
      <c r="C12894" s="38" t="s">
        <v>2547</v>
      </c>
      <c r="D12894" s="18">
        <v>2022</v>
      </c>
      <c r="E12894" s="18" t="s">
        <v>0</v>
      </c>
      <c r="F12894" s="41">
        <v>1</v>
      </c>
      <c r="G12894" s="4">
        <v>15</v>
      </c>
      <c r="H12894" s="18">
        <v>44.686</v>
      </c>
      <c r="I12894" s="90"/>
      <c r="J12894" s="90"/>
    </row>
    <row r="12895" spans="1:10" s="15" customFormat="1" ht="16.5" hidden="1" customHeight="1" outlineLevel="1" x14ac:dyDescent="0.25">
      <c r="A12895" s="18">
        <v>5830</v>
      </c>
      <c r="B12895" s="4" t="s">
        <v>44</v>
      </c>
      <c r="C12895" s="38" t="s">
        <v>7538</v>
      </c>
      <c r="D12895" s="18">
        <v>2022</v>
      </c>
      <c r="E12895" s="18" t="s">
        <v>0</v>
      </c>
      <c r="F12895" s="41">
        <v>1</v>
      </c>
      <c r="G12895" s="4">
        <v>45</v>
      </c>
      <c r="H12895" s="18">
        <v>20.228999999999999</v>
      </c>
      <c r="I12895" s="90"/>
      <c r="J12895" s="90"/>
    </row>
    <row r="12896" spans="1:10" s="15" customFormat="1" ht="16.5" hidden="1" customHeight="1" outlineLevel="1" x14ac:dyDescent="0.25">
      <c r="A12896" s="18">
        <v>5837</v>
      </c>
      <c r="B12896" s="4" t="s">
        <v>44</v>
      </c>
      <c r="C12896" s="38" t="s">
        <v>7539</v>
      </c>
      <c r="D12896" s="18">
        <v>2022</v>
      </c>
      <c r="E12896" s="18" t="s">
        <v>0</v>
      </c>
      <c r="F12896" s="41">
        <v>1</v>
      </c>
      <c r="G12896" s="4">
        <v>15</v>
      </c>
      <c r="H12896" s="18">
        <v>22.878</v>
      </c>
      <c r="I12896" s="90"/>
      <c r="J12896" s="90"/>
    </row>
    <row r="12897" spans="1:10" s="15" customFormat="1" ht="16.5" hidden="1" customHeight="1" outlineLevel="1" x14ac:dyDescent="0.25">
      <c r="A12897" s="18">
        <v>5840</v>
      </c>
      <c r="B12897" s="4" t="s">
        <v>44</v>
      </c>
      <c r="C12897" s="38" t="s">
        <v>7540</v>
      </c>
      <c r="D12897" s="18">
        <v>2022</v>
      </c>
      <c r="E12897" s="18" t="s">
        <v>0</v>
      </c>
      <c r="F12897" s="41">
        <v>1</v>
      </c>
      <c r="G12897" s="4">
        <v>15</v>
      </c>
      <c r="H12897" s="18">
        <v>21.552</v>
      </c>
      <c r="I12897" s="90"/>
      <c r="J12897" s="90"/>
    </row>
    <row r="12898" spans="1:10" s="15" customFormat="1" ht="16.5" hidden="1" customHeight="1" outlineLevel="1" x14ac:dyDescent="0.25">
      <c r="A12898" s="18">
        <v>5849</v>
      </c>
      <c r="B12898" s="4" t="s">
        <v>44</v>
      </c>
      <c r="C12898" s="38" t="s">
        <v>7541</v>
      </c>
      <c r="D12898" s="18">
        <v>2022</v>
      </c>
      <c r="E12898" s="18" t="s">
        <v>0</v>
      </c>
      <c r="F12898" s="41">
        <v>1</v>
      </c>
      <c r="G12898" s="4">
        <v>15</v>
      </c>
      <c r="H12898" s="18">
        <v>29.385999999999999</v>
      </c>
      <c r="I12898" s="90"/>
      <c r="J12898" s="90"/>
    </row>
    <row r="12899" spans="1:10" s="15" customFormat="1" ht="16.5" hidden="1" customHeight="1" outlineLevel="1" x14ac:dyDescent="0.25">
      <c r="A12899" s="18">
        <v>5850</v>
      </c>
      <c r="B12899" s="4" t="s">
        <v>44</v>
      </c>
      <c r="C12899" s="38" t="s">
        <v>7542</v>
      </c>
      <c r="D12899" s="18">
        <v>2022</v>
      </c>
      <c r="E12899" s="18" t="s">
        <v>0</v>
      </c>
      <c r="F12899" s="41">
        <v>1</v>
      </c>
      <c r="G12899" s="4">
        <v>9</v>
      </c>
      <c r="H12899" s="18">
        <v>27.567</v>
      </c>
      <c r="I12899" s="90"/>
      <c r="J12899" s="90"/>
    </row>
    <row r="12900" spans="1:10" s="15" customFormat="1" ht="16.5" hidden="1" customHeight="1" outlineLevel="1" x14ac:dyDescent="0.25">
      <c r="A12900" s="18">
        <v>5851</v>
      </c>
      <c r="B12900" s="4" t="s">
        <v>44</v>
      </c>
      <c r="C12900" s="38" t="s">
        <v>7543</v>
      </c>
      <c r="D12900" s="18">
        <v>2022</v>
      </c>
      <c r="E12900" s="18" t="s">
        <v>0</v>
      </c>
      <c r="F12900" s="41">
        <v>1</v>
      </c>
      <c r="G12900" s="4">
        <v>12</v>
      </c>
      <c r="H12900" s="18">
        <v>21.216999999999999</v>
      </c>
      <c r="I12900" s="90"/>
      <c r="J12900" s="90"/>
    </row>
    <row r="12901" spans="1:10" s="15" customFormat="1" ht="16.5" hidden="1" customHeight="1" outlineLevel="1" x14ac:dyDescent="0.25">
      <c r="A12901" s="18">
        <v>5852</v>
      </c>
      <c r="B12901" s="4" t="s">
        <v>44</v>
      </c>
      <c r="C12901" s="38" t="s">
        <v>2548</v>
      </c>
      <c r="D12901" s="18">
        <v>2022</v>
      </c>
      <c r="E12901" s="18" t="s">
        <v>0</v>
      </c>
      <c r="F12901" s="41">
        <v>1</v>
      </c>
      <c r="G12901" s="4">
        <v>6</v>
      </c>
      <c r="H12901" s="18">
        <v>46.216000000000001</v>
      </c>
      <c r="I12901" s="90"/>
      <c r="J12901" s="90"/>
    </row>
    <row r="12902" spans="1:10" s="15" customFormat="1" ht="16.5" hidden="1" customHeight="1" outlineLevel="1" x14ac:dyDescent="0.25">
      <c r="A12902" s="18">
        <v>5853</v>
      </c>
      <c r="B12902" s="4" t="s">
        <v>44</v>
      </c>
      <c r="C12902" s="38" t="s">
        <v>7544</v>
      </c>
      <c r="D12902" s="18">
        <v>2022</v>
      </c>
      <c r="E12902" s="18" t="s">
        <v>0</v>
      </c>
      <c r="F12902" s="41">
        <v>1</v>
      </c>
      <c r="G12902" s="4">
        <v>15</v>
      </c>
      <c r="H12902" s="18">
        <v>23.75</v>
      </c>
      <c r="I12902" s="90"/>
      <c r="J12902" s="90"/>
    </row>
    <row r="12903" spans="1:10" s="15" customFormat="1" ht="16.5" hidden="1" customHeight="1" outlineLevel="1" x14ac:dyDescent="0.25">
      <c r="A12903" s="18">
        <v>5854</v>
      </c>
      <c r="B12903" s="4" t="s">
        <v>44</v>
      </c>
      <c r="C12903" s="38" t="s">
        <v>7545</v>
      </c>
      <c r="D12903" s="18">
        <v>2022</v>
      </c>
      <c r="E12903" s="18" t="s">
        <v>0</v>
      </c>
      <c r="F12903" s="41">
        <v>1</v>
      </c>
      <c r="G12903" s="4">
        <v>13</v>
      </c>
      <c r="H12903" s="18">
        <v>22.193000000000001</v>
      </c>
      <c r="I12903" s="90"/>
      <c r="J12903" s="90"/>
    </row>
    <row r="12904" spans="1:10" s="15" customFormat="1" ht="16.5" hidden="1" customHeight="1" outlineLevel="1" x14ac:dyDescent="0.25">
      <c r="A12904" s="18">
        <v>5855</v>
      </c>
      <c r="B12904" s="4" t="s">
        <v>44</v>
      </c>
      <c r="C12904" s="38" t="s">
        <v>7546</v>
      </c>
      <c r="D12904" s="18">
        <v>2022</v>
      </c>
      <c r="E12904" s="18" t="s">
        <v>0</v>
      </c>
      <c r="F12904" s="41">
        <v>1</v>
      </c>
      <c r="G12904" s="4">
        <v>11.5</v>
      </c>
      <c r="H12904" s="18">
        <v>20.177</v>
      </c>
      <c r="I12904" s="90"/>
      <c r="J12904" s="90"/>
    </row>
    <row r="12905" spans="1:10" s="15" customFormat="1" ht="16.5" hidden="1" customHeight="1" outlineLevel="1" x14ac:dyDescent="0.25">
      <c r="A12905" s="18">
        <v>5858</v>
      </c>
      <c r="B12905" s="4" t="s">
        <v>44</v>
      </c>
      <c r="C12905" s="38" t="s">
        <v>7547</v>
      </c>
      <c r="D12905" s="18">
        <v>2022</v>
      </c>
      <c r="E12905" s="18" t="s">
        <v>0</v>
      </c>
      <c r="F12905" s="41">
        <v>1</v>
      </c>
      <c r="G12905" s="4">
        <v>10</v>
      </c>
      <c r="H12905" s="18">
        <v>21.056000000000001</v>
      </c>
      <c r="I12905" s="90"/>
      <c r="J12905" s="90"/>
    </row>
    <row r="12906" spans="1:10" s="15" customFormat="1" ht="16.5" hidden="1" customHeight="1" outlineLevel="1" x14ac:dyDescent="0.25">
      <c r="A12906" s="18">
        <v>5862</v>
      </c>
      <c r="B12906" s="4" t="s">
        <v>44</v>
      </c>
      <c r="C12906" s="38" t="s">
        <v>7548</v>
      </c>
      <c r="D12906" s="18">
        <v>2022</v>
      </c>
      <c r="E12906" s="18" t="s">
        <v>0</v>
      </c>
      <c r="F12906" s="41">
        <v>1</v>
      </c>
      <c r="G12906" s="4">
        <v>15</v>
      </c>
      <c r="H12906" s="18">
        <v>22.193999999999999</v>
      </c>
      <c r="I12906" s="90"/>
      <c r="J12906" s="90"/>
    </row>
    <row r="12907" spans="1:10" s="15" customFormat="1" ht="16.5" hidden="1" customHeight="1" outlineLevel="1" x14ac:dyDescent="0.25">
      <c r="A12907" s="18">
        <v>5863</v>
      </c>
      <c r="B12907" s="4" t="s">
        <v>44</v>
      </c>
      <c r="C12907" s="38" t="s">
        <v>7549</v>
      </c>
      <c r="D12907" s="18">
        <v>2022</v>
      </c>
      <c r="E12907" s="18" t="s">
        <v>0</v>
      </c>
      <c r="F12907" s="41">
        <v>1</v>
      </c>
      <c r="G12907" s="4">
        <v>15</v>
      </c>
      <c r="H12907" s="18">
        <v>28.65</v>
      </c>
      <c r="I12907" s="90"/>
      <c r="J12907" s="90"/>
    </row>
    <row r="12908" spans="1:10" s="15" customFormat="1" ht="16.5" hidden="1" customHeight="1" outlineLevel="1" x14ac:dyDescent="0.25">
      <c r="A12908" s="18">
        <v>5878</v>
      </c>
      <c r="B12908" s="4" t="s">
        <v>44</v>
      </c>
      <c r="C12908" s="38" t="s">
        <v>7550</v>
      </c>
      <c r="D12908" s="18">
        <v>2022</v>
      </c>
      <c r="E12908" s="18" t="s">
        <v>0</v>
      </c>
      <c r="F12908" s="41">
        <v>1</v>
      </c>
      <c r="G12908" s="4">
        <v>15</v>
      </c>
      <c r="H12908" s="18">
        <v>20.786000000000001</v>
      </c>
      <c r="I12908" s="90"/>
      <c r="J12908" s="90"/>
    </row>
    <row r="12909" spans="1:10" s="15" customFormat="1" ht="16.5" hidden="1" customHeight="1" outlineLevel="1" x14ac:dyDescent="0.25">
      <c r="A12909" s="18">
        <v>5434</v>
      </c>
      <c r="B12909" s="4" t="s">
        <v>44</v>
      </c>
      <c r="C12909" s="38" t="s">
        <v>7551</v>
      </c>
      <c r="D12909" s="18">
        <v>2022</v>
      </c>
      <c r="E12909" s="18" t="s">
        <v>0</v>
      </c>
      <c r="F12909" s="41">
        <v>1</v>
      </c>
      <c r="G12909" s="4">
        <v>15</v>
      </c>
      <c r="H12909" s="18">
        <v>47.4</v>
      </c>
      <c r="I12909" s="90"/>
      <c r="J12909" s="90"/>
    </row>
    <row r="12910" spans="1:10" s="15" customFormat="1" ht="16.5" hidden="1" customHeight="1" outlineLevel="1" x14ac:dyDescent="0.25">
      <c r="A12910" s="18">
        <v>5436</v>
      </c>
      <c r="B12910" s="4" t="s">
        <v>44</v>
      </c>
      <c r="C12910" s="38" t="s">
        <v>2549</v>
      </c>
      <c r="D12910" s="18">
        <v>2022</v>
      </c>
      <c r="E12910" s="18" t="s">
        <v>0</v>
      </c>
      <c r="F12910" s="41">
        <v>1</v>
      </c>
      <c r="G12910" s="4">
        <v>15</v>
      </c>
      <c r="H12910" s="18">
        <v>43.798999999999999</v>
      </c>
      <c r="I12910" s="90"/>
      <c r="J12910" s="90"/>
    </row>
    <row r="12911" spans="1:10" s="15" customFormat="1" ht="16.5" hidden="1" customHeight="1" outlineLevel="1" x14ac:dyDescent="0.25">
      <c r="A12911" s="18">
        <v>5475</v>
      </c>
      <c r="B12911" s="4" t="s">
        <v>44</v>
      </c>
      <c r="C12911" s="38" t="s">
        <v>7552</v>
      </c>
      <c r="D12911" s="18">
        <v>2022</v>
      </c>
      <c r="E12911" s="18" t="s">
        <v>0</v>
      </c>
      <c r="F12911" s="41">
        <v>1</v>
      </c>
      <c r="G12911" s="4">
        <v>4.95</v>
      </c>
      <c r="H12911" s="18">
        <v>26.974</v>
      </c>
      <c r="I12911" s="90"/>
      <c r="J12911" s="90"/>
    </row>
    <row r="12912" spans="1:10" s="15" customFormat="1" ht="16.5" hidden="1" customHeight="1" outlineLevel="1" x14ac:dyDescent="0.25">
      <c r="A12912" s="18">
        <v>5480</v>
      </c>
      <c r="B12912" s="4" t="s">
        <v>44</v>
      </c>
      <c r="C12912" s="38" t="s">
        <v>7553</v>
      </c>
      <c r="D12912" s="18">
        <v>2022</v>
      </c>
      <c r="E12912" s="18" t="s">
        <v>0</v>
      </c>
      <c r="F12912" s="41">
        <v>1</v>
      </c>
      <c r="G12912" s="4">
        <v>5</v>
      </c>
      <c r="H12912" s="18">
        <v>46.070999999999998</v>
      </c>
      <c r="I12912" s="90"/>
      <c r="J12912" s="90"/>
    </row>
    <row r="12913" spans="1:10" s="15" customFormat="1" ht="16.5" hidden="1" customHeight="1" outlineLevel="1" x14ac:dyDescent="0.25">
      <c r="A12913" s="18">
        <v>5498</v>
      </c>
      <c r="B12913" s="4" t="s">
        <v>44</v>
      </c>
      <c r="C12913" s="38" t="s">
        <v>7554</v>
      </c>
      <c r="D12913" s="18">
        <v>2022</v>
      </c>
      <c r="E12913" s="18" t="s">
        <v>0</v>
      </c>
      <c r="F12913" s="41">
        <v>1</v>
      </c>
      <c r="G12913" s="4">
        <v>15</v>
      </c>
      <c r="H12913" s="18">
        <v>49.838000000000001</v>
      </c>
      <c r="I12913" s="90"/>
      <c r="J12913" s="90"/>
    </row>
    <row r="12914" spans="1:10" s="15" customFormat="1" ht="16.5" hidden="1" customHeight="1" outlineLevel="1" x14ac:dyDescent="0.25">
      <c r="A12914" s="18">
        <v>5508</v>
      </c>
      <c r="B12914" s="4" t="s">
        <v>44</v>
      </c>
      <c r="C12914" s="38" t="s">
        <v>7555</v>
      </c>
      <c r="D12914" s="18">
        <v>2022</v>
      </c>
      <c r="E12914" s="18" t="s">
        <v>0</v>
      </c>
      <c r="F12914" s="41">
        <v>1</v>
      </c>
      <c r="G12914" s="4">
        <v>10</v>
      </c>
      <c r="H12914" s="18">
        <v>48.654000000000003</v>
      </c>
      <c r="I12914" s="90"/>
      <c r="J12914" s="90"/>
    </row>
    <row r="12915" spans="1:10" s="15" customFormat="1" ht="16.5" hidden="1" customHeight="1" outlineLevel="1" x14ac:dyDescent="0.25">
      <c r="A12915" s="18">
        <v>5514</v>
      </c>
      <c r="B12915" s="4" t="s">
        <v>44</v>
      </c>
      <c r="C12915" s="38" t="s">
        <v>7556</v>
      </c>
      <c r="D12915" s="18">
        <v>2022</v>
      </c>
      <c r="E12915" s="18" t="s">
        <v>0</v>
      </c>
      <c r="F12915" s="41">
        <v>1</v>
      </c>
      <c r="G12915" s="4">
        <v>15</v>
      </c>
      <c r="H12915" s="18">
        <v>46.956000000000003</v>
      </c>
      <c r="I12915" s="90"/>
      <c r="J12915" s="90"/>
    </row>
    <row r="12916" spans="1:10" s="15" customFormat="1" ht="16.5" hidden="1" customHeight="1" outlineLevel="1" x14ac:dyDescent="0.25">
      <c r="A12916" s="18">
        <v>5515</v>
      </c>
      <c r="B12916" s="4" t="s">
        <v>44</v>
      </c>
      <c r="C12916" s="38" t="s">
        <v>7557</v>
      </c>
      <c r="D12916" s="18">
        <v>2022</v>
      </c>
      <c r="E12916" s="18" t="s">
        <v>0</v>
      </c>
      <c r="F12916" s="41">
        <v>1</v>
      </c>
      <c r="G12916" s="4">
        <v>15</v>
      </c>
      <c r="H12916" s="18">
        <v>45.04</v>
      </c>
      <c r="I12916" s="90"/>
      <c r="J12916" s="90"/>
    </row>
    <row r="12917" spans="1:10" s="15" customFormat="1" ht="16.5" hidden="1" customHeight="1" outlineLevel="1" x14ac:dyDescent="0.25">
      <c r="A12917" s="18">
        <v>5516</v>
      </c>
      <c r="B12917" s="4" t="s">
        <v>44</v>
      </c>
      <c r="C12917" s="38" t="s">
        <v>7558</v>
      </c>
      <c r="D12917" s="18">
        <v>2022</v>
      </c>
      <c r="E12917" s="18" t="s">
        <v>0</v>
      </c>
      <c r="F12917" s="41">
        <v>1</v>
      </c>
      <c r="G12917" s="4">
        <v>1.1000000000000001</v>
      </c>
      <c r="H12917" s="18">
        <v>26.248000000000001</v>
      </c>
      <c r="I12917" s="90"/>
      <c r="J12917" s="90"/>
    </row>
    <row r="12918" spans="1:10" s="15" customFormat="1" ht="16.5" hidden="1" customHeight="1" outlineLevel="1" x14ac:dyDescent="0.25">
      <c r="A12918" s="18">
        <v>5520</v>
      </c>
      <c r="B12918" s="4" t="s">
        <v>44</v>
      </c>
      <c r="C12918" s="38" t="s">
        <v>7559</v>
      </c>
      <c r="D12918" s="18">
        <v>2022</v>
      </c>
      <c r="E12918" s="18" t="s">
        <v>0</v>
      </c>
      <c r="F12918" s="41">
        <v>1</v>
      </c>
      <c r="G12918" s="4">
        <v>5</v>
      </c>
      <c r="H12918" s="18">
        <v>49.472000000000001</v>
      </c>
      <c r="I12918" s="90"/>
      <c r="J12918" s="90"/>
    </row>
    <row r="12919" spans="1:10" s="15" customFormat="1" ht="16.5" hidden="1" customHeight="1" outlineLevel="1" x14ac:dyDescent="0.25">
      <c r="A12919" s="18">
        <v>5534</v>
      </c>
      <c r="B12919" s="4" t="s">
        <v>44</v>
      </c>
      <c r="C12919" s="38" t="s">
        <v>7560</v>
      </c>
      <c r="D12919" s="18">
        <v>2022</v>
      </c>
      <c r="E12919" s="18" t="s">
        <v>0</v>
      </c>
      <c r="F12919" s="41">
        <v>1</v>
      </c>
      <c r="G12919" s="4">
        <v>12</v>
      </c>
      <c r="H12919" s="18">
        <v>45.031999999999996</v>
      </c>
      <c r="I12919" s="90"/>
      <c r="J12919" s="90"/>
    </row>
    <row r="12920" spans="1:10" s="15" customFormat="1" ht="16.5" hidden="1" customHeight="1" outlineLevel="1" x14ac:dyDescent="0.25">
      <c r="A12920" s="18">
        <v>5560</v>
      </c>
      <c r="B12920" s="4" t="s">
        <v>44</v>
      </c>
      <c r="C12920" s="38" t="s">
        <v>7561</v>
      </c>
      <c r="D12920" s="18">
        <v>2022</v>
      </c>
      <c r="E12920" s="18" t="s">
        <v>0</v>
      </c>
      <c r="F12920" s="41">
        <v>1</v>
      </c>
      <c r="G12920" s="4">
        <v>10</v>
      </c>
      <c r="H12920" s="18">
        <v>51.021999999999998</v>
      </c>
      <c r="I12920" s="90"/>
      <c r="J12920" s="90"/>
    </row>
    <row r="12921" spans="1:10" s="15" customFormat="1" ht="16.5" hidden="1" customHeight="1" outlineLevel="1" x14ac:dyDescent="0.25">
      <c r="A12921" s="18">
        <v>5582</v>
      </c>
      <c r="B12921" s="4" t="s">
        <v>44</v>
      </c>
      <c r="C12921" s="38" t="s">
        <v>7562</v>
      </c>
      <c r="D12921" s="18">
        <v>2022</v>
      </c>
      <c r="E12921" s="18" t="s">
        <v>0</v>
      </c>
      <c r="F12921" s="41">
        <v>1</v>
      </c>
      <c r="G12921" s="4">
        <v>15</v>
      </c>
      <c r="H12921" s="18">
        <v>47.62</v>
      </c>
      <c r="I12921" s="90"/>
      <c r="J12921" s="90"/>
    </row>
    <row r="12922" spans="1:10" s="15" customFormat="1" ht="16.5" hidden="1" customHeight="1" outlineLevel="1" x14ac:dyDescent="0.25">
      <c r="A12922" s="18">
        <v>5646</v>
      </c>
      <c r="B12922" s="4" t="s">
        <v>44</v>
      </c>
      <c r="C12922" s="38" t="s">
        <v>7563</v>
      </c>
      <c r="D12922" s="18">
        <v>2022</v>
      </c>
      <c r="E12922" s="18" t="s">
        <v>0</v>
      </c>
      <c r="F12922" s="41">
        <v>1</v>
      </c>
      <c r="G12922" s="4">
        <v>15</v>
      </c>
      <c r="H12922" s="18">
        <v>48.045999999999999</v>
      </c>
      <c r="I12922" s="90"/>
      <c r="J12922" s="90"/>
    </row>
    <row r="12923" spans="1:10" s="15" customFormat="1" ht="16.5" hidden="1" customHeight="1" outlineLevel="1" x14ac:dyDescent="0.25">
      <c r="A12923" s="18">
        <v>5648</v>
      </c>
      <c r="B12923" s="4" t="s">
        <v>44</v>
      </c>
      <c r="C12923" s="38" t="s">
        <v>7564</v>
      </c>
      <c r="D12923" s="18">
        <v>2022</v>
      </c>
      <c r="E12923" s="18" t="s">
        <v>0</v>
      </c>
      <c r="F12923" s="41">
        <v>1</v>
      </c>
      <c r="G12923" s="4">
        <v>15</v>
      </c>
      <c r="H12923" s="18">
        <v>48.063000000000002</v>
      </c>
      <c r="I12923" s="90"/>
      <c r="J12923" s="90"/>
    </row>
    <row r="12924" spans="1:10" s="15" customFormat="1" ht="16.5" hidden="1" customHeight="1" outlineLevel="1" x14ac:dyDescent="0.25">
      <c r="A12924" s="18">
        <v>5649</v>
      </c>
      <c r="B12924" s="4" t="s">
        <v>44</v>
      </c>
      <c r="C12924" s="38" t="s">
        <v>7565</v>
      </c>
      <c r="D12924" s="18">
        <v>2022</v>
      </c>
      <c r="E12924" s="18" t="s">
        <v>0</v>
      </c>
      <c r="F12924" s="41">
        <v>1</v>
      </c>
      <c r="G12924" s="4">
        <v>14</v>
      </c>
      <c r="H12924" s="18">
        <v>66.930999999999997</v>
      </c>
      <c r="I12924" s="90"/>
      <c r="J12924" s="90"/>
    </row>
    <row r="12925" spans="1:10" s="15" customFormat="1" ht="16.5" hidden="1" customHeight="1" outlineLevel="1" x14ac:dyDescent="0.25">
      <c r="A12925" s="18">
        <v>5650</v>
      </c>
      <c r="B12925" s="4" t="s">
        <v>44</v>
      </c>
      <c r="C12925" s="38" t="s">
        <v>7566</v>
      </c>
      <c r="D12925" s="18">
        <v>2022</v>
      </c>
      <c r="E12925" s="18" t="s">
        <v>0</v>
      </c>
      <c r="F12925" s="41">
        <v>1</v>
      </c>
      <c r="G12925" s="4">
        <v>14</v>
      </c>
      <c r="H12925" s="18">
        <v>68.275000000000006</v>
      </c>
      <c r="I12925" s="90"/>
      <c r="J12925" s="90"/>
    </row>
    <row r="12926" spans="1:10" s="15" customFormat="1" ht="16.5" hidden="1" customHeight="1" outlineLevel="1" x14ac:dyDescent="0.25">
      <c r="A12926" s="18">
        <v>5651</v>
      </c>
      <c r="B12926" s="4" t="s">
        <v>44</v>
      </c>
      <c r="C12926" s="38" t="s">
        <v>7567</v>
      </c>
      <c r="D12926" s="18">
        <v>2022</v>
      </c>
      <c r="E12926" s="18" t="s">
        <v>0</v>
      </c>
      <c r="F12926" s="41">
        <v>1</v>
      </c>
      <c r="G12926" s="4">
        <v>14</v>
      </c>
      <c r="H12926" s="18">
        <v>68.275000000000006</v>
      </c>
      <c r="I12926" s="90"/>
      <c r="J12926" s="90"/>
    </row>
    <row r="12927" spans="1:10" s="15" customFormat="1" ht="16.5" hidden="1" customHeight="1" outlineLevel="1" x14ac:dyDescent="0.25">
      <c r="A12927" s="18">
        <v>5652</v>
      </c>
      <c r="B12927" s="4" t="s">
        <v>44</v>
      </c>
      <c r="C12927" s="38" t="s">
        <v>7568</v>
      </c>
      <c r="D12927" s="18">
        <v>2022</v>
      </c>
      <c r="E12927" s="18" t="s">
        <v>0</v>
      </c>
      <c r="F12927" s="41">
        <v>1</v>
      </c>
      <c r="G12927" s="4">
        <v>14</v>
      </c>
      <c r="H12927" s="18">
        <v>68.212000000000003</v>
      </c>
      <c r="I12927" s="90"/>
      <c r="J12927" s="90"/>
    </row>
    <row r="12928" spans="1:10" s="15" customFormat="1" ht="16.5" hidden="1" customHeight="1" outlineLevel="1" x14ac:dyDescent="0.25">
      <c r="A12928" s="18">
        <v>5660</v>
      </c>
      <c r="B12928" s="4" t="s">
        <v>44</v>
      </c>
      <c r="C12928" s="38" t="s">
        <v>7569</v>
      </c>
      <c r="D12928" s="18">
        <v>2022</v>
      </c>
      <c r="E12928" s="18" t="s">
        <v>0</v>
      </c>
      <c r="F12928" s="41">
        <v>1</v>
      </c>
      <c r="G12928" s="4">
        <v>15</v>
      </c>
      <c r="H12928" s="18">
        <v>44.212000000000003</v>
      </c>
      <c r="I12928" s="90"/>
      <c r="J12928" s="90"/>
    </row>
    <row r="12929" spans="1:10" s="15" customFormat="1" ht="16.5" hidden="1" customHeight="1" outlineLevel="1" x14ac:dyDescent="0.25">
      <c r="A12929" s="18">
        <v>5662</v>
      </c>
      <c r="B12929" s="4" t="s">
        <v>44</v>
      </c>
      <c r="C12929" s="38" t="s">
        <v>7570</v>
      </c>
      <c r="D12929" s="18">
        <v>2022</v>
      </c>
      <c r="E12929" s="18" t="s">
        <v>0</v>
      </c>
      <c r="F12929" s="41">
        <v>1</v>
      </c>
      <c r="G12929" s="4">
        <v>15</v>
      </c>
      <c r="H12929" s="18">
        <v>47.463000000000001</v>
      </c>
      <c r="I12929" s="90"/>
      <c r="J12929" s="90"/>
    </row>
    <row r="12930" spans="1:10" s="15" customFormat="1" ht="16.5" hidden="1" customHeight="1" outlineLevel="1" x14ac:dyDescent="0.25">
      <c r="A12930" s="18">
        <v>5664</v>
      </c>
      <c r="B12930" s="4" t="s">
        <v>44</v>
      </c>
      <c r="C12930" s="38" t="s">
        <v>7571</v>
      </c>
      <c r="D12930" s="18">
        <v>2022</v>
      </c>
      <c r="E12930" s="18" t="s">
        <v>0</v>
      </c>
      <c r="F12930" s="41">
        <v>1</v>
      </c>
      <c r="G12930" s="4">
        <v>11</v>
      </c>
      <c r="H12930" s="18">
        <v>44.201999999999998</v>
      </c>
      <c r="I12930" s="90"/>
      <c r="J12930" s="90"/>
    </row>
    <row r="12931" spans="1:10" s="15" customFormat="1" ht="16.5" hidden="1" customHeight="1" outlineLevel="1" x14ac:dyDescent="0.25">
      <c r="A12931" s="18">
        <v>5675</v>
      </c>
      <c r="B12931" s="4" t="s">
        <v>44</v>
      </c>
      <c r="C12931" s="38" t="s">
        <v>7572</v>
      </c>
      <c r="D12931" s="18">
        <v>2022</v>
      </c>
      <c r="E12931" s="18" t="s">
        <v>0</v>
      </c>
      <c r="F12931" s="41">
        <v>1</v>
      </c>
      <c r="G12931" s="4">
        <v>15</v>
      </c>
      <c r="H12931" s="18">
        <v>50.256</v>
      </c>
      <c r="I12931" s="90"/>
      <c r="J12931" s="90"/>
    </row>
    <row r="12932" spans="1:10" s="15" customFormat="1" ht="16.5" hidden="1" customHeight="1" outlineLevel="1" x14ac:dyDescent="0.25">
      <c r="A12932" s="18">
        <v>5677</v>
      </c>
      <c r="B12932" s="4" t="s">
        <v>44</v>
      </c>
      <c r="C12932" s="38" t="s">
        <v>7573</v>
      </c>
      <c r="D12932" s="18">
        <v>2022</v>
      </c>
      <c r="E12932" s="18" t="s">
        <v>0</v>
      </c>
      <c r="F12932" s="41">
        <v>1</v>
      </c>
      <c r="G12932" s="4">
        <v>15</v>
      </c>
      <c r="H12932" s="18">
        <v>49.057000000000002</v>
      </c>
      <c r="I12932" s="90"/>
      <c r="J12932" s="90"/>
    </row>
    <row r="12933" spans="1:10" s="15" customFormat="1" ht="16.5" hidden="1" customHeight="1" outlineLevel="1" x14ac:dyDescent="0.25">
      <c r="A12933" s="18">
        <v>5679</v>
      </c>
      <c r="B12933" s="4" t="s">
        <v>44</v>
      </c>
      <c r="C12933" s="38" t="s">
        <v>7574</v>
      </c>
      <c r="D12933" s="18">
        <v>2022</v>
      </c>
      <c r="E12933" s="18" t="s">
        <v>0</v>
      </c>
      <c r="F12933" s="41">
        <v>1</v>
      </c>
      <c r="G12933" s="4">
        <v>10</v>
      </c>
      <c r="H12933" s="18">
        <v>48.457000000000001</v>
      </c>
      <c r="I12933" s="90"/>
      <c r="J12933" s="90"/>
    </row>
    <row r="12934" spans="1:10" s="15" customFormat="1" ht="16.5" hidden="1" customHeight="1" outlineLevel="1" x14ac:dyDescent="0.25">
      <c r="A12934" s="18">
        <v>5680</v>
      </c>
      <c r="B12934" s="4" t="s">
        <v>44</v>
      </c>
      <c r="C12934" s="38" t="s">
        <v>7575</v>
      </c>
      <c r="D12934" s="18">
        <v>2022</v>
      </c>
      <c r="E12934" s="18" t="s">
        <v>0</v>
      </c>
      <c r="F12934" s="41">
        <v>1</v>
      </c>
      <c r="G12934" s="4">
        <v>15</v>
      </c>
      <c r="H12934" s="18">
        <v>48.457000000000001</v>
      </c>
      <c r="I12934" s="90"/>
      <c r="J12934" s="90"/>
    </row>
    <row r="12935" spans="1:10" s="15" customFormat="1" ht="16.5" hidden="1" customHeight="1" outlineLevel="1" x14ac:dyDescent="0.25">
      <c r="A12935" s="18">
        <v>5681</v>
      </c>
      <c r="B12935" s="4" t="s">
        <v>44</v>
      </c>
      <c r="C12935" s="38" t="s">
        <v>7576</v>
      </c>
      <c r="D12935" s="18">
        <v>2022</v>
      </c>
      <c r="E12935" s="18" t="s">
        <v>0</v>
      </c>
      <c r="F12935" s="41">
        <v>1</v>
      </c>
      <c r="G12935" s="4">
        <v>15</v>
      </c>
      <c r="H12935" s="18">
        <v>49.506</v>
      </c>
      <c r="I12935" s="90"/>
      <c r="J12935" s="90"/>
    </row>
    <row r="12936" spans="1:10" s="15" customFormat="1" ht="16.5" hidden="1" customHeight="1" outlineLevel="1" x14ac:dyDescent="0.25">
      <c r="A12936" s="18">
        <v>5692</v>
      </c>
      <c r="B12936" s="4" t="s">
        <v>44</v>
      </c>
      <c r="C12936" s="38" t="s">
        <v>2550</v>
      </c>
      <c r="D12936" s="18">
        <v>2022</v>
      </c>
      <c r="E12936" s="18" t="s">
        <v>0</v>
      </c>
      <c r="F12936" s="41" t="s">
        <v>1109</v>
      </c>
      <c r="G12936" s="4">
        <v>15</v>
      </c>
      <c r="H12936" s="18">
        <v>31.021000000000001</v>
      </c>
      <c r="I12936" s="90"/>
      <c r="J12936" s="90"/>
    </row>
    <row r="12937" spans="1:10" s="15" customFormat="1" ht="16.5" hidden="1" customHeight="1" outlineLevel="1" x14ac:dyDescent="0.25">
      <c r="A12937" s="18">
        <v>5702</v>
      </c>
      <c r="B12937" s="4" t="s">
        <v>44</v>
      </c>
      <c r="C12937" s="38" t="s">
        <v>7577</v>
      </c>
      <c r="D12937" s="18">
        <v>2022</v>
      </c>
      <c r="E12937" s="18" t="s">
        <v>0</v>
      </c>
      <c r="F12937" s="41">
        <v>1</v>
      </c>
      <c r="G12937" s="4">
        <v>10</v>
      </c>
      <c r="H12937" s="18">
        <v>43.674999999999997</v>
      </c>
      <c r="I12937" s="90"/>
      <c r="J12937" s="90"/>
    </row>
    <row r="12938" spans="1:10" s="15" customFormat="1" ht="16.5" hidden="1" customHeight="1" outlineLevel="1" x14ac:dyDescent="0.25">
      <c r="A12938" s="18">
        <v>5708</v>
      </c>
      <c r="B12938" s="4" t="s">
        <v>44</v>
      </c>
      <c r="C12938" s="38" t="s">
        <v>7578</v>
      </c>
      <c r="D12938" s="18">
        <v>2022</v>
      </c>
      <c r="E12938" s="18" t="s">
        <v>0</v>
      </c>
      <c r="F12938" s="41" t="s">
        <v>1109</v>
      </c>
      <c r="G12938" s="4">
        <v>15</v>
      </c>
      <c r="H12938" s="18">
        <v>49.031999999999996</v>
      </c>
      <c r="I12938" s="90"/>
      <c r="J12938" s="90"/>
    </row>
    <row r="12939" spans="1:10" s="15" customFormat="1" ht="16.5" hidden="1" customHeight="1" outlineLevel="1" x14ac:dyDescent="0.25">
      <c r="A12939" s="18">
        <v>5709</v>
      </c>
      <c r="B12939" s="4" t="s">
        <v>44</v>
      </c>
      <c r="C12939" s="38" t="s">
        <v>7579</v>
      </c>
      <c r="D12939" s="18">
        <v>2022</v>
      </c>
      <c r="E12939" s="18" t="s">
        <v>0</v>
      </c>
      <c r="F12939" s="41" t="s">
        <v>1109</v>
      </c>
      <c r="G12939" s="4">
        <v>15</v>
      </c>
      <c r="H12939" s="18">
        <v>39.390999999999998</v>
      </c>
      <c r="I12939" s="90"/>
      <c r="J12939" s="90"/>
    </row>
    <row r="12940" spans="1:10" s="15" customFormat="1" ht="16.5" hidden="1" customHeight="1" outlineLevel="1" x14ac:dyDescent="0.25">
      <c r="A12940" s="18">
        <v>5716</v>
      </c>
      <c r="B12940" s="4" t="s">
        <v>44</v>
      </c>
      <c r="C12940" s="38" t="s">
        <v>7580</v>
      </c>
      <c r="D12940" s="18">
        <v>2022</v>
      </c>
      <c r="E12940" s="18" t="s">
        <v>0</v>
      </c>
      <c r="F12940" s="41" t="s">
        <v>1109</v>
      </c>
      <c r="G12940" s="4">
        <v>5</v>
      </c>
      <c r="H12940" s="18">
        <v>41.884999999999998</v>
      </c>
      <c r="I12940" s="90"/>
      <c r="J12940" s="90"/>
    </row>
    <row r="12941" spans="1:10" s="15" customFormat="1" ht="16.5" hidden="1" customHeight="1" outlineLevel="1" x14ac:dyDescent="0.25">
      <c r="A12941" s="18">
        <v>5762</v>
      </c>
      <c r="B12941" s="4" t="s">
        <v>44</v>
      </c>
      <c r="C12941" s="38" t="s">
        <v>7581</v>
      </c>
      <c r="D12941" s="18">
        <v>2022</v>
      </c>
      <c r="E12941" s="18" t="s">
        <v>0</v>
      </c>
      <c r="F12941" s="41" t="s">
        <v>1109</v>
      </c>
      <c r="G12941" s="4">
        <v>15</v>
      </c>
      <c r="H12941" s="18">
        <v>42.552999999999997</v>
      </c>
      <c r="I12941" s="90"/>
      <c r="J12941" s="90"/>
    </row>
    <row r="12942" spans="1:10" s="15" customFormat="1" ht="16.5" hidden="1" customHeight="1" outlineLevel="1" x14ac:dyDescent="0.25">
      <c r="A12942" s="18">
        <v>5766</v>
      </c>
      <c r="B12942" s="4" t="s">
        <v>44</v>
      </c>
      <c r="C12942" s="38" t="s">
        <v>2551</v>
      </c>
      <c r="D12942" s="18">
        <v>2022</v>
      </c>
      <c r="E12942" s="18" t="s">
        <v>0</v>
      </c>
      <c r="F12942" s="41">
        <v>1</v>
      </c>
      <c r="G12942" s="4">
        <v>15</v>
      </c>
      <c r="H12942" s="18">
        <v>51.91</v>
      </c>
      <c r="I12942" s="90"/>
      <c r="J12942" s="90"/>
    </row>
    <row r="12943" spans="1:10" s="15" customFormat="1" ht="16.5" hidden="1" customHeight="1" outlineLevel="1" x14ac:dyDescent="0.25">
      <c r="A12943" s="18">
        <v>5777</v>
      </c>
      <c r="B12943" s="4" t="s">
        <v>44</v>
      </c>
      <c r="C12943" s="38" t="s">
        <v>7582</v>
      </c>
      <c r="D12943" s="18">
        <v>2022</v>
      </c>
      <c r="E12943" s="18" t="s">
        <v>0</v>
      </c>
      <c r="F12943" s="41">
        <v>1</v>
      </c>
      <c r="G12943" s="4">
        <v>15</v>
      </c>
      <c r="H12943" s="18">
        <v>39.280999999999999</v>
      </c>
      <c r="I12943" s="90"/>
      <c r="J12943" s="90"/>
    </row>
    <row r="12944" spans="1:10" s="15" customFormat="1" ht="16.5" hidden="1" customHeight="1" outlineLevel="1" x14ac:dyDescent="0.25">
      <c r="A12944" s="18">
        <v>5781</v>
      </c>
      <c r="B12944" s="4" t="s">
        <v>44</v>
      </c>
      <c r="C12944" s="38" t="s">
        <v>7583</v>
      </c>
      <c r="D12944" s="18">
        <v>2022</v>
      </c>
      <c r="E12944" s="18" t="s">
        <v>0</v>
      </c>
      <c r="F12944" s="41">
        <v>1</v>
      </c>
      <c r="G12944" s="4">
        <v>11.5</v>
      </c>
      <c r="H12944" s="18">
        <v>38.985999999999997</v>
      </c>
      <c r="I12944" s="90"/>
      <c r="J12944" s="90"/>
    </row>
    <row r="12945" spans="1:10" s="15" customFormat="1" ht="16.5" hidden="1" customHeight="1" outlineLevel="1" x14ac:dyDescent="0.25">
      <c r="A12945" s="18">
        <v>5800</v>
      </c>
      <c r="B12945" s="4" t="s">
        <v>44</v>
      </c>
      <c r="C12945" s="38" t="s">
        <v>7584</v>
      </c>
      <c r="D12945" s="18">
        <v>2022</v>
      </c>
      <c r="E12945" s="18" t="s">
        <v>0</v>
      </c>
      <c r="F12945" s="41">
        <v>1</v>
      </c>
      <c r="G12945" s="4">
        <v>15</v>
      </c>
      <c r="H12945" s="18">
        <v>39.499000000000002</v>
      </c>
      <c r="I12945" s="90"/>
      <c r="J12945" s="90"/>
    </row>
    <row r="12946" spans="1:10" s="15" customFormat="1" ht="16.5" hidden="1" customHeight="1" outlineLevel="1" x14ac:dyDescent="0.25">
      <c r="A12946" s="18">
        <v>5806</v>
      </c>
      <c r="B12946" s="4" t="s">
        <v>44</v>
      </c>
      <c r="C12946" s="38" t="s">
        <v>7585</v>
      </c>
      <c r="D12946" s="18">
        <v>2022</v>
      </c>
      <c r="E12946" s="18" t="s">
        <v>0</v>
      </c>
      <c r="F12946" s="41">
        <v>1</v>
      </c>
      <c r="G12946" s="4">
        <v>10</v>
      </c>
      <c r="H12946" s="18">
        <v>42.994999999999997</v>
      </c>
      <c r="I12946" s="90"/>
      <c r="J12946" s="90"/>
    </row>
    <row r="12947" spans="1:10" s="15" customFormat="1" ht="16.5" hidden="1" customHeight="1" outlineLevel="1" x14ac:dyDescent="0.25">
      <c r="A12947" s="18">
        <v>5816</v>
      </c>
      <c r="B12947" s="4" t="s">
        <v>44</v>
      </c>
      <c r="C12947" s="38" t="s">
        <v>7586</v>
      </c>
      <c r="D12947" s="18">
        <v>2022</v>
      </c>
      <c r="E12947" s="18" t="s">
        <v>0</v>
      </c>
      <c r="F12947" s="41">
        <v>1</v>
      </c>
      <c r="G12947" s="4">
        <v>15</v>
      </c>
      <c r="H12947" s="18">
        <v>39.707000000000001</v>
      </c>
      <c r="I12947" s="90"/>
      <c r="J12947" s="90"/>
    </row>
    <row r="12948" spans="1:10" s="15" customFormat="1" ht="16.5" hidden="1" customHeight="1" outlineLevel="1" x14ac:dyDescent="0.25">
      <c r="A12948" s="18">
        <v>5824</v>
      </c>
      <c r="B12948" s="4" t="s">
        <v>44</v>
      </c>
      <c r="C12948" s="38" t="s">
        <v>2552</v>
      </c>
      <c r="D12948" s="18">
        <v>2022</v>
      </c>
      <c r="E12948" s="18" t="s">
        <v>0</v>
      </c>
      <c r="F12948" s="41">
        <v>1</v>
      </c>
      <c r="G12948" s="4">
        <v>10</v>
      </c>
      <c r="H12948" s="18">
        <v>65.409000000000006</v>
      </c>
      <c r="I12948" s="90"/>
      <c r="J12948" s="90"/>
    </row>
    <row r="12949" spans="1:10" s="15" customFormat="1" ht="16.5" hidden="1" customHeight="1" outlineLevel="1" x14ac:dyDescent="0.25">
      <c r="A12949" s="18">
        <v>5833</v>
      </c>
      <c r="B12949" s="4" t="s">
        <v>44</v>
      </c>
      <c r="C12949" s="38" t="s">
        <v>7587</v>
      </c>
      <c r="D12949" s="18">
        <v>2022</v>
      </c>
      <c r="E12949" s="18" t="s">
        <v>0</v>
      </c>
      <c r="F12949" s="41">
        <v>1</v>
      </c>
      <c r="G12949" s="4">
        <v>15</v>
      </c>
      <c r="H12949" s="18">
        <v>39.585000000000001</v>
      </c>
      <c r="I12949" s="90"/>
      <c r="J12949" s="90"/>
    </row>
    <row r="12950" spans="1:10" s="15" customFormat="1" ht="16.5" hidden="1" customHeight="1" outlineLevel="1" x14ac:dyDescent="0.25">
      <c r="A12950" s="18">
        <v>5836</v>
      </c>
      <c r="B12950" s="4" t="s">
        <v>44</v>
      </c>
      <c r="C12950" s="38" t="s">
        <v>7588</v>
      </c>
      <c r="D12950" s="18">
        <v>2022</v>
      </c>
      <c r="E12950" s="18" t="s">
        <v>0</v>
      </c>
      <c r="F12950" s="41">
        <v>1</v>
      </c>
      <c r="G12950" s="4">
        <v>11.5</v>
      </c>
      <c r="H12950" s="18">
        <v>39.585000000000001</v>
      </c>
      <c r="I12950" s="90"/>
      <c r="J12950" s="90"/>
    </row>
    <row r="12951" spans="1:10" s="15" customFormat="1" ht="16.5" hidden="1" customHeight="1" outlineLevel="1" x14ac:dyDescent="0.25">
      <c r="A12951" s="18">
        <v>5838</v>
      </c>
      <c r="B12951" s="4" t="s">
        <v>44</v>
      </c>
      <c r="C12951" s="38" t="s">
        <v>7589</v>
      </c>
      <c r="D12951" s="18">
        <v>2022</v>
      </c>
      <c r="E12951" s="18" t="s">
        <v>0</v>
      </c>
      <c r="F12951" s="41" t="s">
        <v>1109</v>
      </c>
      <c r="G12951" s="4">
        <v>15</v>
      </c>
      <c r="H12951" s="18">
        <v>39.585000000000001</v>
      </c>
      <c r="I12951" s="90"/>
      <c r="J12951" s="90"/>
    </row>
    <row r="12952" spans="1:10" s="15" customFormat="1" ht="16.5" hidden="1" customHeight="1" outlineLevel="1" x14ac:dyDescent="0.25">
      <c r="A12952" s="18">
        <v>5839</v>
      </c>
      <c r="B12952" s="4" t="s">
        <v>44</v>
      </c>
      <c r="C12952" s="38" t="s">
        <v>7590</v>
      </c>
      <c r="D12952" s="18">
        <v>2022</v>
      </c>
      <c r="E12952" s="18" t="s">
        <v>0</v>
      </c>
      <c r="F12952" s="41" t="s">
        <v>1109</v>
      </c>
      <c r="G12952" s="4">
        <v>1</v>
      </c>
      <c r="H12952" s="18">
        <v>39.585000000000001</v>
      </c>
      <c r="I12952" s="90"/>
      <c r="J12952" s="90"/>
    </row>
    <row r="12953" spans="1:10" s="15" customFormat="1" ht="16.5" hidden="1" customHeight="1" outlineLevel="1" x14ac:dyDescent="0.25">
      <c r="A12953" s="18">
        <v>5841</v>
      </c>
      <c r="B12953" s="4" t="s">
        <v>44</v>
      </c>
      <c r="C12953" s="38" t="s">
        <v>7591</v>
      </c>
      <c r="D12953" s="18">
        <v>2022</v>
      </c>
      <c r="E12953" s="18" t="s">
        <v>0</v>
      </c>
      <c r="F12953" s="41" t="s">
        <v>1109</v>
      </c>
      <c r="G12953" s="4">
        <v>9</v>
      </c>
      <c r="H12953" s="18">
        <v>39.427999999999997</v>
      </c>
      <c r="I12953" s="90"/>
      <c r="J12953" s="90"/>
    </row>
    <row r="12954" spans="1:10" s="15" customFormat="1" ht="16.5" hidden="1" customHeight="1" outlineLevel="1" x14ac:dyDescent="0.25">
      <c r="A12954" s="18">
        <v>5856</v>
      </c>
      <c r="B12954" s="4" t="s">
        <v>44</v>
      </c>
      <c r="C12954" s="38" t="s">
        <v>7592</v>
      </c>
      <c r="D12954" s="18">
        <v>2022</v>
      </c>
      <c r="E12954" s="18" t="s">
        <v>0</v>
      </c>
      <c r="F12954" s="41" t="s">
        <v>1109</v>
      </c>
      <c r="G12954" s="4">
        <v>15</v>
      </c>
      <c r="H12954" s="18">
        <v>20.387</v>
      </c>
      <c r="I12954" s="90"/>
      <c r="J12954" s="90"/>
    </row>
    <row r="12955" spans="1:10" s="15" customFormat="1" ht="16.5" hidden="1" customHeight="1" outlineLevel="1" x14ac:dyDescent="0.25">
      <c r="A12955" s="18">
        <v>5864</v>
      </c>
      <c r="B12955" s="4" t="s">
        <v>44</v>
      </c>
      <c r="C12955" s="38" t="s">
        <v>7593</v>
      </c>
      <c r="D12955" s="18">
        <v>2022</v>
      </c>
      <c r="E12955" s="18" t="s">
        <v>0</v>
      </c>
      <c r="F12955" s="41" t="s">
        <v>1109</v>
      </c>
      <c r="G12955" s="4">
        <v>4</v>
      </c>
      <c r="H12955" s="18">
        <v>18.72</v>
      </c>
      <c r="I12955" s="90"/>
      <c r="J12955" s="90"/>
    </row>
    <row r="12956" spans="1:10" s="15" customFormat="1" ht="16.5" hidden="1" customHeight="1" outlineLevel="1" x14ac:dyDescent="0.25">
      <c r="A12956" s="18">
        <v>5874</v>
      </c>
      <c r="B12956" s="4" t="s">
        <v>44</v>
      </c>
      <c r="C12956" s="38" t="s">
        <v>7594</v>
      </c>
      <c r="D12956" s="18">
        <v>2022</v>
      </c>
      <c r="E12956" s="18" t="s">
        <v>0</v>
      </c>
      <c r="F12956" s="41">
        <v>1</v>
      </c>
      <c r="G12956" s="4">
        <v>13</v>
      </c>
      <c r="H12956" s="18">
        <v>39.865000000000002</v>
      </c>
      <c r="I12956" s="90"/>
      <c r="J12956" s="90"/>
    </row>
    <row r="12957" spans="1:10" s="15" customFormat="1" ht="16.5" hidden="1" customHeight="1" outlineLevel="1" x14ac:dyDescent="0.25">
      <c r="A12957" s="18">
        <v>5875</v>
      </c>
      <c r="B12957" s="4" t="s">
        <v>44</v>
      </c>
      <c r="C12957" s="38" t="s">
        <v>7595</v>
      </c>
      <c r="D12957" s="18">
        <v>2022</v>
      </c>
      <c r="E12957" s="18" t="s">
        <v>0</v>
      </c>
      <c r="F12957" s="41">
        <v>1</v>
      </c>
      <c r="G12957" s="4">
        <v>15</v>
      </c>
      <c r="H12957" s="18">
        <v>21.145</v>
      </c>
      <c r="I12957" s="90"/>
      <c r="J12957" s="90"/>
    </row>
    <row r="12958" spans="1:10" s="15" customFormat="1" ht="16.5" hidden="1" customHeight="1" outlineLevel="1" x14ac:dyDescent="0.25">
      <c r="A12958" s="18">
        <v>5885</v>
      </c>
      <c r="B12958" s="4" t="s">
        <v>44</v>
      </c>
      <c r="C12958" s="38" t="s">
        <v>2553</v>
      </c>
      <c r="D12958" s="18">
        <v>2022</v>
      </c>
      <c r="E12958" s="18" t="s">
        <v>0</v>
      </c>
      <c r="F12958" s="41">
        <v>2</v>
      </c>
      <c r="G12958" s="4">
        <v>30</v>
      </c>
      <c r="H12958" s="18">
        <v>275.74599999999998</v>
      </c>
      <c r="I12958" s="90"/>
      <c r="J12958" s="90"/>
    </row>
    <row r="12959" spans="1:10" s="15" customFormat="1" ht="16.5" hidden="1" customHeight="1" outlineLevel="1" x14ac:dyDescent="0.25">
      <c r="A12959" s="18">
        <v>5462</v>
      </c>
      <c r="B12959" s="4" t="s">
        <v>44</v>
      </c>
      <c r="C12959" s="38" t="s">
        <v>7596</v>
      </c>
      <c r="D12959" s="18">
        <v>2022</v>
      </c>
      <c r="E12959" s="18" t="s">
        <v>0</v>
      </c>
      <c r="F12959" s="41">
        <v>1</v>
      </c>
      <c r="G12959" s="4">
        <v>15</v>
      </c>
      <c r="H12959" s="18">
        <v>42.325000000000003</v>
      </c>
      <c r="I12959" s="90"/>
      <c r="J12959" s="90"/>
    </row>
    <row r="12960" spans="1:10" s="15" customFormat="1" ht="16.5" hidden="1" customHeight="1" outlineLevel="1" x14ac:dyDescent="0.25">
      <c r="A12960" s="18">
        <v>5494</v>
      </c>
      <c r="B12960" s="4" t="s">
        <v>44</v>
      </c>
      <c r="C12960" s="38" t="s">
        <v>7597</v>
      </c>
      <c r="D12960" s="18">
        <v>2022</v>
      </c>
      <c r="E12960" s="18" t="s">
        <v>0</v>
      </c>
      <c r="F12960" s="41" t="s">
        <v>1109</v>
      </c>
      <c r="G12960" s="4">
        <v>15</v>
      </c>
      <c r="H12960" s="18">
        <v>26.085999999999999</v>
      </c>
      <c r="I12960" s="90"/>
      <c r="J12960" s="90"/>
    </row>
    <row r="12961" spans="1:10" s="15" customFormat="1" ht="16.5" hidden="1" customHeight="1" outlineLevel="1" x14ac:dyDescent="0.25">
      <c r="A12961" s="18">
        <v>5547</v>
      </c>
      <c r="B12961" s="4" t="s">
        <v>44</v>
      </c>
      <c r="C12961" s="38" t="s">
        <v>7598</v>
      </c>
      <c r="D12961" s="18">
        <v>2022</v>
      </c>
      <c r="E12961" s="18" t="s">
        <v>0</v>
      </c>
      <c r="F12961" s="41" t="s">
        <v>1109</v>
      </c>
      <c r="G12961" s="4">
        <v>5</v>
      </c>
      <c r="H12961" s="18">
        <v>54.750999999999998</v>
      </c>
      <c r="I12961" s="90"/>
      <c r="J12961" s="90"/>
    </row>
    <row r="12962" spans="1:10" s="15" customFormat="1" ht="16.5" hidden="1" customHeight="1" outlineLevel="1" x14ac:dyDescent="0.25">
      <c r="A12962" s="18">
        <v>5577</v>
      </c>
      <c r="B12962" s="4" t="s">
        <v>44</v>
      </c>
      <c r="C12962" s="38" t="s">
        <v>2554</v>
      </c>
      <c r="D12962" s="18">
        <v>2022</v>
      </c>
      <c r="E12962" s="18" t="s">
        <v>0</v>
      </c>
      <c r="F12962" s="41" t="s">
        <v>1109</v>
      </c>
      <c r="G12962" s="4">
        <v>15</v>
      </c>
      <c r="H12962" s="18">
        <v>58.671999999999997</v>
      </c>
      <c r="I12962" s="90"/>
      <c r="J12962" s="90"/>
    </row>
    <row r="12963" spans="1:10" s="15" customFormat="1" ht="16.5" hidden="1" customHeight="1" outlineLevel="1" x14ac:dyDescent="0.25">
      <c r="A12963" s="18">
        <v>5596</v>
      </c>
      <c r="B12963" s="4" t="s">
        <v>44</v>
      </c>
      <c r="C12963" s="38" t="s">
        <v>7599</v>
      </c>
      <c r="D12963" s="18">
        <v>2022</v>
      </c>
      <c r="E12963" s="18" t="s">
        <v>0</v>
      </c>
      <c r="F12963" s="41" t="s">
        <v>1109</v>
      </c>
      <c r="G12963" s="4">
        <v>15</v>
      </c>
      <c r="H12963" s="18">
        <v>45.570999999999998</v>
      </c>
      <c r="I12963" s="90"/>
      <c r="J12963" s="90"/>
    </row>
    <row r="12964" spans="1:10" s="15" customFormat="1" ht="16.5" hidden="1" customHeight="1" outlineLevel="1" x14ac:dyDescent="0.25">
      <c r="A12964" s="18">
        <v>5607</v>
      </c>
      <c r="B12964" s="4" t="s">
        <v>44</v>
      </c>
      <c r="C12964" s="38" t="s">
        <v>2555</v>
      </c>
      <c r="D12964" s="18">
        <v>2022</v>
      </c>
      <c r="E12964" s="18" t="s">
        <v>0</v>
      </c>
      <c r="F12964" s="41" t="s">
        <v>1109</v>
      </c>
      <c r="G12964" s="4">
        <v>10</v>
      </c>
      <c r="H12964" s="18">
        <v>69.036000000000001</v>
      </c>
      <c r="I12964" s="90"/>
      <c r="J12964" s="90"/>
    </row>
    <row r="12965" spans="1:10" s="15" customFormat="1" ht="16.5" hidden="1" customHeight="1" outlineLevel="1" x14ac:dyDescent="0.25">
      <c r="A12965" s="18">
        <v>5622</v>
      </c>
      <c r="B12965" s="4" t="s">
        <v>44</v>
      </c>
      <c r="C12965" s="38" t="s">
        <v>2556</v>
      </c>
      <c r="D12965" s="18">
        <v>2022</v>
      </c>
      <c r="E12965" s="18" t="s">
        <v>0</v>
      </c>
      <c r="F12965" s="41" t="s">
        <v>1109</v>
      </c>
      <c r="G12965" s="4">
        <v>15</v>
      </c>
      <c r="H12965" s="18">
        <v>51.686</v>
      </c>
      <c r="I12965" s="90"/>
      <c r="J12965" s="90"/>
    </row>
    <row r="12966" spans="1:10" s="15" customFormat="1" ht="16.5" hidden="1" customHeight="1" outlineLevel="1" x14ac:dyDescent="0.25">
      <c r="A12966" s="18">
        <v>5628</v>
      </c>
      <c r="B12966" s="4" t="s">
        <v>44</v>
      </c>
      <c r="C12966" s="38" t="s">
        <v>7600</v>
      </c>
      <c r="D12966" s="18">
        <v>2022</v>
      </c>
      <c r="E12966" s="18" t="s">
        <v>0</v>
      </c>
      <c r="F12966" s="41" t="s">
        <v>1109</v>
      </c>
      <c r="G12966" s="4">
        <v>15</v>
      </c>
      <c r="H12966" s="18">
        <v>51.008000000000003</v>
      </c>
      <c r="I12966" s="90"/>
      <c r="J12966" s="90"/>
    </row>
    <row r="12967" spans="1:10" s="15" customFormat="1" ht="16.5" hidden="1" customHeight="1" outlineLevel="1" x14ac:dyDescent="0.25">
      <c r="A12967" s="18">
        <v>5676</v>
      </c>
      <c r="B12967" s="4" t="s">
        <v>44</v>
      </c>
      <c r="C12967" s="38" t="s">
        <v>7601</v>
      </c>
      <c r="D12967" s="18">
        <v>2022</v>
      </c>
      <c r="E12967" s="18" t="s">
        <v>0</v>
      </c>
      <c r="F12967" s="41" t="s">
        <v>1109</v>
      </c>
      <c r="G12967" s="4">
        <v>15</v>
      </c>
      <c r="H12967" s="18">
        <v>51.2</v>
      </c>
      <c r="I12967" s="90"/>
      <c r="J12967" s="90"/>
    </row>
    <row r="12968" spans="1:10" s="15" customFormat="1" ht="16.5" hidden="1" customHeight="1" outlineLevel="1" x14ac:dyDescent="0.25">
      <c r="A12968" s="18">
        <v>5729</v>
      </c>
      <c r="B12968" s="4" t="s">
        <v>44</v>
      </c>
      <c r="C12968" s="38" t="s">
        <v>2557</v>
      </c>
      <c r="D12968" s="18">
        <v>2022</v>
      </c>
      <c r="E12968" s="18" t="s">
        <v>0</v>
      </c>
      <c r="F12968" s="41" t="s">
        <v>1109</v>
      </c>
      <c r="G12968" s="4">
        <v>10</v>
      </c>
      <c r="H12968" s="18">
        <v>49.817999999999998</v>
      </c>
      <c r="I12968" s="90"/>
      <c r="J12968" s="90"/>
    </row>
    <row r="12969" spans="1:10" s="15" customFormat="1" ht="16.5" hidden="1" customHeight="1" outlineLevel="1" x14ac:dyDescent="0.25">
      <c r="A12969" s="18">
        <v>5765</v>
      </c>
      <c r="B12969" s="4" t="s">
        <v>44</v>
      </c>
      <c r="C12969" s="38" t="s">
        <v>2558</v>
      </c>
      <c r="D12969" s="18">
        <v>2022</v>
      </c>
      <c r="E12969" s="18" t="s">
        <v>0</v>
      </c>
      <c r="F12969" s="41" t="s">
        <v>1109</v>
      </c>
      <c r="G12969" s="4">
        <v>10</v>
      </c>
      <c r="H12969" s="18">
        <v>33.331000000000003</v>
      </c>
      <c r="I12969" s="90"/>
      <c r="J12969" s="90"/>
    </row>
    <row r="12970" spans="1:10" s="15" customFormat="1" ht="16.5" hidden="1" customHeight="1" outlineLevel="1" x14ac:dyDescent="0.25">
      <c r="A12970" s="18">
        <v>5767</v>
      </c>
      <c r="B12970" s="4" t="s">
        <v>44</v>
      </c>
      <c r="C12970" s="38" t="s">
        <v>2559</v>
      </c>
      <c r="D12970" s="18">
        <v>2022</v>
      </c>
      <c r="E12970" s="18" t="s">
        <v>0</v>
      </c>
      <c r="F12970" s="41" t="s">
        <v>1109</v>
      </c>
      <c r="G12970" s="4">
        <v>15</v>
      </c>
      <c r="H12970" s="18">
        <v>44.265000000000001</v>
      </c>
      <c r="I12970" s="90"/>
      <c r="J12970" s="90"/>
    </row>
    <row r="12971" spans="1:10" s="15" customFormat="1" ht="16.5" hidden="1" customHeight="1" outlineLevel="1" x14ac:dyDescent="0.25">
      <c r="A12971" s="18">
        <v>5785</v>
      </c>
      <c r="B12971" s="4" t="s">
        <v>44</v>
      </c>
      <c r="C12971" s="38" t="s">
        <v>7602</v>
      </c>
      <c r="D12971" s="18">
        <v>2022</v>
      </c>
      <c r="E12971" s="18" t="s">
        <v>0</v>
      </c>
      <c r="F12971" s="41" t="s">
        <v>1109</v>
      </c>
      <c r="G12971" s="4">
        <v>15</v>
      </c>
      <c r="H12971" s="18">
        <v>43.738</v>
      </c>
      <c r="I12971" s="90"/>
      <c r="J12971" s="90"/>
    </row>
    <row r="12972" spans="1:10" s="15" customFormat="1" ht="16.5" hidden="1" customHeight="1" outlineLevel="1" x14ac:dyDescent="0.25">
      <c r="A12972" s="18">
        <v>5786</v>
      </c>
      <c r="B12972" s="4" t="s">
        <v>44</v>
      </c>
      <c r="C12972" s="38" t="s">
        <v>7603</v>
      </c>
      <c r="D12972" s="18">
        <v>2022</v>
      </c>
      <c r="E12972" s="18" t="s">
        <v>0</v>
      </c>
      <c r="F12972" s="41" t="s">
        <v>1109</v>
      </c>
      <c r="G12972" s="4">
        <v>15</v>
      </c>
      <c r="H12972" s="18">
        <v>41.631</v>
      </c>
      <c r="I12972" s="90"/>
      <c r="J12972" s="90"/>
    </row>
    <row r="12973" spans="1:10" s="15" customFormat="1" ht="16.5" hidden="1" customHeight="1" outlineLevel="1" x14ac:dyDescent="0.25">
      <c r="A12973" s="18">
        <v>5798</v>
      </c>
      <c r="B12973" s="4" t="s">
        <v>44</v>
      </c>
      <c r="C12973" s="38" t="s">
        <v>7604</v>
      </c>
      <c r="D12973" s="18">
        <v>2022</v>
      </c>
      <c r="E12973" s="18" t="s">
        <v>0</v>
      </c>
      <c r="F12973" s="41" t="s">
        <v>1109</v>
      </c>
      <c r="G12973" s="4">
        <v>15</v>
      </c>
      <c r="H12973" s="18">
        <v>42.420999999999999</v>
      </c>
      <c r="I12973" s="90"/>
      <c r="J12973" s="90"/>
    </row>
    <row r="12974" spans="1:10" s="15" customFormat="1" ht="16.5" hidden="1" customHeight="1" outlineLevel="1" x14ac:dyDescent="0.25">
      <c r="A12974" s="18">
        <v>5812</v>
      </c>
      <c r="B12974" s="4" t="s">
        <v>44</v>
      </c>
      <c r="C12974" s="38" t="s">
        <v>7605</v>
      </c>
      <c r="D12974" s="18">
        <v>2022</v>
      </c>
      <c r="E12974" s="18" t="s">
        <v>0</v>
      </c>
      <c r="F12974" s="41" t="s">
        <v>1109</v>
      </c>
      <c r="G12974" s="4">
        <v>15</v>
      </c>
      <c r="H12974" s="18">
        <v>41.631</v>
      </c>
      <c r="I12974" s="90"/>
      <c r="J12974" s="90"/>
    </row>
    <row r="12975" spans="1:10" s="15" customFormat="1" ht="16.5" hidden="1" customHeight="1" outlineLevel="1" x14ac:dyDescent="0.25">
      <c r="A12975" s="18">
        <v>5825</v>
      </c>
      <c r="B12975" s="4" t="s">
        <v>44</v>
      </c>
      <c r="C12975" s="38" t="s">
        <v>2561</v>
      </c>
      <c r="D12975" s="18">
        <v>2022</v>
      </c>
      <c r="E12975" s="18" t="s">
        <v>0</v>
      </c>
      <c r="F12975" s="41" t="s">
        <v>1109</v>
      </c>
      <c r="G12975" s="4">
        <v>15</v>
      </c>
      <c r="H12975" s="18">
        <v>51.896000000000001</v>
      </c>
      <c r="I12975" s="90"/>
      <c r="J12975" s="90"/>
    </row>
    <row r="12976" spans="1:10" s="15" customFormat="1" ht="16.5" hidden="1" customHeight="1" outlineLevel="1" x14ac:dyDescent="0.25">
      <c r="A12976" s="18">
        <v>5826</v>
      </c>
      <c r="B12976" s="4" t="s">
        <v>44</v>
      </c>
      <c r="C12976" s="38" t="s">
        <v>2562</v>
      </c>
      <c r="D12976" s="18">
        <v>2022</v>
      </c>
      <c r="E12976" s="18" t="s">
        <v>0</v>
      </c>
      <c r="F12976" s="41">
        <v>2</v>
      </c>
      <c r="G12976" s="4">
        <v>30</v>
      </c>
      <c r="H12976" s="18">
        <v>107.22</v>
      </c>
      <c r="I12976" s="90"/>
      <c r="J12976" s="90"/>
    </row>
    <row r="12977" spans="1:10" s="15" customFormat="1" ht="16.5" hidden="1" customHeight="1" outlineLevel="1" x14ac:dyDescent="0.25">
      <c r="A12977" s="18">
        <v>5827</v>
      </c>
      <c r="B12977" s="4" t="s">
        <v>44</v>
      </c>
      <c r="C12977" s="38" t="s">
        <v>2563</v>
      </c>
      <c r="D12977" s="18">
        <v>2022</v>
      </c>
      <c r="E12977" s="18" t="s">
        <v>0</v>
      </c>
      <c r="F12977" s="41">
        <v>3</v>
      </c>
      <c r="G12977" s="4">
        <v>33</v>
      </c>
      <c r="H12977" s="18">
        <v>165.46700000000001</v>
      </c>
      <c r="I12977" s="90"/>
      <c r="J12977" s="90"/>
    </row>
    <row r="12978" spans="1:10" s="15" customFormat="1" ht="16.5" hidden="1" customHeight="1" outlineLevel="1" x14ac:dyDescent="0.25">
      <c r="A12978" s="18">
        <v>5857</v>
      </c>
      <c r="B12978" s="4" t="s">
        <v>44</v>
      </c>
      <c r="C12978" s="38" t="s">
        <v>7606</v>
      </c>
      <c r="D12978" s="18">
        <v>2022</v>
      </c>
      <c r="E12978" s="18" t="s">
        <v>0</v>
      </c>
      <c r="F12978" s="41" t="s">
        <v>1109</v>
      </c>
      <c r="G12978" s="4">
        <v>10</v>
      </c>
      <c r="H12978" s="18">
        <v>42.890999999999998</v>
      </c>
      <c r="I12978" s="90"/>
      <c r="J12978" s="90"/>
    </row>
    <row r="12979" spans="1:10" s="15" customFormat="1" ht="16.5" hidden="1" customHeight="1" outlineLevel="1" x14ac:dyDescent="0.25">
      <c r="A12979" s="18">
        <v>5860</v>
      </c>
      <c r="B12979" s="4" t="s">
        <v>44</v>
      </c>
      <c r="C12979" s="38" t="s">
        <v>2564</v>
      </c>
      <c r="D12979" s="18">
        <v>2022</v>
      </c>
      <c r="E12979" s="18" t="s">
        <v>0</v>
      </c>
      <c r="F12979" s="41" t="s">
        <v>1109</v>
      </c>
      <c r="G12979" s="4">
        <v>60</v>
      </c>
      <c r="H12979" s="18">
        <v>71.191000000000003</v>
      </c>
      <c r="I12979" s="90"/>
      <c r="J12979" s="90"/>
    </row>
    <row r="12980" spans="1:10" s="15" customFormat="1" ht="16.5" hidden="1" customHeight="1" outlineLevel="1" x14ac:dyDescent="0.25">
      <c r="A12980" s="18">
        <v>5861</v>
      </c>
      <c r="B12980" s="4" t="s">
        <v>44</v>
      </c>
      <c r="C12980" s="38" t="s">
        <v>2860</v>
      </c>
      <c r="D12980" s="18">
        <v>2022</v>
      </c>
      <c r="E12980" s="18" t="s">
        <v>0</v>
      </c>
      <c r="F12980" s="41" t="s">
        <v>1109</v>
      </c>
      <c r="G12980" s="4">
        <v>150</v>
      </c>
      <c r="H12980" s="18">
        <v>80.537999999999997</v>
      </c>
      <c r="I12980" s="90"/>
      <c r="J12980" s="90"/>
    </row>
    <row r="12981" spans="1:10" s="15" customFormat="1" ht="16.5" hidden="1" customHeight="1" outlineLevel="1" x14ac:dyDescent="0.25">
      <c r="A12981" s="18">
        <v>5873</v>
      </c>
      <c r="B12981" s="4" t="s">
        <v>44</v>
      </c>
      <c r="C12981" s="38" t="s">
        <v>7607</v>
      </c>
      <c r="D12981" s="18">
        <v>2022</v>
      </c>
      <c r="E12981" s="18" t="s">
        <v>0</v>
      </c>
      <c r="F12981" s="41" t="s">
        <v>1109</v>
      </c>
      <c r="G12981" s="4">
        <v>5</v>
      </c>
      <c r="H12981" s="18">
        <v>42.271999999999998</v>
      </c>
      <c r="I12981" s="90"/>
      <c r="J12981" s="90"/>
    </row>
    <row r="12982" spans="1:10" s="15" customFormat="1" ht="16.5" hidden="1" customHeight="1" outlineLevel="1" x14ac:dyDescent="0.25">
      <c r="A12982" s="18">
        <v>5877</v>
      </c>
      <c r="B12982" s="4" t="s">
        <v>44</v>
      </c>
      <c r="C12982" s="38" t="s">
        <v>7608</v>
      </c>
      <c r="D12982" s="18">
        <v>2022</v>
      </c>
      <c r="E12982" s="18" t="s">
        <v>0</v>
      </c>
      <c r="F12982" s="41" t="s">
        <v>1109</v>
      </c>
      <c r="G12982" s="4">
        <v>10</v>
      </c>
      <c r="H12982" s="18">
        <v>40.164000000000001</v>
      </c>
      <c r="I12982" s="90"/>
      <c r="J12982" s="90"/>
    </row>
    <row r="12983" spans="1:10" s="15" customFormat="1" ht="16.5" hidden="1" customHeight="1" outlineLevel="1" x14ac:dyDescent="0.25">
      <c r="A12983" s="18">
        <v>5879</v>
      </c>
      <c r="B12983" s="4" t="s">
        <v>44</v>
      </c>
      <c r="C12983" s="38" t="s">
        <v>7609</v>
      </c>
      <c r="D12983" s="18">
        <v>2022</v>
      </c>
      <c r="E12983" s="18" t="s">
        <v>0</v>
      </c>
      <c r="F12983" s="41" t="s">
        <v>1109</v>
      </c>
      <c r="G12983" s="4">
        <v>7</v>
      </c>
      <c r="H12983" s="18">
        <v>36.581000000000003</v>
      </c>
      <c r="I12983" s="90"/>
      <c r="J12983" s="90"/>
    </row>
    <row r="12984" spans="1:10" s="15" customFormat="1" ht="16.5" hidden="1" customHeight="1" outlineLevel="1" x14ac:dyDescent="0.25">
      <c r="A12984" s="18">
        <v>5880</v>
      </c>
      <c r="B12984" s="4" t="s">
        <v>44</v>
      </c>
      <c r="C12984" s="38" t="s">
        <v>7610</v>
      </c>
      <c r="D12984" s="18">
        <v>2022</v>
      </c>
      <c r="E12984" s="18" t="s">
        <v>0</v>
      </c>
      <c r="F12984" s="41" t="s">
        <v>1109</v>
      </c>
      <c r="G12984" s="4">
        <v>15</v>
      </c>
      <c r="H12984" s="18">
        <v>20.687999999999999</v>
      </c>
      <c r="I12984" s="90"/>
      <c r="J12984" s="90"/>
    </row>
    <row r="12985" spans="1:10" s="15" customFormat="1" ht="16.5" hidden="1" customHeight="1" outlineLevel="1" x14ac:dyDescent="0.25">
      <c r="A12985" s="18">
        <v>5881</v>
      </c>
      <c r="B12985" s="4" t="s">
        <v>44</v>
      </c>
      <c r="C12985" s="38" t="s">
        <v>7611</v>
      </c>
      <c r="D12985" s="18">
        <v>2022</v>
      </c>
      <c r="E12985" s="18" t="s">
        <v>0</v>
      </c>
      <c r="F12985" s="41" t="s">
        <v>1109</v>
      </c>
      <c r="G12985" s="4">
        <v>2</v>
      </c>
      <c r="H12985" s="18">
        <v>21.811</v>
      </c>
      <c r="I12985" s="90"/>
      <c r="J12985" s="90"/>
    </row>
    <row r="12986" spans="1:10" s="15" customFormat="1" ht="16.5" hidden="1" customHeight="1" outlineLevel="1" x14ac:dyDescent="0.25">
      <c r="A12986" s="18">
        <v>5882</v>
      </c>
      <c r="B12986" s="4" t="s">
        <v>44</v>
      </c>
      <c r="C12986" s="38" t="s">
        <v>7612</v>
      </c>
      <c r="D12986" s="18">
        <v>2022</v>
      </c>
      <c r="E12986" s="18" t="s">
        <v>0</v>
      </c>
      <c r="F12986" s="41" t="s">
        <v>1109</v>
      </c>
      <c r="G12986" s="4">
        <v>10</v>
      </c>
      <c r="H12986" s="18">
        <v>15.709</v>
      </c>
      <c r="I12986" s="90"/>
      <c r="J12986" s="90"/>
    </row>
    <row r="12987" spans="1:10" s="15" customFormat="1" ht="16.5" hidden="1" customHeight="1" outlineLevel="1" x14ac:dyDescent="0.25">
      <c r="A12987" s="18">
        <v>5883</v>
      </c>
      <c r="B12987" s="4" t="s">
        <v>44</v>
      </c>
      <c r="C12987" s="38" t="s">
        <v>7613</v>
      </c>
      <c r="D12987" s="18">
        <v>2022</v>
      </c>
      <c r="E12987" s="18" t="s">
        <v>0</v>
      </c>
      <c r="F12987" s="41" t="s">
        <v>1109</v>
      </c>
      <c r="G12987" s="4">
        <v>15</v>
      </c>
      <c r="H12987" s="18">
        <v>45.531999999999996</v>
      </c>
      <c r="I12987" s="90"/>
      <c r="J12987" s="90"/>
    </row>
    <row r="12988" spans="1:10" s="15" customFormat="1" ht="16.5" hidden="1" customHeight="1" outlineLevel="1" x14ac:dyDescent="0.25">
      <c r="A12988" s="18">
        <v>5884</v>
      </c>
      <c r="B12988" s="4" t="s">
        <v>44</v>
      </c>
      <c r="C12988" s="38" t="s">
        <v>7614</v>
      </c>
      <c r="D12988" s="18">
        <v>2022</v>
      </c>
      <c r="E12988" s="18" t="s">
        <v>0</v>
      </c>
      <c r="F12988" s="41" t="s">
        <v>1109</v>
      </c>
      <c r="G12988" s="4">
        <v>10</v>
      </c>
      <c r="H12988" s="18">
        <v>39.298000000000002</v>
      </c>
      <c r="I12988" s="90"/>
      <c r="J12988" s="90"/>
    </row>
    <row r="12989" spans="1:10" s="15" customFormat="1" ht="16.5" hidden="1" customHeight="1" outlineLevel="1" x14ac:dyDescent="0.25">
      <c r="A12989" s="18">
        <v>5886</v>
      </c>
      <c r="B12989" s="4" t="s">
        <v>44</v>
      </c>
      <c r="C12989" s="38" t="s">
        <v>7615</v>
      </c>
      <c r="D12989" s="18">
        <v>2022</v>
      </c>
      <c r="E12989" s="18" t="s">
        <v>0</v>
      </c>
      <c r="F12989" s="41" t="s">
        <v>1109</v>
      </c>
      <c r="G12989" s="4">
        <v>10</v>
      </c>
      <c r="H12989" s="18">
        <v>38.301000000000002</v>
      </c>
      <c r="I12989" s="90"/>
      <c r="J12989" s="90"/>
    </row>
    <row r="12990" spans="1:10" s="15" customFormat="1" ht="16.5" hidden="1" customHeight="1" outlineLevel="1" x14ac:dyDescent="0.25">
      <c r="A12990" s="18">
        <v>5887</v>
      </c>
      <c r="B12990" s="4" t="s">
        <v>44</v>
      </c>
      <c r="C12990" s="38" t="s">
        <v>7616</v>
      </c>
      <c r="D12990" s="18">
        <v>2022</v>
      </c>
      <c r="E12990" s="18" t="s">
        <v>0</v>
      </c>
      <c r="F12990" s="41" t="s">
        <v>1109</v>
      </c>
      <c r="G12990" s="4">
        <v>15</v>
      </c>
      <c r="H12990" s="18">
        <v>40.045000000000002</v>
      </c>
      <c r="I12990" s="90"/>
      <c r="J12990" s="90"/>
    </row>
    <row r="12991" spans="1:10" s="15" customFormat="1" ht="16.5" hidden="1" customHeight="1" outlineLevel="1" x14ac:dyDescent="0.25">
      <c r="A12991" s="18">
        <v>5888</v>
      </c>
      <c r="B12991" s="4" t="s">
        <v>44</v>
      </c>
      <c r="C12991" s="38" t="s">
        <v>7617</v>
      </c>
      <c r="D12991" s="18">
        <v>2022</v>
      </c>
      <c r="E12991" s="18" t="s">
        <v>0</v>
      </c>
      <c r="F12991" s="41" t="s">
        <v>1109</v>
      </c>
      <c r="G12991" s="4">
        <v>15</v>
      </c>
      <c r="H12991" s="18">
        <v>40.045000000000002</v>
      </c>
      <c r="I12991" s="90"/>
      <c r="J12991" s="90"/>
    </row>
    <row r="12992" spans="1:10" s="15" customFormat="1" ht="16.5" hidden="1" customHeight="1" outlineLevel="1" x14ac:dyDescent="0.25">
      <c r="A12992" s="18">
        <v>5889</v>
      </c>
      <c r="B12992" s="4" t="s">
        <v>44</v>
      </c>
      <c r="C12992" s="38" t="s">
        <v>7618</v>
      </c>
      <c r="D12992" s="18">
        <v>2022</v>
      </c>
      <c r="E12992" s="18" t="s">
        <v>0</v>
      </c>
      <c r="F12992" s="41" t="s">
        <v>1109</v>
      </c>
      <c r="G12992" s="4">
        <v>15</v>
      </c>
      <c r="H12992" s="18">
        <v>40.045000000000002</v>
      </c>
      <c r="I12992" s="90"/>
      <c r="J12992" s="90"/>
    </row>
    <row r="12993" spans="1:10" s="15" customFormat="1" ht="16.5" hidden="1" customHeight="1" outlineLevel="1" x14ac:dyDescent="0.25">
      <c r="A12993" s="18">
        <v>5890</v>
      </c>
      <c r="B12993" s="4" t="s">
        <v>44</v>
      </c>
      <c r="C12993" s="38" t="s">
        <v>7619</v>
      </c>
      <c r="D12993" s="18">
        <v>2022</v>
      </c>
      <c r="E12993" s="18" t="s">
        <v>0</v>
      </c>
      <c r="F12993" s="41" t="s">
        <v>1109</v>
      </c>
      <c r="G12993" s="4">
        <v>15</v>
      </c>
      <c r="H12993" s="18">
        <v>38.549999999999997</v>
      </c>
      <c r="I12993" s="90"/>
      <c r="J12993" s="90"/>
    </row>
    <row r="12994" spans="1:10" s="15" customFormat="1" ht="16.5" hidden="1" customHeight="1" outlineLevel="1" x14ac:dyDescent="0.25">
      <c r="A12994" s="18">
        <v>5891</v>
      </c>
      <c r="B12994" s="4" t="s">
        <v>44</v>
      </c>
      <c r="C12994" s="38" t="s">
        <v>7620</v>
      </c>
      <c r="D12994" s="18">
        <v>2022</v>
      </c>
      <c r="E12994" s="18" t="s">
        <v>0</v>
      </c>
      <c r="F12994" s="41" t="s">
        <v>1109</v>
      </c>
      <c r="G12994" s="4">
        <v>15</v>
      </c>
      <c r="H12994" s="18">
        <v>38.561999999999998</v>
      </c>
      <c r="I12994" s="90"/>
      <c r="J12994" s="90"/>
    </row>
    <row r="12995" spans="1:10" s="15" customFormat="1" ht="16.5" hidden="1" customHeight="1" outlineLevel="1" x14ac:dyDescent="0.25">
      <c r="A12995" s="18">
        <v>5892</v>
      </c>
      <c r="B12995" s="4" t="s">
        <v>44</v>
      </c>
      <c r="C12995" s="38" t="s">
        <v>7621</v>
      </c>
      <c r="D12995" s="18">
        <v>2022</v>
      </c>
      <c r="E12995" s="18" t="s">
        <v>0</v>
      </c>
      <c r="F12995" s="41" t="s">
        <v>1109</v>
      </c>
      <c r="G12995" s="4">
        <v>15</v>
      </c>
      <c r="H12995" s="18">
        <v>38.551000000000002</v>
      </c>
      <c r="I12995" s="90"/>
      <c r="J12995" s="90"/>
    </row>
    <row r="12996" spans="1:10" s="15" customFormat="1" ht="16.5" hidden="1" customHeight="1" outlineLevel="1" x14ac:dyDescent="0.25">
      <c r="A12996" s="18">
        <v>149</v>
      </c>
      <c r="B12996" s="4" t="s">
        <v>44</v>
      </c>
      <c r="C12996" s="38" t="s">
        <v>2569</v>
      </c>
      <c r="D12996" s="18">
        <v>2022</v>
      </c>
      <c r="E12996" s="18" t="s">
        <v>0</v>
      </c>
      <c r="F12996" s="41">
        <v>2</v>
      </c>
      <c r="G12996" s="4">
        <v>30</v>
      </c>
      <c r="H12996" s="18">
        <v>279</v>
      </c>
      <c r="I12996" s="90"/>
      <c r="J12996" s="90"/>
    </row>
    <row r="12997" spans="1:10" s="15" customFormat="1" ht="16.5" hidden="1" customHeight="1" outlineLevel="1" x14ac:dyDescent="0.25">
      <c r="A12997" s="18">
        <v>179</v>
      </c>
      <c r="B12997" s="4" t="s">
        <v>44</v>
      </c>
      <c r="C12997" s="38" t="s">
        <v>3139</v>
      </c>
      <c r="D12997" s="18">
        <v>2022</v>
      </c>
      <c r="E12997" s="18" t="s">
        <v>0</v>
      </c>
      <c r="F12997" s="41">
        <v>1</v>
      </c>
      <c r="G12997" s="4">
        <v>100</v>
      </c>
      <c r="H12997" s="18">
        <v>27</v>
      </c>
      <c r="I12997" s="90"/>
      <c r="J12997" s="90"/>
    </row>
    <row r="12998" spans="1:10" s="15" customFormat="1" ht="16.5" hidden="1" customHeight="1" outlineLevel="1" x14ac:dyDescent="0.25">
      <c r="A12998" s="18">
        <v>118</v>
      </c>
      <c r="B12998" s="4" t="s">
        <v>44</v>
      </c>
      <c r="C12998" s="38" t="s">
        <v>2571</v>
      </c>
      <c r="D12998" s="18">
        <v>2022</v>
      </c>
      <c r="E12998" s="18" t="s">
        <v>0</v>
      </c>
      <c r="F12998" s="41">
        <v>1</v>
      </c>
      <c r="G12998" s="4">
        <v>100</v>
      </c>
      <c r="H12998" s="18">
        <v>32</v>
      </c>
      <c r="I12998" s="90"/>
      <c r="J12998" s="90"/>
    </row>
    <row r="12999" spans="1:10" s="15" customFormat="1" ht="16.5" hidden="1" customHeight="1" outlineLevel="1" x14ac:dyDescent="0.25">
      <c r="A12999" s="18">
        <v>114</v>
      </c>
      <c r="B12999" s="4" t="s">
        <v>44</v>
      </c>
      <c r="C12999" s="38" t="s">
        <v>2572</v>
      </c>
      <c r="D12999" s="18">
        <v>2022</v>
      </c>
      <c r="E12999" s="18" t="s">
        <v>0</v>
      </c>
      <c r="F12999" s="41">
        <v>2</v>
      </c>
      <c r="G12999" s="4">
        <v>14</v>
      </c>
      <c r="H12999" s="18">
        <v>59</v>
      </c>
      <c r="I12999" s="90"/>
      <c r="J12999" s="90"/>
    </row>
    <row r="13000" spans="1:10" s="15" customFormat="1" ht="16.5" hidden="1" customHeight="1" outlineLevel="1" x14ac:dyDescent="0.25">
      <c r="A13000" s="18">
        <v>119</v>
      </c>
      <c r="B13000" s="4" t="s">
        <v>44</v>
      </c>
      <c r="C13000" s="38" t="s">
        <v>2575</v>
      </c>
      <c r="D13000" s="18">
        <v>2022</v>
      </c>
      <c r="E13000" s="18" t="s">
        <v>0</v>
      </c>
      <c r="F13000" s="41">
        <v>1</v>
      </c>
      <c r="G13000" s="4">
        <v>15</v>
      </c>
      <c r="H13000" s="18">
        <v>28</v>
      </c>
      <c r="I13000" s="90"/>
      <c r="J13000" s="90"/>
    </row>
    <row r="13001" spans="1:10" s="15" customFormat="1" ht="16.5" hidden="1" customHeight="1" outlineLevel="1" x14ac:dyDescent="0.25">
      <c r="A13001" s="18">
        <v>112</v>
      </c>
      <c r="B13001" s="4" t="s">
        <v>44</v>
      </c>
      <c r="C13001" s="38" t="s">
        <v>2576</v>
      </c>
      <c r="D13001" s="18">
        <v>2022</v>
      </c>
      <c r="E13001" s="18" t="s">
        <v>0</v>
      </c>
      <c r="F13001" s="41">
        <v>2</v>
      </c>
      <c r="G13001" s="4">
        <v>20</v>
      </c>
      <c r="H13001" s="18">
        <v>55</v>
      </c>
      <c r="I13001" s="90"/>
      <c r="J13001" s="90"/>
    </row>
    <row r="13002" spans="1:10" s="15" customFormat="1" ht="16.5" hidden="1" customHeight="1" outlineLevel="1" x14ac:dyDescent="0.25">
      <c r="A13002" s="18">
        <v>48</v>
      </c>
      <c r="B13002" s="4" t="s">
        <v>44</v>
      </c>
      <c r="C13002" s="38" t="s">
        <v>2577</v>
      </c>
      <c r="D13002" s="18">
        <v>2022</v>
      </c>
      <c r="E13002" s="18" t="s">
        <v>0</v>
      </c>
      <c r="F13002" s="41">
        <v>2</v>
      </c>
      <c r="G13002" s="4">
        <v>30</v>
      </c>
      <c r="H13002" s="18">
        <v>54</v>
      </c>
      <c r="I13002" s="90"/>
      <c r="J13002" s="90"/>
    </row>
    <row r="13003" spans="1:10" s="15" customFormat="1" ht="16.5" hidden="1" customHeight="1" outlineLevel="1" x14ac:dyDescent="0.25">
      <c r="A13003" s="18">
        <v>181</v>
      </c>
      <c r="B13003" s="4" t="s">
        <v>44</v>
      </c>
      <c r="C13003" s="38" t="s">
        <v>2578</v>
      </c>
      <c r="D13003" s="18">
        <v>2022</v>
      </c>
      <c r="E13003" s="18" t="s">
        <v>0</v>
      </c>
      <c r="F13003" s="41">
        <v>1</v>
      </c>
      <c r="G13003" s="4">
        <v>15</v>
      </c>
      <c r="H13003" s="18">
        <v>42</v>
      </c>
      <c r="I13003" s="90"/>
      <c r="J13003" s="90"/>
    </row>
    <row r="13004" spans="1:10" s="15" customFormat="1" ht="16.5" hidden="1" customHeight="1" outlineLevel="1" x14ac:dyDescent="0.25">
      <c r="A13004" s="18">
        <v>116</v>
      </c>
      <c r="B13004" s="4" t="s">
        <v>44</v>
      </c>
      <c r="C13004" s="38" t="s">
        <v>2579</v>
      </c>
      <c r="D13004" s="18">
        <v>2022</v>
      </c>
      <c r="E13004" s="18" t="s">
        <v>0</v>
      </c>
      <c r="F13004" s="41">
        <v>1</v>
      </c>
      <c r="G13004" s="4">
        <v>150</v>
      </c>
      <c r="H13004" s="18">
        <v>39</v>
      </c>
      <c r="I13004" s="90"/>
      <c r="J13004" s="90"/>
    </row>
    <row r="13005" spans="1:10" s="15" customFormat="1" ht="16.5" hidden="1" customHeight="1" outlineLevel="1" x14ac:dyDescent="0.25">
      <c r="A13005" s="18">
        <v>108</v>
      </c>
      <c r="B13005" s="4" t="s">
        <v>44</v>
      </c>
      <c r="C13005" s="38" t="s">
        <v>2580</v>
      </c>
      <c r="D13005" s="18">
        <v>2022</v>
      </c>
      <c r="E13005" s="18" t="s">
        <v>0</v>
      </c>
      <c r="F13005" s="41">
        <v>1</v>
      </c>
      <c r="G13005" s="4">
        <v>15</v>
      </c>
      <c r="H13005" s="18">
        <v>29</v>
      </c>
      <c r="I13005" s="90"/>
      <c r="J13005" s="90"/>
    </row>
    <row r="13006" spans="1:10" s="15" customFormat="1" ht="16.5" hidden="1" customHeight="1" outlineLevel="1" x14ac:dyDescent="0.25">
      <c r="A13006" s="18">
        <v>110</v>
      </c>
      <c r="B13006" s="4" t="s">
        <v>44</v>
      </c>
      <c r="C13006" s="38" t="s">
        <v>2581</v>
      </c>
      <c r="D13006" s="18">
        <v>2022</v>
      </c>
      <c r="E13006" s="18" t="s">
        <v>0</v>
      </c>
      <c r="F13006" s="41">
        <v>1</v>
      </c>
      <c r="G13006" s="4">
        <v>15</v>
      </c>
      <c r="H13006" s="18">
        <v>38</v>
      </c>
      <c r="I13006" s="90"/>
      <c r="J13006" s="90"/>
    </row>
    <row r="13007" spans="1:10" s="15" customFormat="1" ht="16.5" hidden="1" customHeight="1" outlineLevel="1" x14ac:dyDescent="0.25">
      <c r="A13007" s="18">
        <v>117</v>
      </c>
      <c r="B13007" s="4" t="s">
        <v>44</v>
      </c>
      <c r="C13007" s="38" t="s">
        <v>2582</v>
      </c>
      <c r="D13007" s="18">
        <v>2022</v>
      </c>
      <c r="E13007" s="18" t="s">
        <v>0</v>
      </c>
      <c r="F13007" s="41">
        <v>1</v>
      </c>
      <c r="G13007" s="4">
        <v>15</v>
      </c>
      <c r="H13007" s="18">
        <v>25</v>
      </c>
      <c r="I13007" s="90"/>
      <c r="J13007" s="90"/>
    </row>
    <row r="13008" spans="1:10" s="15" customFormat="1" ht="16.5" hidden="1" customHeight="1" outlineLevel="1" x14ac:dyDescent="0.25">
      <c r="A13008" s="18">
        <v>113</v>
      </c>
      <c r="B13008" s="4" t="s">
        <v>44</v>
      </c>
      <c r="C13008" s="38" t="s">
        <v>2583</v>
      </c>
      <c r="D13008" s="18">
        <v>2022</v>
      </c>
      <c r="E13008" s="18" t="s">
        <v>0</v>
      </c>
      <c r="F13008" s="41">
        <v>1</v>
      </c>
      <c r="G13008" s="4">
        <v>7</v>
      </c>
      <c r="H13008" s="18">
        <v>42</v>
      </c>
      <c r="I13008" s="90"/>
      <c r="J13008" s="90"/>
    </row>
    <row r="13009" spans="1:10" s="15" customFormat="1" ht="16.5" hidden="1" customHeight="1" outlineLevel="1" x14ac:dyDescent="0.25">
      <c r="A13009" s="18">
        <v>152</v>
      </c>
      <c r="B13009" s="4" t="s">
        <v>44</v>
      </c>
      <c r="C13009" s="38" t="s">
        <v>2584</v>
      </c>
      <c r="D13009" s="18">
        <v>2022</v>
      </c>
      <c r="E13009" s="18" t="s">
        <v>0</v>
      </c>
      <c r="F13009" s="41">
        <v>1</v>
      </c>
      <c r="G13009" s="4">
        <v>150</v>
      </c>
      <c r="H13009" s="18">
        <v>18</v>
      </c>
      <c r="I13009" s="90"/>
      <c r="J13009" s="90"/>
    </row>
    <row r="13010" spans="1:10" s="15" customFormat="1" ht="16.5" hidden="1" customHeight="1" outlineLevel="1" x14ac:dyDescent="0.25">
      <c r="A13010" s="18">
        <v>111</v>
      </c>
      <c r="B13010" s="4" t="s">
        <v>44</v>
      </c>
      <c r="C13010" s="38" t="s">
        <v>2585</v>
      </c>
      <c r="D13010" s="18">
        <v>2022</v>
      </c>
      <c r="E13010" s="18" t="s">
        <v>0</v>
      </c>
      <c r="F13010" s="41">
        <v>1</v>
      </c>
      <c r="G13010" s="4">
        <v>10</v>
      </c>
      <c r="H13010" s="18">
        <v>40</v>
      </c>
      <c r="I13010" s="90"/>
      <c r="J13010" s="90"/>
    </row>
    <row r="13011" spans="1:10" s="15" customFormat="1" ht="16.5" hidden="1" customHeight="1" outlineLevel="1" x14ac:dyDescent="0.25">
      <c r="A13011" s="18">
        <v>140</v>
      </c>
      <c r="B13011" s="4" t="s">
        <v>44</v>
      </c>
      <c r="C13011" s="38" t="s">
        <v>2586</v>
      </c>
      <c r="D13011" s="18">
        <v>2022</v>
      </c>
      <c r="E13011" s="18" t="s">
        <v>0</v>
      </c>
      <c r="F13011" s="41">
        <v>1</v>
      </c>
      <c r="G13011" s="4">
        <v>15</v>
      </c>
      <c r="H13011" s="18">
        <v>36</v>
      </c>
      <c r="I13011" s="90"/>
      <c r="J13011" s="90"/>
    </row>
    <row r="13012" spans="1:10" s="15" customFormat="1" ht="16.5" hidden="1" customHeight="1" outlineLevel="1" x14ac:dyDescent="0.25">
      <c r="A13012" s="18">
        <v>156</v>
      </c>
      <c r="B13012" s="4" t="s">
        <v>44</v>
      </c>
      <c r="C13012" s="38" t="s">
        <v>2587</v>
      </c>
      <c r="D13012" s="18">
        <v>2022</v>
      </c>
      <c r="E13012" s="18" t="s">
        <v>0</v>
      </c>
      <c r="F13012" s="41">
        <v>2</v>
      </c>
      <c r="G13012" s="4">
        <v>30</v>
      </c>
      <c r="H13012" s="18">
        <v>47</v>
      </c>
      <c r="I13012" s="90"/>
      <c r="J13012" s="90"/>
    </row>
    <row r="13013" spans="1:10" s="15" customFormat="1" ht="16.5" hidden="1" customHeight="1" outlineLevel="1" x14ac:dyDescent="0.25">
      <c r="A13013" s="18">
        <v>157</v>
      </c>
      <c r="B13013" s="4" t="s">
        <v>44</v>
      </c>
      <c r="C13013" s="38" t="s">
        <v>2588</v>
      </c>
      <c r="D13013" s="18">
        <v>2022</v>
      </c>
      <c r="E13013" s="18" t="s">
        <v>0</v>
      </c>
      <c r="F13013" s="41">
        <v>1</v>
      </c>
      <c r="G13013" s="4">
        <v>15</v>
      </c>
      <c r="H13013" s="18">
        <v>24</v>
      </c>
      <c r="I13013" s="90"/>
      <c r="J13013" s="90"/>
    </row>
    <row r="13014" spans="1:10" s="15" customFormat="1" ht="16.5" hidden="1" customHeight="1" outlineLevel="1" x14ac:dyDescent="0.25">
      <c r="A13014" s="18">
        <v>141</v>
      </c>
      <c r="B13014" s="4" t="s">
        <v>44</v>
      </c>
      <c r="C13014" s="38" t="s">
        <v>2589</v>
      </c>
      <c r="D13014" s="18">
        <v>2022</v>
      </c>
      <c r="E13014" s="18" t="s">
        <v>0</v>
      </c>
      <c r="F13014" s="41">
        <v>1</v>
      </c>
      <c r="G13014" s="4">
        <v>10</v>
      </c>
      <c r="H13014" s="18">
        <v>24</v>
      </c>
      <c r="I13014" s="90"/>
      <c r="J13014" s="90"/>
    </row>
    <row r="13015" spans="1:10" s="15" customFormat="1" ht="16.5" hidden="1" customHeight="1" outlineLevel="1" x14ac:dyDescent="0.25">
      <c r="A13015" s="18">
        <v>202</v>
      </c>
      <c r="B13015" s="4" t="s">
        <v>44</v>
      </c>
      <c r="C13015" s="38" t="s">
        <v>2590</v>
      </c>
      <c r="D13015" s="18">
        <v>2022</v>
      </c>
      <c r="E13015" s="18" t="s">
        <v>0</v>
      </c>
      <c r="F13015" s="41">
        <v>4</v>
      </c>
      <c r="G13015" s="4">
        <v>60</v>
      </c>
      <c r="H13015" s="18">
        <v>114</v>
      </c>
      <c r="I13015" s="90"/>
      <c r="J13015" s="90"/>
    </row>
    <row r="13016" spans="1:10" s="15" customFormat="1" ht="16.5" hidden="1" customHeight="1" outlineLevel="1" x14ac:dyDescent="0.25">
      <c r="A13016" s="18">
        <v>206</v>
      </c>
      <c r="B13016" s="4" t="s">
        <v>44</v>
      </c>
      <c r="C13016" s="38" t="s">
        <v>2593</v>
      </c>
      <c r="D13016" s="18">
        <v>2022</v>
      </c>
      <c r="E13016" s="18" t="s">
        <v>0</v>
      </c>
      <c r="F13016" s="41">
        <v>4</v>
      </c>
      <c r="G13016" s="4">
        <v>60</v>
      </c>
      <c r="H13016" s="18">
        <v>260</v>
      </c>
      <c r="I13016" s="90"/>
      <c r="J13016" s="90"/>
    </row>
    <row r="13017" spans="1:10" s="15" customFormat="1" ht="16.5" hidden="1" customHeight="1" outlineLevel="1" x14ac:dyDescent="0.25">
      <c r="A13017" s="18">
        <v>251</v>
      </c>
      <c r="B13017" s="4" t="s">
        <v>44</v>
      </c>
      <c r="C13017" s="38" t="s">
        <v>2595</v>
      </c>
      <c r="D13017" s="18">
        <v>2022</v>
      </c>
      <c r="E13017" s="18" t="s">
        <v>0</v>
      </c>
      <c r="F13017" s="41">
        <v>1</v>
      </c>
      <c r="G13017" s="4">
        <v>45</v>
      </c>
      <c r="H13017" s="18">
        <v>209</v>
      </c>
      <c r="I13017" s="90"/>
      <c r="J13017" s="90"/>
    </row>
    <row r="13018" spans="1:10" s="15" customFormat="1" ht="16.5" hidden="1" customHeight="1" outlineLevel="1" x14ac:dyDescent="0.25">
      <c r="A13018" s="18">
        <v>128</v>
      </c>
      <c r="B13018" s="4" t="s">
        <v>44</v>
      </c>
      <c r="C13018" s="38" t="s">
        <v>2598</v>
      </c>
      <c r="D13018" s="18">
        <v>2022</v>
      </c>
      <c r="E13018" s="18" t="s">
        <v>0</v>
      </c>
      <c r="F13018" s="41">
        <v>2</v>
      </c>
      <c r="G13018" s="4">
        <v>45</v>
      </c>
      <c r="H13018" s="18">
        <v>73</v>
      </c>
      <c r="I13018" s="90"/>
      <c r="J13018" s="90"/>
    </row>
    <row r="13019" spans="1:10" s="15" customFormat="1" ht="16.5" hidden="1" customHeight="1" outlineLevel="1" x14ac:dyDescent="0.25">
      <c r="A13019" s="18">
        <v>154</v>
      </c>
      <c r="B13019" s="4" t="s">
        <v>44</v>
      </c>
      <c r="C13019" s="38" t="s">
        <v>2599</v>
      </c>
      <c r="D13019" s="18">
        <v>2022</v>
      </c>
      <c r="E13019" s="18" t="s">
        <v>0</v>
      </c>
      <c r="F13019" s="41">
        <v>1</v>
      </c>
      <c r="G13019" s="4">
        <v>10</v>
      </c>
      <c r="H13019" s="18">
        <v>26</v>
      </c>
      <c r="I13019" s="90"/>
      <c r="J13019" s="90"/>
    </row>
    <row r="13020" spans="1:10" s="15" customFormat="1" ht="16.5" hidden="1" customHeight="1" outlineLevel="1" x14ac:dyDescent="0.25">
      <c r="A13020" s="18">
        <v>155</v>
      </c>
      <c r="B13020" s="4" t="s">
        <v>44</v>
      </c>
      <c r="C13020" s="38" t="s">
        <v>2600</v>
      </c>
      <c r="D13020" s="18">
        <v>2022</v>
      </c>
      <c r="E13020" s="18" t="s">
        <v>0</v>
      </c>
      <c r="F13020" s="41">
        <v>1</v>
      </c>
      <c r="G13020" s="4">
        <v>15</v>
      </c>
      <c r="H13020" s="18">
        <v>26</v>
      </c>
      <c r="I13020" s="90"/>
      <c r="J13020" s="90"/>
    </row>
    <row r="13021" spans="1:10" s="15" customFormat="1" ht="16.5" hidden="1" customHeight="1" outlineLevel="1" x14ac:dyDescent="0.25">
      <c r="A13021" s="18">
        <v>145</v>
      </c>
      <c r="B13021" s="4" t="s">
        <v>44</v>
      </c>
      <c r="C13021" s="38" t="s">
        <v>2602</v>
      </c>
      <c r="D13021" s="18">
        <v>2022</v>
      </c>
      <c r="E13021" s="18" t="s">
        <v>0</v>
      </c>
      <c r="F13021" s="41">
        <v>1</v>
      </c>
      <c r="G13021" s="4">
        <v>15</v>
      </c>
      <c r="H13021" s="18">
        <v>33</v>
      </c>
      <c r="I13021" s="90"/>
      <c r="J13021" s="90"/>
    </row>
    <row r="13022" spans="1:10" s="15" customFormat="1" ht="16.5" hidden="1" customHeight="1" outlineLevel="1" x14ac:dyDescent="0.25">
      <c r="A13022" s="18">
        <v>143</v>
      </c>
      <c r="B13022" s="4" t="s">
        <v>44</v>
      </c>
      <c r="C13022" s="38" t="s">
        <v>2603</v>
      </c>
      <c r="D13022" s="18">
        <v>2022</v>
      </c>
      <c r="E13022" s="18" t="s">
        <v>0</v>
      </c>
      <c r="F13022" s="41">
        <v>1</v>
      </c>
      <c r="G13022" s="4">
        <v>15</v>
      </c>
      <c r="H13022" s="18">
        <v>30</v>
      </c>
      <c r="I13022" s="90"/>
      <c r="J13022" s="90"/>
    </row>
    <row r="13023" spans="1:10" s="15" customFormat="1" ht="16.5" hidden="1" customHeight="1" outlineLevel="1" x14ac:dyDescent="0.25">
      <c r="A13023" s="18">
        <v>147</v>
      </c>
      <c r="B13023" s="4" t="s">
        <v>44</v>
      </c>
      <c r="C13023" s="38" t="s">
        <v>2604</v>
      </c>
      <c r="D13023" s="18">
        <v>2022</v>
      </c>
      <c r="E13023" s="18" t="s">
        <v>0</v>
      </c>
      <c r="F13023" s="41">
        <v>1</v>
      </c>
      <c r="G13023" s="4">
        <v>15</v>
      </c>
      <c r="H13023" s="18">
        <v>27</v>
      </c>
      <c r="I13023" s="90"/>
      <c r="J13023" s="90"/>
    </row>
    <row r="13024" spans="1:10" s="15" customFormat="1" ht="16.5" hidden="1" customHeight="1" outlineLevel="1" x14ac:dyDescent="0.25">
      <c r="A13024" s="18">
        <v>165</v>
      </c>
      <c r="B13024" s="4" t="s">
        <v>44</v>
      </c>
      <c r="C13024" s="38" t="s">
        <v>2605</v>
      </c>
      <c r="D13024" s="18">
        <v>2022</v>
      </c>
      <c r="E13024" s="18" t="s">
        <v>0</v>
      </c>
      <c r="F13024" s="41">
        <v>1</v>
      </c>
      <c r="G13024" s="4">
        <v>15</v>
      </c>
      <c r="H13024" s="18">
        <v>24</v>
      </c>
      <c r="I13024" s="90"/>
      <c r="J13024" s="90"/>
    </row>
    <row r="13025" spans="1:10" s="15" customFormat="1" ht="16.5" hidden="1" customHeight="1" outlineLevel="1" x14ac:dyDescent="0.25">
      <c r="A13025" s="18">
        <v>169</v>
      </c>
      <c r="B13025" s="4" t="s">
        <v>44</v>
      </c>
      <c r="C13025" s="38" t="s">
        <v>2606</v>
      </c>
      <c r="D13025" s="18">
        <v>2022</v>
      </c>
      <c r="E13025" s="18" t="s">
        <v>0</v>
      </c>
      <c r="F13025" s="41">
        <v>1</v>
      </c>
      <c r="G13025" s="4">
        <v>15</v>
      </c>
      <c r="H13025" s="18">
        <v>27</v>
      </c>
      <c r="I13025" s="90"/>
      <c r="J13025" s="90"/>
    </row>
    <row r="13026" spans="1:10" s="15" customFormat="1" ht="16.5" hidden="1" customHeight="1" outlineLevel="1" x14ac:dyDescent="0.25">
      <c r="A13026" s="18">
        <v>217</v>
      </c>
      <c r="B13026" s="4" t="s">
        <v>44</v>
      </c>
      <c r="C13026" s="38" t="s">
        <v>2607</v>
      </c>
      <c r="D13026" s="18">
        <v>2022</v>
      </c>
      <c r="E13026" s="18" t="s">
        <v>0</v>
      </c>
      <c r="F13026" s="41">
        <v>1</v>
      </c>
      <c r="G13026" s="4">
        <v>10</v>
      </c>
      <c r="H13026" s="18">
        <v>26</v>
      </c>
      <c r="I13026" s="90"/>
      <c r="J13026" s="90"/>
    </row>
    <row r="13027" spans="1:10" s="15" customFormat="1" ht="16.5" hidden="1" customHeight="1" outlineLevel="1" x14ac:dyDescent="0.25">
      <c r="A13027" s="18">
        <v>213</v>
      </c>
      <c r="B13027" s="4" t="s">
        <v>44</v>
      </c>
      <c r="C13027" s="38" t="s">
        <v>2608</v>
      </c>
      <c r="D13027" s="18">
        <v>2022</v>
      </c>
      <c r="E13027" s="18" t="s">
        <v>0</v>
      </c>
      <c r="F13027" s="41">
        <v>1</v>
      </c>
      <c r="G13027" s="4">
        <v>15</v>
      </c>
      <c r="H13027" s="18">
        <v>30</v>
      </c>
      <c r="I13027" s="90"/>
      <c r="J13027" s="90"/>
    </row>
    <row r="13028" spans="1:10" s="15" customFormat="1" ht="16.5" hidden="1" customHeight="1" outlineLevel="1" x14ac:dyDescent="0.25">
      <c r="A13028" s="18">
        <v>223</v>
      </c>
      <c r="B13028" s="4" t="s">
        <v>44</v>
      </c>
      <c r="C13028" s="38" t="s">
        <v>2609</v>
      </c>
      <c r="D13028" s="18">
        <v>2022</v>
      </c>
      <c r="E13028" s="18" t="s">
        <v>0</v>
      </c>
      <c r="F13028" s="41">
        <v>1</v>
      </c>
      <c r="G13028" s="4">
        <v>15</v>
      </c>
      <c r="H13028" s="18">
        <v>29</v>
      </c>
      <c r="I13028" s="90"/>
      <c r="J13028" s="90"/>
    </row>
    <row r="13029" spans="1:10" s="15" customFormat="1" ht="16.5" hidden="1" customHeight="1" outlineLevel="1" x14ac:dyDescent="0.25">
      <c r="A13029" s="18">
        <v>215</v>
      </c>
      <c r="B13029" s="4" t="s">
        <v>44</v>
      </c>
      <c r="C13029" s="38" t="s">
        <v>2610</v>
      </c>
      <c r="D13029" s="18">
        <v>2022</v>
      </c>
      <c r="E13029" s="18" t="s">
        <v>0</v>
      </c>
      <c r="F13029" s="41">
        <v>1</v>
      </c>
      <c r="G13029" s="4">
        <v>10</v>
      </c>
      <c r="H13029" s="18">
        <v>26</v>
      </c>
      <c r="I13029" s="90"/>
      <c r="J13029" s="90"/>
    </row>
    <row r="13030" spans="1:10" s="15" customFormat="1" ht="16.5" hidden="1" customHeight="1" outlineLevel="1" x14ac:dyDescent="0.25">
      <c r="A13030" s="18">
        <v>144</v>
      </c>
      <c r="B13030" s="4" t="s">
        <v>44</v>
      </c>
      <c r="C13030" s="38" t="s">
        <v>2611</v>
      </c>
      <c r="D13030" s="18">
        <v>2022</v>
      </c>
      <c r="E13030" s="18" t="s">
        <v>0</v>
      </c>
      <c r="F13030" s="41">
        <v>1</v>
      </c>
      <c r="G13030" s="4">
        <v>15</v>
      </c>
      <c r="H13030" s="18">
        <v>29</v>
      </c>
      <c r="I13030" s="90"/>
      <c r="J13030" s="90"/>
    </row>
    <row r="13031" spans="1:10" s="15" customFormat="1" ht="16.5" hidden="1" customHeight="1" outlineLevel="1" x14ac:dyDescent="0.25">
      <c r="A13031" s="18">
        <v>135</v>
      </c>
      <c r="B13031" s="4" t="s">
        <v>44</v>
      </c>
      <c r="C13031" s="38" t="s">
        <v>2612</v>
      </c>
      <c r="D13031" s="18">
        <v>2022</v>
      </c>
      <c r="E13031" s="18" t="s">
        <v>0</v>
      </c>
      <c r="F13031" s="41">
        <v>1</v>
      </c>
      <c r="G13031" s="4">
        <v>15</v>
      </c>
      <c r="H13031" s="18">
        <v>30</v>
      </c>
      <c r="I13031" s="90"/>
      <c r="J13031" s="90"/>
    </row>
    <row r="13032" spans="1:10" s="15" customFormat="1" ht="16.5" hidden="1" customHeight="1" outlineLevel="1" x14ac:dyDescent="0.25">
      <c r="A13032" s="18">
        <v>142</v>
      </c>
      <c r="B13032" s="4" t="s">
        <v>44</v>
      </c>
      <c r="C13032" s="38" t="s">
        <v>2613</v>
      </c>
      <c r="D13032" s="18">
        <v>2022</v>
      </c>
      <c r="E13032" s="18" t="s">
        <v>0</v>
      </c>
      <c r="F13032" s="41">
        <v>1</v>
      </c>
      <c r="G13032" s="4">
        <v>10</v>
      </c>
      <c r="H13032" s="18">
        <v>26</v>
      </c>
      <c r="I13032" s="90"/>
      <c r="J13032" s="90"/>
    </row>
    <row r="13033" spans="1:10" s="15" customFormat="1" ht="16.5" hidden="1" customHeight="1" outlineLevel="1" x14ac:dyDescent="0.25">
      <c r="A13033" s="18">
        <v>183</v>
      </c>
      <c r="B13033" s="4" t="s">
        <v>44</v>
      </c>
      <c r="C13033" s="38" t="s">
        <v>2614</v>
      </c>
      <c r="D13033" s="18">
        <v>2022</v>
      </c>
      <c r="E13033" s="18" t="s">
        <v>0</v>
      </c>
      <c r="F13033" s="41">
        <v>1</v>
      </c>
      <c r="G13033" s="4">
        <v>15</v>
      </c>
      <c r="H13033" s="18">
        <v>23</v>
      </c>
      <c r="I13033" s="90"/>
      <c r="J13033" s="90"/>
    </row>
    <row r="13034" spans="1:10" s="15" customFormat="1" ht="16.5" hidden="1" customHeight="1" outlineLevel="1" x14ac:dyDescent="0.25">
      <c r="A13034" s="18">
        <v>102</v>
      </c>
      <c r="B13034" s="4" t="s">
        <v>44</v>
      </c>
      <c r="C13034" s="38" t="s">
        <v>2620</v>
      </c>
      <c r="D13034" s="18">
        <v>2022</v>
      </c>
      <c r="E13034" s="18" t="s">
        <v>0</v>
      </c>
      <c r="F13034" s="41">
        <v>1</v>
      </c>
      <c r="G13034" s="4">
        <v>15</v>
      </c>
      <c r="H13034" s="18">
        <v>40</v>
      </c>
      <c r="I13034" s="90"/>
      <c r="J13034" s="90"/>
    </row>
    <row r="13035" spans="1:10" s="15" customFormat="1" ht="16.5" hidden="1" customHeight="1" outlineLevel="1" x14ac:dyDescent="0.25">
      <c r="A13035" s="18">
        <v>106</v>
      </c>
      <c r="B13035" s="4" t="s">
        <v>44</v>
      </c>
      <c r="C13035" s="38" t="s">
        <v>2623</v>
      </c>
      <c r="D13035" s="18">
        <v>2022</v>
      </c>
      <c r="E13035" s="18" t="s">
        <v>0</v>
      </c>
      <c r="F13035" s="41">
        <v>3</v>
      </c>
      <c r="G13035" s="4">
        <v>45</v>
      </c>
      <c r="H13035" s="18">
        <v>119</v>
      </c>
      <c r="I13035" s="90"/>
      <c r="J13035" s="90"/>
    </row>
    <row r="13036" spans="1:10" s="15" customFormat="1" ht="16.5" hidden="1" customHeight="1" outlineLevel="1" x14ac:dyDescent="0.25">
      <c r="A13036" s="18">
        <v>101</v>
      </c>
      <c r="B13036" s="4" t="s">
        <v>44</v>
      </c>
      <c r="C13036" s="38" t="s">
        <v>2624</v>
      </c>
      <c r="D13036" s="18">
        <v>2022</v>
      </c>
      <c r="E13036" s="18" t="s">
        <v>0</v>
      </c>
      <c r="F13036" s="41">
        <v>1</v>
      </c>
      <c r="G13036" s="4">
        <v>15</v>
      </c>
      <c r="H13036" s="18">
        <v>49</v>
      </c>
      <c r="I13036" s="90"/>
      <c r="J13036" s="90"/>
    </row>
    <row r="13037" spans="1:10" s="15" customFormat="1" ht="16.5" hidden="1" customHeight="1" outlineLevel="1" x14ac:dyDescent="0.25">
      <c r="A13037" s="18">
        <v>22</v>
      </c>
      <c r="B13037" s="4" t="s">
        <v>44</v>
      </c>
      <c r="C13037" s="38" t="s">
        <v>2625</v>
      </c>
      <c r="D13037" s="18">
        <v>2022</v>
      </c>
      <c r="E13037" s="18" t="s">
        <v>0</v>
      </c>
      <c r="F13037" s="41">
        <v>2</v>
      </c>
      <c r="G13037" s="4">
        <v>15</v>
      </c>
      <c r="H13037" s="18">
        <v>51</v>
      </c>
      <c r="I13037" s="90"/>
      <c r="J13037" s="90"/>
    </row>
    <row r="13038" spans="1:10" s="15" customFormat="1" ht="16.5" hidden="1" customHeight="1" outlineLevel="1" x14ac:dyDescent="0.25">
      <c r="A13038" s="18">
        <v>29</v>
      </c>
      <c r="B13038" s="4" t="s">
        <v>44</v>
      </c>
      <c r="C13038" s="38" t="s">
        <v>2626</v>
      </c>
      <c r="D13038" s="18">
        <v>2022</v>
      </c>
      <c r="E13038" s="18" t="s">
        <v>0</v>
      </c>
      <c r="F13038" s="41">
        <v>3</v>
      </c>
      <c r="G13038" s="4">
        <v>45</v>
      </c>
      <c r="H13038" s="18">
        <v>63</v>
      </c>
      <c r="I13038" s="90"/>
      <c r="J13038" s="90"/>
    </row>
    <row r="13039" spans="1:10" s="15" customFormat="1" ht="16.5" hidden="1" customHeight="1" outlineLevel="1" x14ac:dyDescent="0.25">
      <c r="A13039" s="18">
        <v>18</v>
      </c>
      <c r="B13039" s="4" t="s">
        <v>44</v>
      </c>
      <c r="C13039" s="38" t="s">
        <v>2627</v>
      </c>
      <c r="D13039" s="18">
        <v>2022</v>
      </c>
      <c r="E13039" s="18" t="s">
        <v>0</v>
      </c>
      <c r="F13039" s="41">
        <v>1</v>
      </c>
      <c r="G13039" s="4">
        <v>150</v>
      </c>
      <c r="H13039" s="18">
        <v>33</v>
      </c>
      <c r="I13039" s="90"/>
      <c r="J13039" s="90"/>
    </row>
    <row r="13040" spans="1:10" s="15" customFormat="1" ht="16.5" hidden="1" customHeight="1" outlineLevel="1" x14ac:dyDescent="0.25">
      <c r="A13040" s="18">
        <v>37</v>
      </c>
      <c r="B13040" s="4" t="s">
        <v>44</v>
      </c>
      <c r="C13040" s="38" t="s">
        <v>2628</v>
      </c>
      <c r="D13040" s="18">
        <v>2022</v>
      </c>
      <c r="E13040" s="18" t="s">
        <v>0</v>
      </c>
      <c r="F13040" s="41">
        <v>1</v>
      </c>
      <c r="G13040" s="4">
        <v>150</v>
      </c>
      <c r="H13040" s="18">
        <v>31</v>
      </c>
      <c r="I13040" s="90"/>
      <c r="J13040" s="90"/>
    </row>
    <row r="13041" spans="1:10" s="15" customFormat="1" ht="16.5" hidden="1" customHeight="1" outlineLevel="1" x14ac:dyDescent="0.25">
      <c r="A13041" s="18">
        <v>21</v>
      </c>
      <c r="B13041" s="4" t="s">
        <v>44</v>
      </c>
      <c r="C13041" s="38" t="s">
        <v>2629</v>
      </c>
      <c r="D13041" s="18">
        <v>2022</v>
      </c>
      <c r="E13041" s="18" t="s">
        <v>0</v>
      </c>
      <c r="F13041" s="41">
        <v>1</v>
      </c>
      <c r="G13041" s="4">
        <v>15</v>
      </c>
      <c r="H13041" s="18">
        <v>27</v>
      </c>
      <c r="I13041" s="90"/>
      <c r="J13041" s="90"/>
    </row>
    <row r="13042" spans="1:10" s="15" customFormat="1" ht="16.5" hidden="1" customHeight="1" outlineLevel="1" x14ac:dyDescent="0.25">
      <c r="A13042" s="18">
        <v>35</v>
      </c>
      <c r="B13042" s="4" t="s">
        <v>44</v>
      </c>
      <c r="C13042" s="38" t="s">
        <v>2630</v>
      </c>
      <c r="D13042" s="18">
        <v>2022</v>
      </c>
      <c r="E13042" s="18" t="s">
        <v>0</v>
      </c>
      <c r="F13042" s="41">
        <v>2</v>
      </c>
      <c r="G13042" s="4">
        <v>60</v>
      </c>
      <c r="H13042" s="18">
        <v>54</v>
      </c>
      <c r="I13042" s="90"/>
      <c r="J13042" s="90"/>
    </row>
    <row r="13043" spans="1:10" s="15" customFormat="1" ht="16.5" hidden="1" customHeight="1" outlineLevel="1" x14ac:dyDescent="0.25">
      <c r="A13043" s="18">
        <v>41</v>
      </c>
      <c r="B13043" s="4" t="s">
        <v>44</v>
      </c>
      <c r="C13043" s="38" t="s">
        <v>2632</v>
      </c>
      <c r="D13043" s="18">
        <v>2022</v>
      </c>
      <c r="E13043" s="18" t="s">
        <v>0</v>
      </c>
      <c r="F13043" s="41">
        <v>1</v>
      </c>
      <c r="G13043" s="4">
        <v>15</v>
      </c>
      <c r="H13043" s="18">
        <v>27</v>
      </c>
      <c r="I13043" s="90"/>
      <c r="J13043" s="90"/>
    </row>
    <row r="13044" spans="1:10" s="15" customFormat="1" ht="16.5" hidden="1" customHeight="1" outlineLevel="1" x14ac:dyDescent="0.25">
      <c r="A13044" s="18">
        <v>42</v>
      </c>
      <c r="B13044" s="4" t="s">
        <v>44</v>
      </c>
      <c r="C13044" s="38" t="s">
        <v>2633</v>
      </c>
      <c r="D13044" s="18">
        <v>2022</v>
      </c>
      <c r="E13044" s="18" t="s">
        <v>0</v>
      </c>
      <c r="F13044" s="41">
        <v>1</v>
      </c>
      <c r="G13044" s="4">
        <v>15</v>
      </c>
      <c r="H13044" s="18">
        <v>29</v>
      </c>
      <c r="I13044" s="90"/>
      <c r="J13044" s="90"/>
    </row>
    <row r="13045" spans="1:10" s="15" customFormat="1" ht="16.5" hidden="1" customHeight="1" outlineLevel="1" x14ac:dyDescent="0.25">
      <c r="A13045" s="18">
        <v>23</v>
      </c>
      <c r="B13045" s="4" t="s">
        <v>44</v>
      </c>
      <c r="C13045" s="38" t="s">
        <v>2634</v>
      </c>
      <c r="D13045" s="18">
        <v>2022</v>
      </c>
      <c r="E13045" s="18" t="s">
        <v>0</v>
      </c>
      <c r="F13045" s="41">
        <v>1</v>
      </c>
      <c r="G13045" s="4">
        <v>15</v>
      </c>
      <c r="H13045" s="18">
        <v>29</v>
      </c>
      <c r="I13045" s="90"/>
      <c r="J13045" s="90"/>
    </row>
    <row r="13046" spans="1:10" s="15" customFormat="1" ht="16.5" hidden="1" customHeight="1" outlineLevel="1" x14ac:dyDescent="0.25">
      <c r="A13046" s="18">
        <v>25</v>
      </c>
      <c r="B13046" s="4" t="s">
        <v>44</v>
      </c>
      <c r="C13046" s="38" t="s">
        <v>2635</v>
      </c>
      <c r="D13046" s="18">
        <v>2022</v>
      </c>
      <c r="E13046" s="18" t="s">
        <v>0</v>
      </c>
      <c r="F13046" s="41">
        <v>1</v>
      </c>
      <c r="G13046" s="4">
        <v>100</v>
      </c>
      <c r="H13046" s="18">
        <v>31</v>
      </c>
      <c r="I13046" s="90"/>
      <c r="J13046" s="90"/>
    </row>
    <row r="13047" spans="1:10" s="15" customFormat="1" ht="16.5" hidden="1" customHeight="1" outlineLevel="1" x14ac:dyDescent="0.25">
      <c r="A13047" s="18">
        <v>47</v>
      </c>
      <c r="B13047" s="4" t="s">
        <v>44</v>
      </c>
      <c r="C13047" s="38" t="s">
        <v>2636</v>
      </c>
      <c r="D13047" s="18">
        <v>2022</v>
      </c>
      <c r="E13047" s="18" t="s">
        <v>0</v>
      </c>
      <c r="F13047" s="41">
        <v>1</v>
      </c>
      <c r="G13047" s="4">
        <v>40</v>
      </c>
      <c r="H13047" s="18">
        <v>46</v>
      </c>
      <c r="I13047" s="90"/>
      <c r="J13047" s="90"/>
    </row>
    <row r="13048" spans="1:10" s="15" customFormat="1" ht="16.5" hidden="1" customHeight="1" outlineLevel="1" x14ac:dyDescent="0.25">
      <c r="A13048" s="18">
        <v>45</v>
      </c>
      <c r="B13048" s="4" t="s">
        <v>44</v>
      </c>
      <c r="C13048" s="38" t="s">
        <v>2637</v>
      </c>
      <c r="D13048" s="18">
        <v>2022</v>
      </c>
      <c r="E13048" s="18" t="s">
        <v>0</v>
      </c>
      <c r="F13048" s="41">
        <v>1</v>
      </c>
      <c r="G13048" s="4">
        <v>100</v>
      </c>
      <c r="H13048" s="18">
        <v>43</v>
      </c>
      <c r="I13048" s="90"/>
      <c r="J13048" s="90"/>
    </row>
    <row r="13049" spans="1:10" s="15" customFormat="1" ht="16.5" hidden="1" customHeight="1" outlineLevel="1" x14ac:dyDescent="0.25">
      <c r="A13049" s="18">
        <v>43</v>
      </c>
      <c r="B13049" s="4" t="s">
        <v>44</v>
      </c>
      <c r="C13049" s="38" t="s">
        <v>2638</v>
      </c>
      <c r="D13049" s="18">
        <v>2022</v>
      </c>
      <c r="E13049" s="18" t="s">
        <v>0</v>
      </c>
      <c r="F13049" s="41">
        <v>1</v>
      </c>
      <c r="G13049" s="4">
        <v>15</v>
      </c>
      <c r="H13049" s="18">
        <v>34</v>
      </c>
      <c r="I13049" s="90"/>
      <c r="J13049" s="90"/>
    </row>
    <row r="13050" spans="1:10" s="15" customFormat="1" ht="16.5" hidden="1" customHeight="1" outlineLevel="1" x14ac:dyDescent="0.25">
      <c r="A13050" s="18">
        <v>20</v>
      </c>
      <c r="B13050" s="4" t="s">
        <v>44</v>
      </c>
      <c r="C13050" s="38" t="s">
        <v>2639</v>
      </c>
      <c r="D13050" s="18">
        <v>2022</v>
      </c>
      <c r="E13050" s="18" t="s">
        <v>0</v>
      </c>
      <c r="F13050" s="41">
        <v>1</v>
      </c>
      <c r="G13050" s="4">
        <v>15</v>
      </c>
      <c r="H13050" s="18">
        <v>25</v>
      </c>
      <c r="I13050" s="90"/>
      <c r="J13050" s="90"/>
    </row>
    <row r="13051" spans="1:10" s="15" customFormat="1" ht="16.5" hidden="1" customHeight="1" outlineLevel="1" x14ac:dyDescent="0.25">
      <c r="A13051" s="18">
        <v>33</v>
      </c>
      <c r="B13051" s="4" t="s">
        <v>44</v>
      </c>
      <c r="C13051" s="38" t="s">
        <v>2640</v>
      </c>
      <c r="D13051" s="18">
        <v>2022</v>
      </c>
      <c r="E13051" s="18" t="s">
        <v>0</v>
      </c>
      <c r="F13051" s="41">
        <v>1</v>
      </c>
      <c r="G13051" s="4">
        <v>15</v>
      </c>
      <c r="H13051" s="18">
        <v>25</v>
      </c>
      <c r="I13051" s="90"/>
      <c r="J13051" s="90"/>
    </row>
    <row r="13052" spans="1:10" s="15" customFormat="1" ht="16.5" hidden="1" customHeight="1" outlineLevel="1" x14ac:dyDescent="0.25">
      <c r="A13052" s="18">
        <v>38</v>
      </c>
      <c r="B13052" s="4" t="s">
        <v>44</v>
      </c>
      <c r="C13052" s="38" t="s">
        <v>2641</v>
      </c>
      <c r="D13052" s="18">
        <v>2022</v>
      </c>
      <c r="E13052" s="18" t="s">
        <v>0</v>
      </c>
      <c r="F13052" s="41">
        <v>1</v>
      </c>
      <c r="G13052" s="4">
        <v>6</v>
      </c>
      <c r="H13052" s="18">
        <v>24</v>
      </c>
      <c r="I13052" s="90"/>
      <c r="J13052" s="90"/>
    </row>
    <row r="13053" spans="1:10" s="15" customFormat="1" ht="16.5" hidden="1" customHeight="1" outlineLevel="1" x14ac:dyDescent="0.25">
      <c r="A13053" s="18">
        <v>107</v>
      </c>
      <c r="B13053" s="4" t="s">
        <v>44</v>
      </c>
      <c r="C13053" s="38" t="s">
        <v>2642</v>
      </c>
      <c r="D13053" s="18">
        <v>2022</v>
      </c>
      <c r="E13053" s="18" t="s">
        <v>0</v>
      </c>
      <c r="F13053" s="41">
        <v>1</v>
      </c>
      <c r="G13053" s="4">
        <v>15</v>
      </c>
      <c r="H13053" s="18">
        <v>27</v>
      </c>
      <c r="I13053" s="90"/>
      <c r="J13053" s="90"/>
    </row>
    <row r="13054" spans="1:10" s="15" customFormat="1" ht="16.5" hidden="1" customHeight="1" outlineLevel="1" x14ac:dyDescent="0.25">
      <c r="A13054" s="18">
        <v>39</v>
      </c>
      <c r="B13054" s="4" t="s">
        <v>44</v>
      </c>
      <c r="C13054" s="38" t="s">
        <v>2644</v>
      </c>
      <c r="D13054" s="18">
        <v>2022</v>
      </c>
      <c r="E13054" s="18" t="s">
        <v>0</v>
      </c>
      <c r="F13054" s="41">
        <v>1</v>
      </c>
      <c r="G13054" s="4">
        <v>15</v>
      </c>
      <c r="H13054" s="18">
        <v>25</v>
      </c>
      <c r="I13054" s="90"/>
      <c r="J13054" s="90"/>
    </row>
    <row r="13055" spans="1:10" s="15" customFormat="1" ht="16.5" hidden="1" customHeight="1" outlineLevel="1" x14ac:dyDescent="0.25">
      <c r="A13055" s="18">
        <v>31</v>
      </c>
      <c r="B13055" s="4" t="s">
        <v>44</v>
      </c>
      <c r="C13055" s="38" t="s">
        <v>2646</v>
      </c>
      <c r="D13055" s="18">
        <v>2022</v>
      </c>
      <c r="E13055" s="18" t="s">
        <v>0</v>
      </c>
      <c r="F13055" s="41">
        <v>1</v>
      </c>
      <c r="G13055" s="4">
        <v>7</v>
      </c>
      <c r="H13055" s="18">
        <v>24</v>
      </c>
      <c r="I13055" s="90"/>
      <c r="J13055" s="90"/>
    </row>
    <row r="13056" spans="1:10" s="15" customFormat="1" ht="16.5" hidden="1" customHeight="1" outlineLevel="1" x14ac:dyDescent="0.25">
      <c r="A13056" s="18">
        <v>136</v>
      </c>
      <c r="B13056" s="4" t="s">
        <v>44</v>
      </c>
      <c r="C13056" s="38" t="s">
        <v>2647</v>
      </c>
      <c r="D13056" s="18">
        <v>2022</v>
      </c>
      <c r="E13056" s="18" t="s">
        <v>0</v>
      </c>
      <c r="F13056" s="41">
        <v>5</v>
      </c>
      <c r="G13056" s="4">
        <v>75</v>
      </c>
      <c r="H13056" s="18">
        <v>296</v>
      </c>
      <c r="I13056" s="90"/>
      <c r="J13056" s="90"/>
    </row>
    <row r="13057" spans="1:10" s="15" customFormat="1" ht="16.5" hidden="1" customHeight="1" outlineLevel="1" x14ac:dyDescent="0.25">
      <c r="A13057" s="18">
        <v>94</v>
      </c>
      <c r="B13057" s="4" t="s">
        <v>44</v>
      </c>
      <c r="C13057" s="38" t="s">
        <v>2648</v>
      </c>
      <c r="D13057" s="18">
        <v>2022</v>
      </c>
      <c r="E13057" s="18" t="s">
        <v>0</v>
      </c>
      <c r="F13057" s="41">
        <v>1</v>
      </c>
      <c r="G13057" s="4">
        <v>7.5</v>
      </c>
      <c r="H13057" s="18">
        <v>29</v>
      </c>
      <c r="I13057" s="90"/>
      <c r="J13057" s="90"/>
    </row>
    <row r="13058" spans="1:10" s="15" customFormat="1" ht="16.5" hidden="1" customHeight="1" outlineLevel="1" x14ac:dyDescent="0.25">
      <c r="A13058" s="18">
        <v>44</v>
      </c>
      <c r="B13058" s="4" t="s">
        <v>44</v>
      </c>
      <c r="C13058" s="38" t="s">
        <v>2651</v>
      </c>
      <c r="D13058" s="18">
        <v>2022</v>
      </c>
      <c r="E13058" s="18" t="s">
        <v>0</v>
      </c>
      <c r="F13058" s="41">
        <v>2</v>
      </c>
      <c r="G13058" s="4">
        <v>30</v>
      </c>
      <c r="H13058" s="18">
        <v>61</v>
      </c>
      <c r="I13058" s="90"/>
      <c r="J13058" s="90"/>
    </row>
    <row r="13059" spans="1:10" s="15" customFormat="1" ht="16.5" hidden="1" customHeight="1" outlineLevel="1" x14ac:dyDescent="0.25">
      <c r="A13059" s="18">
        <v>76</v>
      </c>
      <c r="B13059" s="4" t="s">
        <v>44</v>
      </c>
      <c r="C13059" s="38" t="s">
        <v>2653</v>
      </c>
      <c r="D13059" s="18">
        <v>2022</v>
      </c>
      <c r="E13059" s="18" t="s">
        <v>0</v>
      </c>
      <c r="F13059" s="41">
        <v>1</v>
      </c>
      <c r="G13059" s="4">
        <v>15</v>
      </c>
      <c r="H13059" s="18">
        <v>25</v>
      </c>
      <c r="I13059" s="90"/>
      <c r="J13059" s="90"/>
    </row>
    <row r="13060" spans="1:10" s="15" customFormat="1" ht="16.5" hidden="1" customHeight="1" outlineLevel="1" x14ac:dyDescent="0.25">
      <c r="A13060" s="18">
        <v>34</v>
      </c>
      <c r="B13060" s="4" t="s">
        <v>44</v>
      </c>
      <c r="C13060" s="38" t="s">
        <v>2654</v>
      </c>
      <c r="D13060" s="18">
        <v>2022</v>
      </c>
      <c r="E13060" s="18" t="s">
        <v>0</v>
      </c>
      <c r="F13060" s="41">
        <v>1</v>
      </c>
      <c r="G13060" s="4">
        <v>15</v>
      </c>
      <c r="H13060" s="18">
        <v>25</v>
      </c>
      <c r="I13060" s="90"/>
      <c r="J13060" s="90"/>
    </row>
    <row r="13061" spans="1:10" s="15" customFormat="1" ht="16.5" hidden="1" customHeight="1" outlineLevel="1" x14ac:dyDescent="0.25">
      <c r="A13061" s="18">
        <v>36</v>
      </c>
      <c r="B13061" s="4" t="s">
        <v>44</v>
      </c>
      <c r="C13061" s="38" t="s">
        <v>2655</v>
      </c>
      <c r="D13061" s="18">
        <v>2022</v>
      </c>
      <c r="E13061" s="18" t="s">
        <v>0</v>
      </c>
      <c r="F13061" s="41">
        <v>1</v>
      </c>
      <c r="G13061" s="4">
        <v>13.5</v>
      </c>
      <c r="H13061" s="18">
        <v>24</v>
      </c>
      <c r="I13061" s="90"/>
      <c r="J13061" s="90"/>
    </row>
    <row r="13062" spans="1:10" s="15" customFormat="1" ht="16.5" hidden="1" customHeight="1" outlineLevel="1" x14ac:dyDescent="0.25">
      <c r="A13062" s="18">
        <v>93</v>
      </c>
      <c r="B13062" s="4" t="s">
        <v>44</v>
      </c>
      <c r="C13062" s="38" t="s">
        <v>2656</v>
      </c>
      <c r="D13062" s="18">
        <v>2022</v>
      </c>
      <c r="E13062" s="18" t="s">
        <v>0</v>
      </c>
      <c r="F13062" s="41">
        <v>1</v>
      </c>
      <c r="G13062" s="4">
        <v>15</v>
      </c>
      <c r="H13062" s="18">
        <v>25</v>
      </c>
      <c r="I13062" s="90"/>
      <c r="J13062" s="90"/>
    </row>
    <row r="13063" spans="1:10" s="15" customFormat="1" ht="16.5" hidden="1" customHeight="1" outlineLevel="1" x14ac:dyDescent="0.25">
      <c r="A13063" s="18">
        <v>109</v>
      </c>
      <c r="B13063" s="4" t="s">
        <v>44</v>
      </c>
      <c r="C13063" s="38" t="s">
        <v>2658</v>
      </c>
      <c r="D13063" s="18">
        <v>2022</v>
      </c>
      <c r="E13063" s="18" t="s">
        <v>0</v>
      </c>
      <c r="F13063" s="41">
        <v>1</v>
      </c>
      <c r="G13063" s="4">
        <v>15</v>
      </c>
      <c r="H13063" s="18">
        <v>28</v>
      </c>
      <c r="I13063" s="90"/>
      <c r="J13063" s="90"/>
    </row>
    <row r="13064" spans="1:10" s="15" customFormat="1" ht="16.5" hidden="1" customHeight="1" outlineLevel="1" x14ac:dyDescent="0.25">
      <c r="A13064" s="18">
        <v>30</v>
      </c>
      <c r="B13064" s="4" t="s">
        <v>44</v>
      </c>
      <c r="C13064" s="38" t="s">
        <v>2659</v>
      </c>
      <c r="D13064" s="18">
        <v>2022</v>
      </c>
      <c r="E13064" s="18" t="s">
        <v>0</v>
      </c>
      <c r="F13064" s="41">
        <v>1</v>
      </c>
      <c r="G13064" s="4">
        <v>15</v>
      </c>
      <c r="H13064" s="18">
        <v>27</v>
      </c>
      <c r="I13064" s="90"/>
      <c r="J13064" s="90"/>
    </row>
    <row r="13065" spans="1:10" s="15" customFormat="1" ht="16.5" hidden="1" customHeight="1" outlineLevel="1" x14ac:dyDescent="0.25">
      <c r="A13065" s="18">
        <v>90</v>
      </c>
      <c r="B13065" s="4" t="s">
        <v>44</v>
      </c>
      <c r="C13065" s="38" t="s">
        <v>2660</v>
      </c>
      <c r="D13065" s="18">
        <v>2022</v>
      </c>
      <c r="E13065" s="18" t="s">
        <v>0</v>
      </c>
      <c r="F13065" s="41">
        <v>1</v>
      </c>
      <c r="G13065" s="4">
        <v>15</v>
      </c>
      <c r="H13065" s="18">
        <v>24</v>
      </c>
      <c r="I13065" s="90"/>
      <c r="J13065" s="90"/>
    </row>
    <row r="13066" spans="1:10" s="15" customFormat="1" ht="16.5" hidden="1" customHeight="1" outlineLevel="1" x14ac:dyDescent="0.25">
      <c r="A13066" s="18">
        <v>32</v>
      </c>
      <c r="B13066" s="4" t="s">
        <v>44</v>
      </c>
      <c r="C13066" s="38" t="s">
        <v>2661</v>
      </c>
      <c r="D13066" s="18">
        <v>2022</v>
      </c>
      <c r="E13066" s="18" t="s">
        <v>0</v>
      </c>
      <c r="F13066" s="41">
        <v>1</v>
      </c>
      <c r="G13066" s="4">
        <v>15</v>
      </c>
      <c r="H13066" s="18">
        <v>25</v>
      </c>
      <c r="I13066" s="90"/>
      <c r="J13066" s="90"/>
    </row>
    <row r="13067" spans="1:10" s="15" customFormat="1" ht="16.5" hidden="1" customHeight="1" outlineLevel="1" x14ac:dyDescent="0.25">
      <c r="A13067" s="18">
        <v>166</v>
      </c>
      <c r="B13067" s="4" t="s">
        <v>44</v>
      </c>
      <c r="C13067" s="38" t="s">
        <v>3126</v>
      </c>
      <c r="D13067" s="18">
        <v>2022</v>
      </c>
      <c r="E13067" s="18" t="s">
        <v>0</v>
      </c>
      <c r="F13067" s="41">
        <v>4</v>
      </c>
      <c r="G13067" s="4">
        <v>600</v>
      </c>
      <c r="H13067" s="18">
        <v>55</v>
      </c>
      <c r="I13067" s="90"/>
      <c r="J13067" s="90"/>
    </row>
    <row r="13068" spans="1:10" s="15" customFormat="1" ht="16.5" hidden="1" customHeight="1" outlineLevel="1" x14ac:dyDescent="0.25">
      <c r="A13068" s="18">
        <v>125</v>
      </c>
      <c r="B13068" s="4" t="s">
        <v>44</v>
      </c>
      <c r="C13068" s="38" t="s">
        <v>7622</v>
      </c>
      <c r="D13068" s="18">
        <v>2022</v>
      </c>
      <c r="E13068" s="18" t="s">
        <v>0</v>
      </c>
      <c r="F13068" s="41">
        <v>93</v>
      </c>
      <c r="G13068" s="4">
        <v>1300</v>
      </c>
      <c r="H13068" s="18">
        <v>2090</v>
      </c>
      <c r="I13068" s="90"/>
      <c r="J13068" s="90"/>
    </row>
    <row r="13069" spans="1:10" s="15" customFormat="1" ht="16.5" hidden="1" customHeight="1" outlineLevel="1" x14ac:dyDescent="0.25">
      <c r="A13069" s="18">
        <v>97</v>
      </c>
      <c r="B13069" s="4" t="s">
        <v>44</v>
      </c>
      <c r="C13069" s="38" t="s">
        <v>7623</v>
      </c>
      <c r="D13069" s="18">
        <v>2022</v>
      </c>
      <c r="E13069" s="18" t="s">
        <v>0</v>
      </c>
      <c r="F13069" s="41">
        <v>39</v>
      </c>
      <c r="G13069" s="4">
        <v>493</v>
      </c>
      <c r="H13069" s="18">
        <v>906</v>
      </c>
      <c r="I13069" s="90"/>
      <c r="J13069" s="90"/>
    </row>
    <row r="13070" spans="1:10" s="15" customFormat="1" ht="16.5" hidden="1" customHeight="1" outlineLevel="1" x14ac:dyDescent="0.25">
      <c r="A13070" s="18">
        <v>175</v>
      </c>
      <c r="B13070" s="4" t="s">
        <v>44</v>
      </c>
      <c r="C13070" s="38" t="s">
        <v>7624</v>
      </c>
      <c r="D13070" s="18">
        <v>2022</v>
      </c>
      <c r="E13070" s="18" t="s">
        <v>0</v>
      </c>
      <c r="F13070" s="41">
        <v>33</v>
      </c>
      <c r="G13070" s="4">
        <v>435</v>
      </c>
      <c r="H13070" s="18">
        <v>640</v>
      </c>
      <c r="I13070" s="90"/>
      <c r="J13070" s="90"/>
    </row>
    <row r="13071" spans="1:10" s="15" customFormat="1" ht="16.5" hidden="1" customHeight="1" outlineLevel="1" x14ac:dyDescent="0.25">
      <c r="A13071" s="18">
        <v>159</v>
      </c>
      <c r="B13071" s="4" t="s">
        <v>44</v>
      </c>
      <c r="C13071" s="38" t="s">
        <v>7625</v>
      </c>
      <c r="D13071" s="18">
        <v>2022</v>
      </c>
      <c r="E13071" s="18" t="s">
        <v>0</v>
      </c>
      <c r="F13071" s="41">
        <v>1</v>
      </c>
      <c r="G13071" s="4">
        <v>10</v>
      </c>
      <c r="H13071" s="18">
        <v>20</v>
      </c>
      <c r="I13071" s="90"/>
      <c r="J13071" s="90"/>
    </row>
    <row r="13072" spans="1:10" s="15" customFormat="1" ht="16.5" hidden="1" customHeight="1" outlineLevel="1" x14ac:dyDescent="0.25">
      <c r="A13072" s="18">
        <v>161</v>
      </c>
      <c r="B13072" s="4" t="s">
        <v>44</v>
      </c>
      <c r="C13072" s="38" t="s">
        <v>7626</v>
      </c>
      <c r="D13072" s="18">
        <v>2022</v>
      </c>
      <c r="E13072" s="18" t="s">
        <v>0</v>
      </c>
      <c r="F13072" s="41">
        <v>1</v>
      </c>
      <c r="G13072" s="4">
        <v>14</v>
      </c>
      <c r="H13072" s="18">
        <v>20</v>
      </c>
      <c r="I13072" s="90"/>
      <c r="J13072" s="90"/>
    </row>
    <row r="13073" spans="1:10" s="15" customFormat="1" ht="16.5" hidden="1" customHeight="1" outlineLevel="1" x14ac:dyDescent="0.25">
      <c r="A13073" s="18">
        <v>173</v>
      </c>
      <c r="B13073" s="4" t="s">
        <v>44</v>
      </c>
      <c r="C13073" s="38" t="s">
        <v>7627</v>
      </c>
      <c r="D13073" s="18">
        <v>2022</v>
      </c>
      <c r="E13073" s="18" t="s">
        <v>0</v>
      </c>
      <c r="F13073" s="41">
        <v>1</v>
      </c>
      <c r="G13073" s="4">
        <v>15</v>
      </c>
      <c r="H13073" s="18">
        <v>19</v>
      </c>
      <c r="I13073" s="90"/>
      <c r="J13073" s="90"/>
    </row>
    <row r="13074" spans="1:10" s="15" customFormat="1" ht="16.5" hidden="1" customHeight="1" outlineLevel="1" x14ac:dyDescent="0.25">
      <c r="A13074" s="18">
        <v>174</v>
      </c>
      <c r="B13074" s="4" t="s">
        <v>44</v>
      </c>
      <c r="C13074" s="38" t="s">
        <v>7628</v>
      </c>
      <c r="D13074" s="18">
        <v>2022</v>
      </c>
      <c r="E13074" s="18" t="s">
        <v>0</v>
      </c>
      <c r="F13074" s="41">
        <v>1</v>
      </c>
      <c r="G13074" s="4">
        <v>15</v>
      </c>
      <c r="H13074" s="18">
        <v>19</v>
      </c>
      <c r="I13074" s="90"/>
      <c r="J13074" s="90"/>
    </row>
    <row r="13075" spans="1:10" s="15" customFormat="1" ht="16.5" hidden="1" customHeight="1" outlineLevel="1" x14ac:dyDescent="0.25">
      <c r="A13075" s="18">
        <v>163</v>
      </c>
      <c r="B13075" s="4" t="s">
        <v>44</v>
      </c>
      <c r="C13075" s="38" t="s">
        <v>7629</v>
      </c>
      <c r="D13075" s="18">
        <v>2022</v>
      </c>
      <c r="E13075" s="18" t="s">
        <v>0</v>
      </c>
      <c r="F13075" s="41">
        <v>75</v>
      </c>
      <c r="G13075" s="4">
        <v>1110</v>
      </c>
      <c r="H13075" s="18">
        <v>1711</v>
      </c>
      <c r="I13075" s="90"/>
      <c r="J13075" s="90"/>
    </row>
    <row r="13076" spans="1:10" s="15" customFormat="1" ht="16.5" hidden="1" customHeight="1" outlineLevel="1" x14ac:dyDescent="0.25">
      <c r="A13076" s="18">
        <v>199</v>
      </c>
      <c r="B13076" s="4" t="s">
        <v>44</v>
      </c>
      <c r="C13076" s="38" t="s">
        <v>7630</v>
      </c>
      <c r="D13076" s="18">
        <v>2022</v>
      </c>
      <c r="E13076" s="18" t="s">
        <v>0</v>
      </c>
      <c r="F13076" s="41">
        <v>126</v>
      </c>
      <c r="G13076" s="4">
        <v>1786.5</v>
      </c>
      <c r="H13076" s="18">
        <v>2099</v>
      </c>
      <c r="I13076" s="90"/>
      <c r="J13076" s="90"/>
    </row>
    <row r="13077" spans="1:10" s="15" customFormat="1" ht="16.5" hidden="1" customHeight="1" outlineLevel="1" x14ac:dyDescent="0.25">
      <c r="A13077" s="18">
        <v>191</v>
      </c>
      <c r="B13077" s="4" t="s">
        <v>44</v>
      </c>
      <c r="C13077" s="38" t="s">
        <v>7631</v>
      </c>
      <c r="D13077" s="18">
        <v>2022</v>
      </c>
      <c r="E13077" s="18" t="s">
        <v>0</v>
      </c>
      <c r="F13077" s="41">
        <v>2</v>
      </c>
      <c r="G13077" s="4">
        <v>15</v>
      </c>
      <c r="H13077" s="18">
        <v>35</v>
      </c>
      <c r="I13077" s="90"/>
      <c r="J13077" s="90"/>
    </row>
    <row r="13078" spans="1:10" s="15" customFormat="1" ht="16.5" hidden="1" customHeight="1" outlineLevel="1" x14ac:dyDescent="0.25">
      <c r="A13078" s="18">
        <v>190</v>
      </c>
      <c r="B13078" s="4" t="s">
        <v>44</v>
      </c>
      <c r="C13078" s="38" t="s">
        <v>7632</v>
      </c>
      <c r="D13078" s="18">
        <v>2022</v>
      </c>
      <c r="E13078" s="18" t="s">
        <v>0</v>
      </c>
      <c r="F13078" s="41">
        <v>1</v>
      </c>
      <c r="G13078" s="4">
        <v>8</v>
      </c>
      <c r="H13078" s="18">
        <v>18</v>
      </c>
      <c r="I13078" s="90"/>
      <c r="J13078" s="90"/>
    </row>
    <row r="13079" spans="1:10" s="15" customFormat="1" ht="16.5" hidden="1" customHeight="1" outlineLevel="1" x14ac:dyDescent="0.25">
      <c r="A13079" s="18">
        <v>187</v>
      </c>
      <c r="B13079" s="4" t="s">
        <v>44</v>
      </c>
      <c r="C13079" s="38" t="s">
        <v>7633</v>
      </c>
      <c r="D13079" s="18">
        <v>2022</v>
      </c>
      <c r="E13079" s="18" t="s">
        <v>0</v>
      </c>
      <c r="F13079" s="41">
        <v>1</v>
      </c>
      <c r="G13079" s="4">
        <v>15</v>
      </c>
      <c r="H13079" s="18">
        <v>19</v>
      </c>
      <c r="I13079" s="90"/>
      <c r="J13079" s="90"/>
    </row>
    <row r="13080" spans="1:10" s="15" customFormat="1" ht="16.5" hidden="1" customHeight="1" outlineLevel="1" x14ac:dyDescent="0.25">
      <c r="A13080" s="18">
        <v>188</v>
      </c>
      <c r="B13080" s="4" t="s">
        <v>44</v>
      </c>
      <c r="C13080" s="38" t="s">
        <v>7634</v>
      </c>
      <c r="D13080" s="18">
        <v>2022</v>
      </c>
      <c r="E13080" s="18" t="s">
        <v>0</v>
      </c>
      <c r="F13080" s="41">
        <v>1</v>
      </c>
      <c r="G13080" s="4">
        <v>15</v>
      </c>
      <c r="H13080" s="18">
        <v>17</v>
      </c>
      <c r="I13080" s="90"/>
      <c r="J13080" s="90"/>
    </row>
    <row r="13081" spans="1:10" s="15" customFormat="1" ht="16.5" hidden="1" customHeight="1" outlineLevel="1" x14ac:dyDescent="0.25">
      <c r="A13081" s="18">
        <v>189</v>
      </c>
      <c r="B13081" s="4" t="s">
        <v>44</v>
      </c>
      <c r="C13081" s="38" t="s">
        <v>7635</v>
      </c>
      <c r="D13081" s="18">
        <v>2022</v>
      </c>
      <c r="E13081" s="18" t="s">
        <v>0</v>
      </c>
      <c r="F13081" s="41">
        <v>1</v>
      </c>
      <c r="G13081" s="4">
        <v>15</v>
      </c>
      <c r="H13081" s="18">
        <v>20</v>
      </c>
      <c r="I13081" s="90"/>
      <c r="J13081" s="90"/>
    </row>
    <row r="13082" spans="1:10" s="15" customFormat="1" ht="16.5" hidden="1" customHeight="1" outlineLevel="1" x14ac:dyDescent="0.25">
      <c r="A13082" s="18">
        <v>227</v>
      </c>
      <c r="B13082" s="4" t="s">
        <v>44</v>
      </c>
      <c r="C13082" s="38" t="s">
        <v>7636</v>
      </c>
      <c r="D13082" s="18">
        <v>2022</v>
      </c>
      <c r="E13082" s="18" t="s">
        <v>0</v>
      </c>
      <c r="F13082" s="41">
        <v>1</v>
      </c>
      <c r="G13082" s="4">
        <v>10</v>
      </c>
      <c r="H13082" s="18">
        <v>17</v>
      </c>
      <c r="I13082" s="90"/>
      <c r="J13082" s="90"/>
    </row>
    <row r="13083" spans="1:10" s="15" customFormat="1" ht="16.5" hidden="1" customHeight="1" outlineLevel="1" x14ac:dyDescent="0.25">
      <c r="A13083" s="18">
        <v>231</v>
      </c>
      <c r="B13083" s="4" t="s">
        <v>44</v>
      </c>
      <c r="C13083" s="38" t="s">
        <v>7637</v>
      </c>
      <c r="D13083" s="18">
        <v>2022</v>
      </c>
      <c r="E13083" s="18" t="s">
        <v>0</v>
      </c>
      <c r="F13083" s="41">
        <v>1</v>
      </c>
      <c r="G13083" s="4">
        <v>15</v>
      </c>
      <c r="H13083" s="18">
        <v>17</v>
      </c>
      <c r="I13083" s="90"/>
      <c r="J13083" s="90"/>
    </row>
    <row r="13084" spans="1:10" s="15" customFormat="1" ht="16.5" hidden="1" customHeight="1" outlineLevel="1" x14ac:dyDescent="0.25">
      <c r="A13084" s="18">
        <v>235</v>
      </c>
      <c r="B13084" s="4" t="s">
        <v>44</v>
      </c>
      <c r="C13084" s="38" t="s">
        <v>7638</v>
      </c>
      <c r="D13084" s="18">
        <v>2022</v>
      </c>
      <c r="E13084" s="18" t="s">
        <v>0</v>
      </c>
      <c r="F13084" s="41">
        <v>1</v>
      </c>
      <c r="G13084" s="4">
        <v>15</v>
      </c>
      <c r="H13084" s="18">
        <v>17</v>
      </c>
      <c r="I13084" s="90"/>
      <c r="J13084" s="90"/>
    </row>
    <row r="13085" spans="1:10" s="15" customFormat="1" ht="16.5" hidden="1" customHeight="1" outlineLevel="1" x14ac:dyDescent="0.25">
      <c r="A13085" s="18">
        <v>234</v>
      </c>
      <c r="B13085" s="4" t="s">
        <v>44</v>
      </c>
      <c r="C13085" s="38" t="s">
        <v>7639</v>
      </c>
      <c r="D13085" s="18">
        <v>2022</v>
      </c>
      <c r="E13085" s="18" t="s">
        <v>0</v>
      </c>
      <c r="F13085" s="41">
        <v>1</v>
      </c>
      <c r="G13085" s="4">
        <v>10</v>
      </c>
      <c r="H13085" s="18">
        <v>17</v>
      </c>
      <c r="I13085" s="90"/>
      <c r="J13085" s="90"/>
    </row>
    <row r="13086" spans="1:10" s="15" customFormat="1" ht="16.5" hidden="1" customHeight="1" outlineLevel="1" x14ac:dyDescent="0.25">
      <c r="A13086" s="18">
        <v>233</v>
      </c>
      <c r="B13086" s="4" t="s">
        <v>44</v>
      </c>
      <c r="C13086" s="38" t="s">
        <v>7640</v>
      </c>
      <c r="D13086" s="18">
        <v>2022</v>
      </c>
      <c r="E13086" s="18" t="s">
        <v>0</v>
      </c>
      <c r="F13086" s="41">
        <v>1</v>
      </c>
      <c r="G13086" s="4">
        <v>15</v>
      </c>
      <c r="H13086" s="18">
        <v>17</v>
      </c>
      <c r="I13086" s="90"/>
      <c r="J13086" s="90"/>
    </row>
    <row r="13087" spans="1:10" s="15" customFormat="1" ht="16.5" hidden="1" customHeight="1" outlineLevel="1" x14ac:dyDescent="0.25">
      <c r="A13087" s="18">
        <v>228</v>
      </c>
      <c r="B13087" s="4" t="s">
        <v>44</v>
      </c>
      <c r="C13087" s="38" t="s">
        <v>7641</v>
      </c>
      <c r="D13087" s="18">
        <v>2022</v>
      </c>
      <c r="E13087" s="18" t="s">
        <v>0</v>
      </c>
      <c r="F13087" s="41">
        <v>1</v>
      </c>
      <c r="G13087" s="4">
        <v>15</v>
      </c>
      <c r="H13087" s="18">
        <v>17</v>
      </c>
      <c r="I13087" s="90"/>
      <c r="J13087" s="90"/>
    </row>
    <row r="13088" spans="1:10" s="15" customFormat="1" ht="16.5" hidden="1" customHeight="1" outlineLevel="1" x14ac:dyDescent="0.25">
      <c r="A13088" s="18">
        <v>232</v>
      </c>
      <c r="B13088" s="4" t="s">
        <v>44</v>
      </c>
      <c r="C13088" s="38" t="s">
        <v>7642</v>
      </c>
      <c r="D13088" s="18">
        <v>2022</v>
      </c>
      <c r="E13088" s="18" t="s">
        <v>0</v>
      </c>
      <c r="F13088" s="41">
        <v>1</v>
      </c>
      <c r="G13088" s="4">
        <v>15</v>
      </c>
      <c r="H13088" s="18">
        <v>17</v>
      </c>
      <c r="I13088" s="90"/>
      <c r="J13088" s="90"/>
    </row>
    <row r="13089" spans="1:10" s="15" customFormat="1" ht="16.5" hidden="1" customHeight="1" outlineLevel="1" x14ac:dyDescent="0.25">
      <c r="A13089" s="18">
        <v>229</v>
      </c>
      <c r="B13089" s="4" t="s">
        <v>44</v>
      </c>
      <c r="C13089" s="38" t="s">
        <v>7643</v>
      </c>
      <c r="D13089" s="18">
        <v>2022</v>
      </c>
      <c r="E13089" s="18" t="s">
        <v>0</v>
      </c>
      <c r="F13089" s="41">
        <v>1</v>
      </c>
      <c r="G13089" s="4">
        <v>15</v>
      </c>
      <c r="H13089" s="18">
        <v>17</v>
      </c>
      <c r="I13089" s="90"/>
      <c r="J13089" s="90"/>
    </row>
    <row r="13090" spans="1:10" s="15" customFormat="1" ht="16.5" hidden="1" customHeight="1" outlineLevel="1" x14ac:dyDescent="0.25">
      <c r="A13090" s="18">
        <v>27</v>
      </c>
      <c r="B13090" s="4" t="s">
        <v>44</v>
      </c>
      <c r="C13090" s="38" t="s">
        <v>7644</v>
      </c>
      <c r="D13090" s="18">
        <v>2022</v>
      </c>
      <c r="E13090" s="18" t="s">
        <v>0</v>
      </c>
      <c r="F13090" s="41">
        <v>1</v>
      </c>
      <c r="G13090" s="4">
        <v>10</v>
      </c>
      <c r="H13090" s="18">
        <v>20</v>
      </c>
      <c r="I13090" s="90"/>
      <c r="J13090" s="90"/>
    </row>
    <row r="13091" spans="1:10" s="15" customFormat="1" ht="16.5" hidden="1" customHeight="1" outlineLevel="1" x14ac:dyDescent="0.25">
      <c r="A13091" s="18">
        <v>55</v>
      </c>
      <c r="B13091" s="4" t="s">
        <v>44</v>
      </c>
      <c r="C13091" s="38" t="s">
        <v>7645</v>
      </c>
      <c r="D13091" s="18">
        <v>2022</v>
      </c>
      <c r="E13091" s="18" t="s">
        <v>0</v>
      </c>
      <c r="F13091" s="41">
        <v>1</v>
      </c>
      <c r="G13091" s="4">
        <v>10</v>
      </c>
      <c r="H13091" s="18">
        <v>20</v>
      </c>
      <c r="I13091" s="90"/>
      <c r="J13091" s="90"/>
    </row>
    <row r="13092" spans="1:10" s="15" customFormat="1" ht="16.5" hidden="1" customHeight="1" outlineLevel="1" x14ac:dyDescent="0.25">
      <c r="A13092" s="18">
        <v>122</v>
      </c>
      <c r="B13092" s="4" t="s">
        <v>44</v>
      </c>
      <c r="C13092" s="38" t="s">
        <v>7646</v>
      </c>
      <c r="D13092" s="18">
        <v>2022</v>
      </c>
      <c r="E13092" s="18" t="s">
        <v>0</v>
      </c>
      <c r="F13092" s="41">
        <v>1</v>
      </c>
      <c r="G13092" s="4">
        <v>10</v>
      </c>
      <c r="H13092" s="18">
        <v>21</v>
      </c>
      <c r="I13092" s="90"/>
      <c r="J13092" s="90"/>
    </row>
    <row r="13093" spans="1:10" s="15" customFormat="1" ht="16.5" hidden="1" customHeight="1" outlineLevel="1" x14ac:dyDescent="0.25">
      <c r="A13093" s="18">
        <v>26</v>
      </c>
      <c r="B13093" s="4" t="s">
        <v>44</v>
      </c>
      <c r="C13093" s="38" t="s">
        <v>7647</v>
      </c>
      <c r="D13093" s="18">
        <v>2022</v>
      </c>
      <c r="E13093" s="18" t="s">
        <v>0</v>
      </c>
      <c r="F13093" s="41">
        <v>1</v>
      </c>
      <c r="G13093" s="4">
        <v>10</v>
      </c>
      <c r="H13093" s="18">
        <v>25</v>
      </c>
      <c r="I13093" s="90"/>
      <c r="J13093" s="90"/>
    </row>
    <row r="13094" spans="1:10" s="15" customFormat="1" ht="16.5" hidden="1" customHeight="1" outlineLevel="1" x14ac:dyDescent="0.25">
      <c r="A13094" s="18">
        <v>71</v>
      </c>
      <c r="B13094" s="4" t="s">
        <v>44</v>
      </c>
      <c r="C13094" s="38" t="s">
        <v>7648</v>
      </c>
      <c r="D13094" s="18">
        <v>2022</v>
      </c>
      <c r="E13094" s="18" t="s">
        <v>0</v>
      </c>
      <c r="F13094" s="41">
        <v>11</v>
      </c>
      <c r="G13094" s="4">
        <v>95.5</v>
      </c>
      <c r="H13094" s="18">
        <v>217</v>
      </c>
      <c r="I13094" s="90"/>
      <c r="J13094" s="90"/>
    </row>
    <row r="13095" spans="1:10" s="15" customFormat="1" ht="16.5" hidden="1" customHeight="1" outlineLevel="1" x14ac:dyDescent="0.25">
      <c r="A13095" s="18">
        <v>50</v>
      </c>
      <c r="B13095" s="4" t="s">
        <v>44</v>
      </c>
      <c r="C13095" s="38" t="s">
        <v>7649</v>
      </c>
      <c r="D13095" s="18">
        <v>2022</v>
      </c>
      <c r="E13095" s="18" t="s">
        <v>0</v>
      </c>
      <c r="F13095" s="41">
        <v>1</v>
      </c>
      <c r="G13095" s="4">
        <v>10</v>
      </c>
      <c r="H13095" s="18">
        <v>20</v>
      </c>
      <c r="I13095" s="90"/>
      <c r="J13095" s="90"/>
    </row>
    <row r="13096" spans="1:10" s="15" customFormat="1" ht="16.5" hidden="1" customHeight="1" outlineLevel="1" x14ac:dyDescent="0.25">
      <c r="A13096" s="18">
        <v>78</v>
      </c>
      <c r="B13096" s="4" t="s">
        <v>44</v>
      </c>
      <c r="C13096" s="38" t="s">
        <v>7650</v>
      </c>
      <c r="D13096" s="18">
        <v>2022</v>
      </c>
      <c r="E13096" s="18" t="s">
        <v>0</v>
      </c>
      <c r="F13096" s="41">
        <v>1</v>
      </c>
      <c r="G13096" s="4">
        <v>14</v>
      </c>
      <c r="H13096" s="18">
        <v>20</v>
      </c>
      <c r="I13096" s="90"/>
      <c r="J13096" s="90"/>
    </row>
    <row r="13097" spans="1:10" s="15" customFormat="1" ht="16.5" hidden="1" customHeight="1" outlineLevel="1" x14ac:dyDescent="0.25">
      <c r="A13097" s="18">
        <v>79</v>
      </c>
      <c r="B13097" s="4" t="s">
        <v>44</v>
      </c>
      <c r="C13097" s="38" t="s">
        <v>7651</v>
      </c>
      <c r="D13097" s="18">
        <v>2022</v>
      </c>
      <c r="E13097" s="18" t="s">
        <v>0</v>
      </c>
      <c r="F13097" s="41">
        <v>1</v>
      </c>
      <c r="G13097" s="4">
        <v>14</v>
      </c>
      <c r="H13097" s="18">
        <v>20</v>
      </c>
      <c r="I13097" s="90"/>
      <c r="J13097" s="90"/>
    </row>
    <row r="13098" spans="1:10" s="15" customFormat="1" ht="16.5" hidden="1" customHeight="1" outlineLevel="1" x14ac:dyDescent="0.25">
      <c r="A13098" s="18">
        <v>80</v>
      </c>
      <c r="B13098" s="4" t="s">
        <v>44</v>
      </c>
      <c r="C13098" s="38" t="s">
        <v>7652</v>
      </c>
      <c r="D13098" s="18">
        <v>2022</v>
      </c>
      <c r="E13098" s="18" t="s">
        <v>0</v>
      </c>
      <c r="F13098" s="41">
        <v>1</v>
      </c>
      <c r="G13098" s="4">
        <v>10</v>
      </c>
      <c r="H13098" s="18">
        <v>20</v>
      </c>
      <c r="I13098" s="90"/>
      <c r="J13098" s="90"/>
    </row>
    <row r="13099" spans="1:10" s="15" customFormat="1" ht="16.5" hidden="1" customHeight="1" outlineLevel="1" x14ac:dyDescent="0.25">
      <c r="A13099" s="18">
        <v>85</v>
      </c>
      <c r="B13099" s="4" t="s">
        <v>44</v>
      </c>
      <c r="C13099" s="38" t="s">
        <v>7653</v>
      </c>
      <c r="D13099" s="18">
        <v>2022</v>
      </c>
      <c r="E13099" s="18" t="s">
        <v>0</v>
      </c>
      <c r="F13099" s="41">
        <v>1</v>
      </c>
      <c r="G13099" s="4">
        <v>20</v>
      </c>
      <c r="H13099" s="18">
        <v>20</v>
      </c>
      <c r="I13099" s="90"/>
      <c r="J13099" s="90"/>
    </row>
    <row r="13100" spans="1:10" s="15" customFormat="1" ht="16.5" hidden="1" customHeight="1" outlineLevel="1" x14ac:dyDescent="0.25">
      <c r="A13100" s="18">
        <v>124</v>
      </c>
      <c r="B13100" s="4" t="s">
        <v>44</v>
      </c>
      <c r="C13100" s="38" t="s">
        <v>7654</v>
      </c>
      <c r="D13100" s="18">
        <v>2022</v>
      </c>
      <c r="E13100" s="18" t="s">
        <v>0</v>
      </c>
      <c r="F13100" s="41">
        <v>1</v>
      </c>
      <c r="G13100" s="4">
        <v>15</v>
      </c>
      <c r="H13100" s="18">
        <v>21</v>
      </c>
      <c r="I13100" s="90"/>
      <c r="J13100" s="90"/>
    </row>
    <row r="13101" spans="1:10" s="15" customFormat="1" ht="16.5" hidden="1" customHeight="1" outlineLevel="1" x14ac:dyDescent="0.25">
      <c r="A13101" s="18">
        <v>153</v>
      </c>
      <c r="B13101" s="4" t="s">
        <v>44</v>
      </c>
      <c r="C13101" s="38" t="s">
        <v>2862</v>
      </c>
      <c r="D13101" s="18">
        <v>2022</v>
      </c>
      <c r="E13101" s="18" t="s">
        <v>0</v>
      </c>
      <c r="F13101" s="41">
        <v>1</v>
      </c>
      <c r="G13101" s="4">
        <v>150</v>
      </c>
      <c r="H13101" s="18">
        <v>70</v>
      </c>
      <c r="I13101" s="90"/>
      <c r="J13101" s="90"/>
    </row>
    <row r="13102" spans="1:10" s="15" customFormat="1" ht="16.5" hidden="1" customHeight="1" outlineLevel="1" x14ac:dyDescent="0.25">
      <c r="A13102" s="18">
        <v>61</v>
      </c>
      <c r="B13102" s="4" t="s">
        <v>44</v>
      </c>
      <c r="C13102" s="38" t="s">
        <v>7655</v>
      </c>
      <c r="D13102" s="18">
        <v>2022</v>
      </c>
      <c r="E13102" s="18" t="s">
        <v>0</v>
      </c>
      <c r="F13102" s="41">
        <v>1</v>
      </c>
      <c r="G13102" s="4">
        <v>50</v>
      </c>
      <c r="H13102" s="18">
        <v>25</v>
      </c>
      <c r="I13102" s="90"/>
      <c r="J13102" s="90"/>
    </row>
    <row r="13103" spans="1:10" s="15" customFormat="1" ht="16.5" hidden="1" customHeight="1" outlineLevel="1" x14ac:dyDescent="0.25">
      <c r="A13103" s="18">
        <v>70</v>
      </c>
      <c r="B13103" s="4" t="s">
        <v>44</v>
      </c>
      <c r="C13103" s="38" t="s">
        <v>7656</v>
      </c>
      <c r="D13103" s="18">
        <v>2022</v>
      </c>
      <c r="E13103" s="18" t="s">
        <v>0</v>
      </c>
      <c r="F13103" s="41">
        <v>1</v>
      </c>
      <c r="G13103" s="4">
        <v>51</v>
      </c>
      <c r="H13103" s="18">
        <v>24</v>
      </c>
      <c r="I13103" s="90"/>
      <c r="J13103" s="90"/>
    </row>
    <row r="13104" spans="1:10" s="15" customFormat="1" ht="16.5" hidden="1" customHeight="1" outlineLevel="1" x14ac:dyDescent="0.25">
      <c r="A13104" s="18">
        <v>73</v>
      </c>
      <c r="B13104" s="4" t="s">
        <v>44</v>
      </c>
      <c r="C13104" s="38" t="s">
        <v>7657</v>
      </c>
      <c r="D13104" s="18">
        <v>2022</v>
      </c>
      <c r="E13104" s="18" t="s">
        <v>0</v>
      </c>
      <c r="F13104" s="41">
        <v>1</v>
      </c>
      <c r="G13104" s="4">
        <v>70</v>
      </c>
      <c r="H13104" s="18">
        <v>25</v>
      </c>
      <c r="I13104" s="90"/>
      <c r="J13104" s="90"/>
    </row>
    <row r="13105" spans="1:10" s="15" customFormat="1" ht="16.5" hidden="1" customHeight="1" outlineLevel="1" x14ac:dyDescent="0.25">
      <c r="A13105" s="18">
        <v>57</v>
      </c>
      <c r="B13105" s="4" t="s">
        <v>44</v>
      </c>
      <c r="C13105" s="38" t="s">
        <v>7658</v>
      </c>
      <c r="D13105" s="18">
        <v>2022</v>
      </c>
      <c r="E13105" s="18" t="s">
        <v>0</v>
      </c>
      <c r="F13105" s="41">
        <v>1</v>
      </c>
      <c r="G13105" s="4">
        <v>50</v>
      </c>
      <c r="H13105" s="18">
        <v>25</v>
      </c>
      <c r="I13105" s="90"/>
      <c r="J13105" s="90"/>
    </row>
    <row r="13106" spans="1:10" s="15" customFormat="1" ht="16.5" hidden="1" customHeight="1" outlineLevel="1" x14ac:dyDescent="0.25">
      <c r="A13106" s="18">
        <v>74</v>
      </c>
      <c r="B13106" s="4" t="s">
        <v>44</v>
      </c>
      <c r="C13106" s="38" t="s">
        <v>7659</v>
      </c>
      <c r="D13106" s="18">
        <v>2022</v>
      </c>
      <c r="E13106" s="18" t="s">
        <v>0</v>
      </c>
      <c r="F13106" s="41">
        <v>1</v>
      </c>
      <c r="G13106" s="4">
        <v>50</v>
      </c>
      <c r="H13106" s="18">
        <v>24</v>
      </c>
      <c r="I13106" s="90"/>
      <c r="J13106" s="90"/>
    </row>
    <row r="13107" spans="1:10" s="15" customFormat="1" ht="16.5" hidden="1" customHeight="1" outlineLevel="1" x14ac:dyDescent="0.25">
      <c r="A13107" s="18">
        <v>56</v>
      </c>
      <c r="B13107" s="4" t="s">
        <v>44</v>
      </c>
      <c r="C13107" s="38" t="s">
        <v>7660</v>
      </c>
      <c r="D13107" s="18">
        <v>2022</v>
      </c>
      <c r="E13107" s="18" t="s">
        <v>0</v>
      </c>
      <c r="F13107" s="41">
        <v>1</v>
      </c>
      <c r="G13107" s="4">
        <v>60</v>
      </c>
      <c r="H13107" s="18">
        <v>25</v>
      </c>
      <c r="I13107" s="90"/>
      <c r="J13107" s="90"/>
    </row>
    <row r="13108" spans="1:10" s="15" customFormat="1" ht="16.5" hidden="1" customHeight="1" outlineLevel="1" x14ac:dyDescent="0.25">
      <c r="A13108" s="18">
        <v>88</v>
      </c>
      <c r="B13108" s="4" t="s">
        <v>44</v>
      </c>
      <c r="C13108" s="38" t="s">
        <v>7661</v>
      </c>
      <c r="D13108" s="18">
        <v>2022</v>
      </c>
      <c r="E13108" s="18" t="s">
        <v>0</v>
      </c>
      <c r="F13108" s="41">
        <v>1</v>
      </c>
      <c r="G13108" s="4">
        <v>10</v>
      </c>
      <c r="H13108" s="18">
        <v>22</v>
      </c>
      <c r="I13108" s="90"/>
      <c r="J13108" s="90"/>
    </row>
    <row r="13109" spans="1:10" s="15" customFormat="1" ht="16.5" hidden="1" customHeight="1" outlineLevel="1" x14ac:dyDescent="0.25">
      <c r="A13109" s="18">
        <v>87</v>
      </c>
      <c r="B13109" s="4" t="s">
        <v>44</v>
      </c>
      <c r="C13109" s="38" t="s">
        <v>7662</v>
      </c>
      <c r="D13109" s="18">
        <v>2022</v>
      </c>
      <c r="E13109" s="18" t="s">
        <v>0</v>
      </c>
      <c r="F13109" s="41">
        <v>1</v>
      </c>
      <c r="G13109" s="4">
        <v>10</v>
      </c>
      <c r="H13109" s="18">
        <v>22</v>
      </c>
      <c r="I13109" s="90"/>
      <c r="J13109" s="90"/>
    </row>
    <row r="13110" spans="1:10" s="15" customFormat="1" ht="16.5" hidden="1" customHeight="1" outlineLevel="1" x14ac:dyDescent="0.25">
      <c r="A13110" s="18">
        <v>69</v>
      </c>
      <c r="B13110" s="4" t="s">
        <v>44</v>
      </c>
      <c r="C13110" s="38" t="s">
        <v>7663</v>
      </c>
      <c r="D13110" s="18">
        <v>2022</v>
      </c>
      <c r="E13110" s="18" t="s">
        <v>0</v>
      </c>
      <c r="F13110" s="41">
        <v>1</v>
      </c>
      <c r="G13110" s="4">
        <v>15</v>
      </c>
      <c r="H13110" s="18">
        <v>22</v>
      </c>
      <c r="I13110" s="90"/>
      <c r="J13110" s="90"/>
    </row>
    <row r="13111" spans="1:10" s="15" customFormat="1" ht="16.5" hidden="1" customHeight="1" outlineLevel="1" x14ac:dyDescent="0.25">
      <c r="A13111" s="18">
        <v>62</v>
      </c>
      <c r="B13111" s="4" t="s">
        <v>44</v>
      </c>
      <c r="C13111" s="38" t="s">
        <v>7664</v>
      </c>
      <c r="D13111" s="18">
        <v>2022</v>
      </c>
      <c r="E13111" s="18" t="s">
        <v>0</v>
      </c>
      <c r="F13111" s="41">
        <v>1</v>
      </c>
      <c r="G13111" s="4">
        <v>15</v>
      </c>
      <c r="H13111" s="18">
        <v>21</v>
      </c>
      <c r="I13111" s="90"/>
      <c r="J13111" s="90"/>
    </row>
    <row r="13112" spans="1:10" s="15" customFormat="1" ht="16.5" hidden="1" customHeight="1" outlineLevel="1" x14ac:dyDescent="0.25">
      <c r="A13112" s="18">
        <v>64</v>
      </c>
      <c r="B13112" s="4" t="s">
        <v>44</v>
      </c>
      <c r="C13112" s="38" t="s">
        <v>7665</v>
      </c>
      <c r="D13112" s="18">
        <v>2022</v>
      </c>
      <c r="E13112" s="18" t="s">
        <v>0</v>
      </c>
      <c r="F13112" s="41">
        <v>1</v>
      </c>
      <c r="G13112" s="4">
        <v>10</v>
      </c>
      <c r="H13112" s="18">
        <v>22</v>
      </c>
      <c r="I13112" s="90"/>
      <c r="J13112" s="90"/>
    </row>
    <row r="13113" spans="1:10" s="15" customFormat="1" ht="16.5" hidden="1" customHeight="1" outlineLevel="1" x14ac:dyDescent="0.25">
      <c r="A13113" s="18">
        <v>60</v>
      </c>
      <c r="B13113" s="4" t="s">
        <v>44</v>
      </c>
      <c r="C13113" s="38" t="s">
        <v>7666</v>
      </c>
      <c r="D13113" s="18">
        <v>2022</v>
      </c>
      <c r="E13113" s="18" t="s">
        <v>0</v>
      </c>
      <c r="F13113" s="41">
        <v>1</v>
      </c>
      <c r="G13113" s="4">
        <v>10</v>
      </c>
      <c r="H13113" s="18">
        <v>22</v>
      </c>
      <c r="I13113" s="90"/>
      <c r="J13113" s="90"/>
    </row>
    <row r="13114" spans="1:10" s="15" customFormat="1" ht="16.5" hidden="1" customHeight="1" outlineLevel="1" x14ac:dyDescent="0.25">
      <c r="A13114" s="18">
        <v>66</v>
      </c>
      <c r="B13114" s="4" t="s">
        <v>44</v>
      </c>
      <c r="C13114" s="38" t="s">
        <v>7667</v>
      </c>
      <c r="D13114" s="18">
        <v>2022</v>
      </c>
      <c r="E13114" s="18" t="s">
        <v>0</v>
      </c>
      <c r="F13114" s="41">
        <v>1</v>
      </c>
      <c r="G13114" s="4">
        <v>15</v>
      </c>
      <c r="H13114" s="18">
        <v>21</v>
      </c>
      <c r="I13114" s="90"/>
      <c r="J13114" s="90"/>
    </row>
    <row r="13115" spans="1:10" s="15" customFormat="1" ht="16.5" hidden="1" customHeight="1" outlineLevel="1" x14ac:dyDescent="0.25">
      <c r="A13115" s="18">
        <v>81</v>
      </c>
      <c r="B13115" s="4" t="s">
        <v>44</v>
      </c>
      <c r="C13115" s="38" t="s">
        <v>7668</v>
      </c>
      <c r="D13115" s="18">
        <v>2022</v>
      </c>
      <c r="E13115" s="18" t="s">
        <v>0</v>
      </c>
      <c r="F13115" s="41">
        <v>1</v>
      </c>
      <c r="G13115" s="4">
        <v>10</v>
      </c>
      <c r="H13115" s="18">
        <v>24</v>
      </c>
      <c r="I13115" s="90"/>
      <c r="J13115" s="90"/>
    </row>
    <row r="13116" spans="1:10" s="15" customFormat="1" ht="16.5" hidden="1" customHeight="1" outlineLevel="1" x14ac:dyDescent="0.25">
      <c r="A13116" s="18">
        <v>83</v>
      </c>
      <c r="B13116" s="4" t="s">
        <v>44</v>
      </c>
      <c r="C13116" s="38" t="s">
        <v>7669</v>
      </c>
      <c r="D13116" s="18">
        <v>2022</v>
      </c>
      <c r="E13116" s="18" t="s">
        <v>0</v>
      </c>
      <c r="F13116" s="41">
        <v>1</v>
      </c>
      <c r="G13116" s="4">
        <v>10</v>
      </c>
      <c r="H13116" s="18">
        <v>22</v>
      </c>
      <c r="I13116" s="90"/>
      <c r="J13116" s="90"/>
    </row>
    <row r="13117" spans="1:10" s="15" customFormat="1" ht="16.5" hidden="1" customHeight="1" outlineLevel="1" x14ac:dyDescent="0.25">
      <c r="A13117" s="18">
        <v>84</v>
      </c>
      <c r="B13117" s="4" t="s">
        <v>44</v>
      </c>
      <c r="C13117" s="38" t="s">
        <v>7670</v>
      </c>
      <c r="D13117" s="18">
        <v>2022</v>
      </c>
      <c r="E13117" s="18" t="s">
        <v>0</v>
      </c>
      <c r="F13117" s="41">
        <v>1</v>
      </c>
      <c r="G13117" s="4">
        <v>10</v>
      </c>
      <c r="H13117" s="18">
        <v>22</v>
      </c>
      <c r="I13117" s="90"/>
      <c r="J13117" s="90"/>
    </row>
    <row r="13118" spans="1:10" s="15" customFormat="1" ht="16.5" hidden="1" customHeight="1" outlineLevel="1" x14ac:dyDescent="0.25">
      <c r="A13118" s="18">
        <v>77</v>
      </c>
      <c r="B13118" s="4" t="s">
        <v>44</v>
      </c>
      <c r="C13118" s="38" t="s">
        <v>7671</v>
      </c>
      <c r="D13118" s="18">
        <v>2022</v>
      </c>
      <c r="E13118" s="18" t="s">
        <v>0</v>
      </c>
      <c r="F13118" s="41">
        <v>1</v>
      </c>
      <c r="G13118" s="4">
        <v>14</v>
      </c>
      <c r="H13118" s="18">
        <v>21</v>
      </c>
      <c r="I13118" s="90"/>
      <c r="J13118" s="90"/>
    </row>
    <row r="13119" spans="1:10" s="15" customFormat="1" ht="16.5" hidden="1" customHeight="1" outlineLevel="1" x14ac:dyDescent="0.25">
      <c r="A13119" s="18">
        <v>82</v>
      </c>
      <c r="B13119" s="4" t="s">
        <v>44</v>
      </c>
      <c r="C13119" s="38" t="s">
        <v>7672</v>
      </c>
      <c r="D13119" s="18">
        <v>2022</v>
      </c>
      <c r="E13119" s="18" t="s">
        <v>0</v>
      </c>
      <c r="F13119" s="41">
        <v>1</v>
      </c>
      <c r="G13119" s="4">
        <v>10</v>
      </c>
      <c r="H13119" s="18">
        <v>22</v>
      </c>
      <c r="I13119" s="90"/>
      <c r="J13119" s="90"/>
    </row>
    <row r="13120" spans="1:10" s="15" customFormat="1" ht="16.5" hidden="1" customHeight="1" outlineLevel="1" x14ac:dyDescent="0.25">
      <c r="A13120" s="18">
        <v>86</v>
      </c>
      <c r="B13120" s="4" t="s">
        <v>44</v>
      </c>
      <c r="C13120" s="38" t="s">
        <v>7673</v>
      </c>
      <c r="D13120" s="18">
        <v>2022</v>
      </c>
      <c r="E13120" s="18" t="s">
        <v>0</v>
      </c>
      <c r="F13120" s="41">
        <v>1</v>
      </c>
      <c r="G13120" s="4">
        <v>14</v>
      </c>
      <c r="H13120" s="18">
        <v>21</v>
      </c>
      <c r="I13120" s="90"/>
      <c r="J13120" s="90"/>
    </row>
    <row r="13121" spans="1:10" s="15" customFormat="1" ht="16.5" hidden="1" customHeight="1" outlineLevel="1" x14ac:dyDescent="0.25">
      <c r="A13121" s="18">
        <v>68</v>
      </c>
      <c r="B13121" s="4" t="s">
        <v>44</v>
      </c>
      <c r="C13121" s="38" t="s">
        <v>7674</v>
      </c>
      <c r="D13121" s="18">
        <v>2022</v>
      </c>
      <c r="E13121" s="18" t="s">
        <v>0</v>
      </c>
      <c r="F13121" s="41">
        <v>1</v>
      </c>
      <c r="G13121" s="4">
        <v>15</v>
      </c>
      <c r="H13121" s="18">
        <v>21</v>
      </c>
      <c r="I13121" s="90"/>
      <c r="J13121" s="90"/>
    </row>
    <row r="13122" spans="1:10" s="15" customFormat="1" ht="16.5" hidden="1" customHeight="1" outlineLevel="1" x14ac:dyDescent="0.25">
      <c r="A13122" s="18">
        <v>51</v>
      </c>
      <c r="B13122" s="4" t="s">
        <v>44</v>
      </c>
      <c r="C13122" s="38" t="s">
        <v>7675</v>
      </c>
      <c r="D13122" s="18">
        <v>2022</v>
      </c>
      <c r="E13122" s="18" t="s">
        <v>0</v>
      </c>
      <c r="F13122" s="41">
        <v>1</v>
      </c>
      <c r="G13122" s="4">
        <v>15</v>
      </c>
      <c r="H13122" s="18">
        <v>21</v>
      </c>
      <c r="I13122" s="90"/>
      <c r="J13122" s="90"/>
    </row>
    <row r="13123" spans="1:10" s="15" customFormat="1" ht="16.5" hidden="1" customHeight="1" outlineLevel="1" x14ac:dyDescent="0.25">
      <c r="A13123" s="18">
        <v>131</v>
      </c>
      <c r="B13123" s="4" t="s">
        <v>44</v>
      </c>
      <c r="C13123" s="38" t="s">
        <v>7676</v>
      </c>
      <c r="D13123" s="18">
        <v>2022</v>
      </c>
      <c r="E13123" s="18" t="s">
        <v>0</v>
      </c>
      <c r="F13123" s="41">
        <v>1</v>
      </c>
      <c r="G13123" s="4">
        <v>11.5</v>
      </c>
      <c r="H13123" s="18">
        <v>19</v>
      </c>
      <c r="I13123" s="90"/>
      <c r="J13123" s="90"/>
    </row>
    <row r="13124" spans="1:10" s="15" customFormat="1" ht="16.5" hidden="1" customHeight="1" outlineLevel="1" x14ac:dyDescent="0.25">
      <c r="A13124" s="18">
        <v>132</v>
      </c>
      <c r="B13124" s="4" t="s">
        <v>44</v>
      </c>
      <c r="C13124" s="38" t="s">
        <v>7677</v>
      </c>
      <c r="D13124" s="18">
        <v>2022</v>
      </c>
      <c r="E13124" s="18" t="s">
        <v>0</v>
      </c>
      <c r="F13124" s="41">
        <v>2</v>
      </c>
      <c r="G13124" s="4">
        <v>20</v>
      </c>
      <c r="H13124" s="18">
        <v>38</v>
      </c>
      <c r="I13124" s="90"/>
      <c r="J13124" s="90"/>
    </row>
    <row r="13125" spans="1:10" s="15" customFormat="1" ht="16.5" hidden="1" customHeight="1" outlineLevel="1" x14ac:dyDescent="0.25">
      <c r="A13125" s="18">
        <v>133</v>
      </c>
      <c r="B13125" s="4" t="s">
        <v>44</v>
      </c>
      <c r="C13125" s="38" t="s">
        <v>7678</v>
      </c>
      <c r="D13125" s="18">
        <v>2022</v>
      </c>
      <c r="E13125" s="18" t="s">
        <v>0</v>
      </c>
      <c r="F13125" s="41">
        <v>1</v>
      </c>
      <c r="G13125" s="4">
        <v>6</v>
      </c>
      <c r="H13125" s="18">
        <v>20</v>
      </c>
      <c r="I13125" s="90"/>
      <c r="J13125" s="90"/>
    </row>
    <row r="13126" spans="1:10" s="15" customFormat="1" ht="16.5" hidden="1" customHeight="1" outlineLevel="1" x14ac:dyDescent="0.25">
      <c r="A13126" s="18">
        <v>134</v>
      </c>
      <c r="B13126" s="4" t="s">
        <v>44</v>
      </c>
      <c r="C13126" s="38" t="s">
        <v>7679</v>
      </c>
      <c r="D13126" s="18">
        <v>2022</v>
      </c>
      <c r="E13126" s="18" t="s">
        <v>0</v>
      </c>
      <c r="F13126" s="41">
        <v>1</v>
      </c>
      <c r="G13126" s="4">
        <v>10</v>
      </c>
      <c r="H13126" s="18">
        <v>20</v>
      </c>
      <c r="I13126" s="90"/>
      <c r="J13126" s="90"/>
    </row>
    <row r="13127" spans="1:10" s="15" customFormat="1" ht="16.5" hidden="1" customHeight="1" outlineLevel="1" x14ac:dyDescent="0.25">
      <c r="A13127" s="18">
        <v>158</v>
      </c>
      <c r="B13127" s="4" t="s">
        <v>44</v>
      </c>
      <c r="C13127" s="38" t="s">
        <v>7680</v>
      </c>
      <c r="D13127" s="18">
        <v>2022</v>
      </c>
      <c r="E13127" s="18" t="s">
        <v>0</v>
      </c>
      <c r="F13127" s="41">
        <v>1</v>
      </c>
      <c r="G13127" s="4">
        <v>149</v>
      </c>
      <c r="H13127" s="18">
        <v>32</v>
      </c>
      <c r="I13127" s="90"/>
      <c r="J13127" s="90"/>
    </row>
    <row r="13128" spans="1:10" s="15" customFormat="1" ht="16.5" hidden="1" customHeight="1" outlineLevel="1" x14ac:dyDescent="0.25">
      <c r="A13128" s="18">
        <v>249</v>
      </c>
      <c r="B13128" s="4" t="s">
        <v>44</v>
      </c>
      <c r="C13128" s="38" t="s">
        <v>2662</v>
      </c>
      <c r="D13128" s="18">
        <v>2022</v>
      </c>
      <c r="E13128" s="18" t="s">
        <v>0</v>
      </c>
      <c r="F13128" s="41">
        <v>1</v>
      </c>
      <c r="G13128" s="4">
        <v>15</v>
      </c>
      <c r="H13128" s="18">
        <v>57</v>
      </c>
      <c r="I13128" s="90"/>
      <c r="J13128" s="90"/>
    </row>
    <row r="13129" spans="1:10" s="15" customFormat="1" ht="16.5" hidden="1" customHeight="1" outlineLevel="1" x14ac:dyDescent="0.25">
      <c r="A13129" s="18">
        <v>148</v>
      </c>
      <c r="B13129" s="4" t="s">
        <v>44</v>
      </c>
      <c r="C13129" s="38" t="s">
        <v>2663</v>
      </c>
      <c r="D13129" s="18">
        <v>2022</v>
      </c>
      <c r="E13129" s="18" t="s">
        <v>0</v>
      </c>
      <c r="F13129" s="41">
        <v>4</v>
      </c>
      <c r="G13129" s="4">
        <v>56</v>
      </c>
      <c r="H13129" s="18">
        <v>99</v>
      </c>
      <c r="I13129" s="90"/>
      <c r="J13129" s="90"/>
    </row>
    <row r="13130" spans="1:10" s="15" customFormat="1" ht="16.5" hidden="1" customHeight="1" outlineLevel="1" x14ac:dyDescent="0.25">
      <c r="A13130" s="18">
        <v>178</v>
      </c>
      <c r="B13130" s="4" t="s">
        <v>44</v>
      </c>
      <c r="C13130" s="38" t="s">
        <v>7681</v>
      </c>
      <c r="D13130" s="18">
        <v>2022</v>
      </c>
      <c r="E13130" s="18" t="s">
        <v>0</v>
      </c>
      <c r="F13130" s="41">
        <v>1</v>
      </c>
      <c r="G13130" s="4">
        <v>15</v>
      </c>
      <c r="H13130" s="18">
        <v>21</v>
      </c>
      <c r="I13130" s="90"/>
      <c r="J13130" s="90"/>
    </row>
    <row r="13131" spans="1:10" s="15" customFormat="1" ht="16.5" hidden="1" customHeight="1" outlineLevel="1" x14ac:dyDescent="0.25">
      <c r="A13131" s="18">
        <v>211</v>
      </c>
      <c r="B13131" s="4" t="s">
        <v>44</v>
      </c>
      <c r="C13131" s="38" t="s">
        <v>2665</v>
      </c>
      <c r="D13131" s="18">
        <v>2022</v>
      </c>
      <c r="E13131" s="18" t="s">
        <v>0</v>
      </c>
      <c r="F13131" s="41">
        <v>1</v>
      </c>
      <c r="G13131" s="4">
        <v>15</v>
      </c>
      <c r="H13131" s="18">
        <v>29</v>
      </c>
      <c r="I13131" s="90"/>
      <c r="J13131" s="90"/>
    </row>
    <row r="13132" spans="1:10" s="15" customFormat="1" ht="16.5" hidden="1" customHeight="1" outlineLevel="1" x14ac:dyDescent="0.25">
      <c r="A13132" s="18">
        <v>170</v>
      </c>
      <c r="B13132" s="4" t="s">
        <v>44</v>
      </c>
      <c r="C13132" s="38" t="s">
        <v>2666</v>
      </c>
      <c r="D13132" s="18">
        <v>2022</v>
      </c>
      <c r="E13132" s="18" t="s">
        <v>0</v>
      </c>
      <c r="F13132" s="41">
        <v>1</v>
      </c>
      <c r="G13132" s="4">
        <v>5</v>
      </c>
      <c r="H13132" s="18">
        <v>38</v>
      </c>
      <c r="I13132" s="90"/>
      <c r="J13132" s="90"/>
    </row>
    <row r="13133" spans="1:10" s="15" customFormat="1" ht="16.5" hidden="1" customHeight="1" outlineLevel="1" x14ac:dyDescent="0.25">
      <c r="A13133" s="18">
        <v>195</v>
      </c>
      <c r="B13133" s="4" t="s">
        <v>44</v>
      </c>
      <c r="C13133" s="38" t="s">
        <v>2667</v>
      </c>
      <c r="D13133" s="18">
        <v>2022</v>
      </c>
      <c r="E13133" s="18" t="s">
        <v>0</v>
      </c>
      <c r="F13133" s="41">
        <v>1</v>
      </c>
      <c r="G13133" s="4">
        <v>15</v>
      </c>
      <c r="H13133" s="18">
        <v>35</v>
      </c>
      <c r="I13133" s="90"/>
      <c r="J13133" s="90"/>
    </row>
    <row r="13134" spans="1:10" s="15" customFormat="1" ht="16.5" hidden="1" customHeight="1" outlineLevel="1" x14ac:dyDescent="0.25">
      <c r="A13134" s="18">
        <v>220</v>
      </c>
      <c r="B13134" s="4" t="s">
        <v>44</v>
      </c>
      <c r="C13134" s="38" t="s">
        <v>2668</v>
      </c>
      <c r="D13134" s="18">
        <v>2022</v>
      </c>
      <c r="E13134" s="18" t="s">
        <v>0</v>
      </c>
      <c r="F13134" s="41">
        <v>1</v>
      </c>
      <c r="G13134" s="4">
        <v>15</v>
      </c>
      <c r="H13134" s="18">
        <v>35</v>
      </c>
      <c r="I13134" s="90"/>
      <c r="J13134" s="90"/>
    </row>
    <row r="13135" spans="1:10" s="15" customFormat="1" ht="16.5" hidden="1" customHeight="1" outlineLevel="1" x14ac:dyDescent="0.25">
      <c r="A13135" s="18">
        <v>216</v>
      </c>
      <c r="B13135" s="4" t="s">
        <v>44</v>
      </c>
      <c r="C13135" s="38" t="s">
        <v>2669</v>
      </c>
      <c r="D13135" s="18">
        <v>2022</v>
      </c>
      <c r="E13135" s="18" t="s">
        <v>0</v>
      </c>
      <c r="F13135" s="41">
        <v>1</v>
      </c>
      <c r="G13135" s="4">
        <v>15</v>
      </c>
      <c r="H13135" s="18">
        <v>35</v>
      </c>
      <c r="I13135" s="90"/>
      <c r="J13135" s="90"/>
    </row>
    <row r="13136" spans="1:10" s="15" customFormat="1" ht="16.5" hidden="1" customHeight="1" outlineLevel="1" x14ac:dyDescent="0.25">
      <c r="A13136" s="18">
        <v>177</v>
      </c>
      <c r="B13136" s="4" t="s">
        <v>44</v>
      </c>
      <c r="C13136" s="38" t="s">
        <v>2670</v>
      </c>
      <c r="D13136" s="18">
        <v>2022</v>
      </c>
      <c r="E13136" s="18" t="s">
        <v>0</v>
      </c>
      <c r="F13136" s="41">
        <v>2</v>
      </c>
      <c r="G13136" s="4">
        <v>180</v>
      </c>
      <c r="H13136" s="18">
        <v>39</v>
      </c>
      <c r="I13136" s="90"/>
      <c r="J13136" s="90"/>
    </row>
    <row r="13137" spans="1:10" s="15" customFormat="1" ht="16.5" hidden="1" customHeight="1" outlineLevel="1" x14ac:dyDescent="0.25">
      <c r="A13137" s="18">
        <v>171</v>
      </c>
      <c r="B13137" s="4" t="s">
        <v>44</v>
      </c>
      <c r="C13137" s="38" t="s">
        <v>2671</v>
      </c>
      <c r="D13137" s="18">
        <v>2022</v>
      </c>
      <c r="E13137" s="18" t="s">
        <v>0</v>
      </c>
      <c r="F13137" s="41">
        <v>1</v>
      </c>
      <c r="G13137" s="4">
        <v>100</v>
      </c>
      <c r="H13137" s="18">
        <v>32</v>
      </c>
      <c r="I13137" s="90"/>
      <c r="J13137" s="90"/>
    </row>
    <row r="13138" spans="1:10" s="15" customFormat="1" ht="16.5" hidden="1" customHeight="1" outlineLevel="1" x14ac:dyDescent="0.25">
      <c r="A13138" s="18">
        <v>200</v>
      </c>
      <c r="B13138" s="4" t="s">
        <v>44</v>
      </c>
      <c r="C13138" s="38" t="s">
        <v>2673</v>
      </c>
      <c r="D13138" s="18">
        <v>2022</v>
      </c>
      <c r="E13138" s="18" t="s">
        <v>0</v>
      </c>
      <c r="F13138" s="41">
        <v>1</v>
      </c>
      <c r="G13138" s="4">
        <v>50</v>
      </c>
      <c r="H13138" s="18">
        <v>40</v>
      </c>
      <c r="I13138" s="90"/>
      <c r="J13138" s="90"/>
    </row>
    <row r="13139" spans="1:10" s="15" customFormat="1" ht="16.5" hidden="1" customHeight="1" outlineLevel="1" x14ac:dyDescent="0.25">
      <c r="A13139" s="18">
        <v>244</v>
      </c>
      <c r="B13139" s="4" t="s">
        <v>44</v>
      </c>
      <c r="C13139" s="38" t="s">
        <v>7682</v>
      </c>
      <c r="D13139" s="18">
        <v>2022</v>
      </c>
      <c r="E13139" s="18" t="s">
        <v>0</v>
      </c>
      <c r="F13139" s="41">
        <v>195</v>
      </c>
      <c r="G13139" s="4">
        <v>2775.5</v>
      </c>
      <c r="H13139" s="18">
        <v>3402</v>
      </c>
      <c r="I13139" s="90"/>
      <c r="J13139" s="90"/>
    </row>
    <row r="13140" spans="1:10" s="15" customFormat="1" ht="16.5" hidden="1" customHeight="1" outlineLevel="1" x14ac:dyDescent="0.25">
      <c r="A13140" s="18">
        <v>243</v>
      </c>
      <c r="B13140" s="4" t="s">
        <v>44</v>
      </c>
      <c r="C13140" s="38" t="s">
        <v>7683</v>
      </c>
      <c r="D13140" s="18">
        <v>2022</v>
      </c>
      <c r="E13140" s="18" t="s">
        <v>0</v>
      </c>
      <c r="F13140" s="41">
        <v>65</v>
      </c>
      <c r="G13140" s="4">
        <v>747</v>
      </c>
      <c r="H13140" s="18">
        <v>1164</v>
      </c>
      <c r="I13140" s="90"/>
      <c r="J13140" s="90"/>
    </row>
    <row r="13141" spans="1:10" s="15" customFormat="1" ht="16.5" hidden="1" customHeight="1" outlineLevel="1" x14ac:dyDescent="0.25">
      <c r="A13141" s="18">
        <v>245</v>
      </c>
      <c r="B13141" s="4" t="s">
        <v>44</v>
      </c>
      <c r="C13141" s="38" t="s">
        <v>7684</v>
      </c>
      <c r="D13141" s="18">
        <v>2022</v>
      </c>
      <c r="E13141" s="18" t="s">
        <v>0</v>
      </c>
      <c r="F13141" s="41">
        <v>90</v>
      </c>
      <c r="G13141" s="4">
        <v>1304.9000000000001</v>
      </c>
      <c r="H13141" s="18">
        <v>1588</v>
      </c>
      <c r="I13141" s="90"/>
      <c r="J13141" s="90"/>
    </row>
    <row r="13142" spans="1:10" s="15" customFormat="1" ht="16.5" hidden="1" customHeight="1" outlineLevel="1" x14ac:dyDescent="0.25">
      <c r="A13142" s="18">
        <v>246</v>
      </c>
      <c r="B13142" s="4" t="s">
        <v>44</v>
      </c>
      <c r="C13142" s="38" t="s">
        <v>7685</v>
      </c>
      <c r="D13142" s="18">
        <v>2022</v>
      </c>
      <c r="E13142" s="18" t="s">
        <v>0</v>
      </c>
      <c r="F13142" s="41">
        <v>99</v>
      </c>
      <c r="G13142" s="4">
        <v>1383.8</v>
      </c>
      <c r="H13142" s="18">
        <v>1805</v>
      </c>
      <c r="I13142" s="90"/>
      <c r="J13142" s="90"/>
    </row>
    <row r="13143" spans="1:10" s="15" customFormat="1" ht="16.5" hidden="1" customHeight="1" outlineLevel="1" x14ac:dyDescent="0.25">
      <c r="A13143" s="18">
        <v>241</v>
      </c>
      <c r="B13143" s="4" t="s">
        <v>44</v>
      </c>
      <c r="C13143" s="38" t="s">
        <v>7686</v>
      </c>
      <c r="D13143" s="18">
        <v>2022</v>
      </c>
      <c r="E13143" s="18" t="s">
        <v>0</v>
      </c>
      <c r="F13143" s="41">
        <v>83</v>
      </c>
      <c r="G13143" s="4">
        <v>1217.5</v>
      </c>
      <c r="H13143" s="18">
        <v>1458</v>
      </c>
      <c r="I13143" s="90"/>
      <c r="J13143" s="90"/>
    </row>
    <row r="13144" spans="1:10" s="15" customFormat="1" ht="16.5" hidden="1" customHeight="1" outlineLevel="1" x14ac:dyDescent="0.25">
      <c r="A13144" s="18">
        <v>242</v>
      </c>
      <c r="B13144" s="4" t="s">
        <v>44</v>
      </c>
      <c r="C13144" s="38" t="s">
        <v>7687</v>
      </c>
      <c r="D13144" s="18">
        <v>2022</v>
      </c>
      <c r="E13144" s="18" t="s">
        <v>0</v>
      </c>
      <c r="F13144" s="41">
        <v>97</v>
      </c>
      <c r="G13144" s="4">
        <v>1412.99</v>
      </c>
      <c r="H13144" s="18">
        <v>1744</v>
      </c>
      <c r="I13144" s="90"/>
      <c r="J13144" s="90"/>
    </row>
    <row r="13145" spans="1:10" s="15" customFormat="1" ht="16.5" hidden="1" customHeight="1" outlineLevel="1" x14ac:dyDescent="0.25">
      <c r="A13145" s="18">
        <v>240</v>
      </c>
      <c r="B13145" s="4" t="s">
        <v>44</v>
      </c>
      <c r="C13145" s="38" t="s">
        <v>7688</v>
      </c>
      <c r="D13145" s="18">
        <v>2022</v>
      </c>
      <c r="E13145" s="18" t="s">
        <v>0</v>
      </c>
      <c r="F13145" s="41">
        <v>19</v>
      </c>
      <c r="G13145" s="4">
        <v>120</v>
      </c>
      <c r="H13145" s="18">
        <v>190</v>
      </c>
      <c r="I13145" s="90"/>
      <c r="J13145" s="90"/>
    </row>
    <row r="13146" spans="1:10" s="15" customFormat="1" ht="16.5" hidden="1" customHeight="1" outlineLevel="1" x14ac:dyDescent="0.25">
      <c r="A13146" s="18">
        <v>238</v>
      </c>
      <c r="B13146" s="4" t="s">
        <v>44</v>
      </c>
      <c r="C13146" s="38" t="s">
        <v>7689</v>
      </c>
      <c r="D13146" s="18">
        <v>2022</v>
      </c>
      <c r="E13146" s="18" t="s">
        <v>0</v>
      </c>
      <c r="F13146" s="41">
        <v>6</v>
      </c>
      <c r="G13146" s="4">
        <v>52</v>
      </c>
      <c r="H13146" s="18">
        <v>64</v>
      </c>
      <c r="I13146" s="90"/>
      <c r="J13146" s="90"/>
    </row>
    <row r="13147" spans="1:10" s="15" customFormat="1" ht="16.5" hidden="1" customHeight="1" outlineLevel="1" x14ac:dyDescent="0.25">
      <c r="A13147" s="18">
        <v>239</v>
      </c>
      <c r="B13147" s="4" t="s">
        <v>44</v>
      </c>
      <c r="C13147" s="38" t="s">
        <v>7690</v>
      </c>
      <c r="D13147" s="18">
        <v>2022</v>
      </c>
      <c r="E13147" s="18" t="s">
        <v>0</v>
      </c>
      <c r="F13147" s="41">
        <v>43</v>
      </c>
      <c r="G13147" s="4">
        <v>237</v>
      </c>
      <c r="H13147" s="18">
        <v>437</v>
      </c>
      <c r="I13147" s="90"/>
      <c r="J13147" s="90"/>
    </row>
    <row r="13148" spans="1:10" s="15" customFormat="1" ht="16.5" hidden="1" customHeight="1" outlineLevel="1" x14ac:dyDescent="0.25">
      <c r="A13148" s="18">
        <v>237</v>
      </c>
      <c r="B13148" s="4" t="s">
        <v>44</v>
      </c>
      <c r="C13148" s="38" t="s">
        <v>7691</v>
      </c>
      <c r="D13148" s="18">
        <v>2022</v>
      </c>
      <c r="E13148" s="18" t="s">
        <v>0</v>
      </c>
      <c r="F13148" s="41">
        <v>8</v>
      </c>
      <c r="G13148" s="4">
        <v>46</v>
      </c>
      <c r="H13148" s="18">
        <v>80</v>
      </c>
      <c r="I13148" s="90"/>
      <c r="J13148" s="90"/>
    </row>
    <row r="13149" spans="1:10" s="15" customFormat="1" ht="16.5" hidden="1" customHeight="1" outlineLevel="1" x14ac:dyDescent="0.25">
      <c r="A13149" s="18">
        <v>248</v>
      </c>
      <c r="B13149" s="4" t="s">
        <v>44</v>
      </c>
      <c r="C13149" s="38" t="s">
        <v>7692</v>
      </c>
      <c r="D13149" s="18">
        <v>2022</v>
      </c>
      <c r="E13149" s="18" t="s">
        <v>0</v>
      </c>
      <c r="F13149" s="41">
        <v>6</v>
      </c>
      <c r="G13149" s="4">
        <v>37.5</v>
      </c>
      <c r="H13149" s="18">
        <v>60</v>
      </c>
      <c r="I13149" s="90"/>
      <c r="J13149" s="90"/>
    </row>
    <row r="13150" spans="1:10" s="15" customFormat="1" ht="16.5" hidden="1" customHeight="1" outlineLevel="1" x14ac:dyDescent="0.25">
      <c r="A13150" s="18">
        <v>247</v>
      </c>
      <c r="B13150" s="4" t="s">
        <v>44</v>
      </c>
      <c r="C13150" s="38" t="s">
        <v>7693</v>
      </c>
      <c r="D13150" s="18">
        <v>2022</v>
      </c>
      <c r="E13150" s="18" t="s">
        <v>0</v>
      </c>
      <c r="F13150" s="41">
        <v>4</v>
      </c>
      <c r="G13150" s="4">
        <v>40</v>
      </c>
      <c r="H13150" s="18">
        <v>40</v>
      </c>
      <c r="I13150" s="90"/>
      <c r="J13150" s="90"/>
    </row>
    <row r="13151" spans="1:10" s="15" customFormat="1" ht="16.5" hidden="1" customHeight="1" outlineLevel="1" x14ac:dyDescent="0.25">
      <c r="A13151" s="18">
        <v>192</v>
      </c>
      <c r="B13151" s="4" t="s">
        <v>44</v>
      </c>
      <c r="C13151" s="38" t="s">
        <v>2674</v>
      </c>
      <c r="D13151" s="18">
        <v>2022</v>
      </c>
      <c r="E13151" s="18" t="s">
        <v>0</v>
      </c>
      <c r="F13151" s="41">
        <v>2</v>
      </c>
      <c r="G13151" s="4">
        <v>20</v>
      </c>
      <c r="H13151" s="18">
        <v>56</v>
      </c>
      <c r="I13151" s="90"/>
      <c r="J13151" s="90"/>
    </row>
    <row r="13152" spans="1:10" s="15" customFormat="1" ht="16.5" hidden="1" customHeight="1" outlineLevel="1" x14ac:dyDescent="0.25">
      <c r="A13152" s="18">
        <v>236</v>
      </c>
      <c r="B13152" s="4" t="s">
        <v>44</v>
      </c>
      <c r="C13152" s="38" t="s">
        <v>7694</v>
      </c>
      <c r="D13152" s="18">
        <v>2022</v>
      </c>
      <c r="E13152" s="18" t="s">
        <v>0</v>
      </c>
      <c r="F13152" s="41">
        <v>1</v>
      </c>
      <c r="G13152" s="4">
        <v>15</v>
      </c>
      <c r="H13152" s="18">
        <v>18</v>
      </c>
      <c r="I13152" s="90"/>
      <c r="J13152" s="90"/>
    </row>
    <row r="13153" spans="1:10" s="15" customFormat="1" ht="16.5" hidden="1" customHeight="1" outlineLevel="1" x14ac:dyDescent="0.25">
      <c r="A13153" s="18">
        <v>264</v>
      </c>
      <c r="B13153" s="4" t="s">
        <v>44</v>
      </c>
      <c r="C13153" s="38" t="s">
        <v>7695</v>
      </c>
      <c r="D13153" s="18">
        <v>2022</v>
      </c>
      <c r="E13153" s="18" t="s">
        <v>0</v>
      </c>
      <c r="F13153" s="41">
        <v>1</v>
      </c>
      <c r="G13153" s="4">
        <v>15</v>
      </c>
      <c r="H13153" s="18">
        <v>17</v>
      </c>
      <c r="I13153" s="90"/>
      <c r="J13153" s="90"/>
    </row>
    <row r="13154" spans="1:10" s="15" customFormat="1" ht="16.5" hidden="1" customHeight="1" outlineLevel="1" x14ac:dyDescent="0.25">
      <c r="A13154" s="18">
        <v>272</v>
      </c>
      <c r="B13154" s="4" t="s">
        <v>44</v>
      </c>
      <c r="C13154" s="38" t="s">
        <v>7696</v>
      </c>
      <c r="D13154" s="18">
        <v>2022</v>
      </c>
      <c r="E13154" s="18" t="s">
        <v>0</v>
      </c>
      <c r="F13154" s="41">
        <v>1</v>
      </c>
      <c r="G13154" s="4">
        <v>12</v>
      </c>
      <c r="H13154" s="18">
        <v>17</v>
      </c>
      <c r="I13154" s="90"/>
      <c r="J13154" s="90"/>
    </row>
    <row r="13155" spans="1:10" s="15" customFormat="1" ht="16.5" hidden="1" customHeight="1" outlineLevel="1" x14ac:dyDescent="0.25">
      <c r="A13155" s="18">
        <v>274</v>
      </c>
      <c r="B13155" s="4" t="s">
        <v>44</v>
      </c>
      <c r="C13155" s="38" t="s">
        <v>7697</v>
      </c>
      <c r="D13155" s="18">
        <v>2022</v>
      </c>
      <c r="E13155" s="18" t="s">
        <v>0</v>
      </c>
      <c r="F13155" s="41">
        <v>1</v>
      </c>
      <c r="G13155" s="4">
        <v>10</v>
      </c>
      <c r="H13155" s="18">
        <v>17</v>
      </c>
      <c r="I13155" s="90"/>
      <c r="J13155" s="90"/>
    </row>
    <row r="13156" spans="1:10" s="15" customFormat="1" ht="16.5" hidden="1" customHeight="1" outlineLevel="1" x14ac:dyDescent="0.25">
      <c r="A13156" s="18">
        <v>267</v>
      </c>
      <c r="B13156" s="4" t="s">
        <v>44</v>
      </c>
      <c r="C13156" s="38" t="s">
        <v>7698</v>
      </c>
      <c r="D13156" s="18">
        <v>2022</v>
      </c>
      <c r="E13156" s="18" t="s">
        <v>0</v>
      </c>
      <c r="F13156" s="41">
        <v>1</v>
      </c>
      <c r="G13156" s="4">
        <v>10</v>
      </c>
      <c r="H13156" s="18">
        <v>17</v>
      </c>
      <c r="I13156" s="90"/>
      <c r="J13156" s="90"/>
    </row>
    <row r="13157" spans="1:10" s="15" customFormat="1" ht="16.5" hidden="1" customHeight="1" outlineLevel="1" x14ac:dyDescent="0.25">
      <c r="A13157" s="18">
        <v>265</v>
      </c>
      <c r="B13157" s="4" t="s">
        <v>44</v>
      </c>
      <c r="C13157" s="38" t="s">
        <v>7699</v>
      </c>
      <c r="D13157" s="18">
        <v>2022</v>
      </c>
      <c r="E13157" s="18" t="s">
        <v>0</v>
      </c>
      <c r="F13157" s="41">
        <v>1</v>
      </c>
      <c r="G13157" s="4">
        <v>15</v>
      </c>
      <c r="H13157" s="18">
        <v>17</v>
      </c>
      <c r="I13157" s="90"/>
      <c r="J13157" s="90"/>
    </row>
    <row r="13158" spans="1:10" s="15" customFormat="1" ht="16.5" hidden="1" customHeight="1" outlineLevel="1" x14ac:dyDescent="0.25">
      <c r="A13158" s="18">
        <v>172</v>
      </c>
      <c r="B13158" s="4" t="s">
        <v>44</v>
      </c>
      <c r="C13158" s="38" t="s">
        <v>2675</v>
      </c>
      <c r="D13158" s="18">
        <v>2022</v>
      </c>
      <c r="E13158" s="18" t="s">
        <v>0</v>
      </c>
      <c r="F13158" s="41">
        <v>1</v>
      </c>
      <c r="G13158" s="4">
        <v>15</v>
      </c>
      <c r="H13158" s="18">
        <v>33</v>
      </c>
      <c r="I13158" s="90"/>
      <c r="J13158" s="90"/>
    </row>
    <row r="13159" spans="1:10" s="15" customFormat="1" ht="16.5" hidden="1" customHeight="1" outlineLevel="1" x14ac:dyDescent="0.25">
      <c r="A13159" s="18">
        <v>182</v>
      </c>
      <c r="B13159" s="4" t="s">
        <v>44</v>
      </c>
      <c r="C13159" s="38" t="s">
        <v>2676</v>
      </c>
      <c r="D13159" s="18">
        <v>2022</v>
      </c>
      <c r="E13159" s="18" t="s">
        <v>0</v>
      </c>
      <c r="F13159" s="41">
        <v>1</v>
      </c>
      <c r="G13159" s="4">
        <v>15</v>
      </c>
      <c r="H13159" s="18">
        <v>27</v>
      </c>
      <c r="I13159" s="90"/>
      <c r="J13159" s="90"/>
    </row>
    <row r="13160" spans="1:10" s="15" customFormat="1" ht="16.5" hidden="1" customHeight="1" outlineLevel="1" x14ac:dyDescent="0.25">
      <c r="A13160" s="18">
        <v>268</v>
      </c>
      <c r="B13160" s="4" t="s">
        <v>44</v>
      </c>
      <c r="C13160" s="38" t="s">
        <v>7700</v>
      </c>
      <c r="D13160" s="18">
        <v>2022</v>
      </c>
      <c r="E13160" s="18" t="s">
        <v>0</v>
      </c>
      <c r="F13160" s="41">
        <v>1</v>
      </c>
      <c r="G13160" s="4">
        <v>11</v>
      </c>
      <c r="H13160" s="18">
        <v>18</v>
      </c>
      <c r="I13160" s="90"/>
      <c r="J13160" s="90"/>
    </row>
    <row r="13161" spans="1:10" s="15" customFormat="1" ht="16.5" hidden="1" customHeight="1" outlineLevel="1" x14ac:dyDescent="0.25">
      <c r="A13161" s="18">
        <v>275</v>
      </c>
      <c r="B13161" s="4" t="s">
        <v>44</v>
      </c>
      <c r="C13161" s="38" t="s">
        <v>7701</v>
      </c>
      <c r="D13161" s="18">
        <v>2022</v>
      </c>
      <c r="E13161" s="18" t="s">
        <v>0</v>
      </c>
      <c r="F13161" s="41">
        <v>1</v>
      </c>
      <c r="G13161" s="4">
        <v>40</v>
      </c>
      <c r="H13161" s="18">
        <v>18</v>
      </c>
      <c r="I13161" s="90"/>
      <c r="J13161" s="90"/>
    </row>
    <row r="13162" spans="1:10" s="15" customFormat="1" ht="16.5" hidden="1" customHeight="1" outlineLevel="1" x14ac:dyDescent="0.25">
      <c r="A13162" s="18">
        <v>266</v>
      </c>
      <c r="B13162" s="4" t="s">
        <v>44</v>
      </c>
      <c r="C13162" s="38" t="s">
        <v>7702</v>
      </c>
      <c r="D13162" s="18">
        <v>2022</v>
      </c>
      <c r="E13162" s="18" t="s">
        <v>0</v>
      </c>
      <c r="F13162" s="41">
        <v>1</v>
      </c>
      <c r="G13162" s="4">
        <v>10</v>
      </c>
      <c r="H13162" s="18">
        <v>17</v>
      </c>
      <c r="I13162" s="90"/>
      <c r="J13162" s="90"/>
    </row>
    <row r="13163" spans="1:10" s="15" customFormat="1" ht="16.5" hidden="1" customHeight="1" outlineLevel="1" x14ac:dyDescent="0.25">
      <c r="A13163" s="18">
        <v>269</v>
      </c>
      <c r="B13163" s="4" t="s">
        <v>44</v>
      </c>
      <c r="C13163" s="38" t="s">
        <v>7703</v>
      </c>
      <c r="D13163" s="18">
        <v>2022</v>
      </c>
      <c r="E13163" s="18" t="s">
        <v>0</v>
      </c>
      <c r="F13163" s="41">
        <v>1</v>
      </c>
      <c r="G13163" s="4">
        <v>15</v>
      </c>
      <c r="H13163" s="18">
        <v>17</v>
      </c>
      <c r="I13163" s="90"/>
      <c r="J13163" s="90"/>
    </row>
    <row r="13164" spans="1:10" s="15" customFormat="1" ht="16.5" hidden="1" customHeight="1" outlineLevel="1" x14ac:dyDescent="0.25">
      <c r="A13164" s="18">
        <v>273</v>
      </c>
      <c r="B13164" s="4" t="s">
        <v>44</v>
      </c>
      <c r="C13164" s="38" t="s">
        <v>7704</v>
      </c>
      <c r="D13164" s="18">
        <v>2022</v>
      </c>
      <c r="E13164" s="18" t="s">
        <v>0</v>
      </c>
      <c r="F13164" s="41">
        <v>1</v>
      </c>
      <c r="G13164" s="4">
        <v>10</v>
      </c>
      <c r="H13164" s="18">
        <v>17</v>
      </c>
      <c r="I13164" s="90"/>
      <c r="J13164" s="90"/>
    </row>
    <row r="13165" spans="1:10" s="15" customFormat="1" ht="16.5" hidden="1" customHeight="1" outlineLevel="1" x14ac:dyDescent="0.25">
      <c r="A13165" s="18">
        <v>270</v>
      </c>
      <c r="B13165" s="4" t="s">
        <v>44</v>
      </c>
      <c r="C13165" s="38" t="s">
        <v>7705</v>
      </c>
      <c r="D13165" s="18">
        <v>2022</v>
      </c>
      <c r="E13165" s="18" t="s">
        <v>0</v>
      </c>
      <c r="F13165" s="41">
        <v>3</v>
      </c>
      <c r="G13165" s="4">
        <v>35</v>
      </c>
      <c r="H13165" s="18">
        <v>52</v>
      </c>
      <c r="I13165" s="90"/>
      <c r="J13165" s="90"/>
    </row>
    <row r="13166" spans="1:10" s="15" customFormat="1" ht="16.5" hidden="1" customHeight="1" outlineLevel="1" x14ac:dyDescent="0.25">
      <c r="A13166" s="18">
        <v>283</v>
      </c>
      <c r="B13166" s="4" t="s">
        <v>44</v>
      </c>
      <c r="C13166" s="38" t="s">
        <v>2677</v>
      </c>
      <c r="D13166" s="18">
        <v>2022</v>
      </c>
      <c r="E13166" s="18" t="s">
        <v>0</v>
      </c>
      <c r="F13166" s="41">
        <v>1</v>
      </c>
      <c r="G13166" s="4">
        <v>15</v>
      </c>
      <c r="H13166" s="18">
        <v>31</v>
      </c>
      <c r="I13166" s="90"/>
      <c r="J13166" s="90"/>
    </row>
    <row r="13167" spans="1:10" s="15" customFormat="1" ht="16.5" hidden="1" customHeight="1" outlineLevel="1" x14ac:dyDescent="0.25">
      <c r="A13167" s="18">
        <v>352</v>
      </c>
      <c r="B13167" s="4" t="s">
        <v>44</v>
      </c>
      <c r="C13167" s="38" t="s">
        <v>2678</v>
      </c>
      <c r="D13167" s="18">
        <v>2022</v>
      </c>
      <c r="E13167" s="18" t="s">
        <v>0</v>
      </c>
      <c r="F13167" s="41">
        <v>1</v>
      </c>
      <c r="G13167" s="4">
        <v>7</v>
      </c>
      <c r="H13167" s="18">
        <v>55</v>
      </c>
      <c r="I13167" s="90"/>
      <c r="J13167" s="90"/>
    </row>
    <row r="13168" spans="1:10" s="15" customFormat="1" ht="16.5" hidden="1" customHeight="1" outlineLevel="1" x14ac:dyDescent="0.25">
      <c r="A13168" s="18">
        <v>359</v>
      </c>
      <c r="B13168" s="4" t="s">
        <v>44</v>
      </c>
      <c r="C13168" s="38" t="s">
        <v>2680</v>
      </c>
      <c r="D13168" s="18">
        <v>2022</v>
      </c>
      <c r="E13168" s="18" t="s">
        <v>0</v>
      </c>
      <c r="F13168" s="41">
        <v>1</v>
      </c>
      <c r="G13168" s="4">
        <v>15</v>
      </c>
      <c r="H13168" s="18">
        <v>83</v>
      </c>
      <c r="I13168" s="90"/>
      <c r="J13168" s="90"/>
    </row>
    <row r="13169" spans="1:10" s="15" customFormat="1" ht="16.5" hidden="1" customHeight="1" outlineLevel="1" x14ac:dyDescent="0.25">
      <c r="A13169" s="18">
        <v>185</v>
      </c>
      <c r="B13169" s="4" t="s">
        <v>44</v>
      </c>
      <c r="C13169" s="38" t="s">
        <v>2682</v>
      </c>
      <c r="D13169" s="18">
        <v>2022</v>
      </c>
      <c r="E13169" s="18" t="s">
        <v>0</v>
      </c>
      <c r="F13169" s="41">
        <v>1</v>
      </c>
      <c r="G13169" s="4">
        <v>150</v>
      </c>
      <c r="H13169" s="18">
        <v>46</v>
      </c>
      <c r="I13169" s="90"/>
      <c r="J13169" s="90"/>
    </row>
    <row r="13170" spans="1:10" s="15" customFormat="1" ht="16.5" hidden="1" customHeight="1" outlineLevel="1" x14ac:dyDescent="0.25">
      <c r="A13170" s="18">
        <v>186</v>
      </c>
      <c r="B13170" s="4" t="s">
        <v>44</v>
      </c>
      <c r="C13170" s="38" t="s">
        <v>2683</v>
      </c>
      <c r="D13170" s="18">
        <v>2022</v>
      </c>
      <c r="E13170" s="18" t="s">
        <v>0</v>
      </c>
      <c r="F13170" s="41">
        <v>1</v>
      </c>
      <c r="G13170" s="4">
        <v>150</v>
      </c>
      <c r="H13170" s="18">
        <v>30</v>
      </c>
      <c r="I13170" s="90"/>
      <c r="J13170" s="90"/>
    </row>
    <row r="13171" spans="1:10" s="15" customFormat="1" ht="16.5" hidden="1" customHeight="1" outlineLevel="1" x14ac:dyDescent="0.25">
      <c r="A13171" s="18">
        <v>262</v>
      </c>
      <c r="B13171" s="4" t="s">
        <v>44</v>
      </c>
      <c r="C13171" s="38" t="s">
        <v>7706</v>
      </c>
      <c r="D13171" s="18">
        <v>2022</v>
      </c>
      <c r="E13171" s="18" t="s">
        <v>0</v>
      </c>
      <c r="F13171" s="41">
        <v>1</v>
      </c>
      <c r="G13171" s="4">
        <v>15</v>
      </c>
      <c r="H13171" s="18">
        <v>23</v>
      </c>
      <c r="I13171" s="90"/>
      <c r="J13171" s="90"/>
    </row>
    <row r="13172" spans="1:10" s="15" customFormat="1" ht="16.5" hidden="1" customHeight="1" outlineLevel="1" x14ac:dyDescent="0.25">
      <c r="A13172" s="18">
        <v>286</v>
      </c>
      <c r="B13172" s="4" t="s">
        <v>44</v>
      </c>
      <c r="C13172" s="38" t="s">
        <v>2686</v>
      </c>
      <c r="D13172" s="18">
        <v>2022</v>
      </c>
      <c r="E13172" s="18" t="s">
        <v>0</v>
      </c>
      <c r="F13172" s="41">
        <v>1</v>
      </c>
      <c r="G13172" s="4">
        <v>15</v>
      </c>
      <c r="H13172" s="18">
        <v>28</v>
      </c>
      <c r="I13172" s="90"/>
      <c r="J13172" s="90"/>
    </row>
    <row r="13173" spans="1:10" s="15" customFormat="1" ht="16.5" hidden="1" customHeight="1" outlineLevel="1" x14ac:dyDescent="0.25">
      <c r="A13173" s="18">
        <v>208</v>
      </c>
      <c r="B13173" s="4" t="s">
        <v>44</v>
      </c>
      <c r="C13173" s="38" t="s">
        <v>2689</v>
      </c>
      <c r="D13173" s="18">
        <v>2022</v>
      </c>
      <c r="E13173" s="18" t="s">
        <v>0</v>
      </c>
      <c r="F13173" s="41">
        <v>1</v>
      </c>
      <c r="G13173" s="4">
        <v>15</v>
      </c>
      <c r="H13173" s="18">
        <v>24</v>
      </c>
      <c r="I13173" s="90"/>
      <c r="J13173" s="90"/>
    </row>
    <row r="13174" spans="1:10" s="15" customFormat="1" ht="16.5" hidden="1" customHeight="1" outlineLevel="1" x14ac:dyDescent="0.25">
      <c r="A13174" s="18">
        <v>260</v>
      </c>
      <c r="B13174" s="4" t="s">
        <v>44</v>
      </c>
      <c r="C13174" s="38" t="s">
        <v>2690</v>
      </c>
      <c r="D13174" s="18">
        <v>2022</v>
      </c>
      <c r="E13174" s="18" t="s">
        <v>0</v>
      </c>
      <c r="F13174" s="41">
        <v>1</v>
      </c>
      <c r="G13174" s="4">
        <v>15</v>
      </c>
      <c r="H13174" s="18">
        <v>23</v>
      </c>
      <c r="I13174" s="90"/>
      <c r="J13174" s="90"/>
    </row>
    <row r="13175" spans="1:10" s="15" customFormat="1" ht="16.5" hidden="1" customHeight="1" outlineLevel="1" x14ac:dyDescent="0.25">
      <c r="A13175" s="18">
        <v>209</v>
      </c>
      <c r="B13175" s="4" t="s">
        <v>44</v>
      </c>
      <c r="C13175" s="38" t="s">
        <v>2691</v>
      </c>
      <c r="D13175" s="18">
        <v>2022</v>
      </c>
      <c r="E13175" s="18" t="s">
        <v>0</v>
      </c>
      <c r="F13175" s="41">
        <v>1</v>
      </c>
      <c r="G13175" s="4">
        <v>15</v>
      </c>
      <c r="H13175" s="18">
        <v>25</v>
      </c>
      <c r="I13175" s="90"/>
      <c r="J13175" s="90"/>
    </row>
    <row r="13176" spans="1:10" s="15" customFormat="1" ht="16.5" hidden="1" customHeight="1" outlineLevel="1" x14ac:dyDescent="0.25">
      <c r="A13176" s="18">
        <v>218</v>
      </c>
      <c r="B13176" s="4" t="s">
        <v>44</v>
      </c>
      <c r="C13176" s="38" t="s">
        <v>2693</v>
      </c>
      <c r="D13176" s="18">
        <v>2022</v>
      </c>
      <c r="E13176" s="18" t="s">
        <v>0</v>
      </c>
      <c r="F13176" s="41">
        <v>2</v>
      </c>
      <c r="G13176" s="4">
        <v>28</v>
      </c>
      <c r="H13176" s="18">
        <v>42</v>
      </c>
      <c r="I13176" s="90"/>
      <c r="J13176" s="90"/>
    </row>
    <row r="13177" spans="1:10" s="15" customFormat="1" ht="16.5" hidden="1" customHeight="1" outlineLevel="1" x14ac:dyDescent="0.25">
      <c r="A13177" s="18">
        <v>212</v>
      </c>
      <c r="B13177" s="4" t="s">
        <v>44</v>
      </c>
      <c r="C13177" s="38" t="s">
        <v>2694</v>
      </c>
      <c r="D13177" s="18">
        <v>2022</v>
      </c>
      <c r="E13177" s="18" t="s">
        <v>0</v>
      </c>
      <c r="F13177" s="41">
        <v>1</v>
      </c>
      <c r="G13177" s="4">
        <v>15</v>
      </c>
      <c r="H13177" s="18">
        <v>28</v>
      </c>
      <c r="I13177" s="90"/>
      <c r="J13177" s="90"/>
    </row>
    <row r="13178" spans="1:10" s="15" customFormat="1" ht="16.5" hidden="1" customHeight="1" outlineLevel="1" x14ac:dyDescent="0.25">
      <c r="A13178" s="18">
        <v>193</v>
      </c>
      <c r="B13178" s="4" t="s">
        <v>44</v>
      </c>
      <c r="C13178" s="38" t="s">
        <v>2696</v>
      </c>
      <c r="D13178" s="18">
        <v>2022</v>
      </c>
      <c r="E13178" s="18" t="s">
        <v>0</v>
      </c>
      <c r="F13178" s="41">
        <v>1</v>
      </c>
      <c r="G13178" s="4">
        <v>15</v>
      </c>
      <c r="H13178" s="18">
        <v>24</v>
      </c>
      <c r="I13178" s="90"/>
      <c r="J13178" s="90"/>
    </row>
    <row r="13179" spans="1:10" s="15" customFormat="1" ht="16.5" hidden="1" customHeight="1" outlineLevel="1" x14ac:dyDescent="0.25">
      <c r="A13179" s="18">
        <v>194</v>
      </c>
      <c r="B13179" s="4" t="s">
        <v>44</v>
      </c>
      <c r="C13179" s="38" t="s">
        <v>2697</v>
      </c>
      <c r="D13179" s="18">
        <v>2022</v>
      </c>
      <c r="E13179" s="18" t="s">
        <v>0</v>
      </c>
      <c r="F13179" s="41">
        <v>1</v>
      </c>
      <c r="G13179" s="4">
        <v>15</v>
      </c>
      <c r="H13179" s="18">
        <v>30</v>
      </c>
      <c r="I13179" s="90"/>
      <c r="J13179" s="90"/>
    </row>
    <row r="13180" spans="1:10" s="15" customFormat="1" ht="16.5" hidden="1" customHeight="1" outlineLevel="1" x14ac:dyDescent="0.25">
      <c r="A13180" s="18">
        <v>290</v>
      </c>
      <c r="B13180" s="4" t="s">
        <v>44</v>
      </c>
      <c r="C13180" s="38" t="s">
        <v>2698</v>
      </c>
      <c r="D13180" s="18">
        <v>2022</v>
      </c>
      <c r="E13180" s="18" t="s">
        <v>0</v>
      </c>
      <c r="F13180" s="41">
        <v>6</v>
      </c>
      <c r="G13180" s="4">
        <v>90</v>
      </c>
      <c r="H13180" s="18">
        <v>126</v>
      </c>
      <c r="I13180" s="90"/>
      <c r="J13180" s="90"/>
    </row>
    <row r="13181" spans="1:10" s="15" customFormat="1" ht="16.5" hidden="1" customHeight="1" outlineLevel="1" x14ac:dyDescent="0.25">
      <c r="A13181" s="18">
        <v>253</v>
      </c>
      <c r="B13181" s="4" t="s">
        <v>44</v>
      </c>
      <c r="C13181" s="38" t="s">
        <v>2699</v>
      </c>
      <c r="D13181" s="18">
        <v>2022</v>
      </c>
      <c r="E13181" s="18" t="s">
        <v>0</v>
      </c>
      <c r="F13181" s="41">
        <v>1</v>
      </c>
      <c r="G13181" s="4">
        <v>15</v>
      </c>
      <c r="H13181" s="18">
        <v>30</v>
      </c>
      <c r="I13181" s="90"/>
      <c r="J13181" s="90"/>
    </row>
    <row r="13182" spans="1:10" s="15" customFormat="1" ht="16.5" hidden="1" customHeight="1" outlineLevel="1" x14ac:dyDescent="0.25">
      <c r="A13182" s="18">
        <v>252</v>
      </c>
      <c r="B13182" s="4" t="s">
        <v>44</v>
      </c>
      <c r="C13182" s="38" t="s">
        <v>2700</v>
      </c>
      <c r="D13182" s="18">
        <v>2022</v>
      </c>
      <c r="E13182" s="18" t="s">
        <v>0</v>
      </c>
      <c r="F13182" s="41">
        <v>1</v>
      </c>
      <c r="G13182" s="4">
        <v>15</v>
      </c>
      <c r="H13182" s="18">
        <v>24</v>
      </c>
      <c r="I13182" s="90"/>
      <c r="J13182" s="90"/>
    </row>
    <row r="13183" spans="1:10" s="15" customFormat="1" ht="16.5" hidden="1" customHeight="1" outlineLevel="1" x14ac:dyDescent="0.25">
      <c r="A13183" s="18">
        <v>196</v>
      </c>
      <c r="B13183" s="4" t="s">
        <v>44</v>
      </c>
      <c r="C13183" s="38" t="s">
        <v>2702</v>
      </c>
      <c r="D13183" s="18">
        <v>2022</v>
      </c>
      <c r="E13183" s="18" t="s">
        <v>0</v>
      </c>
      <c r="F13183" s="41">
        <v>2</v>
      </c>
      <c r="G13183" s="4">
        <v>30</v>
      </c>
      <c r="H13183" s="18">
        <v>54</v>
      </c>
      <c r="I13183" s="90"/>
      <c r="J13183" s="90"/>
    </row>
    <row r="13184" spans="1:10" s="15" customFormat="1" ht="16.5" hidden="1" customHeight="1" outlineLevel="1" x14ac:dyDescent="0.25">
      <c r="A13184" s="18">
        <v>197</v>
      </c>
      <c r="B13184" s="4" t="s">
        <v>44</v>
      </c>
      <c r="C13184" s="38" t="s">
        <v>2703</v>
      </c>
      <c r="D13184" s="18">
        <v>2022</v>
      </c>
      <c r="E13184" s="18" t="s">
        <v>0</v>
      </c>
      <c r="F13184" s="41">
        <v>1</v>
      </c>
      <c r="G13184" s="4">
        <v>15</v>
      </c>
      <c r="H13184" s="18">
        <v>24</v>
      </c>
      <c r="I13184" s="90"/>
      <c r="J13184" s="90"/>
    </row>
    <row r="13185" spans="1:10" s="15" customFormat="1" ht="16.5" hidden="1" customHeight="1" outlineLevel="1" x14ac:dyDescent="0.25">
      <c r="A13185" s="18">
        <v>254</v>
      </c>
      <c r="B13185" s="4" t="s">
        <v>44</v>
      </c>
      <c r="C13185" s="38" t="s">
        <v>2704</v>
      </c>
      <c r="D13185" s="18">
        <v>2022</v>
      </c>
      <c r="E13185" s="18" t="s">
        <v>0</v>
      </c>
      <c r="F13185" s="41">
        <v>1</v>
      </c>
      <c r="G13185" s="4">
        <v>25</v>
      </c>
      <c r="H13185" s="18">
        <v>29</v>
      </c>
      <c r="I13185" s="90"/>
      <c r="J13185" s="90"/>
    </row>
    <row r="13186" spans="1:10" s="15" customFormat="1" ht="16.5" hidden="1" customHeight="1" outlineLevel="1" x14ac:dyDescent="0.25">
      <c r="A13186" s="18">
        <v>256</v>
      </c>
      <c r="B13186" s="4" t="s">
        <v>44</v>
      </c>
      <c r="C13186" s="38" t="s">
        <v>2705</v>
      </c>
      <c r="D13186" s="18">
        <v>2022</v>
      </c>
      <c r="E13186" s="18" t="s">
        <v>0</v>
      </c>
      <c r="F13186" s="41">
        <v>1</v>
      </c>
      <c r="G13186" s="4">
        <v>15</v>
      </c>
      <c r="H13186" s="18">
        <v>23</v>
      </c>
      <c r="I13186" s="90"/>
      <c r="J13186" s="90"/>
    </row>
    <row r="13187" spans="1:10" s="15" customFormat="1" ht="16.5" hidden="1" customHeight="1" outlineLevel="1" x14ac:dyDescent="0.25">
      <c r="A13187" s="18">
        <v>279</v>
      </c>
      <c r="B13187" s="4" t="s">
        <v>44</v>
      </c>
      <c r="C13187" s="38" t="s">
        <v>2706</v>
      </c>
      <c r="D13187" s="18">
        <v>2022</v>
      </c>
      <c r="E13187" s="18" t="s">
        <v>0</v>
      </c>
      <c r="F13187" s="41">
        <v>1</v>
      </c>
      <c r="G13187" s="4">
        <v>15</v>
      </c>
      <c r="H13187" s="18">
        <v>24</v>
      </c>
      <c r="I13187" s="90"/>
      <c r="J13187" s="90"/>
    </row>
    <row r="13188" spans="1:10" s="15" customFormat="1" ht="16.5" hidden="1" customHeight="1" outlineLevel="1" x14ac:dyDescent="0.25">
      <c r="A13188" s="18">
        <v>302</v>
      </c>
      <c r="B13188" s="4" t="s">
        <v>44</v>
      </c>
      <c r="C13188" s="38" t="s">
        <v>2866</v>
      </c>
      <c r="D13188" s="18">
        <v>2022</v>
      </c>
      <c r="E13188" s="18" t="s">
        <v>0</v>
      </c>
      <c r="F13188" s="41">
        <v>1</v>
      </c>
      <c r="G13188" s="4">
        <v>150</v>
      </c>
      <c r="H13188" s="18">
        <v>35</v>
      </c>
      <c r="I13188" s="90"/>
      <c r="J13188" s="90"/>
    </row>
    <row r="13189" spans="1:10" s="15" customFormat="1" ht="16.5" hidden="1" customHeight="1" outlineLevel="1" x14ac:dyDescent="0.25">
      <c r="A13189" s="18">
        <v>289</v>
      </c>
      <c r="B13189" s="4" t="s">
        <v>44</v>
      </c>
      <c r="C13189" s="38" t="s">
        <v>3141</v>
      </c>
      <c r="D13189" s="18">
        <v>2022</v>
      </c>
      <c r="E13189" s="18" t="s">
        <v>0</v>
      </c>
      <c r="F13189" s="41">
        <v>1</v>
      </c>
      <c r="G13189" s="4">
        <v>150</v>
      </c>
      <c r="H13189" s="18">
        <v>34</v>
      </c>
      <c r="I13189" s="90"/>
      <c r="J13189" s="90"/>
    </row>
    <row r="13190" spans="1:10" s="15" customFormat="1" ht="16.5" hidden="1" customHeight="1" outlineLevel="1" x14ac:dyDescent="0.25">
      <c r="A13190" s="18">
        <v>259</v>
      </c>
      <c r="B13190" s="4" t="s">
        <v>44</v>
      </c>
      <c r="C13190" s="38" t="s">
        <v>2707</v>
      </c>
      <c r="D13190" s="18">
        <v>2022</v>
      </c>
      <c r="E13190" s="18" t="s">
        <v>0</v>
      </c>
      <c r="F13190" s="41">
        <v>1</v>
      </c>
      <c r="G13190" s="4">
        <v>15</v>
      </c>
      <c r="H13190" s="18">
        <v>29</v>
      </c>
      <c r="I13190" s="90"/>
      <c r="J13190" s="90"/>
    </row>
    <row r="13191" spans="1:10" s="15" customFormat="1" ht="16.5" hidden="1" customHeight="1" outlineLevel="1" x14ac:dyDescent="0.25">
      <c r="A13191" s="18">
        <v>258</v>
      </c>
      <c r="B13191" s="4" t="s">
        <v>44</v>
      </c>
      <c r="C13191" s="38" t="s">
        <v>2708</v>
      </c>
      <c r="D13191" s="18">
        <v>2022</v>
      </c>
      <c r="E13191" s="18" t="s">
        <v>0</v>
      </c>
      <c r="F13191" s="41">
        <v>3</v>
      </c>
      <c r="G13191" s="4">
        <v>45</v>
      </c>
      <c r="H13191" s="18">
        <v>65</v>
      </c>
      <c r="I13191" s="90"/>
      <c r="J13191" s="90"/>
    </row>
    <row r="13192" spans="1:10" s="15" customFormat="1" ht="16.5" hidden="1" customHeight="1" outlineLevel="1" x14ac:dyDescent="0.25">
      <c r="A13192" s="18">
        <v>276</v>
      </c>
      <c r="B13192" s="4" t="s">
        <v>44</v>
      </c>
      <c r="C13192" s="38" t="s">
        <v>7707</v>
      </c>
      <c r="D13192" s="18">
        <v>2022</v>
      </c>
      <c r="E13192" s="18" t="s">
        <v>0</v>
      </c>
      <c r="F13192" s="41">
        <v>90</v>
      </c>
      <c r="G13192" s="4">
        <v>1298.9939999999999</v>
      </c>
      <c r="H13192" s="18">
        <v>1615</v>
      </c>
      <c r="I13192" s="90"/>
      <c r="J13192" s="90"/>
    </row>
    <row r="13193" spans="1:10" s="15" customFormat="1" ht="16.5" hidden="1" customHeight="1" outlineLevel="1" x14ac:dyDescent="0.25">
      <c r="A13193" s="18">
        <v>230</v>
      </c>
      <c r="B13193" s="4" t="s">
        <v>44</v>
      </c>
      <c r="C13193" s="38" t="s">
        <v>7708</v>
      </c>
      <c r="D13193" s="18">
        <v>2022</v>
      </c>
      <c r="E13193" s="18" t="s">
        <v>0</v>
      </c>
      <c r="F13193" s="41">
        <v>1</v>
      </c>
      <c r="G13193" s="4">
        <v>15</v>
      </c>
      <c r="H13193" s="18">
        <v>19</v>
      </c>
      <c r="I13193" s="90"/>
      <c r="J13193" s="90"/>
    </row>
    <row r="13194" spans="1:10" s="15" customFormat="1" ht="16.5" hidden="1" customHeight="1" outlineLevel="1" x14ac:dyDescent="0.25">
      <c r="A13194" s="18">
        <v>315</v>
      </c>
      <c r="B13194" s="4" t="s">
        <v>44</v>
      </c>
      <c r="C13194" s="38" t="s">
        <v>7709</v>
      </c>
      <c r="D13194" s="18">
        <v>2022</v>
      </c>
      <c r="E13194" s="18" t="s">
        <v>0</v>
      </c>
      <c r="F13194" s="41">
        <v>3</v>
      </c>
      <c r="G13194" s="4">
        <v>35</v>
      </c>
      <c r="H13194" s="18">
        <v>52</v>
      </c>
      <c r="I13194" s="90"/>
      <c r="J13194" s="90"/>
    </row>
    <row r="13195" spans="1:10" s="15" customFormat="1" ht="16.5" hidden="1" customHeight="1" outlineLevel="1" x14ac:dyDescent="0.25">
      <c r="A13195" s="18">
        <v>317</v>
      </c>
      <c r="B13195" s="4" t="s">
        <v>44</v>
      </c>
      <c r="C13195" s="38" t="s">
        <v>7710</v>
      </c>
      <c r="D13195" s="18">
        <v>2022</v>
      </c>
      <c r="E13195" s="18" t="s">
        <v>0</v>
      </c>
      <c r="F13195" s="41">
        <v>3</v>
      </c>
      <c r="G13195" s="4">
        <v>25</v>
      </c>
      <c r="H13195" s="18">
        <v>53</v>
      </c>
      <c r="I13195" s="90"/>
      <c r="J13195" s="90"/>
    </row>
    <row r="13196" spans="1:10" s="15" customFormat="1" ht="16.5" hidden="1" customHeight="1" outlineLevel="1" x14ac:dyDescent="0.25">
      <c r="A13196" s="18">
        <v>313</v>
      </c>
      <c r="B13196" s="4" t="s">
        <v>44</v>
      </c>
      <c r="C13196" s="38" t="s">
        <v>7711</v>
      </c>
      <c r="D13196" s="18">
        <v>2022</v>
      </c>
      <c r="E13196" s="18" t="s">
        <v>0</v>
      </c>
      <c r="F13196" s="41">
        <v>2</v>
      </c>
      <c r="G13196" s="4">
        <v>10</v>
      </c>
      <c r="H13196" s="18">
        <v>35</v>
      </c>
      <c r="I13196" s="90"/>
      <c r="J13196" s="90"/>
    </row>
    <row r="13197" spans="1:10" s="15" customFormat="1" ht="16.5" hidden="1" customHeight="1" outlineLevel="1" x14ac:dyDescent="0.25">
      <c r="A13197" s="18">
        <v>314</v>
      </c>
      <c r="B13197" s="4" t="s">
        <v>44</v>
      </c>
      <c r="C13197" s="38" t="s">
        <v>7712</v>
      </c>
      <c r="D13197" s="18">
        <v>2022</v>
      </c>
      <c r="E13197" s="18" t="s">
        <v>0</v>
      </c>
      <c r="F13197" s="41">
        <v>8</v>
      </c>
      <c r="G13197" s="4">
        <v>95</v>
      </c>
      <c r="H13197" s="18">
        <v>142</v>
      </c>
      <c r="I13197" s="90"/>
      <c r="J13197" s="90"/>
    </row>
    <row r="13198" spans="1:10" s="15" customFormat="1" ht="16.5" hidden="1" customHeight="1" outlineLevel="1" x14ac:dyDescent="0.25">
      <c r="A13198" s="18">
        <v>257</v>
      </c>
      <c r="B13198" s="4" t="s">
        <v>44</v>
      </c>
      <c r="C13198" s="38" t="s">
        <v>7713</v>
      </c>
      <c r="D13198" s="18">
        <v>2022</v>
      </c>
      <c r="E13198" s="18" t="s">
        <v>0</v>
      </c>
      <c r="F13198" s="41">
        <v>1</v>
      </c>
      <c r="G13198" s="4">
        <v>15</v>
      </c>
      <c r="H13198" s="18">
        <v>26</v>
      </c>
      <c r="I13198" s="90"/>
      <c r="J13198" s="90"/>
    </row>
    <row r="13199" spans="1:10" s="15" customFormat="1" ht="16.5" hidden="1" customHeight="1" outlineLevel="1" x14ac:dyDescent="0.25">
      <c r="A13199" s="18">
        <v>306</v>
      </c>
      <c r="B13199" s="4" t="s">
        <v>44</v>
      </c>
      <c r="C13199" s="38" t="s">
        <v>7714</v>
      </c>
      <c r="D13199" s="18">
        <v>2022</v>
      </c>
      <c r="E13199" s="18" t="s">
        <v>0</v>
      </c>
      <c r="F13199" s="41">
        <v>1</v>
      </c>
      <c r="G13199" s="4">
        <v>5</v>
      </c>
      <c r="H13199" s="18">
        <v>18</v>
      </c>
      <c r="I13199" s="90"/>
      <c r="J13199" s="90"/>
    </row>
    <row r="13200" spans="1:10" s="15" customFormat="1" ht="16.5" hidden="1" customHeight="1" outlineLevel="1" x14ac:dyDescent="0.25">
      <c r="A13200" s="18">
        <v>305</v>
      </c>
      <c r="B13200" s="4" t="s">
        <v>44</v>
      </c>
      <c r="C13200" s="38" t="s">
        <v>7715</v>
      </c>
      <c r="D13200" s="18">
        <v>2022</v>
      </c>
      <c r="E13200" s="18" t="s">
        <v>0</v>
      </c>
      <c r="F13200" s="41">
        <v>1</v>
      </c>
      <c r="G13200" s="4">
        <v>10</v>
      </c>
      <c r="H13200" s="18">
        <v>17</v>
      </c>
      <c r="I13200" s="90"/>
      <c r="J13200" s="90"/>
    </row>
    <row r="13201" spans="1:10" s="15" customFormat="1" ht="16.5" hidden="1" customHeight="1" outlineLevel="1" x14ac:dyDescent="0.25">
      <c r="A13201" s="18">
        <v>281</v>
      </c>
      <c r="B13201" s="4" t="s">
        <v>44</v>
      </c>
      <c r="C13201" s="38" t="s">
        <v>7716</v>
      </c>
      <c r="D13201" s="18">
        <v>2022</v>
      </c>
      <c r="E13201" s="18" t="s">
        <v>0</v>
      </c>
      <c r="F13201" s="41">
        <v>1</v>
      </c>
      <c r="G13201" s="4">
        <v>15</v>
      </c>
      <c r="H13201" s="18">
        <v>18</v>
      </c>
      <c r="I13201" s="90"/>
      <c r="J13201" s="90"/>
    </row>
    <row r="13202" spans="1:10" s="15" customFormat="1" ht="16.5" hidden="1" customHeight="1" outlineLevel="1" x14ac:dyDescent="0.25">
      <c r="A13202" s="18">
        <v>280</v>
      </c>
      <c r="B13202" s="4" t="s">
        <v>44</v>
      </c>
      <c r="C13202" s="38" t="s">
        <v>7717</v>
      </c>
      <c r="D13202" s="18">
        <v>2022</v>
      </c>
      <c r="E13202" s="18" t="s">
        <v>0</v>
      </c>
      <c r="F13202" s="41">
        <v>1</v>
      </c>
      <c r="G13202" s="4">
        <v>15</v>
      </c>
      <c r="H13202" s="18">
        <v>18</v>
      </c>
      <c r="I13202" s="90"/>
      <c r="J13202" s="90"/>
    </row>
    <row r="13203" spans="1:10" s="15" customFormat="1" ht="16.5" hidden="1" customHeight="1" outlineLevel="1" x14ac:dyDescent="0.25">
      <c r="A13203" s="18">
        <v>310</v>
      </c>
      <c r="B13203" s="4" t="s">
        <v>44</v>
      </c>
      <c r="C13203" s="38" t="s">
        <v>7718</v>
      </c>
      <c r="D13203" s="18">
        <v>2022</v>
      </c>
      <c r="E13203" s="18" t="s">
        <v>0</v>
      </c>
      <c r="F13203" s="41">
        <v>1</v>
      </c>
      <c r="G13203" s="4">
        <v>15</v>
      </c>
      <c r="H13203" s="18">
        <v>18</v>
      </c>
      <c r="I13203" s="90"/>
      <c r="J13203" s="90"/>
    </row>
    <row r="13204" spans="1:10" s="15" customFormat="1" ht="16.5" hidden="1" customHeight="1" outlineLevel="1" x14ac:dyDescent="0.25">
      <c r="A13204" s="18">
        <v>309</v>
      </c>
      <c r="B13204" s="4" t="s">
        <v>44</v>
      </c>
      <c r="C13204" s="38" t="s">
        <v>7719</v>
      </c>
      <c r="D13204" s="18">
        <v>2022</v>
      </c>
      <c r="E13204" s="18" t="s">
        <v>0</v>
      </c>
      <c r="F13204" s="41">
        <v>1</v>
      </c>
      <c r="G13204" s="4">
        <v>20</v>
      </c>
      <c r="H13204" s="18">
        <v>17</v>
      </c>
      <c r="I13204" s="90"/>
      <c r="J13204" s="90"/>
    </row>
    <row r="13205" spans="1:10" s="15" customFormat="1" ht="16.5" hidden="1" customHeight="1" outlineLevel="1" x14ac:dyDescent="0.25">
      <c r="A13205" s="18">
        <v>307</v>
      </c>
      <c r="B13205" s="4" t="s">
        <v>44</v>
      </c>
      <c r="C13205" s="38" t="s">
        <v>7720</v>
      </c>
      <c r="D13205" s="18">
        <v>2022</v>
      </c>
      <c r="E13205" s="18" t="s">
        <v>0</v>
      </c>
      <c r="F13205" s="41">
        <v>1</v>
      </c>
      <c r="G13205" s="4">
        <v>1</v>
      </c>
      <c r="H13205" s="18">
        <v>17</v>
      </c>
      <c r="I13205" s="90"/>
      <c r="J13205" s="90"/>
    </row>
    <row r="13206" spans="1:10" s="15" customFormat="1" ht="16.5" hidden="1" customHeight="1" outlineLevel="1" x14ac:dyDescent="0.25">
      <c r="A13206" s="18">
        <v>308</v>
      </c>
      <c r="B13206" s="4" t="s">
        <v>44</v>
      </c>
      <c r="C13206" s="38" t="s">
        <v>7721</v>
      </c>
      <c r="D13206" s="18">
        <v>2022</v>
      </c>
      <c r="E13206" s="18" t="s">
        <v>0</v>
      </c>
      <c r="F13206" s="41">
        <v>1</v>
      </c>
      <c r="G13206" s="4">
        <v>3</v>
      </c>
      <c r="H13206" s="18">
        <v>17</v>
      </c>
      <c r="I13206" s="90"/>
      <c r="J13206" s="90"/>
    </row>
    <row r="13207" spans="1:10" s="15" customFormat="1" ht="16.5" hidden="1" customHeight="1" outlineLevel="1" x14ac:dyDescent="0.25">
      <c r="A13207" s="18">
        <v>354</v>
      </c>
      <c r="B13207" s="4" t="s">
        <v>44</v>
      </c>
      <c r="C13207" s="38" t="s">
        <v>2709</v>
      </c>
      <c r="D13207" s="18">
        <v>2022</v>
      </c>
      <c r="E13207" s="18" t="s">
        <v>0</v>
      </c>
      <c r="F13207" s="41">
        <v>5</v>
      </c>
      <c r="G13207" s="4">
        <v>15</v>
      </c>
      <c r="H13207" s="18">
        <v>344</v>
      </c>
      <c r="I13207" s="90"/>
      <c r="J13207" s="90"/>
    </row>
    <row r="13208" spans="1:10" s="15" customFormat="1" ht="16.5" hidden="1" customHeight="1" outlineLevel="1" x14ac:dyDescent="0.25">
      <c r="A13208" s="18">
        <v>396</v>
      </c>
      <c r="B13208" s="4" t="s">
        <v>44</v>
      </c>
      <c r="C13208" s="38" t="s">
        <v>2710</v>
      </c>
      <c r="D13208" s="18">
        <v>2022</v>
      </c>
      <c r="E13208" s="18" t="s">
        <v>0</v>
      </c>
      <c r="F13208" s="41">
        <v>2</v>
      </c>
      <c r="G13208" s="4">
        <v>21</v>
      </c>
      <c r="H13208" s="18">
        <v>73</v>
      </c>
      <c r="I13208" s="90"/>
      <c r="J13208" s="90"/>
    </row>
    <row r="13209" spans="1:10" s="15" customFormat="1" ht="16.5" hidden="1" customHeight="1" outlineLevel="1" x14ac:dyDescent="0.25">
      <c r="A13209" s="18">
        <v>398</v>
      </c>
      <c r="B13209" s="4" t="s">
        <v>44</v>
      </c>
      <c r="C13209" s="38" t="s">
        <v>2711</v>
      </c>
      <c r="D13209" s="18">
        <v>2022</v>
      </c>
      <c r="E13209" s="18" t="s">
        <v>0</v>
      </c>
      <c r="F13209" s="41">
        <v>2</v>
      </c>
      <c r="G13209" s="4">
        <v>30</v>
      </c>
      <c r="H13209" s="18">
        <v>127</v>
      </c>
      <c r="I13209" s="90"/>
      <c r="J13209" s="90"/>
    </row>
    <row r="13210" spans="1:10" s="15" customFormat="1" ht="16.5" hidden="1" customHeight="1" outlineLevel="1" x14ac:dyDescent="0.25">
      <c r="A13210" s="18">
        <v>399</v>
      </c>
      <c r="B13210" s="4" t="s">
        <v>44</v>
      </c>
      <c r="C13210" s="38" t="s">
        <v>2925</v>
      </c>
      <c r="D13210" s="18">
        <v>2022</v>
      </c>
      <c r="E13210" s="18" t="s">
        <v>0</v>
      </c>
      <c r="F13210" s="41">
        <v>1</v>
      </c>
      <c r="G13210" s="4">
        <v>150</v>
      </c>
      <c r="H13210" s="18">
        <v>53</v>
      </c>
      <c r="I13210" s="90"/>
      <c r="J13210" s="90"/>
    </row>
    <row r="13211" spans="1:10" s="15" customFormat="1" ht="16.5" hidden="1" customHeight="1" outlineLevel="1" x14ac:dyDescent="0.25">
      <c r="A13211" s="18">
        <v>351</v>
      </c>
      <c r="B13211" s="4" t="s">
        <v>44</v>
      </c>
      <c r="C13211" s="38" t="s">
        <v>2712</v>
      </c>
      <c r="D13211" s="18">
        <v>2022</v>
      </c>
      <c r="E13211" s="18" t="s">
        <v>0</v>
      </c>
      <c r="F13211" s="41">
        <v>6</v>
      </c>
      <c r="G13211" s="4">
        <v>40</v>
      </c>
      <c r="H13211" s="18">
        <v>326</v>
      </c>
      <c r="I13211" s="90"/>
      <c r="J13211" s="90"/>
    </row>
    <row r="13212" spans="1:10" s="15" customFormat="1" ht="16.5" hidden="1" customHeight="1" outlineLevel="1" x14ac:dyDescent="0.25">
      <c r="A13212" s="18">
        <v>316</v>
      </c>
      <c r="B13212" s="4" t="s">
        <v>44</v>
      </c>
      <c r="C13212" s="38" t="s">
        <v>7722</v>
      </c>
      <c r="D13212" s="18">
        <v>2022</v>
      </c>
      <c r="E13212" s="18" t="s">
        <v>0</v>
      </c>
      <c r="F13212" s="41">
        <v>1</v>
      </c>
      <c r="G13212" s="4">
        <v>1133.5</v>
      </c>
      <c r="H13212" s="18">
        <v>391</v>
      </c>
      <c r="I13212" s="90"/>
      <c r="J13212" s="90"/>
    </row>
    <row r="13213" spans="1:10" s="15" customFormat="1" ht="16.5" hidden="1" customHeight="1" outlineLevel="1" x14ac:dyDescent="0.25">
      <c r="A13213" s="18">
        <v>311</v>
      </c>
      <c r="B13213" s="4" t="s">
        <v>44</v>
      </c>
      <c r="C13213" s="38" t="s">
        <v>7723</v>
      </c>
      <c r="D13213" s="18">
        <v>2022</v>
      </c>
      <c r="E13213" s="18" t="s">
        <v>0</v>
      </c>
      <c r="F13213" s="41">
        <v>1</v>
      </c>
      <c r="G13213" s="4">
        <v>15</v>
      </c>
      <c r="H13213" s="18">
        <v>19</v>
      </c>
      <c r="I13213" s="90"/>
      <c r="J13213" s="90"/>
    </row>
    <row r="13214" spans="1:10" s="15" customFormat="1" ht="16.5" hidden="1" customHeight="1" outlineLevel="1" x14ac:dyDescent="0.25">
      <c r="A13214" s="18">
        <v>333</v>
      </c>
      <c r="B13214" s="4" t="s">
        <v>44</v>
      </c>
      <c r="C13214" s="38" t="s">
        <v>7724</v>
      </c>
      <c r="D13214" s="18">
        <v>2022</v>
      </c>
      <c r="E13214" s="18" t="s">
        <v>0</v>
      </c>
      <c r="F13214" s="41">
        <v>1</v>
      </c>
      <c r="G13214" s="4">
        <v>15</v>
      </c>
      <c r="H13214" s="18">
        <v>17</v>
      </c>
      <c r="I13214" s="90"/>
      <c r="J13214" s="90"/>
    </row>
    <row r="13215" spans="1:10" s="15" customFormat="1" ht="16.5" hidden="1" customHeight="1" outlineLevel="1" x14ac:dyDescent="0.25">
      <c r="A13215" s="18">
        <v>335</v>
      </c>
      <c r="B13215" s="4" t="s">
        <v>44</v>
      </c>
      <c r="C13215" s="38" t="s">
        <v>7725</v>
      </c>
      <c r="D13215" s="18">
        <v>2022</v>
      </c>
      <c r="E13215" s="18" t="s">
        <v>0</v>
      </c>
      <c r="F13215" s="41">
        <v>1</v>
      </c>
      <c r="G13215" s="4">
        <v>35</v>
      </c>
      <c r="H13215" s="18">
        <v>17</v>
      </c>
      <c r="I13215" s="90"/>
      <c r="J13215" s="90"/>
    </row>
    <row r="13216" spans="1:10" s="15" customFormat="1" ht="16.5" hidden="1" customHeight="1" outlineLevel="1" x14ac:dyDescent="0.25">
      <c r="A13216" s="18">
        <v>332</v>
      </c>
      <c r="B13216" s="4" t="s">
        <v>44</v>
      </c>
      <c r="C13216" s="38" t="s">
        <v>7726</v>
      </c>
      <c r="D13216" s="18">
        <v>2022</v>
      </c>
      <c r="E13216" s="18" t="s">
        <v>0</v>
      </c>
      <c r="F13216" s="41">
        <v>1</v>
      </c>
      <c r="G13216" s="4">
        <v>35</v>
      </c>
      <c r="H13216" s="18">
        <v>18</v>
      </c>
      <c r="I13216" s="90"/>
      <c r="J13216" s="90"/>
    </row>
    <row r="13217" spans="1:10" s="15" customFormat="1" ht="16.5" hidden="1" customHeight="1" outlineLevel="1" x14ac:dyDescent="0.25">
      <c r="A13217" s="18">
        <v>338</v>
      </c>
      <c r="B13217" s="4" t="s">
        <v>44</v>
      </c>
      <c r="C13217" s="38" t="s">
        <v>7727</v>
      </c>
      <c r="D13217" s="18">
        <v>2022</v>
      </c>
      <c r="E13217" s="18" t="s">
        <v>0</v>
      </c>
      <c r="F13217" s="41">
        <v>1</v>
      </c>
      <c r="G13217" s="4">
        <v>45</v>
      </c>
      <c r="H13217" s="18">
        <v>18</v>
      </c>
      <c r="I13217" s="90"/>
      <c r="J13217" s="90"/>
    </row>
    <row r="13218" spans="1:10" s="15" customFormat="1" ht="16.5" hidden="1" customHeight="1" outlineLevel="1" x14ac:dyDescent="0.25">
      <c r="A13218" s="18">
        <v>339</v>
      </c>
      <c r="B13218" s="4" t="s">
        <v>44</v>
      </c>
      <c r="C13218" s="38" t="s">
        <v>7728</v>
      </c>
      <c r="D13218" s="18">
        <v>2022</v>
      </c>
      <c r="E13218" s="18" t="s">
        <v>0</v>
      </c>
      <c r="F13218" s="41">
        <v>1</v>
      </c>
      <c r="G13218" s="4">
        <v>30</v>
      </c>
      <c r="H13218" s="18">
        <v>17</v>
      </c>
      <c r="I13218" s="90"/>
      <c r="J13218" s="90"/>
    </row>
    <row r="13219" spans="1:10" s="15" customFormat="1" ht="16.5" hidden="1" customHeight="1" outlineLevel="1" x14ac:dyDescent="0.25">
      <c r="A13219" s="18">
        <v>341</v>
      </c>
      <c r="B13219" s="4" t="s">
        <v>44</v>
      </c>
      <c r="C13219" s="38" t="s">
        <v>7729</v>
      </c>
      <c r="D13219" s="18">
        <v>2022</v>
      </c>
      <c r="E13219" s="18" t="s">
        <v>0</v>
      </c>
      <c r="F13219" s="41">
        <v>1</v>
      </c>
      <c r="G13219" s="4">
        <v>30</v>
      </c>
      <c r="H13219" s="18">
        <v>17</v>
      </c>
      <c r="I13219" s="90"/>
      <c r="J13219" s="90"/>
    </row>
    <row r="13220" spans="1:10" s="15" customFormat="1" ht="16.5" hidden="1" customHeight="1" outlineLevel="1" x14ac:dyDescent="0.25">
      <c r="A13220" s="18">
        <v>342</v>
      </c>
      <c r="B13220" s="4" t="s">
        <v>44</v>
      </c>
      <c r="C13220" s="38" t="s">
        <v>7730</v>
      </c>
      <c r="D13220" s="18">
        <v>2022</v>
      </c>
      <c r="E13220" s="18" t="s">
        <v>0</v>
      </c>
      <c r="F13220" s="41">
        <v>1</v>
      </c>
      <c r="G13220" s="4">
        <v>30</v>
      </c>
      <c r="H13220" s="18">
        <v>17</v>
      </c>
      <c r="I13220" s="90"/>
      <c r="J13220" s="90"/>
    </row>
    <row r="13221" spans="1:10" s="15" customFormat="1" ht="16.5" hidden="1" customHeight="1" outlineLevel="1" x14ac:dyDescent="0.25">
      <c r="A13221" s="18">
        <v>348</v>
      </c>
      <c r="B13221" s="4" t="s">
        <v>44</v>
      </c>
      <c r="C13221" s="38" t="s">
        <v>7731</v>
      </c>
      <c r="D13221" s="18">
        <v>2022</v>
      </c>
      <c r="E13221" s="18" t="s">
        <v>0</v>
      </c>
      <c r="F13221" s="41">
        <v>3</v>
      </c>
      <c r="G13221" s="4">
        <v>45</v>
      </c>
      <c r="H13221" s="18">
        <v>52</v>
      </c>
      <c r="I13221" s="90"/>
      <c r="J13221" s="90"/>
    </row>
    <row r="13222" spans="1:10" s="15" customFormat="1" ht="16.5" hidden="1" customHeight="1" outlineLevel="1" x14ac:dyDescent="0.25">
      <c r="A13222" s="18">
        <v>331</v>
      </c>
      <c r="B13222" s="4" t="s">
        <v>44</v>
      </c>
      <c r="C13222" s="38" t="s">
        <v>7732</v>
      </c>
      <c r="D13222" s="18">
        <v>2022</v>
      </c>
      <c r="E13222" s="18" t="s">
        <v>0</v>
      </c>
      <c r="F13222" s="41">
        <v>3</v>
      </c>
      <c r="G13222" s="4">
        <v>17</v>
      </c>
      <c r="H13222" s="18">
        <v>51</v>
      </c>
      <c r="I13222" s="90"/>
      <c r="J13222" s="90"/>
    </row>
    <row r="13223" spans="1:10" s="15" customFormat="1" ht="16.5" hidden="1" customHeight="1" outlineLevel="1" x14ac:dyDescent="0.25">
      <c r="A13223" s="18">
        <v>349</v>
      </c>
      <c r="B13223" s="4" t="s">
        <v>44</v>
      </c>
      <c r="C13223" s="38" t="s">
        <v>7733</v>
      </c>
      <c r="D13223" s="18">
        <v>2022</v>
      </c>
      <c r="E13223" s="18" t="s">
        <v>0</v>
      </c>
      <c r="F13223" s="41">
        <v>9</v>
      </c>
      <c r="G13223" s="4">
        <v>99</v>
      </c>
      <c r="H13223" s="18">
        <v>152</v>
      </c>
      <c r="I13223" s="90"/>
      <c r="J13223" s="90"/>
    </row>
    <row r="13224" spans="1:10" s="15" customFormat="1" ht="16.5" hidden="1" customHeight="1" outlineLevel="1" x14ac:dyDescent="0.25">
      <c r="A13224" s="18">
        <v>346</v>
      </c>
      <c r="B13224" s="4" t="s">
        <v>44</v>
      </c>
      <c r="C13224" s="38" t="s">
        <v>7734</v>
      </c>
      <c r="D13224" s="18">
        <v>2022</v>
      </c>
      <c r="E13224" s="18" t="s">
        <v>0</v>
      </c>
      <c r="F13224" s="41">
        <v>44</v>
      </c>
      <c r="G13224" s="4">
        <v>506.99</v>
      </c>
      <c r="H13224" s="18">
        <v>753</v>
      </c>
      <c r="I13224" s="90"/>
      <c r="J13224" s="90"/>
    </row>
    <row r="13225" spans="1:10" s="15" customFormat="1" ht="16.5" hidden="1" customHeight="1" outlineLevel="1" x14ac:dyDescent="0.25">
      <c r="A13225" s="18">
        <v>336</v>
      </c>
      <c r="B13225" s="4" t="s">
        <v>44</v>
      </c>
      <c r="C13225" s="38" t="s">
        <v>7735</v>
      </c>
      <c r="D13225" s="18">
        <v>2022</v>
      </c>
      <c r="E13225" s="18" t="s">
        <v>0</v>
      </c>
      <c r="F13225" s="41">
        <v>1</v>
      </c>
      <c r="G13225" s="4">
        <v>10</v>
      </c>
      <c r="H13225" s="18">
        <v>17</v>
      </c>
      <c r="I13225" s="90"/>
      <c r="J13225" s="90"/>
    </row>
    <row r="13226" spans="1:10" s="15" customFormat="1" ht="16.5" hidden="1" customHeight="1" outlineLevel="1" x14ac:dyDescent="0.25">
      <c r="A13226" s="18">
        <v>344</v>
      </c>
      <c r="B13226" s="4" t="s">
        <v>44</v>
      </c>
      <c r="C13226" s="38" t="s">
        <v>7736</v>
      </c>
      <c r="D13226" s="18">
        <v>2022</v>
      </c>
      <c r="E13226" s="18" t="s">
        <v>0</v>
      </c>
      <c r="F13226" s="41">
        <v>4</v>
      </c>
      <c r="G13226" s="4">
        <v>52</v>
      </c>
      <c r="H13226" s="18">
        <v>68</v>
      </c>
      <c r="I13226" s="90"/>
      <c r="J13226" s="90"/>
    </row>
    <row r="13227" spans="1:10" s="15" customFormat="1" ht="16.5" hidden="1" customHeight="1" outlineLevel="1" x14ac:dyDescent="0.25">
      <c r="A13227" s="18">
        <v>340</v>
      </c>
      <c r="B13227" s="4" t="s">
        <v>44</v>
      </c>
      <c r="C13227" s="38" t="s">
        <v>7737</v>
      </c>
      <c r="D13227" s="18">
        <v>2022</v>
      </c>
      <c r="E13227" s="18" t="s">
        <v>0</v>
      </c>
      <c r="F13227" s="41">
        <v>1</v>
      </c>
      <c r="G13227" s="4">
        <v>15</v>
      </c>
      <c r="H13227" s="18">
        <v>17</v>
      </c>
      <c r="I13227" s="90"/>
      <c r="J13227" s="90"/>
    </row>
    <row r="13228" spans="1:10" s="15" customFormat="1" ht="16.5" hidden="1" customHeight="1" outlineLevel="1" x14ac:dyDescent="0.25">
      <c r="A13228" s="18">
        <v>337</v>
      </c>
      <c r="B13228" s="4" t="s">
        <v>44</v>
      </c>
      <c r="C13228" s="38" t="s">
        <v>7738</v>
      </c>
      <c r="D13228" s="18">
        <v>2022</v>
      </c>
      <c r="E13228" s="18" t="s">
        <v>0</v>
      </c>
      <c r="F13228" s="41">
        <v>1</v>
      </c>
      <c r="G13228" s="4">
        <v>14</v>
      </c>
      <c r="H13228" s="18">
        <v>18</v>
      </c>
      <c r="I13228" s="90"/>
      <c r="J13228" s="90"/>
    </row>
    <row r="13229" spans="1:10" s="15" customFormat="1" ht="16.5" hidden="1" customHeight="1" outlineLevel="1" x14ac:dyDescent="0.25">
      <c r="A13229" s="18">
        <v>386</v>
      </c>
      <c r="B13229" s="4" t="s">
        <v>44</v>
      </c>
      <c r="C13229" s="38" t="s">
        <v>7739</v>
      </c>
      <c r="D13229" s="18">
        <v>2022</v>
      </c>
      <c r="E13229" s="18" t="s">
        <v>0</v>
      </c>
      <c r="F13229" s="41">
        <v>1</v>
      </c>
      <c r="G13229" s="4">
        <v>5</v>
      </c>
      <c r="H13229" s="18">
        <v>18</v>
      </c>
      <c r="I13229" s="90"/>
      <c r="J13229" s="90"/>
    </row>
    <row r="13230" spans="1:10" s="15" customFormat="1" ht="16.5" hidden="1" customHeight="1" outlineLevel="1" x14ac:dyDescent="0.25">
      <c r="A13230" s="18">
        <v>431</v>
      </c>
      <c r="B13230" s="4" t="s">
        <v>44</v>
      </c>
      <c r="C13230" s="38" t="s">
        <v>2870</v>
      </c>
      <c r="D13230" s="18">
        <v>2022</v>
      </c>
      <c r="E13230" s="18" t="s">
        <v>0</v>
      </c>
      <c r="F13230" s="41">
        <v>21</v>
      </c>
      <c r="G13230" s="4">
        <v>405</v>
      </c>
      <c r="H13230" s="18">
        <v>724</v>
      </c>
      <c r="I13230" s="90"/>
      <c r="J13230" s="90"/>
    </row>
    <row r="13231" spans="1:10" s="15" customFormat="1" ht="16.5" hidden="1" customHeight="1" outlineLevel="1" x14ac:dyDescent="0.25">
      <c r="A13231" s="18">
        <v>428</v>
      </c>
      <c r="B13231" s="4" t="s">
        <v>44</v>
      </c>
      <c r="C13231" s="38" t="s">
        <v>2715</v>
      </c>
      <c r="D13231" s="18">
        <v>2022</v>
      </c>
      <c r="E13231" s="18" t="s">
        <v>0</v>
      </c>
      <c r="F13231" s="41">
        <v>2</v>
      </c>
      <c r="G13231" s="4">
        <v>30</v>
      </c>
      <c r="H13231" s="18">
        <v>47</v>
      </c>
      <c r="I13231" s="90"/>
      <c r="J13231" s="90"/>
    </row>
    <row r="13232" spans="1:10" s="15" customFormat="1" ht="16.5" hidden="1" customHeight="1" outlineLevel="1" x14ac:dyDescent="0.25">
      <c r="A13232" s="18">
        <v>429</v>
      </c>
      <c r="B13232" s="4" t="s">
        <v>44</v>
      </c>
      <c r="C13232" s="38" t="s">
        <v>2716</v>
      </c>
      <c r="D13232" s="18">
        <v>2022</v>
      </c>
      <c r="E13232" s="18" t="s">
        <v>0</v>
      </c>
      <c r="F13232" s="41">
        <v>1</v>
      </c>
      <c r="G13232" s="4">
        <v>15</v>
      </c>
      <c r="H13232" s="18">
        <v>68</v>
      </c>
      <c r="I13232" s="90"/>
      <c r="J13232" s="90"/>
    </row>
    <row r="13233" spans="1:10" s="15" customFormat="1" ht="16.5" hidden="1" customHeight="1" outlineLevel="1" x14ac:dyDescent="0.25">
      <c r="A13233" s="18">
        <v>427</v>
      </c>
      <c r="B13233" s="4" t="s">
        <v>44</v>
      </c>
      <c r="C13233" s="38" t="s">
        <v>2717</v>
      </c>
      <c r="D13233" s="18">
        <v>2022</v>
      </c>
      <c r="E13233" s="18" t="s">
        <v>0</v>
      </c>
      <c r="F13233" s="41">
        <v>1</v>
      </c>
      <c r="G13233" s="4">
        <v>15</v>
      </c>
      <c r="H13233" s="18">
        <v>78</v>
      </c>
      <c r="I13233" s="90"/>
      <c r="J13233" s="90"/>
    </row>
    <row r="13234" spans="1:10" s="15" customFormat="1" ht="16.5" hidden="1" customHeight="1" outlineLevel="1" x14ac:dyDescent="0.25">
      <c r="A13234" s="18">
        <v>430</v>
      </c>
      <c r="B13234" s="4" t="s">
        <v>44</v>
      </c>
      <c r="C13234" s="38" t="s">
        <v>2718</v>
      </c>
      <c r="D13234" s="18">
        <v>2022</v>
      </c>
      <c r="E13234" s="18" t="s">
        <v>0</v>
      </c>
      <c r="F13234" s="41">
        <v>2</v>
      </c>
      <c r="G13234" s="4">
        <v>160</v>
      </c>
      <c r="H13234" s="18">
        <v>232</v>
      </c>
      <c r="I13234" s="90"/>
      <c r="J13234" s="90"/>
    </row>
    <row r="13235" spans="1:10" s="15" customFormat="1" ht="16.5" hidden="1" customHeight="1" outlineLevel="1" x14ac:dyDescent="0.25">
      <c r="A13235" s="18">
        <v>423</v>
      </c>
      <c r="B13235" s="4" t="s">
        <v>44</v>
      </c>
      <c r="C13235" s="38" t="s">
        <v>2871</v>
      </c>
      <c r="D13235" s="18">
        <v>2022</v>
      </c>
      <c r="E13235" s="18" t="s">
        <v>0</v>
      </c>
      <c r="F13235" s="41">
        <v>3</v>
      </c>
      <c r="G13235" s="4">
        <v>45</v>
      </c>
      <c r="H13235" s="18">
        <v>115</v>
      </c>
      <c r="I13235" s="90"/>
      <c r="J13235" s="90"/>
    </row>
    <row r="13236" spans="1:10" s="15" customFormat="1" ht="16.5" hidden="1" customHeight="1" outlineLevel="1" x14ac:dyDescent="0.25">
      <c r="A13236" s="18">
        <v>424</v>
      </c>
      <c r="B13236" s="4" t="s">
        <v>44</v>
      </c>
      <c r="C13236" s="38" t="s">
        <v>2872</v>
      </c>
      <c r="D13236" s="18">
        <v>2022</v>
      </c>
      <c r="E13236" s="18" t="s">
        <v>0</v>
      </c>
      <c r="F13236" s="41">
        <v>1</v>
      </c>
      <c r="G13236" s="4">
        <v>15</v>
      </c>
      <c r="H13236" s="18">
        <v>80</v>
      </c>
      <c r="I13236" s="90"/>
      <c r="J13236" s="90"/>
    </row>
    <row r="13237" spans="1:10" s="15" customFormat="1" ht="16.5" hidden="1" customHeight="1" outlineLevel="1" x14ac:dyDescent="0.25">
      <c r="A13237" s="18">
        <v>425</v>
      </c>
      <c r="B13237" s="4" t="s">
        <v>44</v>
      </c>
      <c r="C13237" s="38" t="s">
        <v>2719</v>
      </c>
      <c r="D13237" s="18">
        <v>2022</v>
      </c>
      <c r="E13237" s="18" t="s">
        <v>0</v>
      </c>
      <c r="F13237" s="41">
        <v>8</v>
      </c>
      <c r="G13237" s="4">
        <v>120</v>
      </c>
      <c r="H13237" s="18">
        <v>371</v>
      </c>
      <c r="I13237" s="90"/>
      <c r="J13237" s="90"/>
    </row>
    <row r="13238" spans="1:10" s="15" customFormat="1" ht="16.5" hidden="1" customHeight="1" outlineLevel="1" x14ac:dyDescent="0.25">
      <c r="A13238" s="18">
        <v>397</v>
      </c>
      <c r="B13238" s="4" t="s">
        <v>44</v>
      </c>
      <c r="C13238" s="38" t="s">
        <v>2720</v>
      </c>
      <c r="D13238" s="18">
        <v>2022</v>
      </c>
      <c r="E13238" s="18" t="s">
        <v>0</v>
      </c>
      <c r="F13238" s="41">
        <v>1</v>
      </c>
      <c r="G13238" s="4">
        <v>15</v>
      </c>
      <c r="H13238" s="18">
        <v>88</v>
      </c>
      <c r="I13238" s="90"/>
      <c r="J13238" s="90"/>
    </row>
    <row r="13239" spans="1:10" s="15" customFormat="1" ht="16.5" hidden="1" customHeight="1" outlineLevel="1" x14ac:dyDescent="0.25">
      <c r="A13239" s="18">
        <v>288</v>
      </c>
      <c r="B13239" s="4" t="s">
        <v>44</v>
      </c>
      <c r="C13239" s="38" t="s">
        <v>2721</v>
      </c>
      <c r="D13239" s="18">
        <v>2022</v>
      </c>
      <c r="E13239" s="18" t="s">
        <v>0</v>
      </c>
      <c r="F13239" s="41">
        <v>12</v>
      </c>
      <c r="G13239" s="4">
        <v>179.97</v>
      </c>
      <c r="H13239" s="18">
        <v>247</v>
      </c>
      <c r="I13239" s="90"/>
      <c r="J13239" s="90"/>
    </row>
    <row r="13240" spans="1:10" s="15" customFormat="1" ht="16.5" hidden="1" customHeight="1" outlineLevel="1" x14ac:dyDescent="0.25">
      <c r="A13240" s="18">
        <v>323</v>
      </c>
      <c r="B13240" s="4" t="s">
        <v>44</v>
      </c>
      <c r="C13240" s="38" t="s">
        <v>2723</v>
      </c>
      <c r="D13240" s="18">
        <v>2022</v>
      </c>
      <c r="E13240" s="18" t="s">
        <v>0</v>
      </c>
      <c r="F13240" s="41">
        <v>2</v>
      </c>
      <c r="G13240" s="4">
        <v>30</v>
      </c>
      <c r="H13240" s="18">
        <v>44</v>
      </c>
      <c r="I13240" s="90"/>
      <c r="J13240" s="90"/>
    </row>
    <row r="13241" spans="1:10" s="15" customFormat="1" ht="16.5" hidden="1" customHeight="1" outlineLevel="1" x14ac:dyDescent="0.25">
      <c r="A13241" s="18">
        <v>375</v>
      </c>
      <c r="B13241" s="4" t="s">
        <v>44</v>
      </c>
      <c r="C13241" s="38" t="s">
        <v>2724</v>
      </c>
      <c r="D13241" s="18">
        <v>2022</v>
      </c>
      <c r="E13241" s="18" t="s">
        <v>0</v>
      </c>
      <c r="F13241" s="41">
        <v>1</v>
      </c>
      <c r="G13241" s="4">
        <v>15</v>
      </c>
      <c r="H13241" s="18">
        <v>23</v>
      </c>
      <c r="I13241" s="90"/>
      <c r="J13241" s="90"/>
    </row>
    <row r="13242" spans="1:10" s="15" customFormat="1" ht="16.5" hidden="1" customHeight="1" outlineLevel="1" x14ac:dyDescent="0.25">
      <c r="A13242" s="18">
        <v>297</v>
      </c>
      <c r="B13242" s="4" t="s">
        <v>44</v>
      </c>
      <c r="C13242" s="38" t="s">
        <v>2926</v>
      </c>
      <c r="D13242" s="18">
        <v>2022</v>
      </c>
      <c r="E13242" s="18" t="s">
        <v>0</v>
      </c>
      <c r="F13242" s="41">
        <v>1</v>
      </c>
      <c r="G13242" s="4">
        <v>15</v>
      </c>
      <c r="H13242" s="18">
        <v>24</v>
      </c>
      <c r="I13242" s="90"/>
      <c r="J13242" s="90"/>
    </row>
    <row r="13243" spans="1:10" s="15" customFormat="1" ht="16.5" hidden="1" customHeight="1" outlineLevel="1" x14ac:dyDescent="0.25">
      <c r="A13243" s="18">
        <v>326</v>
      </c>
      <c r="B13243" s="4" t="s">
        <v>44</v>
      </c>
      <c r="C13243" s="38" t="s">
        <v>2725</v>
      </c>
      <c r="D13243" s="18">
        <v>2022</v>
      </c>
      <c r="E13243" s="18" t="s">
        <v>0</v>
      </c>
      <c r="F13243" s="41">
        <v>1</v>
      </c>
      <c r="G13243" s="4">
        <v>15</v>
      </c>
      <c r="H13243" s="18">
        <v>23</v>
      </c>
      <c r="I13243" s="90"/>
      <c r="J13243" s="90"/>
    </row>
    <row r="13244" spans="1:10" s="15" customFormat="1" ht="16.5" hidden="1" customHeight="1" outlineLevel="1" x14ac:dyDescent="0.25">
      <c r="A13244" s="18">
        <v>319</v>
      </c>
      <c r="B13244" s="4" t="s">
        <v>44</v>
      </c>
      <c r="C13244" s="38" t="s">
        <v>2726</v>
      </c>
      <c r="D13244" s="18">
        <v>2022</v>
      </c>
      <c r="E13244" s="18" t="s">
        <v>0</v>
      </c>
      <c r="F13244" s="41">
        <v>1</v>
      </c>
      <c r="G13244" s="4">
        <v>15</v>
      </c>
      <c r="H13244" s="18">
        <v>23</v>
      </c>
      <c r="I13244" s="90"/>
      <c r="J13244" s="90"/>
    </row>
    <row r="13245" spans="1:10" s="15" customFormat="1" ht="16.5" hidden="1" customHeight="1" outlineLevel="1" x14ac:dyDescent="0.25">
      <c r="A13245" s="18">
        <v>295</v>
      </c>
      <c r="B13245" s="4" t="s">
        <v>44</v>
      </c>
      <c r="C13245" s="38" t="s">
        <v>2927</v>
      </c>
      <c r="D13245" s="18">
        <v>2022</v>
      </c>
      <c r="E13245" s="18" t="s">
        <v>0</v>
      </c>
      <c r="F13245" s="41">
        <v>1</v>
      </c>
      <c r="G13245" s="4">
        <v>15</v>
      </c>
      <c r="H13245" s="18">
        <v>24</v>
      </c>
      <c r="I13245" s="90"/>
      <c r="J13245" s="90"/>
    </row>
    <row r="13246" spans="1:10" s="15" customFormat="1" ht="16.5" hidden="1" customHeight="1" outlineLevel="1" x14ac:dyDescent="0.25">
      <c r="A13246" s="18">
        <v>383</v>
      </c>
      <c r="B13246" s="4" t="s">
        <v>44</v>
      </c>
      <c r="C13246" s="38" t="s">
        <v>2727</v>
      </c>
      <c r="D13246" s="18">
        <v>2022</v>
      </c>
      <c r="E13246" s="18" t="s">
        <v>0</v>
      </c>
      <c r="F13246" s="41">
        <v>1</v>
      </c>
      <c r="G13246" s="4">
        <v>15</v>
      </c>
      <c r="H13246" s="18">
        <v>27</v>
      </c>
      <c r="I13246" s="90"/>
      <c r="J13246" s="90"/>
    </row>
    <row r="13247" spans="1:10" s="15" customFormat="1" ht="16.5" hidden="1" customHeight="1" outlineLevel="1" x14ac:dyDescent="0.25">
      <c r="A13247" s="18">
        <v>330</v>
      </c>
      <c r="B13247" s="4" t="s">
        <v>44</v>
      </c>
      <c r="C13247" s="38" t="s">
        <v>2728</v>
      </c>
      <c r="D13247" s="18">
        <v>2022</v>
      </c>
      <c r="E13247" s="18" t="s">
        <v>0</v>
      </c>
      <c r="F13247" s="41">
        <v>1</v>
      </c>
      <c r="G13247" s="4">
        <v>15</v>
      </c>
      <c r="H13247" s="18">
        <v>24</v>
      </c>
      <c r="I13247" s="90"/>
      <c r="J13247" s="90"/>
    </row>
    <row r="13248" spans="1:10" s="15" customFormat="1" ht="16.5" hidden="1" customHeight="1" outlineLevel="1" x14ac:dyDescent="0.25">
      <c r="A13248" s="18">
        <v>320</v>
      </c>
      <c r="B13248" s="4" t="s">
        <v>44</v>
      </c>
      <c r="C13248" s="38" t="s">
        <v>2729</v>
      </c>
      <c r="D13248" s="18">
        <v>2022</v>
      </c>
      <c r="E13248" s="18" t="s">
        <v>0</v>
      </c>
      <c r="F13248" s="41">
        <v>1</v>
      </c>
      <c r="G13248" s="4">
        <v>15</v>
      </c>
      <c r="H13248" s="18">
        <v>22</v>
      </c>
      <c r="I13248" s="90"/>
      <c r="J13248" s="90"/>
    </row>
    <row r="13249" spans="1:10" s="15" customFormat="1" ht="16.5" hidden="1" customHeight="1" outlineLevel="1" x14ac:dyDescent="0.25">
      <c r="A13249" s="18">
        <v>303</v>
      </c>
      <c r="B13249" s="4" t="s">
        <v>44</v>
      </c>
      <c r="C13249" s="38" t="s">
        <v>2928</v>
      </c>
      <c r="D13249" s="18">
        <v>2022</v>
      </c>
      <c r="E13249" s="18" t="s">
        <v>0</v>
      </c>
      <c r="F13249" s="41">
        <v>1</v>
      </c>
      <c r="G13249" s="4">
        <v>15</v>
      </c>
      <c r="H13249" s="18">
        <v>24</v>
      </c>
      <c r="I13249" s="90"/>
      <c r="J13249" s="90"/>
    </row>
    <row r="13250" spans="1:10" s="15" customFormat="1" ht="16.5" hidden="1" customHeight="1" outlineLevel="1" x14ac:dyDescent="0.25">
      <c r="A13250" s="18">
        <v>325</v>
      </c>
      <c r="B13250" s="4" t="s">
        <v>44</v>
      </c>
      <c r="C13250" s="38" t="s">
        <v>2730</v>
      </c>
      <c r="D13250" s="18">
        <v>2022</v>
      </c>
      <c r="E13250" s="18" t="s">
        <v>0</v>
      </c>
      <c r="F13250" s="41">
        <v>1</v>
      </c>
      <c r="G13250" s="4">
        <v>14</v>
      </c>
      <c r="H13250" s="18">
        <v>24</v>
      </c>
      <c r="I13250" s="90"/>
      <c r="J13250" s="90"/>
    </row>
    <row r="13251" spans="1:10" s="15" customFormat="1" ht="16.5" hidden="1" customHeight="1" outlineLevel="1" x14ac:dyDescent="0.25">
      <c r="A13251" s="18">
        <v>328</v>
      </c>
      <c r="B13251" s="4" t="s">
        <v>44</v>
      </c>
      <c r="C13251" s="38" t="s">
        <v>2731</v>
      </c>
      <c r="D13251" s="18">
        <v>2022</v>
      </c>
      <c r="E13251" s="18" t="s">
        <v>0</v>
      </c>
      <c r="F13251" s="41">
        <v>1</v>
      </c>
      <c r="G13251" s="4">
        <v>14</v>
      </c>
      <c r="H13251" s="18">
        <v>24</v>
      </c>
      <c r="I13251" s="90"/>
      <c r="J13251" s="90"/>
    </row>
    <row r="13252" spans="1:10" s="15" customFormat="1" ht="16.5" hidden="1" customHeight="1" outlineLevel="1" x14ac:dyDescent="0.25">
      <c r="A13252" s="18">
        <v>382</v>
      </c>
      <c r="B13252" s="4" t="s">
        <v>44</v>
      </c>
      <c r="C13252" s="38" t="s">
        <v>2732</v>
      </c>
      <c r="D13252" s="18">
        <v>2022</v>
      </c>
      <c r="E13252" s="18" t="s">
        <v>0</v>
      </c>
      <c r="F13252" s="41">
        <v>1</v>
      </c>
      <c r="G13252" s="4">
        <v>15</v>
      </c>
      <c r="H13252" s="18">
        <v>19</v>
      </c>
      <c r="I13252" s="90"/>
      <c r="J13252" s="90"/>
    </row>
    <row r="13253" spans="1:10" s="15" customFormat="1" ht="16.5" hidden="1" customHeight="1" outlineLevel="1" x14ac:dyDescent="0.25">
      <c r="A13253" s="18">
        <v>321</v>
      </c>
      <c r="B13253" s="4" t="s">
        <v>44</v>
      </c>
      <c r="C13253" s="38" t="s">
        <v>2733</v>
      </c>
      <c r="D13253" s="18">
        <v>2022</v>
      </c>
      <c r="E13253" s="18" t="s">
        <v>0</v>
      </c>
      <c r="F13253" s="41">
        <v>2</v>
      </c>
      <c r="G13253" s="4">
        <v>30</v>
      </c>
      <c r="H13253" s="18">
        <v>42</v>
      </c>
      <c r="I13253" s="90"/>
      <c r="J13253" s="90"/>
    </row>
    <row r="13254" spans="1:10" s="15" customFormat="1" ht="16.5" hidden="1" customHeight="1" outlineLevel="1" x14ac:dyDescent="0.25">
      <c r="A13254" s="18">
        <v>301</v>
      </c>
      <c r="B13254" s="4" t="s">
        <v>44</v>
      </c>
      <c r="C13254" s="38" t="s">
        <v>2929</v>
      </c>
      <c r="D13254" s="18">
        <v>2022</v>
      </c>
      <c r="E13254" s="18" t="s">
        <v>0</v>
      </c>
      <c r="F13254" s="41">
        <v>1</v>
      </c>
      <c r="G13254" s="4">
        <v>15</v>
      </c>
      <c r="H13254" s="18">
        <v>24</v>
      </c>
      <c r="I13254" s="90"/>
      <c r="J13254" s="90"/>
    </row>
    <row r="13255" spans="1:10" s="15" customFormat="1" ht="16.5" hidden="1" customHeight="1" outlineLevel="1" x14ac:dyDescent="0.25">
      <c r="A13255" s="18">
        <v>374</v>
      </c>
      <c r="B13255" s="4" t="s">
        <v>44</v>
      </c>
      <c r="C13255" s="38" t="s">
        <v>2735</v>
      </c>
      <c r="D13255" s="18">
        <v>2022</v>
      </c>
      <c r="E13255" s="18" t="s">
        <v>0</v>
      </c>
      <c r="F13255" s="41">
        <v>1</v>
      </c>
      <c r="G13255" s="4">
        <v>15</v>
      </c>
      <c r="H13255" s="18">
        <v>23</v>
      </c>
      <c r="I13255" s="90"/>
      <c r="J13255" s="90"/>
    </row>
    <row r="13256" spans="1:10" s="15" customFormat="1" ht="16.5" hidden="1" customHeight="1" outlineLevel="1" x14ac:dyDescent="0.25">
      <c r="A13256" s="18">
        <v>327</v>
      </c>
      <c r="B13256" s="4" t="s">
        <v>44</v>
      </c>
      <c r="C13256" s="38" t="s">
        <v>2736</v>
      </c>
      <c r="D13256" s="18">
        <v>2022</v>
      </c>
      <c r="E13256" s="18" t="s">
        <v>0</v>
      </c>
      <c r="F13256" s="41">
        <v>1</v>
      </c>
      <c r="G13256" s="4">
        <v>15</v>
      </c>
      <c r="H13256" s="18">
        <v>23</v>
      </c>
      <c r="I13256" s="90"/>
      <c r="J13256" s="90"/>
    </row>
    <row r="13257" spans="1:10" s="15" customFormat="1" ht="16.5" hidden="1" customHeight="1" outlineLevel="1" x14ac:dyDescent="0.25">
      <c r="A13257" s="18">
        <v>365</v>
      </c>
      <c r="B13257" s="4" t="s">
        <v>44</v>
      </c>
      <c r="C13257" s="38" t="s">
        <v>2737</v>
      </c>
      <c r="D13257" s="18">
        <v>2022</v>
      </c>
      <c r="E13257" s="18" t="s">
        <v>0</v>
      </c>
      <c r="F13257" s="41">
        <v>1</v>
      </c>
      <c r="G13257" s="4">
        <v>15</v>
      </c>
      <c r="H13257" s="18">
        <v>23</v>
      </c>
      <c r="I13257" s="90"/>
      <c r="J13257" s="90"/>
    </row>
    <row r="13258" spans="1:10" s="15" customFormat="1" ht="16.5" hidden="1" customHeight="1" outlineLevel="1" x14ac:dyDescent="0.25">
      <c r="A13258" s="18">
        <v>285</v>
      </c>
      <c r="B13258" s="4" t="s">
        <v>44</v>
      </c>
      <c r="C13258" s="38" t="s">
        <v>2739</v>
      </c>
      <c r="D13258" s="18">
        <v>2022</v>
      </c>
      <c r="E13258" s="18" t="s">
        <v>0</v>
      </c>
      <c r="F13258" s="41">
        <v>1</v>
      </c>
      <c r="G13258" s="4">
        <v>15</v>
      </c>
      <c r="H13258" s="18">
        <v>24</v>
      </c>
      <c r="I13258" s="90"/>
      <c r="J13258" s="90"/>
    </row>
    <row r="13259" spans="1:10" s="15" customFormat="1" ht="16.5" hidden="1" customHeight="1" outlineLevel="1" x14ac:dyDescent="0.25">
      <c r="A13259" s="18">
        <v>389</v>
      </c>
      <c r="B13259" s="4" t="s">
        <v>44</v>
      </c>
      <c r="C13259" s="38" t="s">
        <v>7740</v>
      </c>
      <c r="D13259" s="18">
        <v>2022</v>
      </c>
      <c r="E13259" s="18" t="s">
        <v>0</v>
      </c>
      <c r="F13259" s="41">
        <v>1</v>
      </c>
      <c r="G13259" s="4">
        <v>100</v>
      </c>
      <c r="H13259" s="18">
        <v>14</v>
      </c>
      <c r="I13259" s="90"/>
      <c r="J13259" s="90"/>
    </row>
    <row r="13260" spans="1:10" s="15" customFormat="1" ht="16.5" hidden="1" customHeight="1" outlineLevel="1" x14ac:dyDescent="0.25">
      <c r="A13260" s="18">
        <v>385</v>
      </c>
      <c r="B13260" s="4" t="s">
        <v>44</v>
      </c>
      <c r="C13260" s="38" t="s">
        <v>7741</v>
      </c>
      <c r="D13260" s="18">
        <v>2022</v>
      </c>
      <c r="E13260" s="18" t="s">
        <v>0</v>
      </c>
      <c r="F13260" s="41">
        <v>1</v>
      </c>
      <c r="G13260" s="4">
        <v>150</v>
      </c>
      <c r="H13260" s="18">
        <v>14</v>
      </c>
      <c r="I13260" s="90"/>
      <c r="J13260" s="90"/>
    </row>
    <row r="13261" spans="1:10" s="15" customFormat="1" ht="16.5" hidden="1" customHeight="1" outlineLevel="1" x14ac:dyDescent="0.25">
      <c r="A13261" s="18">
        <v>391</v>
      </c>
      <c r="B13261" s="4" t="s">
        <v>44</v>
      </c>
      <c r="C13261" s="38" t="s">
        <v>7742</v>
      </c>
      <c r="D13261" s="18">
        <v>2022</v>
      </c>
      <c r="E13261" s="18" t="s">
        <v>0</v>
      </c>
      <c r="F13261" s="41">
        <v>1</v>
      </c>
      <c r="G13261" s="4">
        <v>150</v>
      </c>
      <c r="H13261" s="18">
        <v>14</v>
      </c>
      <c r="I13261" s="90"/>
      <c r="J13261" s="90"/>
    </row>
    <row r="13262" spans="1:10" s="15" customFormat="1" ht="16.5" hidden="1" customHeight="1" outlineLevel="1" x14ac:dyDescent="0.25">
      <c r="A13262" s="18">
        <v>394</v>
      </c>
      <c r="B13262" s="4" t="s">
        <v>44</v>
      </c>
      <c r="C13262" s="38" t="s">
        <v>7743</v>
      </c>
      <c r="D13262" s="18">
        <v>2022</v>
      </c>
      <c r="E13262" s="18" t="s">
        <v>0</v>
      </c>
      <c r="F13262" s="41">
        <v>2</v>
      </c>
      <c r="G13262" s="4">
        <v>10</v>
      </c>
      <c r="H13262" s="18">
        <v>35</v>
      </c>
      <c r="I13262" s="90"/>
      <c r="J13262" s="90"/>
    </row>
    <row r="13263" spans="1:10" s="15" customFormat="1" ht="16.5" hidden="1" customHeight="1" outlineLevel="1" x14ac:dyDescent="0.25">
      <c r="A13263" s="18">
        <v>395</v>
      </c>
      <c r="B13263" s="4" t="s">
        <v>44</v>
      </c>
      <c r="C13263" s="38" t="s">
        <v>7744</v>
      </c>
      <c r="D13263" s="18">
        <v>2022</v>
      </c>
      <c r="E13263" s="18" t="s">
        <v>0</v>
      </c>
      <c r="F13263" s="41">
        <v>25</v>
      </c>
      <c r="G13263" s="4">
        <v>264</v>
      </c>
      <c r="H13263" s="18">
        <v>416</v>
      </c>
      <c r="I13263" s="90"/>
      <c r="J13263" s="90"/>
    </row>
    <row r="13264" spans="1:10" s="15" customFormat="1" ht="16.5" hidden="1" customHeight="1" outlineLevel="1" x14ac:dyDescent="0.25">
      <c r="A13264" s="18">
        <v>408</v>
      </c>
      <c r="B13264" s="4" t="s">
        <v>44</v>
      </c>
      <c r="C13264" s="38" t="s">
        <v>7745</v>
      </c>
      <c r="D13264" s="18">
        <v>2022</v>
      </c>
      <c r="E13264" s="18" t="s">
        <v>0</v>
      </c>
      <c r="F13264" s="41">
        <v>46</v>
      </c>
      <c r="G13264" s="4">
        <v>574</v>
      </c>
      <c r="H13264" s="18">
        <v>1616</v>
      </c>
      <c r="I13264" s="90"/>
      <c r="J13264" s="90"/>
    </row>
    <row r="13265" spans="1:10" s="15" customFormat="1" ht="16.5" hidden="1" customHeight="1" outlineLevel="1" x14ac:dyDescent="0.25">
      <c r="A13265" s="18">
        <v>294</v>
      </c>
      <c r="B13265" s="4" t="s">
        <v>44</v>
      </c>
      <c r="C13265" s="38" t="s">
        <v>2740</v>
      </c>
      <c r="D13265" s="18">
        <v>2022</v>
      </c>
      <c r="E13265" s="18" t="s">
        <v>0</v>
      </c>
      <c r="F13265" s="41">
        <v>1</v>
      </c>
      <c r="G13265" s="4">
        <v>10</v>
      </c>
      <c r="H13265" s="18">
        <v>24</v>
      </c>
      <c r="I13265" s="90"/>
      <c r="J13265" s="90"/>
    </row>
    <row r="13266" spans="1:10" s="15" customFormat="1" ht="16.5" hidden="1" customHeight="1" outlineLevel="1" x14ac:dyDescent="0.25">
      <c r="A13266" s="18">
        <v>293</v>
      </c>
      <c r="B13266" s="4" t="s">
        <v>44</v>
      </c>
      <c r="C13266" s="38" t="s">
        <v>2741</v>
      </c>
      <c r="D13266" s="18">
        <v>2022</v>
      </c>
      <c r="E13266" s="18" t="s">
        <v>0</v>
      </c>
      <c r="F13266" s="41">
        <v>1</v>
      </c>
      <c r="G13266" s="4">
        <v>10</v>
      </c>
      <c r="H13266" s="18">
        <v>24</v>
      </c>
      <c r="I13266" s="90"/>
      <c r="J13266" s="90"/>
    </row>
    <row r="13267" spans="1:10" s="15" customFormat="1" ht="16.5" hidden="1" customHeight="1" outlineLevel="1" x14ac:dyDescent="0.25">
      <c r="A13267" s="18">
        <v>296</v>
      </c>
      <c r="B13267" s="4" t="s">
        <v>44</v>
      </c>
      <c r="C13267" s="38" t="s">
        <v>2742</v>
      </c>
      <c r="D13267" s="18">
        <v>2022</v>
      </c>
      <c r="E13267" s="18" t="s">
        <v>0</v>
      </c>
      <c r="F13267" s="41">
        <v>1</v>
      </c>
      <c r="G13267" s="4">
        <v>15</v>
      </c>
      <c r="H13267" s="18">
        <v>24</v>
      </c>
      <c r="I13267" s="90"/>
      <c r="J13267" s="90"/>
    </row>
    <row r="13268" spans="1:10" s="15" customFormat="1" ht="16.5" hidden="1" customHeight="1" outlineLevel="1" x14ac:dyDescent="0.25">
      <c r="A13268" s="18">
        <v>291</v>
      </c>
      <c r="B13268" s="4" t="s">
        <v>44</v>
      </c>
      <c r="C13268" s="38" t="s">
        <v>2744</v>
      </c>
      <c r="D13268" s="18">
        <v>2022</v>
      </c>
      <c r="E13268" s="18" t="s">
        <v>0</v>
      </c>
      <c r="F13268" s="41">
        <v>1</v>
      </c>
      <c r="G13268" s="4">
        <v>15</v>
      </c>
      <c r="H13268" s="18">
        <v>22</v>
      </c>
      <c r="I13268" s="90"/>
      <c r="J13268" s="90"/>
    </row>
    <row r="13269" spans="1:10" s="15" customFormat="1" ht="16.5" hidden="1" customHeight="1" outlineLevel="1" x14ac:dyDescent="0.25">
      <c r="A13269" s="18">
        <v>393</v>
      </c>
      <c r="B13269" s="4" t="s">
        <v>44</v>
      </c>
      <c r="C13269" s="38" t="s">
        <v>7746</v>
      </c>
      <c r="D13269" s="18">
        <v>2022</v>
      </c>
      <c r="E13269" s="18" t="s">
        <v>0</v>
      </c>
      <c r="F13269" s="41">
        <v>2</v>
      </c>
      <c r="G13269" s="4">
        <v>30</v>
      </c>
      <c r="H13269" s="18">
        <v>35</v>
      </c>
      <c r="I13269" s="90"/>
      <c r="J13269" s="90"/>
    </row>
    <row r="13270" spans="1:10" s="15" customFormat="1" ht="16.5" hidden="1" customHeight="1" outlineLevel="1" x14ac:dyDescent="0.25">
      <c r="A13270" s="18">
        <v>387</v>
      </c>
      <c r="B13270" s="4" t="s">
        <v>44</v>
      </c>
      <c r="C13270" s="38" t="s">
        <v>7747</v>
      </c>
      <c r="D13270" s="18">
        <v>2022</v>
      </c>
      <c r="E13270" s="18" t="s">
        <v>0</v>
      </c>
      <c r="F13270" s="41">
        <v>1</v>
      </c>
      <c r="G13270" s="4">
        <v>13</v>
      </c>
      <c r="H13270" s="18">
        <v>17</v>
      </c>
      <c r="I13270" s="90"/>
      <c r="J13270" s="90"/>
    </row>
    <row r="13271" spans="1:10" s="15" customFormat="1" ht="16.5" hidden="1" customHeight="1" outlineLevel="1" x14ac:dyDescent="0.25">
      <c r="A13271" s="18">
        <v>421</v>
      </c>
      <c r="B13271" s="4" t="s">
        <v>44</v>
      </c>
      <c r="C13271" s="38" t="s">
        <v>7748</v>
      </c>
      <c r="D13271" s="18">
        <v>2022</v>
      </c>
      <c r="E13271" s="18" t="s">
        <v>0</v>
      </c>
      <c r="F13271" s="41">
        <v>2</v>
      </c>
      <c r="G13271" s="4">
        <v>15</v>
      </c>
      <c r="H13271" s="18">
        <v>34</v>
      </c>
      <c r="I13271" s="90"/>
      <c r="J13271" s="90"/>
    </row>
    <row r="13272" spans="1:10" s="15" customFormat="1" ht="16.5" hidden="1" customHeight="1" outlineLevel="1" x14ac:dyDescent="0.25">
      <c r="A13272" s="18">
        <v>299</v>
      </c>
      <c r="B13272" s="4" t="s">
        <v>44</v>
      </c>
      <c r="C13272" s="38" t="s">
        <v>2745</v>
      </c>
      <c r="D13272" s="18">
        <v>2022</v>
      </c>
      <c r="E13272" s="18" t="s">
        <v>0</v>
      </c>
      <c r="F13272" s="41">
        <v>1</v>
      </c>
      <c r="G13272" s="4">
        <v>15</v>
      </c>
      <c r="H13272" s="18">
        <v>23</v>
      </c>
      <c r="I13272" s="90"/>
      <c r="J13272" s="90"/>
    </row>
    <row r="13273" spans="1:10" s="15" customFormat="1" ht="16.5" hidden="1" customHeight="1" outlineLevel="1" x14ac:dyDescent="0.25">
      <c r="A13273" s="18">
        <v>318</v>
      </c>
      <c r="B13273" s="4" t="s">
        <v>44</v>
      </c>
      <c r="C13273" s="38" t="s">
        <v>3118</v>
      </c>
      <c r="D13273" s="18">
        <v>2022</v>
      </c>
      <c r="E13273" s="18" t="s">
        <v>0</v>
      </c>
      <c r="F13273" s="41">
        <v>1</v>
      </c>
      <c r="G13273" s="4">
        <v>10</v>
      </c>
      <c r="H13273" s="18">
        <v>21</v>
      </c>
      <c r="I13273" s="90"/>
      <c r="J13273" s="90"/>
    </row>
    <row r="13274" spans="1:10" s="15" customFormat="1" ht="16.5" hidden="1" customHeight="1" outlineLevel="1" x14ac:dyDescent="0.25">
      <c r="A13274" s="18">
        <v>304</v>
      </c>
      <c r="B13274" s="4" t="s">
        <v>44</v>
      </c>
      <c r="C13274" s="38" t="s">
        <v>2930</v>
      </c>
      <c r="D13274" s="18">
        <v>2022</v>
      </c>
      <c r="E13274" s="18" t="s">
        <v>0</v>
      </c>
      <c r="F13274" s="41">
        <v>1</v>
      </c>
      <c r="G13274" s="4">
        <v>15</v>
      </c>
      <c r="H13274" s="18">
        <v>25</v>
      </c>
      <c r="I13274" s="90"/>
      <c r="J13274" s="90"/>
    </row>
    <row r="13275" spans="1:10" s="15" customFormat="1" ht="16.5" hidden="1" customHeight="1" outlineLevel="1" x14ac:dyDescent="0.25">
      <c r="A13275" s="18">
        <v>362</v>
      </c>
      <c r="B13275" s="4" t="s">
        <v>44</v>
      </c>
      <c r="C13275" s="38" t="s">
        <v>2747</v>
      </c>
      <c r="D13275" s="18">
        <v>2022</v>
      </c>
      <c r="E13275" s="18" t="s">
        <v>0</v>
      </c>
      <c r="F13275" s="41">
        <v>1</v>
      </c>
      <c r="G13275" s="4">
        <v>15</v>
      </c>
      <c r="H13275" s="18">
        <v>21</v>
      </c>
      <c r="I13275" s="90"/>
      <c r="J13275" s="90"/>
    </row>
    <row r="13276" spans="1:10" s="15" customFormat="1" ht="16.5" hidden="1" customHeight="1" outlineLevel="1" x14ac:dyDescent="0.25">
      <c r="A13276" s="18">
        <v>413</v>
      </c>
      <c r="B13276" s="4" t="s">
        <v>44</v>
      </c>
      <c r="C13276" s="38" t="s">
        <v>7749</v>
      </c>
      <c r="D13276" s="18">
        <v>2022</v>
      </c>
      <c r="E13276" s="18" t="s">
        <v>0</v>
      </c>
      <c r="F13276" s="41">
        <v>1</v>
      </c>
      <c r="G13276" s="4">
        <v>2</v>
      </c>
      <c r="H13276" s="18">
        <v>18</v>
      </c>
      <c r="I13276" s="90"/>
      <c r="J13276" s="90"/>
    </row>
    <row r="13277" spans="1:10" s="15" customFormat="1" ht="16.5" hidden="1" customHeight="1" outlineLevel="1" x14ac:dyDescent="0.25">
      <c r="A13277" s="18">
        <v>300</v>
      </c>
      <c r="B13277" s="4" t="s">
        <v>44</v>
      </c>
      <c r="C13277" s="38" t="s">
        <v>2749</v>
      </c>
      <c r="D13277" s="18">
        <v>2022</v>
      </c>
      <c r="E13277" s="18" t="s">
        <v>0</v>
      </c>
      <c r="F13277" s="41">
        <v>1</v>
      </c>
      <c r="G13277" s="4">
        <v>15</v>
      </c>
      <c r="H13277" s="18">
        <v>22</v>
      </c>
      <c r="I13277" s="90"/>
      <c r="J13277" s="90"/>
    </row>
    <row r="13278" spans="1:10" s="15" customFormat="1" ht="16.5" hidden="1" customHeight="1" outlineLevel="1" x14ac:dyDescent="0.25">
      <c r="A13278" s="18">
        <v>388</v>
      </c>
      <c r="B13278" s="4" t="s">
        <v>44</v>
      </c>
      <c r="C13278" s="38" t="s">
        <v>7750</v>
      </c>
      <c r="D13278" s="18">
        <v>2022</v>
      </c>
      <c r="E13278" s="18" t="s">
        <v>0</v>
      </c>
      <c r="F13278" s="41">
        <v>3</v>
      </c>
      <c r="G13278" s="4">
        <v>30</v>
      </c>
      <c r="H13278" s="18">
        <v>52</v>
      </c>
      <c r="I13278" s="90"/>
      <c r="J13278" s="90"/>
    </row>
    <row r="13279" spans="1:10" s="15" customFormat="1" ht="16.5" hidden="1" customHeight="1" outlineLevel="1" x14ac:dyDescent="0.25">
      <c r="A13279" s="18">
        <v>415</v>
      </c>
      <c r="B13279" s="4" t="s">
        <v>44</v>
      </c>
      <c r="C13279" s="38" t="s">
        <v>7751</v>
      </c>
      <c r="D13279" s="18">
        <v>2022</v>
      </c>
      <c r="E13279" s="18" t="s">
        <v>0</v>
      </c>
      <c r="F13279" s="41">
        <v>1</v>
      </c>
      <c r="G13279" s="4">
        <v>2</v>
      </c>
      <c r="H13279" s="18">
        <v>36</v>
      </c>
      <c r="I13279" s="90"/>
      <c r="J13279" s="90"/>
    </row>
    <row r="13280" spans="1:10" s="15" customFormat="1" ht="16.5" hidden="1" customHeight="1" outlineLevel="1" x14ac:dyDescent="0.25">
      <c r="A13280" s="18">
        <v>417</v>
      </c>
      <c r="B13280" s="4" t="s">
        <v>44</v>
      </c>
      <c r="C13280" s="38" t="s">
        <v>7752</v>
      </c>
      <c r="D13280" s="18">
        <v>2022</v>
      </c>
      <c r="E13280" s="18" t="s">
        <v>0</v>
      </c>
      <c r="F13280" s="41">
        <v>2</v>
      </c>
      <c r="G13280" s="4">
        <v>3</v>
      </c>
      <c r="H13280" s="18">
        <v>72</v>
      </c>
      <c r="I13280" s="90"/>
      <c r="J13280" s="90"/>
    </row>
    <row r="13281" spans="1:10" s="15" customFormat="1" ht="16.5" hidden="1" customHeight="1" outlineLevel="1" x14ac:dyDescent="0.25">
      <c r="A13281" s="18">
        <v>409</v>
      </c>
      <c r="B13281" s="4" t="s">
        <v>44</v>
      </c>
      <c r="C13281" s="38" t="s">
        <v>7753</v>
      </c>
      <c r="D13281" s="18">
        <v>2022</v>
      </c>
      <c r="E13281" s="18" t="s">
        <v>0</v>
      </c>
      <c r="F13281" s="41">
        <v>1</v>
      </c>
      <c r="G13281" s="4">
        <v>7.5</v>
      </c>
      <c r="H13281" s="18">
        <v>36</v>
      </c>
      <c r="I13281" s="90"/>
      <c r="J13281" s="90"/>
    </row>
    <row r="13282" spans="1:10" s="15" customFormat="1" ht="16.5" hidden="1" customHeight="1" outlineLevel="1" x14ac:dyDescent="0.25">
      <c r="A13282" s="18">
        <v>416</v>
      </c>
      <c r="B13282" s="4" t="s">
        <v>44</v>
      </c>
      <c r="C13282" s="38" t="s">
        <v>7754</v>
      </c>
      <c r="D13282" s="18">
        <v>2022</v>
      </c>
      <c r="E13282" s="18" t="s">
        <v>0</v>
      </c>
      <c r="F13282" s="41">
        <v>1</v>
      </c>
      <c r="G13282" s="4">
        <v>1</v>
      </c>
      <c r="H13282" s="18">
        <v>35</v>
      </c>
      <c r="I13282" s="90"/>
      <c r="J13282" s="90"/>
    </row>
    <row r="13283" spans="1:10" s="15" customFormat="1" ht="16.5" hidden="1" customHeight="1" outlineLevel="1" x14ac:dyDescent="0.25">
      <c r="A13283" s="18">
        <v>432</v>
      </c>
      <c r="B13283" s="4" t="s">
        <v>44</v>
      </c>
      <c r="C13283" s="38" t="s">
        <v>2874</v>
      </c>
      <c r="D13283" s="18">
        <v>2022</v>
      </c>
      <c r="E13283" s="18" t="s">
        <v>0</v>
      </c>
      <c r="F13283" s="41">
        <v>1</v>
      </c>
      <c r="G13283" s="4">
        <v>15</v>
      </c>
      <c r="H13283" s="18">
        <v>51</v>
      </c>
      <c r="I13283" s="90"/>
      <c r="J13283" s="90"/>
    </row>
    <row r="13284" spans="1:10" s="15" customFormat="1" ht="16.5" hidden="1" customHeight="1" outlineLevel="1" x14ac:dyDescent="0.25">
      <c r="A13284" s="18">
        <v>426</v>
      </c>
      <c r="B13284" s="4" t="s">
        <v>44</v>
      </c>
      <c r="C13284" s="38" t="s">
        <v>2750</v>
      </c>
      <c r="D13284" s="18">
        <v>2022</v>
      </c>
      <c r="E13284" s="18" t="s">
        <v>0</v>
      </c>
      <c r="F13284" s="41">
        <v>7</v>
      </c>
      <c r="G13284" s="4">
        <v>104.4</v>
      </c>
      <c r="H13284" s="18">
        <v>286</v>
      </c>
      <c r="I13284" s="90"/>
      <c r="J13284" s="90"/>
    </row>
    <row r="13285" spans="1:10" s="15" customFormat="1" ht="16.5" hidden="1" customHeight="1" outlineLevel="1" x14ac:dyDescent="0.25">
      <c r="A13285" s="18">
        <v>322</v>
      </c>
      <c r="B13285" s="4" t="s">
        <v>44</v>
      </c>
      <c r="C13285" s="38" t="s">
        <v>2751</v>
      </c>
      <c r="D13285" s="18">
        <v>2022</v>
      </c>
      <c r="E13285" s="18" t="s">
        <v>0</v>
      </c>
      <c r="F13285" s="41">
        <v>1</v>
      </c>
      <c r="G13285" s="4">
        <v>15</v>
      </c>
      <c r="H13285" s="18">
        <v>23</v>
      </c>
      <c r="I13285" s="90"/>
      <c r="J13285" s="90"/>
    </row>
    <row r="13286" spans="1:10" s="15" customFormat="1" ht="16.5" hidden="1" customHeight="1" outlineLevel="1" x14ac:dyDescent="0.25">
      <c r="A13286" s="18">
        <v>324</v>
      </c>
      <c r="B13286" s="4" t="s">
        <v>44</v>
      </c>
      <c r="C13286" s="38" t="s">
        <v>2752</v>
      </c>
      <c r="D13286" s="18">
        <v>2022</v>
      </c>
      <c r="E13286" s="18" t="s">
        <v>0</v>
      </c>
      <c r="F13286" s="41">
        <v>1</v>
      </c>
      <c r="G13286" s="4">
        <v>15</v>
      </c>
      <c r="H13286" s="18">
        <v>27</v>
      </c>
      <c r="I13286" s="90"/>
      <c r="J13286" s="90"/>
    </row>
    <row r="13287" spans="1:10" s="15" customFormat="1" ht="16.5" hidden="1" customHeight="1" outlineLevel="1" x14ac:dyDescent="0.25">
      <c r="A13287" s="18">
        <v>376</v>
      </c>
      <c r="B13287" s="4" t="s">
        <v>44</v>
      </c>
      <c r="C13287" s="38" t="s">
        <v>2753</v>
      </c>
      <c r="D13287" s="18">
        <v>2022</v>
      </c>
      <c r="E13287" s="18" t="s">
        <v>0</v>
      </c>
      <c r="F13287" s="41">
        <v>1</v>
      </c>
      <c r="G13287" s="4">
        <v>15</v>
      </c>
      <c r="H13287" s="18">
        <v>26</v>
      </c>
      <c r="I13287" s="90"/>
      <c r="J13287" s="90"/>
    </row>
    <row r="13288" spans="1:10" s="15" customFormat="1" ht="16.5" hidden="1" customHeight="1" outlineLevel="1" x14ac:dyDescent="0.25">
      <c r="A13288" s="18">
        <v>360</v>
      </c>
      <c r="B13288" s="4" t="s">
        <v>44</v>
      </c>
      <c r="C13288" s="38" t="s">
        <v>2754</v>
      </c>
      <c r="D13288" s="18">
        <v>2022</v>
      </c>
      <c r="E13288" s="18" t="s">
        <v>0</v>
      </c>
      <c r="F13288" s="41">
        <v>1</v>
      </c>
      <c r="G13288" s="4">
        <v>15</v>
      </c>
      <c r="H13288" s="18">
        <v>26</v>
      </c>
      <c r="I13288" s="90"/>
      <c r="J13288" s="90"/>
    </row>
    <row r="13289" spans="1:10" s="15" customFormat="1" ht="16.5" hidden="1" customHeight="1" outlineLevel="1" x14ac:dyDescent="0.25">
      <c r="A13289" s="18">
        <v>369</v>
      </c>
      <c r="B13289" s="4" t="s">
        <v>44</v>
      </c>
      <c r="C13289" s="38" t="s">
        <v>2755</v>
      </c>
      <c r="D13289" s="18">
        <v>2022</v>
      </c>
      <c r="E13289" s="18" t="s">
        <v>0</v>
      </c>
      <c r="F13289" s="41">
        <v>1</v>
      </c>
      <c r="G13289" s="4">
        <v>15</v>
      </c>
      <c r="H13289" s="18">
        <v>26</v>
      </c>
      <c r="I13289" s="90"/>
      <c r="J13289" s="90"/>
    </row>
    <row r="13290" spans="1:10" s="15" customFormat="1" ht="16.5" hidden="1" customHeight="1" outlineLevel="1" x14ac:dyDescent="0.25">
      <c r="A13290" s="18">
        <v>373</v>
      </c>
      <c r="B13290" s="4" t="s">
        <v>44</v>
      </c>
      <c r="C13290" s="38" t="s">
        <v>2756</v>
      </c>
      <c r="D13290" s="18">
        <v>2022</v>
      </c>
      <c r="E13290" s="18" t="s">
        <v>0</v>
      </c>
      <c r="F13290" s="41">
        <v>1</v>
      </c>
      <c r="G13290" s="4">
        <v>15</v>
      </c>
      <c r="H13290" s="18">
        <v>24</v>
      </c>
      <c r="I13290" s="90"/>
      <c r="J13290" s="90"/>
    </row>
    <row r="13291" spans="1:10" s="15" customFormat="1" ht="16.5" hidden="1" customHeight="1" outlineLevel="1" x14ac:dyDescent="0.25">
      <c r="A13291" s="18">
        <v>364</v>
      </c>
      <c r="B13291" s="4" t="s">
        <v>44</v>
      </c>
      <c r="C13291" s="38" t="s">
        <v>2757</v>
      </c>
      <c r="D13291" s="18">
        <v>2022</v>
      </c>
      <c r="E13291" s="18" t="s">
        <v>0</v>
      </c>
      <c r="F13291" s="41">
        <v>1</v>
      </c>
      <c r="G13291" s="4">
        <v>15</v>
      </c>
      <c r="H13291" s="18">
        <v>27</v>
      </c>
      <c r="I13291" s="90"/>
      <c r="J13291" s="90"/>
    </row>
    <row r="13292" spans="1:10" s="15" customFormat="1" ht="16.5" hidden="1" customHeight="1" outlineLevel="1" x14ac:dyDescent="0.25">
      <c r="A13292" s="18">
        <v>367</v>
      </c>
      <c r="B13292" s="4" t="s">
        <v>44</v>
      </c>
      <c r="C13292" s="38" t="s">
        <v>2758</v>
      </c>
      <c r="D13292" s="18">
        <v>2022</v>
      </c>
      <c r="E13292" s="18" t="s">
        <v>0</v>
      </c>
      <c r="F13292" s="41">
        <v>1</v>
      </c>
      <c r="G13292" s="4">
        <v>15</v>
      </c>
      <c r="H13292" s="18">
        <v>26</v>
      </c>
      <c r="I13292" s="90"/>
      <c r="J13292" s="90"/>
    </row>
    <row r="13293" spans="1:10" s="15" customFormat="1" ht="16.5" hidden="1" customHeight="1" outlineLevel="1" x14ac:dyDescent="0.25">
      <c r="A13293" s="18">
        <v>368</v>
      </c>
      <c r="B13293" s="4" t="s">
        <v>44</v>
      </c>
      <c r="C13293" s="38" t="s">
        <v>2759</v>
      </c>
      <c r="D13293" s="18">
        <v>2022</v>
      </c>
      <c r="E13293" s="18" t="s">
        <v>0</v>
      </c>
      <c r="F13293" s="41">
        <v>1</v>
      </c>
      <c r="G13293" s="4">
        <v>15</v>
      </c>
      <c r="H13293" s="18">
        <v>26</v>
      </c>
      <c r="I13293" s="90"/>
      <c r="J13293" s="90"/>
    </row>
    <row r="13294" spans="1:10" s="15" customFormat="1" ht="16.5" hidden="1" customHeight="1" outlineLevel="1" x14ac:dyDescent="0.25">
      <c r="A13294" s="18">
        <v>372</v>
      </c>
      <c r="B13294" s="4" t="s">
        <v>44</v>
      </c>
      <c r="C13294" s="38" t="s">
        <v>2760</v>
      </c>
      <c r="D13294" s="18">
        <v>2022</v>
      </c>
      <c r="E13294" s="18" t="s">
        <v>0</v>
      </c>
      <c r="F13294" s="41">
        <v>1</v>
      </c>
      <c r="G13294" s="4">
        <v>15</v>
      </c>
      <c r="H13294" s="18">
        <v>24</v>
      </c>
      <c r="I13294" s="90"/>
      <c r="J13294" s="90"/>
    </row>
    <row r="13295" spans="1:10" s="15" customFormat="1" ht="16.5" hidden="1" customHeight="1" outlineLevel="1" x14ac:dyDescent="0.25">
      <c r="A13295" s="18">
        <v>371</v>
      </c>
      <c r="B13295" s="4" t="s">
        <v>44</v>
      </c>
      <c r="C13295" s="38" t="s">
        <v>2761</v>
      </c>
      <c r="D13295" s="18">
        <v>2022</v>
      </c>
      <c r="E13295" s="18" t="s">
        <v>0</v>
      </c>
      <c r="F13295" s="41">
        <v>1</v>
      </c>
      <c r="G13295" s="4">
        <v>15</v>
      </c>
      <c r="H13295" s="18">
        <v>24</v>
      </c>
      <c r="I13295" s="90"/>
      <c r="J13295" s="90"/>
    </row>
    <row r="13296" spans="1:10" s="15" customFormat="1" ht="16.5" hidden="1" customHeight="1" outlineLevel="1" x14ac:dyDescent="0.25">
      <c r="A13296" s="18">
        <v>377</v>
      </c>
      <c r="B13296" s="4" t="s">
        <v>44</v>
      </c>
      <c r="C13296" s="38" t="s">
        <v>2762</v>
      </c>
      <c r="D13296" s="18">
        <v>2022</v>
      </c>
      <c r="E13296" s="18" t="s">
        <v>0</v>
      </c>
      <c r="F13296" s="41">
        <v>1</v>
      </c>
      <c r="G13296" s="4">
        <v>15</v>
      </c>
      <c r="H13296" s="18">
        <v>25</v>
      </c>
      <c r="I13296" s="90"/>
      <c r="J13296" s="90"/>
    </row>
    <row r="13297" spans="1:10" s="15" customFormat="1" ht="16.5" hidden="1" customHeight="1" outlineLevel="1" x14ac:dyDescent="0.25">
      <c r="A13297" s="18">
        <v>379</v>
      </c>
      <c r="B13297" s="4" t="s">
        <v>44</v>
      </c>
      <c r="C13297" s="38" t="s">
        <v>2763</v>
      </c>
      <c r="D13297" s="18">
        <v>2022</v>
      </c>
      <c r="E13297" s="18" t="s">
        <v>0</v>
      </c>
      <c r="F13297" s="41">
        <v>1</v>
      </c>
      <c r="G13297" s="4">
        <v>15</v>
      </c>
      <c r="H13297" s="18">
        <v>26</v>
      </c>
      <c r="I13297" s="90"/>
      <c r="J13297" s="90"/>
    </row>
    <row r="13298" spans="1:10" s="15" customFormat="1" ht="16.5" hidden="1" customHeight="1" outlineLevel="1" x14ac:dyDescent="0.25">
      <c r="A13298" s="18">
        <v>378</v>
      </c>
      <c r="B13298" s="4" t="s">
        <v>44</v>
      </c>
      <c r="C13298" s="38" t="s">
        <v>2764</v>
      </c>
      <c r="D13298" s="18">
        <v>2022</v>
      </c>
      <c r="E13298" s="18" t="s">
        <v>0</v>
      </c>
      <c r="F13298" s="41">
        <v>1</v>
      </c>
      <c r="G13298" s="4">
        <v>15</v>
      </c>
      <c r="H13298" s="18">
        <v>26</v>
      </c>
      <c r="I13298" s="90"/>
      <c r="J13298" s="90"/>
    </row>
    <row r="13299" spans="1:10" s="15" customFormat="1" ht="16.5" hidden="1" customHeight="1" outlineLevel="1" x14ac:dyDescent="0.25">
      <c r="A13299" s="18">
        <v>380</v>
      </c>
      <c r="B13299" s="4" t="s">
        <v>44</v>
      </c>
      <c r="C13299" s="38" t="s">
        <v>2765</v>
      </c>
      <c r="D13299" s="18">
        <v>2022</v>
      </c>
      <c r="E13299" s="18" t="s">
        <v>0</v>
      </c>
      <c r="F13299" s="41">
        <v>1</v>
      </c>
      <c r="G13299" s="4">
        <v>15</v>
      </c>
      <c r="H13299" s="18">
        <v>23</v>
      </c>
      <c r="I13299" s="90"/>
      <c r="J13299" s="90"/>
    </row>
    <row r="13300" spans="1:10" s="15" customFormat="1" ht="16.5" hidden="1" customHeight="1" outlineLevel="1" x14ac:dyDescent="0.25">
      <c r="A13300" s="18">
        <v>361</v>
      </c>
      <c r="B13300" s="4" t="s">
        <v>44</v>
      </c>
      <c r="C13300" s="38" t="s">
        <v>2766</v>
      </c>
      <c r="D13300" s="18">
        <v>2022</v>
      </c>
      <c r="E13300" s="18" t="s">
        <v>0</v>
      </c>
      <c r="F13300" s="41">
        <v>1</v>
      </c>
      <c r="G13300" s="4">
        <v>10</v>
      </c>
      <c r="H13300" s="18">
        <v>26</v>
      </c>
      <c r="I13300" s="90"/>
      <c r="J13300" s="90"/>
    </row>
    <row r="13301" spans="1:10" s="15" customFormat="1" ht="16.5" hidden="1" customHeight="1" outlineLevel="1" x14ac:dyDescent="0.25">
      <c r="A13301" s="18">
        <v>407</v>
      </c>
      <c r="B13301" s="4" t="s">
        <v>44</v>
      </c>
      <c r="C13301" s="38" t="s">
        <v>2767</v>
      </c>
      <c r="D13301" s="18">
        <v>2022</v>
      </c>
      <c r="E13301" s="18" t="s">
        <v>0</v>
      </c>
      <c r="F13301" s="41">
        <v>2</v>
      </c>
      <c r="G13301" s="4">
        <v>30</v>
      </c>
      <c r="H13301" s="18">
        <v>94</v>
      </c>
      <c r="I13301" s="90"/>
      <c r="J13301" s="90"/>
    </row>
    <row r="13302" spans="1:10" s="15" customFormat="1" ht="16.5" hidden="1" customHeight="1" outlineLevel="1" x14ac:dyDescent="0.25">
      <c r="A13302" s="18">
        <v>441</v>
      </c>
      <c r="B13302" s="4" t="s">
        <v>44</v>
      </c>
      <c r="C13302" s="38" t="s">
        <v>7755</v>
      </c>
      <c r="D13302" s="18">
        <v>2022</v>
      </c>
      <c r="E13302" s="18" t="s">
        <v>0</v>
      </c>
      <c r="F13302" s="41">
        <v>8</v>
      </c>
      <c r="G13302" s="4">
        <v>113.5</v>
      </c>
      <c r="H13302" s="18">
        <v>281</v>
      </c>
      <c r="I13302" s="90"/>
      <c r="J13302" s="90"/>
    </row>
    <row r="13303" spans="1:10" s="15" customFormat="1" ht="16.5" hidden="1" customHeight="1" outlineLevel="1" x14ac:dyDescent="0.25">
      <c r="A13303" s="18">
        <v>442</v>
      </c>
      <c r="B13303" s="4" t="s">
        <v>44</v>
      </c>
      <c r="C13303" s="38" t="s">
        <v>7756</v>
      </c>
      <c r="D13303" s="18">
        <v>2022</v>
      </c>
      <c r="E13303" s="18" t="s">
        <v>0</v>
      </c>
      <c r="F13303" s="41">
        <v>5</v>
      </c>
      <c r="G13303" s="4">
        <v>74</v>
      </c>
      <c r="H13303" s="18">
        <v>176</v>
      </c>
      <c r="I13303" s="90"/>
      <c r="J13303" s="90"/>
    </row>
    <row r="13304" spans="1:10" s="15" customFormat="1" ht="16.5" hidden="1" customHeight="1" outlineLevel="1" x14ac:dyDescent="0.25">
      <c r="A13304" s="18">
        <v>447</v>
      </c>
      <c r="B13304" s="4" t="s">
        <v>44</v>
      </c>
      <c r="C13304" s="38" t="s">
        <v>7757</v>
      </c>
      <c r="D13304" s="18">
        <v>2022</v>
      </c>
      <c r="E13304" s="18" t="s">
        <v>0</v>
      </c>
      <c r="F13304" s="41">
        <v>1</v>
      </c>
      <c r="G13304" s="4">
        <v>15</v>
      </c>
      <c r="H13304" s="18">
        <v>35</v>
      </c>
      <c r="I13304" s="90"/>
      <c r="J13304" s="90"/>
    </row>
    <row r="13305" spans="1:10" s="15" customFormat="1" ht="16.5" hidden="1" customHeight="1" outlineLevel="1" x14ac:dyDescent="0.25">
      <c r="A13305" s="18">
        <v>434</v>
      </c>
      <c r="B13305" s="4" t="s">
        <v>44</v>
      </c>
      <c r="C13305" s="38" t="s">
        <v>7758</v>
      </c>
      <c r="D13305" s="18">
        <v>2022</v>
      </c>
      <c r="E13305" s="18" t="s">
        <v>0</v>
      </c>
      <c r="F13305" s="41">
        <v>41</v>
      </c>
      <c r="G13305" s="4">
        <v>525</v>
      </c>
      <c r="H13305" s="18">
        <v>1445</v>
      </c>
      <c r="I13305" s="90"/>
      <c r="J13305" s="90"/>
    </row>
    <row r="13306" spans="1:10" s="15" customFormat="1" ht="16.5" hidden="1" customHeight="1" outlineLevel="1" x14ac:dyDescent="0.25">
      <c r="A13306" s="18">
        <v>406</v>
      </c>
      <c r="B13306" s="4" t="s">
        <v>44</v>
      </c>
      <c r="C13306" s="38" t="s">
        <v>2769</v>
      </c>
      <c r="D13306" s="18">
        <v>2022</v>
      </c>
      <c r="E13306" s="18" t="s">
        <v>0</v>
      </c>
      <c r="F13306" s="41">
        <v>1</v>
      </c>
      <c r="G13306" s="4">
        <v>15</v>
      </c>
      <c r="H13306" s="18">
        <v>29</v>
      </c>
      <c r="I13306" s="90"/>
      <c r="J13306" s="90"/>
    </row>
    <row r="13307" spans="1:10" s="15" customFormat="1" ht="16.5" hidden="1" customHeight="1" outlineLevel="1" x14ac:dyDescent="0.25">
      <c r="A13307" s="18">
        <v>404</v>
      </c>
      <c r="B13307" s="4" t="s">
        <v>44</v>
      </c>
      <c r="C13307" s="38" t="s">
        <v>2768</v>
      </c>
      <c r="D13307" s="18">
        <v>2022</v>
      </c>
      <c r="E13307" s="18" t="s">
        <v>0</v>
      </c>
      <c r="F13307" s="41">
        <v>1</v>
      </c>
      <c r="G13307" s="4">
        <v>15</v>
      </c>
      <c r="H13307" s="18">
        <v>29</v>
      </c>
      <c r="I13307" s="90"/>
      <c r="J13307" s="90"/>
    </row>
    <row r="13308" spans="1:10" s="15" customFormat="1" ht="16.5" hidden="1" customHeight="1" outlineLevel="1" x14ac:dyDescent="0.25">
      <c r="A13308" s="18">
        <v>433</v>
      </c>
      <c r="B13308" s="4" t="s">
        <v>44</v>
      </c>
      <c r="C13308" s="38" t="s">
        <v>2770</v>
      </c>
      <c r="D13308" s="18">
        <v>2022</v>
      </c>
      <c r="E13308" s="18" t="s">
        <v>0</v>
      </c>
      <c r="F13308" s="41">
        <v>1</v>
      </c>
      <c r="G13308" s="4">
        <v>15</v>
      </c>
      <c r="H13308" s="18">
        <v>46</v>
      </c>
      <c r="I13308" s="90"/>
      <c r="J13308" s="90"/>
    </row>
    <row r="13309" spans="1:10" s="15" customFormat="1" ht="16.5" hidden="1" customHeight="1" outlineLevel="1" x14ac:dyDescent="0.25">
      <c r="A13309" s="18">
        <v>443</v>
      </c>
      <c r="B13309" s="4" t="s">
        <v>44</v>
      </c>
      <c r="C13309" s="38" t="s">
        <v>7759</v>
      </c>
      <c r="D13309" s="18">
        <v>2022</v>
      </c>
      <c r="E13309" s="18" t="s">
        <v>0</v>
      </c>
      <c r="F13309" s="41">
        <v>1</v>
      </c>
      <c r="G13309" s="4">
        <v>15</v>
      </c>
      <c r="H13309" s="18">
        <v>35</v>
      </c>
      <c r="I13309" s="90"/>
      <c r="J13309" s="90"/>
    </row>
    <row r="13310" spans="1:10" s="15" customFormat="1" ht="16.5" hidden="1" customHeight="1" outlineLevel="1" x14ac:dyDescent="0.25">
      <c r="A13310" s="18">
        <v>444</v>
      </c>
      <c r="B13310" s="4" t="s">
        <v>44</v>
      </c>
      <c r="C13310" s="38" t="s">
        <v>7760</v>
      </c>
      <c r="D13310" s="18">
        <v>2022</v>
      </c>
      <c r="E13310" s="18" t="s">
        <v>0</v>
      </c>
      <c r="F13310" s="41">
        <v>1</v>
      </c>
      <c r="G13310" s="4">
        <v>15</v>
      </c>
      <c r="H13310" s="18">
        <v>35</v>
      </c>
      <c r="I13310" s="90"/>
      <c r="J13310" s="90"/>
    </row>
    <row r="13311" spans="1:10" s="15" customFormat="1" ht="16.5" hidden="1" customHeight="1" outlineLevel="1" x14ac:dyDescent="0.25">
      <c r="A13311" s="18">
        <v>437</v>
      </c>
      <c r="B13311" s="4" t="s">
        <v>44</v>
      </c>
      <c r="C13311" s="38" t="s">
        <v>7761</v>
      </c>
      <c r="D13311" s="18">
        <v>2022</v>
      </c>
      <c r="E13311" s="18" t="s">
        <v>0</v>
      </c>
      <c r="F13311" s="41">
        <v>1</v>
      </c>
      <c r="G13311" s="4">
        <v>10</v>
      </c>
      <c r="H13311" s="18">
        <v>36</v>
      </c>
      <c r="I13311" s="90"/>
      <c r="J13311" s="90"/>
    </row>
    <row r="13312" spans="1:10" s="15" customFormat="1" ht="16.5" hidden="1" customHeight="1" outlineLevel="1" x14ac:dyDescent="0.25">
      <c r="A13312" s="18">
        <v>403</v>
      </c>
      <c r="B13312" s="4" t="s">
        <v>44</v>
      </c>
      <c r="C13312" s="38" t="s">
        <v>2771</v>
      </c>
      <c r="D13312" s="18">
        <v>2022</v>
      </c>
      <c r="E13312" s="18" t="s">
        <v>0</v>
      </c>
      <c r="F13312" s="41">
        <v>1</v>
      </c>
      <c r="G13312" s="4">
        <v>5</v>
      </c>
      <c r="H13312" s="18">
        <v>48</v>
      </c>
      <c r="I13312" s="90"/>
      <c r="J13312" s="90"/>
    </row>
    <row r="13313" spans="1:10" s="15" customFormat="1" ht="16.5" hidden="1" customHeight="1" outlineLevel="1" x14ac:dyDescent="0.25">
      <c r="A13313" s="18">
        <v>446</v>
      </c>
      <c r="B13313" s="4" t="s">
        <v>44</v>
      </c>
      <c r="C13313" s="38" t="s">
        <v>7762</v>
      </c>
      <c r="D13313" s="18">
        <v>2022</v>
      </c>
      <c r="E13313" s="18" t="s">
        <v>0</v>
      </c>
      <c r="F13313" s="41">
        <v>1</v>
      </c>
      <c r="G13313" s="4">
        <v>10</v>
      </c>
      <c r="H13313" s="18">
        <v>35</v>
      </c>
      <c r="I13313" s="90"/>
      <c r="J13313" s="90"/>
    </row>
    <row r="13314" spans="1:10" s="15" customFormat="1" ht="16.5" hidden="1" customHeight="1" outlineLevel="1" x14ac:dyDescent="0.25">
      <c r="A13314" s="18">
        <v>445</v>
      </c>
      <c r="B13314" s="4" t="s">
        <v>44</v>
      </c>
      <c r="C13314" s="38" t="s">
        <v>7763</v>
      </c>
      <c r="D13314" s="18">
        <v>2022</v>
      </c>
      <c r="E13314" s="18" t="s">
        <v>0</v>
      </c>
      <c r="F13314" s="41">
        <v>1</v>
      </c>
      <c r="G13314" s="4">
        <v>10</v>
      </c>
      <c r="H13314" s="18">
        <v>35</v>
      </c>
      <c r="I13314" s="90"/>
      <c r="J13314" s="90"/>
    </row>
    <row r="13315" spans="1:10" s="15" customFormat="1" ht="16.5" hidden="1" customHeight="1" outlineLevel="1" x14ac:dyDescent="0.25">
      <c r="A13315" s="18">
        <v>396</v>
      </c>
      <c r="B13315" s="4" t="s">
        <v>44</v>
      </c>
      <c r="C13315" s="38" t="s">
        <v>2710</v>
      </c>
      <c r="D13315" s="18">
        <v>2022</v>
      </c>
      <c r="E13315" s="18" t="s">
        <v>0</v>
      </c>
      <c r="F13315" s="41">
        <v>2</v>
      </c>
      <c r="G13315" s="4">
        <v>21</v>
      </c>
      <c r="H13315" s="18">
        <v>73</v>
      </c>
      <c r="I13315" s="90"/>
      <c r="J13315" s="90"/>
    </row>
    <row r="13316" spans="1:10" s="15" customFormat="1" ht="16.5" hidden="1" customHeight="1" outlineLevel="1" x14ac:dyDescent="0.25">
      <c r="A13316" s="18">
        <v>351</v>
      </c>
      <c r="B13316" s="4" t="s">
        <v>44</v>
      </c>
      <c r="C13316" s="38" t="s">
        <v>2712</v>
      </c>
      <c r="D13316" s="18">
        <v>2022</v>
      </c>
      <c r="E13316" s="18" t="s">
        <v>0</v>
      </c>
      <c r="F13316" s="41">
        <v>6</v>
      </c>
      <c r="G13316" s="4">
        <v>40</v>
      </c>
      <c r="H13316" s="18">
        <v>326</v>
      </c>
      <c r="I13316" s="90"/>
      <c r="J13316" s="90"/>
    </row>
    <row r="13317" spans="1:10" s="15" customFormat="1" ht="16.5" hidden="1" customHeight="1" outlineLevel="1" x14ac:dyDescent="0.25">
      <c r="A13317" s="18">
        <v>392</v>
      </c>
      <c r="B13317" s="4" t="s">
        <v>44</v>
      </c>
      <c r="C13317" s="38" t="s">
        <v>7764</v>
      </c>
      <c r="D13317" s="18">
        <v>2022</v>
      </c>
      <c r="E13317" s="18" t="s">
        <v>0</v>
      </c>
      <c r="F13317" s="41">
        <v>4</v>
      </c>
      <c r="G13317" s="4">
        <v>60</v>
      </c>
      <c r="H13317" s="18">
        <v>79</v>
      </c>
      <c r="I13317" s="90"/>
      <c r="J13317" s="90"/>
    </row>
    <row r="13318" spans="1:10" s="15" customFormat="1" ht="16.5" hidden="1" customHeight="1" outlineLevel="1" x14ac:dyDescent="0.25">
      <c r="A13318" s="18">
        <v>5399</v>
      </c>
      <c r="B13318" s="4" t="s">
        <v>44</v>
      </c>
      <c r="C13318" s="38" t="s">
        <v>7765</v>
      </c>
      <c r="D13318" s="18">
        <v>2022</v>
      </c>
      <c r="E13318" s="18" t="s">
        <v>0</v>
      </c>
      <c r="F13318" s="41">
        <v>1</v>
      </c>
      <c r="G13318" s="4">
        <v>13</v>
      </c>
      <c r="H13318" s="18">
        <v>27.149100000000001</v>
      </c>
      <c r="I13318" s="90"/>
      <c r="J13318" s="90"/>
    </row>
    <row r="13319" spans="1:10" s="15" customFormat="1" ht="16.5" hidden="1" customHeight="1" outlineLevel="1" x14ac:dyDescent="0.25">
      <c r="A13319" s="18">
        <v>5129</v>
      </c>
      <c r="B13319" s="4" t="s">
        <v>44</v>
      </c>
      <c r="C13319" s="38" t="s">
        <v>7766</v>
      </c>
      <c r="D13319" s="18">
        <v>2022</v>
      </c>
      <c r="E13319" s="18" t="s">
        <v>0</v>
      </c>
      <c r="F13319" s="41">
        <v>1</v>
      </c>
      <c r="G13319" s="4">
        <v>10</v>
      </c>
      <c r="H13319" s="18">
        <v>34.828560000000003</v>
      </c>
      <c r="I13319" s="90"/>
      <c r="J13319" s="90"/>
    </row>
    <row r="13320" spans="1:10" s="15" customFormat="1" ht="16.5" hidden="1" customHeight="1" outlineLevel="1" x14ac:dyDescent="0.25">
      <c r="A13320" s="18">
        <v>5127</v>
      </c>
      <c r="B13320" s="4" t="s">
        <v>44</v>
      </c>
      <c r="C13320" s="38" t="s">
        <v>7767</v>
      </c>
      <c r="D13320" s="18">
        <v>2022</v>
      </c>
      <c r="E13320" s="18" t="s">
        <v>0</v>
      </c>
      <c r="F13320" s="41">
        <v>1</v>
      </c>
      <c r="G13320" s="4">
        <v>13</v>
      </c>
      <c r="H13320" s="18">
        <v>49.773400000000002</v>
      </c>
      <c r="I13320" s="90"/>
      <c r="J13320" s="90"/>
    </row>
    <row r="13321" spans="1:10" s="15" customFormat="1" ht="16.5" hidden="1" customHeight="1" outlineLevel="1" x14ac:dyDescent="0.25">
      <c r="A13321" s="18">
        <v>5119</v>
      </c>
      <c r="B13321" s="4" t="s">
        <v>44</v>
      </c>
      <c r="C13321" s="38" t="s">
        <v>7768</v>
      </c>
      <c r="D13321" s="18">
        <v>2022</v>
      </c>
      <c r="E13321" s="18" t="s">
        <v>0</v>
      </c>
      <c r="F13321" s="41">
        <v>1</v>
      </c>
      <c r="G13321" s="4">
        <v>15</v>
      </c>
      <c r="H13321" s="18">
        <v>10.209059999999999</v>
      </c>
      <c r="I13321" s="90"/>
      <c r="J13321" s="90"/>
    </row>
    <row r="13322" spans="1:10" s="15" customFormat="1" ht="16.5" hidden="1" customHeight="1" outlineLevel="1" x14ac:dyDescent="0.25">
      <c r="A13322" s="18">
        <v>5118</v>
      </c>
      <c r="B13322" s="4" t="s">
        <v>44</v>
      </c>
      <c r="C13322" s="38" t="s">
        <v>7769</v>
      </c>
      <c r="D13322" s="18">
        <v>2022</v>
      </c>
      <c r="E13322" s="18" t="s">
        <v>0</v>
      </c>
      <c r="F13322" s="41">
        <v>1</v>
      </c>
      <c r="G13322" s="4">
        <v>15</v>
      </c>
      <c r="H13322" s="18">
        <v>36.338970000000003</v>
      </c>
      <c r="I13322" s="90"/>
      <c r="J13322" s="90"/>
    </row>
    <row r="13323" spans="1:10" s="15" customFormat="1" ht="16.5" hidden="1" customHeight="1" outlineLevel="1" x14ac:dyDescent="0.25">
      <c r="A13323" s="18">
        <v>5117</v>
      </c>
      <c r="B13323" s="4" t="s">
        <v>44</v>
      </c>
      <c r="C13323" s="38" t="s">
        <v>7770</v>
      </c>
      <c r="D13323" s="18">
        <v>2022</v>
      </c>
      <c r="E13323" s="18" t="s">
        <v>0</v>
      </c>
      <c r="F13323" s="41">
        <v>1</v>
      </c>
      <c r="G13323" s="4">
        <v>15</v>
      </c>
      <c r="H13323" s="18">
        <v>40.469819999999999</v>
      </c>
      <c r="I13323" s="90"/>
      <c r="J13323" s="90"/>
    </row>
    <row r="13324" spans="1:10" s="15" customFormat="1" ht="16.5" hidden="1" customHeight="1" outlineLevel="1" x14ac:dyDescent="0.25">
      <c r="A13324" s="18">
        <v>5116</v>
      </c>
      <c r="B13324" s="4" t="s">
        <v>44</v>
      </c>
      <c r="C13324" s="38" t="s">
        <v>7771</v>
      </c>
      <c r="D13324" s="18">
        <v>2022</v>
      </c>
      <c r="E13324" s="18" t="s">
        <v>0</v>
      </c>
      <c r="F13324" s="41">
        <v>1</v>
      </c>
      <c r="G13324" s="4">
        <v>15</v>
      </c>
      <c r="H13324" s="18">
        <v>40.37294</v>
      </c>
      <c r="I13324" s="90"/>
      <c r="J13324" s="90"/>
    </row>
    <row r="13325" spans="1:10" s="15" customFormat="1" ht="16.5" hidden="1" customHeight="1" outlineLevel="1" x14ac:dyDescent="0.25">
      <c r="A13325" s="18">
        <v>5115</v>
      </c>
      <c r="B13325" s="4" t="s">
        <v>44</v>
      </c>
      <c r="C13325" s="38" t="s">
        <v>7772</v>
      </c>
      <c r="D13325" s="18">
        <v>2022</v>
      </c>
      <c r="E13325" s="18" t="s">
        <v>0</v>
      </c>
      <c r="F13325" s="41">
        <v>1</v>
      </c>
      <c r="G13325" s="4">
        <v>7.5</v>
      </c>
      <c r="H13325" s="18">
        <v>58.808709999999998</v>
      </c>
      <c r="I13325" s="90"/>
      <c r="J13325" s="90"/>
    </row>
    <row r="13326" spans="1:10" s="15" customFormat="1" ht="16.5" hidden="1" customHeight="1" outlineLevel="1" x14ac:dyDescent="0.25">
      <c r="A13326" s="18">
        <v>5114</v>
      </c>
      <c r="B13326" s="4" t="s">
        <v>44</v>
      </c>
      <c r="C13326" s="38" t="s">
        <v>7773</v>
      </c>
      <c r="D13326" s="18">
        <v>2022</v>
      </c>
      <c r="E13326" s="18" t="s">
        <v>0</v>
      </c>
      <c r="F13326" s="41">
        <v>1</v>
      </c>
      <c r="G13326" s="4">
        <v>15</v>
      </c>
      <c r="H13326" s="18">
        <v>58.808709999999998</v>
      </c>
      <c r="I13326" s="90"/>
      <c r="J13326" s="90"/>
    </row>
    <row r="13327" spans="1:10" s="15" customFormat="1" ht="16.5" hidden="1" customHeight="1" outlineLevel="1" x14ac:dyDescent="0.25">
      <c r="A13327" s="18">
        <v>5113</v>
      </c>
      <c r="B13327" s="4" t="s">
        <v>44</v>
      </c>
      <c r="C13327" s="38" t="s">
        <v>7774</v>
      </c>
      <c r="D13327" s="18">
        <v>2022</v>
      </c>
      <c r="E13327" s="18" t="s">
        <v>0</v>
      </c>
      <c r="F13327" s="41">
        <v>1</v>
      </c>
      <c r="G13327" s="4">
        <v>10</v>
      </c>
      <c r="H13327" s="18">
        <v>35.240090000000002</v>
      </c>
      <c r="I13327" s="90"/>
      <c r="J13327" s="90"/>
    </row>
    <row r="13328" spans="1:10" s="15" customFormat="1" ht="16.5" hidden="1" customHeight="1" outlineLevel="1" x14ac:dyDescent="0.25">
      <c r="A13328" s="18">
        <v>5110</v>
      </c>
      <c r="B13328" s="4" t="s">
        <v>44</v>
      </c>
      <c r="C13328" s="38" t="s">
        <v>7775</v>
      </c>
      <c r="D13328" s="18">
        <v>2022</v>
      </c>
      <c r="E13328" s="18" t="s">
        <v>0</v>
      </c>
      <c r="F13328" s="41">
        <v>1</v>
      </c>
      <c r="G13328" s="4">
        <v>15</v>
      </c>
      <c r="H13328" s="18">
        <v>37.51079</v>
      </c>
      <c r="I13328" s="90"/>
      <c r="J13328" s="90"/>
    </row>
    <row r="13329" spans="1:10" s="15" customFormat="1" ht="16.5" hidden="1" customHeight="1" outlineLevel="1" x14ac:dyDescent="0.25">
      <c r="A13329" s="18">
        <v>5109</v>
      </c>
      <c r="B13329" s="4" t="s">
        <v>44</v>
      </c>
      <c r="C13329" s="38" t="s">
        <v>7776</v>
      </c>
      <c r="D13329" s="18">
        <v>2022</v>
      </c>
      <c r="E13329" s="18" t="s">
        <v>0</v>
      </c>
      <c r="F13329" s="41">
        <v>1</v>
      </c>
      <c r="G13329" s="4">
        <v>45</v>
      </c>
      <c r="H13329" s="18">
        <v>39.152639999999998</v>
      </c>
      <c r="I13329" s="90"/>
      <c r="J13329" s="90"/>
    </row>
    <row r="13330" spans="1:10" s="15" customFormat="1" ht="16.5" hidden="1" customHeight="1" outlineLevel="1" x14ac:dyDescent="0.25">
      <c r="A13330" s="18">
        <v>5299</v>
      </c>
      <c r="B13330" s="4" t="s">
        <v>44</v>
      </c>
      <c r="C13330" s="38" t="s">
        <v>7777</v>
      </c>
      <c r="D13330" s="18">
        <v>2022</v>
      </c>
      <c r="E13330" s="18" t="s">
        <v>0</v>
      </c>
      <c r="F13330" s="41">
        <v>1</v>
      </c>
      <c r="G13330" s="4">
        <v>8</v>
      </c>
      <c r="H13330" s="18">
        <v>55.414200000000001</v>
      </c>
      <c r="I13330" s="90"/>
      <c r="J13330" s="90"/>
    </row>
    <row r="13331" spans="1:10" s="15" customFormat="1" ht="16.5" hidden="1" customHeight="1" outlineLevel="1" x14ac:dyDescent="0.25">
      <c r="A13331" s="18">
        <v>5298</v>
      </c>
      <c r="B13331" s="4" t="s">
        <v>44</v>
      </c>
      <c r="C13331" s="38" t="s">
        <v>7778</v>
      </c>
      <c r="D13331" s="18">
        <v>2022</v>
      </c>
      <c r="E13331" s="18" t="s">
        <v>0</v>
      </c>
      <c r="F13331" s="41">
        <v>1</v>
      </c>
      <c r="G13331" s="4">
        <v>8</v>
      </c>
      <c r="H13331" s="18">
        <v>50.901060000000001</v>
      </c>
      <c r="I13331" s="90"/>
      <c r="J13331" s="90"/>
    </row>
    <row r="13332" spans="1:10" s="15" customFormat="1" ht="16.5" hidden="1" customHeight="1" outlineLevel="1" x14ac:dyDescent="0.25">
      <c r="A13332" s="18">
        <v>5297</v>
      </c>
      <c r="B13332" s="4" t="s">
        <v>44</v>
      </c>
      <c r="C13332" s="38" t="s">
        <v>7779</v>
      </c>
      <c r="D13332" s="18">
        <v>2022</v>
      </c>
      <c r="E13332" s="18" t="s">
        <v>0</v>
      </c>
      <c r="F13332" s="41">
        <v>1</v>
      </c>
      <c r="G13332" s="4">
        <v>7</v>
      </c>
      <c r="H13332" s="18">
        <v>50.9011</v>
      </c>
      <c r="I13332" s="90"/>
      <c r="J13332" s="90"/>
    </row>
    <row r="13333" spans="1:10" s="15" customFormat="1" ht="16.5" hidden="1" customHeight="1" outlineLevel="1" x14ac:dyDescent="0.25">
      <c r="A13333" s="18">
        <v>5296</v>
      </c>
      <c r="B13333" s="4" t="s">
        <v>44</v>
      </c>
      <c r="C13333" s="38" t="s">
        <v>7780</v>
      </c>
      <c r="D13333" s="18">
        <v>2022</v>
      </c>
      <c r="E13333" s="18" t="s">
        <v>0</v>
      </c>
      <c r="F13333" s="41">
        <v>1</v>
      </c>
      <c r="G13333" s="4">
        <v>14</v>
      </c>
      <c r="H13333" s="18">
        <v>39.79027</v>
      </c>
      <c r="I13333" s="90"/>
      <c r="J13333" s="90"/>
    </row>
    <row r="13334" spans="1:10" s="15" customFormat="1" ht="16.5" hidden="1" customHeight="1" outlineLevel="1" x14ac:dyDescent="0.25">
      <c r="A13334" s="18">
        <v>5295</v>
      </c>
      <c r="B13334" s="4" t="s">
        <v>44</v>
      </c>
      <c r="C13334" s="38" t="s">
        <v>7781</v>
      </c>
      <c r="D13334" s="18">
        <v>2022</v>
      </c>
      <c r="E13334" s="18" t="s">
        <v>0</v>
      </c>
      <c r="F13334" s="41">
        <v>1</v>
      </c>
      <c r="G13334" s="4">
        <v>13</v>
      </c>
      <c r="H13334" s="18">
        <v>39.79027</v>
      </c>
      <c r="I13334" s="90"/>
      <c r="J13334" s="90"/>
    </row>
    <row r="13335" spans="1:10" s="15" customFormat="1" ht="16.5" hidden="1" customHeight="1" outlineLevel="1" x14ac:dyDescent="0.25">
      <c r="A13335" s="18">
        <v>5294</v>
      </c>
      <c r="B13335" s="4" t="s">
        <v>44</v>
      </c>
      <c r="C13335" s="38" t="s">
        <v>7782</v>
      </c>
      <c r="D13335" s="18">
        <v>2022</v>
      </c>
      <c r="E13335" s="18" t="s">
        <v>0</v>
      </c>
      <c r="F13335" s="41">
        <v>1</v>
      </c>
      <c r="G13335" s="4">
        <v>7</v>
      </c>
      <c r="H13335" s="18">
        <v>50.901049999999998</v>
      </c>
      <c r="I13335" s="90"/>
      <c r="J13335" s="90"/>
    </row>
    <row r="13336" spans="1:10" s="15" customFormat="1" ht="16.5" hidden="1" customHeight="1" outlineLevel="1" x14ac:dyDescent="0.25">
      <c r="A13336" s="18">
        <v>5293</v>
      </c>
      <c r="B13336" s="4" t="s">
        <v>44</v>
      </c>
      <c r="C13336" s="38" t="s">
        <v>7783</v>
      </c>
      <c r="D13336" s="18">
        <v>2022</v>
      </c>
      <c r="E13336" s="18" t="s">
        <v>0</v>
      </c>
      <c r="F13336" s="41">
        <v>1</v>
      </c>
      <c r="G13336" s="4">
        <v>14</v>
      </c>
      <c r="H13336" s="18">
        <v>35.20881</v>
      </c>
      <c r="I13336" s="90"/>
      <c r="J13336" s="90"/>
    </row>
    <row r="13337" spans="1:10" s="15" customFormat="1" ht="16.5" hidden="1" customHeight="1" outlineLevel="1" x14ac:dyDescent="0.25">
      <c r="A13337" s="18">
        <v>5292</v>
      </c>
      <c r="B13337" s="4" t="s">
        <v>44</v>
      </c>
      <c r="C13337" s="38" t="s">
        <v>7784</v>
      </c>
      <c r="D13337" s="18">
        <v>2022</v>
      </c>
      <c r="E13337" s="18" t="s">
        <v>0</v>
      </c>
      <c r="F13337" s="41">
        <v>1</v>
      </c>
      <c r="G13337" s="4">
        <v>13</v>
      </c>
      <c r="H13337" s="18">
        <v>35.26831</v>
      </c>
      <c r="I13337" s="90"/>
      <c r="J13337" s="90"/>
    </row>
    <row r="13338" spans="1:10" s="15" customFormat="1" ht="16.5" hidden="1" customHeight="1" outlineLevel="1" x14ac:dyDescent="0.25">
      <c r="A13338" s="18">
        <v>5291</v>
      </c>
      <c r="B13338" s="4" t="s">
        <v>44</v>
      </c>
      <c r="C13338" s="38" t="s">
        <v>7785</v>
      </c>
      <c r="D13338" s="18">
        <v>2022</v>
      </c>
      <c r="E13338" s="18" t="s">
        <v>0</v>
      </c>
      <c r="F13338" s="41">
        <v>1</v>
      </c>
      <c r="G13338" s="4">
        <v>13</v>
      </c>
      <c r="H13338" s="18">
        <v>36.460090000000001</v>
      </c>
      <c r="I13338" s="90"/>
      <c r="J13338" s="90"/>
    </row>
    <row r="13339" spans="1:10" s="15" customFormat="1" ht="16.5" hidden="1" customHeight="1" outlineLevel="1" x14ac:dyDescent="0.25">
      <c r="A13339" s="18">
        <v>5290</v>
      </c>
      <c r="B13339" s="4" t="s">
        <v>44</v>
      </c>
      <c r="C13339" s="38" t="s">
        <v>7786</v>
      </c>
      <c r="D13339" s="18">
        <v>2022</v>
      </c>
      <c r="E13339" s="18" t="s">
        <v>0</v>
      </c>
      <c r="F13339" s="41">
        <v>1</v>
      </c>
      <c r="G13339" s="4">
        <v>13</v>
      </c>
      <c r="H13339" s="18">
        <v>37.832259999999998</v>
      </c>
      <c r="I13339" s="90"/>
      <c r="J13339" s="90"/>
    </row>
    <row r="13340" spans="1:10" s="15" customFormat="1" ht="16.5" hidden="1" customHeight="1" outlineLevel="1" x14ac:dyDescent="0.25">
      <c r="A13340" s="18">
        <v>5289</v>
      </c>
      <c r="B13340" s="4" t="s">
        <v>44</v>
      </c>
      <c r="C13340" s="38" t="s">
        <v>7787</v>
      </c>
      <c r="D13340" s="18">
        <v>2022</v>
      </c>
      <c r="E13340" s="18" t="s">
        <v>0</v>
      </c>
      <c r="F13340" s="41">
        <v>1</v>
      </c>
      <c r="G13340" s="4">
        <v>15</v>
      </c>
      <c r="H13340" s="18">
        <v>35.08952</v>
      </c>
      <c r="I13340" s="90"/>
      <c r="J13340" s="90"/>
    </row>
    <row r="13341" spans="1:10" s="15" customFormat="1" ht="16.5" hidden="1" customHeight="1" outlineLevel="1" x14ac:dyDescent="0.25">
      <c r="A13341" s="18">
        <v>5288</v>
      </c>
      <c r="B13341" s="4" t="s">
        <v>44</v>
      </c>
      <c r="C13341" s="38" t="s">
        <v>7788</v>
      </c>
      <c r="D13341" s="18">
        <v>2022</v>
      </c>
      <c r="E13341" s="18" t="s">
        <v>0</v>
      </c>
      <c r="F13341" s="41">
        <v>1</v>
      </c>
      <c r="G13341" s="4">
        <v>9</v>
      </c>
      <c r="H13341" s="18">
        <v>50.277749999999997</v>
      </c>
      <c r="I13341" s="90"/>
      <c r="J13341" s="90"/>
    </row>
    <row r="13342" spans="1:10" s="15" customFormat="1" ht="16.5" hidden="1" customHeight="1" outlineLevel="1" x14ac:dyDescent="0.25">
      <c r="A13342" s="18">
        <v>5287</v>
      </c>
      <c r="B13342" s="4" t="s">
        <v>44</v>
      </c>
      <c r="C13342" s="38" t="s">
        <v>7789</v>
      </c>
      <c r="D13342" s="18">
        <v>2022</v>
      </c>
      <c r="E13342" s="18" t="s">
        <v>0</v>
      </c>
      <c r="F13342" s="41">
        <v>1</v>
      </c>
      <c r="G13342" s="4">
        <v>12</v>
      </c>
      <c r="H13342" s="18">
        <v>34.991210000000002</v>
      </c>
      <c r="I13342" s="90"/>
      <c r="J13342" s="90"/>
    </row>
    <row r="13343" spans="1:10" s="15" customFormat="1" ht="16.5" hidden="1" customHeight="1" outlineLevel="1" x14ac:dyDescent="0.25">
      <c r="A13343" s="18">
        <v>5286</v>
      </c>
      <c r="B13343" s="4" t="s">
        <v>44</v>
      </c>
      <c r="C13343" s="38" t="s">
        <v>7790</v>
      </c>
      <c r="D13343" s="18">
        <v>2022</v>
      </c>
      <c r="E13343" s="18" t="s">
        <v>0</v>
      </c>
      <c r="F13343" s="41">
        <v>1</v>
      </c>
      <c r="G13343" s="4">
        <v>10</v>
      </c>
      <c r="H13343" s="18">
        <v>37.20664</v>
      </c>
      <c r="I13343" s="90"/>
      <c r="J13343" s="90"/>
    </row>
    <row r="13344" spans="1:10" s="15" customFormat="1" ht="16.5" hidden="1" customHeight="1" outlineLevel="1" x14ac:dyDescent="0.25">
      <c r="A13344" s="18">
        <v>5285</v>
      </c>
      <c r="B13344" s="4" t="s">
        <v>44</v>
      </c>
      <c r="C13344" s="38" t="s">
        <v>7791</v>
      </c>
      <c r="D13344" s="18">
        <v>2022</v>
      </c>
      <c r="E13344" s="18" t="s">
        <v>0</v>
      </c>
      <c r="F13344" s="41">
        <v>1</v>
      </c>
      <c r="G13344" s="4">
        <v>10</v>
      </c>
      <c r="H13344" s="18">
        <v>38.583240000000004</v>
      </c>
      <c r="I13344" s="90"/>
      <c r="J13344" s="90"/>
    </row>
    <row r="13345" spans="1:10" s="15" customFormat="1" ht="16.5" hidden="1" customHeight="1" outlineLevel="1" x14ac:dyDescent="0.25">
      <c r="A13345" s="18">
        <v>5281</v>
      </c>
      <c r="B13345" s="4" t="s">
        <v>44</v>
      </c>
      <c r="C13345" s="38" t="s">
        <v>7792</v>
      </c>
      <c r="D13345" s="18">
        <v>2022</v>
      </c>
      <c r="E13345" s="18" t="s">
        <v>0</v>
      </c>
      <c r="F13345" s="41">
        <v>1</v>
      </c>
      <c r="G13345" s="4">
        <v>8</v>
      </c>
      <c r="H13345" s="18">
        <v>37.902430000000003</v>
      </c>
      <c r="I13345" s="90"/>
      <c r="J13345" s="90"/>
    </row>
    <row r="13346" spans="1:10" s="15" customFormat="1" ht="16.5" hidden="1" customHeight="1" outlineLevel="1" x14ac:dyDescent="0.25">
      <c r="A13346" s="18">
        <v>5280</v>
      </c>
      <c r="B13346" s="4" t="s">
        <v>44</v>
      </c>
      <c r="C13346" s="38" t="s">
        <v>7793</v>
      </c>
      <c r="D13346" s="18">
        <v>2022</v>
      </c>
      <c r="E13346" s="18" t="s">
        <v>0</v>
      </c>
      <c r="F13346" s="41">
        <v>1</v>
      </c>
      <c r="G13346" s="4">
        <v>7.4</v>
      </c>
      <c r="H13346" s="18">
        <v>37.904389999999999</v>
      </c>
      <c r="I13346" s="90"/>
      <c r="J13346" s="90"/>
    </row>
    <row r="13347" spans="1:10" s="15" customFormat="1" ht="16.5" hidden="1" customHeight="1" outlineLevel="1" x14ac:dyDescent="0.25">
      <c r="A13347" s="18">
        <v>5279</v>
      </c>
      <c r="B13347" s="4" t="s">
        <v>44</v>
      </c>
      <c r="C13347" s="38" t="s">
        <v>7794</v>
      </c>
      <c r="D13347" s="18">
        <v>2022</v>
      </c>
      <c r="E13347" s="18" t="s">
        <v>0</v>
      </c>
      <c r="F13347" s="41">
        <v>1</v>
      </c>
      <c r="G13347" s="4">
        <v>10</v>
      </c>
      <c r="H13347" s="18">
        <v>36.527740000000001</v>
      </c>
      <c r="I13347" s="90"/>
      <c r="J13347" s="90"/>
    </row>
    <row r="13348" spans="1:10" s="15" customFormat="1" ht="16.5" hidden="1" customHeight="1" outlineLevel="1" x14ac:dyDescent="0.25">
      <c r="A13348" s="18">
        <v>5276</v>
      </c>
      <c r="B13348" s="4" t="s">
        <v>44</v>
      </c>
      <c r="C13348" s="38" t="s">
        <v>7795</v>
      </c>
      <c r="D13348" s="18">
        <v>2022</v>
      </c>
      <c r="E13348" s="18" t="s">
        <v>0</v>
      </c>
      <c r="F13348" s="41">
        <v>1</v>
      </c>
      <c r="G13348" s="4">
        <v>14</v>
      </c>
      <c r="H13348" s="18">
        <v>35.20881</v>
      </c>
      <c r="I13348" s="90"/>
      <c r="J13348" s="90"/>
    </row>
    <row r="13349" spans="1:10" s="15" customFormat="1" ht="16.5" hidden="1" customHeight="1" outlineLevel="1" x14ac:dyDescent="0.25">
      <c r="A13349" s="18">
        <v>5275</v>
      </c>
      <c r="B13349" s="4" t="s">
        <v>44</v>
      </c>
      <c r="C13349" s="38" t="s">
        <v>7796</v>
      </c>
      <c r="D13349" s="18">
        <v>2022</v>
      </c>
      <c r="E13349" s="18" t="s">
        <v>0</v>
      </c>
      <c r="F13349" s="41">
        <v>1</v>
      </c>
      <c r="G13349" s="4">
        <v>14</v>
      </c>
      <c r="H13349" s="18">
        <v>35.765770000000003</v>
      </c>
      <c r="I13349" s="90"/>
      <c r="J13349" s="90"/>
    </row>
    <row r="13350" spans="1:10" s="15" customFormat="1" ht="16.5" hidden="1" customHeight="1" outlineLevel="1" x14ac:dyDescent="0.25">
      <c r="A13350" s="18">
        <v>5130</v>
      </c>
      <c r="B13350" s="4" t="s">
        <v>44</v>
      </c>
      <c r="C13350" s="38" t="s">
        <v>7797</v>
      </c>
      <c r="D13350" s="18">
        <v>2022</v>
      </c>
      <c r="E13350" s="18" t="s">
        <v>0</v>
      </c>
      <c r="F13350" s="41">
        <v>1</v>
      </c>
      <c r="G13350" s="4">
        <v>15</v>
      </c>
      <c r="H13350" s="18">
        <v>34.04945</v>
      </c>
      <c r="I13350" s="90"/>
      <c r="J13350" s="90"/>
    </row>
    <row r="13351" spans="1:10" s="15" customFormat="1" ht="16.5" hidden="1" customHeight="1" outlineLevel="1" x14ac:dyDescent="0.25">
      <c r="A13351" s="18">
        <v>5274</v>
      </c>
      <c r="B13351" s="4" t="s">
        <v>44</v>
      </c>
      <c r="C13351" s="38" t="s">
        <v>7798</v>
      </c>
      <c r="D13351" s="18">
        <v>2022</v>
      </c>
      <c r="E13351" s="18" t="s">
        <v>0</v>
      </c>
      <c r="F13351" s="41">
        <v>1</v>
      </c>
      <c r="G13351" s="4">
        <v>13</v>
      </c>
      <c r="H13351" s="18">
        <v>38.93439</v>
      </c>
      <c r="I13351" s="90"/>
      <c r="J13351" s="90"/>
    </row>
    <row r="13352" spans="1:10" s="15" customFormat="1" ht="16.5" hidden="1" customHeight="1" outlineLevel="1" x14ac:dyDescent="0.25">
      <c r="A13352" s="18">
        <v>5273</v>
      </c>
      <c r="B13352" s="4" t="s">
        <v>44</v>
      </c>
      <c r="C13352" s="38" t="s">
        <v>7799</v>
      </c>
      <c r="D13352" s="18">
        <v>2022</v>
      </c>
      <c r="E13352" s="18" t="s">
        <v>0</v>
      </c>
      <c r="F13352" s="41">
        <v>1</v>
      </c>
      <c r="G13352" s="4">
        <v>13</v>
      </c>
      <c r="H13352" s="18">
        <v>36.967300000000002</v>
      </c>
      <c r="I13352" s="90"/>
      <c r="J13352" s="90"/>
    </row>
    <row r="13353" spans="1:10" s="15" customFormat="1" ht="16.5" hidden="1" customHeight="1" outlineLevel="1" x14ac:dyDescent="0.25">
      <c r="A13353" s="18">
        <v>5272</v>
      </c>
      <c r="B13353" s="4" t="s">
        <v>44</v>
      </c>
      <c r="C13353" s="38" t="s">
        <v>7800</v>
      </c>
      <c r="D13353" s="18">
        <v>2022</v>
      </c>
      <c r="E13353" s="18" t="s">
        <v>0</v>
      </c>
      <c r="F13353" s="41">
        <v>1</v>
      </c>
      <c r="G13353" s="4">
        <v>14</v>
      </c>
      <c r="H13353" s="18">
        <v>41.054340000000003</v>
      </c>
      <c r="I13353" s="90"/>
      <c r="J13353" s="90"/>
    </row>
    <row r="13354" spans="1:10" s="15" customFormat="1" ht="16.5" hidden="1" customHeight="1" outlineLevel="1" x14ac:dyDescent="0.25">
      <c r="A13354" s="18">
        <v>5270</v>
      </c>
      <c r="B13354" s="4" t="s">
        <v>44</v>
      </c>
      <c r="C13354" s="38" t="s">
        <v>7801</v>
      </c>
      <c r="D13354" s="18">
        <v>2022</v>
      </c>
      <c r="E13354" s="18" t="s">
        <v>0</v>
      </c>
      <c r="F13354" s="41">
        <v>1</v>
      </c>
      <c r="G13354" s="4">
        <v>14</v>
      </c>
      <c r="H13354" s="18">
        <v>36.188969999999998</v>
      </c>
      <c r="I13354" s="90"/>
      <c r="J13354" s="90"/>
    </row>
    <row r="13355" spans="1:10" s="15" customFormat="1" ht="16.5" hidden="1" customHeight="1" outlineLevel="1" x14ac:dyDescent="0.25">
      <c r="A13355" s="18">
        <v>5269</v>
      </c>
      <c r="B13355" s="4" t="s">
        <v>44</v>
      </c>
      <c r="C13355" s="38" t="s">
        <v>7802</v>
      </c>
      <c r="D13355" s="18">
        <v>2022</v>
      </c>
      <c r="E13355" s="18" t="s">
        <v>0</v>
      </c>
      <c r="F13355" s="41">
        <v>1</v>
      </c>
      <c r="G13355" s="4">
        <v>12</v>
      </c>
      <c r="H13355" s="18">
        <v>36.672580000000004</v>
      </c>
      <c r="I13355" s="90"/>
      <c r="J13355" s="90"/>
    </row>
    <row r="13356" spans="1:10" s="15" customFormat="1" ht="16.5" hidden="1" customHeight="1" outlineLevel="1" x14ac:dyDescent="0.25">
      <c r="A13356" s="18">
        <v>5266</v>
      </c>
      <c r="B13356" s="4" t="s">
        <v>44</v>
      </c>
      <c r="C13356" s="38" t="s">
        <v>7803</v>
      </c>
      <c r="D13356" s="18">
        <v>2022</v>
      </c>
      <c r="E13356" s="18" t="s">
        <v>0</v>
      </c>
      <c r="F13356" s="41">
        <v>1</v>
      </c>
      <c r="G13356" s="4">
        <v>15</v>
      </c>
      <c r="H13356" s="18">
        <v>37.330069999999999</v>
      </c>
      <c r="I13356" s="90"/>
      <c r="J13356" s="90"/>
    </row>
    <row r="13357" spans="1:10" s="15" customFormat="1" ht="16.5" hidden="1" customHeight="1" outlineLevel="1" x14ac:dyDescent="0.25">
      <c r="A13357" s="18">
        <v>5265</v>
      </c>
      <c r="B13357" s="4" t="s">
        <v>44</v>
      </c>
      <c r="C13357" s="38" t="s">
        <v>7804</v>
      </c>
      <c r="D13357" s="18">
        <v>2022</v>
      </c>
      <c r="E13357" s="18" t="s">
        <v>0</v>
      </c>
      <c r="F13357" s="41">
        <v>1</v>
      </c>
      <c r="G13357" s="4">
        <v>15</v>
      </c>
      <c r="H13357" s="18">
        <v>41.426920000000003</v>
      </c>
      <c r="I13357" s="90"/>
      <c r="J13357" s="90"/>
    </row>
    <row r="13358" spans="1:10" s="15" customFormat="1" ht="16.5" hidden="1" customHeight="1" outlineLevel="1" x14ac:dyDescent="0.25">
      <c r="A13358" s="18">
        <v>5264</v>
      </c>
      <c r="B13358" s="4" t="s">
        <v>44</v>
      </c>
      <c r="C13358" s="38" t="s">
        <v>7805</v>
      </c>
      <c r="D13358" s="18">
        <v>2022</v>
      </c>
      <c r="E13358" s="18" t="s">
        <v>0</v>
      </c>
      <c r="F13358" s="41">
        <v>1</v>
      </c>
      <c r="G13358" s="4">
        <v>15</v>
      </c>
      <c r="H13358" s="18">
        <v>37.290109999999999</v>
      </c>
      <c r="I13358" s="90"/>
      <c r="J13358" s="90"/>
    </row>
    <row r="13359" spans="1:10" s="15" customFormat="1" ht="16.5" hidden="1" customHeight="1" outlineLevel="1" x14ac:dyDescent="0.25">
      <c r="A13359" s="18">
        <v>5263</v>
      </c>
      <c r="B13359" s="4" t="s">
        <v>44</v>
      </c>
      <c r="C13359" s="38" t="s">
        <v>7806</v>
      </c>
      <c r="D13359" s="18">
        <v>2022</v>
      </c>
      <c r="E13359" s="18" t="s">
        <v>0</v>
      </c>
      <c r="F13359" s="41">
        <v>1</v>
      </c>
      <c r="G13359" s="4">
        <v>15</v>
      </c>
      <c r="H13359" s="18">
        <v>43.480150000000002</v>
      </c>
      <c r="I13359" s="90"/>
      <c r="J13359" s="90"/>
    </row>
    <row r="13360" spans="1:10" s="15" customFormat="1" ht="16.5" hidden="1" customHeight="1" outlineLevel="1" x14ac:dyDescent="0.25">
      <c r="A13360" s="18">
        <v>5131</v>
      </c>
      <c r="B13360" s="4" t="s">
        <v>44</v>
      </c>
      <c r="C13360" s="38" t="s">
        <v>7807</v>
      </c>
      <c r="D13360" s="18">
        <v>2022</v>
      </c>
      <c r="E13360" s="18" t="s">
        <v>0</v>
      </c>
      <c r="F13360" s="41">
        <v>1</v>
      </c>
      <c r="G13360" s="4">
        <v>13</v>
      </c>
      <c r="H13360" s="18">
        <v>39.06221</v>
      </c>
      <c r="I13360" s="90"/>
      <c r="J13360" s="90"/>
    </row>
    <row r="13361" spans="1:10" s="15" customFormat="1" ht="16.5" hidden="1" customHeight="1" outlineLevel="1" x14ac:dyDescent="0.25">
      <c r="A13361" s="18">
        <v>5132</v>
      </c>
      <c r="B13361" s="4" t="s">
        <v>44</v>
      </c>
      <c r="C13361" s="38" t="s">
        <v>7808</v>
      </c>
      <c r="D13361" s="18">
        <v>2022</v>
      </c>
      <c r="E13361" s="18" t="s">
        <v>0</v>
      </c>
      <c r="F13361" s="41">
        <v>1</v>
      </c>
      <c r="G13361" s="4">
        <v>10</v>
      </c>
      <c r="H13361" s="18">
        <v>43.480150000000002</v>
      </c>
      <c r="I13361" s="90"/>
      <c r="J13361" s="90"/>
    </row>
    <row r="13362" spans="1:10" s="15" customFormat="1" ht="16.5" hidden="1" customHeight="1" outlineLevel="1" x14ac:dyDescent="0.25">
      <c r="A13362" s="18">
        <v>5262</v>
      </c>
      <c r="B13362" s="4" t="s">
        <v>44</v>
      </c>
      <c r="C13362" s="38" t="s">
        <v>7809</v>
      </c>
      <c r="D13362" s="18">
        <v>2022</v>
      </c>
      <c r="E13362" s="18" t="s">
        <v>0</v>
      </c>
      <c r="F13362" s="41">
        <v>1</v>
      </c>
      <c r="G13362" s="4">
        <v>13</v>
      </c>
      <c r="H13362" s="18">
        <v>39.360140000000001</v>
      </c>
      <c r="I13362" s="90"/>
      <c r="J13362" s="90"/>
    </row>
    <row r="13363" spans="1:10" s="15" customFormat="1" ht="16.5" hidden="1" customHeight="1" outlineLevel="1" x14ac:dyDescent="0.25">
      <c r="A13363" s="18">
        <v>5261</v>
      </c>
      <c r="B13363" s="4" t="s">
        <v>44</v>
      </c>
      <c r="C13363" s="38" t="s">
        <v>7810</v>
      </c>
      <c r="D13363" s="18">
        <v>2022</v>
      </c>
      <c r="E13363" s="18" t="s">
        <v>0</v>
      </c>
      <c r="F13363" s="41">
        <v>1</v>
      </c>
      <c r="G13363" s="4">
        <v>13</v>
      </c>
      <c r="H13363" s="18">
        <v>45.549309999999998</v>
      </c>
      <c r="I13363" s="90"/>
      <c r="J13363" s="90"/>
    </row>
    <row r="13364" spans="1:10" s="15" customFormat="1" ht="16.5" hidden="1" customHeight="1" outlineLevel="1" x14ac:dyDescent="0.25">
      <c r="A13364" s="18">
        <v>5334</v>
      </c>
      <c r="B13364" s="4" t="s">
        <v>44</v>
      </c>
      <c r="C13364" s="38" t="s">
        <v>7811</v>
      </c>
      <c r="D13364" s="18">
        <v>2022</v>
      </c>
      <c r="E13364" s="18" t="s">
        <v>0</v>
      </c>
      <c r="F13364" s="41">
        <v>1</v>
      </c>
      <c r="G13364" s="4">
        <v>5</v>
      </c>
      <c r="H13364" s="18">
        <v>38.398859999999999</v>
      </c>
      <c r="I13364" s="90"/>
      <c r="J13364" s="90"/>
    </row>
    <row r="13365" spans="1:10" s="15" customFormat="1" ht="16.5" hidden="1" customHeight="1" outlineLevel="1" x14ac:dyDescent="0.25">
      <c r="A13365" s="18">
        <v>5333</v>
      </c>
      <c r="B13365" s="4" t="s">
        <v>44</v>
      </c>
      <c r="C13365" s="38" t="s">
        <v>7812</v>
      </c>
      <c r="D13365" s="18">
        <v>2022</v>
      </c>
      <c r="E13365" s="18" t="s">
        <v>0</v>
      </c>
      <c r="F13365" s="41">
        <v>1</v>
      </c>
      <c r="G13365" s="4">
        <v>15</v>
      </c>
      <c r="H13365" s="18">
        <v>34.908250000000002</v>
      </c>
      <c r="I13365" s="90"/>
      <c r="J13365" s="90"/>
    </row>
    <row r="13366" spans="1:10" s="15" customFormat="1" ht="16.5" hidden="1" customHeight="1" outlineLevel="1" x14ac:dyDescent="0.25">
      <c r="A13366" s="18">
        <v>5332</v>
      </c>
      <c r="B13366" s="4" t="s">
        <v>44</v>
      </c>
      <c r="C13366" s="38" t="s">
        <v>7813</v>
      </c>
      <c r="D13366" s="18">
        <v>2022</v>
      </c>
      <c r="E13366" s="18" t="s">
        <v>0</v>
      </c>
      <c r="F13366" s="41">
        <v>1</v>
      </c>
      <c r="G13366" s="4">
        <v>5</v>
      </c>
      <c r="H13366" s="18">
        <v>36.982500000000002</v>
      </c>
      <c r="I13366" s="90"/>
      <c r="J13366" s="90"/>
    </row>
    <row r="13367" spans="1:10" s="15" customFormat="1" ht="16.5" hidden="1" customHeight="1" outlineLevel="1" x14ac:dyDescent="0.25">
      <c r="A13367" s="18">
        <v>5331</v>
      </c>
      <c r="B13367" s="4" t="s">
        <v>44</v>
      </c>
      <c r="C13367" s="38" t="s">
        <v>7814</v>
      </c>
      <c r="D13367" s="18">
        <v>2022</v>
      </c>
      <c r="E13367" s="18" t="s">
        <v>0</v>
      </c>
      <c r="F13367" s="41">
        <v>1</v>
      </c>
      <c r="G13367" s="4">
        <v>10</v>
      </c>
      <c r="H13367" s="18">
        <v>37.603499999999997</v>
      </c>
      <c r="I13367" s="90"/>
      <c r="J13367" s="90"/>
    </row>
    <row r="13368" spans="1:10" s="15" customFormat="1" ht="16.5" hidden="1" customHeight="1" outlineLevel="1" x14ac:dyDescent="0.25">
      <c r="A13368" s="18">
        <v>5140</v>
      </c>
      <c r="B13368" s="4" t="s">
        <v>44</v>
      </c>
      <c r="C13368" s="38" t="s">
        <v>7815</v>
      </c>
      <c r="D13368" s="18">
        <v>2022</v>
      </c>
      <c r="E13368" s="18" t="s">
        <v>0</v>
      </c>
      <c r="F13368" s="41">
        <v>1</v>
      </c>
      <c r="G13368" s="4">
        <v>10</v>
      </c>
      <c r="H13368" s="18">
        <v>35.885109999999997</v>
      </c>
      <c r="I13368" s="90"/>
      <c r="J13368" s="90"/>
    </row>
    <row r="13369" spans="1:10" s="15" customFormat="1" ht="16.5" hidden="1" customHeight="1" outlineLevel="1" x14ac:dyDescent="0.25">
      <c r="A13369" s="18">
        <v>5330</v>
      </c>
      <c r="B13369" s="4" t="s">
        <v>44</v>
      </c>
      <c r="C13369" s="38" t="s">
        <v>7816</v>
      </c>
      <c r="D13369" s="18">
        <v>2022</v>
      </c>
      <c r="E13369" s="18" t="s">
        <v>0</v>
      </c>
      <c r="F13369" s="41">
        <v>1</v>
      </c>
      <c r="G13369" s="4">
        <v>14.5</v>
      </c>
      <c r="H13369" s="18">
        <v>36.96725</v>
      </c>
      <c r="I13369" s="90"/>
      <c r="J13369" s="90"/>
    </row>
    <row r="13370" spans="1:10" s="15" customFormat="1" ht="16.5" hidden="1" customHeight="1" outlineLevel="1" x14ac:dyDescent="0.25">
      <c r="A13370" s="18">
        <v>5141</v>
      </c>
      <c r="B13370" s="4" t="s">
        <v>44</v>
      </c>
      <c r="C13370" s="38" t="s">
        <v>7817</v>
      </c>
      <c r="D13370" s="18">
        <v>2022</v>
      </c>
      <c r="E13370" s="18" t="s">
        <v>0</v>
      </c>
      <c r="F13370" s="41">
        <v>1</v>
      </c>
      <c r="G13370" s="4">
        <v>13</v>
      </c>
      <c r="H13370" s="18">
        <v>37.960479999999997</v>
      </c>
      <c r="I13370" s="90"/>
      <c r="J13370" s="90"/>
    </row>
    <row r="13371" spans="1:10" s="15" customFormat="1" ht="16.5" hidden="1" customHeight="1" outlineLevel="1" x14ac:dyDescent="0.25">
      <c r="A13371" s="18">
        <v>5329</v>
      </c>
      <c r="B13371" s="4" t="s">
        <v>44</v>
      </c>
      <c r="C13371" s="38" t="s">
        <v>7818</v>
      </c>
      <c r="D13371" s="18">
        <v>2022</v>
      </c>
      <c r="E13371" s="18" t="s">
        <v>0</v>
      </c>
      <c r="F13371" s="41">
        <v>1</v>
      </c>
      <c r="G13371" s="4">
        <v>14.8</v>
      </c>
      <c r="H13371" s="18">
        <v>19.365670000000001</v>
      </c>
      <c r="I13371" s="90"/>
      <c r="J13371" s="90"/>
    </row>
    <row r="13372" spans="1:10" s="15" customFormat="1" ht="16.5" hidden="1" customHeight="1" outlineLevel="1" x14ac:dyDescent="0.25">
      <c r="A13372" s="18">
        <v>5328</v>
      </c>
      <c r="B13372" s="4" t="s">
        <v>44</v>
      </c>
      <c r="C13372" s="38" t="s">
        <v>7819</v>
      </c>
      <c r="D13372" s="18">
        <v>2022</v>
      </c>
      <c r="E13372" s="18" t="s">
        <v>0</v>
      </c>
      <c r="F13372" s="41">
        <v>1</v>
      </c>
      <c r="G13372" s="4">
        <v>15</v>
      </c>
      <c r="H13372" s="18">
        <v>36.982520000000001</v>
      </c>
      <c r="I13372" s="90"/>
      <c r="J13372" s="90"/>
    </row>
    <row r="13373" spans="1:10" s="15" customFormat="1" ht="16.5" hidden="1" customHeight="1" outlineLevel="1" x14ac:dyDescent="0.25">
      <c r="A13373" s="18">
        <v>5304</v>
      </c>
      <c r="B13373" s="4" t="s">
        <v>44</v>
      </c>
      <c r="C13373" s="38" t="s">
        <v>7820</v>
      </c>
      <c r="D13373" s="18">
        <v>2022</v>
      </c>
      <c r="E13373" s="18" t="s">
        <v>0</v>
      </c>
      <c r="F13373" s="41">
        <v>1</v>
      </c>
      <c r="G13373" s="4">
        <v>15</v>
      </c>
      <c r="H13373" s="18">
        <v>35.47363</v>
      </c>
      <c r="I13373" s="90"/>
      <c r="J13373" s="90"/>
    </row>
    <row r="13374" spans="1:10" s="15" customFormat="1" ht="16.5" hidden="1" customHeight="1" outlineLevel="1" x14ac:dyDescent="0.25">
      <c r="A13374" s="18">
        <v>5303</v>
      </c>
      <c r="B13374" s="4" t="s">
        <v>44</v>
      </c>
      <c r="C13374" s="38" t="s">
        <v>7821</v>
      </c>
      <c r="D13374" s="18">
        <v>2022</v>
      </c>
      <c r="E13374" s="18" t="s">
        <v>0</v>
      </c>
      <c r="F13374" s="41">
        <v>1</v>
      </c>
      <c r="G13374" s="4">
        <v>10</v>
      </c>
      <c r="H13374" s="18">
        <v>23.36703</v>
      </c>
      <c r="I13374" s="90"/>
      <c r="J13374" s="90"/>
    </row>
    <row r="13375" spans="1:10" s="15" customFormat="1" ht="16.5" hidden="1" customHeight="1" outlineLevel="1" x14ac:dyDescent="0.25">
      <c r="A13375" s="18">
        <v>5064</v>
      </c>
      <c r="B13375" s="4" t="s">
        <v>44</v>
      </c>
      <c r="C13375" s="38" t="s">
        <v>7822</v>
      </c>
      <c r="D13375" s="18">
        <v>2022</v>
      </c>
      <c r="E13375" s="18" t="s">
        <v>0</v>
      </c>
      <c r="F13375" s="41">
        <v>1</v>
      </c>
      <c r="G13375" s="4">
        <v>15</v>
      </c>
      <c r="H13375" s="18">
        <v>28.15212</v>
      </c>
      <c r="I13375" s="90"/>
      <c r="J13375" s="90"/>
    </row>
    <row r="13376" spans="1:10" s="15" customFormat="1" ht="16.5" hidden="1" customHeight="1" outlineLevel="1" x14ac:dyDescent="0.25">
      <c r="A13376" s="18">
        <v>5063</v>
      </c>
      <c r="B13376" s="4" t="s">
        <v>44</v>
      </c>
      <c r="C13376" s="38" t="s">
        <v>7823</v>
      </c>
      <c r="D13376" s="18">
        <v>2022</v>
      </c>
      <c r="E13376" s="18" t="s">
        <v>0</v>
      </c>
      <c r="F13376" s="41">
        <v>1</v>
      </c>
      <c r="G13376" s="4">
        <v>15</v>
      </c>
      <c r="H13376" s="18">
        <v>28.152090000000001</v>
      </c>
      <c r="I13376" s="90"/>
      <c r="J13376" s="90"/>
    </row>
    <row r="13377" spans="1:10" s="15" customFormat="1" ht="16.5" hidden="1" customHeight="1" outlineLevel="1" x14ac:dyDescent="0.25">
      <c r="A13377" s="18">
        <v>5061</v>
      </c>
      <c r="B13377" s="4" t="s">
        <v>44</v>
      </c>
      <c r="C13377" s="38" t="s">
        <v>7824</v>
      </c>
      <c r="D13377" s="18">
        <v>2022</v>
      </c>
      <c r="E13377" s="18" t="s">
        <v>0</v>
      </c>
      <c r="F13377" s="41">
        <v>1</v>
      </c>
      <c r="G13377" s="4">
        <v>15</v>
      </c>
      <c r="H13377" s="18">
        <v>17.078499999999998</v>
      </c>
      <c r="I13377" s="90"/>
      <c r="J13377" s="90"/>
    </row>
    <row r="13378" spans="1:10" s="15" customFormat="1" ht="16.5" hidden="1" customHeight="1" outlineLevel="1" x14ac:dyDescent="0.25">
      <c r="A13378" s="18">
        <v>5060</v>
      </c>
      <c r="B13378" s="4" t="s">
        <v>44</v>
      </c>
      <c r="C13378" s="38" t="s">
        <v>7825</v>
      </c>
      <c r="D13378" s="18">
        <v>2022</v>
      </c>
      <c r="E13378" s="18" t="s">
        <v>0</v>
      </c>
      <c r="F13378" s="41">
        <v>1</v>
      </c>
      <c r="G13378" s="4">
        <v>7</v>
      </c>
      <c r="H13378" s="18">
        <v>24.507020000000001</v>
      </c>
      <c r="I13378" s="90"/>
      <c r="J13378" s="90"/>
    </row>
    <row r="13379" spans="1:10" s="15" customFormat="1" ht="16.5" hidden="1" customHeight="1" outlineLevel="1" x14ac:dyDescent="0.25">
      <c r="A13379" s="18">
        <v>5358</v>
      </c>
      <c r="B13379" s="4" t="s">
        <v>44</v>
      </c>
      <c r="C13379" s="38" t="s">
        <v>7826</v>
      </c>
      <c r="D13379" s="18">
        <v>2022</v>
      </c>
      <c r="E13379" s="18" t="s">
        <v>0</v>
      </c>
      <c r="F13379" s="41">
        <v>1</v>
      </c>
      <c r="G13379" s="4">
        <v>10</v>
      </c>
      <c r="H13379" s="18">
        <v>17.847989999999999</v>
      </c>
      <c r="I13379" s="90"/>
      <c r="J13379" s="90"/>
    </row>
    <row r="13380" spans="1:10" s="15" customFormat="1" ht="16.5" hidden="1" customHeight="1" outlineLevel="1" x14ac:dyDescent="0.25">
      <c r="A13380" s="18">
        <v>5357</v>
      </c>
      <c r="B13380" s="4" t="s">
        <v>44</v>
      </c>
      <c r="C13380" s="38" t="s">
        <v>7827</v>
      </c>
      <c r="D13380" s="18">
        <v>2022</v>
      </c>
      <c r="E13380" s="18" t="s">
        <v>0</v>
      </c>
      <c r="F13380" s="41">
        <v>1</v>
      </c>
      <c r="G13380" s="4">
        <v>10</v>
      </c>
      <c r="H13380" s="18">
        <v>18.078900000000001</v>
      </c>
      <c r="I13380" s="90"/>
      <c r="J13380" s="90"/>
    </row>
    <row r="13381" spans="1:10" s="15" customFormat="1" ht="16.5" hidden="1" customHeight="1" outlineLevel="1" x14ac:dyDescent="0.25">
      <c r="A13381" s="18">
        <v>5356</v>
      </c>
      <c r="B13381" s="4" t="s">
        <v>44</v>
      </c>
      <c r="C13381" s="38" t="s">
        <v>7828</v>
      </c>
      <c r="D13381" s="18">
        <v>2022</v>
      </c>
      <c r="E13381" s="18" t="s">
        <v>0</v>
      </c>
      <c r="F13381" s="41">
        <v>1</v>
      </c>
      <c r="G13381" s="4">
        <v>10</v>
      </c>
      <c r="H13381" s="18">
        <v>18.078880000000002</v>
      </c>
      <c r="I13381" s="90"/>
      <c r="J13381" s="90"/>
    </row>
    <row r="13382" spans="1:10" s="15" customFormat="1" ht="16.5" hidden="1" customHeight="1" outlineLevel="1" x14ac:dyDescent="0.25">
      <c r="A13382" s="18">
        <v>5359</v>
      </c>
      <c r="B13382" s="4" t="s">
        <v>44</v>
      </c>
      <c r="C13382" s="38" t="s">
        <v>7829</v>
      </c>
      <c r="D13382" s="18">
        <v>2022</v>
      </c>
      <c r="E13382" s="18" t="s">
        <v>0</v>
      </c>
      <c r="F13382" s="41">
        <v>1</v>
      </c>
      <c r="G13382" s="4">
        <v>4</v>
      </c>
      <c r="H13382" s="18">
        <v>17.846789999999999</v>
      </c>
      <c r="I13382" s="90"/>
      <c r="J13382" s="90"/>
    </row>
    <row r="13383" spans="1:10" s="15" customFormat="1" ht="16.5" hidden="1" customHeight="1" outlineLevel="1" x14ac:dyDescent="0.25">
      <c r="A13383" s="18">
        <v>5347</v>
      </c>
      <c r="B13383" s="4" t="s">
        <v>44</v>
      </c>
      <c r="C13383" s="38" t="s">
        <v>7830</v>
      </c>
      <c r="D13383" s="18">
        <v>2022</v>
      </c>
      <c r="E13383" s="18" t="s">
        <v>0</v>
      </c>
      <c r="F13383" s="41">
        <v>1</v>
      </c>
      <c r="G13383" s="4">
        <v>15</v>
      </c>
      <c r="H13383" s="18">
        <v>17.220300000000002</v>
      </c>
      <c r="I13383" s="90"/>
      <c r="J13383" s="90"/>
    </row>
    <row r="13384" spans="1:10" s="15" customFormat="1" ht="16.5" hidden="1" customHeight="1" outlineLevel="1" x14ac:dyDescent="0.25">
      <c r="A13384" s="18">
        <v>5349</v>
      </c>
      <c r="B13384" s="4" t="s">
        <v>44</v>
      </c>
      <c r="C13384" s="38" t="s">
        <v>7831</v>
      </c>
      <c r="D13384" s="18">
        <v>2022</v>
      </c>
      <c r="E13384" s="18" t="s">
        <v>0</v>
      </c>
      <c r="F13384" s="41">
        <v>1</v>
      </c>
      <c r="G13384" s="4">
        <v>15</v>
      </c>
      <c r="H13384" s="18">
        <v>17.223040000000001</v>
      </c>
      <c r="I13384" s="90"/>
      <c r="J13384" s="90"/>
    </row>
    <row r="13385" spans="1:10" s="15" customFormat="1" ht="16.5" hidden="1" customHeight="1" outlineLevel="1" x14ac:dyDescent="0.25">
      <c r="A13385" s="18">
        <v>5345</v>
      </c>
      <c r="B13385" s="4" t="s">
        <v>44</v>
      </c>
      <c r="C13385" s="38" t="s">
        <v>7832</v>
      </c>
      <c r="D13385" s="18">
        <v>2022</v>
      </c>
      <c r="E13385" s="18" t="s">
        <v>0</v>
      </c>
      <c r="F13385" s="41">
        <v>1</v>
      </c>
      <c r="G13385" s="4">
        <v>6</v>
      </c>
      <c r="H13385" s="18">
        <v>17.55686</v>
      </c>
      <c r="I13385" s="90"/>
      <c r="J13385" s="90"/>
    </row>
    <row r="13386" spans="1:10" s="15" customFormat="1" ht="16.5" hidden="1" customHeight="1" outlineLevel="1" x14ac:dyDescent="0.25">
      <c r="A13386" s="18">
        <v>5346</v>
      </c>
      <c r="B13386" s="4" t="s">
        <v>44</v>
      </c>
      <c r="C13386" s="38" t="s">
        <v>7833</v>
      </c>
      <c r="D13386" s="18">
        <v>2022</v>
      </c>
      <c r="E13386" s="18" t="s">
        <v>0</v>
      </c>
      <c r="F13386" s="41">
        <v>1</v>
      </c>
      <c r="G13386" s="4">
        <v>15</v>
      </c>
      <c r="H13386" s="18">
        <v>17.676960000000001</v>
      </c>
      <c r="I13386" s="90"/>
      <c r="J13386" s="90"/>
    </row>
    <row r="13387" spans="1:10" s="15" customFormat="1" ht="16.5" hidden="1" customHeight="1" outlineLevel="1" x14ac:dyDescent="0.25">
      <c r="A13387" s="18">
        <v>5344</v>
      </c>
      <c r="B13387" s="4" t="s">
        <v>44</v>
      </c>
      <c r="C13387" s="38" t="s">
        <v>7834</v>
      </c>
      <c r="D13387" s="18">
        <v>2022</v>
      </c>
      <c r="E13387" s="18" t="s">
        <v>0</v>
      </c>
      <c r="F13387" s="41">
        <v>1</v>
      </c>
      <c r="G13387" s="4">
        <v>15</v>
      </c>
      <c r="H13387" s="18">
        <v>17.580870000000001</v>
      </c>
      <c r="I13387" s="90"/>
      <c r="J13387" s="90"/>
    </row>
    <row r="13388" spans="1:10" s="15" customFormat="1" ht="16.5" hidden="1" customHeight="1" outlineLevel="1" x14ac:dyDescent="0.25">
      <c r="A13388" s="18">
        <v>5343</v>
      </c>
      <c r="B13388" s="4" t="s">
        <v>44</v>
      </c>
      <c r="C13388" s="38" t="s">
        <v>7835</v>
      </c>
      <c r="D13388" s="18">
        <v>2022</v>
      </c>
      <c r="E13388" s="18" t="s">
        <v>0</v>
      </c>
      <c r="F13388" s="41">
        <v>1</v>
      </c>
      <c r="G13388" s="4">
        <v>10</v>
      </c>
      <c r="H13388" s="18">
        <v>20.873629999999999</v>
      </c>
      <c r="I13388" s="90"/>
      <c r="J13388" s="90"/>
    </row>
    <row r="13389" spans="1:10" s="15" customFormat="1" ht="16.5" hidden="1" customHeight="1" outlineLevel="1" x14ac:dyDescent="0.25">
      <c r="A13389" s="18">
        <v>5341</v>
      </c>
      <c r="B13389" s="4" t="s">
        <v>44</v>
      </c>
      <c r="C13389" s="38" t="s">
        <v>7836</v>
      </c>
      <c r="D13389" s="18">
        <v>2022</v>
      </c>
      <c r="E13389" s="18" t="s">
        <v>0</v>
      </c>
      <c r="F13389" s="41">
        <v>1</v>
      </c>
      <c r="G13389" s="4">
        <v>14</v>
      </c>
      <c r="H13389" s="18">
        <v>16.520579999999999</v>
      </c>
      <c r="I13389" s="90"/>
      <c r="J13389" s="90"/>
    </row>
    <row r="13390" spans="1:10" s="15" customFormat="1" ht="16.5" hidden="1" customHeight="1" outlineLevel="1" x14ac:dyDescent="0.25">
      <c r="A13390" s="18">
        <v>5340</v>
      </c>
      <c r="B13390" s="4" t="s">
        <v>44</v>
      </c>
      <c r="C13390" s="38" t="s">
        <v>7837</v>
      </c>
      <c r="D13390" s="18">
        <v>2022</v>
      </c>
      <c r="E13390" s="18" t="s">
        <v>0</v>
      </c>
      <c r="F13390" s="41">
        <v>1</v>
      </c>
      <c r="G13390" s="4">
        <v>14</v>
      </c>
      <c r="H13390" s="18">
        <v>16.415780000000002</v>
      </c>
      <c r="I13390" s="90"/>
      <c r="J13390" s="90"/>
    </row>
    <row r="13391" spans="1:10" s="15" customFormat="1" ht="16.5" hidden="1" customHeight="1" outlineLevel="1" x14ac:dyDescent="0.25">
      <c r="A13391" s="18">
        <v>5165</v>
      </c>
      <c r="B13391" s="4" t="s">
        <v>44</v>
      </c>
      <c r="C13391" s="38" t="s">
        <v>7838</v>
      </c>
      <c r="D13391" s="18">
        <v>2022</v>
      </c>
      <c r="E13391" s="18" t="s">
        <v>0</v>
      </c>
      <c r="F13391" s="41">
        <v>1</v>
      </c>
      <c r="G13391" s="4">
        <v>14</v>
      </c>
      <c r="H13391" s="18">
        <v>9.8198100000000004</v>
      </c>
      <c r="I13391" s="90"/>
      <c r="J13391" s="90"/>
    </row>
    <row r="13392" spans="1:10" s="15" customFormat="1" ht="16.5" hidden="1" customHeight="1" outlineLevel="1" x14ac:dyDescent="0.25">
      <c r="A13392" s="18">
        <v>5169</v>
      </c>
      <c r="B13392" s="4" t="s">
        <v>44</v>
      </c>
      <c r="C13392" s="38" t="s">
        <v>7839</v>
      </c>
      <c r="D13392" s="18">
        <v>2022</v>
      </c>
      <c r="E13392" s="18" t="s">
        <v>0</v>
      </c>
      <c r="F13392" s="41">
        <v>1</v>
      </c>
      <c r="G13392" s="4">
        <v>10</v>
      </c>
      <c r="H13392" s="18">
        <v>10.487259999999999</v>
      </c>
      <c r="I13392" s="90"/>
      <c r="J13392" s="90"/>
    </row>
    <row r="13393" spans="1:10" s="15" customFormat="1" ht="16.5" hidden="1" customHeight="1" outlineLevel="1" x14ac:dyDescent="0.25">
      <c r="A13393" s="18">
        <v>5174</v>
      </c>
      <c r="B13393" s="4" t="s">
        <v>44</v>
      </c>
      <c r="C13393" s="38" t="s">
        <v>7840</v>
      </c>
      <c r="D13393" s="18">
        <v>2022</v>
      </c>
      <c r="E13393" s="18" t="s">
        <v>0</v>
      </c>
      <c r="F13393" s="41">
        <v>1</v>
      </c>
      <c r="G13393" s="4">
        <v>10</v>
      </c>
      <c r="H13393" s="18">
        <v>10.264749999999999</v>
      </c>
      <c r="I13393" s="90"/>
      <c r="J13393" s="90"/>
    </row>
    <row r="13394" spans="1:10" s="15" customFormat="1" ht="16.5" hidden="1" customHeight="1" outlineLevel="1" x14ac:dyDescent="0.25">
      <c r="A13394" s="18">
        <v>5065</v>
      </c>
      <c r="B13394" s="4" t="s">
        <v>44</v>
      </c>
      <c r="C13394" s="38" t="s">
        <v>7841</v>
      </c>
      <c r="D13394" s="18">
        <v>2022</v>
      </c>
      <c r="E13394" s="18" t="s">
        <v>0</v>
      </c>
      <c r="F13394" s="41">
        <v>1</v>
      </c>
      <c r="G13394" s="4">
        <v>14</v>
      </c>
      <c r="H13394" s="18">
        <v>26.008109999999999</v>
      </c>
      <c r="I13394" s="90"/>
      <c r="J13394" s="90"/>
    </row>
    <row r="13395" spans="1:10" s="15" customFormat="1" ht="16.5" hidden="1" customHeight="1" outlineLevel="1" x14ac:dyDescent="0.25">
      <c r="A13395" s="18">
        <v>5348</v>
      </c>
      <c r="B13395" s="4" t="s">
        <v>44</v>
      </c>
      <c r="C13395" s="38" t="s">
        <v>7842</v>
      </c>
      <c r="D13395" s="18">
        <v>2022</v>
      </c>
      <c r="E13395" s="18" t="s">
        <v>0</v>
      </c>
      <c r="F13395" s="41">
        <v>1</v>
      </c>
      <c r="G13395" s="4">
        <v>15</v>
      </c>
      <c r="H13395" s="18">
        <v>17.276409999999998</v>
      </c>
      <c r="I13395" s="90"/>
      <c r="J13395" s="90"/>
    </row>
    <row r="13396" spans="1:10" s="15" customFormat="1" ht="16.5" hidden="1" customHeight="1" outlineLevel="1" x14ac:dyDescent="0.25">
      <c r="A13396" s="18">
        <v>5342</v>
      </c>
      <c r="B13396" s="4" t="s">
        <v>44</v>
      </c>
      <c r="C13396" s="38" t="s">
        <v>7843</v>
      </c>
      <c r="D13396" s="18">
        <v>2022</v>
      </c>
      <c r="E13396" s="18" t="s">
        <v>0</v>
      </c>
      <c r="F13396" s="41">
        <v>1</v>
      </c>
      <c r="G13396" s="4">
        <v>14</v>
      </c>
      <c r="H13396" s="18">
        <v>16.415800000000001</v>
      </c>
      <c r="I13396" s="90"/>
      <c r="J13396" s="90"/>
    </row>
    <row r="13397" spans="1:10" s="15" customFormat="1" ht="16.5" hidden="1" customHeight="1" outlineLevel="1" x14ac:dyDescent="0.25">
      <c r="A13397" s="18">
        <v>5339</v>
      </c>
      <c r="B13397" s="4" t="s">
        <v>44</v>
      </c>
      <c r="C13397" s="38" t="s">
        <v>7844</v>
      </c>
      <c r="D13397" s="18">
        <v>2022</v>
      </c>
      <c r="E13397" s="18" t="s">
        <v>0</v>
      </c>
      <c r="F13397" s="41">
        <v>1</v>
      </c>
      <c r="G13397" s="4">
        <v>10</v>
      </c>
      <c r="H13397" s="18">
        <v>16.41648</v>
      </c>
      <c r="I13397" s="90"/>
      <c r="J13397" s="90"/>
    </row>
    <row r="13398" spans="1:10" s="15" customFormat="1" ht="16.5" hidden="1" customHeight="1" outlineLevel="1" x14ac:dyDescent="0.25">
      <c r="A13398" s="18">
        <v>5067</v>
      </c>
      <c r="B13398" s="4" t="s">
        <v>44</v>
      </c>
      <c r="C13398" s="38" t="s">
        <v>7845</v>
      </c>
      <c r="D13398" s="18">
        <v>2022</v>
      </c>
      <c r="E13398" s="18" t="s">
        <v>0</v>
      </c>
      <c r="F13398" s="41">
        <v>1</v>
      </c>
      <c r="G13398" s="4">
        <v>15</v>
      </c>
      <c r="H13398" s="18">
        <v>19.8812</v>
      </c>
      <c r="I13398" s="90"/>
      <c r="J13398" s="90"/>
    </row>
    <row r="13399" spans="1:10" s="15" customFormat="1" ht="16.5" hidden="1" customHeight="1" outlineLevel="1" x14ac:dyDescent="0.25">
      <c r="A13399" s="18">
        <v>5144</v>
      </c>
      <c r="B13399" s="4" t="s">
        <v>44</v>
      </c>
      <c r="C13399" s="38" t="s">
        <v>7846</v>
      </c>
      <c r="D13399" s="18">
        <v>2022</v>
      </c>
      <c r="E13399" s="18" t="s">
        <v>0</v>
      </c>
      <c r="F13399" s="41">
        <v>1</v>
      </c>
      <c r="G13399" s="4">
        <v>10</v>
      </c>
      <c r="H13399" s="18">
        <v>45.470230000000001</v>
      </c>
      <c r="I13399" s="90"/>
      <c r="J13399" s="90"/>
    </row>
    <row r="13400" spans="1:10" s="15" customFormat="1" ht="16.5" hidden="1" customHeight="1" outlineLevel="1" x14ac:dyDescent="0.25">
      <c r="A13400" s="18">
        <v>5075</v>
      </c>
      <c r="B13400" s="4" t="s">
        <v>44</v>
      </c>
      <c r="C13400" s="38" t="s">
        <v>7847</v>
      </c>
      <c r="D13400" s="18">
        <v>2022</v>
      </c>
      <c r="E13400" s="18" t="s">
        <v>0</v>
      </c>
      <c r="F13400" s="41">
        <v>1</v>
      </c>
      <c r="G13400" s="4">
        <v>15</v>
      </c>
      <c r="H13400" s="18">
        <v>19.426939999999998</v>
      </c>
      <c r="I13400" s="90"/>
      <c r="J13400" s="90"/>
    </row>
    <row r="13401" spans="1:10" s="15" customFormat="1" ht="16.5" hidden="1" customHeight="1" outlineLevel="1" x14ac:dyDescent="0.25">
      <c r="A13401" s="18">
        <v>5072</v>
      </c>
      <c r="B13401" s="4" t="s">
        <v>44</v>
      </c>
      <c r="C13401" s="38" t="s">
        <v>7848</v>
      </c>
      <c r="D13401" s="18">
        <v>2022</v>
      </c>
      <c r="E13401" s="18" t="s">
        <v>0</v>
      </c>
      <c r="F13401" s="41">
        <v>1</v>
      </c>
      <c r="G13401" s="4">
        <v>15</v>
      </c>
      <c r="H13401" s="18">
        <v>19.600159999999999</v>
      </c>
      <c r="I13401" s="90"/>
      <c r="J13401" s="90"/>
    </row>
    <row r="13402" spans="1:10" s="15" customFormat="1" ht="16.5" hidden="1" customHeight="1" outlineLevel="1" x14ac:dyDescent="0.25">
      <c r="A13402" s="18">
        <v>5071</v>
      </c>
      <c r="B13402" s="4" t="s">
        <v>44</v>
      </c>
      <c r="C13402" s="38" t="s">
        <v>7849</v>
      </c>
      <c r="D13402" s="18">
        <v>2022</v>
      </c>
      <c r="E13402" s="18" t="s">
        <v>0</v>
      </c>
      <c r="F13402" s="41">
        <v>1</v>
      </c>
      <c r="G13402" s="4">
        <v>10</v>
      </c>
      <c r="H13402" s="18">
        <v>17.136649999999999</v>
      </c>
      <c r="I13402" s="90"/>
      <c r="J13402" s="90"/>
    </row>
    <row r="13403" spans="1:10" s="15" customFormat="1" ht="16.5" hidden="1" customHeight="1" outlineLevel="1" x14ac:dyDescent="0.25">
      <c r="A13403" s="18">
        <v>5070</v>
      </c>
      <c r="B13403" s="4" t="s">
        <v>44</v>
      </c>
      <c r="C13403" s="38" t="s">
        <v>7850</v>
      </c>
      <c r="D13403" s="18">
        <v>2022</v>
      </c>
      <c r="E13403" s="18" t="s">
        <v>0</v>
      </c>
      <c r="F13403" s="41">
        <v>1</v>
      </c>
      <c r="G13403" s="4">
        <v>10</v>
      </c>
      <c r="H13403" s="18">
        <v>19.916640000000001</v>
      </c>
      <c r="I13403" s="90"/>
      <c r="J13403" s="90"/>
    </row>
    <row r="13404" spans="1:10" s="15" customFormat="1" ht="16.5" hidden="1" customHeight="1" outlineLevel="1" x14ac:dyDescent="0.25">
      <c r="A13404" s="18">
        <v>5164</v>
      </c>
      <c r="B13404" s="4" t="s">
        <v>44</v>
      </c>
      <c r="C13404" s="38" t="s">
        <v>7851</v>
      </c>
      <c r="D13404" s="18">
        <v>2022</v>
      </c>
      <c r="E13404" s="18" t="s">
        <v>0</v>
      </c>
      <c r="F13404" s="41">
        <v>1</v>
      </c>
      <c r="G13404" s="4">
        <v>10</v>
      </c>
      <c r="H13404" s="18">
        <v>17.536449999999999</v>
      </c>
      <c r="I13404" s="90"/>
      <c r="J13404" s="90"/>
    </row>
    <row r="13405" spans="1:10" s="15" customFormat="1" ht="16.5" hidden="1" customHeight="1" outlineLevel="1" x14ac:dyDescent="0.25">
      <c r="A13405" s="18">
        <v>5166</v>
      </c>
      <c r="B13405" s="4" t="s">
        <v>44</v>
      </c>
      <c r="C13405" s="38" t="s">
        <v>7852</v>
      </c>
      <c r="D13405" s="18">
        <v>2022</v>
      </c>
      <c r="E13405" s="18" t="s">
        <v>0</v>
      </c>
      <c r="F13405" s="41">
        <v>1</v>
      </c>
      <c r="G13405" s="4">
        <v>10</v>
      </c>
      <c r="H13405" s="18">
        <v>16.646540000000002</v>
      </c>
      <c r="I13405" s="90"/>
      <c r="J13405" s="90"/>
    </row>
    <row r="13406" spans="1:10" s="15" customFormat="1" ht="16.5" hidden="1" customHeight="1" outlineLevel="1" x14ac:dyDescent="0.25">
      <c r="A13406" s="18">
        <v>5167</v>
      </c>
      <c r="B13406" s="4" t="s">
        <v>44</v>
      </c>
      <c r="C13406" s="38" t="s">
        <v>7853</v>
      </c>
      <c r="D13406" s="18">
        <v>2022</v>
      </c>
      <c r="E13406" s="18" t="s">
        <v>0</v>
      </c>
      <c r="F13406" s="41">
        <v>1</v>
      </c>
      <c r="G13406" s="4">
        <v>10</v>
      </c>
      <c r="H13406" s="18">
        <v>18.426449999999999</v>
      </c>
      <c r="I13406" s="90"/>
      <c r="J13406" s="90"/>
    </row>
    <row r="13407" spans="1:10" s="15" customFormat="1" ht="16.5" hidden="1" customHeight="1" outlineLevel="1" x14ac:dyDescent="0.25">
      <c r="A13407" s="18">
        <v>5168</v>
      </c>
      <c r="B13407" s="4" t="s">
        <v>44</v>
      </c>
      <c r="C13407" s="38" t="s">
        <v>7854</v>
      </c>
      <c r="D13407" s="18">
        <v>2022</v>
      </c>
      <c r="E13407" s="18" t="s">
        <v>0</v>
      </c>
      <c r="F13407" s="41">
        <v>1</v>
      </c>
      <c r="G13407" s="4">
        <v>10</v>
      </c>
      <c r="H13407" s="18">
        <v>18.426459999999999</v>
      </c>
      <c r="I13407" s="90"/>
      <c r="J13407" s="90"/>
    </row>
    <row r="13408" spans="1:10" s="15" customFormat="1" ht="16.5" hidden="1" customHeight="1" outlineLevel="1" x14ac:dyDescent="0.25">
      <c r="A13408" s="18">
        <v>5170</v>
      </c>
      <c r="B13408" s="4" t="s">
        <v>44</v>
      </c>
      <c r="C13408" s="38" t="s">
        <v>7855</v>
      </c>
      <c r="D13408" s="18">
        <v>2022</v>
      </c>
      <c r="E13408" s="18" t="s">
        <v>0</v>
      </c>
      <c r="F13408" s="41">
        <v>1</v>
      </c>
      <c r="G13408" s="4">
        <v>10</v>
      </c>
      <c r="H13408" s="18">
        <v>17.536449999999999</v>
      </c>
      <c r="I13408" s="90"/>
      <c r="J13408" s="90"/>
    </row>
    <row r="13409" spans="1:10" s="15" customFormat="1" ht="16.5" hidden="1" customHeight="1" outlineLevel="1" x14ac:dyDescent="0.25">
      <c r="A13409" s="18">
        <v>5176</v>
      </c>
      <c r="B13409" s="4" t="s">
        <v>44</v>
      </c>
      <c r="C13409" s="38" t="s">
        <v>7856</v>
      </c>
      <c r="D13409" s="18">
        <v>2022</v>
      </c>
      <c r="E13409" s="18" t="s">
        <v>0</v>
      </c>
      <c r="F13409" s="41">
        <v>1</v>
      </c>
      <c r="G13409" s="4">
        <v>8</v>
      </c>
      <c r="H13409" s="18">
        <v>17.31401</v>
      </c>
      <c r="I13409" s="90"/>
      <c r="J13409" s="90"/>
    </row>
    <row r="13410" spans="1:10" s="15" customFormat="1" ht="16.5" hidden="1" customHeight="1" outlineLevel="1" x14ac:dyDescent="0.25">
      <c r="A13410" s="18">
        <v>5175</v>
      </c>
      <c r="B13410" s="4" t="s">
        <v>44</v>
      </c>
      <c r="C13410" s="38" t="s">
        <v>7857</v>
      </c>
      <c r="D13410" s="18">
        <v>2022</v>
      </c>
      <c r="E13410" s="18" t="s">
        <v>0</v>
      </c>
      <c r="F13410" s="41">
        <v>1</v>
      </c>
      <c r="G13410" s="4">
        <v>10</v>
      </c>
      <c r="H13410" s="18">
        <v>16.913530000000002</v>
      </c>
      <c r="I13410" s="90"/>
      <c r="J13410" s="90"/>
    </row>
    <row r="13411" spans="1:10" s="15" customFormat="1" ht="16.5" hidden="1" customHeight="1" outlineLevel="1" x14ac:dyDescent="0.25">
      <c r="A13411" s="18">
        <v>5173</v>
      </c>
      <c r="B13411" s="4" t="s">
        <v>44</v>
      </c>
      <c r="C13411" s="38" t="s">
        <v>7858</v>
      </c>
      <c r="D13411" s="18">
        <v>2022</v>
      </c>
      <c r="E13411" s="18" t="s">
        <v>0</v>
      </c>
      <c r="F13411" s="41">
        <v>1</v>
      </c>
      <c r="G13411" s="4">
        <v>10</v>
      </c>
      <c r="H13411" s="18">
        <v>17.09186</v>
      </c>
      <c r="I13411" s="90"/>
      <c r="J13411" s="90"/>
    </row>
    <row r="13412" spans="1:10" s="15" customFormat="1" ht="16.5" hidden="1" customHeight="1" outlineLevel="1" x14ac:dyDescent="0.25">
      <c r="A13412" s="18">
        <v>5172</v>
      </c>
      <c r="B13412" s="4" t="s">
        <v>44</v>
      </c>
      <c r="C13412" s="38" t="s">
        <v>7859</v>
      </c>
      <c r="D13412" s="18">
        <v>2022</v>
      </c>
      <c r="E13412" s="18" t="s">
        <v>0</v>
      </c>
      <c r="F13412" s="41">
        <v>1</v>
      </c>
      <c r="G13412" s="4">
        <v>15</v>
      </c>
      <c r="H13412" s="18">
        <v>16.646560000000001</v>
      </c>
      <c r="I13412" s="90"/>
      <c r="J13412" s="90"/>
    </row>
    <row r="13413" spans="1:10" s="15" customFormat="1" ht="16.5" hidden="1" customHeight="1" outlineLevel="1" x14ac:dyDescent="0.25">
      <c r="A13413" s="18">
        <v>5171</v>
      </c>
      <c r="B13413" s="4" t="s">
        <v>44</v>
      </c>
      <c r="C13413" s="38" t="s">
        <v>7860</v>
      </c>
      <c r="D13413" s="18">
        <v>2022</v>
      </c>
      <c r="E13413" s="18" t="s">
        <v>0</v>
      </c>
      <c r="F13413" s="41">
        <v>1</v>
      </c>
      <c r="G13413" s="4">
        <v>15</v>
      </c>
      <c r="H13413" s="18">
        <v>16.646519999999999</v>
      </c>
      <c r="I13413" s="90"/>
      <c r="J13413" s="90"/>
    </row>
    <row r="13414" spans="1:10" s="15" customFormat="1" ht="16.5" hidden="1" customHeight="1" outlineLevel="1" x14ac:dyDescent="0.25">
      <c r="A13414" s="18">
        <v>5191</v>
      </c>
      <c r="B13414" s="4" t="s">
        <v>44</v>
      </c>
      <c r="C13414" s="38" t="s">
        <v>7861</v>
      </c>
      <c r="D13414" s="18">
        <v>2022</v>
      </c>
      <c r="E13414" s="18" t="s">
        <v>0</v>
      </c>
      <c r="F13414" s="41">
        <v>1</v>
      </c>
      <c r="G13414" s="4">
        <v>15</v>
      </c>
      <c r="H13414" s="18">
        <v>30.09684</v>
      </c>
      <c r="I13414" s="90"/>
      <c r="J13414" s="90"/>
    </row>
    <row r="13415" spans="1:10" s="15" customFormat="1" ht="16.5" hidden="1" customHeight="1" outlineLevel="1" x14ac:dyDescent="0.25">
      <c r="A13415" s="18">
        <v>5190</v>
      </c>
      <c r="B13415" s="4" t="s">
        <v>44</v>
      </c>
      <c r="C13415" s="38" t="s">
        <v>7862</v>
      </c>
      <c r="D13415" s="18">
        <v>2022</v>
      </c>
      <c r="E13415" s="18" t="s">
        <v>0</v>
      </c>
      <c r="F13415" s="41">
        <v>1</v>
      </c>
      <c r="G13415" s="4">
        <v>15</v>
      </c>
      <c r="H13415" s="18">
        <v>18.528700000000001</v>
      </c>
      <c r="I13415" s="90"/>
      <c r="J13415" s="90"/>
    </row>
    <row r="13416" spans="1:10" s="15" customFormat="1" ht="16.5" hidden="1" customHeight="1" outlineLevel="1" x14ac:dyDescent="0.25">
      <c r="A13416" s="18">
        <v>5189</v>
      </c>
      <c r="B13416" s="4" t="s">
        <v>44</v>
      </c>
      <c r="C13416" s="38" t="s">
        <v>7863</v>
      </c>
      <c r="D13416" s="18">
        <v>2022</v>
      </c>
      <c r="E13416" s="18" t="s">
        <v>0</v>
      </c>
      <c r="F13416" s="41">
        <v>1</v>
      </c>
      <c r="G13416" s="4">
        <v>13</v>
      </c>
      <c r="H13416" s="18">
        <v>19.824300000000001</v>
      </c>
      <c r="I13416" s="90"/>
      <c r="J13416" s="90"/>
    </row>
    <row r="13417" spans="1:10" s="15" customFormat="1" ht="16.5" hidden="1" customHeight="1" outlineLevel="1" x14ac:dyDescent="0.25">
      <c r="A13417" s="18">
        <v>5188</v>
      </c>
      <c r="B13417" s="4" t="s">
        <v>44</v>
      </c>
      <c r="C13417" s="38" t="s">
        <v>7864</v>
      </c>
      <c r="D13417" s="18">
        <v>2022</v>
      </c>
      <c r="E13417" s="18" t="s">
        <v>0</v>
      </c>
      <c r="F13417" s="41">
        <v>1</v>
      </c>
      <c r="G13417" s="4">
        <v>15</v>
      </c>
      <c r="H13417" s="18">
        <v>19.82396</v>
      </c>
      <c r="I13417" s="90"/>
      <c r="J13417" s="90"/>
    </row>
    <row r="13418" spans="1:10" s="15" customFormat="1" ht="16.5" hidden="1" customHeight="1" outlineLevel="1" x14ac:dyDescent="0.25">
      <c r="A13418" s="18">
        <v>5187</v>
      </c>
      <c r="B13418" s="4" t="s">
        <v>44</v>
      </c>
      <c r="C13418" s="38" t="s">
        <v>7865</v>
      </c>
      <c r="D13418" s="18">
        <v>2022</v>
      </c>
      <c r="E13418" s="18" t="s">
        <v>0</v>
      </c>
      <c r="F13418" s="41">
        <v>1</v>
      </c>
      <c r="G13418" s="4">
        <v>14</v>
      </c>
      <c r="H13418" s="18">
        <v>21.241890000000001</v>
      </c>
      <c r="I13418" s="90"/>
      <c r="J13418" s="90"/>
    </row>
    <row r="13419" spans="1:10" s="15" customFormat="1" ht="16.5" hidden="1" customHeight="1" outlineLevel="1" x14ac:dyDescent="0.25">
      <c r="A13419" s="18">
        <v>5186</v>
      </c>
      <c r="B13419" s="4" t="s">
        <v>44</v>
      </c>
      <c r="C13419" s="38" t="s">
        <v>7866</v>
      </c>
      <c r="D13419" s="18">
        <v>2022</v>
      </c>
      <c r="E13419" s="18" t="s">
        <v>0</v>
      </c>
      <c r="F13419" s="41">
        <v>1</v>
      </c>
      <c r="G13419" s="4">
        <v>14</v>
      </c>
      <c r="H13419" s="18">
        <v>21.35848</v>
      </c>
      <c r="I13419" s="90"/>
      <c r="J13419" s="90"/>
    </row>
    <row r="13420" spans="1:10" s="15" customFormat="1" ht="16.5" hidden="1" customHeight="1" outlineLevel="1" x14ac:dyDescent="0.25">
      <c r="A13420" s="18">
        <v>5185</v>
      </c>
      <c r="B13420" s="4" t="s">
        <v>44</v>
      </c>
      <c r="C13420" s="38" t="s">
        <v>7867</v>
      </c>
      <c r="D13420" s="18">
        <v>2022</v>
      </c>
      <c r="E13420" s="18" t="s">
        <v>0</v>
      </c>
      <c r="F13420" s="41">
        <v>1</v>
      </c>
      <c r="G13420" s="4">
        <v>14</v>
      </c>
      <c r="H13420" s="18">
        <v>21.16621</v>
      </c>
      <c r="I13420" s="90"/>
      <c r="J13420" s="90"/>
    </row>
    <row r="13421" spans="1:10" s="15" customFormat="1" ht="16.5" hidden="1" customHeight="1" outlineLevel="1" x14ac:dyDescent="0.25">
      <c r="A13421" s="18">
        <v>5183</v>
      </c>
      <c r="B13421" s="4" t="s">
        <v>44</v>
      </c>
      <c r="C13421" s="38" t="s">
        <v>7868</v>
      </c>
      <c r="D13421" s="18">
        <v>2022</v>
      </c>
      <c r="E13421" s="18" t="s">
        <v>0</v>
      </c>
      <c r="F13421" s="41">
        <v>1</v>
      </c>
      <c r="G13421" s="4">
        <v>14</v>
      </c>
      <c r="H13421" s="18">
        <v>20.983830000000001</v>
      </c>
      <c r="I13421" s="90"/>
      <c r="J13421" s="90"/>
    </row>
    <row r="13422" spans="1:10" s="15" customFormat="1" ht="16.5" hidden="1" customHeight="1" outlineLevel="1" x14ac:dyDescent="0.25">
      <c r="A13422" s="18">
        <v>5184</v>
      </c>
      <c r="B13422" s="4" t="s">
        <v>44</v>
      </c>
      <c r="C13422" s="38" t="s">
        <v>7869</v>
      </c>
      <c r="D13422" s="18">
        <v>2022</v>
      </c>
      <c r="E13422" s="18" t="s">
        <v>0</v>
      </c>
      <c r="F13422" s="41">
        <v>1</v>
      </c>
      <c r="G13422" s="4">
        <v>14</v>
      </c>
      <c r="H13422" s="18">
        <v>20.328040000000001</v>
      </c>
      <c r="I13422" s="90"/>
      <c r="J13422" s="90"/>
    </row>
    <row r="13423" spans="1:10" s="15" customFormat="1" ht="16.5" hidden="1" customHeight="1" outlineLevel="1" x14ac:dyDescent="0.25">
      <c r="A13423" s="18">
        <v>5192</v>
      </c>
      <c r="B13423" s="4" t="s">
        <v>44</v>
      </c>
      <c r="C13423" s="38" t="s">
        <v>7870</v>
      </c>
      <c r="D13423" s="18">
        <v>2022</v>
      </c>
      <c r="E13423" s="18" t="s">
        <v>0</v>
      </c>
      <c r="F13423" s="41">
        <v>1</v>
      </c>
      <c r="G13423" s="4">
        <v>15</v>
      </c>
      <c r="H13423" s="18">
        <v>18.871839999999999</v>
      </c>
      <c r="I13423" s="90"/>
      <c r="J13423" s="90"/>
    </row>
    <row r="13424" spans="1:10" s="15" customFormat="1" ht="16.5" hidden="1" customHeight="1" outlineLevel="1" x14ac:dyDescent="0.25">
      <c r="A13424" s="18">
        <v>5193</v>
      </c>
      <c r="B13424" s="4" t="s">
        <v>44</v>
      </c>
      <c r="C13424" s="38" t="s">
        <v>7871</v>
      </c>
      <c r="D13424" s="18">
        <v>2022</v>
      </c>
      <c r="E13424" s="18" t="s">
        <v>0</v>
      </c>
      <c r="F13424" s="41">
        <v>1</v>
      </c>
      <c r="G13424" s="4">
        <v>15</v>
      </c>
      <c r="H13424" s="18">
        <v>17.42521</v>
      </c>
      <c r="I13424" s="90"/>
      <c r="J13424" s="90"/>
    </row>
    <row r="13425" spans="1:10" s="15" customFormat="1" ht="16.5" hidden="1" customHeight="1" outlineLevel="1" x14ac:dyDescent="0.25">
      <c r="A13425" s="18">
        <v>5182</v>
      </c>
      <c r="B13425" s="4" t="s">
        <v>44</v>
      </c>
      <c r="C13425" s="38" t="s">
        <v>7872</v>
      </c>
      <c r="D13425" s="18">
        <v>2022</v>
      </c>
      <c r="E13425" s="18" t="s">
        <v>0</v>
      </c>
      <c r="F13425" s="41">
        <v>1</v>
      </c>
      <c r="G13425" s="4">
        <v>15</v>
      </c>
      <c r="H13425" s="18">
        <v>23.354299999999999</v>
      </c>
      <c r="I13425" s="90"/>
      <c r="J13425" s="90"/>
    </row>
    <row r="13426" spans="1:10" s="15" customFormat="1" ht="16.5" hidden="1" customHeight="1" outlineLevel="1" x14ac:dyDescent="0.25">
      <c r="A13426" s="18">
        <v>5181</v>
      </c>
      <c r="B13426" s="4" t="s">
        <v>44</v>
      </c>
      <c r="C13426" s="38" t="s">
        <v>7873</v>
      </c>
      <c r="D13426" s="18">
        <v>2022</v>
      </c>
      <c r="E13426" s="18" t="s">
        <v>0</v>
      </c>
      <c r="F13426" s="41">
        <v>1</v>
      </c>
      <c r="G13426" s="4">
        <v>15</v>
      </c>
      <c r="H13426" s="18">
        <v>20.01418</v>
      </c>
      <c r="I13426" s="90"/>
      <c r="J13426" s="90"/>
    </row>
    <row r="13427" spans="1:10" s="15" customFormat="1" ht="16.5" hidden="1" customHeight="1" outlineLevel="1" x14ac:dyDescent="0.25">
      <c r="A13427" s="18">
        <v>5180</v>
      </c>
      <c r="B13427" s="4" t="s">
        <v>44</v>
      </c>
      <c r="C13427" s="38" t="s">
        <v>7874</v>
      </c>
      <c r="D13427" s="18">
        <v>2022</v>
      </c>
      <c r="E13427" s="18" t="s">
        <v>0</v>
      </c>
      <c r="F13427" s="41">
        <v>1</v>
      </c>
      <c r="G13427" s="4">
        <v>10</v>
      </c>
      <c r="H13427" s="18">
        <v>18.555209999999999</v>
      </c>
      <c r="I13427" s="90"/>
      <c r="J13427" s="90"/>
    </row>
    <row r="13428" spans="1:10" s="15" customFormat="1" ht="16.5" hidden="1" customHeight="1" outlineLevel="1" x14ac:dyDescent="0.25">
      <c r="A13428" s="18">
        <v>5179</v>
      </c>
      <c r="B13428" s="4" t="s">
        <v>44</v>
      </c>
      <c r="C13428" s="38" t="s">
        <v>7875</v>
      </c>
      <c r="D13428" s="18">
        <v>2022</v>
      </c>
      <c r="E13428" s="18" t="s">
        <v>0</v>
      </c>
      <c r="F13428" s="41">
        <v>1</v>
      </c>
      <c r="G13428" s="4">
        <v>7</v>
      </c>
      <c r="H13428" s="18">
        <v>18.50074</v>
      </c>
      <c r="I13428" s="90"/>
      <c r="J13428" s="90"/>
    </row>
    <row r="13429" spans="1:10" s="15" customFormat="1" ht="16.5" hidden="1" customHeight="1" outlineLevel="1" x14ac:dyDescent="0.25">
      <c r="A13429" s="18">
        <v>5178</v>
      </c>
      <c r="B13429" s="4" t="s">
        <v>44</v>
      </c>
      <c r="C13429" s="38" t="s">
        <v>7876</v>
      </c>
      <c r="D13429" s="18">
        <v>2022</v>
      </c>
      <c r="E13429" s="18" t="s">
        <v>0</v>
      </c>
      <c r="F13429" s="41">
        <v>1</v>
      </c>
      <c r="G13429" s="4">
        <v>10</v>
      </c>
      <c r="H13429" s="18">
        <v>18.487110000000001</v>
      </c>
      <c r="I13429" s="90"/>
      <c r="J13429" s="90"/>
    </row>
    <row r="13430" spans="1:10" s="15" customFormat="1" ht="16.5" hidden="1" customHeight="1" outlineLevel="1" x14ac:dyDescent="0.25">
      <c r="A13430" s="18">
        <v>5177</v>
      </c>
      <c r="B13430" s="4" t="s">
        <v>44</v>
      </c>
      <c r="C13430" s="38" t="s">
        <v>7877</v>
      </c>
      <c r="D13430" s="18">
        <v>2022</v>
      </c>
      <c r="E13430" s="18" t="s">
        <v>0</v>
      </c>
      <c r="F13430" s="41">
        <v>1</v>
      </c>
      <c r="G13430" s="4">
        <v>10</v>
      </c>
      <c r="H13430" s="18">
        <v>18.487719999999999</v>
      </c>
      <c r="I13430" s="90"/>
      <c r="J13430" s="90"/>
    </row>
    <row r="13431" spans="1:10" s="15" customFormat="1" ht="16.5" hidden="1" customHeight="1" outlineLevel="1" x14ac:dyDescent="0.25">
      <c r="A13431" s="18">
        <v>5210</v>
      </c>
      <c r="B13431" s="4" t="s">
        <v>44</v>
      </c>
      <c r="C13431" s="38" t="s">
        <v>7878</v>
      </c>
      <c r="D13431" s="18">
        <v>2022</v>
      </c>
      <c r="E13431" s="18" t="s">
        <v>0</v>
      </c>
      <c r="F13431" s="41">
        <v>1</v>
      </c>
      <c r="G13431" s="4">
        <v>10</v>
      </c>
      <c r="H13431" s="18">
        <v>18.083559999999999</v>
      </c>
      <c r="I13431" s="90"/>
      <c r="J13431" s="90"/>
    </row>
    <row r="13432" spans="1:10" s="15" customFormat="1" ht="16.5" hidden="1" customHeight="1" outlineLevel="1" x14ac:dyDescent="0.25">
      <c r="A13432" s="18">
        <v>5209</v>
      </c>
      <c r="B13432" s="4" t="s">
        <v>44</v>
      </c>
      <c r="C13432" s="38" t="s">
        <v>7879</v>
      </c>
      <c r="D13432" s="18">
        <v>2022</v>
      </c>
      <c r="E13432" s="18" t="s">
        <v>0</v>
      </c>
      <c r="F13432" s="41">
        <v>1</v>
      </c>
      <c r="G13432" s="4">
        <v>15</v>
      </c>
      <c r="H13432" s="18">
        <v>19.365670000000001</v>
      </c>
      <c r="I13432" s="90"/>
      <c r="J13432" s="90"/>
    </row>
    <row r="13433" spans="1:10" s="15" customFormat="1" ht="16.5" hidden="1" customHeight="1" outlineLevel="1" x14ac:dyDescent="0.25">
      <c r="A13433" s="18">
        <v>5208</v>
      </c>
      <c r="B13433" s="4" t="s">
        <v>44</v>
      </c>
      <c r="C13433" s="38" t="s">
        <v>7880</v>
      </c>
      <c r="D13433" s="18">
        <v>2022</v>
      </c>
      <c r="E13433" s="18" t="s">
        <v>0</v>
      </c>
      <c r="F13433" s="41">
        <v>1</v>
      </c>
      <c r="G13433" s="4">
        <v>10</v>
      </c>
      <c r="H13433" s="18">
        <v>16.94387</v>
      </c>
      <c r="I13433" s="90"/>
      <c r="J13433" s="90"/>
    </row>
    <row r="13434" spans="1:10" s="15" customFormat="1" ht="16.5" hidden="1" customHeight="1" outlineLevel="1" x14ac:dyDescent="0.25">
      <c r="A13434" s="18">
        <v>5207</v>
      </c>
      <c r="B13434" s="4" t="s">
        <v>44</v>
      </c>
      <c r="C13434" s="38" t="s">
        <v>7881</v>
      </c>
      <c r="D13434" s="18">
        <v>2022</v>
      </c>
      <c r="E13434" s="18" t="s">
        <v>0</v>
      </c>
      <c r="F13434" s="41">
        <v>1</v>
      </c>
      <c r="G13434" s="4">
        <v>15</v>
      </c>
      <c r="H13434" s="18">
        <v>19.365670000000001</v>
      </c>
      <c r="I13434" s="90"/>
      <c r="J13434" s="90"/>
    </row>
    <row r="13435" spans="1:10" s="15" customFormat="1" ht="16.5" hidden="1" customHeight="1" outlineLevel="1" x14ac:dyDescent="0.25">
      <c r="A13435" s="18">
        <v>5206</v>
      </c>
      <c r="B13435" s="4" t="s">
        <v>44</v>
      </c>
      <c r="C13435" s="38" t="s">
        <v>7882</v>
      </c>
      <c r="D13435" s="18">
        <v>2022</v>
      </c>
      <c r="E13435" s="18" t="s">
        <v>0</v>
      </c>
      <c r="F13435" s="41">
        <v>1</v>
      </c>
      <c r="G13435" s="4">
        <v>6</v>
      </c>
      <c r="H13435" s="18">
        <v>18.24023</v>
      </c>
      <c r="I13435" s="90"/>
      <c r="J13435" s="90"/>
    </row>
    <row r="13436" spans="1:10" s="15" customFormat="1" ht="16.5" hidden="1" customHeight="1" outlineLevel="1" x14ac:dyDescent="0.25">
      <c r="A13436" s="18">
        <v>5205</v>
      </c>
      <c r="B13436" s="4" t="s">
        <v>44</v>
      </c>
      <c r="C13436" s="38" t="s">
        <v>7883</v>
      </c>
      <c r="D13436" s="18">
        <v>2022</v>
      </c>
      <c r="E13436" s="18" t="s">
        <v>0</v>
      </c>
      <c r="F13436" s="41">
        <v>1</v>
      </c>
      <c r="G13436" s="4">
        <v>14.5</v>
      </c>
      <c r="H13436" s="18">
        <v>18.225999999999999</v>
      </c>
      <c r="I13436" s="90"/>
      <c r="J13436" s="90"/>
    </row>
    <row r="13437" spans="1:10" s="15" customFormat="1" ht="16.5" hidden="1" customHeight="1" outlineLevel="1" x14ac:dyDescent="0.25">
      <c r="A13437" s="18">
        <v>5211</v>
      </c>
      <c r="B13437" s="4" t="s">
        <v>44</v>
      </c>
      <c r="C13437" s="38" t="s">
        <v>7884</v>
      </c>
      <c r="D13437" s="18">
        <v>2022</v>
      </c>
      <c r="E13437" s="18" t="s">
        <v>0</v>
      </c>
      <c r="F13437" s="41">
        <v>1</v>
      </c>
      <c r="G13437" s="4">
        <v>10</v>
      </c>
      <c r="H13437" s="18">
        <v>18.938300000000002</v>
      </c>
      <c r="I13437" s="90"/>
      <c r="J13437" s="90"/>
    </row>
    <row r="13438" spans="1:10" s="15" customFormat="1" ht="16.5" hidden="1" customHeight="1" outlineLevel="1" x14ac:dyDescent="0.25">
      <c r="A13438" s="18">
        <v>5194</v>
      </c>
      <c r="B13438" s="4" t="s">
        <v>44</v>
      </c>
      <c r="C13438" s="38" t="s">
        <v>7885</v>
      </c>
      <c r="D13438" s="18">
        <v>2022</v>
      </c>
      <c r="E13438" s="18" t="s">
        <v>0</v>
      </c>
      <c r="F13438" s="41">
        <v>1</v>
      </c>
      <c r="G13438" s="4">
        <v>14</v>
      </c>
      <c r="H13438" s="18">
        <v>17.37087</v>
      </c>
      <c r="I13438" s="90"/>
      <c r="J13438" s="90"/>
    </row>
    <row r="13439" spans="1:10" s="15" customFormat="1" ht="16.5" hidden="1" customHeight="1" outlineLevel="1" x14ac:dyDescent="0.25">
      <c r="A13439" s="18">
        <v>5195</v>
      </c>
      <c r="B13439" s="4" t="s">
        <v>44</v>
      </c>
      <c r="C13439" s="38" t="s">
        <v>7886</v>
      </c>
      <c r="D13439" s="18">
        <v>2022</v>
      </c>
      <c r="E13439" s="18" t="s">
        <v>0</v>
      </c>
      <c r="F13439" s="41">
        <v>1</v>
      </c>
      <c r="G13439" s="4">
        <v>14</v>
      </c>
      <c r="H13439" s="18">
        <v>17.712759999999999</v>
      </c>
      <c r="I13439" s="90"/>
      <c r="J13439" s="90"/>
    </row>
    <row r="13440" spans="1:10" s="15" customFormat="1" ht="16.5" hidden="1" customHeight="1" outlineLevel="1" x14ac:dyDescent="0.25">
      <c r="A13440" s="18">
        <v>5196</v>
      </c>
      <c r="B13440" s="4" t="s">
        <v>44</v>
      </c>
      <c r="C13440" s="38" t="s">
        <v>7887</v>
      </c>
      <c r="D13440" s="18">
        <v>2022</v>
      </c>
      <c r="E13440" s="18" t="s">
        <v>0</v>
      </c>
      <c r="F13440" s="41">
        <v>1</v>
      </c>
      <c r="G13440" s="4">
        <v>14</v>
      </c>
      <c r="H13440" s="18">
        <v>17.69858</v>
      </c>
      <c r="I13440" s="90"/>
      <c r="J13440" s="90"/>
    </row>
    <row r="13441" spans="1:10" s="15" customFormat="1" ht="16.5" hidden="1" customHeight="1" outlineLevel="1" x14ac:dyDescent="0.25">
      <c r="A13441" s="18">
        <v>5197</v>
      </c>
      <c r="B13441" s="4" t="s">
        <v>44</v>
      </c>
      <c r="C13441" s="38" t="s">
        <v>7888</v>
      </c>
      <c r="D13441" s="18">
        <v>2022</v>
      </c>
      <c r="E13441" s="18" t="s">
        <v>0</v>
      </c>
      <c r="F13441" s="41">
        <v>1</v>
      </c>
      <c r="G13441" s="4">
        <v>14</v>
      </c>
      <c r="H13441" s="18">
        <v>17.37086</v>
      </c>
      <c r="I13441" s="90"/>
      <c r="J13441" s="90"/>
    </row>
    <row r="13442" spans="1:10" s="15" customFormat="1" ht="16.5" hidden="1" customHeight="1" outlineLevel="1" x14ac:dyDescent="0.25">
      <c r="A13442" s="18">
        <v>5198</v>
      </c>
      <c r="B13442" s="4" t="s">
        <v>44</v>
      </c>
      <c r="C13442" s="38" t="s">
        <v>7889</v>
      </c>
      <c r="D13442" s="18">
        <v>2022</v>
      </c>
      <c r="E13442" s="18" t="s">
        <v>0</v>
      </c>
      <c r="F13442" s="41">
        <v>1</v>
      </c>
      <c r="G13442" s="4">
        <v>14</v>
      </c>
      <c r="H13442" s="18">
        <v>17.370850000000001</v>
      </c>
      <c r="I13442" s="90"/>
      <c r="J13442" s="90"/>
    </row>
    <row r="13443" spans="1:10" s="15" customFormat="1" ht="16.5" hidden="1" customHeight="1" outlineLevel="1" x14ac:dyDescent="0.25">
      <c r="A13443" s="18">
        <v>5199</v>
      </c>
      <c r="B13443" s="4" t="s">
        <v>44</v>
      </c>
      <c r="C13443" s="38" t="s">
        <v>7890</v>
      </c>
      <c r="D13443" s="18">
        <v>2022</v>
      </c>
      <c r="E13443" s="18" t="s">
        <v>0</v>
      </c>
      <c r="F13443" s="41">
        <v>1</v>
      </c>
      <c r="G13443" s="4">
        <v>7.5</v>
      </c>
      <c r="H13443" s="18">
        <v>19.750050000000002</v>
      </c>
      <c r="I13443" s="90"/>
      <c r="J13443" s="90"/>
    </row>
    <row r="13444" spans="1:10" s="15" customFormat="1" ht="16.5" hidden="1" customHeight="1" outlineLevel="1" x14ac:dyDescent="0.25">
      <c r="A13444" s="18">
        <v>5200</v>
      </c>
      <c r="B13444" s="4" t="s">
        <v>44</v>
      </c>
      <c r="C13444" s="38" t="s">
        <v>7891</v>
      </c>
      <c r="D13444" s="18">
        <v>2022</v>
      </c>
      <c r="E13444" s="18" t="s">
        <v>0</v>
      </c>
      <c r="F13444" s="41">
        <v>1</v>
      </c>
      <c r="G13444" s="4">
        <v>15</v>
      </c>
      <c r="H13444" s="18">
        <v>21.886990000000001</v>
      </c>
      <c r="I13444" s="90"/>
      <c r="J13444" s="90"/>
    </row>
    <row r="13445" spans="1:10" s="15" customFormat="1" ht="16.5" hidden="1" customHeight="1" outlineLevel="1" x14ac:dyDescent="0.25">
      <c r="A13445" s="18">
        <v>5202</v>
      </c>
      <c r="B13445" s="4" t="s">
        <v>44</v>
      </c>
      <c r="C13445" s="38" t="s">
        <v>7892</v>
      </c>
      <c r="D13445" s="18">
        <v>2022</v>
      </c>
      <c r="E13445" s="18" t="s">
        <v>0</v>
      </c>
      <c r="F13445" s="41">
        <v>1</v>
      </c>
      <c r="G13445" s="4">
        <v>15</v>
      </c>
      <c r="H13445" s="18">
        <v>17.328099999999999</v>
      </c>
      <c r="I13445" s="90"/>
      <c r="J13445" s="90"/>
    </row>
    <row r="13446" spans="1:10" s="15" customFormat="1" ht="16.5" hidden="1" customHeight="1" outlineLevel="1" x14ac:dyDescent="0.25">
      <c r="A13446" s="18">
        <v>5203</v>
      </c>
      <c r="B13446" s="4" t="s">
        <v>44</v>
      </c>
      <c r="C13446" s="38" t="s">
        <v>7893</v>
      </c>
      <c r="D13446" s="18">
        <v>2022</v>
      </c>
      <c r="E13446" s="18" t="s">
        <v>0</v>
      </c>
      <c r="F13446" s="41">
        <v>1</v>
      </c>
      <c r="G13446" s="4">
        <v>15</v>
      </c>
      <c r="H13446" s="18">
        <v>24.308890000000002</v>
      </c>
      <c r="I13446" s="90"/>
      <c r="J13446" s="90"/>
    </row>
    <row r="13447" spans="1:10" s="15" customFormat="1" ht="16.5" hidden="1" customHeight="1" outlineLevel="1" x14ac:dyDescent="0.25">
      <c r="A13447" s="18">
        <v>5161</v>
      </c>
      <c r="B13447" s="4" t="s">
        <v>44</v>
      </c>
      <c r="C13447" s="38" t="s">
        <v>7894</v>
      </c>
      <c r="D13447" s="18">
        <v>2022</v>
      </c>
      <c r="E13447" s="18" t="s">
        <v>0</v>
      </c>
      <c r="F13447" s="41">
        <v>1</v>
      </c>
      <c r="G13447" s="4">
        <v>8.9</v>
      </c>
      <c r="H13447" s="18">
        <v>18.753160000000001</v>
      </c>
      <c r="I13447" s="90"/>
      <c r="J13447" s="90"/>
    </row>
    <row r="13448" spans="1:10" s="15" customFormat="1" ht="16.5" hidden="1" customHeight="1" outlineLevel="1" x14ac:dyDescent="0.25">
      <c r="A13448" s="18">
        <v>5074</v>
      </c>
      <c r="B13448" s="4" t="s">
        <v>44</v>
      </c>
      <c r="C13448" s="38" t="s">
        <v>7895</v>
      </c>
      <c r="D13448" s="18">
        <v>2022</v>
      </c>
      <c r="E13448" s="18" t="s">
        <v>0</v>
      </c>
      <c r="F13448" s="41">
        <v>1</v>
      </c>
      <c r="G13448" s="4">
        <v>50</v>
      </c>
      <c r="H13448" s="18">
        <v>33.277030000000003</v>
      </c>
      <c r="I13448" s="90"/>
      <c r="J13448" s="90"/>
    </row>
    <row r="13449" spans="1:10" s="15" customFormat="1" ht="16.5" hidden="1" customHeight="1" outlineLevel="1" x14ac:dyDescent="0.25">
      <c r="A13449" s="18">
        <v>5153</v>
      </c>
      <c r="B13449" s="4" t="s">
        <v>44</v>
      </c>
      <c r="C13449" s="38" t="s">
        <v>7896</v>
      </c>
      <c r="D13449" s="18">
        <v>2022</v>
      </c>
      <c r="E13449" s="18" t="s">
        <v>0</v>
      </c>
      <c r="F13449" s="41">
        <v>1</v>
      </c>
      <c r="G13449" s="4">
        <v>13.9</v>
      </c>
      <c r="H13449" s="18">
        <v>17.30789</v>
      </c>
      <c r="I13449" s="90"/>
      <c r="J13449" s="90"/>
    </row>
    <row r="13450" spans="1:10" s="15" customFormat="1" ht="16.5" hidden="1" customHeight="1" outlineLevel="1" x14ac:dyDescent="0.25">
      <c r="A13450" s="18">
        <v>5154</v>
      </c>
      <c r="B13450" s="4" t="s">
        <v>44</v>
      </c>
      <c r="C13450" s="38" t="s">
        <v>7897</v>
      </c>
      <c r="D13450" s="18">
        <v>2022</v>
      </c>
      <c r="E13450" s="18" t="s">
        <v>0</v>
      </c>
      <c r="F13450" s="41">
        <v>1</v>
      </c>
      <c r="G13450" s="4">
        <v>15</v>
      </c>
      <c r="H13450" s="18">
        <v>16.086500000000001</v>
      </c>
      <c r="I13450" s="90"/>
      <c r="J13450" s="90"/>
    </row>
    <row r="13451" spans="1:10" s="15" customFormat="1" ht="16.5" hidden="1" customHeight="1" outlineLevel="1" x14ac:dyDescent="0.25">
      <c r="A13451" s="18">
        <v>5155</v>
      </c>
      <c r="B13451" s="4" t="s">
        <v>44</v>
      </c>
      <c r="C13451" s="38" t="s">
        <v>7898</v>
      </c>
      <c r="D13451" s="18">
        <v>2022</v>
      </c>
      <c r="E13451" s="18" t="s">
        <v>0</v>
      </c>
      <c r="F13451" s="41">
        <v>1</v>
      </c>
      <c r="G13451" s="4">
        <v>14</v>
      </c>
      <c r="H13451" s="18">
        <v>16.718509999999998</v>
      </c>
      <c r="I13451" s="90"/>
      <c r="J13451" s="90"/>
    </row>
    <row r="13452" spans="1:10" s="15" customFormat="1" ht="16.5" hidden="1" customHeight="1" outlineLevel="1" x14ac:dyDescent="0.25">
      <c r="A13452" s="18">
        <v>5156</v>
      </c>
      <c r="B13452" s="4" t="s">
        <v>44</v>
      </c>
      <c r="C13452" s="38" t="s">
        <v>7899</v>
      </c>
      <c r="D13452" s="18">
        <v>2022</v>
      </c>
      <c r="E13452" s="18" t="s">
        <v>0</v>
      </c>
      <c r="F13452" s="41">
        <v>1</v>
      </c>
      <c r="G13452" s="4">
        <v>7.5</v>
      </c>
      <c r="H13452" s="18">
        <v>16.71857</v>
      </c>
      <c r="I13452" s="90"/>
      <c r="J13452" s="90"/>
    </row>
    <row r="13453" spans="1:10" s="15" customFormat="1" ht="16.5" hidden="1" customHeight="1" outlineLevel="1" x14ac:dyDescent="0.25">
      <c r="A13453" s="18">
        <v>5157</v>
      </c>
      <c r="B13453" s="4" t="s">
        <v>44</v>
      </c>
      <c r="C13453" s="38" t="s">
        <v>7900</v>
      </c>
      <c r="D13453" s="18">
        <v>2022</v>
      </c>
      <c r="E13453" s="18" t="s">
        <v>0</v>
      </c>
      <c r="F13453" s="41">
        <v>1</v>
      </c>
      <c r="G13453" s="4">
        <v>7.5</v>
      </c>
      <c r="H13453" s="18">
        <v>16.718520000000002</v>
      </c>
      <c r="I13453" s="90"/>
      <c r="J13453" s="90"/>
    </row>
    <row r="13454" spans="1:10" s="15" customFormat="1" ht="16.5" hidden="1" customHeight="1" outlineLevel="1" x14ac:dyDescent="0.25">
      <c r="A13454" s="18">
        <v>5158</v>
      </c>
      <c r="B13454" s="4" t="s">
        <v>44</v>
      </c>
      <c r="C13454" s="38" t="s">
        <v>7901</v>
      </c>
      <c r="D13454" s="18">
        <v>2022</v>
      </c>
      <c r="E13454" s="18" t="s">
        <v>0</v>
      </c>
      <c r="F13454" s="41">
        <v>1</v>
      </c>
      <c r="G13454" s="4">
        <v>7.5</v>
      </c>
      <c r="H13454" s="18">
        <v>16.72336</v>
      </c>
      <c r="I13454" s="90"/>
      <c r="J13454" s="90"/>
    </row>
    <row r="13455" spans="1:10" s="15" customFormat="1" ht="16.5" hidden="1" customHeight="1" outlineLevel="1" x14ac:dyDescent="0.25">
      <c r="A13455" s="18">
        <v>5159</v>
      </c>
      <c r="B13455" s="4" t="s">
        <v>44</v>
      </c>
      <c r="C13455" s="38" t="s">
        <v>7902</v>
      </c>
      <c r="D13455" s="18">
        <v>2022</v>
      </c>
      <c r="E13455" s="18" t="s">
        <v>0</v>
      </c>
      <c r="F13455" s="41">
        <v>1</v>
      </c>
      <c r="G13455" s="4">
        <v>90</v>
      </c>
      <c r="H13455" s="18">
        <v>30.049479999999999</v>
      </c>
      <c r="I13455" s="90"/>
      <c r="J13455" s="90"/>
    </row>
    <row r="13456" spans="1:10" s="15" customFormat="1" ht="16.5" hidden="1" customHeight="1" outlineLevel="1" x14ac:dyDescent="0.25">
      <c r="A13456" s="18">
        <v>5223</v>
      </c>
      <c r="B13456" s="4" t="s">
        <v>44</v>
      </c>
      <c r="C13456" s="38" t="s">
        <v>7903</v>
      </c>
      <c r="D13456" s="18">
        <v>2022</v>
      </c>
      <c r="E13456" s="18" t="s">
        <v>0</v>
      </c>
      <c r="F13456" s="41">
        <v>1</v>
      </c>
      <c r="G13456" s="4">
        <v>13.8</v>
      </c>
      <c r="H13456" s="18">
        <v>17.477419999999999</v>
      </c>
      <c r="I13456" s="90"/>
      <c r="J13456" s="90"/>
    </row>
    <row r="13457" spans="1:10" s="15" customFormat="1" ht="16.5" hidden="1" customHeight="1" outlineLevel="1" x14ac:dyDescent="0.25">
      <c r="A13457" s="18">
        <v>5222</v>
      </c>
      <c r="B13457" s="4" t="s">
        <v>44</v>
      </c>
      <c r="C13457" s="38" t="s">
        <v>7904</v>
      </c>
      <c r="D13457" s="18">
        <v>2022</v>
      </c>
      <c r="E13457" s="18" t="s">
        <v>0</v>
      </c>
      <c r="F13457" s="41">
        <v>1</v>
      </c>
      <c r="G13457" s="4">
        <v>15</v>
      </c>
      <c r="H13457" s="18">
        <v>16.975100000000001</v>
      </c>
      <c r="I13457" s="90"/>
      <c r="J13457" s="90"/>
    </row>
    <row r="13458" spans="1:10" s="15" customFormat="1" ht="16.5" hidden="1" customHeight="1" outlineLevel="1" x14ac:dyDescent="0.25">
      <c r="A13458" s="18">
        <v>5221</v>
      </c>
      <c r="B13458" s="4" t="s">
        <v>44</v>
      </c>
      <c r="C13458" s="38" t="s">
        <v>7905</v>
      </c>
      <c r="D13458" s="18">
        <v>2022</v>
      </c>
      <c r="E13458" s="18" t="s">
        <v>0</v>
      </c>
      <c r="F13458" s="41">
        <v>1</v>
      </c>
      <c r="G13458" s="4">
        <v>10</v>
      </c>
      <c r="H13458" s="18">
        <v>27.19078</v>
      </c>
      <c r="I13458" s="90"/>
      <c r="J13458" s="90"/>
    </row>
    <row r="13459" spans="1:10" s="15" customFormat="1" ht="16.5" hidden="1" customHeight="1" outlineLevel="1" x14ac:dyDescent="0.25">
      <c r="A13459" s="18">
        <v>5220</v>
      </c>
      <c r="B13459" s="4" t="s">
        <v>44</v>
      </c>
      <c r="C13459" s="38" t="s">
        <v>7906</v>
      </c>
      <c r="D13459" s="18">
        <v>2022</v>
      </c>
      <c r="E13459" s="18" t="s">
        <v>0</v>
      </c>
      <c r="F13459" s="41">
        <v>1</v>
      </c>
      <c r="G13459" s="4">
        <v>10</v>
      </c>
      <c r="H13459" s="18">
        <v>27.368300000000001</v>
      </c>
      <c r="I13459" s="90"/>
      <c r="J13459" s="90"/>
    </row>
    <row r="13460" spans="1:10" s="15" customFormat="1" ht="16.5" hidden="1" customHeight="1" outlineLevel="1" x14ac:dyDescent="0.25">
      <c r="A13460" s="18">
        <v>5219</v>
      </c>
      <c r="B13460" s="4" t="s">
        <v>44</v>
      </c>
      <c r="C13460" s="38" t="s">
        <v>7907</v>
      </c>
      <c r="D13460" s="18">
        <v>2022</v>
      </c>
      <c r="E13460" s="18" t="s">
        <v>0</v>
      </c>
      <c r="F13460" s="41">
        <v>1</v>
      </c>
      <c r="G13460" s="4">
        <v>10</v>
      </c>
      <c r="H13460" s="18">
        <v>27.190770000000001</v>
      </c>
      <c r="I13460" s="90"/>
      <c r="J13460" s="90"/>
    </row>
    <row r="13461" spans="1:10" s="15" customFormat="1" ht="16.5" hidden="1" customHeight="1" outlineLevel="1" x14ac:dyDescent="0.25">
      <c r="A13461" s="18">
        <v>5218</v>
      </c>
      <c r="B13461" s="4" t="s">
        <v>44</v>
      </c>
      <c r="C13461" s="38" t="s">
        <v>7908</v>
      </c>
      <c r="D13461" s="18">
        <v>2022</v>
      </c>
      <c r="E13461" s="18" t="s">
        <v>0</v>
      </c>
      <c r="F13461" s="41">
        <v>1</v>
      </c>
      <c r="G13461" s="4">
        <v>10</v>
      </c>
      <c r="H13461" s="18">
        <v>27.19078</v>
      </c>
      <c r="I13461" s="90"/>
      <c r="J13461" s="90"/>
    </row>
    <row r="13462" spans="1:10" s="15" customFormat="1" ht="16.5" hidden="1" customHeight="1" outlineLevel="1" x14ac:dyDescent="0.25">
      <c r="A13462" s="18">
        <v>5217</v>
      </c>
      <c r="B13462" s="4" t="s">
        <v>44</v>
      </c>
      <c r="C13462" s="38" t="s">
        <v>7909</v>
      </c>
      <c r="D13462" s="18">
        <v>2022</v>
      </c>
      <c r="E13462" s="18" t="s">
        <v>0</v>
      </c>
      <c r="F13462" s="41">
        <v>1</v>
      </c>
      <c r="G13462" s="4">
        <v>10</v>
      </c>
      <c r="H13462" s="18">
        <v>16.79758</v>
      </c>
      <c r="I13462" s="90"/>
      <c r="J13462" s="90"/>
    </row>
    <row r="13463" spans="1:10" s="15" customFormat="1" ht="16.5" hidden="1" customHeight="1" outlineLevel="1" x14ac:dyDescent="0.25">
      <c r="A13463" s="18">
        <v>5215</v>
      </c>
      <c r="B13463" s="4" t="s">
        <v>44</v>
      </c>
      <c r="C13463" s="38" t="s">
        <v>7910</v>
      </c>
      <c r="D13463" s="18">
        <v>2022</v>
      </c>
      <c r="E13463" s="18" t="s">
        <v>0</v>
      </c>
      <c r="F13463" s="41">
        <v>1</v>
      </c>
      <c r="G13463" s="4">
        <v>10</v>
      </c>
      <c r="H13463" s="18">
        <v>28.788440000000001</v>
      </c>
      <c r="I13463" s="90"/>
      <c r="J13463" s="90"/>
    </row>
    <row r="13464" spans="1:10" s="15" customFormat="1" ht="16.5" hidden="1" customHeight="1" outlineLevel="1" x14ac:dyDescent="0.25">
      <c r="A13464" s="18">
        <v>5097</v>
      </c>
      <c r="B13464" s="4" t="s">
        <v>44</v>
      </c>
      <c r="C13464" s="38" t="s">
        <v>7911</v>
      </c>
      <c r="D13464" s="18">
        <v>2022</v>
      </c>
      <c r="E13464" s="18" t="s">
        <v>0</v>
      </c>
      <c r="F13464" s="41">
        <v>1</v>
      </c>
      <c r="G13464" s="4">
        <v>12</v>
      </c>
      <c r="H13464" s="18">
        <v>26.891690000000001</v>
      </c>
      <c r="I13464" s="90"/>
      <c r="J13464" s="90"/>
    </row>
    <row r="13465" spans="1:10" s="15" customFormat="1" ht="16.5" hidden="1" customHeight="1" outlineLevel="1" x14ac:dyDescent="0.25">
      <c r="A13465" s="18">
        <v>5096</v>
      </c>
      <c r="B13465" s="4" t="s">
        <v>44</v>
      </c>
      <c r="C13465" s="38" t="s">
        <v>7912</v>
      </c>
      <c r="D13465" s="18">
        <v>2022</v>
      </c>
      <c r="E13465" s="18" t="s">
        <v>0</v>
      </c>
      <c r="F13465" s="41">
        <v>1</v>
      </c>
      <c r="G13465" s="4">
        <v>3.4</v>
      </c>
      <c r="H13465" s="18">
        <v>26.89161</v>
      </c>
      <c r="I13465" s="90"/>
      <c r="J13465" s="90"/>
    </row>
    <row r="13466" spans="1:10" s="15" customFormat="1" ht="16.5" hidden="1" customHeight="1" outlineLevel="1" x14ac:dyDescent="0.25">
      <c r="A13466" s="18">
        <v>5095</v>
      </c>
      <c r="B13466" s="4" t="s">
        <v>44</v>
      </c>
      <c r="C13466" s="38" t="s">
        <v>7913</v>
      </c>
      <c r="D13466" s="18">
        <v>2022</v>
      </c>
      <c r="E13466" s="18" t="s">
        <v>0</v>
      </c>
      <c r="F13466" s="41">
        <v>1</v>
      </c>
      <c r="G13466" s="4">
        <v>15</v>
      </c>
      <c r="H13466" s="18">
        <v>30.738250000000001</v>
      </c>
      <c r="I13466" s="90"/>
      <c r="J13466" s="90"/>
    </row>
    <row r="13467" spans="1:10" s="15" customFormat="1" ht="16.5" hidden="1" customHeight="1" outlineLevel="1" x14ac:dyDescent="0.25">
      <c r="A13467" s="18">
        <v>5094</v>
      </c>
      <c r="B13467" s="4" t="s">
        <v>44</v>
      </c>
      <c r="C13467" s="38" t="s">
        <v>7914</v>
      </c>
      <c r="D13467" s="18">
        <v>2022</v>
      </c>
      <c r="E13467" s="18" t="s">
        <v>0</v>
      </c>
      <c r="F13467" s="41">
        <v>1</v>
      </c>
      <c r="G13467" s="4">
        <v>15</v>
      </c>
      <c r="H13467" s="18">
        <v>27.684429999999999</v>
      </c>
      <c r="I13467" s="90"/>
      <c r="J13467" s="90"/>
    </row>
    <row r="13468" spans="1:10" s="15" customFormat="1" ht="16.5" hidden="1" customHeight="1" outlineLevel="1" x14ac:dyDescent="0.25">
      <c r="A13468" s="18">
        <v>5093</v>
      </c>
      <c r="B13468" s="4" t="s">
        <v>44</v>
      </c>
      <c r="C13468" s="38" t="s">
        <v>7915</v>
      </c>
      <c r="D13468" s="18">
        <v>2022</v>
      </c>
      <c r="E13468" s="18" t="s">
        <v>0</v>
      </c>
      <c r="F13468" s="41">
        <v>1</v>
      </c>
      <c r="G13468" s="4">
        <v>15</v>
      </c>
      <c r="H13468" s="18">
        <v>28.983920000000001</v>
      </c>
      <c r="I13468" s="90"/>
      <c r="J13468" s="90"/>
    </row>
    <row r="13469" spans="1:10" s="15" customFormat="1" ht="16.5" hidden="1" customHeight="1" outlineLevel="1" x14ac:dyDescent="0.25">
      <c r="A13469" s="18">
        <v>5092</v>
      </c>
      <c r="B13469" s="4" t="s">
        <v>44</v>
      </c>
      <c r="C13469" s="38" t="s">
        <v>7916</v>
      </c>
      <c r="D13469" s="18">
        <v>2022</v>
      </c>
      <c r="E13469" s="18" t="s">
        <v>0</v>
      </c>
      <c r="F13469" s="41">
        <v>1</v>
      </c>
      <c r="G13469" s="4">
        <v>15</v>
      </c>
      <c r="H13469" s="18">
        <v>28.983920000000001</v>
      </c>
      <c r="I13469" s="90"/>
      <c r="J13469" s="90"/>
    </row>
    <row r="13470" spans="1:10" s="15" customFormat="1" ht="16.5" hidden="1" customHeight="1" outlineLevel="1" x14ac:dyDescent="0.25">
      <c r="A13470" s="18">
        <v>5091</v>
      </c>
      <c r="B13470" s="4" t="s">
        <v>44</v>
      </c>
      <c r="C13470" s="38" t="s">
        <v>7917</v>
      </c>
      <c r="D13470" s="18">
        <v>2022</v>
      </c>
      <c r="E13470" s="18" t="s">
        <v>0</v>
      </c>
      <c r="F13470" s="41">
        <v>1</v>
      </c>
      <c r="G13470" s="4">
        <v>10</v>
      </c>
      <c r="H13470" s="18">
        <v>34.99344</v>
      </c>
      <c r="I13470" s="90"/>
      <c r="J13470" s="90"/>
    </row>
    <row r="13471" spans="1:10" s="15" customFormat="1" ht="16.5" hidden="1" customHeight="1" outlineLevel="1" x14ac:dyDescent="0.25">
      <c r="A13471" s="18">
        <v>5090</v>
      </c>
      <c r="B13471" s="4" t="s">
        <v>44</v>
      </c>
      <c r="C13471" s="38" t="s">
        <v>7918</v>
      </c>
      <c r="D13471" s="18">
        <v>2022</v>
      </c>
      <c r="E13471" s="18" t="s">
        <v>0</v>
      </c>
      <c r="F13471" s="41">
        <v>1</v>
      </c>
      <c r="G13471" s="4">
        <v>10</v>
      </c>
      <c r="H13471" s="18">
        <v>39.886429999999997</v>
      </c>
      <c r="I13471" s="90"/>
      <c r="J13471" s="90"/>
    </row>
    <row r="13472" spans="1:10" s="15" customFormat="1" ht="16.5" hidden="1" customHeight="1" outlineLevel="1" x14ac:dyDescent="0.25">
      <c r="A13472" s="18">
        <v>5089</v>
      </c>
      <c r="B13472" s="4" t="s">
        <v>44</v>
      </c>
      <c r="C13472" s="38" t="s">
        <v>7919</v>
      </c>
      <c r="D13472" s="18">
        <v>2022</v>
      </c>
      <c r="E13472" s="18" t="s">
        <v>0</v>
      </c>
      <c r="F13472" s="41">
        <v>1</v>
      </c>
      <c r="G13472" s="4">
        <v>15</v>
      </c>
      <c r="H13472" s="18">
        <v>29.946760000000001</v>
      </c>
      <c r="I13472" s="90"/>
      <c r="J13472" s="90"/>
    </row>
    <row r="13473" spans="1:10" s="15" customFormat="1" ht="16.5" hidden="1" customHeight="1" outlineLevel="1" x14ac:dyDescent="0.25">
      <c r="A13473" s="18">
        <v>5088</v>
      </c>
      <c r="B13473" s="4" t="s">
        <v>44</v>
      </c>
      <c r="C13473" s="38" t="s">
        <v>7920</v>
      </c>
      <c r="D13473" s="18">
        <v>2022</v>
      </c>
      <c r="E13473" s="18" t="s">
        <v>0</v>
      </c>
      <c r="F13473" s="41">
        <v>1</v>
      </c>
      <c r="G13473" s="4">
        <v>10</v>
      </c>
      <c r="H13473" s="18">
        <v>29.94678</v>
      </c>
      <c r="I13473" s="90"/>
      <c r="J13473" s="90"/>
    </row>
    <row r="13474" spans="1:10" s="15" customFormat="1" ht="16.5" hidden="1" customHeight="1" outlineLevel="1" x14ac:dyDescent="0.25">
      <c r="A13474" s="18">
        <v>5086</v>
      </c>
      <c r="B13474" s="4" t="s">
        <v>44</v>
      </c>
      <c r="C13474" s="38" t="s">
        <v>7921</v>
      </c>
      <c r="D13474" s="18">
        <v>2022</v>
      </c>
      <c r="E13474" s="18" t="s">
        <v>0</v>
      </c>
      <c r="F13474" s="41">
        <v>1</v>
      </c>
      <c r="G13474" s="4">
        <v>10</v>
      </c>
      <c r="H13474" s="18">
        <v>29.434750000000001</v>
      </c>
      <c r="I13474" s="90"/>
      <c r="J13474" s="90"/>
    </row>
    <row r="13475" spans="1:10" s="15" customFormat="1" ht="16.5" hidden="1" customHeight="1" outlineLevel="1" x14ac:dyDescent="0.25">
      <c r="A13475" s="18">
        <v>5085</v>
      </c>
      <c r="B13475" s="4" t="s">
        <v>44</v>
      </c>
      <c r="C13475" s="38" t="s">
        <v>7922</v>
      </c>
      <c r="D13475" s="18">
        <v>2022</v>
      </c>
      <c r="E13475" s="18" t="s">
        <v>0</v>
      </c>
      <c r="F13475" s="41">
        <v>1</v>
      </c>
      <c r="G13475" s="4">
        <v>9</v>
      </c>
      <c r="H13475" s="18">
        <v>29.436769999999999</v>
      </c>
      <c r="I13475" s="90"/>
      <c r="J13475" s="90"/>
    </row>
    <row r="13476" spans="1:10" s="15" customFormat="1" ht="16.5" hidden="1" customHeight="1" outlineLevel="1" x14ac:dyDescent="0.25">
      <c r="A13476" s="18">
        <v>5082</v>
      </c>
      <c r="B13476" s="4" t="s">
        <v>44</v>
      </c>
      <c r="C13476" s="38" t="s">
        <v>7923</v>
      </c>
      <c r="D13476" s="18">
        <v>2022</v>
      </c>
      <c r="E13476" s="18" t="s">
        <v>0</v>
      </c>
      <c r="F13476" s="41">
        <v>1</v>
      </c>
      <c r="G13476" s="4">
        <v>15</v>
      </c>
      <c r="H13476" s="18">
        <v>28.950330000000001</v>
      </c>
      <c r="I13476" s="90"/>
      <c r="J13476" s="90"/>
    </row>
    <row r="13477" spans="1:10" s="15" customFormat="1" ht="16.5" hidden="1" customHeight="1" outlineLevel="1" x14ac:dyDescent="0.25">
      <c r="A13477" s="18">
        <v>5081</v>
      </c>
      <c r="B13477" s="4" t="s">
        <v>44</v>
      </c>
      <c r="C13477" s="38" t="s">
        <v>7924</v>
      </c>
      <c r="D13477" s="18">
        <v>2022</v>
      </c>
      <c r="E13477" s="18" t="s">
        <v>0</v>
      </c>
      <c r="F13477" s="41">
        <v>1</v>
      </c>
      <c r="G13477" s="4">
        <v>8</v>
      </c>
      <c r="H13477" s="18">
        <v>28.152249999999999</v>
      </c>
      <c r="I13477" s="90"/>
      <c r="J13477" s="90"/>
    </row>
    <row r="13478" spans="1:10" s="15" customFormat="1" ht="16.5" hidden="1" customHeight="1" outlineLevel="1" x14ac:dyDescent="0.25">
      <c r="A13478" s="18">
        <v>5080</v>
      </c>
      <c r="B13478" s="4" t="s">
        <v>44</v>
      </c>
      <c r="C13478" s="38" t="s">
        <v>7925</v>
      </c>
      <c r="D13478" s="18">
        <v>2022</v>
      </c>
      <c r="E13478" s="18" t="s">
        <v>0</v>
      </c>
      <c r="F13478" s="41">
        <v>1</v>
      </c>
      <c r="G13478" s="4">
        <v>10</v>
      </c>
      <c r="H13478" s="18">
        <v>28.087330000000001</v>
      </c>
      <c r="I13478" s="90"/>
      <c r="J13478" s="90"/>
    </row>
    <row r="13479" spans="1:10" s="15" customFormat="1" ht="16.5" hidden="1" customHeight="1" outlineLevel="1" x14ac:dyDescent="0.25">
      <c r="A13479" s="18">
        <v>5370</v>
      </c>
      <c r="B13479" s="4" t="s">
        <v>44</v>
      </c>
      <c r="C13479" s="38" t="s">
        <v>7926</v>
      </c>
      <c r="D13479" s="18">
        <v>2022</v>
      </c>
      <c r="E13479" s="18" t="s">
        <v>0</v>
      </c>
      <c r="F13479" s="41">
        <v>1</v>
      </c>
      <c r="G13479" s="4">
        <v>10</v>
      </c>
      <c r="H13479" s="18">
        <v>29.644259999999999</v>
      </c>
      <c r="I13479" s="90"/>
      <c r="J13479" s="90"/>
    </row>
    <row r="13480" spans="1:10" s="15" customFormat="1" ht="16.5" hidden="1" customHeight="1" outlineLevel="1" x14ac:dyDescent="0.25">
      <c r="A13480" s="18">
        <v>5369</v>
      </c>
      <c r="B13480" s="4" t="s">
        <v>44</v>
      </c>
      <c r="C13480" s="38" t="s">
        <v>7927</v>
      </c>
      <c r="D13480" s="18">
        <v>2022</v>
      </c>
      <c r="E13480" s="18" t="s">
        <v>0</v>
      </c>
      <c r="F13480" s="41">
        <v>1</v>
      </c>
      <c r="G13480" s="4">
        <v>10</v>
      </c>
      <c r="H13480" s="18">
        <v>29.681229999999999</v>
      </c>
      <c r="I13480" s="90"/>
      <c r="J13480" s="90"/>
    </row>
    <row r="13481" spans="1:10" s="15" customFormat="1" ht="16.5" hidden="1" customHeight="1" outlineLevel="1" x14ac:dyDescent="0.25">
      <c r="A13481" s="18">
        <v>5368</v>
      </c>
      <c r="B13481" s="4" t="s">
        <v>44</v>
      </c>
      <c r="C13481" s="38" t="s">
        <v>7928</v>
      </c>
      <c r="D13481" s="18">
        <v>2022</v>
      </c>
      <c r="E13481" s="18" t="s">
        <v>0</v>
      </c>
      <c r="F13481" s="41">
        <v>1</v>
      </c>
      <c r="G13481" s="4">
        <v>10</v>
      </c>
      <c r="H13481" s="18">
        <v>29.564350000000001</v>
      </c>
      <c r="I13481" s="90"/>
      <c r="J13481" s="90"/>
    </row>
    <row r="13482" spans="1:10" s="15" customFormat="1" ht="16.5" hidden="1" customHeight="1" outlineLevel="1" x14ac:dyDescent="0.25">
      <c r="A13482" s="18">
        <v>5367</v>
      </c>
      <c r="B13482" s="4" t="s">
        <v>44</v>
      </c>
      <c r="C13482" s="38" t="s">
        <v>7929</v>
      </c>
      <c r="D13482" s="18">
        <v>2022</v>
      </c>
      <c r="E13482" s="18" t="s">
        <v>0</v>
      </c>
      <c r="F13482" s="41">
        <v>1</v>
      </c>
      <c r="G13482" s="4">
        <v>10</v>
      </c>
      <c r="H13482" s="18">
        <v>26.030619999999999</v>
      </c>
      <c r="I13482" s="90"/>
      <c r="J13482" s="90"/>
    </row>
    <row r="13483" spans="1:10" s="15" customFormat="1" ht="16.5" hidden="1" customHeight="1" outlineLevel="1" x14ac:dyDescent="0.25">
      <c r="A13483" s="18">
        <v>5366</v>
      </c>
      <c r="B13483" s="4" t="s">
        <v>44</v>
      </c>
      <c r="C13483" s="38" t="s">
        <v>7930</v>
      </c>
      <c r="D13483" s="18">
        <v>2022</v>
      </c>
      <c r="E13483" s="18" t="s">
        <v>0</v>
      </c>
      <c r="F13483" s="41">
        <v>1</v>
      </c>
      <c r="G13483" s="4">
        <v>10</v>
      </c>
      <c r="H13483" s="18">
        <v>26.142130000000002</v>
      </c>
      <c r="I13483" s="90"/>
      <c r="J13483" s="90"/>
    </row>
    <row r="13484" spans="1:10" s="15" customFormat="1" ht="16.5" hidden="1" customHeight="1" outlineLevel="1" x14ac:dyDescent="0.25">
      <c r="A13484" s="18">
        <v>5365</v>
      </c>
      <c r="B13484" s="4" t="s">
        <v>44</v>
      </c>
      <c r="C13484" s="38" t="s">
        <v>7931</v>
      </c>
      <c r="D13484" s="18">
        <v>2022</v>
      </c>
      <c r="E13484" s="18" t="s">
        <v>0</v>
      </c>
      <c r="F13484" s="41">
        <v>1</v>
      </c>
      <c r="G13484" s="4">
        <v>15</v>
      </c>
      <c r="H13484" s="18">
        <v>28.358360000000001</v>
      </c>
      <c r="I13484" s="90"/>
      <c r="J13484" s="90"/>
    </row>
    <row r="13485" spans="1:10" s="15" customFormat="1" ht="16.5" hidden="1" customHeight="1" outlineLevel="1" x14ac:dyDescent="0.25">
      <c r="A13485" s="18">
        <v>5364</v>
      </c>
      <c r="B13485" s="4" t="s">
        <v>44</v>
      </c>
      <c r="C13485" s="38" t="s">
        <v>7932</v>
      </c>
      <c r="D13485" s="18">
        <v>2022</v>
      </c>
      <c r="E13485" s="18" t="s">
        <v>0</v>
      </c>
      <c r="F13485" s="41">
        <v>1</v>
      </c>
      <c r="G13485" s="4">
        <v>9.5</v>
      </c>
      <c r="H13485" s="18">
        <v>43.062489999999997</v>
      </c>
      <c r="I13485" s="90"/>
      <c r="J13485" s="90"/>
    </row>
    <row r="13486" spans="1:10" s="15" customFormat="1" ht="16.5" hidden="1" customHeight="1" outlineLevel="1" x14ac:dyDescent="0.25">
      <c r="A13486" s="18">
        <v>5362</v>
      </c>
      <c r="B13486" s="4" t="s">
        <v>44</v>
      </c>
      <c r="C13486" s="38" t="s">
        <v>7933</v>
      </c>
      <c r="D13486" s="18">
        <v>2022</v>
      </c>
      <c r="E13486" s="18" t="s">
        <v>0</v>
      </c>
      <c r="F13486" s="41">
        <v>1</v>
      </c>
      <c r="G13486" s="4">
        <v>15</v>
      </c>
      <c r="H13486" s="18">
        <v>28.278359999999999</v>
      </c>
      <c r="I13486" s="90"/>
      <c r="J13486" s="90"/>
    </row>
    <row r="13487" spans="1:10" s="15" customFormat="1" ht="16.5" hidden="1" customHeight="1" outlineLevel="1" x14ac:dyDescent="0.25">
      <c r="A13487" s="18">
        <v>5393</v>
      </c>
      <c r="B13487" s="4" t="s">
        <v>44</v>
      </c>
      <c r="C13487" s="38" t="s">
        <v>7934</v>
      </c>
      <c r="D13487" s="18">
        <v>2022</v>
      </c>
      <c r="E13487" s="18" t="s">
        <v>0</v>
      </c>
      <c r="F13487" s="41">
        <v>1</v>
      </c>
      <c r="G13487" s="4">
        <v>10</v>
      </c>
      <c r="H13487" s="18">
        <v>35.51773</v>
      </c>
      <c r="I13487" s="90"/>
      <c r="J13487" s="90"/>
    </row>
    <row r="13488" spans="1:10" s="15" customFormat="1" ht="16.5" hidden="1" customHeight="1" outlineLevel="1" x14ac:dyDescent="0.25">
      <c r="A13488" s="18">
        <v>5394</v>
      </c>
      <c r="B13488" s="4" t="s">
        <v>44</v>
      </c>
      <c r="C13488" s="38" t="s">
        <v>7935</v>
      </c>
      <c r="D13488" s="18">
        <v>2022</v>
      </c>
      <c r="E13488" s="18" t="s">
        <v>0</v>
      </c>
      <c r="F13488" s="41">
        <v>1</v>
      </c>
      <c r="G13488" s="4">
        <v>15</v>
      </c>
      <c r="H13488" s="18">
        <v>35.469639999999998</v>
      </c>
      <c r="I13488" s="90"/>
      <c r="J13488" s="90"/>
    </row>
    <row r="13489" spans="1:10" s="15" customFormat="1" ht="16.5" hidden="1" customHeight="1" outlineLevel="1" x14ac:dyDescent="0.25">
      <c r="A13489" s="18">
        <v>5416</v>
      </c>
      <c r="B13489" s="4" t="s">
        <v>44</v>
      </c>
      <c r="C13489" s="38" t="s">
        <v>7936</v>
      </c>
      <c r="D13489" s="18">
        <v>2022</v>
      </c>
      <c r="E13489" s="18" t="s">
        <v>0</v>
      </c>
      <c r="F13489" s="41">
        <v>1</v>
      </c>
      <c r="G13489" s="4">
        <v>15</v>
      </c>
      <c r="H13489" s="18">
        <v>25.97213</v>
      </c>
      <c r="I13489" s="90"/>
      <c r="J13489" s="90"/>
    </row>
    <row r="13490" spans="1:10" s="15" customFormat="1" ht="16.5" hidden="1" customHeight="1" outlineLevel="1" x14ac:dyDescent="0.25">
      <c r="A13490" s="18">
        <v>5415</v>
      </c>
      <c r="B13490" s="4" t="s">
        <v>44</v>
      </c>
      <c r="C13490" s="38" t="s">
        <v>7937</v>
      </c>
      <c r="D13490" s="18">
        <v>2022</v>
      </c>
      <c r="E13490" s="18" t="s">
        <v>0</v>
      </c>
      <c r="F13490" s="41">
        <v>1</v>
      </c>
      <c r="G13490" s="4">
        <v>4</v>
      </c>
      <c r="H13490" s="18">
        <v>26.216930000000001</v>
      </c>
      <c r="I13490" s="90"/>
      <c r="J13490" s="90"/>
    </row>
    <row r="13491" spans="1:10" s="15" customFormat="1" ht="16.5" hidden="1" customHeight="1" outlineLevel="1" x14ac:dyDescent="0.25">
      <c r="A13491" s="18">
        <v>5414</v>
      </c>
      <c r="B13491" s="4" t="s">
        <v>44</v>
      </c>
      <c r="C13491" s="38" t="s">
        <v>7938</v>
      </c>
      <c r="D13491" s="18">
        <v>2022</v>
      </c>
      <c r="E13491" s="18" t="s">
        <v>0</v>
      </c>
      <c r="F13491" s="41">
        <v>1</v>
      </c>
      <c r="G13491" s="4">
        <v>13.1</v>
      </c>
      <c r="H13491" s="18">
        <v>25.972100000000001</v>
      </c>
      <c r="I13491" s="90"/>
      <c r="J13491" s="90"/>
    </row>
    <row r="13492" spans="1:10" s="15" customFormat="1" ht="16.5" hidden="1" customHeight="1" outlineLevel="1" x14ac:dyDescent="0.25">
      <c r="A13492" s="18">
        <v>5413</v>
      </c>
      <c r="B13492" s="4" t="s">
        <v>44</v>
      </c>
      <c r="C13492" s="38" t="s">
        <v>7939</v>
      </c>
      <c r="D13492" s="18">
        <v>2022</v>
      </c>
      <c r="E13492" s="18" t="s">
        <v>0</v>
      </c>
      <c r="F13492" s="41">
        <v>1</v>
      </c>
      <c r="G13492" s="4">
        <v>10</v>
      </c>
      <c r="H13492" s="18">
        <v>27.479710000000001</v>
      </c>
      <c r="I13492" s="90"/>
      <c r="J13492" s="90"/>
    </row>
    <row r="13493" spans="1:10" s="15" customFormat="1" ht="16.5" hidden="1" customHeight="1" outlineLevel="1" x14ac:dyDescent="0.25">
      <c r="A13493" s="18">
        <v>5412</v>
      </c>
      <c r="B13493" s="4" t="s">
        <v>44</v>
      </c>
      <c r="C13493" s="38" t="s">
        <v>7940</v>
      </c>
      <c r="D13493" s="18">
        <v>2022</v>
      </c>
      <c r="E13493" s="18" t="s">
        <v>0</v>
      </c>
      <c r="F13493" s="41">
        <v>1</v>
      </c>
      <c r="G13493" s="4">
        <v>5.5</v>
      </c>
      <c r="H13493" s="18">
        <v>28.64986</v>
      </c>
      <c r="I13493" s="90"/>
      <c r="J13493" s="90"/>
    </row>
    <row r="13494" spans="1:10" s="15" customFormat="1" ht="16.5" hidden="1" customHeight="1" outlineLevel="1" x14ac:dyDescent="0.25">
      <c r="A13494" s="18">
        <v>5411</v>
      </c>
      <c r="B13494" s="4" t="s">
        <v>44</v>
      </c>
      <c r="C13494" s="38" t="s">
        <v>7941</v>
      </c>
      <c r="D13494" s="18">
        <v>2022</v>
      </c>
      <c r="E13494" s="18" t="s">
        <v>0</v>
      </c>
      <c r="F13494" s="41">
        <v>1</v>
      </c>
      <c r="G13494" s="4">
        <v>0.75</v>
      </c>
      <c r="H13494" s="18">
        <v>26.128150000000002</v>
      </c>
      <c r="I13494" s="90"/>
      <c r="J13494" s="90"/>
    </row>
    <row r="13495" spans="1:10" s="15" customFormat="1" ht="16.5" hidden="1" customHeight="1" outlineLevel="1" x14ac:dyDescent="0.25">
      <c r="A13495" s="18">
        <v>5409</v>
      </c>
      <c r="B13495" s="4" t="s">
        <v>44</v>
      </c>
      <c r="C13495" s="38" t="s">
        <v>7942</v>
      </c>
      <c r="D13495" s="18">
        <v>2022</v>
      </c>
      <c r="E13495" s="18" t="s">
        <v>0</v>
      </c>
      <c r="F13495" s="41">
        <v>1</v>
      </c>
      <c r="G13495" s="4">
        <v>15</v>
      </c>
      <c r="H13495" s="18">
        <v>27.359580000000001</v>
      </c>
      <c r="I13495" s="90"/>
      <c r="J13495" s="90"/>
    </row>
    <row r="13496" spans="1:10" s="15" customFormat="1" ht="16.5" hidden="1" customHeight="1" outlineLevel="1" x14ac:dyDescent="0.25">
      <c r="A13496" s="18">
        <v>5408</v>
      </c>
      <c r="B13496" s="4" t="s">
        <v>44</v>
      </c>
      <c r="C13496" s="38" t="s">
        <v>7943</v>
      </c>
      <c r="D13496" s="18">
        <v>2022</v>
      </c>
      <c r="E13496" s="18" t="s">
        <v>0</v>
      </c>
      <c r="F13496" s="41">
        <v>1</v>
      </c>
      <c r="G13496" s="4">
        <v>14</v>
      </c>
      <c r="H13496" s="18">
        <v>29.832889999999999</v>
      </c>
      <c r="I13496" s="90"/>
      <c r="J13496" s="90"/>
    </row>
    <row r="13497" spans="1:10" s="15" customFormat="1" ht="16.5" hidden="1" customHeight="1" outlineLevel="1" x14ac:dyDescent="0.25">
      <c r="A13497" s="18">
        <v>5407</v>
      </c>
      <c r="B13497" s="4" t="s">
        <v>44</v>
      </c>
      <c r="C13497" s="38" t="s">
        <v>7944</v>
      </c>
      <c r="D13497" s="18">
        <v>2022</v>
      </c>
      <c r="E13497" s="18" t="s">
        <v>0</v>
      </c>
      <c r="F13497" s="41">
        <v>1</v>
      </c>
      <c r="G13497" s="4">
        <v>12</v>
      </c>
      <c r="H13497" s="18">
        <v>29.86703</v>
      </c>
      <c r="I13497" s="90"/>
      <c r="J13497" s="90"/>
    </row>
    <row r="13498" spans="1:10" s="15" customFormat="1" ht="16.5" hidden="1" customHeight="1" outlineLevel="1" x14ac:dyDescent="0.25">
      <c r="A13498" s="18">
        <v>5406</v>
      </c>
      <c r="B13498" s="4" t="s">
        <v>44</v>
      </c>
      <c r="C13498" s="38" t="s">
        <v>7945</v>
      </c>
      <c r="D13498" s="18">
        <v>2022</v>
      </c>
      <c r="E13498" s="18" t="s">
        <v>0</v>
      </c>
      <c r="F13498" s="41">
        <v>1</v>
      </c>
      <c r="G13498" s="4">
        <v>15</v>
      </c>
      <c r="H13498" s="18">
        <v>34.873359999999998</v>
      </c>
      <c r="I13498" s="90"/>
      <c r="J13498" s="90"/>
    </row>
    <row r="13499" spans="1:10" s="15" customFormat="1" ht="16.5" hidden="1" customHeight="1" outlineLevel="1" x14ac:dyDescent="0.25">
      <c r="A13499" s="18">
        <v>5405</v>
      </c>
      <c r="B13499" s="4" t="s">
        <v>44</v>
      </c>
      <c r="C13499" s="38" t="s">
        <v>7946</v>
      </c>
      <c r="D13499" s="18">
        <v>2022</v>
      </c>
      <c r="E13499" s="18" t="s">
        <v>0</v>
      </c>
      <c r="F13499" s="41">
        <v>1</v>
      </c>
      <c r="G13499" s="4">
        <v>10</v>
      </c>
      <c r="H13499" s="18">
        <v>27.302520000000001</v>
      </c>
      <c r="I13499" s="90"/>
      <c r="J13499" s="90"/>
    </row>
    <row r="13500" spans="1:10" s="15" customFormat="1" ht="16.5" hidden="1" customHeight="1" outlineLevel="1" x14ac:dyDescent="0.25">
      <c r="A13500" s="18">
        <v>5403</v>
      </c>
      <c r="B13500" s="4" t="s">
        <v>44</v>
      </c>
      <c r="C13500" s="38" t="s">
        <v>7947</v>
      </c>
      <c r="D13500" s="18">
        <v>2022</v>
      </c>
      <c r="E13500" s="18" t="s">
        <v>0</v>
      </c>
      <c r="F13500" s="41">
        <v>1</v>
      </c>
      <c r="G13500" s="4">
        <v>10</v>
      </c>
      <c r="H13500" s="18">
        <v>27.410209999999999</v>
      </c>
      <c r="I13500" s="90"/>
      <c r="J13500" s="90"/>
    </row>
    <row r="13501" spans="1:10" s="15" customFormat="1" ht="16.5" hidden="1" customHeight="1" outlineLevel="1" x14ac:dyDescent="0.25">
      <c r="A13501" s="18">
        <v>5402</v>
      </c>
      <c r="B13501" s="4" t="s">
        <v>44</v>
      </c>
      <c r="C13501" s="38" t="s">
        <v>7948</v>
      </c>
      <c r="D13501" s="18">
        <v>2022</v>
      </c>
      <c r="E13501" s="18" t="s">
        <v>0</v>
      </c>
      <c r="F13501" s="41">
        <v>1</v>
      </c>
      <c r="G13501" s="4">
        <v>13</v>
      </c>
      <c r="H13501" s="18">
        <v>27.16808</v>
      </c>
      <c r="I13501" s="90"/>
      <c r="J13501" s="90"/>
    </row>
    <row r="13502" spans="1:10" s="15" customFormat="1" ht="16.5" hidden="1" customHeight="1" outlineLevel="1" x14ac:dyDescent="0.25">
      <c r="A13502" s="18">
        <v>5401</v>
      </c>
      <c r="B13502" s="4" t="s">
        <v>44</v>
      </c>
      <c r="C13502" s="38" t="s">
        <v>7949</v>
      </c>
      <c r="D13502" s="18">
        <v>2022</v>
      </c>
      <c r="E13502" s="18" t="s">
        <v>0</v>
      </c>
      <c r="F13502" s="41">
        <v>1</v>
      </c>
      <c r="G13502" s="4">
        <v>15</v>
      </c>
      <c r="H13502" s="18">
        <v>31.88531</v>
      </c>
      <c r="I13502" s="90"/>
      <c r="J13502" s="90"/>
    </row>
    <row r="13503" spans="1:10" s="15" customFormat="1" ht="16.5" hidden="1" customHeight="1" outlineLevel="1" x14ac:dyDescent="0.25">
      <c r="A13503" s="18">
        <v>5400</v>
      </c>
      <c r="B13503" s="4" t="s">
        <v>44</v>
      </c>
      <c r="C13503" s="38" t="s">
        <v>7950</v>
      </c>
      <c r="D13503" s="18">
        <v>2022</v>
      </c>
      <c r="E13503" s="18" t="s">
        <v>0</v>
      </c>
      <c r="F13503" s="41">
        <v>1</v>
      </c>
      <c r="G13503" s="4">
        <v>5</v>
      </c>
      <c r="H13503" s="18">
        <v>27.082190000000001</v>
      </c>
      <c r="I13503" s="90"/>
      <c r="J13503" s="90"/>
    </row>
    <row r="13504" spans="1:10" s="15" customFormat="1" ht="16.5" hidden="1" customHeight="1" outlineLevel="1" x14ac:dyDescent="0.25">
      <c r="A13504" s="18">
        <v>5371</v>
      </c>
      <c r="B13504" s="4" t="s">
        <v>44</v>
      </c>
      <c r="C13504" s="38" t="s">
        <v>7951</v>
      </c>
      <c r="D13504" s="18">
        <v>2022</v>
      </c>
      <c r="E13504" s="18" t="s">
        <v>0</v>
      </c>
      <c r="F13504" s="41">
        <v>1</v>
      </c>
      <c r="G13504" s="4">
        <v>10</v>
      </c>
      <c r="H13504" s="18">
        <v>29.694089999999999</v>
      </c>
      <c r="I13504" s="90"/>
      <c r="J13504" s="90"/>
    </row>
    <row r="13505" spans="1:10" s="15" customFormat="1" ht="16.5" hidden="1" customHeight="1" outlineLevel="1" x14ac:dyDescent="0.25">
      <c r="A13505" s="18">
        <v>5372</v>
      </c>
      <c r="B13505" s="4" t="s">
        <v>44</v>
      </c>
      <c r="C13505" s="38" t="s">
        <v>7952</v>
      </c>
      <c r="D13505" s="18">
        <v>2022</v>
      </c>
      <c r="E13505" s="18" t="s">
        <v>0</v>
      </c>
      <c r="F13505" s="41">
        <v>1</v>
      </c>
      <c r="G13505" s="4">
        <v>15</v>
      </c>
      <c r="H13505" s="18">
        <v>33.91968</v>
      </c>
      <c r="I13505" s="90"/>
      <c r="J13505" s="90"/>
    </row>
    <row r="13506" spans="1:10" s="15" customFormat="1" ht="16.5" hidden="1" customHeight="1" outlineLevel="1" x14ac:dyDescent="0.25">
      <c r="A13506" s="18">
        <v>5373</v>
      </c>
      <c r="B13506" s="4" t="s">
        <v>44</v>
      </c>
      <c r="C13506" s="38" t="s">
        <v>7953</v>
      </c>
      <c r="D13506" s="18">
        <v>2022</v>
      </c>
      <c r="E13506" s="18" t="s">
        <v>0</v>
      </c>
      <c r="F13506" s="41">
        <v>1</v>
      </c>
      <c r="G13506" s="4">
        <v>10</v>
      </c>
      <c r="H13506" s="18">
        <v>41.81071</v>
      </c>
      <c r="I13506" s="90"/>
      <c r="J13506" s="90"/>
    </row>
    <row r="13507" spans="1:10" s="15" customFormat="1" ht="16.5" hidden="1" customHeight="1" outlineLevel="1" x14ac:dyDescent="0.25">
      <c r="A13507" s="18">
        <v>5374</v>
      </c>
      <c r="B13507" s="4" t="s">
        <v>44</v>
      </c>
      <c r="C13507" s="38" t="s">
        <v>7954</v>
      </c>
      <c r="D13507" s="18">
        <v>2022</v>
      </c>
      <c r="E13507" s="18" t="s">
        <v>0</v>
      </c>
      <c r="F13507" s="41">
        <v>1</v>
      </c>
      <c r="G13507" s="4">
        <v>7</v>
      </c>
      <c r="H13507" s="18">
        <v>27.66086</v>
      </c>
      <c r="I13507" s="90"/>
      <c r="J13507" s="90"/>
    </row>
    <row r="13508" spans="1:10" s="15" customFormat="1" ht="16.5" hidden="1" customHeight="1" outlineLevel="1" x14ac:dyDescent="0.25">
      <c r="A13508" s="18">
        <v>5376</v>
      </c>
      <c r="B13508" s="4" t="s">
        <v>44</v>
      </c>
      <c r="C13508" s="38" t="s">
        <v>7955</v>
      </c>
      <c r="D13508" s="18">
        <v>2022</v>
      </c>
      <c r="E13508" s="18" t="s">
        <v>0</v>
      </c>
      <c r="F13508" s="41">
        <v>1</v>
      </c>
      <c r="G13508" s="4">
        <v>4</v>
      </c>
      <c r="H13508" s="18">
        <v>27.70551</v>
      </c>
      <c r="I13508" s="90"/>
      <c r="J13508" s="90"/>
    </row>
    <row r="13509" spans="1:10" s="15" customFormat="1" ht="16.5" hidden="1" customHeight="1" outlineLevel="1" x14ac:dyDescent="0.25">
      <c r="A13509" s="18">
        <v>5377</v>
      </c>
      <c r="B13509" s="4" t="s">
        <v>44</v>
      </c>
      <c r="C13509" s="38" t="s">
        <v>7956</v>
      </c>
      <c r="D13509" s="18">
        <v>2022</v>
      </c>
      <c r="E13509" s="18" t="s">
        <v>0</v>
      </c>
      <c r="F13509" s="41">
        <v>1</v>
      </c>
      <c r="G13509" s="4">
        <v>13</v>
      </c>
      <c r="H13509" s="18">
        <v>31.901009999999999</v>
      </c>
      <c r="I13509" s="90"/>
      <c r="J13509" s="90"/>
    </row>
    <row r="13510" spans="1:10" s="15" customFormat="1" ht="16.5" hidden="1" customHeight="1" outlineLevel="1" x14ac:dyDescent="0.25">
      <c r="A13510" s="18">
        <v>5378</v>
      </c>
      <c r="B13510" s="4" t="s">
        <v>44</v>
      </c>
      <c r="C13510" s="38" t="s">
        <v>7957</v>
      </c>
      <c r="D13510" s="18">
        <v>2022</v>
      </c>
      <c r="E13510" s="18" t="s">
        <v>0</v>
      </c>
      <c r="F13510" s="41">
        <v>1</v>
      </c>
      <c r="G13510" s="4">
        <v>15</v>
      </c>
      <c r="H13510" s="18">
        <v>40.201450000000001</v>
      </c>
      <c r="I13510" s="90"/>
      <c r="J13510" s="90"/>
    </row>
    <row r="13511" spans="1:10" s="15" customFormat="1" ht="16.5" hidden="1" customHeight="1" outlineLevel="1" x14ac:dyDescent="0.25">
      <c r="A13511" s="18">
        <v>5379</v>
      </c>
      <c r="B13511" s="4" t="s">
        <v>44</v>
      </c>
      <c r="C13511" s="38" t="s">
        <v>7958</v>
      </c>
      <c r="D13511" s="18">
        <v>2022</v>
      </c>
      <c r="E13511" s="18" t="s">
        <v>0</v>
      </c>
      <c r="F13511" s="41">
        <v>1</v>
      </c>
      <c r="G13511" s="4">
        <v>15</v>
      </c>
      <c r="H13511" s="18">
        <v>33.502600000000001</v>
      </c>
      <c r="I13511" s="90"/>
      <c r="J13511" s="90"/>
    </row>
    <row r="13512" spans="1:10" s="15" customFormat="1" ht="16.5" hidden="1" customHeight="1" outlineLevel="1" x14ac:dyDescent="0.25">
      <c r="A13512" s="18">
        <v>5380</v>
      </c>
      <c r="B13512" s="4" t="s">
        <v>44</v>
      </c>
      <c r="C13512" s="38" t="s">
        <v>7959</v>
      </c>
      <c r="D13512" s="18">
        <v>2022</v>
      </c>
      <c r="E13512" s="18" t="s">
        <v>0</v>
      </c>
      <c r="F13512" s="41">
        <v>1</v>
      </c>
      <c r="G13512" s="4">
        <v>15</v>
      </c>
      <c r="H13512" s="18">
        <v>27.62463</v>
      </c>
      <c r="I13512" s="90"/>
      <c r="J13512" s="90"/>
    </row>
    <row r="13513" spans="1:10" s="15" customFormat="1" ht="16.5" hidden="1" customHeight="1" outlineLevel="1" x14ac:dyDescent="0.25">
      <c r="A13513" s="18">
        <v>5381</v>
      </c>
      <c r="B13513" s="4" t="s">
        <v>44</v>
      </c>
      <c r="C13513" s="38" t="s">
        <v>7960</v>
      </c>
      <c r="D13513" s="18">
        <v>2022</v>
      </c>
      <c r="E13513" s="18" t="s">
        <v>0</v>
      </c>
      <c r="F13513" s="41">
        <v>1</v>
      </c>
      <c r="G13513" s="4">
        <v>7</v>
      </c>
      <c r="H13513" s="18">
        <v>32.344639999999998</v>
      </c>
      <c r="I13513" s="90"/>
      <c r="J13513" s="90"/>
    </row>
    <row r="13514" spans="1:10" s="15" customFormat="1" ht="16.5" hidden="1" customHeight="1" outlineLevel="1" x14ac:dyDescent="0.25">
      <c r="A13514" s="18">
        <v>5383</v>
      </c>
      <c r="B13514" s="4" t="s">
        <v>44</v>
      </c>
      <c r="C13514" s="38" t="s">
        <v>7961</v>
      </c>
      <c r="D13514" s="18">
        <v>2022</v>
      </c>
      <c r="E13514" s="18" t="s">
        <v>0</v>
      </c>
      <c r="F13514" s="41">
        <v>1</v>
      </c>
      <c r="G13514" s="4">
        <v>10</v>
      </c>
      <c r="H13514" s="18">
        <v>27.838850000000001</v>
      </c>
      <c r="I13514" s="90"/>
      <c r="J13514" s="90"/>
    </row>
    <row r="13515" spans="1:10" s="15" customFormat="1" ht="16.5" hidden="1" customHeight="1" outlineLevel="1" x14ac:dyDescent="0.25">
      <c r="A13515" s="18">
        <v>5384</v>
      </c>
      <c r="B13515" s="4" t="s">
        <v>44</v>
      </c>
      <c r="C13515" s="38" t="s">
        <v>7962</v>
      </c>
      <c r="D13515" s="18">
        <v>2022</v>
      </c>
      <c r="E13515" s="18" t="s">
        <v>0</v>
      </c>
      <c r="F13515" s="41">
        <v>1</v>
      </c>
      <c r="G13515" s="4">
        <v>10</v>
      </c>
      <c r="H13515" s="18">
        <v>27.365349999999999</v>
      </c>
      <c r="I13515" s="90"/>
      <c r="J13515" s="90"/>
    </row>
    <row r="13516" spans="1:10" s="15" customFormat="1" ht="16.5" hidden="1" customHeight="1" outlineLevel="1" x14ac:dyDescent="0.25">
      <c r="A13516" s="18">
        <v>5385</v>
      </c>
      <c r="B13516" s="4" t="s">
        <v>44</v>
      </c>
      <c r="C13516" s="38" t="s">
        <v>7963</v>
      </c>
      <c r="D13516" s="18">
        <v>2022</v>
      </c>
      <c r="E13516" s="18" t="s">
        <v>0</v>
      </c>
      <c r="F13516" s="41">
        <v>1</v>
      </c>
      <c r="G13516" s="4">
        <v>9.8000000000000007</v>
      </c>
      <c r="H13516" s="18">
        <v>29.100809999999999</v>
      </c>
      <c r="I13516" s="90"/>
      <c r="J13516" s="90"/>
    </row>
    <row r="13517" spans="1:10" s="15" customFormat="1" ht="16.5" hidden="1" customHeight="1" outlineLevel="1" x14ac:dyDescent="0.25">
      <c r="A13517" s="18">
        <v>5386</v>
      </c>
      <c r="B13517" s="4" t="s">
        <v>44</v>
      </c>
      <c r="C13517" s="38" t="s">
        <v>7964</v>
      </c>
      <c r="D13517" s="18">
        <v>2022</v>
      </c>
      <c r="E13517" s="18" t="s">
        <v>0</v>
      </c>
      <c r="F13517" s="41">
        <v>1</v>
      </c>
      <c r="G13517" s="4">
        <v>10</v>
      </c>
      <c r="H13517" s="18">
        <v>27.600899999999999</v>
      </c>
      <c r="I13517" s="90"/>
      <c r="J13517" s="90"/>
    </row>
    <row r="13518" spans="1:10" s="15" customFormat="1" ht="16.5" hidden="1" customHeight="1" outlineLevel="1" x14ac:dyDescent="0.25">
      <c r="A13518" s="18">
        <v>5392</v>
      </c>
      <c r="B13518" s="4" t="s">
        <v>44</v>
      </c>
      <c r="C13518" s="38" t="s">
        <v>7965</v>
      </c>
      <c r="D13518" s="18">
        <v>2022</v>
      </c>
      <c r="E13518" s="18" t="s">
        <v>0</v>
      </c>
      <c r="F13518" s="41">
        <v>1</v>
      </c>
      <c r="G13518" s="4">
        <v>9.6</v>
      </c>
      <c r="H13518" s="18">
        <v>30.12388</v>
      </c>
      <c r="I13518" s="90"/>
      <c r="J13518" s="90"/>
    </row>
    <row r="13519" spans="1:10" s="15" customFormat="1" ht="16.5" hidden="1" customHeight="1" outlineLevel="1" x14ac:dyDescent="0.25">
      <c r="A13519" s="18">
        <v>5389</v>
      </c>
      <c r="B13519" s="4" t="s">
        <v>44</v>
      </c>
      <c r="C13519" s="38" t="s">
        <v>7966</v>
      </c>
      <c r="D13519" s="18">
        <v>2022</v>
      </c>
      <c r="E13519" s="18" t="s">
        <v>0</v>
      </c>
      <c r="F13519" s="41">
        <v>1</v>
      </c>
      <c r="G13519" s="4">
        <v>13</v>
      </c>
      <c r="H13519" s="18">
        <v>27.791250000000002</v>
      </c>
      <c r="I13519" s="90"/>
      <c r="J13519" s="90"/>
    </row>
    <row r="13520" spans="1:10" s="15" customFormat="1" ht="16.5" hidden="1" customHeight="1" outlineLevel="1" x14ac:dyDescent="0.25">
      <c r="A13520" s="18">
        <v>5391</v>
      </c>
      <c r="B13520" s="4" t="s">
        <v>44</v>
      </c>
      <c r="C13520" s="38" t="s">
        <v>7967</v>
      </c>
      <c r="D13520" s="18">
        <v>2022</v>
      </c>
      <c r="E13520" s="18" t="s">
        <v>0</v>
      </c>
      <c r="F13520" s="41">
        <v>1</v>
      </c>
      <c r="G13520" s="4">
        <v>9.1999999999999993</v>
      </c>
      <c r="H13520" s="18">
        <v>29.552890000000001</v>
      </c>
      <c r="I13520" s="90"/>
      <c r="J13520" s="90"/>
    </row>
    <row r="13521" spans="1:10" s="15" customFormat="1" ht="16.5" hidden="1" customHeight="1" outlineLevel="1" x14ac:dyDescent="0.25">
      <c r="A13521" s="18">
        <v>5252</v>
      </c>
      <c r="B13521" s="4" t="s">
        <v>44</v>
      </c>
      <c r="C13521" s="38" t="s">
        <v>7968</v>
      </c>
      <c r="D13521" s="18">
        <v>2022</v>
      </c>
      <c r="E13521" s="18" t="s">
        <v>0</v>
      </c>
      <c r="F13521" s="41">
        <v>1</v>
      </c>
      <c r="G13521" s="4">
        <v>9</v>
      </c>
      <c r="H13521" s="18">
        <v>52.401000000000003</v>
      </c>
      <c r="I13521" s="90"/>
      <c r="J13521" s="90"/>
    </row>
    <row r="13522" spans="1:10" s="15" customFormat="1" ht="16.5" hidden="1" customHeight="1" outlineLevel="1" x14ac:dyDescent="0.25">
      <c r="A13522" s="18">
        <v>5253</v>
      </c>
      <c r="B13522" s="4" t="s">
        <v>44</v>
      </c>
      <c r="C13522" s="38" t="s">
        <v>7969</v>
      </c>
      <c r="D13522" s="18">
        <v>2022</v>
      </c>
      <c r="E13522" s="18" t="s">
        <v>0</v>
      </c>
      <c r="F13522" s="41">
        <v>1</v>
      </c>
      <c r="G13522" s="4">
        <v>15</v>
      </c>
      <c r="H13522" s="18">
        <v>45.483980000000003</v>
      </c>
      <c r="I13522" s="90"/>
      <c r="J13522" s="90"/>
    </row>
    <row r="13523" spans="1:10" s="15" customFormat="1" ht="16.5" hidden="1" customHeight="1" outlineLevel="1" x14ac:dyDescent="0.25">
      <c r="A13523" s="18">
        <v>5254</v>
      </c>
      <c r="B13523" s="4" t="s">
        <v>44</v>
      </c>
      <c r="C13523" s="38" t="s">
        <v>7970</v>
      </c>
      <c r="D13523" s="18">
        <v>2022</v>
      </c>
      <c r="E13523" s="18" t="s">
        <v>0</v>
      </c>
      <c r="F13523" s="41">
        <v>1</v>
      </c>
      <c r="G13523" s="4">
        <v>15</v>
      </c>
      <c r="H13523" s="18">
        <v>51.499130000000001</v>
      </c>
      <c r="I13523" s="90"/>
      <c r="J13523" s="90"/>
    </row>
    <row r="13524" spans="1:10" s="15" customFormat="1" ht="16.5" hidden="1" customHeight="1" outlineLevel="1" x14ac:dyDescent="0.25">
      <c r="A13524" s="18">
        <v>5255</v>
      </c>
      <c r="B13524" s="4" t="s">
        <v>44</v>
      </c>
      <c r="C13524" s="38" t="s">
        <v>7971</v>
      </c>
      <c r="D13524" s="18">
        <v>2022</v>
      </c>
      <c r="E13524" s="18" t="s">
        <v>0</v>
      </c>
      <c r="F13524" s="41">
        <v>1</v>
      </c>
      <c r="G13524" s="4">
        <v>10</v>
      </c>
      <c r="H13524" s="18">
        <v>52.081580000000002</v>
      </c>
      <c r="I13524" s="90"/>
      <c r="J13524" s="90"/>
    </row>
    <row r="13525" spans="1:10" s="15" customFormat="1" ht="16.5" hidden="1" customHeight="1" outlineLevel="1" x14ac:dyDescent="0.25">
      <c r="A13525" s="18">
        <v>5247</v>
      </c>
      <c r="B13525" s="4" t="s">
        <v>44</v>
      </c>
      <c r="C13525" s="38" t="s">
        <v>7972</v>
      </c>
      <c r="D13525" s="18">
        <v>2022</v>
      </c>
      <c r="E13525" s="18" t="s">
        <v>0</v>
      </c>
      <c r="F13525" s="41">
        <v>1</v>
      </c>
      <c r="G13525" s="4">
        <v>15</v>
      </c>
      <c r="H13525" s="18">
        <v>58.707099999999997</v>
      </c>
      <c r="I13525" s="90"/>
      <c r="J13525" s="90"/>
    </row>
    <row r="13526" spans="1:10" s="15" customFormat="1" ht="16.5" hidden="1" customHeight="1" outlineLevel="1" x14ac:dyDescent="0.25">
      <c r="A13526" s="18">
        <v>5248</v>
      </c>
      <c r="B13526" s="4" t="s">
        <v>44</v>
      </c>
      <c r="C13526" s="38" t="s">
        <v>7973</v>
      </c>
      <c r="D13526" s="18">
        <v>2022</v>
      </c>
      <c r="E13526" s="18" t="s">
        <v>0</v>
      </c>
      <c r="F13526" s="41">
        <v>1</v>
      </c>
      <c r="G13526" s="4">
        <v>10</v>
      </c>
      <c r="H13526" s="18">
        <v>52.059179999999998</v>
      </c>
      <c r="I13526" s="90"/>
      <c r="J13526" s="90"/>
    </row>
    <row r="13527" spans="1:10" s="15" customFormat="1" ht="16.5" hidden="1" customHeight="1" outlineLevel="1" x14ac:dyDescent="0.25">
      <c r="A13527" s="18">
        <v>5249</v>
      </c>
      <c r="B13527" s="4" t="s">
        <v>44</v>
      </c>
      <c r="C13527" s="38" t="s">
        <v>7974</v>
      </c>
      <c r="D13527" s="18">
        <v>2022</v>
      </c>
      <c r="E13527" s="18" t="s">
        <v>0</v>
      </c>
      <c r="F13527" s="41">
        <v>1</v>
      </c>
      <c r="G13527" s="4">
        <v>10</v>
      </c>
      <c r="H13527" s="18">
        <v>27.262810000000002</v>
      </c>
      <c r="I13527" s="90"/>
      <c r="J13527" s="90"/>
    </row>
    <row r="13528" spans="1:10" s="15" customFormat="1" ht="16.5" hidden="1" customHeight="1" outlineLevel="1" x14ac:dyDescent="0.25">
      <c r="A13528" s="18">
        <v>5250</v>
      </c>
      <c r="B13528" s="4" t="s">
        <v>44</v>
      </c>
      <c r="C13528" s="38" t="s">
        <v>7975</v>
      </c>
      <c r="D13528" s="18">
        <v>2022</v>
      </c>
      <c r="E13528" s="18" t="s">
        <v>0</v>
      </c>
      <c r="F13528" s="41">
        <v>1</v>
      </c>
      <c r="G13528" s="4">
        <v>10</v>
      </c>
      <c r="H13528" s="18">
        <v>55.383139999999997</v>
      </c>
      <c r="I13528" s="90"/>
      <c r="J13528" s="90"/>
    </row>
    <row r="13529" spans="1:10" s="15" customFormat="1" ht="16.5" hidden="1" customHeight="1" outlineLevel="1" x14ac:dyDescent="0.25">
      <c r="A13529" s="18">
        <v>5251</v>
      </c>
      <c r="B13529" s="4" t="s">
        <v>44</v>
      </c>
      <c r="C13529" s="38" t="s">
        <v>7976</v>
      </c>
      <c r="D13529" s="18">
        <v>2022</v>
      </c>
      <c r="E13529" s="18" t="s">
        <v>0</v>
      </c>
      <c r="F13529" s="41">
        <v>1</v>
      </c>
      <c r="G13529" s="4">
        <v>15</v>
      </c>
      <c r="H13529" s="18">
        <v>30.58681</v>
      </c>
      <c r="I13529" s="90"/>
      <c r="J13529" s="90"/>
    </row>
    <row r="13530" spans="1:10" s="15" customFormat="1" ht="16.5" hidden="1" customHeight="1" outlineLevel="1" x14ac:dyDescent="0.25">
      <c r="A13530" s="18">
        <v>5242</v>
      </c>
      <c r="B13530" s="4" t="s">
        <v>44</v>
      </c>
      <c r="C13530" s="38" t="s">
        <v>7977</v>
      </c>
      <c r="D13530" s="18">
        <v>2022</v>
      </c>
      <c r="E13530" s="18" t="s">
        <v>0</v>
      </c>
      <c r="F13530" s="41">
        <v>1</v>
      </c>
      <c r="G13530" s="4">
        <v>10</v>
      </c>
      <c r="H13530" s="18">
        <v>55.428069999999998</v>
      </c>
      <c r="I13530" s="90"/>
      <c r="J13530" s="90"/>
    </row>
    <row r="13531" spans="1:10" s="15" customFormat="1" ht="16.5" hidden="1" customHeight="1" outlineLevel="1" x14ac:dyDescent="0.25">
      <c r="A13531" s="18">
        <v>5243</v>
      </c>
      <c r="B13531" s="4" t="s">
        <v>44</v>
      </c>
      <c r="C13531" s="38" t="s">
        <v>7978</v>
      </c>
      <c r="D13531" s="18">
        <v>2022</v>
      </c>
      <c r="E13531" s="18" t="s">
        <v>0</v>
      </c>
      <c r="F13531" s="41">
        <v>1</v>
      </c>
      <c r="G13531" s="4">
        <v>10</v>
      </c>
      <c r="H13531" s="18">
        <v>28.340890000000002</v>
      </c>
      <c r="I13531" s="90"/>
      <c r="J13531" s="90"/>
    </row>
    <row r="13532" spans="1:10" s="15" customFormat="1" ht="16.5" hidden="1" customHeight="1" outlineLevel="1" x14ac:dyDescent="0.25">
      <c r="A13532" s="18">
        <v>5244</v>
      </c>
      <c r="B13532" s="4" t="s">
        <v>44</v>
      </c>
      <c r="C13532" s="38" t="s">
        <v>7979</v>
      </c>
      <c r="D13532" s="18">
        <v>2022</v>
      </c>
      <c r="E13532" s="18" t="s">
        <v>0</v>
      </c>
      <c r="F13532" s="41">
        <v>1</v>
      </c>
      <c r="G13532" s="4">
        <v>15</v>
      </c>
      <c r="H13532" s="18">
        <v>55.420870000000001</v>
      </c>
      <c r="I13532" s="90"/>
      <c r="J13532" s="90"/>
    </row>
    <row r="13533" spans="1:10" s="15" customFormat="1" ht="16.5" hidden="1" customHeight="1" outlineLevel="1" x14ac:dyDescent="0.25">
      <c r="A13533" s="18">
        <v>5237</v>
      </c>
      <c r="B13533" s="4" t="s">
        <v>44</v>
      </c>
      <c r="C13533" s="38" t="s">
        <v>7980</v>
      </c>
      <c r="D13533" s="18">
        <v>2022</v>
      </c>
      <c r="E13533" s="18" t="s">
        <v>0</v>
      </c>
      <c r="F13533" s="41">
        <v>1</v>
      </c>
      <c r="G13533" s="4">
        <v>11</v>
      </c>
      <c r="H13533" s="18">
        <v>29.624659999999999</v>
      </c>
      <c r="I13533" s="90"/>
      <c r="J13533" s="90"/>
    </row>
    <row r="13534" spans="1:10" s="15" customFormat="1" ht="16.5" hidden="1" customHeight="1" outlineLevel="1" x14ac:dyDescent="0.25">
      <c r="A13534" s="18">
        <v>5246</v>
      </c>
      <c r="B13534" s="4" t="s">
        <v>44</v>
      </c>
      <c r="C13534" s="38" t="s">
        <v>7981</v>
      </c>
      <c r="D13534" s="18">
        <v>2022</v>
      </c>
      <c r="E13534" s="18" t="s">
        <v>0</v>
      </c>
      <c r="F13534" s="41">
        <v>1</v>
      </c>
      <c r="G13534" s="4">
        <v>7</v>
      </c>
      <c r="H13534" s="18">
        <v>29.624639999999999</v>
      </c>
      <c r="I13534" s="90"/>
      <c r="J13534" s="90"/>
    </row>
    <row r="13535" spans="1:10" s="15" customFormat="1" ht="16.5" hidden="1" customHeight="1" outlineLevel="1" x14ac:dyDescent="0.25">
      <c r="A13535" s="18">
        <v>5238</v>
      </c>
      <c r="B13535" s="4" t="s">
        <v>44</v>
      </c>
      <c r="C13535" s="38" t="s">
        <v>7982</v>
      </c>
      <c r="D13535" s="18">
        <v>2022</v>
      </c>
      <c r="E13535" s="18" t="s">
        <v>0</v>
      </c>
      <c r="F13535" s="41">
        <v>1</v>
      </c>
      <c r="G13535" s="4">
        <v>10</v>
      </c>
      <c r="H13535" s="18">
        <v>29.645820000000001</v>
      </c>
      <c r="I13535" s="90"/>
      <c r="J13535" s="90"/>
    </row>
    <row r="13536" spans="1:10" s="15" customFormat="1" ht="16.5" hidden="1" customHeight="1" outlineLevel="1" x14ac:dyDescent="0.25">
      <c r="A13536" s="18">
        <v>5233</v>
      </c>
      <c r="B13536" s="4" t="s">
        <v>44</v>
      </c>
      <c r="C13536" s="38" t="s">
        <v>7983</v>
      </c>
      <c r="D13536" s="18">
        <v>2022</v>
      </c>
      <c r="E13536" s="18" t="s">
        <v>0</v>
      </c>
      <c r="F13536" s="41">
        <v>1</v>
      </c>
      <c r="G13536" s="4">
        <v>14.87</v>
      </c>
      <c r="H13536" s="18">
        <v>29.578869999999998</v>
      </c>
      <c r="I13536" s="90"/>
      <c r="J13536" s="90"/>
    </row>
    <row r="13537" spans="1:10" s="15" customFormat="1" ht="16.5" hidden="1" customHeight="1" outlineLevel="1" x14ac:dyDescent="0.25">
      <c r="A13537" s="18">
        <v>5234</v>
      </c>
      <c r="B13537" s="4" t="s">
        <v>44</v>
      </c>
      <c r="C13537" s="38" t="s">
        <v>7984</v>
      </c>
      <c r="D13537" s="18">
        <v>2022</v>
      </c>
      <c r="E13537" s="18" t="s">
        <v>0</v>
      </c>
      <c r="F13537" s="41">
        <v>1</v>
      </c>
      <c r="G13537" s="4">
        <v>10</v>
      </c>
      <c r="H13537" s="18">
        <v>28.940619999999999</v>
      </c>
      <c r="I13537" s="90"/>
      <c r="J13537" s="90"/>
    </row>
    <row r="13538" spans="1:10" s="15" customFormat="1" ht="16.5" hidden="1" customHeight="1" outlineLevel="1" x14ac:dyDescent="0.25">
      <c r="A13538" s="18">
        <v>5228</v>
      </c>
      <c r="B13538" s="4" t="s">
        <v>44</v>
      </c>
      <c r="C13538" s="38" t="s">
        <v>7985</v>
      </c>
      <c r="D13538" s="18">
        <v>2022</v>
      </c>
      <c r="E13538" s="18" t="s">
        <v>0</v>
      </c>
      <c r="F13538" s="41">
        <v>1</v>
      </c>
      <c r="G13538" s="4">
        <v>9.1999999999999993</v>
      </c>
      <c r="H13538" s="18">
        <v>31.844080000000002</v>
      </c>
      <c r="I13538" s="90"/>
      <c r="J13538" s="90"/>
    </row>
    <row r="13539" spans="1:10" s="15" customFormat="1" ht="16.5" hidden="1" customHeight="1" outlineLevel="1" x14ac:dyDescent="0.25">
      <c r="A13539" s="18">
        <v>5230</v>
      </c>
      <c r="B13539" s="4" t="s">
        <v>44</v>
      </c>
      <c r="C13539" s="38" t="s">
        <v>7986</v>
      </c>
      <c r="D13539" s="18">
        <v>2022</v>
      </c>
      <c r="E13539" s="18" t="s">
        <v>0</v>
      </c>
      <c r="F13539" s="41">
        <v>1</v>
      </c>
      <c r="G13539" s="4">
        <v>15</v>
      </c>
      <c r="H13539" s="18">
        <v>28.59442</v>
      </c>
      <c r="I13539" s="90"/>
      <c r="J13539" s="90"/>
    </row>
    <row r="13540" spans="1:10" s="15" customFormat="1" ht="16.5" hidden="1" customHeight="1" outlineLevel="1" x14ac:dyDescent="0.25">
      <c r="A13540" s="18">
        <v>5229</v>
      </c>
      <c r="B13540" s="4" t="s">
        <v>44</v>
      </c>
      <c r="C13540" s="38" t="s">
        <v>7987</v>
      </c>
      <c r="D13540" s="18">
        <v>2022</v>
      </c>
      <c r="E13540" s="18" t="s">
        <v>0</v>
      </c>
      <c r="F13540" s="41">
        <v>1</v>
      </c>
      <c r="G13540" s="4">
        <v>10</v>
      </c>
      <c r="H13540" s="18">
        <v>29.070260000000001</v>
      </c>
      <c r="I13540" s="90"/>
      <c r="J13540" s="90"/>
    </row>
    <row r="13541" spans="1:10" s="15" customFormat="1" ht="16.5" hidden="1" customHeight="1" outlineLevel="1" x14ac:dyDescent="0.25">
      <c r="A13541" s="18">
        <v>5395</v>
      </c>
      <c r="B13541" s="4" t="s">
        <v>44</v>
      </c>
      <c r="C13541" s="38" t="s">
        <v>2773</v>
      </c>
      <c r="D13541" s="18">
        <v>2022</v>
      </c>
      <c r="E13541" s="18" t="s">
        <v>0</v>
      </c>
      <c r="F13541" s="41">
        <v>1</v>
      </c>
      <c r="G13541" s="4">
        <v>15</v>
      </c>
      <c r="H13541" s="18">
        <v>22</v>
      </c>
      <c r="I13541" s="90"/>
      <c r="J13541" s="90"/>
    </row>
    <row r="13542" spans="1:10" s="15" customFormat="1" ht="16.5" hidden="1" customHeight="1" outlineLevel="1" x14ac:dyDescent="0.25">
      <c r="A13542" s="18">
        <v>5396</v>
      </c>
      <c r="B13542" s="4" t="s">
        <v>44</v>
      </c>
      <c r="C13542" s="38" t="s">
        <v>2774</v>
      </c>
      <c r="D13542" s="18">
        <v>2022</v>
      </c>
      <c r="E13542" s="18" t="s">
        <v>0</v>
      </c>
      <c r="F13542" s="41">
        <v>1</v>
      </c>
      <c r="G13542" s="4">
        <v>15</v>
      </c>
      <c r="H13542" s="18">
        <v>22</v>
      </c>
      <c r="I13542" s="90"/>
      <c r="J13542" s="90"/>
    </row>
    <row r="13543" spans="1:10" s="15" customFormat="1" ht="16.5" hidden="1" customHeight="1" outlineLevel="1" x14ac:dyDescent="0.25">
      <c r="A13543" s="18">
        <v>5397</v>
      </c>
      <c r="B13543" s="4" t="s">
        <v>44</v>
      </c>
      <c r="C13543" s="38" t="s">
        <v>2775</v>
      </c>
      <c r="D13543" s="18">
        <v>2022</v>
      </c>
      <c r="E13543" s="18" t="s">
        <v>0</v>
      </c>
      <c r="F13543" s="41">
        <v>1</v>
      </c>
      <c r="G13543" s="4">
        <v>15</v>
      </c>
      <c r="H13543" s="18">
        <v>22</v>
      </c>
      <c r="I13543" s="90"/>
      <c r="J13543" s="90"/>
    </row>
    <row r="13544" spans="1:10" s="15" customFormat="1" ht="16.5" hidden="1" customHeight="1" outlineLevel="1" x14ac:dyDescent="0.25">
      <c r="A13544" s="18">
        <v>5398</v>
      </c>
      <c r="B13544" s="4" t="s">
        <v>44</v>
      </c>
      <c r="C13544" s="38" t="s">
        <v>2776</v>
      </c>
      <c r="D13544" s="18">
        <v>2022</v>
      </c>
      <c r="E13544" s="18" t="s">
        <v>0</v>
      </c>
      <c r="F13544" s="41">
        <v>1</v>
      </c>
      <c r="G13544" s="4">
        <v>150</v>
      </c>
      <c r="H13544" s="18">
        <v>22</v>
      </c>
      <c r="I13544" s="90"/>
      <c r="J13544" s="90"/>
    </row>
    <row r="13545" spans="1:10" s="15" customFormat="1" ht="16.5" hidden="1" customHeight="1" outlineLevel="1" x14ac:dyDescent="0.25">
      <c r="A13545" s="18">
        <v>5360</v>
      </c>
      <c r="B13545" s="4" t="s">
        <v>44</v>
      </c>
      <c r="C13545" s="38" t="s">
        <v>2777</v>
      </c>
      <c r="D13545" s="18">
        <v>2022</v>
      </c>
      <c r="E13545" s="18" t="s">
        <v>0</v>
      </c>
      <c r="F13545" s="41">
        <v>1</v>
      </c>
      <c r="G13545" s="4">
        <v>15</v>
      </c>
      <c r="H13545" s="18">
        <v>47</v>
      </c>
      <c r="I13545" s="90"/>
      <c r="J13545" s="90"/>
    </row>
    <row r="13546" spans="1:10" s="15" customFormat="1" ht="16.5" hidden="1" customHeight="1" outlineLevel="1" x14ac:dyDescent="0.25">
      <c r="A13546" s="18">
        <v>5361</v>
      </c>
      <c r="B13546" s="4" t="s">
        <v>44</v>
      </c>
      <c r="C13546" s="38" t="s">
        <v>2778</v>
      </c>
      <c r="D13546" s="18">
        <v>2022</v>
      </c>
      <c r="E13546" s="18" t="s">
        <v>0</v>
      </c>
      <c r="F13546" s="41">
        <v>1</v>
      </c>
      <c r="G13546" s="4">
        <v>7.5</v>
      </c>
      <c r="H13546" s="18">
        <v>41</v>
      </c>
      <c r="I13546" s="90"/>
      <c r="J13546" s="90"/>
    </row>
    <row r="13547" spans="1:10" s="15" customFormat="1" ht="16.5" hidden="1" customHeight="1" outlineLevel="1" x14ac:dyDescent="0.25">
      <c r="A13547" s="18">
        <v>5226</v>
      </c>
      <c r="B13547" s="4" t="s">
        <v>44</v>
      </c>
      <c r="C13547" s="38" t="s">
        <v>2779</v>
      </c>
      <c r="D13547" s="18">
        <v>2022</v>
      </c>
      <c r="E13547" s="18" t="s">
        <v>0</v>
      </c>
      <c r="F13547" s="41">
        <v>1</v>
      </c>
      <c r="G13547" s="4">
        <v>13</v>
      </c>
      <c r="H13547" s="18">
        <v>51</v>
      </c>
      <c r="I13547" s="90"/>
      <c r="J13547" s="90"/>
    </row>
    <row r="13548" spans="1:10" s="15" customFormat="1" ht="16.5" hidden="1" customHeight="1" outlineLevel="1" x14ac:dyDescent="0.25">
      <c r="A13548" s="18">
        <v>5227</v>
      </c>
      <c r="B13548" s="4" t="s">
        <v>44</v>
      </c>
      <c r="C13548" s="38" t="s">
        <v>2780</v>
      </c>
      <c r="D13548" s="18">
        <v>2022</v>
      </c>
      <c r="E13548" s="18" t="s">
        <v>0</v>
      </c>
      <c r="F13548" s="41">
        <v>1</v>
      </c>
      <c r="G13548" s="4">
        <v>15</v>
      </c>
      <c r="H13548" s="18">
        <v>51</v>
      </c>
      <c r="I13548" s="90"/>
      <c r="J13548" s="90"/>
    </row>
    <row r="13549" spans="1:10" s="15" customFormat="1" ht="16.5" hidden="1" customHeight="1" outlineLevel="1" x14ac:dyDescent="0.25">
      <c r="A13549" s="18">
        <v>5232</v>
      </c>
      <c r="B13549" s="4" t="s">
        <v>44</v>
      </c>
      <c r="C13549" s="38" t="s">
        <v>7988</v>
      </c>
      <c r="D13549" s="18">
        <v>2022</v>
      </c>
      <c r="E13549" s="18" t="s">
        <v>0</v>
      </c>
      <c r="F13549" s="41">
        <v>1</v>
      </c>
      <c r="G13549" s="4">
        <v>15</v>
      </c>
      <c r="H13549" s="18">
        <v>28</v>
      </c>
      <c r="I13549" s="90"/>
      <c r="J13549" s="90"/>
    </row>
    <row r="13550" spans="1:10" s="15" customFormat="1" ht="16.5" hidden="1" customHeight="1" outlineLevel="1" x14ac:dyDescent="0.25">
      <c r="A13550" s="18">
        <v>5077</v>
      </c>
      <c r="B13550" s="4" t="s">
        <v>44</v>
      </c>
      <c r="C13550" s="38" t="s">
        <v>2781</v>
      </c>
      <c r="D13550" s="18">
        <v>2022</v>
      </c>
      <c r="E13550" s="18" t="s">
        <v>0</v>
      </c>
      <c r="F13550" s="41">
        <v>1</v>
      </c>
      <c r="G13550" s="4">
        <v>15</v>
      </c>
      <c r="H13550" s="18">
        <v>34</v>
      </c>
      <c r="I13550" s="90"/>
      <c r="J13550" s="90"/>
    </row>
    <row r="13551" spans="1:10" s="15" customFormat="1" ht="16.5" hidden="1" customHeight="1" outlineLevel="1" x14ac:dyDescent="0.25">
      <c r="A13551" s="18">
        <v>5076</v>
      </c>
      <c r="B13551" s="4" t="s">
        <v>44</v>
      </c>
      <c r="C13551" s="38" t="s">
        <v>2782</v>
      </c>
      <c r="D13551" s="18">
        <v>2022</v>
      </c>
      <c r="E13551" s="18" t="s">
        <v>0</v>
      </c>
      <c r="F13551" s="41">
        <v>1</v>
      </c>
      <c r="G13551" s="4">
        <v>7.5</v>
      </c>
      <c r="H13551" s="18">
        <v>44</v>
      </c>
      <c r="I13551" s="90"/>
      <c r="J13551" s="90"/>
    </row>
    <row r="13552" spans="1:10" s="15" customFormat="1" ht="16.5" hidden="1" customHeight="1" outlineLevel="1" x14ac:dyDescent="0.25">
      <c r="A13552" s="18">
        <v>5084</v>
      </c>
      <c r="B13552" s="4" t="s">
        <v>44</v>
      </c>
      <c r="C13552" s="38" t="s">
        <v>7989</v>
      </c>
      <c r="D13552" s="18">
        <v>2022</v>
      </c>
      <c r="E13552" s="18" t="s">
        <v>0</v>
      </c>
      <c r="F13552" s="41">
        <v>1</v>
      </c>
      <c r="G13552" s="4">
        <v>20</v>
      </c>
      <c r="H13552" s="18">
        <v>61</v>
      </c>
      <c r="I13552" s="90"/>
      <c r="J13552" s="90"/>
    </row>
    <row r="13553" spans="1:10" s="15" customFormat="1" ht="16.5" hidden="1" customHeight="1" outlineLevel="1" x14ac:dyDescent="0.25">
      <c r="A13553" s="18">
        <v>5224</v>
      </c>
      <c r="B13553" s="4" t="s">
        <v>44</v>
      </c>
      <c r="C13553" s="38" t="s">
        <v>2783</v>
      </c>
      <c r="D13553" s="18">
        <v>2022</v>
      </c>
      <c r="E13553" s="18" t="s">
        <v>0</v>
      </c>
      <c r="F13553" s="41">
        <v>1</v>
      </c>
      <c r="G13553" s="4">
        <v>15</v>
      </c>
      <c r="H13553" s="18">
        <v>20</v>
      </c>
      <c r="I13553" s="90"/>
      <c r="J13553" s="90"/>
    </row>
    <row r="13554" spans="1:10" s="15" customFormat="1" ht="16.5" hidden="1" customHeight="1" outlineLevel="1" x14ac:dyDescent="0.25">
      <c r="A13554" s="18">
        <v>5225</v>
      </c>
      <c r="B13554" s="4" t="s">
        <v>44</v>
      </c>
      <c r="C13554" s="38" t="s">
        <v>2784</v>
      </c>
      <c r="D13554" s="18">
        <v>2022</v>
      </c>
      <c r="E13554" s="18" t="s">
        <v>0</v>
      </c>
      <c r="F13554" s="41">
        <v>1</v>
      </c>
      <c r="G13554" s="4">
        <v>15</v>
      </c>
      <c r="H13554" s="18">
        <v>31</v>
      </c>
      <c r="I13554" s="90"/>
      <c r="J13554" s="90"/>
    </row>
    <row r="13555" spans="1:10" s="15" customFormat="1" ht="16.5" hidden="1" customHeight="1" outlineLevel="1" x14ac:dyDescent="0.25">
      <c r="A13555" s="18">
        <v>5212</v>
      </c>
      <c r="B13555" s="4" t="s">
        <v>44</v>
      </c>
      <c r="C13555" s="38" t="s">
        <v>2785</v>
      </c>
      <c r="D13555" s="18">
        <v>2022</v>
      </c>
      <c r="E13555" s="18" t="s">
        <v>0</v>
      </c>
      <c r="F13555" s="41">
        <v>1</v>
      </c>
      <c r="G13555" s="4">
        <v>15</v>
      </c>
      <c r="H13555" s="18">
        <v>26</v>
      </c>
      <c r="I13555" s="90"/>
      <c r="J13555" s="90"/>
    </row>
    <row r="13556" spans="1:10" s="15" customFormat="1" ht="16.5" hidden="1" customHeight="1" outlineLevel="1" x14ac:dyDescent="0.25">
      <c r="A13556" s="18">
        <v>5213</v>
      </c>
      <c r="B13556" s="4" t="s">
        <v>44</v>
      </c>
      <c r="C13556" s="38" t="s">
        <v>2786</v>
      </c>
      <c r="D13556" s="18">
        <v>2022</v>
      </c>
      <c r="E13556" s="18" t="s">
        <v>0</v>
      </c>
      <c r="F13556" s="41">
        <v>1</v>
      </c>
      <c r="G13556" s="4">
        <v>13</v>
      </c>
      <c r="H13556" s="18">
        <v>29</v>
      </c>
      <c r="I13556" s="90"/>
      <c r="J13556" s="90"/>
    </row>
    <row r="13557" spans="1:10" s="15" customFormat="1" ht="16.5" hidden="1" customHeight="1" outlineLevel="1" x14ac:dyDescent="0.25">
      <c r="A13557" s="18">
        <v>5149</v>
      </c>
      <c r="B13557" s="4" t="s">
        <v>44</v>
      </c>
      <c r="C13557" s="38" t="s">
        <v>2787</v>
      </c>
      <c r="D13557" s="18">
        <v>2022</v>
      </c>
      <c r="E13557" s="18" t="s">
        <v>0</v>
      </c>
      <c r="F13557" s="41">
        <v>1</v>
      </c>
      <c r="G13557" s="4">
        <v>13.5</v>
      </c>
      <c r="H13557" s="18">
        <v>51</v>
      </c>
      <c r="I13557" s="90"/>
      <c r="J13557" s="90"/>
    </row>
    <row r="13558" spans="1:10" s="15" customFormat="1" ht="16.5" hidden="1" customHeight="1" outlineLevel="1" x14ac:dyDescent="0.25">
      <c r="A13558" s="18">
        <v>5151</v>
      </c>
      <c r="B13558" s="4" t="s">
        <v>44</v>
      </c>
      <c r="C13558" s="38" t="s">
        <v>2788</v>
      </c>
      <c r="D13558" s="18">
        <v>2022</v>
      </c>
      <c r="E13558" s="18" t="s">
        <v>0</v>
      </c>
      <c r="F13558" s="41">
        <v>1</v>
      </c>
      <c r="G13558" s="4">
        <v>135</v>
      </c>
      <c r="H13558" s="18">
        <v>95</v>
      </c>
      <c r="I13558" s="90"/>
      <c r="J13558" s="90"/>
    </row>
    <row r="13559" spans="1:10" s="15" customFormat="1" ht="16.5" hidden="1" customHeight="1" outlineLevel="1" x14ac:dyDescent="0.25">
      <c r="A13559" s="18">
        <v>5150</v>
      </c>
      <c r="B13559" s="4" t="s">
        <v>44</v>
      </c>
      <c r="C13559" s="38" t="s">
        <v>2789</v>
      </c>
      <c r="D13559" s="18">
        <v>2022</v>
      </c>
      <c r="E13559" s="18" t="s">
        <v>0</v>
      </c>
      <c r="F13559" s="41">
        <v>1</v>
      </c>
      <c r="G13559" s="4">
        <v>25</v>
      </c>
      <c r="H13559" s="18">
        <v>42</v>
      </c>
      <c r="I13559" s="90"/>
      <c r="J13559" s="90"/>
    </row>
    <row r="13560" spans="1:10" s="15" customFormat="1" ht="16.5" hidden="1" customHeight="1" outlineLevel="1" x14ac:dyDescent="0.25">
      <c r="A13560" s="18">
        <v>5152</v>
      </c>
      <c r="B13560" s="4" t="s">
        <v>44</v>
      </c>
      <c r="C13560" s="38" t="s">
        <v>2790</v>
      </c>
      <c r="D13560" s="18">
        <v>2022</v>
      </c>
      <c r="E13560" s="18" t="s">
        <v>0</v>
      </c>
      <c r="F13560" s="41">
        <v>1</v>
      </c>
      <c r="G13560" s="4">
        <v>15</v>
      </c>
      <c r="H13560" s="18">
        <v>24</v>
      </c>
      <c r="I13560" s="90"/>
      <c r="J13560" s="90"/>
    </row>
    <row r="13561" spans="1:10" s="15" customFormat="1" ht="16.5" hidden="1" customHeight="1" outlineLevel="1" x14ac:dyDescent="0.25">
      <c r="A13561" s="18">
        <v>5058</v>
      </c>
      <c r="B13561" s="4" t="s">
        <v>44</v>
      </c>
      <c r="C13561" s="38" t="s">
        <v>2791</v>
      </c>
      <c r="D13561" s="18">
        <v>2022</v>
      </c>
      <c r="E13561" s="18" t="s">
        <v>0</v>
      </c>
      <c r="F13561" s="41">
        <v>1</v>
      </c>
      <c r="G13561" s="4">
        <v>8</v>
      </c>
      <c r="H13561" s="18">
        <v>24</v>
      </c>
      <c r="I13561" s="90"/>
      <c r="J13561" s="90"/>
    </row>
    <row r="13562" spans="1:10" s="15" customFormat="1" ht="16.5" hidden="1" customHeight="1" outlineLevel="1" x14ac:dyDescent="0.25">
      <c r="A13562" s="18">
        <v>5059</v>
      </c>
      <c r="B13562" s="4" t="s">
        <v>44</v>
      </c>
      <c r="C13562" s="38" t="s">
        <v>2792</v>
      </c>
      <c r="D13562" s="18">
        <v>2022</v>
      </c>
      <c r="E13562" s="18" t="s">
        <v>0</v>
      </c>
      <c r="F13562" s="41">
        <v>2</v>
      </c>
      <c r="G13562" s="4">
        <v>30</v>
      </c>
      <c r="H13562" s="18">
        <v>48</v>
      </c>
      <c r="I13562" s="90"/>
      <c r="J13562" s="90"/>
    </row>
    <row r="13563" spans="1:10" s="15" customFormat="1" ht="16.5" hidden="1" customHeight="1" outlineLevel="1" x14ac:dyDescent="0.25">
      <c r="A13563" s="18">
        <v>5068</v>
      </c>
      <c r="B13563" s="4" t="s">
        <v>44</v>
      </c>
      <c r="C13563" s="38" t="s">
        <v>7990</v>
      </c>
      <c r="D13563" s="18">
        <v>2022</v>
      </c>
      <c r="E13563" s="18" t="s">
        <v>0</v>
      </c>
      <c r="F13563" s="41">
        <v>1</v>
      </c>
      <c r="G13563" s="4">
        <v>90</v>
      </c>
      <c r="H13563" s="18">
        <v>24</v>
      </c>
      <c r="I13563" s="90"/>
      <c r="J13563" s="90"/>
    </row>
    <row r="13564" spans="1:10" s="15" customFormat="1" ht="16.5" hidden="1" customHeight="1" outlineLevel="1" x14ac:dyDescent="0.25">
      <c r="A13564" s="18">
        <v>5338</v>
      </c>
      <c r="B13564" s="4" t="s">
        <v>44</v>
      </c>
      <c r="C13564" s="38" t="s">
        <v>2794</v>
      </c>
      <c r="D13564" s="18">
        <v>2022</v>
      </c>
      <c r="E13564" s="18" t="s">
        <v>0</v>
      </c>
      <c r="F13564" s="41">
        <v>1</v>
      </c>
      <c r="G13564" s="4">
        <v>2</v>
      </c>
      <c r="H13564" s="18">
        <v>15</v>
      </c>
      <c r="I13564" s="90"/>
      <c r="J13564" s="90"/>
    </row>
    <row r="13565" spans="1:10" s="15" customFormat="1" ht="16.5" hidden="1" customHeight="1" outlineLevel="1" x14ac:dyDescent="0.25">
      <c r="A13565" s="18">
        <v>5144</v>
      </c>
      <c r="B13565" s="4" t="s">
        <v>44</v>
      </c>
      <c r="C13565" s="38" t="s">
        <v>2796</v>
      </c>
      <c r="D13565" s="18">
        <v>2022</v>
      </c>
      <c r="E13565" s="18" t="s">
        <v>0</v>
      </c>
      <c r="F13565" s="41">
        <v>1</v>
      </c>
      <c r="G13565" s="4">
        <v>15</v>
      </c>
      <c r="H13565" s="18">
        <v>24</v>
      </c>
      <c r="I13565" s="90"/>
      <c r="J13565" s="90"/>
    </row>
    <row r="13566" spans="1:10" s="15" customFormat="1" ht="16.5" hidden="1" customHeight="1" outlineLevel="1" x14ac:dyDescent="0.25">
      <c r="A13566" s="18">
        <v>5301</v>
      </c>
      <c r="B13566" s="4" t="s">
        <v>44</v>
      </c>
      <c r="C13566" s="38" t="s">
        <v>2797</v>
      </c>
      <c r="D13566" s="18">
        <v>2022</v>
      </c>
      <c r="E13566" s="18" t="s">
        <v>0</v>
      </c>
      <c r="F13566" s="41">
        <v>2</v>
      </c>
      <c r="G13566" s="4">
        <v>15</v>
      </c>
      <c r="H13566" s="18">
        <v>339</v>
      </c>
      <c r="I13566" s="90"/>
      <c r="J13566" s="90"/>
    </row>
    <row r="13567" spans="1:10" s="15" customFormat="1" ht="16.5" hidden="1" customHeight="1" outlineLevel="1" x14ac:dyDescent="0.25">
      <c r="A13567" s="18">
        <v>5302</v>
      </c>
      <c r="B13567" s="4" t="s">
        <v>44</v>
      </c>
      <c r="C13567" s="38" t="s">
        <v>2798</v>
      </c>
      <c r="D13567" s="18">
        <v>2022</v>
      </c>
      <c r="E13567" s="18" t="s">
        <v>0</v>
      </c>
      <c r="F13567" s="41">
        <v>1</v>
      </c>
      <c r="G13567" s="4">
        <v>25</v>
      </c>
      <c r="H13567" s="18">
        <v>311</v>
      </c>
      <c r="I13567" s="90"/>
      <c r="J13567" s="90"/>
    </row>
    <row r="13568" spans="1:10" s="15" customFormat="1" ht="16.5" hidden="1" customHeight="1" outlineLevel="1" x14ac:dyDescent="0.25">
      <c r="A13568" s="18">
        <v>5256</v>
      </c>
      <c r="B13568" s="4" t="s">
        <v>44</v>
      </c>
      <c r="C13568" s="38" t="s">
        <v>2799</v>
      </c>
      <c r="D13568" s="18">
        <v>2022</v>
      </c>
      <c r="E13568" s="18" t="s">
        <v>0</v>
      </c>
      <c r="F13568" s="41">
        <v>1</v>
      </c>
      <c r="G13568" s="4">
        <v>15</v>
      </c>
      <c r="H13568" s="18">
        <v>24</v>
      </c>
      <c r="I13568" s="90"/>
      <c r="J13568" s="90"/>
    </row>
    <row r="13569" spans="1:10" s="15" customFormat="1" ht="16.5" hidden="1" customHeight="1" outlineLevel="1" x14ac:dyDescent="0.25">
      <c r="A13569" s="18">
        <v>5258</v>
      </c>
      <c r="B13569" s="4" t="s">
        <v>44</v>
      </c>
      <c r="C13569" s="38" t="s">
        <v>2800</v>
      </c>
      <c r="D13569" s="18">
        <v>2022</v>
      </c>
      <c r="E13569" s="18" t="s">
        <v>0</v>
      </c>
      <c r="F13569" s="41">
        <v>1</v>
      </c>
      <c r="G13569" s="4">
        <v>15</v>
      </c>
      <c r="H13569" s="18">
        <v>35</v>
      </c>
      <c r="I13569" s="90"/>
      <c r="J13569" s="90"/>
    </row>
    <row r="13570" spans="1:10" s="15" customFormat="1" ht="16.5" hidden="1" customHeight="1" outlineLevel="1" x14ac:dyDescent="0.25">
      <c r="A13570" s="18">
        <v>5259</v>
      </c>
      <c r="B13570" s="4" t="s">
        <v>44</v>
      </c>
      <c r="C13570" s="38" t="s">
        <v>2801</v>
      </c>
      <c r="D13570" s="18">
        <v>2022</v>
      </c>
      <c r="E13570" s="18" t="s">
        <v>0</v>
      </c>
      <c r="F13570" s="41">
        <v>1</v>
      </c>
      <c r="G13570" s="4">
        <v>15</v>
      </c>
      <c r="H13570" s="18">
        <v>49</v>
      </c>
      <c r="I13570" s="90"/>
      <c r="J13570" s="90"/>
    </row>
    <row r="13571" spans="1:10" s="15" customFormat="1" ht="16.5" hidden="1" customHeight="1" outlineLevel="1" x14ac:dyDescent="0.25">
      <c r="A13571" s="18">
        <v>5260</v>
      </c>
      <c r="B13571" s="4" t="s">
        <v>44</v>
      </c>
      <c r="C13571" s="38" t="s">
        <v>2802</v>
      </c>
      <c r="D13571" s="18">
        <v>2022</v>
      </c>
      <c r="E13571" s="18" t="s">
        <v>0</v>
      </c>
      <c r="F13571" s="41">
        <v>1</v>
      </c>
      <c r="G13571" s="4">
        <v>15</v>
      </c>
      <c r="H13571" s="18">
        <v>54</v>
      </c>
      <c r="I13571" s="90"/>
      <c r="J13571" s="90"/>
    </row>
    <row r="13572" spans="1:10" s="15" customFormat="1" ht="16.5" hidden="1" customHeight="1" outlineLevel="1" x14ac:dyDescent="0.25">
      <c r="A13572" s="18">
        <v>5098</v>
      </c>
      <c r="B13572" s="4" t="s">
        <v>44</v>
      </c>
      <c r="C13572" s="38" t="s">
        <v>2803</v>
      </c>
      <c r="D13572" s="18">
        <v>2022</v>
      </c>
      <c r="E13572" s="18" t="s">
        <v>0</v>
      </c>
      <c r="F13572" s="41">
        <v>1</v>
      </c>
      <c r="G13572" s="4">
        <v>150</v>
      </c>
      <c r="H13572" s="18">
        <v>94</v>
      </c>
      <c r="I13572" s="90"/>
      <c r="J13572" s="90"/>
    </row>
    <row r="13573" spans="1:10" s="15" customFormat="1" ht="16.5" hidden="1" customHeight="1" outlineLevel="1" x14ac:dyDescent="0.25">
      <c r="A13573" s="18">
        <v>5099</v>
      </c>
      <c r="B13573" s="4" t="s">
        <v>44</v>
      </c>
      <c r="C13573" s="38" t="s">
        <v>2804</v>
      </c>
      <c r="D13573" s="18">
        <v>2022</v>
      </c>
      <c r="E13573" s="18" t="s">
        <v>0</v>
      </c>
      <c r="F13573" s="41">
        <v>1</v>
      </c>
      <c r="G13573" s="4">
        <v>15</v>
      </c>
      <c r="H13573" s="18">
        <v>94</v>
      </c>
      <c r="I13573" s="90"/>
      <c r="J13573" s="90"/>
    </row>
    <row r="13574" spans="1:10" s="15" customFormat="1" ht="16.5" hidden="1" customHeight="1" outlineLevel="1" x14ac:dyDescent="0.25">
      <c r="A13574" s="18">
        <v>5100</v>
      </c>
      <c r="B13574" s="4" t="s">
        <v>44</v>
      </c>
      <c r="C13574" s="38" t="s">
        <v>2805</v>
      </c>
      <c r="D13574" s="18">
        <v>2022</v>
      </c>
      <c r="E13574" s="18" t="s">
        <v>0</v>
      </c>
      <c r="F13574" s="41">
        <v>1</v>
      </c>
      <c r="G13574" s="4">
        <v>10</v>
      </c>
      <c r="H13574" s="18">
        <v>89</v>
      </c>
      <c r="I13574" s="90"/>
      <c r="J13574" s="90"/>
    </row>
    <row r="13575" spans="1:10" s="15" customFormat="1" ht="16.5" hidden="1" customHeight="1" outlineLevel="1" x14ac:dyDescent="0.25">
      <c r="A13575" s="18">
        <v>5101</v>
      </c>
      <c r="B13575" s="4" t="s">
        <v>44</v>
      </c>
      <c r="C13575" s="38" t="s">
        <v>2806</v>
      </c>
      <c r="D13575" s="18">
        <v>2022</v>
      </c>
      <c r="E13575" s="18" t="s">
        <v>0</v>
      </c>
      <c r="F13575" s="41">
        <v>1</v>
      </c>
      <c r="G13575" s="4">
        <v>13</v>
      </c>
      <c r="H13575" s="18">
        <v>87</v>
      </c>
      <c r="I13575" s="90"/>
      <c r="J13575" s="90"/>
    </row>
    <row r="13576" spans="1:10" s="15" customFormat="1" ht="16.5" hidden="1" customHeight="1" outlineLevel="1" x14ac:dyDescent="0.25">
      <c r="A13576" s="18">
        <v>5102</v>
      </c>
      <c r="B13576" s="4" t="s">
        <v>44</v>
      </c>
      <c r="C13576" s="38" t="s">
        <v>2807</v>
      </c>
      <c r="D13576" s="18">
        <v>2022</v>
      </c>
      <c r="E13576" s="18" t="s">
        <v>0</v>
      </c>
      <c r="F13576" s="41">
        <v>1</v>
      </c>
      <c r="G13576" s="4">
        <v>15</v>
      </c>
      <c r="H13576" s="18">
        <v>47</v>
      </c>
      <c r="I13576" s="90"/>
      <c r="J13576" s="90"/>
    </row>
    <row r="13577" spans="1:10" s="15" customFormat="1" ht="16.5" hidden="1" customHeight="1" outlineLevel="1" x14ac:dyDescent="0.25">
      <c r="A13577" s="18">
        <v>5103</v>
      </c>
      <c r="B13577" s="4" t="s">
        <v>44</v>
      </c>
      <c r="C13577" s="38" t="s">
        <v>2808</v>
      </c>
      <c r="D13577" s="18">
        <v>2022</v>
      </c>
      <c r="E13577" s="18" t="s">
        <v>0</v>
      </c>
      <c r="F13577" s="41">
        <v>1</v>
      </c>
      <c r="G13577" s="4">
        <v>15</v>
      </c>
      <c r="H13577" s="18">
        <v>42</v>
      </c>
      <c r="I13577" s="90"/>
      <c r="J13577" s="90"/>
    </row>
    <row r="13578" spans="1:10" s="15" customFormat="1" ht="16.5" hidden="1" customHeight="1" outlineLevel="1" x14ac:dyDescent="0.25">
      <c r="A13578" s="18">
        <v>5104</v>
      </c>
      <c r="B13578" s="4" t="s">
        <v>44</v>
      </c>
      <c r="C13578" s="38" t="s">
        <v>2809</v>
      </c>
      <c r="D13578" s="18">
        <v>2022</v>
      </c>
      <c r="E13578" s="18" t="s">
        <v>0</v>
      </c>
      <c r="F13578" s="41">
        <v>1</v>
      </c>
      <c r="G13578" s="4">
        <v>15</v>
      </c>
      <c r="H13578" s="18">
        <v>46</v>
      </c>
      <c r="I13578" s="90"/>
      <c r="J13578" s="90"/>
    </row>
    <row r="13579" spans="1:10" s="15" customFormat="1" ht="16.5" hidden="1" customHeight="1" outlineLevel="1" x14ac:dyDescent="0.25">
      <c r="A13579" s="18">
        <v>5257</v>
      </c>
      <c r="B13579" s="4" t="s">
        <v>44</v>
      </c>
      <c r="C13579" s="38" t="s">
        <v>2810</v>
      </c>
      <c r="D13579" s="18">
        <v>2022</v>
      </c>
      <c r="E13579" s="18" t="s">
        <v>0</v>
      </c>
      <c r="F13579" s="41">
        <v>1</v>
      </c>
      <c r="G13579" s="4">
        <v>7.5</v>
      </c>
      <c r="H13579" s="18">
        <v>40</v>
      </c>
      <c r="I13579" s="90"/>
      <c r="J13579" s="90"/>
    </row>
    <row r="13580" spans="1:10" s="15" customFormat="1" ht="16.5" hidden="1" customHeight="1" outlineLevel="1" x14ac:dyDescent="0.25">
      <c r="A13580" s="18">
        <v>5307</v>
      </c>
      <c r="B13580" s="4" t="s">
        <v>44</v>
      </c>
      <c r="C13580" s="38" t="s">
        <v>7991</v>
      </c>
      <c r="D13580" s="18">
        <v>2022</v>
      </c>
      <c r="E13580" s="18" t="s">
        <v>0</v>
      </c>
      <c r="F13580" s="41">
        <v>1</v>
      </c>
      <c r="G13580" s="4">
        <v>15</v>
      </c>
      <c r="H13580" s="18">
        <v>37</v>
      </c>
      <c r="I13580" s="90"/>
      <c r="J13580" s="90"/>
    </row>
    <row r="13581" spans="1:10" s="15" customFormat="1" ht="16.5" hidden="1" customHeight="1" outlineLevel="1" x14ac:dyDescent="0.25">
      <c r="A13581" s="18">
        <v>5310</v>
      </c>
      <c r="B13581" s="4" t="s">
        <v>44</v>
      </c>
      <c r="C13581" s="38" t="s">
        <v>7992</v>
      </c>
      <c r="D13581" s="18">
        <v>2022</v>
      </c>
      <c r="E13581" s="18" t="s">
        <v>0</v>
      </c>
      <c r="F13581" s="41">
        <v>1</v>
      </c>
      <c r="G13581" s="4">
        <v>10</v>
      </c>
      <c r="H13581" s="18">
        <v>36</v>
      </c>
      <c r="I13581" s="90"/>
      <c r="J13581" s="90"/>
    </row>
    <row r="13582" spans="1:10" s="15" customFormat="1" ht="16.5" hidden="1" customHeight="1" outlineLevel="1" x14ac:dyDescent="0.25">
      <c r="A13582" s="18">
        <v>5311</v>
      </c>
      <c r="B13582" s="4" t="s">
        <v>44</v>
      </c>
      <c r="C13582" s="38" t="s">
        <v>7993</v>
      </c>
      <c r="D13582" s="18">
        <v>2022</v>
      </c>
      <c r="E13582" s="18" t="s">
        <v>0</v>
      </c>
      <c r="F13582" s="41">
        <v>1</v>
      </c>
      <c r="G13582" s="4">
        <v>10</v>
      </c>
      <c r="H13582" s="18">
        <v>36</v>
      </c>
      <c r="I13582" s="90"/>
      <c r="J13582" s="90"/>
    </row>
    <row r="13583" spans="1:10" s="15" customFormat="1" ht="16.5" hidden="1" customHeight="1" outlineLevel="1" x14ac:dyDescent="0.25">
      <c r="A13583" s="18">
        <v>5312</v>
      </c>
      <c r="B13583" s="4" t="s">
        <v>44</v>
      </c>
      <c r="C13583" s="38" t="s">
        <v>7994</v>
      </c>
      <c r="D13583" s="18">
        <v>2022</v>
      </c>
      <c r="E13583" s="18" t="s">
        <v>0</v>
      </c>
      <c r="F13583" s="41">
        <v>1</v>
      </c>
      <c r="G13583" s="4">
        <v>8</v>
      </c>
      <c r="H13583" s="18">
        <v>35</v>
      </c>
      <c r="I13583" s="90"/>
      <c r="J13583" s="90"/>
    </row>
    <row r="13584" spans="1:10" s="15" customFormat="1" ht="16.5" hidden="1" customHeight="1" outlineLevel="1" x14ac:dyDescent="0.25">
      <c r="A13584" s="18">
        <v>5313</v>
      </c>
      <c r="B13584" s="4" t="s">
        <v>44</v>
      </c>
      <c r="C13584" s="38" t="s">
        <v>7995</v>
      </c>
      <c r="D13584" s="18">
        <v>2022</v>
      </c>
      <c r="E13584" s="18" t="s">
        <v>0</v>
      </c>
      <c r="F13584" s="41">
        <v>1</v>
      </c>
      <c r="G13584" s="4">
        <v>10</v>
      </c>
      <c r="H13584" s="18">
        <v>35</v>
      </c>
      <c r="I13584" s="90"/>
      <c r="J13584" s="90"/>
    </row>
    <row r="13585" spans="1:10" s="15" customFormat="1" ht="16.5" hidden="1" customHeight="1" outlineLevel="1" x14ac:dyDescent="0.25">
      <c r="A13585" s="18">
        <v>5314</v>
      </c>
      <c r="B13585" s="4" t="s">
        <v>44</v>
      </c>
      <c r="C13585" s="38" t="s">
        <v>7996</v>
      </c>
      <c r="D13585" s="18">
        <v>2022</v>
      </c>
      <c r="E13585" s="18" t="s">
        <v>0</v>
      </c>
      <c r="F13585" s="41">
        <v>1</v>
      </c>
      <c r="G13585" s="4">
        <v>10</v>
      </c>
      <c r="H13585" s="18">
        <v>35</v>
      </c>
      <c r="I13585" s="90"/>
      <c r="J13585" s="90"/>
    </row>
    <row r="13586" spans="1:10" s="15" customFormat="1" ht="16.5" hidden="1" customHeight="1" outlineLevel="1" x14ac:dyDescent="0.25">
      <c r="A13586" s="18">
        <v>5315</v>
      </c>
      <c r="B13586" s="4" t="s">
        <v>44</v>
      </c>
      <c r="C13586" s="38" t="s">
        <v>7997</v>
      </c>
      <c r="D13586" s="18">
        <v>2022</v>
      </c>
      <c r="E13586" s="18" t="s">
        <v>0</v>
      </c>
      <c r="F13586" s="41">
        <v>1</v>
      </c>
      <c r="G13586" s="4">
        <v>15</v>
      </c>
      <c r="H13586" s="18">
        <v>39</v>
      </c>
      <c r="I13586" s="90"/>
      <c r="J13586" s="90"/>
    </row>
    <row r="13587" spans="1:10" s="15" customFormat="1" ht="16.5" hidden="1" customHeight="1" outlineLevel="1" x14ac:dyDescent="0.25">
      <c r="A13587" s="18">
        <v>5148</v>
      </c>
      <c r="B13587" s="4" t="s">
        <v>44</v>
      </c>
      <c r="C13587" s="38" t="s">
        <v>7998</v>
      </c>
      <c r="D13587" s="18">
        <v>2022</v>
      </c>
      <c r="E13587" s="18" t="s">
        <v>0</v>
      </c>
      <c r="F13587" s="41">
        <v>1</v>
      </c>
      <c r="G13587" s="4">
        <v>12</v>
      </c>
      <c r="H13587" s="18">
        <v>37</v>
      </c>
      <c r="I13587" s="90"/>
      <c r="J13587" s="90"/>
    </row>
    <row r="13588" spans="1:10" s="15" customFormat="1" ht="16.5" hidden="1" customHeight="1" outlineLevel="1" x14ac:dyDescent="0.25">
      <c r="A13588" s="18">
        <v>5147</v>
      </c>
      <c r="B13588" s="4" t="s">
        <v>44</v>
      </c>
      <c r="C13588" s="38" t="s">
        <v>7999</v>
      </c>
      <c r="D13588" s="18">
        <v>2022</v>
      </c>
      <c r="E13588" s="18" t="s">
        <v>0</v>
      </c>
      <c r="F13588" s="41">
        <v>1</v>
      </c>
      <c r="G13588" s="4">
        <v>15</v>
      </c>
      <c r="H13588" s="18">
        <v>43</v>
      </c>
      <c r="I13588" s="90"/>
      <c r="J13588" s="90"/>
    </row>
    <row r="13589" spans="1:10" s="15" customFormat="1" ht="16.5" hidden="1" customHeight="1" outlineLevel="1" x14ac:dyDescent="0.25">
      <c r="A13589" s="18">
        <v>5316</v>
      </c>
      <c r="B13589" s="4" t="s">
        <v>44</v>
      </c>
      <c r="C13589" s="38" t="s">
        <v>8000</v>
      </c>
      <c r="D13589" s="18">
        <v>2022</v>
      </c>
      <c r="E13589" s="18" t="s">
        <v>0</v>
      </c>
      <c r="F13589" s="41">
        <v>1</v>
      </c>
      <c r="G13589" s="4">
        <v>15</v>
      </c>
      <c r="H13589" s="18">
        <v>39</v>
      </c>
      <c r="I13589" s="90"/>
      <c r="J13589" s="90"/>
    </row>
    <row r="13590" spans="1:10" s="15" customFormat="1" ht="16.5" hidden="1" customHeight="1" outlineLevel="1" x14ac:dyDescent="0.25">
      <c r="A13590" s="18">
        <v>5317</v>
      </c>
      <c r="B13590" s="4" t="s">
        <v>44</v>
      </c>
      <c r="C13590" s="38" t="s">
        <v>8001</v>
      </c>
      <c r="D13590" s="18">
        <v>2022</v>
      </c>
      <c r="E13590" s="18" t="s">
        <v>0</v>
      </c>
      <c r="F13590" s="41">
        <v>1</v>
      </c>
      <c r="G13590" s="4">
        <v>15</v>
      </c>
      <c r="H13590" s="18">
        <v>42</v>
      </c>
      <c r="I13590" s="90"/>
      <c r="J13590" s="90"/>
    </row>
    <row r="13591" spans="1:10" s="15" customFormat="1" ht="16.5" hidden="1" customHeight="1" outlineLevel="1" x14ac:dyDescent="0.25">
      <c r="A13591" s="18">
        <v>5318</v>
      </c>
      <c r="B13591" s="4" t="s">
        <v>44</v>
      </c>
      <c r="C13591" s="38" t="s">
        <v>8002</v>
      </c>
      <c r="D13591" s="18">
        <v>2022</v>
      </c>
      <c r="E13591" s="18" t="s">
        <v>0</v>
      </c>
      <c r="F13591" s="41">
        <v>1</v>
      </c>
      <c r="G13591" s="4">
        <v>15</v>
      </c>
      <c r="H13591" s="18">
        <v>41</v>
      </c>
      <c r="I13591" s="90"/>
      <c r="J13591" s="90"/>
    </row>
    <row r="13592" spans="1:10" s="15" customFormat="1" ht="16.5" hidden="1" customHeight="1" outlineLevel="1" x14ac:dyDescent="0.25">
      <c r="A13592" s="18">
        <v>5319</v>
      </c>
      <c r="B13592" s="4" t="s">
        <v>44</v>
      </c>
      <c r="C13592" s="38" t="s">
        <v>8003</v>
      </c>
      <c r="D13592" s="18">
        <v>2022</v>
      </c>
      <c r="E13592" s="18" t="s">
        <v>0</v>
      </c>
      <c r="F13592" s="41">
        <v>1</v>
      </c>
      <c r="G13592" s="4">
        <v>15</v>
      </c>
      <c r="H13592" s="18">
        <v>35</v>
      </c>
      <c r="I13592" s="90"/>
      <c r="J13592" s="90"/>
    </row>
    <row r="13593" spans="1:10" s="15" customFormat="1" ht="16.5" hidden="1" customHeight="1" outlineLevel="1" x14ac:dyDescent="0.25">
      <c r="A13593" s="18">
        <v>5146</v>
      </c>
      <c r="B13593" s="4" t="s">
        <v>44</v>
      </c>
      <c r="C13593" s="38" t="s">
        <v>8004</v>
      </c>
      <c r="D13593" s="18">
        <v>2022</v>
      </c>
      <c r="E13593" s="18" t="s">
        <v>0</v>
      </c>
      <c r="F13593" s="41">
        <v>1</v>
      </c>
      <c r="G13593" s="4">
        <v>15</v>
      </c>
      <c r="H13593" s="18">
        <v>45</v>
      </c>
      <c r="I13593" s="90"/>
      <c r="J13593" s="90"/>
    </row>
    <row r="13594" spans="1:10" s="15" customFormat="1" ht="16.5" hidden="1" customHeight="1" outlineLevel="1" x14ac:dyDescent="0.25">
      <c r="A13594" s="18">
        <v>5136</v>
      </c>
      <c r="B13594" s="4" t="s">
        <v>44</v>
      </c>
      <c r="C13594" s="38" t="s">
        <v>8005</v>
      </c>
      <c r="D13594" s="18">
        <v>2022</v>
      </c>
      <c r="E13594" s="18" t="s">
        <v>0</v>
      </c>
      <c r="F13594" s="41">
        <v>1</v>
      </c>
      <c r="G13594" s="4">
        <v>13</v>
      </c>
      <c r="H13594" s="18">
        <v>53</v>
      </c>
      <c r="I13594" s="90"/>
      <c r="J13594" s="90"/>
    </row>
    <row r="13595" spans="1:10" s="15" customFormat="1" ht="16.5" hidden="1" customHeight="1" outlineLevel="1" x14ac:dyDescent="0.25">
      <c r="A13595" s="18">
        <v>5091</v>
      </c>
      <c r="B13595" s="4" t="s">
        <v>44</v>
      </c>
      <c r="C13595" s="38" t="s">
        <v>8006</v>
      </c>
      <c r="D13595" s="18">
        <v>2022</v>
      </c>
      <c r="E13595" s="18" t="s">
        <v>0</v>
      </c>
      <c r="F13595" s="41">
        <v>1</v>
      </c>
      <c r="G13595" s="4">
        <v>15</v>
      </c>
      <c r="H13595" s="18">
        <v>40</v>
      </c>
      <c r="I13595" s="90"/>
      <c r="J13595" s="90"/>
    </row>
    <row r="13596" spans="1:10" s="15" customFormat="1" ht="16.5" hidden="1" customHeight="1" outlineLevel="1" x14ac:dyDescent="0.25">
      <c r="A13596" s="18">
        <v>5139</v>
      </c>
      <c r="B13596" s="4" t="s">
        <v>44</v>
      </c>
      <c r="C13596" s="38" t="s">
        <v>8007</v>
      </c>
      <c r="D13596" s="18">
        <v>2022</v>
      </c>
      <c r="E13596" s="18" t="s">
        <v>0</v>
      </c>
      <c r="F13596" s="41">
        <v>1</v>
      </c>
      <c r="G13596" s="4">
        <v>15</v>
      </c>
      <c r="H13596" s="18">
        <v>36</v>
      </c>
      <c r="I13596" s="90"/>
      <c r="J13596" s="90"/>
    </row>
    <row r="13597" spans="1:10" s="15" customFormat="1" ht="16.5" hidden="1" customHeight="1" outlineLevel="1" x14ac:dyDescent="0.25">
      <c r="A13597" s="18">
        <v>5143</v>
      </c>
      <c r="B13597" s="4" t="s">
        <v>44</v>
      </c>
      <c r="C13597" s="38" t="s">
        <v>8008</v>
      </c>
      <c r="D13597" s="18">
        <v>2022</v>
      </c>
      <c r="E13597" s="18" t="s">
        <v>0</v>
      </c>
      <c r="F13597" s="41">
        <v>1</v>
      </c>
      <c r="G13597" s="4">
        <v>9</v>
      </c>
      <c r="H13597" s="18">
        <v>45</v>
      </c>
      <c r="I13597" s="90"/>
      <c r="J13597" s="90"/>
    </row>
    <row r="13598" spans="1:10" s="15" customFormat="1" ht="16.5" hidden="1" customHeight="1" outlineLevel="1" x14ac:dyDescent="0.25">
      <c r="A13598" s="18">
        <v>5144</v>
      </c>
      <c r="B13598" s="4" t="s">
        <v>44</v>
      </c>
      <c r="C13598" s="38" t="s">
        <v>8009</v>
      </c>
      <c r="D13598" s="18">
        <v>2022</v>
      </c>
      <c r="E13598" s="18" t="s">
        <v>0</v>
      </c>
      <c r="F13598" s="41">
        <v>1</v>
      </c>
      <c r="G13598" s="4">
        <v>10</v>
      </c>
      <c r="H13598" s="18">
        <v>40</v>
      </c>
      <c r="I13598" s="90"/>
      <c r="J13598" s="90"/>
    </row>
    <row r="13599" spans="1:10" s="15" customFormat="1" ht="16.5" hidden="1" customHeight="1" outlineLevel="1" x14ac:dyDescent="0.25">
      <c r="A13599" s="18">
        <v>5133</v>
      </c>
      <c r="B13599" s="4" t="s">
        <v>44</v>
      </c>
      <c r="C13599" s="38" t="s">
        <v>8010</v>
      </c>
      <c r="D13599" s="18">
        <v>2022</v>
      </c>
      <c r="E13599" s="18" t="s">
        <v>0</v>
      </c>
      <c r="F13599" s="41">
        <v>1</v>
      </c>
      <c r="G13599" s="4">
        <v>15</v>
      </c>
      <c r="H13599" s="18">
        <v>51</v>
      </c>
      <c r="I13599" s="90"/>
      <c r="J13599" s="90"/>
    </row>
    <row r="13600" spans="1:10" s="15" customFormat="1" ht="16.5" hidden="1" customHeight="1" outlineLevel="1" x14ac:dyDescent="0.25">
      <c r="A13600" s="18">
        <v>5142</v>
      </c>
      <c r="B13600" s="4" t="s">
        <v>44</v>
      </c>
      <c r="C13600" s="38" t="s">
        <v>8011</v>
      </c>
      <c r="D13600" s="18">
        <v>2022</v>
      </c>
      <c r="E13600" s="18" t="s">
        <v>0</v>
      </c>
      <c r="F13600" s="41">
        <v>1</v>
      </c>
      <c r="G13600" s="4">
        <v>10</v>
      </c>
      <c r="H13600" s="18">
        <v>45</v>
      </c>
      <c r="I13600" s="90"/>
      <c r="J13600" s="90"/>
    </row>
    <row r="13601" spans="1:10" s="15" customFormat="1" ht="16.5" hidden="1" customHeight="1" outlineLevel="1" x14ac:dyDescent="0.25">
      <c r="A13601" s="18">
        <v>5137</v>
      </c>
      <c r="B13601" s="4" t="s">
        <v>44</v>
      </c>
      <c r="C13601" s="38" t="s">
        <v>8012</v>
      </c>
      <c r="D13601" s="18">
        <v>2022</v>
      </c>
      <c r="E13601" s="18" t="s">
        <v>0</v>
      </c>
      <c r="F13601" s="41">
        <v>1</v>
      </c>
      <c r="G13601" s="4">
        <v>13</v>
      </c>
      <c r="H13601" s="18">
        <v>41</v>
      </c>
      <c r="I13601" s="90"/>
      <c r="J13601" s="90"/>
    </row>
    <row r="13602" spans="1:10" s="15" customFormat="1" ht="16.5" hidden="1" customHeight="1" outlineLevel="1" x14ac:dyDescent="0.25">
      <c r="A13602" s="18">
        <v>5134</v>
      </c>
      <c r="B13602" s="4" t="s">
        <v>44</v>
      </c>
      <c r="C13602" s="38" t="s">
        <v>8013</v>
      </c>
      <c r="D13602" s="18">
        <v>2022</v>
      </c>
      <c r="E13602" s="18" t="s">
        <v>0</v>
      </c>
      <c r="F13602" s="41">
        <v>1</v>
      </c>
      <c r="G13602" s="4">
        <v>15</v>
      </c>
      <c r="H13602" s="18">
        <v>43</v>
      </c>
      <c r="I13602" s="90"/>
      <c r="J13602" s="90"/>
    </row>
    <row r="13603" spans="1:10" s="15" customFormat="1" ht="16.5" hidden="1" customHeight="1" outlineLevel="1" x14ac:dyDescent="0.25">
      <c r="A13603" s="18">
        <v>5135</v>
      </c>
      <c r="B13603" s="4" t="s">
        <v>44</v>
      </c>
      <c r="C13603" s="38" t="s">
        <v>8014</v>
      </c>
      <c r="D13603" s="18">
        <v>2022</v>
      </c>
      <c r="E13603" s="18" t="s">
        <v>0</v>
      </c>
      <c r="F13603" s="41">
        <v>1</v>
      </c>
      <c r="G13603" s="4">
        <v>15</v>
      </c>
      <c r="H13603" s="18">
        <v>43</v>
      </c>
      <c r="I13603" s="90"/>
      <c r="J13603" s="90"/>
    </row>
    <row r="13604" spans="1:10" s="15" customFormat="1" ht="16.5" hidden="1" customHeight="1" outlineLevel="1" x14ac:dyDescent="0.25">
      <c r="A13604" s="18">
        <v>5326</v>
      </c>
      <c r="B13604" s="4" t="s">
        <v>44</v>
      </c>
      <c r="C13604" s="38" t="s">
        <v>8015</v>
      </c>
      <c r="D13604" s="18">
        <v>2022</v>
      </c>
      <c r="E13604" s="18" t="s">
        <v>0</v>
      </c>
      <c r="F13604" s="41">
        <v>1</v>
      </c>
      <c r="G13604" s="4">
        <v>15</v>
      </c>
      <c r="H13604" s="18">
        <v>35</v>
      </c>
      <c r="I13604" s="90"/>
      <c r="J13604" s="90"/>
    </row>
    <row r="13605" spans="1:10" s="15" customFormat="1" ht="16.5" hidden="1" customHeight="1" outlineLevel="1" x14ac:dyDescent="0.25">
      <c r="A13605" s="18">
        <v>5138</v>
      </c>
      <c r="B13605" s="4" t="s">
        <v>44</v>
      </c>
      <c r="C13605" s="38" t="s">
        <v>8016</v>
      </c>
      <c r="D13605" s="18">
        <v>2022</v>
      </c>
      <c r="E13605" s="18" t="s">
        <v>0</v>
      </c>
      <c r="F13605" s="41">
        <v>1</v>
      </c>
      <c r="G13605" s="4">
        <v>13</v>
      </c>
      <c r="H13605" s="18">
        <v>38</v>
      </c>
      <c r="I13605" s="90"/>
      <c r="J13605" s="90"/>
    </row>
    <row r="13606" spans="1:10" s="15" customFormat="1" ht="24" hidden="1" customHeight="1" outlineLevel="1" x14ac:dyDescent="0.25">
      <c r="A13606" s="18">
        <v>3872</v>
      </c>
      <c r="B13606" s="4" t="s">
        <v>44</v>
      </c>
      <c r="C13606" s="38" t="s">
        <v>11623</v>
      </c>
      <c r="D13606" s="18">
        <v>2023</v>
      </c>
      <c r="E13606" s="18" t="s">
        <v>0</v>
      </c>
      <c r="F13606" s="41">
        <v>1</v>
      </c>
      <c r="G13606" s="41">
        <v>15</v>
      </c>
      <c r="H13606" s="41">
        <v>24.929359999999999</v>
      </c>
      <c r="I13606" s="221"/>
      <c r="J13606" s="221"/>
    </row>
    <row r="13607" spans="1:10" s="15" customFormat="1" ht="24" hidden="1" customHeight="1" outlineLevel="1" x14ac:dyDescent="0.25">
      <c r="A13607" s="18">
        <v>6173</v>
      </c>
      <c r="B13607" s="6" t="s">
        <v>44</v>
      </c>
      <c r="C13607" s="38" t="s">
        <v>11624</v>
      </c>
      <c r="D13607" s="18">
        <v>2023</v>
      </c>
      <c r="E13607" s="18" t="s">
        <v>0</v>
      </c>
      <c r="F13607" s="41">
        <v>1</v>
      </c>
      <c r="G13607" s="41">
        <v>10</v>
      </c>
      <c r="H13607" s="41">
        <v>26.526230000000005</v>
      </c>
      <c r="I13607" s="221"/>
      <c r="J13607" s="221"/>
    </row>
    <row r="13608" spans="1:10" s="15" customFormat="1" ht="24" hidden="1" customHeight="1" outlineLevel="1" x14ac:dyDescent="0.25">
      <c r="A13608" s="18">
        <v>3878</v>
      </c>
      <c r="B13608" s="6" t="s">
        <v>44</v>
      </c>
      <c r="C13608" s="38" t="s">
        <v>11625</v>
      </c>
      <c r="D13608" s="18">
        <v>2023</v>
      </c>
      <c r="E13608" s="18" t="s">
        <v>0</v>
      </c>
      <c r="F13608" s="41">
        <v>1</v>
      </c>
      <c r="G13608" s="41">
        <v>15</v>
      </c>
      <c r="H13608" s="41">
        <v>24.92933</v>
      </c>
      <c r="I13608" s="221"/>
      <c r="J13608" s="221"/>
    </row>
    <row r="13609" spans="1:10" s="15" customFormat="1" ht="24" hidden="1" customHeight="1" outlineLevel="1" x14ac:dyDescent="0.25">
      <c r="A13609" s="18">
        <v>3897</v>
      </c>
      <c r="B13609" s="6" t="s">
        <v>44</v>
      </c>
      <c r="C13609" s="38" t="s">
        <v>11626</v>
      </c>
      <c r="D13609" s="18">
        <v>2023</v>
      </c>
      <c r="E13609" s="18" t="s">
        <v>0</v>
      </c>
      <c r="F13609" s="41">
        <v>1</v>
      </c>
      <c r="G13609" s="41">
        <v>15</v>
      </c>
      <c r="H13609" s="41">
        <v>24.929320000000001</v>
      </c>
      <c r="I13609" s="221"/>
      <c r="J13609" s="221"/>
    </row>
    <row r="13610" spans="1:10" s="15" customFormat="1" ht="24" hidden="1" customHeight="1" outlineLevel="1" x14ac:dyDescent="0.25">
      <c r="A13610" s="18">
        <v>3861</v>
      </c>
      <c r="B13610" s="6" t="s">
        <v>44</v>
      </c>
      <c r="C13610" s="38" t="s">
        <v>11627</v>
      </c>
      <c r="D13610" s="18">
        <v>2023</v>
      </c>
      <c r="E13610" s="18" t="s">
        <v>0</v>
      </c>
      <c r="F13610" s="41">
        <v>1</v>
      </c>
      <c r="G13610" s="41">
        <v>10</v>
      </c>
      <c r="H13610" s="41">
        <v>26.526250000000001</v>
      </c>
      <c r="I13610" s="221"/>
      <c r="J13610" s="221"/>
    </row>
    <row r="13611" spans="1:10" s="15" customFormat="1" ht="24" hidden="1" customHeight="1" outlineLevel="1" x14ac:dyDescent="0.25">
      <c r="A13611" s="18">
        <v>3850</v>
      </c>
      <c r="B13611" s="6" t="s">
        <v>44</v>
      </c>
      <c r="C13611" s="38" t="s">
        <v>11628</v>
      </c>
      <c r="D13611" s="18">
        <v>2023</v>
      </c>
      <c r="E13611" s="18" t="s">
        <v>0</v>
      </c>
      <c r="F13611" s="41">
        <v>1</v>
      </c>
      <c r="G13611" s="41">
        <v>15</v>
      </c>
      <c r="H13611" s="41">
        <v>24.929320000000001</v>
      </c>
      <c r="I13611" s="221"/>
      <c r="J13611" s="221"/>
    </row>
    <row r="13612" spans="1:10" s="15" customFormat="1" ht="24" hidden="1" customHeight="1" outlineLevel="1" x14ac:dyDescent="0.25">
      <c r="A13612" s="18">
        <v>3840</v>
      </c>
      <c r="B13612" s="6" t="s">
        <v>44</v>
      </c>
      <c r="C13612" s="38" t="s">
        <v>11629</v>
      </c>
      <c r="D13612" s="18">
        <v>2023</v>
      </c>
      <c r="E13612" s="18" t="s">
        <v>0</v>
      </c>
      <c r="F13612" s="41">
        <v>1</v>
      </c>
      <c r="G13612" s="41">
        <v>15</v>
      </c>
      <c r="H13612" s="41">
        <v>25.727779999999999</v>
      </c>
      <c r="I13612" s="221"/>
      <c r="J13612" s="221"/>
    </row>
    <row r="13613" spans="1:10" s="15" customFormat="1" ht="24" hidden="1" customHeight="1" outlineLevel="1" x14ac:dyDescent="0.25">
      <c r="A13613" s="18">
        <v>3851</v>
      </c>
      <c r="B13613" s="6" t="s">
        <v>44</v>
      </c>
      <c r="C13613" s="38" t="s">
        <v>11630</v>
      </c>
      <c r="D13613" s="18">
        <v>2023</v>
      </c>
      <c r="E13613" s="18" t="s">
        <v>0</v>
      </c>
      <c r="F13613" s="41">
        <v>1</v>
      </c>
      <c r="G13613" s="41">
        <v>10</v>
      </c>
      <c r="H13613" s="41">
        <v>24.929299999999998</v>
      </c>
      <c r="I13613" s="221"/>
      <c r="J13613" s="221"/>
    </row>
    <row r="13614" spans="1:10" s="15" customFormat="1" ht="24" hidden="1" customHeight="1" outlineLevel="1" x14ac:dyDescent="0.25">
      <c r="A13614" s="18">
        <v>3832</v>
      </c>
      <c r="B13614" s="6" t="s">
        <v>44</v>
      </c>
      <c r="C13614" s="38" t="s">
        <v>11631</v>
      </c>
      <c r="D13614" s="18">
        <v>2023</v>
      </c>
      <c r="E13614" s="18" t="s">
        <v>0</v>
      </c>
      <c r="F13614" s="41">
        <v>1</v>
      </c>
      <c r="G13614" s="41">
        <v>15</v>
      </c>
      <c r="H13614" s="41">
        <v>26.113880000000005</v>
      </c>
      <c r="I13614" s="221"/>
      <c r="J13614" s="221"/>
    </row>
    <row r="13615" spans="1:10" s="15" customFormat="1" ht="24" hidden="1" customHeight="1" outlineLevel="1" x14ac:dyDescent="0.25">
      <c r="A13615" s="18">
        <v>3841</v>
      </c>
      <c r="B13615" s="6" t="s">
        <v>44</v>
      </c>
      <c r="C13615" s="38" t="s">
        <v>11632</v>
      </c>
      <c r="D13615" s="18">
        <v>2023</v>
      </c>
      <c r="E13615" s="18" t="s">
        <v>0</v>
      </c>
      <c r="F13615" s="41">
        <v>1</v>
      </c>
      <c r="G13615" s="41">
        <v>15</v>
      </c>
      <c r="H13615" s="41">
        <v>24.836410000000004</v>
      </c>
      <c r="I13615" s="221"/>
      <c r="J13615" s="221"/>
    </row>
    <row r="13616" spans="1:10" s="15" customFormat="1" ht="24" hidden="1" customHeight="1" outlineLevel="1" x14ac:dyDescent="0.25">
      <c r="A13616" s="18">
        <v>3848</v>
      </c>
      <c r="B13616" s="6" t="s">
        <v>44</v>
      </c>
      <c r="C13616" s="38" t="s">
        <v>11633</v>
      </c>
      <c r="D13616" s="18">
        <v>2023</v>
      </c>
      <c r="E13616" s="18" t="s">
        <v>0</v>
      </c>
      <c r="F13616" s="41">
        <v>1</v>
      </c>
      <c r="G13616" s="41">
        <v>12</v>
      </c>
      <c r="H13616" s="41">
        <v>24.92933</v>
      </c>
      <c r="I13616" s="221"/>
      <c r="J13616" s="221"/>
    </row>
    <row r="13617" spans="1:10" s="15" customFormat="1" ht="24" hidden="1" customHeight="1" outlineLevel="1" x14ac:dyDescent="0.25">
      <c r="A13617" s="18">
        <v>3839</v>
      </c>
      <c r="B13617" s="6" t="s">
        <v>44</v>
      </c>
      <c r="C13617" s="38" t="s">
        <v>11634</v>
      </c>
      <c r="D13617" s="18">
        <v>2023</v>
      </c>
      <c r="E13617" s="18" t="s">
        <v>0</v>
      </c>
      <c r="F13617" s="41">
        <v>1</v>
      </c>
      <c r="G13617" s="41">
        <v>7</v>
      </c>
      <c r="H13617" s="41">
        <v>24.929320000000001</v>
      </c>
      <c r="I13617" s="221"/>
      <c r="J13617" s="221"/>
    </row>
    <row r="13618" spans="1:10" s="15" customFormat="1" ht="24" hidden="1" customHeight="1" outlineLevel="1" x14ac:dyDescent="0.25">
      <c r="A13618" s="18">
        <v>3863</v>
      </c>
      <c r="B13618" s="6" t="s">
        <v>44</v>
      </c>
      <c r="C13618" s="38" t="s">
        <v>11635</v>
      </c>
      <c r="D13618" s="18">
        <v>2023</v>
      </c>
      <c r="E13618" s="18" t="s">
        <v>0</v>
      </c>
      <c r="F13618" s="41">
        <v>1</v>
      </c>
      <c r="G13618" s="41">
        <v>15</v>
      </c>
      <c r="H13618" s="41">
        <v>25.727779999999999</v>
      </c>
      <c r="I13618" s="221"/>
      <c r="J13618" s="221"/>
    </row>
    <row r="13619" spans="1:10" s="15" customFormat="1" ht="24" hidden="1" customHeight="1" outlineLevel="1" x14ac:dyDescent="0.25">
      <c r="A13619" s="18">
        <v>3853</v>
      </c>
      <c r="B13619" s="6" t="s">
        <v>44</v>
      </c>
      <c r="C13619" s="38" t="s">
        <v>11636</v>
      </c>
      <c r="D13619" s="18">
        <v>2023</v>
      </c>
      <c r="E13619" s="18" t="s">
        <v>0</v>
      </c>
      <c r="F13619" s="41">
        <v>1</v>
      </c>
      <c r="G13619" s="41">
        <v>12</v>
      </c>
      <c r="H13619" s="41">
        <v>24.929299999999998</v>
      </c>
      <c r="I13619" s="221"/>
      <c r="J13619" s="221"/>
    </row>
    <row r="13620" spans="1:10" s="15" customFormat="1" ht="24" hidden="1" customHeight="1" outlineLevel="1" x14ac:dyDescent="0.25">
      <c r="A13620" s="18">
        <v>3854</v>
      </c>
      <c r="B13620" s="6" t="s">
        <v>44</v>
      </c>
      <c r="C13620" s="38" t="s">
        <v>11637</v>
      </c>
      <c r="D13620" s="18">
        <v>2023</v>
      </c>
      <c r="E13620" s="18" t="s">
        <v>0</v>
      </c>
      <c r="F13620" s="41">
        <v>1</v>
      </c>
      <c r="G13620" s="41">
        <v>15</v>
      </c>
      <c r="H13620" s="41">
        <v>26.526239999999998</v>
      </c>
      <c r="I13620" s="221"/>
      <c r="J13620" s="221"/>
    </row>
    <row r="13621" spans="1:10" s="15" customFormat="1" ht="24" hidden="1" customHeight="1" outlineLevel="1" x14ac:dyDescent="0.25">
      <c r="A13621" s="18">
        <v>3852</v>
      </c>
      <c r="B13621" s="6" t="s">
        <v>44</v>
      </c>
      <c r="C13621" s="38" t="s">
        <v>11638</v>
      </c>
      <c r="D13621" s="18">
        <v>2023</v>
      </c>
      <c r="E13621" s="18" t="s">
        <v>0</v>
      </c>
      <c r="F13621" s="41">
        <v>1</v>
      </c>
      <c r="G13621" s="41">
        <v>15</v>
      </c>
      <c r="H13621" s="41">
        <v>25.727789999999999</v>
      </c>
      <c r="I13621" s="221"/>
      <c r="J13621" s="221"/>
    </row>
    <row r="13622" spans="1:10" s="15" customFormat="1" ht="24" hidden="1" customHeight="1" outlineLevel="1" x14ac:dyDescent="0.25">
      <c r="A13622" s="18">
        <v>3849</v>
      </c>
      <c r="B13622" s="6" t="s">
        <v>44</v>
      </c>
      <c r="C13622" s="38" t="s">
        <v>11639</v>
      </c>
      <c r="D13622" s="18">
        <v>2023</v>
      </c>
      <c r="E13622" s="18" t="s">
        <v>0</v>
      </c>
      <c r="F13622" s="41">
        <v>1</v>
      </c>
      <c r="G13622" s="41">
        <v>15</v>
      </c>
      <c r="H13622" s="41">
        <v>29.600840000000002</v>
      </c>
      <c r="I13622" s="221"/>
      <c r="J13622" s="221"/>
    </row>
    <row r="13623" spans="1:10" s="15" customFormat="1" ht="24" hidden="1" customHeight="1" outlineLevel="1" x14ac:dyDescent="0.25">
      <c r="A13623" s="18">
        <v>3865</v>
      </c>
      <c r="B13623" s="6" t="s">
        <v>44</v>
      </c>
      <c r="C13623" s="38" t="s">
        <v>11640</v>
      </c>
      <c r="D13623" s="18">
        <v>2023</v>
      </c>
      <c r="E13623" s="18" t="s">
        <v>0</v>
      </c>
      <c r="F13623" s="41">
        <v>1</v>
      </c>
      <c r="G13623" s="41">
        <v>15</v>
      </c>
      <c r="H13623" s="41">
        <v>32.734999999999999</v>
      </c>
      <c r="I13623" s="221"/>
      <c r="J13623" s="221"/>
    </row>
    <row r="13624" spans="1:10" s="15" customFormat="1" ht="24" hidden="1" customHeight="1" outlineLevel="1" x14ac:dyDescent="0.25">
      <c r="A13624" s="18">
        <v>3858</v>
      </c>
      <c r="B13624" s="6" t="s">
        <v>44</v>
      </c>
      <c r="C13624" s="38" t="s">
        <v>11641</v>
      </c>
      <c r="D13624" s="18">
        <v>2023</v>
      </c>
      <c r="E13624" s="18" t="s">
        <v>0</v>
      </c>
      <c r="F13624" s="41">
        <v>1</v>
      </c>
      <c r="G13624" s="41">
        <v>15</v>
      </c>
      <c r="H13624" s="41">
        <v>25.408399999999997</v>
      </c>
      <c r="I13624" s="221"/>
      <c r="J13624" s="221"/>
    </row>
    <row r="13625" spans="1:10" s="15" customFormat="1" ht="24" hidden="1" customHeight="1" outlineLevel="1" x14ac:dyDescent="0.25">
      <c r="A13625" s="18">
        <v>3831</v>
      </c>
      <c r="B13625" s="6" t="s">
        <v>44</v>
      </c>
      <c r="C13625" s="38" t="s">
        <v>11642</v>
      </c>
      <c r="D13625" s="18">
        <v>2023</v>
      </c>
      <c r="E13625" s="18" t="s">
        <v>0</v>
      </c>
      <c r="F13625" s="41">
        <v>1</v>
      </c>
      <c r="G13625" s="41">
        <v>15</v>
      </c>
      <c r="H13625" s="41">
        <v>26.523680000000002</v>
      </c>
      <c r="I13625" s="221"/>
      <c r="J13625" s="221"/>
    </row>
    <row r="13626" spans="1:10" s="15" customFormat="1" ht="24" hidden="1" customHeight="1" outlineLevel="1" x14ac:dyDescent="0.25">
      <c r="A13626" s="18">
        <v>3795</v>
      </c>
      <c r="B13626" s="6" t="s">
        <v>44</v>
      </c>
      <c r="C13626" s="38" t="s">
        <v>11643</v>
      </c>
      <c r="D13626" s="18">
        <v>2023</v>
      </c>
      <c r="E13626" s="18" t="s">
        <v>0</v>
      </c>
      <c r="F13626" s="41">
        <v>1</v>
      </c>
      <c r="G13626" s="41">
        <v>15</v>
      </c>
      <c r="H13626" s="41">
        <v>25.062130000000003</v>
      </c>
      <c r="I13626" s="221"/>
      <c r="J13626" s="221"/>
    </row>
    <row r="13627" spans="1:10" s="15" customFormat="1" ht="24" hidden="1" customHeight="1" outlineLevel="1" x14ac:dyDescent="0.25">
      <c r="A13627" s="18">
        <v>3824</v>
      </c>
      <c r="B13627" s="6" t="s">
        <v>44</v>
      </c>
      <c r="C13627" s="38" t="s">
        <v>11644</v>
      </c>
      <c r="D13627" s="18">
        <v>2023</v>
      </c>
      <c r="E13627" s="18" t="s">
        <v>0</v>
      </c>
      <c r="F13627" s="41">
        <v>1</v>
      </c>
      <c r="G13627" s="41">
        <v>15</v>
      </c>
      <c r="H13627" s="41">
        <v>24.926849999999998</v>
      </c>
      <c r="I13627" s="221"/>
      <c r="J13627" s="221"/>
    </row>
    <row r="13628" spans="1:10" s="15" customFormat="1" ht="24" hidden="1" customHeight="1" outlineLevel="1" x14ac:dyDescent="0.25">
      <c r="A13628" s="18">
        <v>3808</v>
      </c>
      <c r="B13628" s="6" t="s">
        <v>44</v>
      </c>
      <c r="C13628" s="38" t="s">
        <v>11645</v>
      </c>
      <c r="D13628" s="18">
        <v>2023</v>
      </c>
      <c r="E13628" s="18" t="s">
        <v>0</v>
      </c>
      <c r="F13628" s="41">
        <v>1</v>
      </c>
      <c r="G13628" s="41">
        <v>10</v>
      </c>
      <c r="H13628" s="41">
        <v>25.22167</v>
      </c>
      <c r="I13628" s="221"/>
      <c r="J13628" s="221"/>
    </row>
    <row r="13629" spans="1:10" s="15" customFormat="1" ht="24" hidden="1" customHeight="1" outlineLevel="1" x14ac:dyDescent="0.25">
      <c r="A13629" s="18">
        <v>3823</v>
      </c>
      <c r="B13629" s="6" t="s">
        <v>44</v>
      </c>
      <c r="C13629" s="38" t="s">
        <v>11646</v>
      </c>
      <c r="D13629" s="18">
        <v>2023</v>
      </c>
      <c r="E13629" s="18" t="s">
        <v>0</v>
      </c>
      <c r="F13629" s="41">
        <v>1</v>
      </c>
      <c r="G13629" s="41">
        <v>15</v>
      </c>
      <c r="H13629" s="41">
        <v>26.044609999999995</v>
      </c>
      <c r="I13629" s="221"/>
      <c r="J13629" s="221"/>
    </row>
    <row r="13630" spans="1:10" s="15" customFormat="1" ht="24" hidden="1" customHeight="1" outlineLevel="1" x14ac:dyDescent="0.25">
      <c r="A13630" s="18">
        <v>3807</v>
      </c>
      <c r="B13630" s="6" t="s">
        <v>44</v>
      </c>
      <c r="C13630" s="38" t="s">
        <v>11647</v>
      </c>
      <c r="D13630" s="18">
        <v>2023</v>
      </c>
      <c r="E13630" s="18" t="s">
        <v>0</v>
      </c>
      <c r="F13630" s="41">
        <v>1</v>
      </c>
      <c r="G13630" s="41">
        <v>15</v>
      </c>
      <c r="H13630" s="41">
        <v>29.094729999999998</v>
      </c>
      <c r="I13630" s="221"/>
      <c r="J13630" s="221"/>
    </row>
    <row r="13631" spans="1:10" s="15" customFormat="1" ht="24" hidden="1" customHeight="1" outlineLevel="1" x14ac:dyDescent="0.25">
      <c r="A13631" s="18">
        <v>3803</v>
      </c>
      <c r="B13631" s="6" t="s">
        <v>44</v>
      </c>
      <c r="C13631" s="38" t="s">
        <v>11648</v>
      </c>
      <c r="D13631" s="18">
        <v>2023</v>
      </c>
      <c r="E13631" s="18" t="s">
        <v>0</v>
      </c>
      <c r="F13631" s="41">
        <v>1</v>
      </c>
      <c r="G13631" s="41">
        <v>15</v>
      </c>
      <c r="H13631" s="41">
        <v>25.22167</v>
      </c>
      <c r="I13631" s="221"/>
      <c r="J13631" s="221"/>
    </row>
    <row r="13632" spans="1:10" s="15" customFormat="1" ht="24" hidden="1" customHeight="1" outlineLevel="1" x14ac:dyDescent="0.25">
      <c r="A13632" s="18">
        <v>3797</v>
      </c>
      <c r="B13632" s="6" t="s">
        <v>44</v>
      </c>
      <c r="C13632" s="38" t="s">
        <v>11649</v>
      </c>
      <c r="D13632" s="18">
        <v>2023</v>
      </c>
      <c r="E13632" s="18" t="s">
        <v>0</v>
      </c>
      <c r="F13632" s="41">
        <v>1</v>
      </c>
      <c r="G13632" s="41">
        <v>15</v>
      </c>
      <c r="H13632" s="41">
        <v>25.860530000000004</v>
      </c>
      <c r="I13632" s="221"/>
      <c r="J13632" s="221"/>
    </row>
    <row r="13633" spans="1:10" s="15" customFormat="1" ht="24" hidden="1" customHeight="1" outlineLevel="1" x14ac:dyDescent="0.25">
      <c r="A13633" s="18">
        <v>3796</v>
      </c>
      <c r="B13633" s="6" t="s">
        <v>44</v>
      </c>
      <c r="C13633" s="38" t="s">
        <v>11650</v>
      </c>
      <c r="D13633" s="18">
        <v>2023</v>
      </c>
      <c r="E13633" s="18" t="s">
        <v>0</v>
      </c>
      <c r="F13633" s="41">
        <v>1</v>
      </c>
      <c r="G13633" s="41">
        <v>15</v>
      </c>
      <c r="H13633" s="41">
        <v>24.902360000000002</v>
      </c>
      <c r="I13633" s="221"/>
      <c r="J13633" s="221"/>
    </row>
    <row r="13634" spans="1:10" s="15" customFormat="1" ht="24" hidden="1" customHeight="1" outlineLevel="1" x14ac:dyDescent="0.25">
      <c r="A13634" s="18">
        <v>3800</v>
      </c>
      <c r="B13634" s="6" t="s">
        <v>44</v>
      </c>
      <c r="C13634" s="38" t="s">
        <v>11651</v>
      </c>
      <c r="D13634" s="18">
        <v>2023</v>
      </c>
      <c r="E13634" s="18" t="s">
        <v>0</v>
      </c>
      <c r="F13634" s="41">
        <v>1</v>
      </c>
      <c r="G13634" s="41">
        <v>15</v>
      </c>
      <c r="H13634" s="41">
        <v>25.22167</v>
      </c>
      <c r="I13634" s="221"/>
      <c r="J13634" s="221"/>
    </row>
    <row r="13635" spans="1:10" s="15" customFormat="1" ht="24" hidden="1" customHeight="1" outlineLevel="1" x14ac:dyDescent="0.25">
      <c r="A13635" s="18">
        <v>3830</v>
      </c>
      <c r="B13635" s="6" t="s">
        <v>44</v>
      </c>
      <c r="C13635" s="38" t="s">
        <v>11652</v>
      </c>
      <c r="D13635" s="18">
        <v>2023</v>
      </c>
      <c r="E13635" s="18" t="s">
        <v>0</v>
      </c>
      <c r="F13635" s="41">
        <v>1</v>
      </c>
      <c r="G13635" s="41">
        <v>15</v>
      </c>
      <c r="H13635" s="41">
        <v>29.598269999999999</v>
      </c>
      <c r="I13635" s="221"/>
      <c r="J13635" s="221"/>
    </row>
    <row r="13636" spans="1:10" s="15" customFormat="1" ht="24" hidden="1" customHeight="1" outlineLevel="1" x14ac:dyDescent="0.25">
      <c r="A13636" s="18">
        <v>3806</v>
      </c>
      <c r="B13636" s="6" t="s">
        <v>44</v>
      </c>
      <c r="C13636" s="38" t="s">
        <v>11653</v>
      </c>
      <c r="D13636" s="18">
        <v>2023</v>
      </c>
      <c r="E13636" s="18" t="s">
        <v>0</v>
      </c>
      <c r="F13636" s="41">
        <v>1</v>
      </c>
      <c r="G13636" s="41">
        <v>10</v>
      </c>
      <c r="H13636" s="41">
        <v>25.700769999999999</v>
      </c>
      <c r="I13636" s="221"/>
      <c r="J13636" s="221"/>
    </row>
    <row r="13637" spans="1:10" s="15" customFormat="1" ht="24" hidden="1" customHeight="1" outlineLevel="1" x14ac:dyDescent="0.25">
      <c r="A13637" s="18">
        <v>3810</v>
      </c>
      <c r="B13637" s="6" t="s">
        <v>44</v>
      </c>
      <c r="C13637" s="38" t="s">
        <v>11654</v>
      </c>
      <c r="D13637" s="18">
        <v>2023</v>
      </c>
      <c r="E13637" s="18" t="s">
        <v>0</v>
      </c>
      <c r="F13637" s="41">
        <v>1</v>
      </c>
      <c r="G13637" s="41">
        <v>15</v>
      </c>
      <c r="H13637" s="41">
        <v>26.020149999999997</v>
      </c>
      <c r="I13637" s="221"/>
      <c r="J13637" s="221"/>
    </row>
    <row r="13638" spans="1:10" s="15" customFormat="1" ht="24" hidden="1" customHeight="1" outlineLevel="1" x14ac:dyDescent="0.25">
      <c r="A13638" s="18">
        <v>3821</v>
      </c>
      <c r="B13638" s="6" t="s">
        <v>44</v>
      </c>
      <c r="C13638" s="38" t="s">
        <v>11655</v>
      </c>
      <c r="D13638" s="18">
        <v>2023</v>
      </c>
      <c r="E13638" s="18" t="s">
        <v>0</v>
      </c>
      <c r="F13638" s="41">
        <v>1</v>
      </c>
      <c r="G13638" s="41">
        <v>15</v>
      </c>
      <c r="H13638" s="41">
        <v>24.926839999999999</v>
      </c>
      <c r="I13638" s="221"/>
      <c r="J13638" s="221"/>
    </row>
    <row r="13639" spans="1:10" s="15" customFormat="1" ht="24" hidden="1" customHeight="1" outlineLevel="1" x14ac:dyDescent="0.25">
      <c r="A13639" s="18">
        <v>3816</v>
      </c>
      <c r="B13639" s="6" t="s">
        <v>44</v>
      </c>
      <c r="C13639" s="38" t="s">
        <v>11656</v>
      </c>
      <c r="D13639" s="18">
        <v>2023</v>
      </c>
      <c r="E13639" s="18" t="s">
        <v>0</v>
      </c>
      <c r="F13639" s="41">
        <v>1</v>
      </c>
      <c r="G13639" s="41">
        <v>15</v>
      </c>
      <c r="H13639" s="41">
        <v>24.42323</v>
      </c>
      <c r="I13639" s="221"/>
      <c r="J13639" s="221"/>
    </row>
    <row r="13640" spans="1:10" s="15" customFormat="1" ht="24" hidden="1" customHeight="1" outlineLevel="1" x14ac:dyDescent="0.25">
      <c r="A13640" s="18">
        <v>3815</v>
      </c>
      <c r="B13640" s="6" t="s">
        <v>44</v>
      </c>
      <c r="C13640" s="38" t="s">
        <v>11657</v>
      </c>
      <c r="D13640" s="18">
        <v>2023</v>
      </c>
      <c r="E13640" s="18" t="s">
        <v>0</v>
      </c>
      <c r="F13640" s="41">
        <v>1</v>
      </c>
      <c r="G13640" s="41">
        <v>10</v>
      </c>
      <c r="H13640" s="41">
        <v>25.221779999999999</v>
      </c>
      <c r="I13640" s="221"/>
      <c r="J13640" s="221"/>
    </row>
    <row r="13641" spans="1:10" s="15" customFormat="1" ht="24" hidden="1" customHeight="1" outlineLevel="1" x14ac:dyDescent="0.25">
      <c r="A13641" s="18">
        <v>3804</v>
      </c>
      <c r="B13641" s="6" t="s">
        <v>44</v>
      </c>
      <c r="C13641" s="38" t="s">
        <v>11658</v>
      </c>
      <c r="D13641" s="18">
        <v>2023</v>
      </c>
      <c r="E13641" s="18" t="s">
        <v>0</v>
      </c>
      <c r="F13641" s="41">
        <v>1</v>
      </c>
      <c r="G13641" s="41">
        <v>10</v>
      </c>
      <c r="H13641" s="41">
        <v>24.423259999999999</v>
      </c>
      <c r="I13641" s="221"/>
      <c r="J13641" s="221"/>
    </row>
    <row r="13642" spans="1:10" s="15" customFormat="1" ht="24" hidden="1" customHeight="1" outlineLevel="1" x14ac:dyDescent="0.25">
      <c r="A13642" s="18">
        <v>3822</v>
      </c>
      <c r="B13642" s="6" t="s">
        <v>44</v>
      </c>
      <c r="C13642" s="38" t="s">
        <v>11659</v>
      </c>
      <c r="D13642" s="18">
        <v>2023</v>
      </c>
      <c r="E13642" s="18" t="s">
        <v>0</v>
      </c>
      <c r="F13642" s="41">
        <v>1</v>
      </c>
      <c r="G13642" s="41">
        <v>15</v>
      </c>
      <c r="H13642" s="41">
        <v>26.523700000000002</v>
      </c>
      <c r="I13642" s="221"/>
      <c r="J13642" s="221"/>
    </row>
    <row r="13643" spans="1:10" s="15" customFormat="1" ht="24" hidden="1" customHeight="1" outlineLevel="1" x14ac:dyDescent="0.25">
      <c r="A13643" s="18">
        <v>3798</v>
      </c>
      <c r="B13643" s="6" t="s">
        <v>44</v>
      </c>
      <c r="C13643" s="38" t="s">
        <v>11660</v>
      </c>
      <c r="D13643" s="18">
        <v>2023</v>
      </c>
      <c r="E13643" s="18" t="s">
        <v>0</v>
      </c>
      <c r="F13643" s="41">
        <v>1</v>
      </c>
      <c r="G13643" s="41">
        <v>15</v>
      </c>
      <c r="H13643" s="41">
        <v>24.902380000000001</v>
      </c>
      <c r="I13643" s="221"/>
      <c r="J13643" s="221"/>
    </row>
    <row r="13644" spans="1:10" s="15" customFormat="1" ht="24" hidden="1" customHeight="1" outlineLevel="1" x14ac:dyDescent="0.25">
      <c r="A13644" s="18">
        <v>6198</v>
      </c>
      <c r="B13644" s="6" t="s">
        <v>44</v>
      </c>
      <c r="C13644" s="38" t="s">
        <v>11661</v>
      </c>
      <c r="D13644" s="18">
        <v>2023</v>
      </c>
      <c r="E13644" s="18" t="s">
        <v>0</v>
      </c>
      <c r="F13644" s="41">
        <v>1</v>
      </c>
      <c r="G13644" s="41">
        <v>15</v>
      </c>
      <c r="H13644" s="41">
        <v>19.602310000000003</v>
      </c>
      <c r="I13644" s="221"/>
      <c r="J13644" s="221"/>
    </row>
    <row r="13645" spans="1:10" s="15" customFormat="1" ht="24" hidden="1" customHeight="1" outlineLevel="1" x14ac:dyDescent="0.25">
      <c r="A13645" s="18">
        <v>3825</v>
      </c>
      <c r="B13645" s="6" t="s">
        <v>44</v>
      </c>
      <c r="C13645" s="38" t="s">
        <v>11662</v>
      </c>
      <c r="D13645" s="18">
        <v>2023</v>
      </c>
      <c r="E13645" s="18" t="s">
        <v>0</v>
      </c>
      <c r="F13645" s="41">
        <v>1</v>
      </c>
      <c r="G13645" s="41">
        <v>15</v>
      </c>
      <c r="H13645" s="41">
        <v>20.744630000000001</v>
      </c>
      <c r="I13645" s="221"/>
      <c r="J13645" s="221"/>
    </row>
    <row r="13646" spans="1:10" s="15" customFormat="1" ht="24" hidden="1" customHeight="1" outlineLevel="1" x14ac:dyDescent="0.25">
      <c r="A13646" s="18">
        <v>3794</v>
      </c>
      <c r="B13646" s="6" t="s">
        <v>44</v>
      </c>
      <c r="C13646" s="38" t="s">
        <v>11663</v>
      </c>
      <c r="D13646" s="18">
        <v>2023</v>
      </c>
      <c r="E13646" s="18" t="s">
        <v>0</v>
      </c>
      <c r="F13646" s="41">
        <v>1</v>
      </c>
      <c r="G13646" s="41">
        <v>10</v>
      </c>
      <c r="H13646" s="41">
        <v>18.963549999999998</v>
      </c>
      <c r="I13646" s="221"/>
      <c r="J13646" s="221"/>
    </row>
    <row r="13647" spans="1:10" s="15" customFormat="1" ht="24" hidden="1" customHeight="1" outlineLevel="1" x14ac:dyDescent="0.25">
      <c r="A13647" s="18">
        <v>3792</v>
      </c>
      <c r="B13647" s="6" t="s">
        <v>44</v>
      </c>
      <c r="C13647" s="38" t="s">
        <v>11664</v>
      </c>
      <c r="D13647" s="18">
        <v>2023</v>
      </c>
      <c r="E13647" s="18" t="s">
        <v>0</v>
      </c>
      <c r="F13647" s="41">
        <v>1</v>
      </c>
      <c r="G13647" s="41">
        <v>15</v>
      </c>
      <c r="H13647" s="41">
        <v>20.081309999999998</v>
      </c>
      <c r="I13647" s="221"/>
      <c r="J13647" s="221"/>
    </row>
    <row r="13648" spans="1:10" s="15" customFormat="1" ht="24" hidden="1" customHeight="1" outlineLevel="1" x14ac:dyDescent="0.25">
      <c r="A13648" s="18">
        <v>3793</v>
      </c>
      <c r="B13648" s="6" t="s">
        <v>44</v>
      </c>
      <c r="C13648" s="38" t="s">
        <v>11665</v>
      </c>
      <c r="D13648" s="18">
        <v>2023</v>
      </c>
      <c r="E13648" s="18" t="s">
        <v>0</v>
      </c>
      <c r="F13648" s="41">
        <v>1</v>
      </c>
      <c r="G13648" s="41">
        <v>15</v>
      </c>
      <c r="H13648" s="41">
        <v>23.635009999999998</v>
      </c>
      <c r="I13648" s="221"/>
      <c r="J13648" s="221"/>
    </row>
    <row r="13649" spans="1:10" s="15" customFormat="1" ht="24" hidden="1" customHeight="1" outlineLevel="1" x14ac:dyDescent="0.25">
      <c r="A13649" s="18">
        <v>3787</v>
      </c>
      <c r="B13649" s="6" t="s">
        <v>44</v>
      </c>
      <c r="C13649" s="38" t="s">
        <v>11666</v>
      </c>
      <c r="D13649" s="18">
        <v>2023</v>
      </c>
      <c r="E13649" s="18" t="s">
        <v>0</v>
      </c>
      <c r="F13649" s="41">
        <v>1</v>
      </c>
      <c r="G13649" s="41">
        <v>15</v>
      </c>
      <c r="H13649" s="41">
        <v>26.769170000000003</v>
      </c>
      <c r="I13649" s="221"/>
      <c r="J13649" s="221"/>
    </row>
    <row r="13650" spans="1:10" s="15" customFormat="1" ht="24" hidden="1" customHeight="1" outlineLevel="1" x14ac:dyDescent="0.25">
      <c r="A13650" s="18">
        <v>3763</v>
      </c>
      <c r="B13650" s="6" t="s">
        <v>44</v>
      </c>
      <c r="C13650" s="38" t="s">
        <v>11667</v>
      </c>
      <c r="D13650" s="18">
        <v>2023</v>
      </c>
      <c r="E13650" s="18" t="s">
        <v>0</v>
      </c>
      <c r="F13650" s="41">
        <v>1</v>
      </c>
      <c r="G13650" s="41">
        <v>15</v>
      </c>
      <c r="H13650" s="41">
        <v>19.761970000000002</v>
      </c>
      <c r="I13650" s="221"/>
      <c r="J13650" s="221"/>
    </row>
    <row r="13651" spans="1:10" s="15" customFormat="1" ht="24" hidden="1" customHeight="1" outlineLevel="1" x14ac:dyDescent="0.25">
      <c r="A13651" s="18">
        <v>3776</v>
      </c>
      <c r="B13651" s="6" t="s">
        <v>44</v>
      </c>
      <c r="C13651" s="38" t="s">
        <v>11668</v>
      </c>
      <c r="D13651" s="18">
        <v>2023</v>
      </c>
      <c r="E13651" s="18" t="s">
        <v>0</v>
      </c>
      <c r="F13651" s="41">
        <v>1</v>
      </c>
      <c r="G13651" s="41">
        <v>10</v>
      </c>
      <c r="H13651" s="41">
        <v>20.560409999999997</v>
      </c>
      <c r="I13651" s="221"/>
      <c r="J13651" s="221"/>
    </row>
    <row r="13652" spans="1:10" s="15" customFormat="1" ht="24" hidden="1" customHeight="1" outlineLevel="1" x14ac:dyDescent="0.25">
      <c r="A13652" s="18">
        <v>3775</v>
      </c>
      <c r="B13652" s="6" t="s">
        <v>44</v>
      </c>
      <c r="C13652" s="38" t="s">
        <v>11669</v>
      </c>
      <c r="D13652" s="18">
        <v>2023</v>
      </c>
      <c r="E13652" s="18" t="s">
        <v>0</v>
      </c>
      <c r="F13652" s="41">
        <v>1</v>
      </c>
      <c r="G13652" s="41">
        <v>14</v>
      </c>
      <c r="H13652" s="41">
        <v>20.560409999999997</v>
      </c>
      <c r="I13652" s="221"/>
      <c r="J13652" s="221"/>
    </row>
    <row r="13653" spans="1:10" s="15" customFormat="1" ht="24" hidden="1" customHeight="1" outlineLevel="1" x14ac:dyDescent="0.25">
      <c r="A13653" s="18">
        <v>3771</v>
      </c>
      <c r="B13653" s="6" t="s">
        <v>44</v>
      </c>
      <c r="C13653" s="38" t="s">
        <v>11670</v>
      </c>
      <c r="D13653" s="18">
        <v>2023</v>
      </c>
      <c r="E13653" s="18" t="s">
        <v>0</v>
      </c>
      <c r="F13653" s="41">
        <v>1</v>
      </c>
      <c r="G13653" s="41">
        <v>15</v>
      </c>
      <c r="H13653" s="41">
        <v>21.358769999999996</v>
      </c>
      <c r="I13653" s="221"/>
      <c r="J13653" s="221"/>
    </row>
    <row r="13654" spans="1:10" s="15" customFormat="1" ht="24" hidden="1" customHeight="1" outlineLevel="1" x14ac:dyDescent="0.25">
      <c r="A13654" s="18">
        <v>3768</v>
      </c>
      <c r="B13654" s="6" t="s">
        <v>44</v>
      </c>
      <c r="C13654" s="38" t="s">
        <v>11671</v>
      </c>
      <c r="D13654" s="18">
        <v>2023</v>
      </c>
      <c r="E13654" s="18" t="s">
        <v>0</v>
      </c>
      <c r="F13654" s="41">
        <v>1</v>
      </c>
      <c r="G13654" s="41">
        <v>15</v>
      </c>
      <c r="H13654" s="41">
        <v>20.003799999999998</v>
      </c>
      <c r="I13654" s="221"/>
      <c r="J13654" s="221"/>
    </row>
    <row r="13655" spans="1:10" s="15" customFormat="1" ht="24" hidden="1" customHeight="1" outlineLevel="1" x14ac:dyDescent="0.25">
      <c r="A13655" s="18">
        <v>3770</v>
      </c>
      <c r="B13655" s="6" t="s">
        <v>44</v>
      </c>
      <c r="C13655" s="38" t="s">
        <v>11672</v>
      </c>
      <c r="D13655" s="18">
        <v>2023</v>
      </c>
      <c r="E13655" s="18" t="s">
        <v>0</v>
      </c>
      <c r="F13655" s="41">
        <v>1</v>
      </c>
      <c r="G13655" s="41">
        <v>15</v>
      </c>
      <c r="H13655" s="41">
        <v>19.073039999999995</v>
      </c>
      <c r="I13655" s="221"/>
      <c r="J13655" s="221"/>
    </row>
    <row r="13656" spans="1:10" s="15" customFormat="1" ht="24" hidden="1" customHeight="1" outlineLevel="1" x14ac:dyDescent="0.25">
      <c r="A13656" s="18">
        <v>3769</v>
      </c>
      <c r="B13656" s="6" t="s">
        <v>44</v>
      </c>
      <c r="C13656" s="38" t="s">
        <v>11673</v>
      </c>
      <c r="D13656" s="18">
        <v>2023</v>
      </c>
      <c r="E13656" s="18" t="s">
        <v>0</v>
      </c>
      <c r="F13656" s="41">
        <v>1</v>
      </c>
      <c r="G13656" s="41">
        <v>15</v>
      </c>
      <c r="H13656" s="41">
        <v>19.073039999999995</v>
      </c>
      <c r="I13656" s="221"/>
      <c r="J13656" s="221"/>
    </row>
    <row r="13657" spans="1:10" s="15" customFormat="1" ht="24" hidden="1" customHeight="1" outlineLevel="1" x14ac:dyDescent="0.25">
      <c r="A13657" s="18">
        <v>3774</v>
      </c>
      <c r="B13657" s="6" t="s">
        <v>44</v>
      </c>
      <c r="C13657" s="38" t="s">
        <v>11674</v>
      </c>
      <c r="D13657" s="18">
        <v>2023</v>
      </c>
      <c r="E13657" s="18" t="s">
        <v>0</v>
      </c>
      <c r="F13657" s="41">
        <v>1</v>
      </c>
      <c r="G13657" s="41">
        <v>15</v>
      </c>
      <c r="H13657" s="41">
        <v>19.073049999999999</v>
      </c>
      <c r="I13657" s="221"/>
      <c r="J13657" s="221"/>
    </row>
    <row r="13658" spans="1:10" s="15" customFormat="1" ht="24" hidden="1" customHeight="1" outlineLevel="1" x14ac:dyDescent="0.25">
      <c r="A13658" s="18">
        <v>3791</v>
      </c>
      <c r="B13658" s="6" t="s">
        <v>44</v>
      </c>
      <c r="C13658" s="38" t="s">
        <v>11675</v>
      </c>
      <c r="D13658" s="18">
        <v>2023</v>
      </c>
      <c r="E13658" s="18" t="s">
        <v>0</v>
      </c>
      <c r="F13658" s="41">
        <v>1</v>
      </c>
      <c r="G13658" s="41">
        <v>15</v>
      </c>
      <c r="H13658" s="41">
        <v>20.500919999999997</v>
      </c>
      <c r="I13658" s="221"/>
      <c r="J13658" s="221"/>
    </row>
    <row r="13659" spans="1:10" s="15" customFormat="1" ht="24" hidden="1" customHeight="1" outlineLevel="1" x14ac:dyDescent="0.25">
      <c r="A13659" s="18">
        <v>3759</v>
      </c>
      <c r="B13659" s="6" t="s">
        <v>44</v>
      </c>
      <c r="C13659" s="38" t="s">
        <v>11676</v>
      </c>
      <c r="D13659" s="18">
        <v>2023</v>
      </c>
      <c r="E13659" s="18" t="s">
        <v>0</v>
      </c>
      <c r="F13659" s="41">
        <v>1</v>
      </c>
      <c r="G13659" s="41">
        <v>15</v>
      </c>
      <c r="H13659" s="41">
        <v>22.905460000000001</v>
      </c>
      <c r="I13659" s="221"/>
      <c r="J13659" s="221"/>
    </row>
    <row r="13660" spans="1:10" s="15" customFormat="1" ht="24" hidden="1" customHeight="1" outlineLevel="1" x14ac:dyDescent="0.25">
      <c r="A13660" s="18">
        <v>3767</v>
      </c>
      <c r="B13660" s="6" t="s">
        <v>44</v>
      </c>
      <c r="C13660" s="38" t="s">
        <v>11677</v>
      </c>
      <c r="D13660" s="18">
        <v>2023</v>
      </c>
      <c r="E13660" s="18" t="s">
        <v>0</v>
      </c>
      <c r="F13660" s="41">
        <v>1</v>
      </c>
      <c r="G13660" s="41">
        <v>15</v>
      </c>
      <c r="H13660" s="41">
        <v>19.871470000000002</v>
      </c>
      <c r="I13660" s="221"/>
      <c r="J13660" s="221"/>
    </row>
    <row r="13661" spans="1:10" s="15" customFormat="1" ht="24" hidden="1" customHeight="1" outlineLevel="1" x14ac:dyDescent="0.25">
      <c r="A13661" s="18">
        <v>3766</v>
      </c>
      <c r="B13661" s="6" t="s">
        <v>44</v>
      </c>
      <c r="C13661" s="38" t="s">
        <v>11678</v>
      </c>
      <c r="D13661" s="18">
        <v>2023</v>
      </c>
      <c r="E13661" s="18" t="s">
        <v>0</v>
      </c>
      <c r="F13661" s="41">
        <v>1</v>
      </c>
      <c r="G13661" s="41">
        <v>15</v>
      </c>
      <c r="H13661" s="41">
        <v>19.073039999999995</v>
      </c>
      <c r="I13661" s="221"/>
      <c r="J13661" s="221"/>
    </row>
    <row r="13662" spans="1:10" s="15" customFormat="1" ht="24" hidden="1" customHeight="1" outlineLevel="1" x14ac:dyDescent="0.25">
      <c r="A13662" s="18">
        <v>3765</v>
      </c>
      <c r="B13662" s="6" t="s">
        <v>44</v>
      </c>
      <c r="C13662" s="38" t="s">
        <v>11679</v>
      </c>
      <c r="D13662" s="18">
        <v>2023</v>
      </c>
      <c r="E13662" s="18" t="s">
        <v>0</v>
      </c>
      <c r="F13662" s="41">
        <v>1</v>
      </c>
      <c r="G13662" s="41">
        <v>10</v>
      </c>
      <c r="H13662" s="41">
        <v>19.873199999999997</v>
      </c>
      <c r="I13662" s="221"/>
      <c r="J13662" s="221"/>
    </row>
    <row r="13663" spans="1:10" s="15" customFormat="1" ht="24" hidden="1" customHeight="1" outlineLevel="1" x14ac:dyDescent="0.25">
      <c r="A13663" s="18">
        <v>3757</v>
      </c>
      <c r="B13663" s="6" t="s">
        <v>44</v>
      </c>
      <c r="C13663" s="38" t="s">
        <v>11680</v>
      </c>
      <c r="D13663" s="18">
        <v>2023</v>
      </c>
      <c r="E13663" s="18" t="s">
        <v>0</v>
      </c>
      <c r="F13663" s="41">
        <v>1</v>
      </c>
      <c r="G13663" s="41">
        <v>15</v>
      </c>
      <c r="H13663" s="41">
        <v>19.873189999999994</v>
      </c>
      <c r="I13663" s="221"/>
      <c r="J13663" s="221"/>
    </row>
    <row r="13664" spans="1:10" s="15" customFormat="1" ht="24" hidden="1" customHeight="1" outlineLevel="1" x14ac:dyDescent="0.25">
      <c r="A13664" s="18">
        <v>3754</v>
      </c>
      <c r="B13664" s="6" t="s">
        <v>44</v>
      </c>
      <c r="C13664" s="38" t="s">
        <v>11681</v>
      </c>
      <c r="D13664" s="18">
        <v>2023</v>
      </c>
      <c r="E13664" s="18" t="s">
        <v>0</v>
      </c>
      <c r="F13664" s="41">
        <v>1</v>
      </c>
      <c r="G13664" s="41">
        <v>15</v>
      </c>
      <c r="H13664" s="41">
        <v>19.873199999999997</v>
      </c>
      <c r="I13664" s="221"/>
      <c r="J13664" s="221"/>
    </row>
    <row r="13665" spans="1:10" s="15" customFormat="1" ht="24" hidden="1" customHeight="1" outlineLevel="1" x14ac:dyDescent="0.25">
      <c r="A13665" s="18">
        <v>3753</v>
      </c>
      <c r="B13665" s="6" t="s">
        <v>44</v>
      </c>
      <c r="C13665" s="38" t="s">
        <v>11682</v>
      </c>
      <c r="D13665" s="18">
        <v>2023</v>
      </c>
      <c r="E13665" s="18" t="s">
        <v>0</v>
      </c>
      <c r="F13665" s="41">
        <v>1</v>
      </c>
      <c r="G13665" s="41">
        <v>15</v>
      </c>
      <c r="H13665" s="41">
        <v>11.718280000000002</v>
      </c>
      <c r="I13665" s="221"/>
      <c r="J13665" s="221"/>
    </row>
    <row r="13666" spans="1:10" s="15" customFormat="1" ht="24" hidden="1" customHeight="1" outlineLevel="1" x14ac:dyDescent="0.25">
      <c r="A13666" s="18">
        <v>3752</v>
      </c>
      <c r="B13666" s="6" t="s">
        <v>44</v>
      </c>
      <c r="C13666" s="38" t="s">
        <v>11683</v>
      </c>
      <c r="D13666" s="18">
        <v>2023</v>
      </c>
      <c r="E13666" s="18" t="s">
        <v>0</v>
      </c>
      <c r="F13666" s="41">
        <v>1</v>
      </c>
      <c r="G13666" s="41">
        <v>15</v>
      </c>
      <c r="H13666" s="41">
        <v>19.553799999999999</v>
      </c>
      <c r="I13666" s="221"/>
      <c r="J13666" s="221"/>
    </row>
    <row r="13667" spans="1:10" s="15" customFormat="1" ht="24" hidden="1" customHeight="1" outlineLevel="1" x14ac:dyDescent="0.25">
      <c r="A13667" s="18">
        <v>3744</v>
      </c>
      <c r="B13667" s="6" t="s">
        <v>44</v>
      </c>
      <c r="C13667" s="38" t="s">
        <v>11684</v>
      </c>
      <c r="D13667" s="18">
        <v>2023</v>
      </c>
      <c r="E13667" s="18" t="s">
        <v>0</v>
      </c>
      <c r="F13667" s="41">
        <v>1</v>
      </c>
      <c r="G13667" s="41">
        <v>15</v>
      </c>
      <c r="H13667" s="41">
        <v>23.746239999999997</v>
      </c>
      <c r="I13667" s="221"/>
      <c r="J13667" s="221"/>
    </row>
    <row r="13668" spans="1:10" s="15" customFormat="1" ht="24" hidden="1" customHeight="1" outlineLevel="1" x14ac:dyDescent="0.25">
      <c r="A13668" s="18">
        <v>3737</v>
      </c>
      <c r="B13668" s="6" t="s">
        <v>44</v>
      </c>
      <c r="C13668" s="38" t="s">
        <v>11685</v>
      </c>
      <c r="D13668" s="18">
        <v>2023</v>
      </c>
      <c r="E13668" s="18" t="s">
        <v>0</v>
      </c>
      <c r="F13668" s="41">
        <v>1</v>
      </c>
      <c r="G13668" s="41">
        <v>10</v>
      </c>
      <c r="H13668" s="41">
        <v>19.873189999999994</v>
      </c>
      <c r="I13668" s="221"/>
      <c r="J13668" s="221"/>
    </row>
    <row r="13669" spans="1:10" s="15" customFormat="1" ht="24" hidden="1" customHeight="1" outlineLevel="1" x14ac:dyDescent="0.25">
      <c r="A13669" s="18">
        <v>3743</v>
      </c>
      <c r="B13669" s="6" t="s">
        <v>44</v>
      </c>
      <c r="C13669" s="38" t="s">
        <v>11686</v>
      </c>
      <c r="D13669" s="18">
        <v>2023</v>
      </c>
      <c r="E13669" s="18" t="s">
        <v>0</v>
      </c>
      <c r="F13669" s="41">
        <v>1</v>
      </c>
      <c r="G13669" s="41">
        <v>15</v>
      </c>
      <c r="H13669" s="41">
        <v>20.192509999999999</v>
      </c>
      <c r="I13669" s="221"/>
      <c r="J13669" s="221"/>
    </row>
    <row r="13670" spans="1:10" s="15" customFormat="1" ht="24" hidden="1" customHeight="1" outlineLevel="1" x14ac:dyDescent="0.25">
      <c r="A13670" s="18">
        <v>3739</v>
      </c>
      <c r="B13670" s="6" t="s">
        <v>44</v>
      </c>
      <c r="C13670" s="38" t="s">
        <v>11687</v>
      </c>
      <c r="D13670" s="18">
        <v>2023</v>
      </c>
      <c r="E13670" s="18" t="s">
        <v>0</v>
      </c>
      <c r="F13670" s="41">
        <v>1</v>
      </c>
      <c r="G13670" s="41">
        <v>15</v>
      </c>
      <c r="H13670" s="41">
        <v>19.553799999999999</v>
      </c>
      <c r="I13670" s="221"/>
      <c r="J13670" s="221"/>
    </row>
    <row r="13671" spans="1:10" s="15" customFormat="1" ht="24" hidden="1" customHeight="1" outlineLevel="1" x14ac:dyDescent="0.25">
      <c r="A13671" s="18">
        <v>6201</v>
      </c>
      <c r="B13671" s="6" t="s">
        <v>44</v>
      </c>
      <c r="C13671" s="38" t="s">
        <v>11688</v>
      </c>
      <c r="D13671" s="18">
        <v>2023</v>
      </c>
      <c r="E13671" s="18" t="s">
        <v>0</v>
      </c>
      <c r="F13671" s="41">
        <v>1</v>
      </c>
      <c r="G13671" s="41">
        <v>5</v>
      </c>
      <c r="H13671" s="41">
        <v>19.553799999999999</v>
      </c>
      <c r="I13671" s="221"/>
      <c r="J13671" s="221"/>
    </row>
    <row r="13672" spans="1:10" s="15" customFormat="1" ht="24" hidden="1" customHeight="1" outlineLevel="1" x14ac:dyDescent="0.25">
      <c r="A13672" s="18">
        <v>3727</v>
      </c>
      <c r="B13672" s="6" t="s">
        <v>44</v>
      </c>
      <c r="C13672" s="38" t="s">
        <v>11689</v>
      </c>
      <c r="D13672" s="18">
        <v>2023</v>
      </c>
      <c r="E13672" s="18" t="s">
        <v>0</v>
      </c>
      <c r="F13672" s="41">
        <v>1</v>
      </c>
      <c r="G13672" s="41">
        <v>5</v>
      </c>
      <c r="H13672" s="41">
        <v>19.713559999999998</v>
      </c>
      <c r="I13672" s="221"/>
      <c r="J13672" s="221"/>
    </row>
    <row r="13673" spans="1:10" s="15" customFormat="1" ht="24" hidden="1" customHeight="1" outlineLevel="1" x14ac:dyDescent="0.25">
      <c r="A13673" s="18">
        <v>3725</v>
      </c>
      <c r="B13673" s="6" t="s">
        <v>44</v>
      </c>
      <c r="C13673" s="38" t="s">
        <v>11690</v>
      </c>
      <c r="D13673" s="18">
        <v>2023</v>
      </c>
      <c r="E13673" s="18" t="s">
        <v>0</v>
      </c>
      <c r="F13673" s="41">
        <v>1</v>
      </c>
      <c r="G13673" s="41">
        <v>15</v>
      </c>
      <c r="H13673" s="41">
        <v>19.873189999999994</v>
      </c>
      <c r="I13673" s="221"/>
      <c r="J13673" s="221"/>
    </row>
    <row r="13674" spans="1:10" s="15" customFormat="1" ht="24" hidden="1" customHeight="1" outlineLevel="1" x14ac:dyDescent="0.25">
      <c r="A13674" s="18">
        <v>3723</v>
      </c>
      <c r="B13674" s="6" t="s">
        <v>44</v>
      </c>
      <c r="C13674" s="38" t="s">
        <v>11691</v>
      </c>
      <c r="D13674" s="18">
        <v>2023</v>
      </c>
      <c r="E13674" s="18" t="s">
        <v>0</v>
      </c>
      <c r="F13674" s="41">
        <v>1</v>
      </c>
      <c r="G13674" s="41">
        <v>15</v>
      </c>
      <c r="H13674" s="41">
        <v>19.873199999999997</v>
      </c>
      <c r="I13674" s="221"/>
      <c r="J13674" s="221"/>
    </row>
    <row r="13675" spans="1:10" s="15" customFormat="1" ht="24" hidden="1" customHeight="1" outlineLevel="1" x14ac:dyDescent="0.25">
      <c r="A13675" s="18">
        <v>3717</v>
      </c>
      <c r="B13675" s="6" t="s">
        <v>44</v>
      </c>
      <c r="C13675" s="38" t="s">
        <v>11692</v>
      </c>
      <c r="D13675" s="18">
        <v>2023</v>
      </c>
      <c r="E13675" s="18" t="s">
        <v>0</v>
      </c>
      <c r="F13675" s="41">
        <v>1</v>
      </c>
      <c r="G13675" s="41">
        <v>15</v>
      </c>
      <c r="H13675" s="41">
        <v>19.873193000000001</v>
      </c>
      <c r="I13675" s="221"/>
      <c r="J13675" s="221"/>
    </row>
    <row r="13676" spans="1:10" s="15" customFormat="1" ht="24" hidden="1" customHeight="1" outlineLevel="1" x14ac:dyDescent="0.25">
      <c r="A13676" s="18">
        <v>3703</v>
      </c>
      <c r="B13676" s="6" t="s">
        <v>44</v>
      </c>
      <c r="C13676" s="38" t="s">
        <v>11693</v>
      </c>
      <c r="D13676" s="18">
        <v>2023</v>
      </c>
      <c r="E13676" s="18" t="s">
        <v>0</v>
      </c>
      <c r="F13676" s="41">
        <v>1</v>
      </c>
      <c r="G13676" s="41">
        <v>15</v>
      </c>
      <c r="H13676" s="41">
        <v>20.192509999999999</v>
      </c>
      <c r="I13676" s="221"/>
      <c r="J13676" s="221"/>
    </row>
    <row r="13677" spans="1:10" s="15" customFormat="1" ht="24" hidden="1" customHeight="1" outlineLevel="1" x14ac:dyDescent="0.25">
      <c r="A13677" s="18">
        <v>3702</v>
      </c>
      <c r="B13677" s="6" t="s">
        <v>44</v>
      </c>
      <c r="C13677" s="38" t="s">
        <v>11694</v>
      </c>
      <c r="D13677" s="18">
        <v>2023</v>
      </c>
      <c r="E13677" s="18" t="s">
        <v>0</v>
      </c>
      <c r="F13677" s="41">
        <v>1</v>
      </c>
      <c r="G13677" s="41">
        <v>15</v>
      </c>
      <c r="H13677" s="41">
        <v>19.074729999999999</v>
      </c>
      <c r="I13677" s="221"/>
      <c r="J13677" s="221"/>
    </row>
    <row r="13678" spans="1:10" s="15" customFormat="1" ht="24" hidden="1" customHeight="1" outlineLevel="1" x14ac:dyDescent="0.25">
      <c r="A13678" s="18">
        <v>3692</v>
      </c>
      <c r="B13678" s="6" t="s">
        <v>44</v>
      </c>
      <c r="C13678" s="38" t="s">
        <v>11695</v>
      </c>
      <c r="D13678" s="18">
        <v>2023</v>
      </c>
      <c r="E13678" s="18" t="s">
        <v>0</v>
      </c>
      <c r="F13678" s="41">
        <v>1</v>
      </c>
      <c r="G13678" s="41">
        <v>10</v>
      </c>
      <c r="H13678" s="41">
        <v>20.352280000000004</v>
      </c>
      <c r="I13678" s="221"/>
      <c r="J13678" s="221"/>
    </row>
    <row r="13679" spans="1:10" s="15" customFormat="1" ht="24" hidden="1" customHeight="1" outlineLevel="1" x14ac:dyDescent="0.25">
      <c r="A13679" s="18">
        <v>3691</v>
      </c>
      <c r="B13679" s="6" t="s">
        <v>44</v>
      </c>
      <c r="C13679" s="38" t="s">
        <v>11696</v>
      </c>
      <c r="D13679" s="18">
        <v>2023</v>
      </c>
      <c r="E13679" s="18" t="s">
        <v>0</v>
      </c>
      <c r="F13679" s="41">
        <v>1</v>
      </c>
      <c r="G13679" s="41">
        <v>15</v>
      </c>
      <c r="H13679" s="41">
        <v>19.873189999999994</v>
      </c>
      <c r="I13679" s="221"/>
      <c r="J13679" s="221"/>
    </row>
    <row r="13680" spans="1:10" s="15" customFormat="1" ht="24" hidden="1" customHeight="1" outlineLevel="1" x14ac:dyDescent="0.25">
      <c r="A13680" s="18">
        <v>3688</v>
      </c>
      <c r="B13680" s="6" t="s">
        <v>44</v>
      </c>
      <c r="C13680" s="38" t="s">
        <v>11697</v>
      </c>
      <c r="D13680" s="18">
        <v>2023</v>
      </c>
      <c r="E13680" s="18" t="s">
        <v>0</v>
      </c>
      <c r="F13680" s="41">
        <v>1</v>
      </c>
      <c r="G13680" s="41">
        <v>7</v>
      </c>
      <c r="H13680" s="41">
        <v>20.352280000000004</v>
      </c>
      <c r="I13680" s="221"/>
      <c r="J13680" s="221"/>
    </row>
    <row r="13681" spans="1:10" s="15" customFormat="1" ht="24" hidden="1" customHeight="1" outlineLevel="1" x14ac:dyDescent="0.25">
      <c r="A13681" s="18">
        <v>3685</v>
      </c>
      <c r="B13681" s="6" t="s">
        <v>44</v>
      </c>
      <c r="C13681" s="38" t="s">
        <v>11698</v>
      </c>
      <c r="D13681" s="18">
        <v>2023</v>
      </c>
      <c r="E13681" s="18" t="s">
        <v>0</v>
      </c>
      <c r="F13681" s="41">
        <v>1</v>
      </c>
      <c r="G13681" s="41">
        <v>15</v>
      </c>
      <c r="H13681" s="41">
        <v>19.074729999999999</v>
      </c>
      <c r="I13681" s="221"/>
      <c r="J13681" s="221"/>
    </row>
    <row r="13682" spans="1:10" s="15" customFormat="1" ht="24" hidden="1" customHeight="1" outlineLevel="1" x14ac:dyDescent="0.25">
      <c r="A13682" s="18">
        <v>3684</v>
      </c>
      <c r="B13682" s="6" t="s">
        <v>44</v>
      </c>
      <c r="C13682" s="38" t="s">
        <v>11699</v>
      </c>
      <c r="D13682" s="18">
        <v>2023</v>
      </c>
      <c r="E13682" s="18" t="s">
        <v>0</v>
      </c>
      <c r="F13682" s="41">
        <v>1</v>
      </c>
      <c r="G13682" s="41">
        <v>15</v>
      </c>
      <c r="H13682" s="41">
        <v>23.746239999999997</v>
      </c>
      <c r="I13682" s="221"/>
      <c r="J13682" s="221"/>
    </row>
    <row r="13683" spans="1:10" s="15" customFormat="1" ht="24" hidden="1" customHeight="1" outlineLevel="1" x14ac:dyDescent="0.25">
      <c r="A13683" s="18">
        <v>3683</v>
      </c>
      <c r="B13683" s="6" t="s">
        <v>44</v>
      </c>
      <c r="C13683" s="38" t="s">
        <v>11700</v>
      </c>
      <c r="D13683" s="18">
        <v>2023</v>
      </c>
      <c r="E13683" s="18" t="s">
        <v>0</v>
      </c>
      <c r="F13683" s="41">
        <v>1</v>
      </c>
      <c r="G13683" s="41">
        <v>15</v>
      </c>
      <c r="H13683" s="41">
        <v>20.192499999999999</v>
      </c>
      <c r="I13683" s="221"/>
      <c r="J13683" s="221"/>
    </row>
    <row r="13684" spans="1:10" s="15" customFormat="1" ht="24" hidden="1" customHeight="1" outlineLevel="1" x14ac:dyDescent="0.25">
      <c r="A13684" s="18">
        <v>3678</v>
      </c>
      <c r="B13684" s="6" t="s">
        <v>44</v>
      </c>
      <c r="C13684" s="38" t="s">
        <v>11701</v>
      </c>
      <c r="D13684" s="18">
        <v>2023</v>
      </c>
      <c r="E13684" s="18" t="s">
        <v>0</v>
      </c>
      <c r="F13684" s="41">
        <v>1</v>
      </c>
      <c r="G13684" s="41">
        <v>15</v>
      </c>
      <c r="H13684" s="41">
        <v>19.873200999999998</v>
      </c>
      <c r="I13684" s="221"/>
      <c r="J13684" s="221"/>
    </row>
    <row r="13685" spans="1:10" s="15" customFormat="1" ht="24" hidden="1" customHeight="1" outlineLevel="1" x14ac:dyDescent="0.25">
      <c r="A13685" s="18">
        <v>3626</v>
      </c>
      <c r="B13685" s="6" t="s">
        <v>44</v>
      </c>
      <c r="C13685" s="38" t="s">
        <v>11702</v>
      </c>
      <c r="D13685" s="18">
        <v>2023</v>
      </c>
      <c r="E13685" s="18" t="s">
        <v>0</v>
      </c>
      <c r="F13685" s="41">
        <v>1</v>
      </c>
      <c r="G13685" s="41">
        <v>15</v>
      </c>
      <c r="H13685" s="41">
        <v>19.873199999999997</v>
      </c>
      <c r="I13685" s="221"/>
      <c r="J13685" s="221"/>
    </row>
    <row r="13686" spans="1:10" s="15" customFormat="1" ht="24" hidden="1" customHeight="1" outlineLevel="1" x14ac:dyDescent="0.25">
      <c r="A13686" s="18">
        <v>3625</v>
      </c>
      <c r="B13686" s="6" t="s">
        <v>44</v>
      </c>
      <c r="C13686" s="38" t="s">
        <v>11703</v>
      </c>
      <c r="D13686" s="18">
        <v>2023</v>
      </c>
      <c r="E13686" s="18" t="s">
        <v>0</v>
      </c>
      <c r="F13686" s="41">
        <v>1</v>
      </c>
      <c r="G13686" s="41">
        <v>15</v>
      </c>
      <c r="H13686" s="41">
        <v>19.553799999999999</v>
      </c>
      <c r="I13686" s="221"/>
      <c r="J13686" s="221"/>
    </row>
    <row r="13687" spans="1:10" s="15" customFormat="1" ht="24" hidden="1" customHeight="1" outlineLevel="1" x14ac:dyDescent="0.25">
      <c r="A13687" s="18">
        <v>3675</v>
      </c>
      <c r="B13687" s="6" t="s">
        <v>44</v>
      </c>
      <c r="C13687" s="38" t="s">
        <v>11704</v>
      </c>
      <c r="D13687" s="18">
        <v>2023</v>
      </c>
      <c r="E13687" s="18" t="s">
        <v>0</v>
      </c>
      <c r="F13687" s="41">
        <v>1</v>
      </c>
      <c r="G13687" s="41">
        <v>10</v>
      </c>
      <c r="H13687" s="41">
        <v>19.873199999999997</v>
      </c>
      <c r="I13687" s="221"/>
      <c r="J13687" s="221"/>
    </row>
    <row r="13688" spans="1:10" s="15" customFormat="1" ht="24" hidden="1" customHeight="1" outlineLevel="1" x14ac:dyDescent="0.25">
      <c r="A13688" s="18">
        <v>3677</v>
      </c>
      <c r="B13688" s="6" t="s">
        <v>44</v>
      </c>
      <c r="C13688" s="38" t="s">
        <v>11705</v>
      </c>
      <c r="D13688" s="18">
        <v>2023</v>
      </c>
      <c r="E13688" s="18" t="s">
        <v>0</v>
      </c>
      <c r="F13688" s="41">
        <v>1</v>
      </c>
      <c r="G13688" s="41">
        <v>15</v>
      </c>
      <c r="H13688" s="41">
        <v>19.873189999999994</v>
      </c>
      <c r="I13688" s="221"/>
      <c r="J13688" s="221"/>
    </row>
    <row r="13689" spans="1:10" s="15" customFormat="1" ht="24" hidden="1" customHeight="1" outlineLevel="1" x14ac:dyDescent="0.25">
      <c r="A13689" s="18">
        <v>3632</v>
      </c>
      <c r="B13689" s="6" t="s">
        <v>44</v>
      </c>
      <c r="C13689" s="38" t="s">
        <v>11706</v>
      </c>
      <c r="D13689" s="18">
        <v>2023</v>
      </c>
      <c r="E13689" s="18" t="s">
        <v>0</v>
      </c>
      <c r="F13689" s="41">
        <v>1</v>
      </c>
      <c r="G13689" s="41">
        <v>7</v>
      </c>
      <c r="H13689" s="41">
        <v>19.553809999999999</v>
      </c>
      <c r="I13689" s="221"/>
      <c r="J13689" s="221"/>
    </row>
    <row r="13690" spans="1:10" s="15" customFormat="1" ht="24" hidden="1" customHeight="1" outlineLevel="1" x14ac:dyDescent="0.25">
      <c r="A13690" s="18">
        <v>3633</v>
      </c>
      <c r="B13690" s="6" t="s">
        <v>44</v>
      </c>
      <c r="C13690" s="38" t="s">
        <v>11707</v>
      </c>
      <c r="D13690" s="18">
        <v>2023</v>
      </c>
      <c r="E13690" s="18" t="s">
        <v>0</v>
      </c>
      <c r="F13690" s="41">
        <v>1</v>
      </c>
      <c r="G13690" s="41">
        <v>14</v>
      </c>
      <c r="H13690" s="41">
        <v>19.553799999999999</v>
      </c>
      <c r="I13690" s="221"/>
      <c r="J13690" s="221"/>
    </row>
    <row r="13691" spans="1:10" s="15" customFormat="1" ht="24" hidden="1" customHeight="1" outlineLevel="1" x14ac:dyDescent="0.25">
      <c r="A13691" s="18">
        <v>3638</v>
      </c>
      <c r="B13691" s="6" t="s">
        <v>44</v>
      </c>
      <c r="C13691" s="38" t="s">
        <v>11708</v>
      </c>
      <c r="D13691" s="18">
        <v>2023</v>
      </c>
      <c r="E13691" s="18" t="s">
        <v>0</v>
      </c>
      <c r="F13691" s="41">
        <v>1</v>
      </c>
      <c r="G13691" s="41">
        <v>15</v>
      </c>
      <c r="H13691" s="41">
        <v>19.553809999999999</v>
      </c>
      <c r="I13691" s="221"/>
      <c r="J13691" s="221"/>
    </row>
    <row r="13692" spans="1:10" s="15" customFormat="1" ht="24" hidden="1" customHeight="1" outlineLevel="1" x14ac:dyDescent="0.25">
      <c r="A13692" s="18">
        <v>3628</v>
      </c>
      <c r="B13692" s="6" t="s">
        <v>44</v>
      </c>
      <c r="C13692" s="38" t="s">
        <v>11709</v>
      </c>
      <c r="D13692" s="18">
        <v>2023</v>
      </c>
      <c r="E13692" s="18" t="s">
        <v>0</v>
      </c>
      <c r="F13692" s="41">
        <v>1</v>
      </c>
      <c r="G13692" s="41">
        <v>10</v>
      </c>
      <c r="H13692" s="41">
        <v>19.556370000000001</v>
      </c>
      <c r="I13692" s="221"/>
      <c r="J13692" s="221"/>
    </row>
    <row r="13693" spans="1:10" s="15" customFormat="1" ht="24" hidden="1" customHeight="1" outlineLevel="1" x14ac:dyDescent="0.25">
      <c r="A13693" s="18">
        <v>3745</v>
      </c>
      <c r="B13693" s="6" t="s">
        <v>44</v>
      </c>
      <c r="C13693" s="38" t="s">
        <v>11710</v>
      </c>
      <c r="D13693" s="18">
        <v>2023</v>
      </c>
      <c r="E13693" s="18" t="s">
        <v>0</v>
      </c>
      <c r="F13693" s="41">
        <v>1</v>
      </c>
      <c r="G13693" s="41">
        <v>15</v>
      </c>
      <c r="H13693" s="41">
        <v>24.545000000000002</v>
      </c>
      <c r="I13693" s="221"/>
      <c r="J13693" s="221"/>
    </row>
    <row r="13694" spans="1:10" s="15" customFormat="1" ht="24" hidden="1" customHeight="1" outlineLevel="1" x14ac:dyDescent="0.25">
      <c r="A13694" s="18">
        <v>6199</v>
      </c>
      <c r="B13694" s="6" t="s">
        <v>44</v>
      </c>
      <c r="C13694" s="38" t="s">
        <v>11711</v>
      </c>
      <c r="D13694" s="18">
        <v>2023</v>
      </c>
      <c r="E13694" s="18" t="s">
        <v>0</v>
      </c>
      <c r="F13694" s="41">
        <v>1</v>
      </c>
      <c r="G13694" s="41">
        <v>5</v>
      </c>
      <c r="H13694" s="41">
        <v>19.560000000000002</v>
      </c>
      <c r="I13694" s="221"/>
      <c r="J13694" s="221"/>
    </row>
    <row r="13695" spans="1:10" s="15" customFormat="1" ht="24" hidden="1" customHeight="1" outlineLevel="1" x14ac:dyDescent="0.25">
      <c r="A13695" s="18">
        <v>6210</v>
      </c>
      <c r="B13695" s="6" t="s">
        <v>44</v>
      </c>
      <c r="C13695" s="38" t="s">
        <v>11712</v>
      </c>
      <c r="D13695" s="18">
        <v>2023</v>
      </c>
      <c r="E13695" s="18" t="s">
        <v>0</v>
      </c>
      <c r="F13695" s="41">
        <v>1</v>
      </c>
      <c r="G13695" s="41">
        <v>10</v>
      </c>
      <c r="H13695" s="41">
        <v>13.136879999999998</v>
      </c>
      <c r="I13695" s="221"/>
      <c r="J13695" s="221"/>
    </row>
    <row r="13696" spans="1:10" s="15" customFormat="1" ht="24" hidden="1" customHeight="1" outlineLevel="1" x14ac:dyDescent="0.25">
      <c r="A13696" s="18">
        <v>1542</v>
      </c>
      <c r="B13696" s="6" t="s">
        <v>44</v>
      </c>
      <c r="C13696" s="38" t="s">
        <v>11713</v>
      </c>
      <c r="D13696" s="18">
        <v>2023</v>
      </c>
      <c r="E13696" s="18" t="s">
        <v>0</v>
      </c>
      <c r="F13696" s="41">
        <v>1</v>
      </c>
      <c r="G13696" s="41">
        <v>15</v>
      </c>
      <c r="H13696" s="41">
        <v>40.239249999999998</v>
      </c>
      <c r="I13696" s="221"/>
      <c r="J13696" s="221"/>
    </row>
    <row r="13697" spans="1:10" s="15" customFormat="1" ht="24" hidden="1" customHeight="1" outlineLevel="1" x14ac:dyDescent="0.25">
      <c r="A13697" s="18">
        <v>6213</v>
      </c>
      <c r="B13697" s="6" t="s">
        <v>44</v>
      </c>
      <c r="C13697" s="38" t="s">
        <v>11714</v>
      </c>
      <c r="D13697" s="18">
        <v>2023</v>
      </c>
      <c r="E13697" s="18" t="s">
        <v>0</v>
      </c>
      <c r="F13697" s="41">
        <v>1</v>
      </c>
      <c r="G13697" s="41">
        <v>15</v>
      </c>
      <c r="H13697" s="41">
        <v>39.887309999999992</v>
      </c>
      <c r="I13697" s="221"/>
      <c r="J13697" s="221"/>
    </row>
    <row r="13698" spans="1:10" s="15" customFormat="1" ht="24" hidden="1" customHeight="1" outlineLevel="1" x14ac:dyDescent="0.25">
      <c r="A13698" s="18">
        <v>1534</v>
      </c>
      <c r="B13698" s="6" t="s">
        <v>44</v>
      </c>
      <c r="C13698" s="38" t="s">
        <v>11715</v>
      </c>
      <c r="D13698" s="18">
        <v>2023</v>
      </c>
      <c r="E13698" s="18" t="s">
        <v>0</v>
      </c>
      <c r="F13698" s="41">
        <v>1</v>
      </c>
      <c r="G13698" s="41">
        <v>1</v>
      </c>
      <c r="H13698" s="41">
        <v>40.320229999999995</v>
      </c>
      <c r="I13698" s="221"/>
      <c r="J13698" s="221"/>
    </row>
    <row r="13699" spans="1:10" s="15" customFormat="1" ht="24" hidden="1" customHeight="1" outlineLevel="1" x14ac:dyDescent="0.25">
      <c r="A13699" s="18">
        <v>6214</v>
      </c>
      <c r="B13699" s="6" t="s">
        <v>44</v>
      </c>
      <c r="C13699" s="38" t="s">
        <v>11716</v>
      </c>
      <c r="D13699" s="18">
        <v>2023</v>
      </c>
      <c r="E13699" s="18" t="s">
        <v>0</v>
      </c>
      <c r="F13699" s="41">
        <v>1</v>
      </c>
      <c r="G13699" s="41">
        <v>10</v>
      </c>
      <c r="H13699" s="41">
        <v>42.783639999999998</v>
      </c>
      <c r="I13699" s="221"/>
      <c r="J13699" s="221"/>
    </row>
    <row r="13700" spans="1:10" s="15" customFormat="1" ht="24" hidden="1" customHeight="1" outlineLevel="1" x14ac:dyDescent="0.25">
      <c r="A13700" s="18">
        <v>6215</v>
      </c>
      <c r="B13700" s="6" t="s">
        <v>44</v>
      </c>
      <c r="C13700" s="38" t="s">
        <v>11717</v>
      </c>
      <c r="D13700" s="18">
        <v>2023</v>
      </c>
      <c r="E13700" s="18" t="s">
        <v>0</v>
      </c>
      <c r="F13700" s="41">
        <v>1</v>
      </c>
      <c r="G13700" s="41">
        <v>15</v>
      </c>
      <c r="H13700" s="41">
        <v>40.303110000000004</v>
      </c>
      <c r="I13700" s="221"/>
      <c r="J13700" s="221"/>
    </row>
    <row r="13701" spans="1:10" s="15" customFormat="1" ht="24" hidden="1" customHeight="1" outlineLevel="1" x14ac:dyDescent="0.25">
      <c r="A13701" s="18">
        <v>6233</v>
      </c>
      <c r="B13701" s="6" t="s">
        <v>44</v>
      </c>
      <c r="C13701" s="38" t="s">
        <v>11718</v>
      </c>
      <c r="D13701" s="18">
        <v>2023</v>
      </c>
      <c r="E13701" s="18" t="s">
        <v>0</v>
      </c>
      <c r="F13701" s="41">
        <v>1</v>
      </c>
      <c r="G13701" s="41">
        <v>15</v>
      </c>
      <c r="H13701" s="41">
        <v>40.415140000000001</v>
      </c>
      <c r="I13701" s="221"/>
      <c r="J13701" s="221"/>
    </row>
    <row r="13702" spans="1:10" s="15" customFormat="1" ht="24" hidden="1" customHeight="1" outlineLevel="1" x14ac:dyDescent="0.25">
      <c r="A13702" s="18">
        <v>6172</v>
      </c>
      <c r="B13702" s="6" t="s">
        <v>44</v>
      </c>
      <c r="C13702" s="38" t="s">
        <v>11719</v>
      </c>
      <c r="D13702" s="18">
        <v>2023</v>
      </c>
      <c r="E13702" s="18" t="s">
        <v>0</v>
      </c>
      <c r="F13702" s="41">
        <v>1</v>
      </c>
      <c r="G13702" s="41">
        <v>10</v>
      </c>
      <c r="H13702" s="41">
        <v>10.66691</v>
      </c>
      <c r="I13702" s="221"/>
      <c r="J13702" s="221"/>
    </row>
    <row r="13703" spans="1:10" s="15" customFormat="1" ht="24" hidden="1" customHeight="1" outlineLevel="1" x14ac:dyDescent="0.25">
      <c r="A13703" s="18">
        <v>6174</v>
      </c>
      <c r="B13703" s="6" t="s">
        <v>44</v>
      </c>
      <c r="C13703" s="38" t="s">
        <v>11720</v>
      </c>
      <c r="D13703" s="18">
        <v>2023</v>
      </c>
      <c r="E13703" s="18" t="s">
        <v>0</v>
      </c>
      <c r="F13703" s="41">
        <v>1</v>
      </c>
      <c r="G13703" s="41">
        <v>14</v>
      </c>
      <c r="H13703" s="41">
        <v>8.9095399999999998</v>
      </c>
      <c r="I13703" s="221"/>
      <c r="J13703" s="221"/>
    </row>
    <row r="13704" spans="1:10" s="15" customFormat="1" ht="24" hidden="1" customHeight="1" outlineLevel="1" x14ac:dyDescent="0.25">
      <c r="A13704" s="18">
        <v>6176</v>
      </c>
      <c r="B13704" s="6" t="s">
        <v>44</v>
      </c>
      <c r="C13704" s="38" t="s">
        <v>11721</v>
      </c>
      <c r="D13704" s="18">
        <v>2023</v>
      </c>
      <c r="E13704" s="18" t="s">
        <v>0</v>
      </c>
      <c r="F13704" s="41">
        <v>1</v>
      </c>
      <c r="G13704" s="41">
        <v>5</v>
      </c>
      <c r="H13704" s="41">
        <v>10.667100000000001</v>
      </c>
      <c r="I13704" s="221"/>
      <c r="J13704" s="221"/>
    </row>
    <row r="13705" spans="1:10" s="15" customFormat="1" ht="24" hidden="1" customHeight="1" outlineLevel="1" x14ac:dyDescent="0.25">
      <c r="A13705" s="18">
        <v>6177</v>
      </c>
      <c r="B13705" s="6" t="s">
        <v>44</v>
      </c>
      <c r="C13705" s="38" t="s">
        <v>11722</v>
      </c>
      <c r="D13705" s="18">
        <v>2023</v>
      </c>
      <c r="E13705" s="18" t="s">
        <v>0</v>
      </c>
      <c r="F13705" s="41">
        <v>1</v>
      </c>
      <c r="G13705" s="41">
        <v>5</v>
      </c>
      <c r="H13705" s="41">
        <v>8.9095899999999997</v>
      </c>
      <c r="I13705" s="221"/>
      <c r="J13705" s="221"/>
    </row>
    <row r="13706" spans="1:10" s="15" customFormat="1" ht="24" hidden="1" customHeight="1" outlineLevel="1" x14ac:dyDescent="0.25">
      <c r="A13706" s="18">
        <v>6178</v>
      </c>
      <c r="B13706" s="6" t="s">
        <v>44</v>
      </c>
      <c r="C13706" s="38" t="s">
        <v>11723</v>
      </c>
      <c r="D13706" s="18">
        <v>2023</v>
      </c>
      <c r="E13706" s="18" t="s">
        <v>0</v>
      </c>
      <c r="F13706" s="41">
        <v>1</v>
      </c>
      <c r="G13706" s="41">
        <v>5</v>
      </c>
      <c r="H13706" s="41">
        <v>12.424600000000002</v>
      </c>
      <c r="I13706" s="221"/>
      <c r="J13706" s="221"/>
    </row>
    <row r="13707" spans="1:10" s="15" customFormat="1" ht="24" hidden="1" customHeight="1" outlineLevel="1" x14ac:dyDescent="0.25">
      <c r="A13707" s="18">
        <v>6179</v>
      </c>
      <c r="B13707" s="6" t="s">
        <v>44</v>
      </c>
      <c r="C13707" s="38" t="s">
        <v>11724</v>
      </c>
      <c r="D13707" s="18">
        <v>2023</v>
      </c>
      <c r="E13707" s="18" t="s">
        <v>0</v>
      </c>
      <c r="F13707" s="41">
        <v>1</v>
      </c>
      <c r="G13707" s="41">
        <v>5</v>
      </c>
      <c r="H13707" s="41">
        <v>8.9095300000000002</v>
      </c>
      <c r="I13707" s="221"/>
      <c r="J13707" s="221"/>
    </row>
    <row r="13708" spans="1:10" s="15" customFormat="1" ht="24" hidden="1" customHeight="1" outlineLevel="1" x14ac:dyDescent="0.25">
      <c r="A13708" s="18">
        <v>6180</v>
      </c>
      <c r="B13708" s="6" t="s">
        <v>44</v>
      </c>
      <c r="C13708" s="38" t="s">
        <v>11725</v>
      </c>
      <c r="D13708" s="18">
        <v>2023</v>
      </c>
      <c r="E13708" s="18" t="s">
        <v>0</v>
      </c>
      <c r="F13708" s="41">
        <v>1</v>
      </c>
      <c r="G13708" s="41">
        <v>5</v>
      </c>
      <c r="H13708" s="41">
        <v>10.493270000000001</v>
      </c>
      <c r="I13708" s="221"/>
      <c r="J13708" s="221"/>
    </row>
    <row r="13709" spans="1:10" s="15" customFormat="1" ht="24" hidden="1" customHeight="1" outlineLevel="1" x14ac:dyDescent="0.25">
      <c r="A13709" s="18">
        <v>6181</v>
      </c>
      <c r="B13709" s="6" t="s">
        <v>44</v>
      </c>
      <c r="C13709" s="38" t="s">
        <v>11726</v>
      </c>
      <c r="D13709" s="18">
        <v>2023</v>
      </c>
      <c r="E13709" s="18" t="s">
        <v>0</v>
      </c>
      <c r="F13709" s="41">
        <v>1</v>
      </c>
      <c r="G13709" s="41">
        <v>5</v>
      </c>
      <c r="H13709" s="41">
        <v>10.667119999999999</v>
      </c>
      <c r="I13709" s="221"/>
      <c r="J13709" s="221"/>
    </row>
    <row r="13710" spans="1:10" s="15" customFormat="1" ht="24" hidden="1" customHeight="1" outlineLevel="1" x14ac:dyDescent="0.25">
      <c r="A13710" s="18">
        <v>6182</v>
      </c>
      <c r="B13710" s="6" t="s">
        <v>44</v>
      </c>
      <c r="C13710" s="38" t="s">
        <v>11727</v>
      </c>
      <c r="D13710" s="18">
        <v>2023</v>
      </c>
      <c r="E13710" s="18" t="s">
        <v>0</v>
      </c>
      <c r="F13710" s="41">
        <v>1</v>
      </c>
      <c r="G13710" s="41">
        <v>5</v>
      </c>
      <c r="H13710" s="41">
        <v>10.487799999999998</v>
      </c>
      <c r="I13710" s="221"/>
      <c r="J13710" s="221"/>
    </row>
    <row r="13711" spans="1:10" s="15" customFormat="1" ht="24" hidden="1" customHeight="1" outlineLevel="1" x14ac:dyDescent="0.25">
      <c r="A13711" s="18">
        <v>6183</v>
      </c>
      <c r="B13711" s="6" t="s">
        <v>44</v>
      </c>
      <c r="C13711" s="38" t="s">
        <v>11728</v>
      </c>
      <c r="D13711" s="18">
        <v>2023</v>
      </c>
      <c r="E13711" s="18" t="s">
        <v>0</v>
      </c>
      <c r="F13711" s="41">
        <v>1</v>
      </c>
      <c r="G13711" s="41">
        <v>5</v>
      </c>
      <c r="H13711" s="41">
        <v>8.9095300000000002</v>
      </c>
      <c r="I13711" s="221"/>
      <c r="J13711" s="221"/>
    </row>
    <row r="13712" spans="1:10" s="15" customFormat="1" ht="24" hidden="1" customHeight="1" outlineLevel="1" x14ac:dyDescent="0.25">
      <c r="A13712" s="18">
        <v>6184</v>
      </c>
      <c r="B13712" s="6" t="s">
        <v>44</v>
      </c>
      <c r="C13712" s="38" t="s">
        <v>11729</v>
      </c>
      <c r="D13712" s="18">
        <v>2023</v>
      </c>
      <c r="E13712" s="18" t="s">
        <v>0</v>
      </c>
      <c r="F13712" s="41">
        <v>1</v>
      </c>
      <c r="G13712" s="41">
        <v>5</v>
      </c>
      <c r="H13712" s="41">
        <v>10.487819999999999</v>
      </c>
      <c r="I13712" s="221"/>
      <c r="J13712" s="221"/>
    </row>
    <row r="13713" spans="1:10" s="15" customFormat="1" ht="24" hidden="1" customHeight="1" outlineLevel="1" x14ac:dyDescent="0.25">
      <c r="A13713" s="18">
        <v>6185</v>
      </c>
      <c r="B13713" s="6" t="s">
        <v>44</v>
      </c>
      <c r="C13713" s="38" t="s">
        <v>11730</v>
      </c>
      <c r="D13713" s="18">
        <v>2023</v>
      </c>
      <c r="E13713" s="18" t="s">
        <v>0</v>
      </c>
      <c r="F13713" s="41">
        <v>1</v>
      </c>
      <c r="G13713" s="41">
        <v>5</v>
      </c>
      <c r="H13713" s="41">
        <v>9.8746799999999997</v>
      </c>
      <c r="I13713" s="221"/>
      <c r="J13713" s="221"/>
    </row>
    <row r="13714" spans="1:10" s="15" customFormat="1" ht="24" hidden="1" customHeight="1" outlineLevel="1" x14ac:dyDescent="0.25">
      <c r="A13714" s="18">
        <v>6186</v>
      </c>
      <c r="B13714" s="6" t="s">
        <v>44</v>
      </c>
      <c r="C13714" s="38" t="s">
        <v>11731</v>
      </c>
      <c r="D13714" s="18">
        <v>2023</v>
      </c>
      <c r="E13714" s="18" t="s">
        <v>0</v>
      </c>
      <c r="F13714" s="41">
        <v>1</v>
      </c>
      <c r="G13714" s="41">
        <v>5</v>
      </c>
      <c r="H13714" s="41">
        <v>9.8746900000000011</v>
      </c>
      <c r="I13714" s="221"/>
      <c r="J13714" s="221"/>
    </row>
    <row r="13715" spans="1:10" s="15" customFormat="1" ht="24" hidden="1" customHeight="1" outlineLevel="1" x14ac:dyDescent="0.25">
      <c r="A13715" s="18">
        <v>6187</v>
      </c>
      <c r="B13715" s="6" t="s">
        <v>44</v>
      </c>
      <c r="C13715" s="38" t="s">
        <v>11732</v>
      </c>
      <c r="D13715" s="18">
        <v>2023</v>
      </c>
      <c r="E13715" s="18" t="s">
        <v>0</v>
      </c>
      <c r="F13715" s="41">
        <v>1</v>
      </c>
      <c r="G13715" s="41">
        <v>5</v>
      </c>
      <c r="H13715" s="41">
        <v>10.638770000000001</v>
      </c>
      <c r="I13715" s="221"/>
      <c r="J13715" s="221"/>
    </row>
    <row r="13716" spans="1:10" s="15" customFormat="1" ht="24" hidden="1" customHeight="1" outlineLevel="1" x14ac:dyDescent="0.25">
      <c r="A13716" s="18">
        <v>6189</v>
      </c>
      <c r="B13716" s="6" t="s">
        <v>44</v>
      </c>
      <c r="C13716" s="38" t="s">
        <v>11733</v>
      </c>
      <c r="D13716" s="18">
        <v>2023</v>
      </c>
      <c r="E13716" s="18" t="s">
        <v>0</v>
      </c>
      <c r="F13716" s="41">
        <v>1</v>
      </c>
      <c r="G13716" s="41">
        <v>5</v>
      </c>
      <c r="H13716" s="41">
        <v>10.75347</v>
      </c>
      <c r="I13716" s="221"/>
      <c r="J13716" s="221"/>
    </row>
    <row r="13717" spans="1:10" s="15" customFormat="1" ht="24" hidden="1" customHeight="1" outlineLevel="1" x14ac:dyDescent="0.25">
      <c r="A13717" s="18">
        <v>6190</v>
      </c>
      <c r="B13717" s="6" t="s">
        <v>44</v>
      </c>
      <c r="C13717" s="38" t="s">
        <v>11734</v>
      </c>
      <c r="D13717" s="18">
        <v>2023</v>
      </c>
      <c r="E13717" s="18" t="s">
        <v>0</v>
      </c>
      <c r="F13717" s="41">
        <v>1</v>
      </c>
      <c r="G13717" s="41">
        <v>5</v>
      </c>
      <c r="H13717" s="41">
        <v>9.8746799999999997</v>
      </c>
      <c r="I13717" s="221"/>
      <c r="J13717" s="221"/>
    </row>
    <row r="13718" spans="1:10" s="15" customFormat="1" ht="24" hidden="1" customHeight="1" outlineLevel="1" x14ac:dyDescent="0.25">
      <c r="A13718" s="18">
        <v>6191</v>
      </c>
      <c r="B13718" s="6" t="s">
        <v>44</v>
      </c>
      <c r="C13718" s="38" t="s">
        <v>11735</v>
      </c>
      <c r="D13718" s="18">
        <v>2023</v>
      </c>
      <c r="E13718" s="18" t="s">
        <v>0</v>
      </c>
      <c r="F13718" s="41">
        <v>1</v>
      </c>
      <c r="G13718" s="41">
        <v>5</v>
      </c>
      <c r="H13718" s="41">
        <v>10.57382</v>
      </c>
      <c r="I13718" s="221"/>
      <c r="J13718" s="221"/>
    </row>
    <row r="13719" spans="1:10" s="15" customFormat="1" ht="24" hidden="1" customHeight="1" outlineLevel="1" x14ac:dyDescent="0.25">
      <c r="A13719" s="18">
        <v>3801</v>
      </c>
      <c r="B13719" s="6" t="s">
        <v>44</v>
      </c>
      <c r="C13719" s="38" t="s">
        <v>11736</v>
      </c>
      <c r="D13719" s="18">
        <v>2023</v>
      </c>
      <c r="E13719" s="18" t="s">
        <v>0</v>
      </c>
      <c r="F13719" s="41">
        <v>1</v>
      </c>
      <c r="G13719" s="41">
        <v>15</v>
      </c>
      <c r="H13719" s="41">
        <v>25.275790000000001</v>
      </c>
      <c r="I13719" s="221"/>
      <c r="J13719" s="221"/>
    </row>
    <row r="13720" spans="1:10" s="15" customFormat="1" ht="24" hidden="1" customHeight="1" outlineLevel="1" x14ac:dyDescent="0.25">
      <c r="A13720" s="18">
        <v>3814</v>
      </c>
      <c r="B13720" s="6" t="s">
        <v>44</v>
      </c>
      <c r="C13720" s="38" t="s">
        <v>11737</v>
      </c>
      <c r="D13720" s="18">
        <v>2023</v>
      </c>
      <c r="E13720" s="18" t="s">
        <v>0</v>
      </c>
      <c r="F13720" s="41">
        <v>1</v>
      </c>
      <c r="G13720" s="41">
        <v>5</v>
      </c>
      <c r="H13720" s="41">
        <v>8.8166499999999992</v>
      </c>
      <c r="I13720" s="221"/>
      <c r="J13720" s="221"/>
    </row>
    <row r="13721" spans="1:10" s="15" customFormat="1" ht="24" hidden="1" customHeight="1" outlineLevel="1" x14ac:dyDescent="0.25">
      <c r="A13721" s="18">
        <v>1673</v>
      </c>
      <c r="B13721" s="6" t="s">
        <v>44</v>
      </c>
      <c r="C13721" s="38" t="s">
        <v>11738</v>
      </c>
      <c r="D13721" s="18">
        <v>2023</v>
      </c>
      <c r="E13721" s="18" t="s">
        <v>0</v>
      </c>
      <c r="F13721" s="41">
        <v>1</v>
      </c>
      <c r="G13721" s="41">
        <v>5</v>
      </c>
      <c r="H13721" s="41">
        <v>42.869120000000002</v>
      </c>
      <c r="I13721" s="221"/>
      <c r="J13721" s="221"/>
    </row>
    <row r="13722" spans="1:10" s="15" customFormat="1" ht="24" hidden="1" customHeight="1" outlineLevel="1" x14ac:dyDescent="0.25">
      <c r="A13722" s="18">
        <v>1717</v>
      </c>
      <c r="B13722" s="6" t="s">
        <v>44</v>
      </c>
      <c r="C13722" s="38" t="s">
        <v>11739</v>
      </c>
      <c r="D13722" s="18">
        <v>2023</v>
      </c>
      <c r="E13722" s="18" t="s">
        <v>0</v>
      </c>
      <c r="F13722" s="41">
        <v>1</v>
      </c>
      <c r="G13722" s="41">
        <v>5</v>
      </c>
      <c r="H13722" s="41">
        <v>41.305589999999995</v>
      </c>
      <c r="I13722" s="221"/>
      <c r="J13722" s="221"/>
    </row>
    <row r="13723" spans="1:10" s="15" customFormat="1" ht="24" hidden="1" customHeight="1" outlineLevel="1" x14ac:dyDescent="0.25">
      <c r="A13723" s="18">
        <v>6237</v>
      </c>
      <c r="B13723" s="6" t="s">
        <v>44</v>
      </c>
      <c r="C13723" s="38" t="s">
        <v>11740</v>
      </c>
      <c r="D13723" s="18">
        <v>2023</v>
      </c>
      <c r="E13723" s="18" t="s">
        <v>0</v>
      </c>
      <c r="F13723" s="41">
        <v>1</v>
      </c>
      <c r="G13723" s="41">
        <v>13</v>
      </c>
      <c r="H13723" s="41">
        <v>42.174230000000001</v>
      </c>
      <c r="I13723" s="221"/>
      <c r="J13723" s="221"/>
    </row>
    <row r="13724" spans="1:10" s="15" customFormat="1" ht="24" hidden="1" customHeight="1" outlineLevel="1" x14ac:dyDescent="0.25">
      <c r="A13724" s="18">
        <v>1663</v>
      </c>
      <c r="B13724" s="6" t="s">
        <v>44</v>
      </c>
      <c r="C13724" s="38" t="s">
        <v>11741</v>
      </c>
      <c r="D13724" s="18">
        <v>2023</v>
      </c>
      <c r="E13724" s="18" t="s">
        <v>0</v>
      </c>
      <c r="F13724" s="41">
        <v>1</v>
      </c>
      <c r="G13724" s="41">
        <v>10</v>
      </c>
      <c r="H13724" s="41">
        <v>37.928849999999997</v>
      </c>
      <c r="I13724" s="221"/>
      <c r="J13724" s="221"/>
    </row>
    <row r="13725" spans="1:10" s="15" customFormat="1" ht="24" hidden="1" customHeight="1" outlineLevel="1" x14ac:dyDescent="0.25">
      <c r="A13725" s="18">
        <v>1239</v>
      </c>
      <c r="B13725" s="6" t="s">
        <v>44</v>
      </c>
      <c r="C13725" s="38" t="s">
        <v>11742</v>
      </c>
      <c r="D13725" s="18">
        <v>2023</v>
      </c>
      <c r="E13725" s="18" t="s">
        <v>0</v>
      </c>
      <c r="F13725" s="41">
        <v>1</v>
      </c>
      <c r="G13725" s="41">
        <v>1</v>
      </c>
      <c r="H13725" s="41">
        <v>42.174250000000001</v>
      </c>
      <c r="I13725" s="221"/>
      <c r="J13725" s="221"/>
    </row>
    <row r="13726" spans="1:10" s="15" customFormat="1" ht="24" hidden="1" customHeight="1" outlineLevel="1" x14ac:dyDescent="0.25">
      <c r="A13726" s="18">
        <v>1049</v>
      </c>
      <c r="B13726" s="6" t="s">
        <v>44</v>
      </c>
      <c r="C13726" s="38" t="s">
        <v>11743</v>
      </c>
      <c r="D13726" s="18">
        <v>2023</v>
      </c>
      <c r="E13726" s="18" t="s">
        <v>0</v>
      </c>
      <c r="F13726" s="41">
        <v>1</v>
      </c>
      <c r="G13726" s="41">
        <v>15</v>
      </c>
      <c r="H13726" s="41">
        <v>41.826800000000006</v>
      </c>
      <c r="I13726" s="221"/>
      <c r="J13726" s="221"/>
    </row>
    <row r="13727" spans="1:10" s="15" customFormat="1" ht="24" hidden="1" customHeight="1" outlineLevel="1" x14ac:dyDescent="0.25">
      <c r="A13727" s="18">
        <v>677</v>
      </c>
      <c r="B13727" s="6" t="s">
        <v>44</v>
      </c>
      <c r="C13727" s="38" t="s">
        <v>11744</v>
      </c>
      <c r="D13727" s="18">
        <v>2023</v>
      </c>
      <c r="E13727" s="18" t="s">
        <v>0</v>
      </c>
      <c r="F13727" s="41">
        <v>1</v>
      </c>
      <c r="G13727" s="41">
        <v>5</v>
      </c>
      <c r="H13727" s="41">
        <v>5.3795400000000004</v>
      </c>
      <c r="I13727" s="221"/>
      <c r="J13727" s="221"/>
    </row>
    <row r="13728" spans="1:10" s="15" customFormat="1" ht="24" hidden="1" customHeight="1" outlineLevel="1" x14ac:dyDescent="0.25">
      <c r="A13728" s="18">
        <v>696</v>
      </c>
      <c r="B13728" s="6" t="s">
        <v>44</v>
      </c>
      <c r="C13728" s="38" t="s">
        <v>11745</v>
      </c>
      <c r="D13728" s="18">
        <v>2023</v>
      </c>
      <c r="E13728" s="18" t="s">
        <v>0</v>
      </c>
      <c r="F13728" s="41">
        <v>1</v>
      </c>
      <c r="G13728" s="41">
        <v>10</v>
      </c>
      <c r="H13728" s="41">
        <v>3.6007700000000002</v>
      </c>
      <c r="I13728" s="221"/>
      <c r="J13728" s="221"/>
    </row>
    <row r="13729" spans="1:10" s="15" customFormat="1" ht="24" hidden="1" customHeight="1" outlineLevel="1" x14ac:dyDescent="0.25">
      <c r="A13729" s="18">
        <v>3687</v>
      </c>
      <c r="B13729" s="6" t="s">
        <v>44</v>
      </c>
      <c r="C13729" s="38" t="s">
        <v>11746</v>
      </c>
      <c r="D13729" s="18">
        <v>2023</v>
      </c>
      <c r="E13729" s="18" t="s">
        <v>0</v>
      </c>
      <c r="F13729" s="41">
        <v>1</v>
      </c>
      <c r="G13729" s="41">
        <v>10</v>
      </c>
      <c r="H13729" s="41">
        <v>6.2398799999999994</v>
      </c>
      <c r="I13729" s="221"/>
      <c r="J13729" s="221"/>
    </row>
    <row r="13730" spans="1:10" s="15" customFormat="1" ht="24" hidden="1" customHeight="1" outlineLevel="1" x14ac:dyDescent="0.25">
      <c r="A13730" s="18">
        <v>3680</v>
      </c>
      <c r="B13730" s="6" t="s">
        <v>44</v>
      </c>
      <c r="C13730" s="38" t="s">
        <v>11747</v>
      </c>
      <c r="D13730" s="18">
        <v>2023</v>
      </c>
      <c r="E13730" s="18" t="s">
        <v>0</v>
      </c>
      <c r="F13730" s="41">
        <v>1</v>
      </c>
      <c r="G13730" s="41">
        <v>15</v>
      </c>
      <c r="H13730" s="41">
        <v>4.4823599999999999</v>
      </c>
      <c r="I13730" s="221"/>
      <c r="J13730" s="221"/>
    </row>
    <row r="13731" spans="1:10" s="15" customFormat="1" ht="24" hidden="1" customHeight="1" outlineLevel="1" x14ac:dyDescent="0.25">
      <c r="A13731" s="18">
        <v>3505</v>
      </c>
      <c r="B13731" s="6" t="s">
        <v>44</v>
      </c>
      <c r="C13731" s="38" t="s">
        <v>11748</v>
      </c>
      <c r="D13731" s="18">
        <v>2023</v>
      </c>
      <c r="E13731" s="18" t="s">
        <v>0</v>
      </c>
      <c r="F13731" s="41">
        <v>1</v>
      </c>
      <c r="G13731" s="41">
        <v>10</v>
      </c>
      <c r="H13731" s="41">
        <v>4.5007200000000003</v>
      </c>
      <c r="I13731" s="221"/>
      <c r="J13731" s="221"/>
    </row>
    <row r="13732" spans="1:10" s="15" customFormat="1" ht="24" hidden="1" customHeight="1" outlineLevel="1" x14ac:dyDescent="0.25">
      <c r="A13732" s="18">
        <v>3515</v>
      </c>
      <c r="B13732" s="6" t="s">
        <v>44</v>
      </c>
      <c r="C13732" s="38" t="s">
        <v>11749</v>
      </c>
      <c r="D13732" s="18">
        <v>2023</v>
      </c>
      <c r="E13732" s="18" t="s">
        <v>0</v>
      </c>
      <c r="F13732" s="41">
        <v>1</v>
      </c>
      <c r="G13732" s="41">
        <v>15</v>
      </c>
      <c r="H13732" s="41">
        <v>4.5007200000000003</v>
      </c>
      <c r="I13732" s="221"/>
      <c r="J13732" s="221"/>
    </row>
    <row r="13733" spans="1:10" s="15" customFormat="1" ht="24" hidden="1" customHeight="1" outlineLevel="1" x14ac:dyDescent="0.25">
      <c r="A13733" s="18">
        <v>3497</v>
      </c>
      <c r="B13733" s="6" t="s">
        <v>44</v>
      </c>
      <c r="C13733" s="38" t="s">
        <v>11750</v>
      </c>
      <c r="D13733" s="18">
        <v>2023</v>
      </c>
      <c r="E13733" s="18" t="s">
        <v>0</v>
      </c>
      <c r="F13733" s="41">
        <v>1</v>
      </c>
      <c r="G13733" s="41">
        <v>15</v>
      </c>
      <c r="H13733" s="41">
        <v>2.7241000000000004</v>
      </c>
      <c r="I13733" s="221"/>
      <c r="J13733" s="221"/>
    </row>
    <row r="13734" spans="1:10" s="15" customFormat="1" ht="24" hidden="1" customHeight="1" outlineLevel="1" x14ac:dyDescent="0.25">
      <c r="A13734" s="18">
        <v>6243</v>
      </c>
      <c r="B13734" s="6" t="s">
        <v>44</v>
      </c>
      <c r="C13734" s="38" t="s">
        <v>11751</v>
      </c>
      <c r="D13734" s="18">
        <v>2023</v>
      </c>
      <c r="E13734" s="18" t="s">
        <v>0</v>
      </c>
      <c r="F13734" s="41">
        <v>1</v>
      </c>
      <c r="G13734" s="41">
        <v>4</v>
      </c>
      <c r="H13734" s="41">
        <v>4.4816000000000003</v>
      </c>
      <c r="I13734" s="221"/>
      <c r="J13734" s="221"/>
    </row>
    <row r="13735" spans="1:10" s="15" customFormat="1" ht="24" hidden="1" customHeight="1" outlineLevel="1" x14ac:dyDescent="0.25">
      <c r="A13735" s="18">
        <v>6244</v>
      </c>
      <c r="B13735" s="6" t="s">
        <v>44</v>
      </c>
      <c r="C13735" s="38" t="s">
        <v>11752</v>
      </c>
      <c r="D13735" s="18">
        <v>2023</v>
      </c>
      <c r="E13735" s="18" t="s">
        <v>0</v>
      </c>
      <c r="F13735" s="41">
        <v>1</v>
      </c>
      <c r="G13735" s="41">
        <v>4</v>
      </c>
      <c r="H13735" s="41">
        <v>5.3795299999999999</v>
      </c>
      <c r="I13735" s="221"/>
      <c r="J13735" s="221"/>
    </row>
    <row r="13736" spans="1:10" s="15" customFormat="1" ht="24" hidden="1" customHeight="1" outlineLevel="1" x14ac:dyDescent="0.25">
      <c r="A13736" s="18">
        <v>6245</v>
      </c>
      <c r="B13736" s="6" t="s">
        <v>44</v>
      </c>
      <c r="C13736" s="38" t="s">
        <v>11753</v>
      </c>
      <c r="D13736" s="18">
        <v>2023</v>
      </c>
      <c r="E13736" s="18" t="s">
        <v>0</v>
      </c>
      <c r="F13736" s="41">
        <v>1</v>
      </c>
      <c r="G13736" s="41">
        <v>4</v>
      </c>
      <c r="H13736" s="41">
        <v>3.6019299999999999</v>
      </c>
      <c r="I13736" s="221"/>
      <c r="J13736" s="221"/>
    </row>
    <row r="13737" spans="1:10" s="15" customFormat="1" ht="24" hidden="1" customHeight="1" outlineLevel="1" x14ac:dyDescent="0.25">
      <c r="A13737" s="18">
        <v>6246</v>
      </c>
      <c r="B13737" s="6" t="s">
        <v>44</v>
      </c>
      <c r="C13737" s="38" t="s">
        <v>11754</v>
      </c>
      <c r="D13737" s="18">
        <v>2023</v>
      </c>
      <c r="E13737" s="18" t="s">
        <v>0</v>
      </c>
      <c r="F13737" s="41">
        <v>1</v>
      </c>
      <c r="G13737" s="41">
        <v>4</v>
      </c>
      <c r="H13737" s="41">
        <v>4.4801099999999998</v>
      </c>
      <c r="I13737" s="221"/>
      <c r="J13737" s="221"/>
    </row>
    <row r="13738" spans="1:10" s="15" customFormat="1" ht="24" hidden="1" customHeight="1" outlineLevel="1" x14ac:dyDescent="0.25">
      <c r="A13738" s="18">
        <v>3493</v>
      </c>
      <c r="B13738" s="6" t="s">
        <v>44</v>
      </c>
      <c r="C13738" s="38" t="s">
        <v>11755</v>
      </c>
      <c r="D13738" s="18">
        <v>2023</v>
      </c>
      <c r="E13738" s="18" t="s">
        <v>0</v>
      </c>
      <c r="F13738" s="41">
        <v>1</v>
      </c>
      <c r="G13738" s="41">
        <v>15</v>
      </c>
      <c r="H13738" s="41">
        <v>5.3599600000000001</v>
      </c>
      <c r="I13738" s="221"/>
      <c r="J13738" s="221"/>
    </row>
    <row r="13739" spans="1:10" s="15" customFormat="1" ht="24" hidden="1" customHeight="1" outlineLevel="1" x14ac:dyDescent="0.25">
      <c r="A13739" s="18">
        <v>3502</v>
      </c>
      <c r="B13739" s="6" t="s">
        <v>44</v>
      </c>
      <c r="C13739" s="38" t="s">
        <v>11756</v>
      </c>
      <c r="D13739" s="18">
        <v>2023</v>
      </c>
      <c r="E13739" s="18" t="s">
        <v>0</v>
      </c>
      <c r="F13739" s="41">
        <v>1</v>
      </c>
      <c r="G13739" s="41">
        <v>15</v>
      </c>
      <c r="H13739" s="41">
        <v>4.4811499999999995</v>
      </c>
      <c r="I13739" s="221"/>
      <c r="J13739" s="221"/>
    </row>
    <row r="13740" spans="1:10" s="15" customFormat="1" ht="24" hidden="1" customHeight="1" outlineLevel="1" x14ac:dyDescent="0.25">
      <c r="A13740" s="18">
        <v>3499</v>
      </c>
      <c r="B13740" s="6" t="s">
        <v>44</v>
      </c>
      <c r="C13740" s="38" t="s">
        <v>11757</v>
      </c>
      <c r="D13740" s="18">
        <v>2023</v>
      </c>
      <c r="E13740" s="18" t="s">
        <v>0</v>
      </c>
      <c r="F13740" s="41">
        <v>1</v>
      </c>
      <c r="G13740" s="41">
        <v>10</v>
      </c>
      <c r="H13740" s="41">
        <v>5.3795299999999999</v>
      </c>
      <c r="I13740" s="221"/>
      <c r="J13740" s="221"/>
    </row>
    <row r="13741" spans="1:10" s="15" customFormat="1" ht="24" hidden="1" customHeight="1" outlineLevel="1" x14ac:dyDescent="0.25">
      <c r="A13741" s="18">
        <v>3512</v>
      </c>
      <c r="B13741" s="6" t="s">
        <v>44</v>
      </c>
      <c r="C13741" s="38" t="s">
        <v>11758</v>
      </c>
      <c r="D13741" s="18">
        <v>2023</v>
      </c>
      <c r="E13741" s="18" t="s">
        <v>0</v>
      </c>
      <c r="F13741" s="41">
        <v>1</v>
      </c>
      <c r="G13741" s="41">
        <v>15</v>
      </c>
      <c r="H13741" s="41">
        <v>3.6019299999999999</v>
      </c>
      <c r="I13741" s="221"/>
      <c r="J13741" s="221"/>
    </row>
    <row r="13742" spans="1:10" s="15" customFormat="1" ht="24" hidden="1" customHeight="1" outlineLevel="1" x14ac:dyDescent="0.25">
      <c r="A13742" s="18">
        <v>3503</v>
      </c>
      <c r="B13742" s="6" t="s">
        <v>44</v>
      </c>
      <c r="C13742" s="38" t="s">
        <v>11759</v>
      </c>
      <c r="D13742" s="18">
        <v>2023</v>
      </c>
      <c r="E13742" s="18" t="s">
        <v>0</v>
      </c>
      <c r="F13742" s="41">
        <v>1</v>
      </c>
      <c r="G13742" s="41">
        <v>15</v>
      </c>
      <c r="H13742" s="41">
        <v>3.6019299999999999</v>
      </c>
      <c r="I13742" s="221"/>
      <c r="J13742" s="221"/>
    </row>
    <row r="13743" spans="1:10" s="15" customFormat="1" ht="24" hidden="1" customHeight="1" outlineLevel="1" x14ac:dyDescent="0.25">
      <c r="A13743" s="18">
        <v>3504</v>
      </c>
      <c r="B13743" s="6" t="s">
        <v>44</v>
      </c>
      <c r="C13743" s="38" t="s">
        <v>11760</v>
      </c>
      <c r="D13743" s="18">
        <v>2023</v>
      </c>
      <c r="E13743" s="18" t="s">
        <v>0</v>
      </c>
      <c r="F13743" s="41">
        <v>1</v>
      </c>
      <c r="G13743" s="41">
        <v>15</v>
      </c>
      <c r="H13743" s="41">
        <v>4.4806900000000001</v>
      </c>
      <c r="I13743" s="221"/>
      <c r="J13743" s="221"/>
    </row>
    <row r="13744" spans="1:10" s="15" customFormat="1" ht="24" hidden="1" customHeight="1" outlineLevel="1" x14ac:dyDescent="0.25">
      <c r="A13744" s="18">
        <v>3496</v>
      </c>
      <c r="B13744" s="6" t="s">
        <v>44</v>
      </c>
      <c r="C13744" s="38" t="s">
        <v>11761</v>
      </c>
      <c r="D13744" s="18">
        <v>2023</v>
      </c>
      <c r="E13744" s="18" t="s">
        <v>0</v>
      </c>
      <c r="F13744" s="41">
        <v>1</v>
      </c>
      <c r="G13744" s="41">
        <v>7</v>
      </c>
      <c r="H13744" s="41">
        <v>3.6019299999999999</v>
      </c>
      <c r="I13744" s="221"/>
      <c r="J13744" s="221"/>
    </row>
    <row r="13745" spans="1:10" s="15" customFormat="1" ht="24" hidden="1" customHeight="1" outlineLevel="1" x14ac:dyDescent="0.25">
      <c r="A13745" s="18">
        <v>3498</v>
      </c>
      <c r="B13745" s="6" t="s">
        <v>44</v>
      </c>
      <c r="C13745" s="38" t="s">
        <v>11762</v>
      </c>
      <c r="D13745" s="18">
        <v>2023</v>
      </c>
      <c r="E13745" s="18" t="s">
        <v>0</v>
      </c>
      <c r="F13745" s="41">
        <v>1</v>
      </c>
      <c r="G13745" s="41">
        <v>15</v>
      </c>
      <c r="H13745" s="41">
        <v>5.3594900000000001</v>
      </c>
      <c r="I13745" s="221"/>
      <c r="J13745" s="221"/>
    </row>
    <row r="13746" spans="1:10" s="15" customFormat="1" ht="24" hidden="1" customHeight="1" outlineLevel="1" x14ac:dyDescent="0.25">
      <c r="A13746" s="18">
        <v>3508</v>
      </c>
      <c r="B13746" s="6" t="s">
        <v>44</v>
      </c>
      <c r="C13746" s="38" t="s">
        <v>11763</v>
      </c>
      <c r="D13746" s="18">
        <v>2023</v>
      </c>
      <c r="E13746" s="18" t="s">
        <v>0</v>
      </c>
      <c r="F13746" s="41">
        <v>1</v>
      </c>
      <c r="G13746" s="41">
        <v>10</v>
      </c>
      <c r="H13746" s="41">
        <v>3.6219799999999998</v>
      </c>
      <c r="I13746" s="221"/>
      <c r="J13746" s="221"/>
    </row>
    <row r="13747" spans="1:10" s="15" customFormat="1" ht="24" hidden="1" customHeight="1" outlineLevel="1" x14ac:dyDescent="0.25">
      <c r="A13747" s="18">
        <v>3506</v>
      </c>
      <c r="B13747" s="6" t="s">
        <v>44</v>
      </c>
      <c r="C13747" s="38" t="s">
        <v>11764</v>
      </c>
      <c r="D13747" s="18">
        <v>2023</v>
      </c>
      <c r="E13747" s="18" t="s">
        <v>0</v>
      </c>
      <c r="F13747" s="41">
        <v>1</v>
      </c>
      <c r="G13747" s="41">
        <v>15</v>
      </c>
      <c r="H13747" s="41">
        <v>3.6013500000000001</v>
      </c>
      <c r="I13747" s="221"/>
      <c r="J13747" s="221"/>
    </row>
    <row r="13748" spans="1:10" s="15" customFormat="1" ht="24" hidden="1" customHeight="1" outlineLevel="1" x14ac:dyDescent="0.25">
      <c r="A13748" s="18">
        <v>3444</v>
      </c>
      <c r="B13748" s="6" t="s">
        <v>44</v>
      </c>
      <c r="C13748" s="38" t="s">
        <v>11765</v>
      </c>
      <c r="D13748" s="18">
        <v>2023</v>
      </c>
      <c r="E13748" s="18" t="s">
        <v>0</v>
      </c>
      <c r="F13748" s="41">
        <v>1</v>
      </c>
      <c r="G13748" s="41">
        <v>12</v>
      </c>
      <c r="H13748" s="41">
        <v>4.4801099999999998</v>
      </c>
      <c r="I13748" s="221"/>
      <c r="J13748" s="221"/>
    </row>
    <row r="13749" spans="1:10" s="15" customFormat="1" ht="24" hidden="1" customHeight="1" outlineLevel="1" x14ac:dyDescent="0.25">
      <c r="A13749" s="18">
        <v>3443</v>
      </c>
      <c r="B13749" s="6" t="s">
        <v>44</v>
      </c>
      <c r="C13749" s="38" t="s">
        <v>11766</v>
      </c>
      <c r="D13749" s="18">
        <v>2023</v>
      </c>
      <c r="E13749" s="18" t="s">
        <v>0</v>
      </c>
      <c r="F13749" s="41">
        <v>1</v>
      </c>
      <c r="G13749" s="41">
        <v>15</v>
      </c>
      <c r="H13749" s="41">
        <v>5.3589099999999998</v>
      </c>
      <c r="I13749" s="221"/>
      <c r="J13749" s="221"/>
    </row>
    <row r="13750" spans="1:10" s="15" customFormat="1" ht="24" hidden="1" customHeight="1" outlineLevel="1" x14ac:dyDescent="0.25">
      <c r="A13750" s="18">
        <v>3510</v>
      </c>
      <c r="B13750" s="6" t="s">
        <v>44</v>
      </c>
      <c r="C13750" s="38" t="s">
        <v>11767</v>
      </c>
      <c r="D13750" s="18">
        <v>2023</v>
      </c>
      <c r="E13750" s="18" t="s">
        <v>0</v>
      </c>
      <c r="F13750" s="41">
        <v>1</v>
      </c>
      <c r="G13750" s="41">
        <v>15</v>
      </c>
      <c r="H13750" s="41">
        <v>7.995169999999999</v>
      </c>
      <c r="I13750" s="221"/>
      <c r="J13750" s="221"/>
    </row>
    <row r="13751" spans="1:10" s="15" customFormat="1" ht="24" hidden="1" customHeight="1" outlineLevel="1" x14ac:dyDescent="0.25">
      <c r="A13751" s="18">
        <v>6247</v>
      </c>
      <c r="B13751" s="6" t="s">
        <v>44</v>
      </c>
      <c r="C13751" s="38" t="s">
        <v>11768</v>
      </c>
      <c r="D13751" s="18">
        <v>2023</v>
      </c>
      <c r="E13751" s="18" t="s">
        <v>0</v>
      </c>
      <c r="F13751" s="41">
        <v>1</v>
      </c>
      <c r="G13751" s="41">
        <v>7</v>
      </c>
      <c r="H13751" s="41">
        <v>3.6013500000000001</v>
      </c>
      <c r="I13751" s="221"/>
      <c r="J13751" s="221"/>
    </row>
    <row r="13752" spans="1:10" s="15" customFormat="1" ht="24" hidden="1" customHeight="1" outlineLevel="1" x14ac:dyDescent="0.25">
      <c r="A13752" s="18">
        <v>3726</v>
      </c>
      <c r="B13752" s="6" t="s">
        <v>44</v>
      </c>
      <c r="C13752" s="38" t="s">
        <v>11769</v>
      </c>
      <c r="D13752" s="18">
        <v>2023</v>
      </c>
      <c r="E13752" s="18" t="s">
        <v>0</v>
      </c>
      <c r="F13752" s="41">
        <v>1</v>
      </c>
      <c r="G13752" s="41">
        <v>15</v>
      </c>
      <c r="H13752" s="41">
        <v>2.7432600000000003</v>
      </c>
      <c r="I13752" s="221"/>
      <c r="J13752" s="221"/>
    </row>
    <row r="13753" spans="1:10" s="15" customFormat="1" ht="24" hidden="1" customHeight="1" outlineLevel="1" x14ac:dyDescent="0.25">
      <c r="A13753" s="18">
        <v>723</v>
      </c>
      <c r="B13753" s="6" t="s">
        <v>44</v>
      </c>
      <c r="C13753" s="38" t="s">
        <v>11770</v>
      </c>
      <c r="D13753" s="18">
        <v>2023</v>
      </c>
      <c r="E13753" s="18" t="s">
        <v>0</v>
      </c>
      <c r="F13753" s="41">
        <v>1</v>
      </c>
      <c r="G13753" s="41">
        <v>15</v>
      </c>
      <c r="H13753" s="41">
        <v>3.6036200000000003</v>
      </c>
      <c r="I13753" s="221"/>
      <c r="J13753" s="221"/>
    </row>
    <row r="13754" spans="1:10" s="15" customFormat="1" ht="24" hidden="1" customHeight="1" outlineLevel="1" x14ac:dyDescent="0.25">
      <c r="A13754" s="18">
        <v>3689</v>
      </c>
      <c r="B13754" s="6" t="s">
        <v>44</v>
      </c>
      <c r="C13754" s="38" t="s">
        <v>11771</v>
      </c>
      <c r="D13754" s="18">
        <v>2023</v>
      </c>
      <c r="E13754" s="18" t="s">
        <v>0</v>
      </c>
      <c r="F13754" s="41">
        <v>1</v>
      </c>
      <c r="G13754" s="41">
        <v>15</v>
      </c>
      <c r="H13754" s="41">
        <v>2.7248699999999997</v>
      </c>
      <c r="I13754" s="221"/>
      <c r="J13754" s="221"/>
    </row>
    <row r="13755" spans="1:10" s="15" customFormat="1" ht="24" hidden="1" customHeight="1" outlineLevel="1" x14ac:dyDescent="0.25">
      <c r="A13755" s="18">
        <v>3511</v>
      </c>
      <c r="B13755" s="6" t="s">
        <v>44</v>
      </c>
      <c r="C13755" s="38" t="s">
        <v>11772</v>
      </c>
      <c r="D13755" s="18">
        <v>2023</v>
      </c>
      <c r="E13755" s="18" t="s">
        <v>0</v>
      </c>
      <c r="F13755" s="41">
        <v>1</v>
      </c>
      <c r="G13755" s="41">
        <v>15</v>
      </c>
      <c r="H13755" s="41">
        <v>2.7232199999999995</v>
      </c>
      <c r="I13755" s="221"/>
      <c r="J13755" s="221"/>
    </row>
    <row r="13756" spans="1:10" s="15" customFormat="1" ht="24" hidden="1" customHeight="1" outlineLevel="1" x14ac:dyDescent="0.25">
      <c r="A13756" s="18">
        <v>3509</v>
      </c>
      <c r="B13756" s="6" t="s">
        <v>44</v>
      </c>
      <c r="C13756" s="38" t="s">
        <v>11773</v>
      </c>
      <c r="D13756" s="18">
        <v>2023</v>
      </c>
      <c r="E13756" s="18" t="s">
        <v>0</v>
      </c>
      <c r="F13756" s="41">
        <v>1</v>
      </c>
      <c r="G13756" s="41">
        <v>15</v>
      </c>
      <c r="H13756" s="41">
        <v>3.6013500000000001</v>
      </c>
      <c r="I13756" s="221"/>
      <c r="J13756" s="221"/>
    </row>
    <row r="13757" spans="1:10" s="15" customFormat="1" ht="24" hidden="1" customHeight="1" outlineLevel="1" x14ac:dyDescent="0.25">
      <c r="A13757" s="18">
        <v>6250</v>
      </c>
      <c r="B13757" s="6" t="s">
        <v>44</v>
      </c>
      <c r="C13757" s="38" t="s">
        <v>11774</v>
      </c>
      <c r="D13757" s="18">
        <v>2023</v>
      </c>
      <c r="E13757" s="18" t="s">
        <v>0</v>
      </c>
      <c r="F13757" s="41">
        <v>1</v>
      </c>
      <c r="G13757" s="41">
        <v>5.5</v>
      </c>
      <c r="H13757" s="41">
        <v>41.540549999999996</v>
      </c>
      <c r="I13757" s="221"/>
      <c r="J13757" s="221"/>
    </row>
    <row r="13758" spans="1:10" s="15" customFormat="1" ht="24" hidden="1" customHeight="1" outlineLevel="1" x14ac:dyDescent="0.25">
      <c r="A13758" s="18">
        <v>6251</v>
      </c>
      <c r="B13758" s="6" t="s">
        <v>44</v>
      </c>
      <c r="C13758" s="38" t="s">
        <v>11775</v>
      </c>
      <c r="D13758" s="18">
        <v>2023</v>
      </c>
      <c r="E13758" s="18" t="s">
        <v>0</v>
      </c>
      <c r="F13758" s="41">
        <v>1</v>
      </c>
      <c r="G13758" s="41">
        <v>10</v>
      </c>
      <c r="H13758" s="41">
        <v>40.470600000000005</v>
      </c>
      <c r="I13758" s="221"/>
      <c r="J13758" s="221"/>
    </row>
    <row r="13759" spans="1:10" s="15" customFormat="1" ht="24" hidden="1" customHeight="1" outlineLevel="1" x14ac:dyDescent="0.25">
      <c r="A13759" s="18">
        <v>6252</v>
      </c>
      <c r="B13759" s="6" t="s">
        <v>44</v>
      </c>
      <c r="C13759" s="38" t="s">
        <v>11776</v>
      </c>
      <c r="D13759" s="18">
        <v>2023</v>
      </c>
      <c r="E13759" s="18" t="s">
        <v>0</v>
      </c>
      <c r="F13759" s="41">
        <v>1</v>
      </c>
      <c r="G13759" s="41">
        <v>15</v>
      </c>
      <c r="H13759" s="41">
        <v>40.177410000000002</v>
      </c>
      <c r="I13759" s="221"/>
      <c r="J13759" s="221"/>
    </row>
    <row r="13760" spans="1:10" s="15" customFormat="1" ht="24" hidden="1" customHeight="1" outlineLevel="1" x14ac:dyDescent="0.25">
      <c r="A13760" s="18">
        <v>6254</v>
      </c>
      <c r="B13760" s="6" t="s">
        <v>44</v>
      </c>
      <c r="C13760" s="38" t="s">
        <v>11777</v>
      </c>
      <c r="D13760" s="18">
        <v>2023</v>
      </c>
      <c r="E13760" s="18" t="s">
        <v>0</v>
      </c>
      <c r="F13760" s="41">
        <v>1</v>
      </c>
      <c r="G13760" s="41">
        <v>25</v>
      </c>
      <c r="H13760" s="41">
        <v>42.182380000000002</v>
      </c>
      <c r="I13760" s="221"/>
      <c r="J13760" s="221"/>
    </row>
    <row r="13761" spans="1:10" s="15" customFormat="1" ht="24" hidden="1" customHeight="1" outlineLevel="1" x14ac:dyDescent="0.25">
      <c r="A13761" s="18">
        <v>6255</v>
      </c>
      <c r="B13761" s="6" t="s">
        <v>44</v>
      </c>
      <c r="C13761" s="38" t="s">
        <v>11778</v>
      </c>
      <c r="D13761" s="18">
        <v>2023</v>
      </c>
      <c r="E13761" s="18" t="s">
        <v>0</v>
      </c>
      <c r="F13761" s="41">
        <v>1</v>
      </c>
      <c r="G13761" s="41">
        <v>15</v>
      </c>
      <c r="H13761" s="41">
        <v>40.17897</v>
      </c>
      <c r="I13761" s="221"/>
      <c r="J13761" s="221"/>
    </row>
    <row r="13762" spans="1:10" s="15" customFormat="1" ht="24" hidden="1" customHeight="1" outlineLevel="1" x14ac:dyDescent="0.25">
      <c r="A13762" s="18">
        <v>1781</v>
      </c>
      <c r="B13762" s="6" t="s">
        <v>44</v>
      </c>
      <c r="C13762" s="38" t="s">
        <v>11779</v>
      </c>
      <c r="D13762" s="18">
        <v>2023</v>
      </c>
      <c r="E13762" s="18" t="s">
        <v>0</v>
      </c>
      <c r="F13762" s="41">
        <v>1</v>
      </c>
      <c r="G13762" s="41">
        <v>3</v>
      </c>
      <c r="H13762" s="41">
        <v>39.536260000000006</v>
      </c>
      <c r="I13762" s="221"/>
      <c r="J13762" s="221"/>
    </row>
    <row r="13763" spans="1:10" s="15" customFormat="1" ht="24" hidden="1" customHeight="1" outlineLevel="1" x14ac:dyDescent="0.25">
      <c r="A13763" s="18">
        <v>1782</v>
      </c>
      <c r="B13763" s="6" t="s">
        <v>44</v>
      </c>
      <c r="C13763" s="38" t="s">
        <v>11780</v>
      </c>
      <c r="D13763" s="18">
        <v>2023</v>
      </c>
      <c r="E13763" s="18" t="s">
        <v>0</v>
      </c>
      <c r="F13763" s="41">
        <v>1</v>
      </c>
      <c r="G13763" s="41">
        <v>10</v>
      </c>
      <c r="H13763" s="41">
        <v>39.40981</v>
      </c>
      <c r="I13763" s="221"/>
      <c r="J13763" s="221"/>
    </row>
    <row r="13764" spans="1:10" s="15" customFormat="1" ht="24" hidden="1" customHeight="1" outlineLevel="1" x14ac:dyDescent="0.25">
      <c r="A13764" s="18">
        <v>6264</v>
      </c>
      <c r="B13764" s="6" t="s">
        <v>44</v>
      </c>
      <c r="C13764" s="38" t="s">
        <v>11781</v>
      </c>
      <c r="D13764" s="18">
        <v>2023</v>
      </c>
      <c r="E13764" s="18" t="s">
        <v>0</v>
      </c>
      <c r="F13764" s="41">
        <v>1</v>
      </c>
      <c r="G13764" s="41">
        <v>10</v>
      </c>
      <c r="H13764" s="41">
        <v>36.825760000000002</v>
      </c>
      <c r="I13764" s="221"/>
      <c r="J13764" s="221"/>
    </row>
    <row r="13765" spans="1:10" s="15" customFormat="1" ht="24" hidden="1" customHeight="1" outlineLevel="1" x14ac:dyDescent="0.25">
      <c r="A13765" s="18">
        <v>1163</v>
      </c>
      <c r="B13765" s="6" t="s">
        <v>44</v>
      </c>
      <c r="C13765" s="38" t="s">
        <v>11782</v>
      </c>
      <c r="D13765" s="18">
        <v>2023</v>
      </c>
      <c r="E13765" s="18" t="s">
        <v>0</v>
      </c>
      <c r="F13765" s="41">
        <v>1</v>
      </c>
      <c r="G13765" s="41">
        <v>15</v>
      </c>
      <c r="H13765" s="41">
        <v>36.826130000000006</v>
      </c>
      <c r="I13765" s="221"/>
      <c r="J13765" s="221"/>
    </row>
    <row r="13766" spans="1:10" s="15" customFormat="1" ht="24" hidden="1" customHeight="1" outlineLevel="1" x14ac:dyDescent="0.25">
      <c r="A13766" s="18">
        <v>6265</v>
      </c>
      <c r="B13766" s="6" t="s">
        <v>44</v>
      </c>
      <c r="C13766" s="38" t="s">
        <v>11783</v>
      </c>
      <c r="D13766" s="18">
        <v>2023</v>
      </c>
      <c r="E13766" s="18" t="s">
        <v>0</v>
      </c>
      <c r="F13766" s="41">
        <v>1</v>
      </c>
      <c r="G13766" s="41">
        <v>15</v>
      </c>
      <c r="H13766" s="41">
        <v>36.826130000000006</v>
      </c>
      <c r="I13766" s="221"/>
      <c r="J13766" s="221"/>
    </row>
    <row r="13767" spans="1:10" s="15" customFormat="1" ht="24" hidden="1" customHeight="1" outlineLevel="1" x14ac:dyDescent="0.25">
      <c r="A13767" s="18">
        <v>6266</v>
      </c>
      <c r="B13767" s="6" t="s">
        <v>44</v>
      </c>
      <c r="C13767" s="38" t="s">
        <v>11784</v>
      </c>
      <c r="D13767" s="18">
        <v>2023</v>
      </c>
      <c r="E13767" s="18" t="s">
        <v>0</v>
      </c>
      <c r="F13767" s="41">
        <v>1</v>
      </c>
      <c r="G13767" s="41">
        <v>15</v>
      </c>
      <c r="H13767" s="41">
        <v>37.756119999999996</v>
      </c>
      <c r="I13767" s="221"/>
      <c r="J13767" s="221"/>
    </row>
    <row r="13768" spans="1:10" s="15" customFormat="1" ht="24" hidden="1" customHeight="1" outlineLevel="1" x14ac:dyDescent="0.25">
      <c r="A13768" s="18">
        <v>6267</v>
      </c>
      <c r="B13768" s="6" t="s">
        <v>44</v>
      </c>
      <c r="C13768" s="38" t="s">
        <v>11785</v>
      </c>
      <c r="D13768" s="18">
        <v>2023</v>
      </c>
      <c r="E13768" s="18" t="s">
        <v>0</v>
      </c>
      <c r="F13768" s="41">
        <v>1</v>
      </c>
      <c r="G13768" s="41">
        <v>15</v>
      </c>
      <c r="H13768" s="41">
        <v>37.756119999999996</v>
      </c>
      <c r="I13768" s="221"/>
      <c r="J13768" s="221"/>
    </row>
    <row r="13769" spans="1:10" s="15" customFormat="1" ht="24" hidden="1" customHeight="1" outlineLevel="1" x14ac:dyDescent="0.25">
      <c r="A13769" s="18">
        <v>6268</v>
      </c>
      <c r="B13769" s="6" t="s">
        <v>44</v>
      </c>
      <c r="C13769" s="38" t="s">
        <v>11786</v>
      </c>
      <c r="D13769" s="18">
        <v>2023</v>
      </c>
      <c r="E13769" s="18" t="s">
        <v>0</v>
      </c>
      <c r="F13769" s="41">
        <v>1</v>
      </c>
      <c r="G13769" s="41">
        <v>15</v>
      </c>
      <c r="H13769" s="41">
        <v>36.826130000000006</v>
      </c>
      <c r="I13769" s="221"/>
      <c r="J13769" s="221"/>
    </row>
    <row r="13770" spans="1:10" s="15" customFormat="1" ht="24" hidden="1" customHeight="1" outlineLevel="1" x14ac:dyDescent="0.25">
      <c r="A13770" s="18">
        <v>1197</v>
      </c>
      <c r="B13770" s="6" t="s">
        <v>44</v>
      </c>
      <c r="C13770" s="38" t="s">
        <v>11787</v>
      </c>
      <c r="D13770" s="18">
        <v>2023</v>
      </c>
      <c r="E13770" s="18" t="s">
        <v>0</v>
      </c>
      <c r="F13770" s="41">
        <v>1</v>
      </c>
      <c r="G13770" s="41">
        <v>15</v>
      </c>
      <c r="H13770" s="41">
        <v>38.68609</v>
      </c>
      <c r="I13770" s="221"/>
      <c r="J13770" s="221"/>
    </row>
    <row r="13771" spans="1:10" s="15" customFormat="1" ht="24" hidden="1" customHeight="1" outlineLevel="1" x14ac:dyDescent="0.25">
      <c r="A13771" s="18">
        <v>6269</v>
      </c>
      <c r="B13771" s="6" t="s">
        <v>44</v>
      </c>
      <c r="C13771" s="38" t="s">
        <v>11788</v>
      </c>
      <c r="D13771" s="18">
        <v>2023</v>
      </c>
      <c r="E13771" s="18" t="s">
        <v>0</v>
      </c>
      <c r="F13771" s="41">
        <v>1</v>
      </c>
      <c r="G13771" s="41">
        <v>15</v>
      </c>
      <c r="H13771" s="41">
        <v>36.826130000000006</v>
      </c>
      <c r="I13771" s="221"/>
      <c r="J13771" s="221"/>
    </row>
    <row r="13772" spans="1:10" s="15" customFormat="1" ht="24" hidden="1" customHeight="1" outlineLevel="1" x14ac:dyDescent="0.25">
      <c r="A13772" s="18">
        <v>6270</v>
      </c>
      <c r="B13772" s="6" t="s">
        <v>44</v>
      </c>
      <c r="C13772" s="38" t="s">
        <v>11789</v>
      </c>
      <c r="D13772" s="18">
        <v>2023</v>
      </c>
      <c r="E13772" s="18" t="s">
        <v>0</v>
      </c>
      <c r="F13772" s="41">
        <v>1</v>
      </c>
      <c r="G13772" s="41">
        <v>15</v>
      </c>
      <c r="H13772" s="41">
        <v>38.68609</v>
      </c>
      <c r="I13772" s="221"/>
      <c r="J13772" s="221"/>
    </row>
    <row r="13773" spans="1:10" s="15" customFormat="1" ht="24" hidden="1" customHeight="1" outlineLevel="1" x14ac:dyDescent="0.25">
      <c r="A13773" s="18">
        <v>6271</v>
      </c>
      <c r="B13773" s="6" t="s">
        <v>44</v>
      </c>
      <c r="C13773" s="38" t="s">
        <v>11790</v>
      </c>
      <c r="D13773" s="18">
        <v>2023</v>
      </c>
      <c r="E13773" s="18" t="s">
        <v>0</v>
      </c>
      <c r="F13773" s="41">
        <v>1</v>
      </c>
      <c r="G13773" s="41">
        <v>10</v>
      </c>
      <c r="H13773" s="41">
        <v>36.826130000000006</v>
      </c>
      <c r="I13773" s="221"/>
      <c r="J13773" s="221"/>
    </row>
    <row r="13774" spans="1:10" s="15" customFormat="1" ht="24" hidden="1" customHeight="1" outlineLevel="1" x14ac:dyDescent="0.25">
      <c r="A13774" s="18">
        <v>6272</v>
      </c>
      <c r="B13774" s="6" t="s">
        <v>44</v>
      </c>
      <c r="C13774" s="38" t="s">
        <v>11791</v>
      </c>
      <c r="D13774" s="18">
        <v>2023</v>
      </c>
      <c r="E13774" s="18" t="s">
        <v>0</v>
      </c>
      <c r="F13774" s="41">
        <v>1</v>
      </c>
      <c r="G13774" s="41">
        <v>10</v>
      </c>
      <c r="H13774" s="41">
        <v>36.826130000000006</v>
      </c>
      <c r="I13774" s="221"/>
      <c r="J13774" s="221"/>
    </row>
    <row r="13775" spans="1:10" s="15" customFormat="1" ht="24" hidden="1" customHeight="1" outlineLevel="1" x14ac:dyDescent="0.25">
      <c r="A13775" s="18">
        <v>6273</v>
      </c>
      <c r="B13775" s="6" t="s">
        <v>44</v>
      </c>
      <c r="C13775" s="38" t="s">
        <v>11792</v>
      </c>
      <c r="D13775" s="18">
        <v>2023</v>
      </c>
      <c r="E13775" s="18" t="s">
        <v>0</v>
      </c>
      <c r="F13775" s="41">
        <v>1</v>
      </c>
      <c r="G13775" s="41">
        <v>5</v>
      </c>
      <c r="H13775" s="41">
        <v>36.826130000000006</v>
      </c>
      <c r="I13775" s="221"/>
      <c r="J13775" s="221"/>
    </row>
    <row r="13776" spans="1:10" s="15" customFormat="1" ht="24" hidden="1" customHeight="1" outlineLevel="1" x14ac:dyDescent="0.25">
      <c r="A13776" s="18">
        <v>6274</v>
      </c>
      <c r="B13776" s="6" t="s">
        <v>44</v>
      </c>
      <c r="C13776" s="38" t="s">
        <v>11793</v>
      </c>
      <c r="D13776" s="18">
        <v>2023</v>
      </c>
      <c r="E13776" s="18" t="s">
        <v>0</v>
      </c>
      <c r="F13776" s="41">
        <v>1</v>
      </c>
      <c r="G13776" s="41">
        <v>15</v>
      </c>
      <c r="H13776" s="41">
        <v>36.826130000000006</v>
      </c>
      <c r="I13776" s="221"/>
      <c r="J13776" s="221"/>
    </row>
    <row r="13777" spans="1:10" s="15" customFormat="1" ht="24" hidden="1" customHeight="1" outlineLevel="1" x14ac:dyDescent="0.25">
      <c r="A13777" s="18">
        <v>6275</v>
      </c>
      <c r="B13777" s="6" t="s">
        <v>44</v>
      </c>
      <c r="C13777" s="38" t="s">
        <v>11794</v>
      </c>
      <c r="D13777" s="18">
        <v>2023</v>
      </c>
      <c r="E13777" s="18" t="s">
        <v>0</v>
      </c>
      <c r="F13777" s="41">
        <v>1</v>
      </c>
      <c r="G13777" s="41">
        <v>15</v>
      </c>
      <c r="H13777" s="41">
        <v>36.826130000000006</v>
      </c>
      <c r="I13777" s="221"/>
      <c r="J13777" s="221"/>
    </row>
    <row r="13778" spans="1:10" s="15" customFormat="1" ht="24" hidden="1" customHeight="1" outlineLevel="1" x14ac:dyDescent="0.25">
      <c r="A13778" s="18">
        <v>1419</v>
      </c>
      <c r="B13778" s="6" t="s">
        <v>44</v>
      </c>
      <c r="C13778" s="38" t="s">
        <v>11795</v>
      </c>
      <c r="D13778" s="18">
        <v>2023</v>
      </c>
      <c r="E13778" s="18" t="s">
        <v>0</v>
      </c>
      <c r="F13778" s="41">
        <v>1</v>
      </c>
      <c r="G13778" s="41">
        <v>5</v>
      </c>
      <c r="H13778" s="41">
        <v>37.756119999999996</v>
      </c>
      <c r="I13778" s="221"/>
      <c r="J13778" s="221"/>
    </row>
    <row r="13779" spans="1:10" s="15" customFormat="1" ht="24" hidden="1" customHeight="1" outlineLevel="1" x14ac:dyDescent="0.25">
      <c r="A13779" s="18">
        <v>6276</v>
      </c>
      <c r="B13779" s="6" t="s">
        <v>44</v>
      </c>
      <c r="C13779" s="38" t="s">
        <v>11796</v>
      </c>
      <c r="D13779" s="18">
        <v>2023</v>
      </c>
      <c r="E13779" s="18" t="s">
        <v>0</v>
      </c>
      <c r="F13779" s="41">
        <v>1</v>
      </c>
      <c r="G13779" s="41">
        <v>15</v>
      </c>
      <c r="H13779" s="41">
        <v>36.825760000000002</v>
      </c>
      <c r="I13779" s="221"/>
      <c r="J13779" s="221"/>
    </row>
    <row r="13780" spans="1:10" s="15" customFormat="1" ht="24" hidden="1" customHeight="1" outlineLevel="1" x14ac:dyDescent="0.25">
      <c r="A13780" s="18">
        <v>6277</v>
      </c>
      <c r="B13780" s="6" t="s">
        <v>44</v>
      </c>
      <c r="C13780" s="38" t="s">
        <v>11797</v>
      </c>
      <c r="D13780" s="18">
        <v>2023</v>
      </c>
      <c r="E13780" s="18" t="s">
        <v>0</v>
      </c>
      <c r="F13780" s="41">
        <v>1</v>
      </c>
      <c r="G13780" s="41">
        <v>10</v>
      </c>
      <c r="H13780" s="41">
        <v>36.8245</v>
      </c>
      <c r="I13780" s="221"/>
      <c r="J13780" s="221"/>
    </row>
    <row r="13781" spans="1:10" s="15" customFormat="1" ht="24" hidden="1" customHeight="1" outlineLevel="1" x14ac:dyDescent="0.25">
      <c r="A13781" s="18">
        <v>6278</v>
      </c>
      <c r="B13781" s="6" t="s">
        <v>44</v>
      </c>
      <c r="C13781" s="38" t="s">
        <v>11798</v>
      </c>
      <c r="D13781" s="18">
        <v>2023</v>
      </c>
      <c r="E13781" s="18" t="s">
        <v>0</v>
      </c>
      <c r="F13781" s="41">
        <v>1</v>
      </c>
      <c r="G13781" s="41">
        <v>15</v>
      </c>
      <c r="H13781" s="41">
        <v>37.756119999999996</v>
      </c>
      <c r="I13781" s="221"/>
      <c r="J13781" s="221"/>
    </row>
    <row r="13782" spans="1:10" s="15" customFormat="1" ht="24" hidden="1" customHeight="1" outlineLevel="1" x14ac:dyDescent="0.25">
      <c r="A13782" s="18">
        <v>6279</v>
      </c>
      <c r="B13782" s="6" t="s">
        <v>44</v>
      </c>
      <c r="C13782" s="38" t="s">
        <v>11799</v>
      </c>
      <c r="D13782" s="18">
        <v>2023</v>
      </c>
      <c r="E13782" s="18" t="s">
        <v>0</v>
      </c>
      <c r="F13782" s="41">
        <v>1</v>
      </c>
      <c r="G13782" s="41">
        <v>15</v>
      </c>
      <c r="H13782" s="41">
        <v>36.826130000000006</v>
      </c>
      <c r="I13782" s="221"/>
      <c r="J13782" s="221"/>
    </row>
    <row r="13783" spans="1:10" s="15" customFormat="1" ht="24" hidden="1" customHeight="1" outlineLevel="1" x14ac:dyDescent="0.25">
      <c r="A13783" s="18">
        <v>6280</v>
      </c>
      <c r="B13783" s="6" t="s">
        <v>44</v>
      </c>
      <c r="C13783" s="38" t="s">
        <v>11800</v>
      </c>
      <c r="D13783" s="18">
        <v>2023</v>
      </c>
      <c r="E13783" s="18" t="s">
        <v>0</v>
      </c>
      <c r="F13783" s="41">
        <v>1</v>
      </c>
      <c r="G13783" s="41">
        <v>10</v>
      </c>
      <c r="H13783" s="41">
        <v>36.826130000000006</v>
      </c>
      <c r="I13783" s="221"/>
      <c r="J13783" s="221"/>
    </row>
    <row r="13784" spans="1:10" s="15" customFormat="1" ht="24" hidden="1" customHeight="1" outlineLevel="1" x14ac:dyDescent="0.25">
      <c r="A13784" s="18">
        <v>6281</v>
      </c>
      <c r="B13784" s="6" t="s">
        <v>44</v>
      </c>
      <c r="C13784" s="38" t="s">
        <v>11801</v>
      </c>
      <c r="D13784" s="18">
        <v>2023</v>
      </c>
      <c r="E13784" s="18" t="s">
        <v>0</v>
      </c>
      <c r="F13784" s="41">
        <v>1</v>
      </c>
      <c r="G13784" s="41">
        <v>15</v>
      </c>
      <c r="H13784" s="41">
        <v>36.826130000000006</v>
      </c>
      <c r="I13784" s="221"/>
      <c r="J13784" s="221"/>
    </row>
    <row r="13785" spans="1:10" s="15" customFormat="1" ht="24" hidden="1" customHeight="1" outlineLevel="1" x14ac:dyDescent="0.25">
      <c r="A13785" s="18">
        <v>6282</v>
      </c>
      <c r="B13785" s="6" t="s">
        <v>44</v>
      </c>
      <c r="C13785" s="38" t="s">
        <v>11802</v>
      </c>
      <c r="D13785" s="18">
        <v>2023</v>
      </c>
      <c r="E13785" s="18" t="s">
        <v>0</v>
      </c>
      <c r="F13785" s="41">
        <v>1</v>
      </c>
      <c r="G13785" s="41">
        <v>15</v>
      </c>
      <c r="H13785" s="41">
        <v>36.826130000000006</v>
      </c>
      <c r="I13785" s="221"/>
      <c r="J13785" s="221"/>
    </row>
    <row r="13786" spans="1:10" s="15" customFormat="1" ht="24" hidden="1" customHeight="1" outlineLevel="1" x14ac:dyDescent="0.25">
      <c r="A13786" s="18">
        <v>6283</v>
      </c>
      <c r="B13786" s="6" t="s">
        <v>44</v>
      </c>
      <c r="C13786" s="38" t="s">
        <v>11803</v>
      </c>
      <c r="D13786" s="18">
        <v>2023</v>
      </c>
      <c r="E13786" s="18" t="s">
        <v>0</v>
      </c>
      <c r="F13786" s="41">
        <v>1</v>
      </c>
      <c r="G13786" s="41">
        <v>15</v>
      </c>
      <c r="H13786" s="41">
        <v>37.756119999999996</v>
      </c>
      <c r="I13786" s="221"/>
      <c r="J13786" s="221"/>
    </row>
    <row r="13787" spans="1:10" s="15" customFormat="1" ht="24" hidden="1" customHeight="1" outlineLevel="1" x14ac:dyDescent="0.25">
      <c r="A13787" s="18">
        <v>1454</v>
      </c>
      <c r="B13787" s="6" t="s">
        <v>44</v>
      </c>
      <c r="C13787" s="38" t="s">
        <v>11804</v>
      </c>
      <c r="D13787" s="18">
        <v>2023</v>
      </c>
      <c r="E13787" s="18" t="s">
        <v>0</v>
      </c>
      <c r="F13787" s="41">
        <v>1</v>
      </c>
      <c r="G13787" s="41">
        <v>5</v>
      </c>
      <c r="H13787" s="41">
        <v>36.826430000000002</v>
      </c>
      <c r="I13787" s="221"/>
      <c r="J13787" s="221"/>
    </row>
    <row r="13788" spans="1:10" s="15" customFormat="1" ht="24" hidden="1" customHeight="1" outlineLevel="1" x14ac:dyDescent="0.25">
      <c r="A13788" s="18">
        <v>759</v>
      </c>
      <c r="B13788" s="6" t="s">
        <v>44</v>
      </c>
      <c r="C13788" s="38" t="s">
        <v>11805</v>
      </c>
      <c r="D13788" s="18">
        <v>2023</v>
      </c>
      <c r="E13788" s="18" t="s">
        <v>0</v>
      </c>
      <c r="F13788" s="41">
        <v>1</v>
      </c>
      <c r="G13788" s="41">
        <v>1</v>
      </c>
      <c r="H13788" s="41">
        <v>37.756119999999996</v>
      </c>
      <c r="I13788" s="221"/>
      <c r="J13788" s="221"/>
    </row>
    <row r="13789" spans="1:10" s="15" customFormat="1" ht="24" hidden="1" customHeight="1" outlineLevel="1" x14ac:dyDescent="0.25">
      <c r="A13789" s="18">
        <v>6284</v>
      </c>
      <c r="B13789" s="6" t="s">
        <v>44</v>
      </c>
      <c r="C13789" s="38" t="s">
        <v>11806</v>
      </c>
      <c r="D13789" s="18">
        <v>2023</v>
      </c>
      <c r="E13789" s="18" t="s">
        <v>0</v>
      </c>
      <c r="F13789" s="41">
        <v>1</v>
      </c>
      <c r="G13789" s="41">
        <v>15</v>
      </c>
      <c r="H13789" s="41">
        <v>38.68609</v>
      </c>
      <c r="I13789" s="221"/>
      <c r="J13789" s="221"/>
    </row>
    <row r="13790" spans="1:10" s="15" customFormat="1" ht="24" hidden="1" customHeight="1" outlineLevel="1" x14ac:dyDescent="0.25">
      <c r="A13790" s="18">
        <v>6285</v>
      </c>
      <c r="B13790" s="6" t="s">
        <v>44</v>
      </c>
      <c r="C13790" s="38" t="s">
        <v>11807</v>
      </c>
      <c r="D13790" s="18">
        <v>2023</v>
      </c>
      <c r="E13790" s="18" t="s">
        <v>0</v>
      </c>
      <c r="F13790" s="41">
        <v>1</v>
      </c>
      <c r="G13790" s="41">
        <v>5</v>
      </c>
      <c r="H13790" s="41">
        <v>36.825569999999999</v>
      </c>
      <c r="I13790" s="221"/>
      <c r="J13790" s="221"/>
    </row>
    <row r="13791" spans="1:10" s="15" customFormat="1" ht="24" hidden="1" customHeight="1" outlineLevel="1" x14ac:dyDescent="0.25">
      <c r="A13791" s="18">
        <v>6286</v>
      </c>
      <c r="B13791" s="6" t="s">
        <v>44</v>
      </c>
      <c r="C13791" s="38" t="s">
        <v>11808</v>
      </c>
      <c r="D13791" s="18">
        <v>2023</v>
      </c>
      <c r="E13791" s="18" t="s">
        <v>0</v>
      </c>
      <c r="F13791" s="41">
        <v>1</v>
      </c>
      <c r="G13791" s="41">
        <v>15</v>
      </c>
      <c r="H13791" s="41">
        <v>37.756119999999996</v>
      </c>
      <c r="I13791" s="221"/>
      <c r="J13791" s="221"/>
    </row>
    <row r="13792" spans="1:10" s="15" customFormat="1" ht="24" hidden="1" customHeight="1" outlineLevel="1" x14ac:dyDescent="0.25">
      <c r="A13792" s="18">
        <v>1591</v>
      </c>
      <c r="B13792" s="6" t="s">
        <v>44</v>
      </c>
      <c r="C13792" s="38" t="s">
        <v>11809</v>
      </c>
      <c r="D13792" s="18">
        <v>2023</v>
      </c>
      <c r="E13792" s="18" t="s">
        <v>0</v>
      </c>
      <c r="F13792" s="41">
        <v>1</v>
      </c>
      <c r="G13792" s="41">
        <v>3</v>
      </c>
      <c r="H13792" s="41">
        <v>35.896169999999998</v>
      </c>
      <c r="I13792" s="221"/>
      <c r="J13792" s="221"/>
    </row>
    <row r="13793" spans="1:10" s="15" customFormat="1" ht="24" hidden="1" customHeight="1" outlineLevel="1" x14ac:dyDescent="0.25">
      <c r="A13793" s="18">
        <v>1586</v>
      </c>
      <c r="B13793" s="6" t="s">
        <v>44</v>
      </c>
      <c r="C13793" s="38" t="s">
        <v>11810</v>
      </c>
      <c r="D13793" s="18">
        <v>2023</v>
      </c>
      <c r="E13793" s="18" t="s">
        <v>0</v>
      </c>
      <c r="F13793" s="41">
        <v>1</v>
      </c>
      <c r="G13793" s="41">
        <v>15</v>
      </c>
      <c r="H13793" s="41">
        <v>37.756119999999996</v>
      </c>
      <c r="I13793" s="221"/>
      <c r="J13793" s="221"/>
    </row>
    <row r="13794" spans="1:10" s="15" customFormat="1" ht="24" hidden="1" customHeight="1" outlineLevel="1" x14ac:dyDescent="0.25">
      <c r="A13794" s="18">
        <v>1606</v>
      </c>
      <c r="B13794" s="6" t="s">
        <v>44</v>
      </c>
      <c r="C13794" s="38" t="s">
        <v>11811</v>
      </c>
      <c r="D13794" s="18">
        <v>2023</v>
      </c>
      <c r="E13794" s="18" t="s">
        <v>0</v>
      </c>
      <c r="F13794" s="41">
        <v>1</v>
      </c>
      <c r="G13794" s="41">
        <v>7</v>
      </c>
      <c r="H13794" s="41">
        <v>37.756119999999996</v>
      </c>
      <c r="I13794" s="221"/>
      <c r="J13794" s="221"/>
    </row>
    <row r="13795" spans="1:10" s="15" customFormat="1" ht="24" hidden="1" customHeight="1" outlineLevel="1" x14ac:dyDescent="0.25">
      <c r="A13795" s="18">
        <v>1571</v>
      </c>
      <c r="B13795" s="6" t="s">
        <v>44</v>
      </c>
      <c r="C13795" s="38" t="s">
        <v>11812</v>
      </c>
      <c r="D13795" s="18">
        <v>2023</v>
      </c>
      <c r="E13795" s="18" t="s">
        <v>0</v>
      </c>
      <c r="F13795" s="41">
        <v>1</v>
      </c>
      <c r="G13795" s="41">
        <v>1</v>
      </c>
      <c r="H13795" s="41">
        <v>38.68609</v>
      </c>
      <c r="I13795" s="221"/>
      <c r="J13795" s="221"/>
    </row>
    <row r="13796" spans="1:10" s="15" customFormat="1" ht="24" hidden="1" customHeight="1" outlineLevel="1" x14ac:dyDescent="0.25">
      <c r="A13796" s="18">
        <v>1598</v>
      </c>
      <c r="B13796" s="6" t="s">
        <v>44</v>
      </c>
      <c r="C13796" s="38" t="s">
        <v>11813</v>
      </c>
      <c r="D13796" s="18">
        <v>2023</v>
      </c>
      <c r="E13796" s="18" t="s">
        <v>0</v>
      </c>
      <c r="F13796" s="41">
        <v>1</v>
      </c>
      <c r="G13796" s="41">
        <v>1</v>
      </c>
      <c r="H13796" s="41">
        <v>37.756119999999996</v>
      </c>
      <c r="I13796" s="221"/>
      <c r="J13796" s="221"/>
    </row>
    <row r="13797" spans="1:10" s="15" customFormat="1" ht="24" hidden="1" customHeight="1" outlineLevel="1" x14ac:dyDescent="0.25">
      <c r="A13797" s="18">
        <v>6287</v>
      </c>
      <c r="B13797" s="6" t="s">
        <v>44</v>
      </c>
      <c r="C13797" s="38" t="s">
        <v>11814</v>
      </c>
      <c r="D13797" s="18">
        <v>2023</v>
      </c>
      <c r="E13797" s="18" t="s">
        <v>0</v>
      </c>
      <c r="F13797" s="41">
        <v>1</v>
      </c>
      <c r="G13797" s="41">
        <v>15</v>
      </c>
      <c r="H13797" s="41">
        <v>40.546059999999997</v>
      </c>
      <c r="I13797" s="221"/>
      <c r="J13797" s="221"/>
    </row>
    <row r="13798" spans="1:10" s="15" customFormat="1" ht="24" hidden="1" customHeight="1" outlineLevel="1" x14ac:dyDescent="0.25">
      <c r="A13798" s="18">
        <v>6288</v>
      </c>
      <c r="B13798" s="6" t="s">
        <v>44</v>
      </c>
      <c r="C13798" s="38" t="s">
        <v>11815</v>
      </c>
      <c r="D13798" s="18">
        <v>2023</v>
      </c>
      <c r="E13798" s="18" t="s">
        <v>0</v>
      </c>
      <c r="F13798" s="41">
        <v>1</v>
      </c>
      <c r="G13798" s="41">
        <v>3</v>
      </c>
      <c r="H13798" s="41">
        <v>37.756119999999996</v>
      </c>
      <c r="I13798" s="221"/>
      <c r="J13798" s="221"/>
    </row>
    <row r="13799" spans="1:10" s="15" customFormat="1" ht="24" hidden="1" customHeight="1" outlineLevel="1" x14ac:dyDescent="0.25">
      <c r="A13799" s="18">
        <v>6289</v>
      </c>
      <c r="B13799" s="6" t="s">
        <v>44</v>
      </c>
      <c r="C13799" s="38" t="s">
        <v>11816</v>
      </c>
      <c r="D13799" s="18">
        <v>2023</v>
      </c>
      <c r="E13799" s="18" t="s">
        <v>0</v>
      </c>
      <c r="F13799" s="41">
        <v>1</v>
      </c>
      <c r="G13799" s="41">
        <v>15</v>
      </c>
      <c r="H13799" s="41">
        <v>37.756119999999996</v>
      </c>
      <c r="I13799" s="221"/>
      <c r="J13799" s="221"/>
    </row>
    <row r="13800" spans="1:10" s="15" customFormat="1" ht="24" hidden="1" customHeight="1" outlineLevel="1" x14ac:dyDescent="0.25">
      <c r="A13800" s="18">
        <v>6290</v>
      </c>
      <c r="B13800" s="6" t="s">
        <v>44</v>
      </c>
      <c r="C13800" s="38" t="s">
        <v>11817</v>
      </c>
      <c r="D13800" s="18">
        <v>2023</v>
      </c>
      <c r="E13800" s="18" t="s">
        <v>0</v>
      </c>
      <c r="F13800" s="41">
        <v>1</v>
      </c>
      <c r="G13800" s="41">
        <v>15</v>
      </c>
      <c r="H13800" s="41">
        <v>36.826130000000006</v>
      </c>
      <c r="I13800" s="221"/>
      <c r="J13800" s="221"/>
    </row>
    <row r="13801" spans="1:10" s="15" customFormat="1" ht="24" hidden="1" customHeight="1" outlineLevel="1" x14ac:dyDescent="0.25">
      <c r="A13801" s="18">
        <v>6291</v>
      </c>
      <c r="B13801" s="6" t="s">
        <v>44</v>
      </c>
      <c r="C13801" s="38" t="s">
        <v>11818</v>
      </c>
      <c r="D13801" s="18">
        <v>2023</v>
      </c>
      <c r="E13801" s="18" t="s">
        <v>0</v>
      </c>
      <c r="F13801" s="41">
        <v>1</v>
      </c>
      <c r="G13801" s="41">
        <v>15</v>
      </c>
      <c r="H13801" s="41">
        <v>38.68609</v>
      </c>
      <c r="I13801" s="221"/>
      <c r="J13801" s="221"/>
    </row>
    <row r="13802" spans="1:10" s="15" customFormat="1" ht="24" hidden="1" customHeight="1" outlineLevel="1" x14ac:dyDescent="0.25">
      <c r="A13802" s="18">
        <v>6292</v>
      </c>
      <c r="B13802" s="6" t="s">
        <v>44</v>
      </c>
      <c r="C13802" s="38" t="s">
        <v>11819</v>
      </c>
      <c r="D13802" s="18">
        <v>2023</v>
      </c>
      <c r="E13802" s="18" t="s">
        <v>0</v>
      </c>
      <c r="F13802" s="41">
        <v>1</v>
      </c>
      <c r="G13802" s="41">
        <v>15</v>
      </c>
      <c r="H13802" s="41">
        <v>35.524169999999998</v>
      </c>
      <c r="I13802" s="221"/>
      <c r="J13802" s="221"/>
    </row>
    <row r="13803" spans="1:10" s="15" customFormat="1" ht="24" hidden="1" customHeight="1" outlineLevel="1" x14ac:dyDescent="0.25">
      <c r="A13803" s="18">
        <v>6293</v>
      </c>
      <c r="B13803" s="6" t="s">
        <v>44</v>
      </c>
      <c r="C13803" s="38" t="s">
        <v>11820</v>
      </c>
      <c r="D13803" s="18">
        <v>2023</v>
      </c>
      <c r="E13803" s="18" t="s">
        <v>0</v>
      </c>
      <c r="F13803" s="41">
        <v>1</v>
      </c>
      <c r="G13803" s="41">
        <v>10</v>
      </c>
      <c r="H13803" s="41">
        <v>37.756119999999996</v>
      </c>
      <c r="I13803" s="221"/>
      <c r="J13803" s="221"/>
    </row>
    <row r="13804" spans="1:10" s="15" customFormat="1" ht="24" hidden="1" customHeight="1" outlineLevel="1" x14ac:dyDescent="0.25">
      <c r="A13804" s="18">
        <v>6294</v>
      </c>
      <c r="B13804" s="6" t="s">
        <v>44</v>
      </c>
      <c r="C13804" s="38" t="s">
        <v>11821</v>
      </c>
      <c r="D13804" s="18">
        <v>2023</v>
      </c>
      <c r="E13804" s="18" t="s">
        <v>0</v>
      </c>
      <c r="F13804" s="41">
        <v>1</v>
      </c>
      <c r="G13804" s="41">
        <v>15</v>
      </c>
      <c r="H13804" s="41">
        <v>36.826130000000006</v>
      </c>
      <c r="I13804" s="221"/>
      <c r="J13804" s="221"/>
    </row>
    <row r="13805" spans="1:10" s="15" customFormat="1" ht="24" hidden="1" customHeight="1" outlineLevel="1" x14ac:dyDescent="0.25">
      <c r="A13805" s="18">
        <v>6295</v>
      </c>
      <c r="B13805" s="6" t="s">
        <v>44</v>
      </c>
      <c r="C13805" s="38" t="s">
        <v>11822</v>
      </c>
      <c r="D13805" s="18">
        <v>2023</v>
      </c>
      <c r="E13805" s="18" t="s">
        <v>0</v>
      </c>
      <c r="F13805" s="41">
        <v>1</v>
      </c>
      <c r="G13805" s="41">
        <v>12</v>
      </c>
      <c r="H13805" s="41">
        <v>37.756119999999996</v>
      </c>
      <c r="I13805" s="221"/>
      <c r="J13805" s="221"/>
    </row>
    <row r="13806" spans="1:10" s="15" customFormat="1" ht="24" hidden="1" customHeight="1" outlineLevel="1" x14ac:dyDescent="0.25">
      <c r="A13806" s="18">
        <v>6296</v>
      </c>
      <c r="B13806" s="6" t="s">
        <v>44</v>
      </c>
      <c r="C13806" s="38" t="s">
        <v>11823</v>
      </c>
      <c r="D13806" s="18">
        <v>2023</v>
      </c>
      <c r="E13806" s="18" t="s">
        <v>0</v>
      </c>
      <c r="F13806" s="41">
        <v>1</v>
      </c>
      <c r="G13806" s="41">
        <v>15</v>
      </c>
      <c r="H13806" s="41">
        <v>37.756119999999996</v>
      </c>
      <c r="I13806" s="221"/>
      <c r="J13806" s="221"/>
    </row>
    <row r="13807" spans="1:10" s="15" customFormat="1" ht="24" hidden="1" customHeight="1" outlineLevel="1" x14ac:dyDescent="0.25">
      <c r="A13807" s="18">
        <v>6297</v>
      </c>
      <c r="B13807" s="6" t="s">
        <v>44</v>
      </c>
      <c r="C13807" s="38" t="s">
        <v>11824</v>
      </c>
      <c r="D13807" s="18">
        <v>2023</v>
      </c>
      <c r="E13807" s="18" t="s">
        <v>0</v>
      </c>
      <c r="F13807" s="41">
        <v>1</v>
      </c>
      <c r="G13807" s="41">
        <v>15</v>
      </c>
      <c r="H13807" s="41">
        <v>38.68609</v>
      </c>
      <c r="I13807" s="221"/>
      <c r="J13807" s="221"/>
    </row>
    <row r="13808" spans="1:10" s="15" customFormat="1" ht="24" hidden="1" customHeight="1" outlineLevel="1" x14ac:dyDescent="0.25">
      <c r="A13808" s="18">
        <v>6238</v>
      </c>
      <c r="B13808" s="6" t="s">
        <v>44</v>
      </c>
      <c r="C13808" s="38" t="s">
        <v>11825</v>
      </c>
      <c r="D13808" s="18">
        <v>2023</v>
      </c>
      <c r="E13808" s="18" t="s">
        <v>0</v>
      </c>
      <c r="F13808" s="41">
        <v>1</v>
      </c>
      <c r="G13808" s="41">
        <v>3</v>
      </c>
      <c r="H13808" s="41">
        <v>35.319139999999997</v>
      </c>
      <c r="I13808" s="221"/>
      <c r="J13808" s="221"/>
    </row>
    <row r="13809" spans="1:10" s="15" customFormat="1" ht="24" hidden="1" customHeight="1" outlineLevel="1" x14ac:dyDescent="0.25">
      <c r="A13809" s="18">
        <v>6239</v>
      </c>
      <c r="B13809" s="6" t="s">
        <v>44</v>
      </c>
      <c r="C13809" s="38" t="s">
        <v>11826</v>
      </c>
      <c r="D13809" s="18">
        <v>2023</v>
      </c>
      <c r="E13809" s="18" t="s">
        <v>0</v>
      </c>
      <c r="F13809" s="41">
        <v>1</v>
      </c>
      <c r="G13809" s="41">
        <v>3</v>
      </c>
      <c r="H13809" s="41">
        <v>35.31915</v>
      </c>
      <c r="I13809" s="221"/>
      <c r="J13809" s="221"/>
    </row>
    <row r="13810" spans="1:10" s="15" customFormat="1" ht="24" hidden="1" customHeight="1" outlineLevel="1" x14ac:dyDescent="0.25">
      <c r="A13810" s="18">
        <v>1775</v>
      </c>
      <c r="B13810" s="6" t="s">
        <v>44</v>
      </c>
      <c r="C13810" s="38" t="s">
        <v>11827</v>
      </c>
      <c r="D13810" s="18">
        <v>2023</v>
      </c>
      <c r="E13810" s="18" t="s">
        <v>0</v>
      </c>
      <c r="F13810" s="41">
        <v>1</v>
      </c>
      <c r="G13810" s="41">
        <v>5</v>
      </c>
      <c r="H13810" s="41">
        <v>36.052909999999997</v>
      </c>
      <c r="I13810" s="221"/>
      <c r="J13810" s="221"/>
    </row>
    <row r="13811" spans="1:10" s="15" customFormat="1" ht="24" hidden="1" customHeight="1" outlineLevel="1" x14ac:dyDescent="0.25">
      <c r="A13811" s="18">
        <v>6263</v>
      </c>
      <c r="B13811" s="6" t="s">
        <v>44</v>
      </c>
      <c r="C13811" s="38" t="s">
        <v>11828</v>
      </c>
      <c r="D13811" s="18">
        <v>2023</v>
      </c>
      <c r="E13811" s="18" t="s">
        <v>0</v>
      </c>
      <c r="F13811" s="41">
        <v>1</v>
      </c>
      <c r="G13811" s="41">
        <v>15</v>
      </c>
      <c r="H13811" s="41">
        <v>39.427080000000004</v>
      </c>
      <c r="I13811" s="221"/>
      <c r="J13811" s="221"/>
    </row>
    <row r="13812" spans="1:10" s="15" customFormat="1" ht="24" hidden="1" customHeight="1" outlineLevel="1" x14ac:dyDescent="0.25">
      <c r="A13812" s="18">
        <v>1871</v>
      </c>
      <c r="B13812" s="6" t="s">
        <v>44</v>
      </c>
      <c r="C13812" s="38" t="s">
        <v>11829</v>
      </c>
      <c r="D13812" s="18">
        <v>2023</v>
      </c>
      <c r="E13812" s="18" t="s">
        <v>0</v>
      </c>
      <c r="F13812" s="41">
        <v>1</v>
      </c>
      <c r="G13812" s="41">
        <v>15</v>
      </c>
      <c r="H13812" s="41">
        <v>37.630929999999999</v>
      </c>
      <c r="I13812" s="221"/>
      <c r="J13812" s="221"/>
    </row>
    <row r="13813" spans="1:10" s="15" customFormat="1" ht="24" hidden="1" customHeight="1" outlineLevel="1" x14ac:dyDescent="0.25">
      <c r="A13813" s="18">
        <v>1854</v>
      </c>
      <c r="B13813" s="6" t="s">
        <v>44</v>
      </c>
      <c r="C13813" s="38" t="s">
        <v>11830</v>
      </c>
      <c r="D13813" s="18">
        <v>2023</v>
      </c>
      <c r="E13813" s="18" t="s">
        <v>0</v>
      </c>
      <c r="F13813" s="41">
        <v>1</v>
      </c>
      <c r="G13813" s="41">
        <v>1</v>
      </c>
      <c r="H13813" s="41">
        <v>39.372230000000002</v>
      </c>
      <c r="I13813" s="221"/>
      <c r="J13813" s="221"/>
    </row>
    <row r="13814" spans="1:10" s="15" customFormat="1" ht="24" hidden="1" customHeight="1" outlineLevel="1" x14ac:dyDescent="0.25">
      <c r="A13814" s="18">
        <v>6332</v>
      </c>
      <c r="B13814" s="6" t="s">
        <v>44</v>
      </c>
      <c r="C13814" s="38" t="s">
        <v>11831</v>
      </c>
      <c r="D13814" s="18">
        <v>2023</v>
      </c>
      <c r="E13814" s="18" t="s">
        <v>0</v>
      </c>
      <c r="F13814" s="41">
        <v>1</v>
      </c>
      <c r="G13814" s="41">
        <v>15</v>
      </c>
      <c r="H13814" s="41">
        <v>38.61365</v>
      </c>
      <c r="I13814" s="221"/>
      <c r="J13814" s="221"/>
    </row>
    <row r="13815" spans="1:10" s="15" customFormat="1" ht="24" hidden="1" customHeight="1" outlineLevel="1" x14ac:dyDescent="0.25">
      <c r="A13815" s="18">
        <v>1827</v>
      </c>
      <c r="B13815" s="6" t="s">
        <v>44</v>
      </c>
      <c r="C13815" s="38" t="s">
        <v>11832</v>
      </c>
      <c r="D13815" s="18">
        <v>2023</v>
      </c>
      <c r="E13815" s="18" t="s">
        <v>0</v>
      </c>
      <c r="F13815" s="41">
        <v>1</v>
      </c>
      <c r="G13815" s="41">
        <v>5</v>
      </c>
      <c r="H13815" s="41">
        <v>38.613630000000001</v>
      </c>
      <c r="I13815" s="221"/>
      <c r="J13815" s="221"/>
    </row>
    <row r="13816" spans="1:10" s="15" customFormat="1" ht="24" hidden="1" customHeight="1" outlineLevel="1" x14ac:dyDescent="0.25">
      <c r="A13816" s="18">
        <v>6333</v>
      </c>
      <c r="B13816" s="6" t="s">
        <v>44</v>
      </c>
      <c r="C13816" s="38" t="s">
        <v>11833</v>
      </c>
      <c r="D13816" s="18">
        <v>2023</v>
      </c>
      <c r="E13816" s="18" t="s">
        <v>0</v>
      </c>
      <c r="F13816" s="41">
        <v>1</v>
      </c>
      <c r="G13816" s="41">
        <v>12</v>
      </c>
      <c r="H13816" s="41">
        <v>39.667290000000001</v>
      </c>
      <c r="I13816" s="221"/>
      <c r="J13816" s="221"/>
    </row>
    <row r="13817" spans="1:10" s="15" customFormat="1" ht="24" hidden="1" customHeight="1" outlineLevel="1" x14ac:dyDescent="0.25">
      <c r="A13817" s="18">
        <v>6334</v>
      </c>
      <c r="B13817" s="6" t="s">
        <v>44</v>
      </c>
      <c r="C13817" s="38" t="s">
        <v>11834</v>
      </c>
      <c r="D13817" s="18">
        <v>2023</v>
      </c>
      <c r="E13817" s="18" t="s">
        <v>0</v>
      </c>
      <c r="F13817" s="41">
        <v>1</v>
      </c>
      <c r="G13817" s="41">
        <v>12</v>
      </c>
      <c r="H13817" s="41">
        <v>39.66807</v>
      </c>
      <c r="I13817" s="221"/>
      <c r="J13817" s="221"/>
    </row>
    <row r="13818" spans="1:10" s="15" customFormat="1" ht="24" hidden="1" customHeight="1" outlineLevel="1" x14ac:dyDescent="0.25">
      <c r="A13818" s="18">
        <v>665</v>
      </c>
      <c r="B13818" s="6" t="s">
        <v>44</v>
      </c>
      <c r="C13818" s="38" t="s">
        <v>11835</v>
      </c>
      <c r="D13818" s="18">
        <v>2023</v>
      </c>
      <c r="E13818" s="18" t="s">
        <v>0</v>
      </c>
      <c r="F13818" s="41">
        <v>1</v>
      </c>
      <c r="G13818" s="41">
        <v>15</v>
      </c>
      <c r="H13818" s="41">
        <v>43.739460000000001</v>
      </c>
      <c r="I13818" s="221"/>
      <c r="J13818" s="221"/>
    </row>
    <row r="13819" spans="1:10" s="15" customFormat="1" ht="24" hidden="1" customHeight="1" outlineLevel="1" x14ac:dyDescent="0.25">
      <c r="A13819" s="18">
        <v>3761</v>
      </c>
      <c r="B13819" s="6" t="s">
        <v>44</v>
      </c>
      <c r="C13819" s="38" t="s">
        <v>11836</v>
      </c>
      <c r="D13819" s="18">
        <v>2023</v>
      </c>
      <c r="E13819" s="18" t="s">
        <v>0</v>
      </c>
      <c r="F13819" s="41">
        <v>1</v>
      </c>
      <c r="G13819" s="41">
        <v>15</v>
      </c>
      <c r="H13819" s="41">
        <v>41.460999999999999</v>
      </c>
      <c r="I13819" s="221"/>
      <c r="J13819" s="221"/>
    </row>
    <row r="13820" spans="1:10" s="15" customFormat="1" ht="24" hidden="1" customHeight="1" outlineLevel="1" x14ac:dyDescent="0.25">
      <c r="A13820" s="18">
        <v>717</v>
      </c>
      <c r="B13820" s="4" t="s">
        <v>44</v>
      </c>
      <c r="C13820" s="38" t="s">
        <v>11837</v>
      </c>
      <c r="D13820" s="18">
        <v>2023</v>
      </c>
      <c r="E13820" s="18" t="s">
        <v>0</v>
      </c>
      <c r="F13820" s="41">
        <v>1</v>
      </c>
      <c r="G13820" s="41">
        <v>15</v>
      </c>
      <c r="H13820" s="41">
        <v>36.093150000000001</v>
      </c>
      <c r="I13820" s="221"/>
      <c r="J13820" s="221"/>
    </row>
    <row r="13821" spans="1:10" s="15" customFormat="1" ht="24" hidden="1" customHeight="1" outlineLevel="1" x14ac:dyDescent="0.25">
      <c r="A13821" s="18">
        <v>3755</v>
      </c>
      <c r="B13821" s="4" t="s">
        <v>44</v>
      </c>
      <c r="C13821" s="38" t="s">
        <v>11838</v>
      </c>
      <c r="D13821" s="18">
        <v>2023</v>
      </c>
      <c r="E13821" s="18" t="s">
        <v>0</v>
      </c>
      <c r="F13821" s="41">
        <v>1</v>
      </c>
      <c r="G13821" s="41">
        <v>15</v>
      </c>
      <c r="H13821" s="41">
        <v>35.359369999999998</v>
      </c>
      <c r="I13821" s="221"/>
      <c r="J13821" s="221"/>
    </row>
    <row r="13822" spans="1:10" s="15" customFormat="1" ht="24" hidden="1" customHeight="1" outlineLevel="1" x14ac:dyDescent="0.25">
      <c r="A13822" s="18">
        <v>3741</v>
      </c>
      <c r="B13822" s="4" t="s">
        <v>44</v>
      </c>
      <c r="C13822" s="38" t="s">
        <v>11839</v>
      </c>
      <c r="D13822" s="18">
        <v>2023</v>
      </c>
      <c r="E13822" s="18" t="s">
        <v>0</v>
      </c>
      <c r="F13822" s="41">
        <v>1</v>
      </c>
      <c r="G13822" s="41">
        <v>15</v>
      </c>
      <c r="H13822" s="41">
        <v>36.093150000000001</v>
      </c>
      <c r="I13822" s="221"/>
      <c r="J13822" s="221"/>
    </row>
    <row r="13823" spans="1:10" s="15" customFormat="1" ht="24" hidden="1" customHeight="1" outlineLevel="1" x14ac:dyDescent="0.25">
      <c r="A13823" s="18">
        <v>3733</v>
      </c>
      <c r="B13823" s="4" t="s">
        <v>44</v>
      </c>
      <c r="C13823" s="38" t="s">
        <v>11840</v>
      </c>
      <c r="D13823" s="18">
        <v>2023</v>
      </c>
      <c r="E13823" s="18" t="s">
        <v>0</v>
      </c>
      <c r="F13823" s="41">
        <v>1</v>
      </c>
      <c r="G13823" s="41">
        <v>15</v>
      </c>
      <c r="H13823" s="41">
        <v>36.093140000000005</v>
      </c>
      <c r="I13823" s="221"/>
      <c r="J13823" s="221"/>
    </row>
    <row r="13824" spans="1:10" s="15" customFormat="1" ht="24" hidden="1" customHeight="1" outlineLevel="1" x14ac:dyDescent="0.25">
      <c r="A13824" s="18">
        <v>705</v>
      </c>
      <c r="B13824" s="4" t="s">
        <v>44</v>
      </c>
      <c r="C13824" s="38" t="s">
        <v>11841</v>
      </c>
      <c r="D13824" s="18">
        <v>2023</v>
      </c>
      <c r="E13824" s="18" t="s">
        <v>0</v>
      </c>
      <c r="F13824" s="41">
        <v>1</v>
      </c>
      <c r="G13824" s="41">
        <v>10</v>
      </c>
      <c r="H13824" s="41">
        <v>35.359379999999994</v>
      </c>
      <c r="I13824" s="221"/>
      <c r="J13824" s="221"/>
    </row>
    <row r="13825" spans="1:10" s="15" customFormat="1" ht="24" hidden="1" customHeight="1" outlineLevel="1" x14ac:dyDescent="0.25">
      <c r="A13825" s="18">
        <v>6336</v>
      </c>
      <c r="B13825" s="4" t="s">
        <v>44</v>
      </c>
      <c r="C13825" s="38" t="s">
        <v>11842</v>
      </c>
      <c r="D13825" s="18">
        <v>2023</v>
      </c>
      <c r="E13825" s="18" t="s">
        <v>0</v>
      </c>
      <c r="F13825" s="41">
        <v>1</v>
      </c>
      <c r="G13825" s="41">
        <v>15</v>
      </c>
      <c r="H13825" s="41">
        <v>36.093140000000005</v>
      </c>
      <c r="I13825" s="221"/>
      <c r="J13825" s="221"/>
    </row>
    <row r="13826" spans="1:10" s="15" customFormat="1" ht="24" hidden="1" customHeight="1" outlineLevel="1" x14ac:dyDescent="0.25">
      <c r="A13826" s="18">
        <v>3728</v>
      </c>
      <c r="B13826" s="4" t="s">
        <v>44</v>
      </c>
      <c r="C13826" s="38" t="s">
        <v>11843</v>
      </c>
      <c r="D13826" s="18">
        <v>2023</v>
      </c>
      <c r="E13826" s="18" t="s">
        <v>0</v>
      </c>
      <c r="F13826" s="41">
        <v>1</v>
      </c>
      <c r="G13826" s="41">
        <v>15</v>
      </c>
      <c r="H13826" s="41">
        <v>35.359379999999994</v>
      </c>
      <c r="I13826" s="221"/>
      <c r="J13826" s="221"/>
    </row>
    <row r="13827" spans="1:10" s="15" customFormat="1" ht="24" hidden="1" customHeight="1" outlineLevel="1" x14ac:dyDescent="0.25">
      <c r="A13827" s="18">
        <v>3724</v>
      </c>
      <c r="B13827" s="4" t="s">
        <v>44</v>
      </c>
      <c r="C13827" s="38" t="s">
        <v>11844</v>
      </c>
      <c r="D13827" s="18">
        <v>2023</v>
      </c>
      <c r="E13827" s="18" t="s">
        <v>0</v>
      </c>
      <c r="F13827" s="41">
        <v>1</v>
      </c>
      <c r="G13827" s="41">
        <v>15</v>
      </c>
      <c r="H13827" s="41">
        <v>36.093140000000005</v>
      </c>
      <c r="I13827" s="221"/>
      <c r="J13827" s="221"/>
    </row>
    <row r="13828" spans="1:10" s="15" customFormat="1" ht="24" hidden="1" customHeight="1" outlineLevel="1" x14ac:dyDescent="0.25">
      <c r="A13828" s="18">
        <v>3714</v>
      </c>
      <c r="B13828" s="4" t="s">
        <v>44</v>
      </c>
      <c r="C13828" s="38" t="s">
        <v>11845</v>
      </c>
      <c r="D13828" s="18">
        <v>2023</v>
      </c>
      <c r="E13828" s="18" t="s">
        <v>0</v>
      </c>
      <c r="F13828" s="41">
        <v>1</v>
      </c>
      <c r="G13828" s="41">
        <v>15</v>
      </c>
      <c r="H13828" s="41">
        <v>35.359379999999994</v>
      </c>
      <c r="I13828" s="221"/>
      <c r="J13828" s="221"/>
    </row>
    <row r="13829" spans="1:10" s="15" customFormat="1" ht="24" hidden="1" customHeight="1" outlineLevel="1" x14ac:dyDescent="0.25">
      <c r="A13829" s="18">
        <v>3709</v>
      </c>
      <c r="B13829" s="4" t="s">
        <v>44</v>
      </c>
      <c r="C13829" s="38" t="s">
        <v>11846</v>
      </c>
      <c r="D13829" s="18">
        <v>2023</v>
      </c>
      <c r="E13829" s="18" t="s">
        <v>0</v>
      </c>
      <c r="F13829" s="41">
        <v>1</v>
      </c>
      <c r="G13829" s="41">
        <v>15</v>
      </c>
      <c r="H13829" s="41">
        <v>35.359369999999998</v>
      </c>
      <c r="I13829" s="221"/>
      <c r="J13829" s="221"/>
    </row>
    <row r="13830" spans="1:10" s="15" customFormat="1" ht="24" hidden="1" customHeight="1" outlineLevel="1" x14ac:dyDescent="0.25">
      <c r="A13830" s="18">
        <v>3708</v>
      </c>
      <c r="B13830" s="4" t="s">
        <v>44</v>
      </c>
      <c r="C13830" s="38" t="s">
        <v>11847</v>
      </c>
      <c r="D13830" s="18">
        <v>2023</v>
      </c>
      <c r="E13830" s="18" t="s">
        <v>0</v>
      </c>
      <c r="F13830" s="41">
        <v>1</v>
      </c>
      <c r="G13830" s="41">
        <v>15</v>
      </c>
      <c r="H13830" s="41">
        <v>36.093150000000001</v>
      </c>
      <c r="I13830" s="221"/>
      <c r="J13830" s="221"/>
    </row>
    <row r="13831" spans="1:10" s="15" customFormat="1" ht="24" hidden="1" customHeight="1" outlineLevel="1" x14ac:dyDescent="0.25">
      <c r="A13831" s="18">
        <v>3716</v>
      </c>
      <c r="B13831" s="4" t="s">
        <v>44</v>
      </c>
      <c r="C13831" s="38" t="s">
        <v>11848</v>
      </c>
      <c r="D13831" s="18">
        <v>2023</v>
      </c>
      <c r="E13831" s="18" t="s">
        <v>0</v>
      </c>
      <c r="F13831" s="41">
        <v>1</v>
      </c>
      <c r="G13831" s="41">
        <v>15</v>
      </c>
      <c r="H13831" s="41">
        <v>35.359369999999998</v>
      </c>
      <c r="I13831" s="221"/>
      <c r="J13831" s="221"/>
    </row>
    <row r="13832" spans="1:10" s="15" customFormat="1" ht="24" hidden="1" customHeight="1" outlineLevel="1" x14ac:dyDescent="0.25">
      <c r="A13832" s="18">
        <v>3706</v>
      </c>
      <c r="B13832" s="4" t="s">
        <v>44</v>
      </c>
      <c r="C13832" s="38" t="s">
        <v>11849</v>
      </c>
      <c r="D13832" s="18">
        <v>2023</v>
      </c>
      <c r="E13832" s="18" t="s">
        <v>0</v>
      </c>
      <c r="F13832" s="41">
        <v>1</v>
      </c>
      <c r="G13832" s="41">
        <v>15</v>
      </c>
      <c r="H13832" s="41">
        <v>37.560749999999999</v>
      </c>
      <c r="I13832" s="221"/>
      <c r="J13832" s="221"/>
    </row>
    <row r="13833" spans="1:10" s="15" customFormat="1" ht="24" hidden="1" customHeight="1" outlineLevel="1" x14ac:dyDescent="0.25">
      <c r="A13833" s="18">
        <v>3705</v>
      </c>
      <c r="B13833" s="4" t="s">
        <v>44</v>
      </c>
      <c r="C13833" s="38" t="s">
        <v>11850</v>
      </c>
      <c r="D13833" s="18">
        <v>2023</v>
      </c>
      <c r="E13833" s="18" t="s">
        <v>0</v>
      </c>
      <c r="F13833" s="41">
        <v>1</v>
      </c>
      <c r="G13833" s="41">
        <v>15</v>
      </c>
      <c r="H13833" s="41">
        <v>36.093140000000005</v>
      </c>
      <c r="I13833" s="221"/>
      <c r="J13833" s="221"/>
    </row>
    <row r="13834" spans="1:10" s="15" customFormat="1" ht="24" hidden="1" customHeight="1" outlineLevel="1" x14ac:dyDescent="0.25">
      <c r="A13834" s="18">
        <v>3693</v>
      </c>
      <c r="B13834" s="4" t="s">
        <v>44</v>
      </c>
      <c r="C13834" s="38" t="s">
        <v>11851</v>
      </c>
      <c r="D13834" s="18">
        <v>2023</v>
      </c>
      <c r="E13834" s="18" t="s">
        <v>0</v>
      </c>
      <c r="F13834" s="41">
        <v>1</v>
      </c>
      <c r="G13834" s="41">
        <v>15</v>
      </c>
      <c r="H13834" s="41">
        <v>35.359379999999994</v>
      </c>
      <c r="I13834" s="221"/>
      <c r="J13834" s="221"/>
    </row>
    <row r="13835" spans="1:10" s="15" customFormat="1" ht="24" hidden="1" customHeight="1" outlineLevel="1" x14ac:dyDescent="0.25">
      <c r="A13835" s="18">
        <v>3704</v>
      </c>
      <c r="B13835" s="4" t="s">
        <v>44</v>
      </c>
      <c r="C13835" s="38" t="s">
        <v>11852</v>
      </c>
      <c r="D13835" s="18">
        <v>2023</v>
      </c>
      <c r="E13835" s="18" t="s">
        <v>0</v>
      </c>
      <c r="F13835" s="41">
        <v>1</v>
      </c>
      <c r="G13835" s="41">
        <v>15</v>
      </c>
      <c r="H13835" s="41">
        <v>35.359369999999991</v>
      </c>
      <c r="I13835" s="221"/>
      <c r="J13835" s="221"/>
    </row>
    <row r="13836" spans="1:10" s="15" customFormat="1" ht="24" hidden="1" customHeight="1" outlineLevel="1" x14ac:dyDescent="0.25">
      <c r="A13836" s="18">
        <v>3681</v>
      </c>
      <c r="B13836" s="4" t="s">
        <v>44</v>
      </c>
      <c r="C13836" s="38" t="s">
        <v>11853</v>
      </c>
      <c r="D13836" s="18">
        <v>2023</v>
      </c>
      <c r="E13836" s="18" t="s">
        <v>0</v>
      </c>
      <c r="F13836" s="41">
        <v>1</v>
      </c>
      <c r="G13836" s="41">
        <v>15</v>
      </c>
      <c r="H13836" s="41">
        <v>35.359379999999994</v>
      </c>
      <c r="I13836" s="221"/>
      <c r="J13836" s="221"/>
    </row>
    <row r="13837" spans="1:10" s="15" customFormat="1" ht="24" hidden="1" customHeight="1" outlineLevel="1" x14ac:dyDescent="0.25">
      <c r="A13837" s="18">
        <v>3667</v>
      </c>
      <c r="B13837" s="4" t="s">
        <v>44</v>
      </c>
      <c r="C13837" s="38" t="s">
        <v>11854</v>
      </c>
      <c r="D13837" s="18">
        <v>2023</v>
      </c>
      <c r="E13837" s="18" t="s">
        <v>0</v>
      </c>
      <c r="F13837" s="41">
        <v>1</v>
      </c>
      <c r="G13837" s="41">
        <v>10</v>
      </c>
      <c r="H13837" s="41">
        <v>35.359369999999991</v>
      </c>
      <c r="I13837" s="221"/>
      <c r="J13837" s="221"/>
    </row>
    <row r="13838" spans="1:10" s="15" customFormat="1" ht="24" hidden="1" customHeight="1" outlineLevel="1" x14ac:dyDescent="0.25">
      <c r="A13838" s="18">
        <v>3676</v>
      </c>
      <c r="B13838" s="4" t="s">
        <v>44</v>
      </c>
      <c r="C13838" s="38" t="s">
        <v>11855</v>
      </c>
      <c r="D13838" s="18">
        <v>2023</v>
      </c>
      <c r="E13838" s="18" t="s">
        <v>0</v>
      </c>
      <c r="F13838" s="41">
        <v>1</v>
      </c>
      <c r="G13838" s="41">
        <v>15</v>
      </c>
      <c r="H13838" s="41">
        <v>37.560749999999999</v>
      </c>
      <c r="I13838" s="221"/>
      <c r="J13838" s="221"/>
    </row>
    <row r="13839" spans="1:10" s="15" customFormat="1" ht="24" hidden="1" customHeight="1" outlineLevel="1" x14ac:dyDescent="0.25">
      <c r="A13839" s="18">
        <v>3666</v>
      </c>
      <c r="B13839" s="4" t="s">
        <v>44</v>
      </c>
      <c r="C13839" s="38" t="s">
        <v>11856</v>
      </c>
      <c r="D13839" s="18">
        <v>2023</v>
      </c>
      <c r="E13839" s="18" t="s">
        <v>0</v>
      </c>
      <c r="F13839" s="41">
        <v>1</v>
      </c>
      <c r="G13839" s="41">
        <v>15</v>
      </c>
      <c r="H13839" s="41">
        <v>41.460989999999995</v>
      </c>
      <c r="I13839" s="221"/>
      <c r="J13839" s="221"/>
    </row>
    <row r="13840" spans="1:10" s="15" customFormat="1" ht="24" hidden="1" customHeight="1" outlineLevel="1" x14ac:dyDescent="0.25">
      <c r="A13840" s="18">
        <v>3478</v>
      </c>
      <c r="B13840" s="4" t="s">
        <v>44</v>
      </c>
      <c r="C13840" s="38" t="s">
        <v>11857</v>
      </c>
      <c r="D13840" s="18">
        <v>2023</v>
      </c>
      <c r="E13840" s="18" t="s">
        <v>0</v>
      </c>
      <c r="F13840" s="41">
        <v>1</v>
      </c>
      <c r="G13840" s="41">
        <v>10</v>
      </c>
      <c r="H13840" s="41">
        <v>36.826949999999997</v>
      </c>
      <c r="I13840" s="221"/>
      <c r="J13840" s="221"/>
    </row>
    <row r="13841" spans="1:10" s="15" customFormat="1" ht="24" hidden="1" customHeight="1" outlineLevel="1" x14ac:dyDescent="0.25">
      <c r="A13841" s="18">
        <v>3485</v>
      </c>
      <c r="B13841" s="4" t="s">
        <v>44</v>
      </c>
      <c r="C13841" s="38" t="s">
        <v>11858</v>
      </c>
      <c r="D13841" s="18">
        <v>2023</v>
      </c>
      <c r="E13841" s="18" t="s">
        <v>0</v>
      </c>
      <c r="F13841" s="41">
        <v>1</v>
      </c>
      <c r="G13841" s="41">
        <v>15</v>
      </c>
      <c r="H13841" s="41">
        <v>36.093140000000005</v>
      </c>
      <c r="I13841" s="221"/>
      <c r="J13841" s="221"/>
    </row>
    <row r="13842" spans="1:10" s="15" customFormat="1" ht="24" hidden="1" customHeight="1" outlineLevel="1" x14ac:dyDescent="0.25">
      <c r="A13842" s="18">
        <v>868</v>
      </c>
      <c r="B13842" s="4" t="s">
        <v>44</v>
      </c>
      <c r="C13842" s="38" t="s">
        <v>11859</v>
      </c>
      <c r="D13842" s="18">
        <v>2023</v>
      </c>
      <c r="E13842" s="18" t="s">
        <v>0</v>
      </c>
      <c r="F13842" s="41">
        <v>1</v>
      </c>
      <c r="G13842" s="41">
        <v>15</v>
      </c>
      <c r="H13842" s="41">
        <v>36.093150000000001</v>
      </c>
      <c r="I13842" s="221"/>
      <c r="J13842" s="221"/>
    </row>
    <row r="13843" spans="1:10" s="15" customFormat="1" ht="24" hidden="1" customHeight="1" outlineLevel="1" x14ac:dyDescent="0.25">
      <c r="A13843" s="18">
        <v>924</v>
      </c>
      <c r="B13843" s="4" t="s">
        <v>44</v>
      </c>
      <c r="C13843" s="38" t="s">
        <v>11860</v>
      </c>
      <c r="D13843" s="18">
        <v>2023</v>
      </c>
      <c r="E13843" s="18" t="s">
        <v>0</v>
      </c>
      <c r="F13843" s="41">
        <v>1</v>
      </c>
      <c r="G13843" s="41">
        <v>15</v>
      </c>
      <c r="H13843" s="41">
        <v>35.359369999999991</v>
      </c>
      <c r="I13843" s="221"/>
      <c r="J13843" s="221"/>
    </row>
    <row r="13844" spans="1:10" s="15" customFormat="1" ht="24" hidden="1" customHeight="1" outlineLevel="1" x14ac:dyDescent="0.25">
      <c r="A13844" s="18">
        <v>6363</v>
      </c>
      <c r="B13844" s="4" t="s">
        <v>44</v>
      </c>
      <c r="C13844" s="38" t="s">
        <v>11861</v>
      </c>
      <c r="D13844" s="18">
        <v>2023</v>
      </c>
      <c r="E13844" s="18" t="s">
        <v>0</v>
      </c>
      <c r="F13844" s="41">
        <v>1</v>
      </c>
      <c r="G13844" s="41">
        <v>7.5</v>
      </c>
      <c r="H13844" s="41">
        <v>36.052909999999997</v>
      </c>
      <c r="I13844" s="221"/>
      <c r="J13844" s="221"/>
    </row>
    <row r="13845" spans="1:10" s="15" customFormat="1" ht="24" hidden="1" customHeight="1" outlineLevel="1" x14ac:dyDescent="0.25">
      <c r="A13845" s="18">
        <v>6364</v>
      </c>
      <c r="B13845" s="4" t="s">
        <v>44</v>
      </c>
      <c r="C13845" s="38" t="s">
        <v>11862</v>
      </c>
      <c r="D13845" s="18">
        <v>2023</v>
      </c>
      <c r="E13845" s="18" t="s">
        <v>0</v>
      </c>
      <c r="F13845" s="41">
        <v>1</v>
      </c>
      <c r="G13845" s="41">
        <v>5</v>
      </c>
      <c r="H13845" s="41">
        <v>36.052900000000001</v>
      </c>
      <c r="I13845" s="221"/>
      <c r="J13845" s="221"/>
    </row>
    <row r="13846" spans="1:10" s="15" customFormat="1" ht="24" hidden="1" customHeight="1" outlineLevel="1" x14ac:dyDescent="0.25">
      <c r="A13846" s="18">
        <v>6365</v>
      </c>
      <c r="B13846" s="4" t="s">
        <v>44</v>
      </c>
      <c r="C13846" s="38" t="s">
        <v>11863</v>
      </c>
      <c r="D13846" s="18">
        <v>2023</v>
      </c>
      <c r="E13846" s="18" t="s">
        <v>0</v>
      </c>
      <c r="F13846" s="41">
        <v>1</v>
      </c>
      <c r="G13846" s="41">
        <v>15</v>
      </c>
      <c r="H13846" s="41">
        <v>36.052909999999997</v>
      </c>
      <c r="I13846" s="221"/>
      <c r="J13846" s="221"/>
    </row>
    <row r="13847" spans="1:10" s="15" customFormat="1" ht="24" hidden="1" customHeight="1" outlineLevel="1" x14ac:dyDescent="0.25">
      <c r="A13847" s="18">
        <v>1304</v>
      </c>
      <c r="B13847" s="4" t="s">
        <v>44</v>
      </c>
      <c r="C13847" s="38" t="s">
        <v>11864</v>
      </c>
      <c r="D13847" s="18">
        <v>2023</v>
      </c>
      <c r="E13847" s="18" t="s">
        <v>0</v>
      </c>
      <c r="F13847" s="41">
        <v>1</v>
      </c>
      <c r="G13847" s="41">
        <v>5</v>
      </c>
      <c r="H13847" s="41">
        <v>35.319139999999997</v>
      </c>
      <c r="I13847" s="221"/>
      <c r="J13847" s="221"/>
    </row>
    <row r="13848" spans="1:10" s="15" customFormat="1" ht="24" hidden="1" customHeight="1" outlineLevel="1" x14ac:dyDescent="0.25">
      <c r="A13848" s="18">
        <v>6366</v>
      </c>
      <c r="B13848" s="4" t="s">
        <v>44</v>
      </c>
      <c r="C13848" s="38" t="s">
        <v>11865</v>
      </c>
      <c r="D13848" s="18">
        <v>2023</v>
      </c>
      <c r="E13848" s="18" t="s">
        <v>0</v>
      </c>
      <c r="F13848" s="41">
        <v>1</v>
      </c>
      <c r="G13848" s="41">
        <v>5</v>
      </c>
      <c r="H13848" s="41">
        <v>43.699220000000004</v>
      </c>
      <c r="I13848" s="221"/>
      <c r="J13848" s="221"/>
    </row>
    <row r="13849" spans="1:10" s="15" customFormat="1" ht="24" hidden="1" customHeight="1" outlineLevel="1" x14ac:dyDescent="0.25">
      <c r="A13849" s="18">
        <v>6367</v>
      </c>
      <c r="B13849" s="4" t="s">
        <v>44</v>
      </c>
      <c r="C13849" s="38" t="s">
        <v>11866</v>
      </c>
      <c r="D13849" s="18">
        <v>2023</v>
      </c>
      <c r="E13849" s="18" t="s">
        <v>0</v>
      </c>
      <c r="F13849" s="41">
        <v>1</v>
      </c>
      <c r="G13849" s="41">
        <v>5</v>
      </c>
      <c r="H13849" s="41">
        <v>35.319139999999997</v>
      </c>
      <c r="I13849" s="221"/>
      <c r="J13849" s="221"/>
    </row>
    <row r="13850" spans="1:10" s="15" customFormat="1" ht="24" hidden="1" customHeight="1" outlineLevel="1" x14ac:dyDescent="0.25">
      <c r="A13850" s="18">
        <v>6368</v>
      </c>
      <c r="B13850" s="4" t="s">
        <v>44</v>
      </c>
      <c r="C13850" s="38" t="s">
        <v>11867</v>
      </c>
      <c r="D13850" s="18">
        <v>2023</v>
      </c>
      <c r="E13850" s="18" t="s">
        <v>0</v>
      </c>
      <c r="F13850" s="41">
        <v>1</v>
      </c>
      <c r="G13850" s="41">
        <v>10</v>
      </c>
      <c r="H13850" s="41">
        <v>36.052909999999997</v>
      </c>
      <c r="I13850" s="221"/>
      <c r="J13850" s="221"/>
    </row>
    <row r="13851" spans="1:10" s="15" customFormat="1" ht="24" hidden="1" customHeight="1" outlineLevel="1" x14ac:dyDescent="0.25">
      <c r="A13851" s="18">
        <v>6369</v>
      </c>
      <c r="B13851" s="4" t="s">
        <v>44</v>
      </c>
      <c r="C13851" s="38" t="s">
        <v>11868</v>
      </c>
      <c r="D13851" s="18">
        <v>2023</v>
      </c>
      <c r="E13851" s="18" t="s">
        <v>0</v>
      </c>
      <c r="F13851" s="41">
        <v>1</v>
      </c>
      <c r="G13851" s="41">
        <v>9</v>
      </c>
      <c r="H13851" s="41">
        <v>36.052790000000002</v>
      </c>
      <c r="I13851" s="221"/>
      <c r="J13851" s="221"/>
    </row>
    <row r="13852" spans="1:10" s="15" customFormat="1" ht="24" hidden="1" customHeight="1" outlineLevel="1" x14ac:dyDescent="0.25">
      <c r="A13852" s="18">
        <v>6370</v>
      </c>
      <c r="B13852" s="4" t="s">
        <v>44</v>
      </c>
      <c r="C13852" s="38" t="s">
        <v>11869</v>
      </c>
      <c r="D13852" s="18">
        <v>2023</v>
      </c>
      <c r="E13852" s="18" t="s">
        <v>0</v>
      </c>
      <c r="F13852" s="41">
        <v>1</v>
      </c>
      <c r="G13852" s="41">
        <v>15</v>
      </c>
      <c r="H13852" s="41">
        <v>35.319139999999997</v>
      </c>
      <c r="I13852" s="221"/>
      <c r="J13852" s="221"/>
    </row>
    <row r="13853" spans="1:10" s="15" customFormat="1" ht="24" hidden="1" customHeight="1" outlineLevel="1" x14ac:dyDescent="0.25">
      <c r="A13853" s="18">
        <v>6371</v>
      </c>
      <c r="B13853" s="4" t="s">
        <v>44</v>
      </c>
      <c r="C13853" s="38" t="s">
        <v>11870</v>
      </c>
      <c r="D13853" s="18">
        <v>2023</v>
      </c>
      <c r="E13853" s="18" t="s">
        <v>0</v>
      </c>
      <c r="F13853" s="41">
        <v>1</v>
      </c>
      <c r="G13853" s="41">
        <v>15</v>
      </c>
      <c r="H13853" s="41">
        <v>34.732129999999998</v>
      </c>
      <c r="I13853" s="221"/>
      <c r="J13853" s="221"/>
    </row>
    <row r="13854" spans="1:10" s="15" customFormat="1" ht="24" hidden="1" customHeight="1" outlineLevel="1" x14ac:dyDescent="0.25">
      <c r="A13854" s="18">
        <v>6372</v>
      </c>
      <c r="B13854" s="4" t="s">
        <v>44</v>
      </c>
      <c r="C13854" s="38" t="s">
        <v>11871</v>
      </c>
      <c r="D13854" s="18">
        <v>2023</v>
      </c>
      <c r="E13854" s="18" t="s">
        <v>0</v>
      </c>
      <c r="F13854" s="41">
        <v>1</v>
      </c>
      <c r="G13854" s="41">
        <v>10</v>
      </c>
      <c r="H13854" s="41">
        <v>36.052900000000001</v>
      </c>
      <c r="I13854" s="221"/>
      <c r="J13854" s="221"/>
    </row>
    <row r="13855" spans="1:10" s="15" customFormat="1" ht="24" hidden="1" customHeight="1" outlineLevel="1" x14ac:dyDescent="0.25">
      <c r="A13855" s="18">
        <v>1444</v>
      </c>
      <c r="B13855" s="4" t="s">
        <v>44</v>
      </c>
      <c r="C13855" s="38" t="s">
        <v>11872</v>
      </c>
      <c r="D13855" s="18">
        <v>2023</v>
      </c>
      <c r="E13855" s="18" t="s">
        <v>0</v>
      </c>
      <c r="F13855" s="41">
        <v>1</v>
      </c>
      <c r="G13855" s="41">
        <v>5</v>
      </c>
      <c r="H13855" s="41">
        <v>35.31915</v>
      </c>
      <c r="I13855" s="221"/>
      <c r="J13855" s="221"/>
    </row>
    <row r="13856" spans="1:10" s="15" customFormat="1" ht="24" hidden="1" customHeight="1" outlineLevel="1" x14ac:dyDescent="0.25">
      <c r="A13856" s="18">
        <v>6373</v>
      </c>
      <c r="B13856" s="4" t="s">
        <v>44</v>
      </c>
      <c r="C13856" s="38" t="s">
        <v>11873</v>
      </c>
      <c r="D13856" s="18">
        <v>2023</v>
      </c>
      <c r="E13856" s="18" t="s">
        <v>0</v>
      </c>
      <c r="F13856" s="41">
        <v>1</v>
      </c>
      <c r="G13856" s="41">
        <v>15</v>
      </c>
      <c r="H13856" s="41">
        <v>35.319139999999997</v>
      </c>
      <c r="I13856" s="221"/>
      <c r="J13856" s="221"/>
    </row>
    <row r="13857" spans="1:10" s="15" customFormat="1" ht="24" hidden="1" customHeight="1" outlineLevel="1" x14ac:dyDescent="0.25">
      <c r="A13857" s="18">
        <v>1459</v>
      </c>
      <c r="B13857" s="4" t="s">
        <v>44</v>
      </c>
      <c r="C13857" s="38" t="s">
        <v>11874</v>
      </c>
      <c r="D13857" s="18">
        <v>2023</v>
      </c>
      <c r="E13857" s="18" t="s">
        <v>0</v>
      </c>
      <c r="F13857" s="41">
        <v>1</v>
      </c>
      <c r="G13857" s="41">
        <v>10</v>
      </c>
      <c r="H13857" s="41">
        <v>39.142290000000003</v>
      </c>
      <c r="I13857" s="221"/>
      <c r="J13857" s="221"/>
    </row>
    <row r="13858" spans="1:10" s="15" customFormat="1" ht="24" hidden="1" customHeight="1" outlineLevel="1" x14ac:dyDescent="0.25">
      <c r="A13858" s="18">
        <v>6374</v>
      </c>
      <c r="B13858" s="4" t="s">
        <v>44</v>
      </c>
      <c r="C13858" s="38" t="s">
        <v>11875</v>
      </c>
      <c r="D13858" s="18">
        <v>2023</v>
      </c>
      <c r="E13858" s="18" t="s">
        <v>0</v>
      </c>
      <c r="F13858" s="41">
        <v>1</v>
      </c>
      <c r="G13858" s="41">
        <v>15</v>
      </c>
      <c r="H13858" s="41">
        <v>35.319139999999997</v>
      </c>
      <c r="I13858" s="221"/>
      <c r="J13858" s="221"/>
    </row>
    <row r="13859" spans="1:10" s="15" customFormat="1" ht="24" hidden="1" customHeight="1" outlineLevel="1" x14ac:dyDescent="0.25">
      <c r="A13859" s="18">
        <v>6375</v>
      </c>
      <c r="B13859" s="4" t="s">
        <v>44</v>
      </c>
      <c r="C13859" s="38" t="s">
        <v>11876</v>
      </c>
      <c r="D13859" s="18">
        <v>2023</v>
      </c>
      <c r="E13859" s="18" t="s">
        <v>0</v>
      </c>
      <c r="F13859" s="41">
        <v>1</v>
      </c>
      <c r="G13859" s="41">
        <v>15</v>
      </c>
      <c r="H13859" s="41">
        <v>36.052909999999997</v>
      </c>
      <c r="I13859" s="221"/>
      <c r="J13859" s="221"/>
    </row>
    <row r="13860" spans="1:10" s="15" customFormat="1" ht="24" hidden="1" customHeight="1" outlineLevel="1" x14ac:dyDescent="0.25">
      <c r="A13860" s="18">
        <v>6376</v>
      </c>
      <c r="B13860" s="4" t="s">
        <v>44</v>
      </c>
      <c r="C13860" s="38" t="s">
        <v>11877</v>
      </c>
      <c r="D13860" s="18">
        <v>2023</v>
      </c>
      <c r="E13860" s="18" t="s">
        <v>0</v>
      </c>
      <c r="F13860" s="41">
        <v>1</v>
      </c>
      <c r="G13860" s="41">
        <v>15</v>
      </c>
      <c r="H13860" s="41">
        <v>36.052900000000001</v>
      </c>
      <c r="I13860" s="221"/>
      <c r="J13860" s="221"/>
    </row>
    <row r="13861" spans="1:10" s="15" customFormat="1" ht="24" hidden="1" customHeight="1" outlineLevel="1" x14ac:dyDescent="0.25">
      <c r="A13861" s="18">
        <v>1859</v>
      </c>
      <c r="B13861" s="4" t="s">
        <v>44</v>
      </c>
      <c r="C13861" s="38" t="s">
        <v>11878</v>
      </c>
      <c r="D13861" s="18">
        <v>2023</v>
      </c>
      <c r="E13861" s="18" t="s">
        <v>0</v>
      </c>
      <c r="F13861" s="41">
        <v>1</v>
      </c>
      <c r="G13861" s="41">
        <v>1</v>
      </c>
      <c r="H13861" s="41">
        <v>35.319139999999997</v>
      </c>
      <c r="I13861" s="221"/>
      <c r="J13861" s="221"/>
    </row>
    <row r="13862" spans="1:10" s="15" customFormat="1" ht="24" hidden="1" customHeight="1" outlineLevel="1" x14ac:dyDescent="0.25">
      <c r="A13862" s="18">
        <v>6377</v>
      </c>
      <c r="B13862" s="4" t="s">
        <v>44</v>
      </c>
      <c r="C13862" s="38" t="s">
        <v>11879</v>
      </c>
      <c r="D13862" s="18">
        <v>2023</v>
      </c>
      <c r="E13862" s="18" t="s">
        <v>0</v>
      </c>
      <c r="F13862" s="41">
        <v>1</v>
      </c>
      <c r="G13862" s="41">
        <v>15</v>
      </c>
      <c r="H13862" s="41">
        <v>36.052909999999997</v>
      </c>
      <c r="I13862" s="221"/>
      <c r="J13862" s="221"/>
    </row>
    <row r="13863" spans="1:10" s="15" customFormat="1" ht="24" hidden="1" customHeight="1" outlineLevel="1" x14ac:dyDescent="0.25">
      <c r="A13863" s="18">
        <v>6378</v>
      </c>
      <c r="B13863" s="4" t="s">
        <v>44</v>
      </c>
      <c r="C13863" s="38" t="s">
        <v>11880</v>
      </c>
      <c r="D13863" s="18">
        <v>2023</v>
      </c>
      <c r="E13863" s="18" t="s">
        <v>0</v>
      </c>
      <c r="F13863" s="41">
        <v>1</v>
      </c>
      <c r="G13863" s="41">
        <v>10</v>
      </c>
      <c r="H13863" s="41">
        <v>35.319139999999997</v>
      </c>
      <c r="I13863" s="221"/>
      <c r="J13863" s="221"/>
    </row>
    <row r="13864" spans="1:10" s="15" customFormat="1" ht="24" hidden="1" customHeight="1" outlineLevel="1" x14ac:dyDescent="0.25">
      <c r="A13864" s="18">
        <v>6379</v>
      </c>
      <c r="B13864" s="4" t="s">
        <v>44</v>
      </c>
      <c r="C13864" s="38" t="s">
        <v>11881</v>
      </c>
      <c r="D13864" s="18">
        <v>2023</v>
      </c>
      <c r="E13864" s="18" t="s">
        <v>0</v>
      </c>
      <c r="F13864" s="41">
        <v>1</v>
      </c>
      <c r="G13864" s="41">
        <v>15</v>
      </c>
      <c r="H13864" s="41">
        <v>35.31915</v>
      </c>
      <c r="I13864" s="221"/>
      <c r="J13864" s="221"/>
    </row>
    <row r="13865" spans="1:10" s="15" customFormat="1" ht="24" hidden="1" customHeight="1" outlineLevel="1" x14ac:dyDescent="0.25">
      <c r="A13865" s="18">
        <v>6380</v>
      </c>
      <c r="B13865" s="4" t="s">
        <v>44</v>
      </c>
      <c r="C13865" s="38" t="s">
        <v>11882</v>
      </c>
      <c r="D13865" s="18">
        <v>2023</v>
      </c>
      <c r="E13865" s="18" t="s">
        <v>0</v>
      </c>
      <c r="F13865" s="41">
        <v>1</v>
      </c>
      <c r="G13865" s="41">
        <v>15</v>
      </c>
      <c r="H13865" s="41">
        <v>36.052900000000001</v>
      </c>
      <c r="I13865" s="221"/>
      <c r="J13865" s="221"/>
    </row>
    <row r="13866" spans="1:10" s="15" customFormat="1" ht="24" hidden="1" customHeight="1" outlineLevel="1" x14ac:dyDescent="0.25">
      <c r="A13866" s="18">
        <v>6381</v>
      </c>
      <c r="B13866" s="4" t="s">
        <v>44</v>
      </c>
      <c r="C13866" s="38" t="s">
        <v>11883</v>
      </c>
      <c r="D13866" s="18">
        <v>2023</v>
      </c>
      <c r="E13866" s="18" t="s">
        <v>0</v>
      </c>
      <c r="F13866" s="41">
        <v>1</v>
      </c>
      <c r="G13866" s="41">
        <v>12</v>
      </c>
      <c r="H13866" s="41">
        <v>35.31915</v>
      </c>
      <c r="I13866" s="221"/>
      <c r="J13866" s="221"/>
    </row>
    <row r="13867" spans="1:10" s="15" customFormat="1" ht="24" hidden="1" customHeight="1" outlineLevel="1" x14ac:dyDescent="0.25">
      <c r="A13867" s="18">
        <v>1951</v>
      </c>
      <c r="B13867" s="4" t="s">
        <v>44</v>
      </c>
      <c r="C13867" s="38" t="s">
        <v>11884</v>
      </c>
      <c r="D13867" s="18">
        <v>2023</v>
      </c>
      <c r="E13867" s="18" t="s">
        <v>0</v>
      </c>
      <c r="F13867" s="41">
        <v>1</v>
      </c>
      <c r="G13867" s="41">
        <v>5</v>
      </c>
      <c r="H13867" s="41">
        <v>35.319139999999997</v>
      </c>
      <c r="I13867" s="221"/>
      <c r="J13867" s="221"/>
    </row>
    <row r="13868" spans="1:10" s="15" customFormat="1" ht="24" hidden="1" customHeight="1" outlineLevel="1" x14ac:dyDescent="0.25">
      <c r="A13868" s="18">
        <v>3472</v>
      </c>
      <c r="B13868" s="4" t="s">
        <v>44</v>
      </c>
      <c r="C13868" s="38" t="s">
        <v>11885</v>
      </c>
      <c r="D13868" s="18">
        <v>2023</v>
      </c>
      <c r="E13868" s="18" t="s">
        <v>0</v>
      </c>
      <c r="F13868" s="41">
        <v>1</v>
      </c>
      <c r="G13868" s="41">
        <v>15</v>
      </c>
      <c r="H13868" s="41">
        <v>39.189399999999992</v>
      </c>
      <c r="I13868" s="221"/>
      <c r="J13868" s="221"/>
    </row>
    <row r="13869" spans="1:10" s="15" customFormat="1" ht="24" hidden="1" customHeight="1" outlineLevel="1" x14ac:dyDescent="0.25">
      <c r="A13869" s="18">
        <v>1071</v>
      </c>
      <c r="B13869" s="4" t="s">
        <v>44</v>
      </c>
      <c r="C13869" s="38" t="s">
        <v>11886</v>
      </c>
      <c r="D13869" s="18">
        <v>2023</v>
      </c>
      <c r="E13869" s="18" t="s">
        <v>0</v>
      </c>
      <c r="F13869" s="41">
        <v>1</v>
      </c>
      <c r="G13869" s="41">
        <v>6</v>
      </c>
      <c r="H13869" s="41">
        <v>36.100010000000005</v>
      </c>
      <c r="I13869" s="221"/>
      <c r="J13869" s="221"/>
    </row>
    <row r="13870" spans="1:10" s="15" customFormat="1" ht="24" hidden="1" customHeight="1" outlineLevel="1" x14ac:dyDescent="0.25">
      <c r="A13870" s="18">
        <v>3442</v>
      </c>
      <c r="B13870" s="4" t="s">
        <v>44</v>
      </c>
      <c r="C13870" s="38" t="s">
        <v>11887</v>
      </c>
      <c r="D13870" s="18">
        <v>2023</v>
      </c>
      <c r="E13870" s="18" t="s">
        <v>0</v>
      </c>
      <c r="F13870" s="41">
        <v>1</v>
      </c>
      <c r="G13870" s="41">
        <v>10</v>
      </c>
      <c r="H13870" s="41">
        <v>38.301389999999998</v>
      </c>
      <c r="I13870" s="221"/>
      <c r="J13870" s="221"/>
    </row>
    <row r="13871" spans="1:10" s="15" customFormat="1" ht="24" hidden="1" customHeight="1" outlineLevel="1" x14ac:dyDescent="0.25">
      <c r="A13871" s="18">
        <v>1086</v>
      </c>
      <c r="B13871" s="4" t="s">
        <v>44</v>
      </c>
      <c r="C13871" s="38" t="s">
        <v>11888</v>
      </c>
      <c r="D13871" s="18">
        <v>2023</v>
      </c>
      <c r="E13871" s="18" t="s">
        <v>0</v>
      </c>
      <c r="F13871" s="41">
        <v>1</v>
      </c>
      <c r="G13871" s="41">
        <v>15</v>
      </c>
      <c r="H13871" s="41">
        <v>35.366239999999998</v>
      </c>
      <c r="I13871" s="221"/>
      <c r="J13871" s="221"/>
    </row>
    <row r="13872" spans="1:10" s="15" customFormat="1" ht="24" hidden="1" customHeight="1" outlineLevel="1" x14ac:dyDescent="0.25">
      <c r="A13872" s="18">
        <v>1089</v>
      </c>
      <c r="B13872" s="4" t="s">
        <v>44</v>
      </c>
      <c r="C13872" s="38" t="s">
        <v>11889</v>
      </c>
      <c r="D13872" s="18">
        <v>2023</v>
      </c>
      <c r="E13872" s="18" t="s">
        <v>0</v>
      </c>
      <c r="F13872" s="41">
        <v>1</v>
      </c>
      <c r="G13872" s="41">
        <v>10</v>
      </c>
      <c r="H13872" s="41">
        <v>36.100050000000003</v>
      </c>
      <c r="I13872" s="221"/>
      <c r="J13872" s="221"/>
    </row>
    <row r="13873" spans="1:10" s="15" customFormat="1" ht="24" hidden="1" customHeight="1" outlineLevel="1" x14ac:dyDescent="0.25">
      <c r="A13873" s="18">
        <v>6382</v>
      </c>
      <c r="B13873" s="4" t="s">
        <v>44</v>
      </c>
      <c r="C13873" s="38" t="s">
        <v>11890</v>
      </c>
      <c r="D13873" s="18">
        <v>2023</v>
      </c>
      <c r="E13873" s="18" t="s">
        <v>0</v>
      </c>
      <c r="F13873" s="41">
        <v>1</v>
      </c>
      <c r="G13873" s="41">
        <v>15</v>
      </c>
      <c r="H13873" s="41">
        <v>36.100010000000005</v>
      </c>
      <c r="I13873" s="221"/>
      <c r="J13873" s="221"/>
    </row>
    <row r="13874" spans="1:10" s="15" customFormat="1" ht="24" hidden="1" customHeight="1" outlineLevel="1" x14ac:dyDescent="0.25">
      <c r="A13874" s="18">
        <v>1125</v>
      </c>
      <c r="B13874" s="4" t="s">
        <v>44</v>
      </c>
      <c r="C13874" s="38" t="s">
        <v>11891</v>
      </c>
      <c r="D13874" s="18">
        <v>2023</v>
      </c>
      <c r="E13874" s="18" t="s">
        <v>0</v>
      </c>
      <c r="F13874" s="41">
        <v>1</v>
      </c>
      <c r="G13874" s="41">
        <v>15</v>
      </c>
      <c r="H13874" s="41">
        <v>35.366260000000004</v>
      </c>
      <c r="I13874" s="221"/>
      <c r="J13874" s="221"/>
    </row>
    <row r="13875" spans="1:10" s="15" customFormat="1" ht="24" hidden="1" customHeight="1" outlineLevel="1" x14ac:dyDescent="0.25">
      <c r="A13875" s="18">
        <v>6383</v>
      </c>
      <c r="B13875" s="4" t="s">
        <v>44</v>
      </c>
      <c r="C13875" s="38" t="s">
        <v>11892</v>
      </c>
      <c r="D13875" s="18">
        <v>2023</v>
      </c>
      <c r="E13875" s="18" t="s">
        <v>0</v>
      </c>
      <c r="F13875" s="41">
        <v>1</v>
      </c>
      <c r="G13875" s="41">
        <v>4</v>
      </c>
      <c r="H13875" s="41">
        <v>35.366239999999998</v>
      </c>
      <c r="I13875" s="221"/>
      <c r="J13875" s="221"/>
    </row>
    <row r="13876" spans="1:10" s="15" customFormat="1" ht="24" hidden="1" customHeight="1" outlineLevel="1" x14ac:dyDescent="0.25">
      <c r="A13876" s="18">
        <v>6384</v>
      </c>
      <c r="B13876" s="4" t="s">
        <v>44</v>
      </c>
      <c r="C13876" s="38" t="s">
        <v>11893</v>
      </c>
      <c r="D13876" s="18">
        <v>2023</v>
      </c>
      <c r="E13876" s="18" t="s">
        <v>0</v>
      </c>
      <c r="F13876" s="41">
        <v>1</v>
      </c>
      <c r="G13876" s="41">
        <v>45</v>
      </c>
      <c r="H13876" s="41">
        <v>35.366260000000004</v>
      </c>
      <c r="I13876" s="221"/>
      <c r="J13876" s="221"/>
    </row>
    <row r="13877" spans="1:10" s="15" customFormat="1" ht="24" hidden="1" customHeight="1" outlineLevel="1" x14ac:dyDescent="0.25">
      <c r="A13877" s="18">
        <v>6385</v>
      </c>
      <c r="B13877" s="4" t="s">
        <v>44</v>
      </c>
      <c r="C13877" s="38" t="s">
        <v>11894</v>
      </c>
      <c r="D13877" s="18">
        <v>2023</v>
      </c>
      <c r="E13877" s="18" t="s">
        <v>0</v>
      </c>
      <c r="F13877" s="41">
        <v>1</v>
      </c>
      <c r="G13877" s="41">
        <v>5</v>
      </c>
      <c r="H13877" s="41">
        <v>35.366239999999998</v>
      </c>
      <c r="I13877" s="221"/>
      <c r="J13877" s="221"/>
    </row>
    <row r="13878" spans="1:10" s="15" customFormat="1" ht="24" hidden="1" customHeight="1" outlineLevel="1" x14ac:dyDescent="0.25">
      <c r="A13878" s="18">
        <v>6386</v>
      </c>
      <c r="B13878" s="4" t="s">
        <v>44</v>
      </c>
      <c r="C13878" s="38" t="s">
        <v>11895</v>
      </c>
      <c r="D13878" s="18">
        <v>2023</v>
      </c>
      <c r="E13878" s="18" t="s">
        <v>0</v>
      </c>
      <c r="F13878" s="41">
        <v>1</v>
      </c>
      <c r="G13878" s="41">
        <v>15</v>
      </c>
      <c r="H13878" s="41">
        <v>35.366260000000004</v>
      </c>
      <c r="I13878" s="221"/>
      <c r="J13878" s="221"/>
    </row>
    <row r="13879" spans="1:10" s="15" customFormat="1" ht="24" hidden="1" customHeight="1" outlineLevel="1" x14ac:dyDescent="0.25">
      <c r="A13879" s="18">
        <v>6387</v>
      </c>
      <c r="B13879" s="4" t="s">
        <v>44</v>
      </c>
      <c r="C13879" s="38" t="s">
        <v>11896</v>
      </c>
      <c r="D13879" s="18">
        <v>2023</v>
      </c>
      <c r="E13879" s="18" t="s">
        <v>0</v>
      </c>
      <c r="F13879" s="41">
        <v>1</v>
      </c>
      <c r="G13879" s="41">
        <v>15</v>
      </c>
      <c r="H13879" s="41">
        <v>35.366239999999998</v>
      </c>
      <c r="I13879" s="221"/>
      <c r="J13879" s="221"/>
    </row>
    <row r="13880" spans="1:10" s="15" customFormat="1" ht="24" hidden="1" customHeight="1" outlineLevel="1" x14ac:dyDescent="0.25">
      <c r="A13880" s="18">
        <v>6388</v>
      </c>
      <c r="B13880" s="4" t="s">
        <v>44</v>
      </c>
      <c r="C13880" s="38" t="s">
        <v>11897</v>
      </c>
      <c r="D13880" s="18">
        <v>2023</v>
      </c>
      <c r="E13880" s="18" t="s">
        <v>0</v>
      </c>
      <c r="F13880" s="41">
        <v>1</v>
      </c>
      <c r="G13880" s="41">
        <v>10</v>
      </c>
      <c r="H13880" s="41">
        <v>35.366260000000004</v>
      </c>
      <c r="I13880" s="221"/>
      <c r="J13880" s="221"/>
    </row>
    <row r="13881" spans="1:10" s="15" customFormat="1" ht="24" hidden="1" customHeight="1" outlineLevel="1" x14ac:dyDescent="0.25">
      <c r="A13881" s="18">
        <v>6389</v>
      </c>
      <c r="B13881" s="4" t="s">
        <v>44</v>
      </c>
      <c r="C13881" s="38" t="s">
        <v>11898</v>
      </c>
      <c r="D13881" s="18">
        <v>2023</v>
      </c>
      <c r="E13881" s="18" t="s">
        <v>0</v>
      </c>
      <c r="F13881" s="41">
        <v>1</v>
      </c>
      <c r="G13881" s="41">
        <v>10</v>
      </c>
      <c r="H13881" s="41">
        <v>37.56758</v>
      </c>
      <c r="I13881" s="221"/>
      <c r="J13881" s="221"/>
    </row>
    <row r="13882" spans="1:10" s="15" customFormat="1" ht="24" hidden="1" customHeight="1" outlineLevel="1" x14ac:dyDescent="0.25">
      <c r="A13882" s="18">
        <v>1022</v>
      </c>
      <c r="B13882" s="4" t="s">
        <v>44</v>
      </c>
      <c r="C13882" s="38" t="s">
        <v>11899</v>
      </c>
      <c r="D13882" s="18">
        <v>2023</v>
      </c>
      <c r="E13882" s="18" t="s">
        <v>0</v>
      </c>
      <c r="F13882" s="41">
        <v>1</v>
      </c>
      <c r="G13882" s="41">
        <v>3</v>
      </c>
      <c r="H13882" s="41">
        <v>36.100050000000003</v>
      </c>
      <c r="I13882" s="221"/>
      <c r="J13882" s="221"/>
    </row>
    <row r="13883" spans="1:10" s="15" customFormat="1" ht="24" hidden="1" customHeight="1" outlineLevel="1" x14ac:dyDescent="0.25">
      <c r="A13883" s="18">
        <v>6390</v>
      </c>
      <c r="B13883" s="4" t="s">
        <v>44</v>
      </c>
      <c r="C13883" s="38" t="s">
        <v>11900</v>
      </c>
      <c r="D13883" s="18">
        <v>2023</v>
      </c>
      <c r="E13883" s="18" t="s">
        <v>0</v>
      </c>
      <c r="F13883" s="41">
        <v>1</v>
      </c>
      <c r="G13883" s="41">
        <v>8</v>
      </c>
      <c r="H13883" s="41">
        <v>35.366239999999998</v>
      </c>
      <c r="I13883" s="221"/>
      <c r="J13883" s="221"/>
    </row>
    <row r="13884" spans="1:10" s="15" customFormat="1" ht="24" hidden="1" customHeight="1" outlineLevel="1" x14ac:dyDescent="0.25">
      <c r="A13884" s="18">
        <v>1016</v>
      </c>
      <c r="B13884" s="4" t="s">
        <v>44</v>
      </c>
      <c r="C13884" s="38" t="s">
        <v>11901</v>
      </c>
      <c r="D13884" s="18">
        <v>2023</v>
      </c>
      <c r="E13884" s="18" t="s">
        <v>0</v>
      </c>
      <c r="F13884" s="41">
        <v>1</v>
      </c>
      <c r="G13884" s="41">
        <v>3</v>
      </c>
      <c r="H13884" s="41">
        <v>35.366260000000004</v>
      </c>
      <c r="I13884" s="221"/>
      <c r="J13884" s="221"/>
    </row>
    <row r="13885" spans="1:10" s="15" customFormat="1" ht="24" hidden="1" customHeight="1" outlineLevel="1" x14ac:dyDescent="0.25">
      <c r="A13885" s="18">
        <v>1396</v>
      </c>
      <c r="B13885" s="4" t="s">
        <v>44</v>
      </c>
      <c r="C13885" s="38" t="s">
        <v>11902</v>
      </c>
      <c r="D13885" s="18">
        <v>2023</v>
      </c>
      <c r="E13885" s="18" t="s">
        <v>0</v>
      </c>
      <c r="F13885" s="41">
        <v>1</v>
      </c>
      <c r="G13885" s="41">
        <v>3</v>
      </c>
      <c r="H13885" s="41">
        <v>35.366239999999998</v>
      </c>
      <c r="I13885" s="221"/>
      <c r="J13885" s="221"/>
    </row>
    <row r="13886" spans="1:10" s="15" customFormat="1" ht="24" hidden="1" customHeight="1" outlineLevel="1" x14ac:dyDescent="0.25">
      <c r="A13886" s="18">
        <v>6391</v>
      </c>
      <c r="B13886" s="4" t="s">
        <v>44</v>
      </c>
      <c r="C13886" s="38" t="s">
        <v>11903</v>
      </c>
      <c r="D13886" s="18">
        <v>2023</v>
      </c>
      <c r="E13886" s="18" t="s">
        <v>0</v>
      </c>
      <c r="F13886" s="41">
        <v>1</v>
      </c>
      <c r="G13886" s="41">
        <v>10</v>
      </c>
      <c r="H13886" s="41">
        <v>35.366260000000004</v>
      </c>
      <c r="I13886" s="221"/>
      <c r="J13886" s="221"/>
    </row>
    <row r="13887" spans="1:10" s="15" customFormat="1" ht="24" hidden="1" customHeight="1" outlineLevel="1" x14ac:dyDescent="0.25">
      <c r="A13887" s="18">
        <v>6392</v>
      </c>
      <c r="B13887" s="4" t="s">
        <v>44</v>
      </c>
      <c r="C13887" s="38" t="s">
        <v>11904</v>
      </c>
      <c r="D13887" s="18">
        <v>2023</v>
      </c>
      <c r="E13887" s="18" t="s">
        <v>0</v>
      </c>
      <c r="F13887" s="41">
        <v>1</v>
      </c>
      <c r="G13887" s="41">
        <v>15</v>
      </c>
      <c r="H13887" s="41">
        <v>34.925940000000004</v>
      </c>
      <c r="I13887" s="221"/>
      <c r="J13887" s="221"/>
    </row>
    <row r="13888" spans="1:10" s="15" customFormat="1" ht="24" hidden="1" customHeight="1" outlineLevel="1" x14ac:dyDescent="0.25">
      <c r="A13888" s="18">
        <v>6393</v>
      </c>
      <c r="B13888" s="4" t="s">
        <v>44</v>
      </c>
      <c r="C13888" s="38" t="s">
        <v>11905</v>
      </c>
      <c r="D13888" s="18">
        <v>2023</v>
      </c>
      <c r="E13888" s="18" t="s">
        <v>0</v>
      </c>
      <c r="F13888" s="41">
        <v>1</v>
      </c>
      <c r="G13888" s="41">
        <v>5</v>
      </c>
      <c r="H13888" s="41">
        <v>35.366260000000004</v>
      </c>
      <c r="I13888" s="221"/>
      <c r="J13888" s="221"/>
    </row>
    <row r="13889" spans="1:10" s="15" customFormat="1" ht="24" hidden="1" customHeight="1" outlineLevel="1" x14ac:dyDescent="0.25">
      <c r="A13889" s="18">
        <v>6394</v>
      </c>
      <c r="B13889" s="4" t="s">
        <v>44</v>
      </c>
      <c r="C13889" s="38" t="s">
        <v>11906</v>
      </c>
      <c r="D13889" s="18">
        <v>2023</v>
      </c>
      <c r="E13889" s="18" t="s">
        <v>0</v>
      </c>
      <c r="F13889" s="41">
        <v>1</v>
      </c>
      <c r="G13889" s="41">
        <v>7</v>
      </c>
      <c r="H13889" s="41">
        <v>36.833819999999996</v>
      </c>
      <c r="I13889" s="221"/>
      <c r="J13889" s="221"/>
    </row>
    <row r="13890" spans="1:10" s="15" customFormat="1" ht="24" hidden="1" customHeight="1" outlineLevel="1" x14ac:dyDescent="0.25">
      <c r="A13890" s="18">
        <v>6395</v>
      </c>
      <c r="B13890" s="4" t="s">
        <v>44</v>
      </c>
      <c r="C13890" s="38" t="s">
        <v>11907</v>
      </c>
      <c r="D13890" s="18">
        <v>2023</v>
      </c>
      <c r="E13890" s="18" t="s">
        <v>0</v>
      </c>
      <c r="F13890" s="41">
        <v>1</v>
      </c>
      <c r="G13890" s="41">
        <v>12</v>
      </c>
      <c r="H13890" s="41">
        <v>35.366260000000004</v>
      </c>
      <c r="I13890" s="221"/>
      <c r="J13890" s="221"/>
    </row>
    <row r="13891" spans="1:10" s="15" customFormat="1" ht="24" hidden="1" customHeight="1" outlineLevel="1" x14ac:dyDescent="0.25">
      <c r="A13891" s="18">
        <v>6396</v>
      </c>
      <c r="B13891" s="4" t="s">
        <v>44</v>
      </c>
      <c r="C13891" s="38" t="s">
        <v>11908</v>
      </c>
      <c r="D13891" s="18">
        <v>2023</v>
      </c>
      <c r="E13891" s="18" t="s">
        <v>0</v>
      </c>
      <c r="F13891" s="41">
        <v>1</v>
      </c>
      <c r="G13891" s="41">
        <v>10</v>
      </c>
      <c r="H13891" s="41">
        <v>35.366239999999998</v>
      </c>
      <c r="I13891" s="221"/>
      <c r="J13891" s="221"/>
    </row>
    <row r="13892" spans="1:10" s="15" customFormat="1" ht="24" hidden="1" customHeight="1" outlineLevel="1" x14ac:dyDescent="0.25">
      <c r="A13892" s="18">
        <v>6397</v>
      </c>
      <c r="B13892" s="4" t="s">
        <v>44</v>
      </c>
      <c r="C13892" s="38" t="s">
        <v>11909</v>
      </c>
      <c r="D13892" s="18">
        <v>2023</v>
      </c>
      <c r="E13892" s="18" t="s">
        <v>0</v>
      </c>
      <c r="F13892" s="41">
        <v>1</v>
      </c>
      <c r="G13892" s="41">
        <v>5</v>
      </c>
      <c r="H13892" s="41">
        <v>34.779199999999996</v>
      </c>
      <c r="I13892" s="221"/>
      <c r="J13892" s="221"/>
    </row>
    <row r="13893" spans="1:10" s="15" customFormat="1" ht="24" hidden="1" customHeight="1" outlineLevel="1" x14ac:dyDescent="0.25">
      <c r="A13893" s="18">
        <v>6398</v>
      </c>
      <c r="B13893" s="4" t="s">
        <v>44</v>
      </c>
      <c r="C13893" s="38" t="s">
        <v>11910</v>
      </c>
      <c r="D13893" s="18">
        <v>2023</v>
      </c>
      <c r="E13893" s="18" t="s">
        <v>0</v>
      </c>
      <c r="F13893" s="41">
        <v>1</v>
      </c>
      <c r="G13893" s="41">
        <v>7.5</v>
      </c>
      <c r="H13893" s="41">
        <v>35.366260000000004</v>
      </c>
      <c r="I13893" s="221"/>
      <c r="J13893" s="221"/>
    </row>
    <row r="13894" spans="1:10" s="15" customFormat="1" ht="24" hidden="1" customHeight="1" outlineLevel="1" x14ac:dyDescent="0.25">
      <c r="A13894" s="18">
        <v>6399</v>
      </c>
      <c r="B13894" s="4" t="s">
        <v>44</v>
      </c>
      <c r="C13894" s="38" t="s">
        <v>11911</v>
      </c>
      <c r="D13894" s="18">
        <v>2023</v>
      </c>
      <c r="E13894" s="18" t="s">
        <v>0</v>
      </c>
      <c r="F13894" s="41">
        <v>1</v>
      </c>
      <c r="G13894" s="41">
        <v>5</v>
      </c>
      <c r="H13894" s="41">
        <v>36.100010000000005</v>
      </c>
      <c r="I13894" s="221"/>
      <c r="J13894" s="221"/>
    </row>
    <row r="13895" spans="1:10" s="15" customFormat="1" ht="24" hidden="1" customHeight="1" outlineLevel="1" x14ac:dyDescent="0.25">
      <c r="A13895" s="18">
        <v>537</v>
      </c>
      <c r="B13895" s="4" t="s">
        <v>44</v>
      </c>
      <c r="C13895" s="38" t="s">
        <v>11912</v>
      </c>
      <c r="D13895" s="18">
        <v>2023</v>
      </c>
      <c r="E13895" s="18" t="s">
        <v>0</v>
      </c>
      <c r="F13895" s="41">
        <v>1</v>
      </c>
      <c r="G13895" s="41">
        <v>15</v>
      </c>
      <c r="H13895" s="41">
        <v>40.927289999999992</v>
      </c>
      <c r="I13895" s="221"/>
      <c r="J13895" s="221"/>
    </row>
    <row r="13896" spans="1:10" s="15" customFormat="1" ht="24" hidden="1" customHeight="1" outlineLevel="1" x14ac:dyDescent="0.25">
      <c r="A13896" s="18">
        <v>6193</v>
      </c>
      <c r="B13896" s="4" t="s">
        <v>44</v>
      </c>
      <c r="C13896" s="38" t="s">
        <v>11913</v>
      </c>
      <c r="D13896" s="18">
        <v>2023</v>
      </c>
      <c r="E13896" s="18" t="s">
        <v>0</v>
      </c>
      <c r="F13896" s="41">
        <v>1</v>
      </c>
      <c r="G13896" s="41">
        <v>35</v>
      </c>
      <c r="H13896" s="41">
        <v>40.720110000000005</v>
      </c>
      <c r="I13896" s="221"/>
      <c r="J13896" s="221"/>
    </row>
    <row r="13897" spans="1:10" s="15" customFormat="1" ht="24" hidden="1" customHeight="1" outlineLevel="1" x14ac:dyDescent="0.25">
      <c r="A13897" s="18">
        <v>6343</v>
      </c>
      <c r="B13897" s="4" t="s">
        <v>44</v>
      </c>
      <c r="C13897" s="38" t="s">
        <v>11914</v>
      </c>
      <c r="D13897" s="18">
        <v>2023</v>
      </c>
      <c r="E13897" s="18" t="s">
        <v>0</v>
      </c>
      <c r="F13897" s="41">
        <v>1</v>
      </c>
      <c r="G13897" s="41">
        <v>15</v>
      </c>
      <c r="H13897" s="41">
        <v>40.164380000000001</v>
      </c>
      <c r="I13897" s="221"/>
      <c r="J13897" s="221"/>
    </row>
    <row r="13898" spans="1:10" s="15" customFormat="1" ht="24" hidden="1" customHeight="1" outlineLevel="1" x14ac:dyDescent="0.25">
      <c r="A13898" s="18">
        <v>2155</v>
      </c>
      <c r="B13898" s="4" t="s">
        <v>44</v>
      </c>
      <c r="C13898" s="38" t="s">
        <v>11915</v>
      </c>
      <c r="D13898" s="18">
        <v>2023</v>
      </c>
      <c r="E13898" s="18" t="s">
        <v>0</v>
      </c>
      <c r="F13898" s="41">
        <v>1</v>
      </c>
      <c r="G13898" s="41">
        <v>4</v>
      </c>
      <c r="H13898" s="41">
        <v>39.232410000000002</v>
      </c>
      <c r="I13898" s="221"/>
      <c r="J13898" s="221"/>
    </row>
    <row r="13899" spans="1:10" s="15" customFormat="1" ht="24" hidden="1" customHeight="1" outlineLevel="1" x14ac:dyDescent="0.25">
      <c r="A13899" s="18">
        <v>6344</v>
      </c>
      <c r="B13899" s="4" t="s">
        <v>44</v>
      </c>
      <c r="C13899" s="38" t="s">
        <v>11916</v>
      </c>
      <c r="D13899" s="18">
        <v>2023</v>
      </c>
      <c r="E13899" s="18" t="s">
        <v>0</v>
      </c>
      <c r="F13899" s="41">
        <v>1</v>
      </c>
      <c r="G13899" s="41">
        <v>10</v>
      </c>
      <c r="H13899" s="41">
        <v>44.499370000000006</v>
      </c>
      <c r="I13899" s="221"/>
      <c r="J13899" s="221"/>
    </row>
    <row r="13900" spans="1:10" s="15" customFormat="1" ht="24" hidden="1" customHeight="1" outlineLevel="1" x14ac:dyDescent="0.25">
      <c r="A13900" s="18">
        <v>6345</v>
      </c>
      <c r="B13900" s="4" t="s">
        <v>44</v>
      </c>
      <c r="C13900" s="38" t="s">
        <v>11917</v>
      </c>
      <c r="D13900" s="18">
        <v>2023</v>
      </c>
      <c r="E13900" s="18" t="s">
        <v>0</v>
      </c>
      <c r="F13900" s="41">
        <v>1</v>
      </c>
      <c r="G13900" s="41">
        <v>30</v>
      </c>
      <c r="H13900" s="41">
        <v>37.545709999999993</v>
      </c>
      <c r="I13900" s="221"/>
      <c r="J13900" s="221"/>
    </row>
    <row r="13901" spans="1:10" s="15" customFormat="1" ht="24" hidden="1" customHeight="1" outlineLevel="1" x14ac:dyDescent="0.25">
      <c r="A13901" s="18">
        <v>1078</v>
      </c>
      <c r="B13901" s="4" t="s">
        <v>44</v>
      </c>
      <c r="C13901" s="38" t="s">
        <v>11918</v>
      </c>
      <c r="D13901" s="18">
        <v>2023</v>
      </c>
      <c r="E13901" s="18" t="s">
        <v>0</v>
      </c>
      <c r="F13901" s="41">
        <v>1</v>
      </c>
      <c r="G13901" s="41">
        <v>10</v>
      </c>
      <c r="H13901" s="41">
        <v>39.383069999999996</v>
      </c>
      <c r="I13901" s="221"/>
      <c r="J13901" s="221"/>
    </row>
    <row r="13902" spans="1:10" s="15" customFormat="1" ht="24" hidden="1" customHeight="1" outlineLevel="1" x14ac:dyDescent="0.25">
      <c r="A13902" s="18">
        <v>6400</v>
      </c>
      <c r="B13902" s="4" t="s">
        <v>44</v>
      </c>
      <c r="C13902" s="38" t="s">
        <v>11919</v>
      </c>
      <c r="D13902" s="18">
        <v>2023</v>
      </c>
      <c r="E13902" s="18" t="s">
        <v>0</v>
      </c>
      <c r="F13902" s="41">
        <v>1</v>
      </c>
      <c r="G13902" s="41">
        <v>12</v>
      </c>
      <c r="H13902" s="41">
        <v>40.01001999999999</v>
      </c>
      <c r="I13902" s="221"/>
      <c r="J13902" s="221"/>
    </row>
    <row r="13903" spans="1:10" s="15" customFormat="1" ht="24" hidden="1" customHeight="1" outlineLevel="1" x14ac:dyDescent="0.25">
      <c r="A13903" s="18">
        <v>6401</v>
      </c>
      <c r="B13903" s="4" t="s">
        <v>44</v>
      </c>
      <c r="C13903" s="38" t="s">
        <v>11920</v>
      </c>
      <c r="D13903" s="18">
        <v>2023</v>
      </c>
      <c r="E13903" s="18" t="s">
        <v>0</v>
      </c>
      <c r="F13903" s="41">
        <v>1</v>
      </c>
      <c r="G13903" s="41">
        <v>15</v>
      </c>
      <c r="H13903" s="41">
        <v>39.600800000000007</v>
      </c>
      <c r="I13903" s="221"/>
      <c r="J13903" s="221"/>
    </row>
    <row r="13904" spans="1:10" s="15" customFormat="1" ht="24" hidden="1" customHeight="1" outlineLevel="1" x14ac:dyDescent="0.25">
      <c r="A13904" s="18">
        <v>6402</v>
      </c>
      <c r="B13904" s="4" t="s">
        <v>44</v>
      </c>
      <c r="C13904" s="38" t="s">
        <v>11921</v>
      </c>
      <c r="D13904" s="18">
        <v>2023</v>
      </c>
      <c r="E13904" s="18" t="s">
        <v>0</v>
      </c>
      <c r="F13904" s="41">
        <v>1</v>
      </c>
      <c r="G13904" s="41">
        <v>3</v>
      </c>
      <c r="H13904" s="41">
        <v>43.951449999999994</v>
      </c>
      <c r="I13904" s="221"/>
      <c r="J13904" s="221"/>
    </row>
    <row r="13905" spans="1:10" s="15" customFormat="1" ht="24" hidden="1" customHeight="1" outlineLevel="1" x14ac:dyDescent="0.25">
      <c r="A13905" s="18">
        <v>721</v>
      </c>
      <c r="B13905" s="4" t="s">
        <v>44</v>
      </c>
      <c r="C13905" s="38" t="s">
        <v>11922</v>
      </c>
      <c r="D13905" s="18">
        <v>2023</v>
      </c>
      <c r="E13905" s="18" t="s">
        <v>0</v>
      </c>
      <c r="F13905" s="41">
        <v>1</v>
      </c>
      <c r="G13905" s="41">
        <v>15</v>
      </c>
      <c r="H13905" s="41">
        <v>35.201570000000004</v>
      </c>
      <c r="I13905" s="221"/>
      <c r="J13905" s="221"/>
    </row>
    <row r="13906" spans="1:10" s="15" customFormat="1" ht="24" hidden="1" customHeight="1" outlineLevel="1" x14ac:dyDescent="0.25">
      <c r="A13906" s="18">
        <v>734</v>
      </c>
      <c r="B13906" s="4" t="s">
        <v>44</v>
      </c>
      <c r="C13906" s="38" t="s">
        <v>11923</v>
      </c>
      <c r="D13906" s="18">
        <v>2023</v>
      </c>
      <c r="E13906" s="18" t="s">
        <v>0</v>
      </c>
      <c r="F13906" s="41">
        <v>1</v>
      </c>
      <c r="G13906" s="41">
        <v>10</v>
      </c>
      <c r="H13906" s="41">
        <v>35.786900000000003</v>
      </c>
      <c r="I13906" s="221"/>
      <c r="J13906" s="221"/>
    </row>
    <row r="13907" spans="1:10" s="15" customFormat="1" ht="24" hidden="1" customHeight="1" outlineLevel="1" x14ac:dyDescent="0.25">
      <c r="A13907" s="18">
        <v>1116</v>
      </c>
      <c r="B13907" s="4" t="s">
        <v>44</v>
      </c>
      <c r="C13907" s="38" t="s">
        <v>11924</v>
      </c>
      <c r="D13907" s="18">
        <v>2023</v>
      </c>
      <c r="E13907" s="18" t="s">
        <v>0</v>
      </c>
      <c r="F13907" s="41">
        <v>1</v>
      </c>
      <c r="G13907" s="41">
        <v>15</v>
      </c>
      <c r="H13907" s="41">
        <v>37.25027</v>
      </c>
      <c r="I13907" s="221"/>
      <c r="J13907" s="221"/>
    </row>
    <row r="13908" spans="1:10" s="15" customFormat="1" ht="24" hidden="1" customHeight="1" outlineLevel="1" x14ac:dyDescent="0.25">
      <c r="A13908" s="18">
        <v>1228</v>
      </c>
      <c r="B13908" s="4" t="s">
        <v>44</v>
      </c>
      <c r="C13908" s="38" t="s">
        <v>11925</v>
      </c>
      <c r="D13908" s="18">
        <v>2023</v>
      </c>
      <c r="E13908" s="18" t="s">
        <v>0</v>
      </c>
      <c r="F13908" s="41">
        <v>1</v>
      </c>
      <c r="G13908" s="41">
        <v>7</v>
      </c>
      <c r="H13908" s="41">
        <v>35.494250000000001</v>
      </c>
      <c r="I13908" s="221"/>
      <c r="J13908" s="221"/>
    </row>
    <row r="13909" spans="1:10" s="15" customFormat="1" ht="24" hidden="1" customHeight="1" outlineLevel="1" x14ac:dyDescent="0.25">
      <c r="A13909" s="18">
        <v>6412</v>
      </c>
      <c r="B13909" s="4" t="s">
        <v>44</v>
      </c>
      <c r="C13909" s="38" t="s">
        <v>11926</v>
      </c>
      <c r="D13909" s="18">
        <v>2023</v>
      </c>
      <c r="E13909" s="18" t="s">
        <v>0</v>
      </c>
      <c r="F13909" s="41">
        <v>1</v>
      </c>
      <c r="G13909" s="41">
        <v>10</v>
      </c>
      <c r="H13909" s="41">
        <v>35.782679999999999</v>
      </c>
      <c r="I13909" s="221"/>
      <c r="J13909" s="221"/>
    </row>
    <row r="13910" spans="1:10" s="15" customFormat="1" ht="24" hidden="1" customHeight="1" outlineLevel="1" x14ac:dyDescent="0.25">
      <c r="A13910" s="18">
        <v>6413</v>
      </c>
      <c r="B13910" s="4" t="s">
        <v>44</v>
      </c>
      <c r="C13910" s="38" t="s">
        <v>11927</v>
      </c>
      <c r="D13910" s="18">
        <v>2023</v>
      </c>
      <c r="E13910" s="18" t="s">
        <v>0</v>
      </c>
      <c r="F13910" s="41">
        <v>1</v>
      </c>
      <c r="G13910" s="41">
        <v>5</v>
      </c>
      <c r="H13910" s="41">
        <v>38.713660000000004</v>
      </c>
      <c r="I13910" s="221"/>
      <c r="J13910" s="221"/>
    </row>
    <row r="13911" spans="1:10" s="15" customFormat="1" ht="24" hidden="1" customHeight="1" outlineLevel="1" x14ac:dyDescent="0.25">
      <c r="A13911" s="18">
        <v>6414</v>
      </c>
      <c r="B13911" s="4" t="s">
        <v>44</v>
      </c>
      <c r="C13911" s="38" t="s">
        <v>11928</v>
      </c>
      <c r="D13911" s="18">
        <v>2023</v>
      </c>
      <c r="E13911" s="18" t="s">
        <v>0</v>
      </c>
      <c r="F13911" s="41">
        <v>1</v>
      </c>
      <c r="G13911" s="41">
        <v>10</v>
      </c>
      <c r="H13911" s="41">
        <v>35.494239999999998</v>
      </c>
      <c r="I13911" s="221"/>
      <c r="J13911" s="221"/>
    </row>
    <row r="13912" spans="1:10" s="15" customFormat="1" ht="24" hidden="1" customHeight="1" outlineLevel="1" x14ac:dyDescent="0.25">
      <c r="A13912" s="18">
        <v>1558</v>
      </c>
      <c r="B13912" s="4" t="s">
        <v>44</v>
      </c>
      <c r="C13912" s="38" t="s">
        <v>11929</v>
      </c>
      <c r="D13912" s="18">
        <v>2023</v>
      </c>
      <c r="E13912" s="18" t="s">
        <v>0</v>
      </c>
      <c r="F13912" s="41">
        <v>1</v>
      </c>
      <c r="G13912" s="41">
        <v>15</v>
      </c>
      <c r="H13912" s="41">
        <v>35.201570000000004</v>
      </c>
      <c r="I13912" s="221"/>
      <c r="J13912" s="221"/>
    </row>
    <row r="13913" spans="1:10" s="15" customFormat="1" ht="24" hidden="1" customHeight="1" outlineLevel="1" x14ac:dyDescent="0.25">
      <c r="A13913" s="18">
        <v>6415</v>
      </c>
      <c r="B13913" s="4" t="s">
        <v>44</v>
      </c>
      <c r="C13913" s="38" t="s">
        <v>11930</v>
      </c>
      <c r="D13913" s="18">
        <v>2023</v>
      </c>
      <c r="E13913" s="18" t="s">
        <v>0</v>
      </c>
      <c r="F13913" s="41">
        <v>1</v>
      </c>
      <c r="G13913" s="41">
        <v>15</v>
      </c>
      <c r="H13913" s="41">
        <v>37.250259999999997</v>
      </c>
      <c r="I13913" s="221"/>
      <c r="J13913" s="221"/>
    </row>
    <row r="13914" spans="1:10" s="15" customFormat="1" ht="24" hidden="1" customHeight="1" outlineLevel="1" x14ac:dyDescent="0.25">
      <c r="A13914" s="18">
        <v>1559</v>
      </c>
      <c r="B13914" s="4" t="s">
        <v>44</v>
      </c>
      <c r="C13914" s="38" t="s">
        <v>11931</v>
      </c>
      <c r="D13914" s="18">
        <v>2023</v>
      </c>
      <c r="E13914" s="18" t="s">
        <v>0</v>
      </c>
      <c r="F13914" s="41">
        <v>1</v>
      </c>
      <c r="G13914" s="41">
        <v>15</v>
      </c>
      <c r="H13914" s="41">
        <v>35.786900000000003</v>
      </c>
      <c r="I13914" s="221"/>
      <c r="J13914" s="221"/>
    </row>
    <row r="13915" spans="1:10" s="15" customFormat="1" ht="24" hidden="1" customHeight="1" outlineLevel="1" x14ac:dyDescent="0.25">
      <c r="A13915" s="18">
        <v>6416</v>
      </c>
      <c r="B13915" s="4" t="s">
        <v>44</v>
      </c>
      <c r="C13915" s="38" t="s">
        <v>11932</v>
      </c>
      <c r="D13915" s="18">
        <v>2023</v>
      </c>
      <c r="E13915" s="18" t="s">
        <v>0</v>
      </c>
      <c r="F13915" s="41">
        <v>1</v>
      </c>
      <c r="G13915" s="41">
        <v>15</v>
      </c>
      <c r="H13915" s="41">
        <v>35.201560000000001</v>
      </c>
      <c r="I13915" s="221"/>
      <c r="J13915" s="221"/>
    </row>
    <row r="13916" spans="1:10" s="15" customFormat="1" ht="24" hidden="1" customHeight="1" outlineLevel="1" x14ac:dyDescent="0.25">
      <c r="A13916" s="18">
        <v>6417</v>
      </c>
      <c r="B13916" s="4" t="s">
        <v>44</v>
      </c>
      <c r="C13916" s="38" t="s">
        <v>11933</v>
      </c>
      <c r="D13916" s="18">
        <v>2023</v>
      </c>
      <c r="E13916" s="18" t="s">
        <v>0</v>
      </c>
      <c r="F13916" s="41">
        <v>1</v>
      </c>
      <c r="G13916" s="41">
        <v>15</v>
      </c>
      <c r="H13916" s="41">
        <v>35.786900000000003</v>
      </c>
      <c r="I13916" s="221"/>
      <c r="J13916" s="221"/>
    </row>
    <row r="13917" spans="1:10" s="15" customFormat="1" ht="24" hidden="1" customHeight="1" outlineLevel="1" x14ac:dyDescent="0.25">
      <c r="A13917" s="18">
        <v>6418</v>
      </c>
      <c r="B13917" s="4" t="s">
        <v>44</v>
      </c>
      <c r="C13917" s="38" t="s">
        <v>11934</v>
      </c>
      <c r="D13917" s="18">
        <v>2023</v>
      </c>
      <c r="E13917" s="18" t="s">
        <v>0</v>
      </c>
      <c r="F13917" s="41">
        <v>1</v>
      </c>
      <c r="G13917" s="41">
        <v>15</v>
      </c>
      <c r="H13917" s="41">
        <v>35.786900000000003</v>
      </c>
      <c r="I13917" s="221"/>
      <c r="J13917" s="221"/>
    </row>
    <row r="13918" spans="1:10" s="15" customFormat="1" ht="24" hidden="1" customHeight="1" outlineLevel="1" x14ac:dyDescent="0.25">
      <c r="A13918" s="18">
        <v>1847</v>
      </c>
      <c r="B13918" s="4" t="s">
        <v>44</v>
      </c>
      <c r="C13918" s="38" t="s">
        <v>11935</v>
      </c>
      <c r="D13918" s="18">
        <v>2023</v>
      </c>
      <c r="E13918" s="18" t="s">
        <v>0</v>
      </c>
      <c r="F13918" s="41">
        <v>1</v>
      </c>
      <c r="G13918" s="41">
        <v>15</v>
      </c>
      <c r="H13918" s="41">
        <v>35.494239999999998</v>
      </c>
      <c r="I13918" s="221"/>
      <c r="J13918" s="221"/>
    </row>
    <row r="13919" spans="1:10" s="15" customFormat="1" ht="24" hidden="1" customHeight="1" outlineLevel="1" x14ac:dyDescent="0.25">
      <c r="A13919" s="18">
        <v>6419</v>
      </c>
      <c r="B13919" s="4" t="s">
        <v>44</v>
      </c>
      <c r="C13919" s="38" t="s">
        <v>11936</v>
      </c>
      <c r="D13919" s="18">
        <v>2023</v>
      </c>
      <c r="E13919" s="18" t="s">
        <v>0</v>
      </c>
      <c r="F13919" s="41">
        <v>1</v>
      </c>
      <c r="G13919" s="41">
        <v>15</v>
      </c>
      <c r="H13919" s="41">
        <v>35.786900000000003</v>
      </c>
      <c r="I13919" s="221"/>
      <c r="J13919" s="221"/>
    </row>
    <row r="13920" spans="1:10" s="15" customFormat="1" ht="24" hidden="1" customHeight="1" outlineLevel="1" x14ac:dyDescent="0.25">
      <c r="A13920" s="18">
        <v>6420</v>
      </c>
      <c r="B13920" s="4" t="s">
        <v>44</v>
      </c>
      <c r="C13920" s="38" t="s">
        <v>11937</v>
      </c>
      <c r="D13920" s="18">
        <v>2023</v>
      </c>
      <c r="E13920" s="18" t="s">
        <v>0</v>
      </c>
      <c r="F13920" s="41">
        <v>1</v>
      </c>
      <c r="G13920" s="41">
        <v>15</v>
      </c>
      <c r="H13920" s="41">
        <v>35.786900000000003</v>
      </c>
      <c r="I13920" s="221"/>
      <c r="J13920" s="221"/>
    </row>
    <row r="13921" spans="1:10" s="15" customFormat="1" ht="24" hidden="1" customHeight="1" outlineLevel="1" x14ac:dyDescent="0.25">
      <c r="A13921" s="18">
        <v>6421</v>
      </c>
      <c r="B13921" s="4" t="s">
        <v>44</v>
      </c>
      <c r="C13921" s="38" t="s">
        <v>11938</v>
      </c>
      <c r="D13921" s="18">
        <v>2023</v>
      </c>
      <c r="E13921" s="18" t="s">
        <v>0</v>
      </c>
      <c r="F13921" s="41">
        <v>1</v>
      </c>
      <c r="G13921" s="41">
        <v>15</v>
      </c>
      <c r="H13921" s="41">
        <v>35.786900000000003</v>
      </c>
      <c r="I13921" s="221"/>
      <c r="J13921" s="221"/>
    </row>
    <row r="13922" spans="1:10" s="15" customFormat="1" ht="24" hidden="1" customHeight="1" outlineLevel="1" x14ac:dyDescent="0.25">
      <c r="A13922" s="18">
        <v>6422</v>
      </c>
      <c r="B13922" s="4" t="s">
        <v>44</v>
      </c>
      <c r="C13922" s="38" t="s">
        <v>11939</v>
      </c>
      <c r="D13922" s="18">
        <v>2023</v>
      </c>
      <c r="E13922" s="18" t="s">
        <v>0</v>
      </c>
      <c r="F13922" s="41">
        <v>1</v>
      </c>
      <c r="G13922" s="41">
        <v>15</v>
      </c>
      <c r="H13922" s="41">
        <v>35.786900000000003</v>
      </c>
      <c r="I13922" s="221"/>
      <c r="J13922" s="221"/>
    </row>
    <row r="13923" spans="1:10" s="15" customFormat="1" ht="24" hidden="1" customHeight="1" outlineLevel="1" x14ac:dyDescent="0.25">
      <c r="A13923" s="18">
        <v>6423</v>
      </c>
      <c r="B13923" s="4" t="s">
        <v>44</v>
      </c>
      <c r="C13923" s="38" t="s">
        <v>11940</v>
      </c>
      <c r="D13923" s="18">
        <v>2023</v>
      </c>
      <c r="E13923" s="18" t="s">
        <v>0</v>
      </c>
      <c r="F13923" s="41">
        <v>1</v>
      </c>
      <c r="G13923" s="41">
        <v>15</v>
      </c>
      <c r="H13923" s="41">
        <v>35.494239999999998</v>
      </c>
      <c r="I13923" s="221"/>
      <c r="J13923" s="221"/>
    </row>
    <row r="13924" spans="1:10" s="15" customFormat="1" ht="24" hidden="1" customHeight="1" outlineLevel="1" x14ac:dyDescent="0.25">
      <c r="A13924" s="18">
        <v>6424</v>
      </c>
      <c r="B13924" s="4" t="s">
        <v>44</v>
      </c>
      <c r="C13924" s="38" t="s">
        <v>11941</v>
      </c>
      <c r="D13924" s="18">
        <v>2023</v>
      </c>
      <c r="E13924" s="18" t="s">
        <v>0</v>
      </c>
      <c r="F13924" s="41">
        <v>1</v>
      </c>
      <c r="G13924" s="41">
        <v>15</v>
      </c>
      <c r="H13924" s="41">
        <v>35.786900000000003</v>
      </c>
      <c r="I13924" s="221"/>
      <c r="J13924" s="221"/>
    </row>
    <row r="13925" spans="1:10" s="15" customFormat="1" ht="24" hidden="1" customHeight="1" outlineLevel="1" x14ac:dyDescent="0.25">
      <c r="A13925" s="18">
        <v>1974</v>
      </c>
      <c r="B13925" s="4" t="s">
        <v>44</v>
      </c>
      <c r="C13925" s="38" t="s">
        <v>11942</v>
      </c>
      <c r="D13925" s="18">
        <v>2023</v>
      </c>
      <c r="E13925" s="18" t="s">
        <v>0</v>
      </c>
      <c r="F13925" s="41">
        <v>1</v>
      </c>
      <c r="G13925" s="41">
        <v>10</v>
      </c>
      <c r="H13925" s="41">
        <v>35.786900000000003</v>
      </c>
      <c r="I13925" s="221"/>
      <c r="J13925" s="221"/>
    </row>
    <row r="13926" spans="1:10" s="15" customFormat="1" ht="24" hidden="1" customHeight="1" outlineLevel="1" x14ac:dyDescent="0.25">
      <c r="A13926" s="18">
        <v>6425</v>
      </c>
      <c r="B13926" s="4" t="s">
        <v>44</v>
      </c>
      <c r="C13926" s="38" t="s">
        <v>11943</v>
      </c>
      <c r="D13926" s="18">
        <v>2023</v>
      </c>
      <c r="E13926" s="18" t="s">
        <v>0</v>
      </c>
      <c r="F13926" s="41">
        <v>1</v>
      </c>
      <c r="G13926" s="41">
        <v>15</v>
      </c>
      <c r="H13926" s="41">
        <v>41.068779999999997</v>
      </c>
      <c r="I13926" s="221"/>
      <c r="J13926" s="221"/>
    </row>
    <row r="13927" spans="1:10" s="15" customFormat="1" ht="24" hidden="1" customHeight="1" outlineLevel="1" x14ac:dyDescent="0.25">
      <c r="A13927" s="18">
        <v>6426</v>
      </c>
      <c r="B13927" s="4" t="s">
        <v>44</v>
      </c>
      <c r="C13927" s="38" t="s">
        <v>11944</v>
      </c>
      <c r="D13927" s="18">
        <v>2023</v>
      </c>
      <c r="E13927" s="18" t="s">
        <v>0</v>
      </c>
      <c r="F13927" s="41">
        <v>1</v>
      </c>
      <c r="G13927" s="41">
        <v>15</v>
      </c>
      <c r="H13927" s="41">
        <v>35.786900000000003</v>
      </c>
      <c r="I13927" s="221"/>
      <c r="J13927" s="221"/>
    </row>
    <row r="13928" spans="1:10" s="15" customFormat="1" ht="24" hidden="1" customHeight="1" outlineLevel="1" x14ac:dyDescent="0.25">
      <c r="A13928" s="18">
        <v>6427</v>
      </c>
      <c r="B13928" s="4" t="s">
        <v>44</v>
      </c>
      <c r="C13928" s="38" t="s">
        <v>11945</v>
      </c>
      <c r="D13928" s="18">
        <v>2023</v>
      </c>
      <c r="E13928" s="18" t="s">
        <v>0</v>
      </c>
      <c r="F13928" s="41">
        <v>1</v>
      </c>
      <c r="G13928" s="41">
        <v>15</v>
      </c>
      <c r="H13928" s="41">
        <v>35.786900000000003</v>
      </c>
      <c r="I13928" s="221"/>
      <c r="J13928" s="221"/>
    </row>
    <row r="13929" spans="1:10" s="15" customFormat="1" ht="24" hidden="1" customHeight="1" outlineLevel="1" x14ac:dyDescent="0.25">
      <c r="A13929" s="18">
        <v>6443</v>
      </c>
      <c r="B13929" s="4" t="s">
        <v>44</v>
      </c>
      <c r="C13929" s="38" t="s">
        <v>11946</v>
      </c>
      <c r="D13929" s="18">
        <v>2023</v>
      </c>
      <c r="E13929" s="18" t="s">
        <v>0</v>
      </c>
      <c r="F13929" s="41">
        <v>1</v>
      </c>
      <c r="G13929" s="41">
        <v>5</v>
      </c>
      <c r="H13929" s="41">
        <v>34.90887</v>
      </c>
      <c r="I13929" s="221"/>
      <c r="J13929" s="221"/>
    </row>
    <row r="13930" spans="1:10" s="15" customFormat="1" ht="24" hidden="1" customHeight="1" outlineLevel="1" x14ac:dyDescent="0.25">
      <c r="A13930" s="18">
        <v>6444</v>
      </c>
      <c r="B13930" s="4" t="s">
        <v>44</v>
      </c>
      <c r="C13930" s="38" t="s">
        <v>11947</v>
      </c>
      <c r="D13930" s="18">
        <v>2023</v>
      </c>
      <c r="E13930" s="18" t="s">
        <v>0</v>
      </c>
      <c r="F13930" s="41">
        <v>1</v>
      </c>
      <c r="G13930" s="41">
        <v>10</v>
      </c>
      <c r="H13930" s="41">
        <v>35.347909999999999</v>
      </c>
      <c r="I13930" s="221"/>
      <c r="J13930" s="221"/>
    </row>
    <row r="13931" spans="1:10" s="15" customFormat="1" ht="24" hidden="1" customHeight="1" outlineLevel="1" x14ac:dyDescent="0.25">
      <c r="A13931" s="18">
        <v>6445</v>
      </c>
      <c r="B13931" s="4" t="s">
        <v>44</v>
      </c>
      <c r="C13931" s="38" t="s">
        <v>11948</v>
      </c>
      <c r="D13931" s="18">
        <v>2023</v>
      </c>
      <c r="E13931" s="18" t="s">
        <v>0</v>
      </c>
      <c r="F13931" s="41">
        <v>1</v>
      </c>
      <c r="G13931" s="41">
        <v>15</v>
      </c>
      <c r="H13931" s="41">
        <v>35.494229999999995</v>
      </c>
      <c r="I13931" s="221"/>
      <c r="J13931" s="221"/>
    </row>
    <row r="13932" spans="1:10" s="15" customFormat="1" ht="24" hidden="1" customHeight="1" outlineLevel="1" x14ac:dyDescent="0.25">
      <c r="A13932" s="18">
        <v>1858</v>
      </c>
      <c r="B13932" s="4" t="s">
        <v>44</v>
      </c>
      <c r="C13932" s="38" t="s">
        <v>9505</v>
      </c>
      <c r="D13932" s="18">
        <v>2023</v>
      </c>
      <c r="E13932" s="18" t="s">
        <v>0</v>
      </c>
      <c r="F13932" s="41">
        <v>1</v>
      </c>
      <c r="G13932" s="41">
        <v>15</v>
      </c>
      <c r="H13932" s="41">
        <v>36.518619999999999</v>
      </c>
      <c r="I13932" s="221"/>
      <c r="J13932" s="221"/>
    </row>
    <row r="13933" spans="1:10" s="15" customFormat="1" ht="24" hidden="1" customHeight="1" outlineLevel="1" x14ac:dyDescent="0.25">
      <c r="A13933" s="18">
        <v>6446</v>
      </c>
      <c r="B13933" s="4" t="s">
        <v>44</v>
      </c>
      <c r="C13933" s="38" t="s">
        <v>11949</v>
      </c>
      <c r="D13933" s="18">
        <v>2023</v>
      </c>
      <c r="E13933" s="18" t="s">
        <v>0</v>
      </c>
      <c r="F13933" s="41">
        <v>1</v>
      </c>
      <c r="G13933" s="41">
        <v>15</v>
      </c>
      <c r="H13933" s="41">
        <v>35.78689</v>
      </c>
      <c r="I13933" s="221"/>
      <c r="J13933" s="221"/>
    </row>
    <row r="13934" spans="1:10" s="15" customFormat="1" ht="24" hidden="1" customHeight="1" outlineLevel="1" x14ac:dyDescent="0.25">
      <c r="A13934" s="18">
        <v>6447</v>
      </c>
      <c r="B13934" s="4" t="s">
        <v>44</v>
      </c>
      <c r="C13934" s="38" t="s">
        <v>11950</v>
      </c>
      <c r="D13934" s="18">
        <v>2023</v>
      </c>
      <c r="E13934" s="18" t="s">
        <v>0</v>
      </c>
      <c r="F13934" s="41">
        <v>1</v>
      </c>
      <c r="G13934" s="41">
        <v>7</v>
      </c>
      <c r="H13934" s="41">
        <v>37.981950000000005</v>
      </c>
      <c r="I13934" s="221"/>
      <c r="J13934" s="221"/>
    </row>
    <row r="13935" spans="1:10" s="15" customFormat="1" ht="24" hidden="1" customHeight="1" outlineLevel="1" x14ac:dyDescent="0.25">
      <c r="A13935" s="18">
        <v>6448</v>
      </c>
      <c r="B13935" s="4" t="s">
        <v>44</v>
      </c>
      <c r="C13935" s="38" t="s">
        <v>11951</v>
      </c>
      <c r="D13935" s="18">
        <v>2023</v>
      </c>
      <c r="E13935" s="18" t="s">
        <v>0</v>
      </c>
      <c r="F13935" s="41">
        <v>1</v>
      </c>
      <c r="G13935" s="41">
        <v>15</v>
      </c>
      <c r="H13935" s="41">
        <v>36.518610000000002</v>
      </c>
      <c r="I13935" s="221"/>
      <c r="J13935" s="221"/>
    </row>
    <row r="13936" spans="1:10" s="15" customFormat="1" ht="24" hidden="1" customHeight="1" outlineLevel="1" x14ac:dyDescent="0.25">
      <c r="A13936" s="18">
        <v>1836</v>
      </c>
      <c r="B13936" s="4" t="s">
        <v>44</v>
      </c>
      <c r="C13936" s="38" t="s">
        <v>11952</v>
      </c>
      <c r="D13936" s="18">
        <v>2023</v>
      </c>
      <c r="E13936" s="18" t="s">
        <v>0</v>
      </c>
      <c r="F13936" s="41">
        <v>1</v>
      </c>
      <c r="G13936" s="41">
        <v>15</v>
      </c>
      <c r="H13936" s="41">
        <v>35.494230000000002</v>
      </c>
      <c r="I13936" s="221"/>
      <c r="J13936" s="221"/>
    </row>
    <row r="13937" spans="1:10" s="15" customFormat="1" ht="24" hidden="1" customHeight="1" outlineLevel="1" x14ac:dyDescent="0.25">
      <c r="A13937" s="18">
        <v>6450</v>
      </c>
      <c r="B13937" s="4" t="s">
        <v>44</v>
      </c>
      <c r="C13937" s="38" t="s">
        <v>11953</v>
      </c>
      <c r="D13937" s="18">
        <v>2023</v>
      </c>
      <c r="E13937" s="18" t="s">
        <v>0</v>
      </c>
      <c r="F13937" s="41">
        <v>1</v>
      </c>
      <c r="G13937" s="41">
        <v>5.5</v>
      </c>
      <c r="H13937" s="41">
        <v>36.518619999999999</v>
      </c>
      <c r="I13937" s="221"/>
      <c r="J13937" s="221"/>
    </row>
    <row r="13938" spans="1:10" s="15" customFormat="1" ht="24" hidden="1" customHeight="1" outlineLevel="1" x14ac:dyDescent="0.25">
      <c r="A13938" s="18">
        <v>6451</v>
      </c>
      <c r="B13938" s="4" t="s">
        <v>44</v>
      </c>
      <c r="C13938" s="38" t="s">
        <v>11954</v>
      </c>
      <c r="D13938" s="18">
        <v>2023</v>
      </c>
      <c r="E13938" s="18" t="s">
        <v>0</v>
      </c>
      <c r="F13938" s="41">
        <v>1</v>
      </c>
      <c r="G13938" s="41">
        <v>15</v>
      </c>
      <c r="H13938" s="41">
        <v>35.78689</v>
      </c>
      <c r="I13938" s="221"/>
      <c r="J13938" s="221"/>
    </row>
    <row r="13939" spans="1:10" s="15" customFormat="1" ht="24" hidden="1" customHeight="1" outlineLevel="1" x14ac:dyDescent="0.25">
      <c r="A13939" s="18">
        <v>2068</v>
      </c>
      <c r="B13939" s="4" t="s">
        <v>44</v>
      </c>
      <c r="C13939" s="38" t="s">
        <v>11955</v>
      </c>
      <c r="D13939" s="18">
        <v>2023</v>
      </c>
      <c r="E13939" s="18" t="s">
        <v>0</v>
      </c>
      <c r="F13939" s="41">
        <v>1</v>
      </c>
      <c r="G13939" s="41">
        <v>15</v>
      </c>
      <c r="H13939" s="41">
        <v>35.854179999999999</v>
      </c>
      <c r="I13939" s="221"/>
      <c r="J13939" s="221"/>
    </row>
    <row r="13940" spans="1:10" s="15" customFormat="1" ht="24" hidden="1" customHeight="1" outlineLevel="1" x14ac:dyDescent="0.25">
      <c r="A13940" s="18">
        <v>6452</v>
      </c>
      <c r="B13940" s="4" t="s">
        <v>44</v>
      </c>
      <c r="C13940" s="38" t="s">
        <v>11956</v>
      </c>
      <c r="D13940" s="18">
        <v>2023</v>
      </c>
      <c r="E13940" s="18" t="s">
        <v>0</v>
      </c>
      <c r="F13940" s="41">
        <v>1</v>
      </c>
      <c r="G13940" s="41">
        <v>10</v>
      </c>
      <c r="H13940" s="41">
        <v>35.56156</v>
      </c>
      <c r="I13940" s="221"/>
      <c r="J13940" s="221"/>
    </row>
    <row r="13941" spans="1:10" s="15" customFormat="1" ht="24" hidden="1" customHeight="1" outlineLevel="1" x14ac:dyDescent="0.25">
      <c r="A13941" s="18">
        <v>2125</v>
      </c>
      <c r="B13941" s="4" t="s">
        <v>44</v>
      </c>
      <c r="C13941" s="38" t="s">
        <v>11957</v>
      </c>
      <c r="D13941" s="18">
        <v>2023</v>
      </c>
      <c r="E13941" s="18" t="s">
        <v>0</v>
      </c>
      <c r="F13941" s="41">
        <v>1</v>
      </c>
      <c r="G13941" s="41">
        <v>5</v>
      </c>
      <c r="H13941" s="41">
        <v>35.854179999999999</v>
      </c>
      <c r="I13941" s="221"/>
      <c r="J13941" s="221"/>
    </row>
    <row r="13942" spans="1:10" s="15" customFormat="1" ht="24" hidden="1" customHeight="1" outlineLevel="1" x14ac:dyDescent="0.25">
      <c r="A13942" s="18">
        <v>6453</v>
      </c>
      <c r="B13942" s="4" t="s">
        <v>44</v>
      </c>
      <c r="C13942" s="38" t="s">
        <v>11958</v>
      </c>
      <c r="D13942" s="18">
        <v>2023</v>
      </c>
      <c r="E13942" s="18" t="s">
        <v>0</v>
      </c>
      <c r="F13942" s="41">
        <v>1</v>
      </c>
      <c r="G13942" s="41">
        <v>10</v>
      </c>
      <c r="H13942" s="41">
        <v>37.317570000000003</v>
      </c>
      <c r="I13942" s="221"/>
      <c r="J13942" s="221"/>
    </row>
    <row r="13943" spans="1:10" s="15" customFormat="1" ht="24" hidden="1" customHeight="1" outlineLevel="1" x14ac:dyDescent="0.25">
      <c r="A13943" s="18">
        <v>2116</v>
      </c>
      <c r="B13943" s="4" t="s">
        <v>44</v>
      </c>
      <c r="C13943" s="38" t="s">
        <v>11959</v>
      </c>
      <c r="D13943" s="18">
        <v>2023</v>
      </c>
      <c r="E13943" s="18" t="s">
        <v>0</v>
      </c>
      <c r="F13943" s="41">
        <v>1</v>
      </c>
      <c r="G13943" s="41">
        <v>1</v>
      </c>
      <c r="H13943" s="41">
        <v>37.317570000000003</v>
      </c>
      <c r="I13943" s="221"/>
      <c r="J13943" s="221"/>
    </row>
    <row r="13944" spans="1:10" s="15" customFormat="1" ht="24" hidden="1" customHeight="1" outlineLevel="1" x14ac:dyDescent="0.25">
      <c r="A13944" s="18">
        <v>6454</v>
      </c>
      <c r="B13944" s="4" t="s">
        <v>44</v>
      </c>
      <c r="C13944" s="38" t="s">
        <v>11960</v>
      </c>
      <c r="D13944" s="18">
        <v>2023</v>
      </c>
      <c r="E13944" s="18" t="s">
        <v>0</v>
      </c>
      <c r="F13944" s="41">
        <v>1</v>
      </c>
      <c r="G13944" s="41">
        <v>10</v>
      </c>
      <c r="H13944" s="41">
        <v>36.585900000000002</v>
      </c>
      <c r="I13944" s="221"/>
      <c r="J13944" s="221"/>
    </row>
    <row r="13945" spans="1:10" s="15" customFormat="1" ht="24" hidden="1" customHeight="1" outlineLevel="1" x14ac:dyDescent="0.25">
      <c r="A13945" s="18">
        <v>2202</v>
      </c>
      <c r="B13945" s="4" t="s">
        <v>44</v>
      </c>
      <c r="C13945" s="38" t="s">
        <v>11961</v>
      </c>
      <c r="D13945" s="18">
        <v>2023</v>
      </c>
      <c r="E13945" s="18" t="s">
        <v>0</v>
      </c>
      <c r="F13945" s="41">
        <v>1</v>
      </c>
      <c r="G13945" s="41">
        <v>5</v>
      </c>
      <c r="H13945" s="41">
        <v>36.585900000000002</v>
      </c>
      <c r="I13945" s="221"/>
      <c r="J13945" s="221"/>
    </row>
    <row r="13946" spans="1:10" s="15" customFormat="1" ht="24" hidden="1" customHeight="1" outlineLevel="1" x14ac:dyDescent="0.25">
      <c r="A13946" s="18">
        <v>2203</v>
      </c>
      <c r="B13946" s="4" t="s">
        <v>44</v>
      </c>
      <c r="C13946" s="38" t="s">
        <v>11962</v>
      </c>
      <c r="D13946" s="18">
        <v>2023</v>
      </c>
      <c r="E13946" s="18" t="s">
        <v>0</v>
      </c>
      <c r="F13946" s="41">
        <v>1</v>
      </c>
      <c r="G13946" s="41">
        <v>8</v>
      </c>
      <c r="H13946" s="41">
        <v>36.585900000000002</v>
      </c>
      <c r="I13946" s="221"/>
      <c r="J13946" s="221"/>
    </row>
    <row r="13947" spans="1:10" s="15" customFormat="1" ht="24" hidden="1" customHeight="1" outlineLevel="1" x14ac:dyDescent="0.25">
      <c r="A13947" s="18">
        <v>6455</v>
      </c>
      <c r="B13947" s="4" t="s">
        <v>44</v>
      </c>
      <c r="C13947" s="38" t="s">
        <v>11963</v>
      </c>
      <c r="D13947" s="18">
        <v>2023</v>
      </c>
      <c r="E13947" s="18" t="s">
        <v>0</v>
      </c>
      <c r="F13947" s="41">
        <v>1</v>
      </c>
      <c r="G13947" s="41">
        <v>15</v>
      </c>
      <c r="H13947" s="41">
        <v>36.585900000000002</v>
      </c>
      <c r="I13947" s="221"/>
      <c r="J13947" s="221"/>
    </row>
    <row r="13948" spans="1:10" s="15" customFormat="1" ht="24" hidden="1" customHeight="1" outlineLevel="1" x14ac:dyDescent="0.25">
      <c r="A13948" s="18">
        <v>2188</v>
      </c>
      <c r="B13948" s="4" t="s">
        <v>44</v>
      </c>
      <c r="C13948" s="38" t="s">
        <v>11964</v>
      </c>
      <c r="D13948" s="18">
        <v>2023</v>
      </c>
      <c r="E13948" s="18" t="s">
        <v>0</v>
      </c>
      <c r="F13948" s="41">
        <v>1</v>
      </c>
      <c r="G13948" s="41">
        <v>5</v>
      </c>
      <c r="H13948" s="41">
        <v>35.561550000000004</v>
      </c>
      <c r="I13948" s="221"/>
      <c r="J13948" s="221"/>
    </row>
    <row r="13949" spans="1:10" s="15" customFormat="1" ht="24" hidden="1" customHeight="1" outlineLevel="1" x14ac:dyDescent="0.25">
      <c r="A13949" s="18">
        <v>2185</v>
      </c>
      <c r="B13949" s="4" t="s">
        <v>44</v>
      </c>
      <c r="C13949" s="38" t="s">
        <v>11965</v>
      </c>
      <c r="D13949" s="18">
        <v>2023</v>
      </c>
      <c r="E13949" s="18" t="s">
        <v>0</v>
      </c>
      <c r="F13949" s="41">
        <v>1</v>
      </c>
      <c r="G13949" s="41">
        <v>15</v>
      </c>
      <c r="H13949" s="41">
        <v>35.561570000000003</v>
      </c>
      <c r="I13949" s="221"/>
      <c r="J13949" s="221"/>
    </row>
    <row r="13950" spans="1:10" s="15" customFormat="1" ht="24" hidden="1" customHeight="1" outlineLevel="1" x14ac:dyDescent="0.25">
      <c r="A13950" s="18">
        <v>6456</v>
      </c>
      <c r="B13950" s="4" t="s">
        <v>44</v>
      </c>
      <c r="C13950" s="38" t="s">
        <v>11966</v>
      </c>
      <c r="D13950" s="18">
        <v>2023</v>
      </c>
      <c r="E13950" s="18" t="s">
        <v>0</v>
      </c>
      <c r="F13950" s="41">
        <v>1</v>
      </c>
      <c r="G13950" s="41">
        <v>15</v>
      </c>
      <c r="H13950" s="41">
        <v>35.854169999999996</v>
      </c>
      <c r="I13950" s="221"/>
      <c r="J13950" s="221"/>
    </row>
    <row r="13951" spans="1:10" s="15" customFormat="1" ht="24" hidden="1" customHeight="1" outlineLevel="1" x14ac:dyDescent="0.25">
      <c r="A13951" s="18">
        <v>6457</v>
      </c>
      <c r="B13951" s="4" t="s">
        <v>44</v>
      </c>
      <c r="C13951" s="38" t="s">
        <v>11967</v>
      </c>
      <c r="D13951" s="18">
        <v>2023</v>
      </c>
      <c r="E13951" s="18" t="s">
        <v>0</v>
      </c>
      <c r="F13951" s="41">
        <v>1</v>
      </c>
      <c r="G13951" s="41">
        <v>15</v>
      </c>
      <c r="H13951" s="41">
        <v>34.976190000000003</v>
      </c>
      <c r="I13951" s="221"/>
      <c r="J13951" s="221"/>
    </row>
    <row r="13952" spans="1:10" s="15" customFormat="1" ht="24" hidden="1" customHeight="1" outlineLevel="1" x14ac:dyDescent="0.25">
      <c r="A13952" s="18">
        <v>2171</v>
      </c>
      <c r="B13952" s="4" t="s">
        <v>44</v>
      </c>
      <c r="C13952" s="38" t="s">
        <v>11968</v>
      </c>
      <c r="D13952" s="18">
        <v>2023</v>
      </c>
      <c r="E13952" s="18" t="s">
        <v>0</v>
      </c>
      <c r="F13952" s="41">
        <v>1</v>
      </c>
      <c r="G13952" s="41">
        <v>15</v>
      </c>
      <c r="H13952" s="41">
        <v>36.585890000000006</v>
      </c>
      <c r="I13952" s="221"/>
      <c r="J13952" s="221"/>
    </row>
    <row r="13953" spans="1:10" s="15" customFormat="1" ht="24" hidden="1" customHeight="1" outlineLevel="1" x14ac:dyDescent="0.25">
      <c r="A13953" s="18">
        <v>2153</v>
      </c>
      <c r="B13953" s="4" t="s">
        <v>44</v>
      </c>
      <c r="C13953" s="38" t="s">
        <v>11969</v>
      </c>
      <c r="D13953" s="18">
        <v>2023</v>
      </c>
      <c r="E13953" s="18" t="s">
        <v>0</v>
      </c>
      <c r="F13953" s="41">
        <v>1</v>
      </c>
      <c r="G13953" s="41">
        <v>15</v>
      </c>
      <c r="H13953" s="41">
        <v>36.585910000000005</v>
      </c>
      <c r="I13953" s="221"/>
      <c r="J13953" s="221"/>
    </row>
    <row r="13954" spans="1:10" s="15" customFormat="1" ht="24" hidden="1" customHeight="1" outlineLevel="1" x14ac:dyDescent="0.25">
      <c r="A13954" s="18">
        <v>2162</v>
      </c>
      <c r="B13954" s="4" t="s">
        <v>44</v>
      </c>
      <c r="C13954" s="38" t="s">
        <v>11970</v>
      </c>
      <c r="D13954" s="18">
        <v>2023</v>
      </c>
      <c r="E13954" s="18" t="s">
        <v>0</v>
      </c>
      <c r="F13954" s="41">
        <v>1</v>
      </c>
      <c r="G13954" s="41">
        <v>15</v>
      </c>
      <c r="H13954" s="41">
        <v>35.854169999999996</v>
      </c>
      <c r="I13954" s="221"/>
      <c r="J13954" s="221"/>
    </row>
    <row r="13955" spans="1:10" s="15" customFormat="1" ht="24" hidden="1" customHeight="1" outlineLevel="1" x14ac:dyDescent="0.25">
      <c r="A13955" s="18">
        <v>6458</v>
      </c>
      <c r="B13955" s="4" t="s">
        <v>44</v>
      </c>
      <c r="C13955" s="38" t="s">
        <v>11971</v>
      </c>
      <c r="D13955" s="18">
        <v>2023</v>
      </c>
      <c r="E13955" s="18" t="s">
        <v>0</v>
      </c>
      <c r="F13955" s="41">
        <v>1</v>
      </c>
      <c r="G13955" s="41">
        <v>15</v>
      </c>
      <c r="H13955" s="41">
        <v>35.854190000000003</v>
      </c>
      <c r="I13955" s="221"/>
      <c r="J13955" s="221"/>
    </row>
    <row r="13956" spans="1:10" s="15" customFormat="1" ht="24" hidden="1" customHeight="1" outlineLevel="1" x14ac:dyDescent="0.25">
      <c r="A13956" s="18">
        <v>2151</v>
      </c>
      <c r="B13956" s="4" t="s">
        <v>44</v>
      </c>
      <c r="C13956" s="38" t="s">
        <v>11972</v>
      </c>
      <c r="D13956" s="18">
        <v>2023</v>
      </c>
      <c r="E13956" s="18" t="s">
        <v>0</v>
      </c>
      <c r="F13956" s="41">
        <v>1</v>
      </c>
      <c r="G13956" s="41">
        <v>15</v>
      </c>
      <c r="H13956" s="41">
        <v>35.122529999999998</v>
      </c>
      <c r="I13956" s="221"/>
      <c r="J13956" s="221"/>
    </row>
    <row r="13957" spans="1:10" s="15" customFormat="1" ht="24" hidden="1" customHeight="1" outlineLevel="1" x14ac:dyDescent="0.25">
      <c r="A13957" s="18">
        <v>2199</v>
      </c>
      <c r="B13957" s="4" t="s">
        <v>44</v>
      </c>
      <c r="C13957" s="38" t="s">
        <v>11973</v>
      </c>
      <c r="D13957" s="18">
        <v>2023</v>
      </c>
      <c r="E13957" s="18" t="s">
        <v>0</v>
      </c>
      <c r="F13957" s="41">
        <v>1</v>
      </c>
      <c r="G13957" s="41">
        <v>10</v>
      </c>
      <c r="H13957" s="41">
        <v>35.854190000000003</v>
      </c>
      <c r="I13957" s="221"/>
      <c r="J13957" s="221"/>
    </row>
    <row r="13958" spans="1:10" s="15" customFormat="1" ht="24" hidden="1" customHeight="1" outlineLevel="1" x14ac:dyDescent="0.25">
      <c r="A13958" s="18">
        <v>6459</v>
      </c>
      <c r="B13958" s="4" t="s">
        <v>44</v>
      </c>
      <c r="C13958" s="38" t="s">
        <v>11974</v>
      </c>
      <c r="D13958" s="18">
        <v>2023</v>
      </c>
      <c r="E13958" s="18" t="s">
        <v>0</v>
      </c>
      <c r="F13958" s="41">
        <v>1</v>
      </c>
      <c r="G13958" s="41">
        <v>10</v>
      </c>
      <c r="H13958" s="41">
        <v>35.854169999999996</v>
      </c>
      <c r="I13958" s="221"/>
      <c r="J13958" s="221"/>
    </row>
    <row r="13959" spans="1:10" s="15" customFormat="1" ht="24" hidden="1" customHeight="1" outlineLevel="1" x14ac:dyDescent="0.25">
      <c r="A13959" s="18">
        <v>6460</v>
      </c>
      <c r="B13959" s="4" t="s">
        <v>44</v>
      </c>
      <c r="C13959" s="38" t="s">
        <v>11975</v>
      </c>
      <c r="D13959" s="18">
        <v>2023</v>
      </c>
      <c r="E13959" s="18" t="s">
        <v>0</v>
      </c>
      <c r="F13959" s="41">
        <v>1</v>
      </c>
      <c r="G13959" s="41">
        <v>15</v>
      </c>
      <c r="H13959" s="41">
        <v>35.854169999999996</v>
      </c>
      <c r="I13959" s="221"/>
      <c r="J13959" s="221"/>
    </row>
    <row r="13960" spans="1:10" s="15" customFormat="1" ht="24" hidden="1" customHeight="1" outlineLevel="1" x14ac:dyDescent="0.25">
      <c r="A13960" s="18">
        <v>2115</v>
      </c>
      <c r="B13960" s="4" t="s">
        <v>44</v>
      </c>
      <c r="C13960" s="38" t="s">
        <v>11976</v>
      </c>
      <c r="D13960" s="18">
        <v>2023</v>
      </c>
      <c r="E13960" s="18" t="s">
        <v>0</v>
      </c>
      <c r="F13960" s="41">
        <v>1</v>
      </c>
      <c r="G13960" s="41">
        <v>3</v>
      </c>
      <c r="H13960" s="41">
        <v>35.854190000000003</v>
      </c>
      <c r="I13960" s="221"/>
      <c r="J13960" s="221"/>
    </row>
    <row r="13961" spans="1:10" s="15" customFormat="1" ht="24" hidden="1" customHeight="1" outlineLevel="1" x14ac:dyDescent="0.25">
      <c r="A13961" s="18">
        <v>1026</v>
      </c>
      <c r="B13961" s="4" t="s">
        <v>44</v>
      </c>
      <c r="C13961" s="38" t="s">
        <v>11977</v>
      </c>
      <c r="D13961" s="18">
        <v>2023</v>
      </c>
      <c r="E13961" s="18" t="s">
        <v>0</v>
      </c>
      <c r="F13961" s="41">
        <v>1</v>
      </c>
      <c r="G13961" s="41">
        <v>15</v>
      </c>
      <c r="H13961" s="41">
        <v>35.122560000000007</v>
      </c>
      <c r="I13961" s="221"/>
      <c r="J13961" s="221"/>
    </row>
    <row r="13962" spans="1:10" s="15" customFormat="1" ht="24" hidden="1" customHeight="1" outlineLevel="1" x14ac:dyDescent="0.25">
      <c r="A13962" s="18">
        <v>907</v>
      </c>
      <c r="B13962" s="4" t="s">
        <v>44</v>
      </c>
      <c r="C13962" s="38" t="s">
        <v>11978</v>
      </c>
      <c r="D13962" s="18">
        <v>2023</v>
      </c>
      <c r="E13962" s="18" t="s">
        <v>0</v>
      </c>
      <c r="F13962" s="41">
        <v>1</v>
      </c>
      <c r="G13962" s="41">
        <v>15</v>
      </c>
      <c r="H13962" s="41">
        <v>35.122529999999998</v>
      </c>
      <c r="I13962" s="221"/>
      <c r="J13962" s="221"/>
    </row>
    <row r="13963" spans="1:10" s="15" customFormat="1" ht="24" hidden="1" customHeight="1" outlineLevel="1" x14ac:dyDescent="0.25">
      <c r="A13963" s="18">
        <v>1292</v>
      </c>
      <c r="B13963" s="4" t="s">
        <v>44</v>
      </c>
      <c r="C13963" s="38" t="s">
        <v>11979</v>
      </c>
      <c r="D13963" s="18">
        <v>2023</v>
      </c>
      <c r="E13963" s="18" t="s">
        <v>0</v>
      </c>
      <c r="F13963" s="41">
        <v>1</v>
      </c>
      <c r="G13963" s="41">
        <v>10</v>
      </c>
      <c r="H13963" s="41">
        <v>37.31758</v>
      </c>
      <c r="I13963" s="221"/>
      <c r="J13963" s="221"/>
    </row>
    <row r="13964" spans="1:10" s="15" customFormat="1" ht="24" hidden="1" customHeight="1" outlineLevel="1" x14ac:dyDescent="0.25">
      <c r="A13964" s="18">
        <v>6461</v>
      </c>
      <c r="B13964" s="4" t="s">
        <v>44</v>
      </c>
      <c r="C13964" s="38" t="s">
        <v>11980</v>
      </c>
      <c r="D13964" s="18">
        <v>2023</v>
      </c>
      <c r="E13964" s="18" t="s">
        <v>0</v>
      </c>
      <c r="F13964" s="41">
        <v>1</v>
      </c>
      <c r="G13964" s="41">
        <v>15</v>
      </c>
      <c r="H13964" s="41">
        <v>37.31756</v>
      </c>
      <c r="I13964" s="221"/>
      <c r="J13964" s="221"/>
    </row>
    <row r="13965" spans="1:10" s="15" customFormat="1" ht="24" hidden="1" customHeight="1" outlineLevel="1" x14ac:dyDescent="0.25">
      <c r="A13965" s="18">
        <v>6462</v>
      </c>
      <c r="B13965" s="4" t="s">
        <v>44</v>
      </c>
      <c r="C13965" s="38" t="s">
        <v>11981</v>
      </c>
      <c r="D13965" s="18">
        <v>2023</v>
      </c>
      <c r="E13965" s="18" t="s">
        <v>0</v>
      </c>
      <c r="F13965" s="41">
        <v>1</v>
      </c>
      <c r="G13965" s="41">
        <v>15</v>
      </c>
      <c r="H13965" s="41">
        <v>35.854190000000003</v>
      </c>
      <c r="I13965" s="221"/>
      <c r="J13965" s="221"/>
    </row>
    <row r="13966" spans="1:10" s="15" customFormat="1" ht="24" hidden="1" customHeight="1" outlineLevel="1" x14ac:dyDescent="0.25">
      <c r="A13966" s="18">
        <v>6463</v>
      </c>
      <c r="B13966" s="4" t="s">
        <v>44</v>
      </c>
      <c r="C13966" s="38" t="s">
        <v>11982</v>
      </c>
      <c r="D13966" s="18">
        <v>2023</v>
      </c>
      <c r="E13966" s="18" t="s">
        <v>0</v>
      </c>
      <c r="F13966" s="41">
        <v>1</v>
      </c>
      <c r="G13966" s="41">
        <v>10</v>
      </c>
      <c r="H13966" s="41">
        <v>35.854169999999996</v>
      </c>
      <c r="I13966" s="221"/>
      <c r="J13966" s="221"/>
    </row>
    <row r="13967" spans="1:10" s="15" customFormat="1" ht="24" hidden="1" customHeight="1" outlineLevel="1" x14ac:dyDescent="0.25">
      <c r="A13967" s="18">
        <v>6404</v>
      </c>
      <c r="B13967" s="4" t="s">
        <v>44</v>
      </c>
      <c r="C13967" s="38" t="s">
        <v>11983</v>
      </c>
      <c r="D13967" s="18">
        <v>2023</v>
      </c>
      <c r="E13967" s="18" t="s">
        <v>0</v>
      </c>
      <c r="F13967" s="41">
        <v>1</v>
      </c>
      <c r="G13967" s="41">
        <v>15</v>
      </c>
      <c r="H13967" s="41">
        <v>41.214679999999994</v>
      </c>
      <c r="I13967" s="221"/>
      <c r="J13967" s="221"/>
    </row>
    <row r="13968" spans="1:10" s="15" customFormat="1" ht="24" hidden="1" customHeight="1" outlineLevel="1" x14ac:dyDescent="0.25">
      <c r="A13968" s="18">
        <v>6407</v>
      </c>
      <c r="B13968" s="4" t="s">
        <v>44</v>
      </c>
      <c r="C13968" s="38" t="s">
        <v>11984</v>
      </c>
      <c r="D13968" s="18">
        <v>2023</v>
      </c>
      <c r="E13968" s="18" t="s">
        <v>0</v>
      </c>
      <c r="F13968" s="41">
        <v>1</v>
      </c>
      <c r="G13968" s="41">
        <v>15</v>
      </c>
      <c r="H13968" s="41">
        <v>40.609930000000006</v>
      </c>
      <c r="I13968" s="221"/>
      <c r="J13968" s="221"/>
    </row>
    <row r="13969" spans="1:10" s="15" customFormat="1" ht="24" hidden="1" customHeight="1" outlineLevel="1" x14ac:dyDescent="0.25">
      <c r="A13969" s="18">
        <v>2251</v>
      </c>
      <c r="B13969" s="4" t="s">
        <v>44</v>
      </c>
      <c r="C13969" s="38" t="s">
        <v>11985</v>
      </c>
      <c r="D13969" s="18">
        <v>2023</v>
      </c>
      <c r="E13969" s="18" t="s">
        <v>0</v>
      </c>
      <c r="F13969" s="41">
        <v>1</v>
      </c>
      <c r="G13969" s="41">
        <v>1</v>
      </c>
      <c r="H13969" s="41">
        <v>40.567319999999995</v>
      </c>
      <c r="I13969" s="221"/>
      <c r="J13969" s="221"/>
    </row>
    <row r="13970" spans="1:10" s="15" customFormat="1" ht="24" hidden="1" customHeight="1" outlineLevel="1" x14ac:dyDescent="0.25">
      <c r="A13970" s="18">
        <v>1667</v>
      </c>
      <c r="B13970" s="4" t="s">
        <v>44</v>
      </c>
      <c r="C13970" s="38" t="s">
        <v>11986</v>
      </c>
      <c r="D13970" s="18">
        <v>2023</v>
      </c>
      <c r="E13970" s="18" t="s">
        <v>0</v>
      </c>
      <c r="F13970" s="41">
        <v>1</v>
      </c>
      <c r="G13970" s="41">
        <v>15</v>
      </c>
      <c r="H13970" s="41">
        <v>40.67304</v>
      </c>
      <c r="I13970" s="221"/>
      <c r="J13970" s="221"/>
    </row>
    <row r="13971" spans="1:10" s="15" customFormat="1" ht="24" hidden="1" customHeight="1" outlineLevel="1" x14ac:dyDescent="0.25">
      <c r="A13971" s="18">
        <v>6408</v>
      </c>
      <c r="B13971" s="4" t="s">
        <v>44</v>
      </c>
      <c r="C13971" s="38" t="s">
        <v>11987</v>
      </c>
      <c r="D13971" s="18">
        <v>2023</v>
      </c>
      <c r="E13971" s="18" t="s">
        <v>0</v>
      </c>
      <c r="F13971" s="41">
        <v>1</v>
      </c>
      <c r="G13971" s="41">
        <v>15</v>
      </c>
      <c r="H13971" s="41">
        <v>40.439749999999997</v>
      </c>
      <c r="I13971" s="221"/>
      <c r="J13971" s="221"/>
    </row>
    <row r="13972" spans="1:10" s="15" customFormat="1" ht="24" hidden="1" customHeight="1" outlineLevel="1" x14ac:dyDescent="0.25">
      <c r="A13972" s="18">
        <v>6409</v>
      </c>
      <c r="B13972" s="4" t="s">
        <v>44</v>
      </c>
      <c r="C13972" s="38" t="s">
        <v>11988</v>
      </c>
      <c r="D13972" s="18">
        <v>2023</v>
      </c>
      <c r="E13972" s="18" t="s">
        <v>0</v>
      </c>
      <c r="F13972" s="41">
        <v>1</v>
      </c>
      <c r="G13972" s="41">
        <v>10</v>
      </c>
      <c r="H13972" s="41">
        <v>41.015219999999999</v>
      </c>
      <c r="I13972" s="221"/>
      <c r="J13972" s="221"/>
    </row>
    <row r="13973" spans="1:10" s="15" customFormat="1" ht="24" hidden="1" customHeight="1" outlineLevel="1" x14ac:dyDescent="0.25">
      <c r="A13973" s="18">
        <v>1189</v>
      </c>
      <c r="B13973" s="4" t="s">
        <v>44</v>
      </c>
      <c r="C13973" s="38" t="s">
        <v>11989</v>
      </c>
      <c r="D13973" s="18">
        <v>2023</v>
      </c>
      <c r="E13973" s="18" t="s">
        <v>0</v>
      </c>
      <c r="F13973" s="41">
        <v>1</v>
      </c>
      <c r="G13973" s="41">
        <v>10</v>
      </c>
      <c r="H13973" s="41">
        <v>39.853680000000004</v>
      </c>
      <c r="I13973" s="221"/>
      <c r="J13973" s="221"/>
    </row>
    <row r="13974" spans="1:10" s="15" customFormat="1" ht="24" hidden="1" customHeight="1" outlineLevel="1" x14ac:dyDescent="0.25">
      <c r="A13974" s="18">
        <v>2194</v>
      </c>
      <c r="B13974" s="4" t="s">
        <v>44</v>
      </c>
      <c r="C13974" s="38" t="s">
        <v>11990</v>
      </c>
      <c r="D13974" s="18">
        <v>2023</v>
      </c>
      <c r="E13974" s="18" t="s">
        <v>0</v>
      </c>
      <c r="F13974" s="41">
        <v>1</v>
      </c>
      <c r="G13974" s="41">
        <v>1</v>
      </c>
      <c r="H13974" s="41">
        <v>40.434620000000002</v>
      </c>
      <c r="I13974" s="221"/>
      <c r="J13974" s="221"/>
    </row>
    <row r="13975" spans="1:10" s="15" customFormat="1" ht="24" hidden="1" customHeight="1" outlineLevel="1" x14ac:dyDescent="0.25">
      <c r="A13975" s="18">
        <v>6471</v>
      </c>
      <c r="B13975" s="4" t="s">
        <v>44</v>
      </c>
      <c r="C13975" s="38" t="s">
        <v>11991</v>
      </c>
      <c r="D13975" s="18">
        <v>2023</v>
      </c>
      <c r="E13975" s="18" t="s">
        <v>0</v>
      </c>
      <c r="F13975" s="41">
        <v>1</v>
      </c>
      <c r="G13975" s="41">
        <v>14</v>
      </c>
      <c r="H13975" s="41">
        <v>43.709949999999999</v>
      </c>
      <c r="I13975" s="221"/>
      <c r="J13975" s="221"/>
    </row>
    <row r="13976" spans="1:10" s="15" customFormat="1" ht="24" hidden="1" customHeight="1" outlineLevel="1" x14ac:dyDescent="0.25">
      <c r="A13976" s="18">
        <v>6478</v>
      </c>
      <c r="B13976" s="4" t="s">
        <v>44</v>
      </c>
      <c r="C13976" s="38" t="s">
        <v>11992</v>
      </c>
      <c r="D13976" s="18">
        <v>2023</v>
      </c>
      <c r="E13976" s="18" t="s">
        <v>0</v>
      </c>
      <c r="F13976" s="41">
        <v>1</v>
      </c>
      <c r="G13976" s="41">
        <v>15</v>
      </c>
      <c r="H13976" s="41">
        <v>43.501940000000005</v>
      </c>
      <c r="I13976" s="221"/>
      <c r="J13976" s="221"/>
    </row>
    <row r="13977" spans="1:10" s="15" customFormat="1" ht="24" hidden="1" customHeight="1" outlineLevel="1" x14ac:dyDescent="0.25">
      <c r="A13977" s="18">
        <v>6479</v>
      </c>
      <c r="B13977" s="4" t="s">
        <v>44</v>
      </c>
      <c r="C13977" s="38" t="s">
        <v>11993</v>
      </c>
      <c r="D13977" s="18">
        <v>2023</v>
      </c>
      <c r="E13977" s="18" t="s">
        <v>0</v>
      </c>
      <c r="F13977" s="41">
        <v>1</v>
      </c>
      <c r="G13977" s="41">
        <v>15</v>
      </c>
      <c r="H13977" s="41">
        <v>43.501940000000005</v>
      </c>
      <c r="I13977" s="221"/>
      <c r="J13977" s="221"/>
    </row>
    <row r="13978" spans="1:10" s="15" customFormat="1" ht="24" hidden="1" customHeight="1" outlineLevel="1" x14ac:dyDescent="0.25">
      <c r="A13978" s="18">
        <v>6480</v>
      </c>
      <c r="B13978" s="4" t="s">
        <v>44</v>
      </c>
      <c r="C13978" s="38" t="s">
        <v>11994</v>
      </c>
      <c r="D13978" s="18">
        <v>2023</v>
      </c>
      <c r="E13978" s="18" t="s">
        <v>0</v>
      </c>
      <c r="F13978" s="41">
        <v>1</v>
      </c>
      <c r="G13978" s="41">
        <v>15</v>
      </c>
      <c r="H13978" s="41">
        <v>43.501940000000005</v>
      </c>
      <c r="I13978" s="221"/>
      <c r="J13978" s="221"/>
    </row>
    <row r="13979" spans="1:10" s="15" customFormat="1" ht="24" hidden="1" customHeight="1" outlineLevel="1" x14ac:dyDescent="0.25">
      <c r="A13979" s="18">
        <v>2233</v>
      </c>
      <c r="B13979" s="4" t="s">
        <v>44</v>
      </c>
      <c r="C13979" s="38" t="s">
        <v>11995</v>
      </c>
      <c r="D13979" s="18">
        <v>2023</v>
      </c>
      <c r="E13979" s="18" t="s">
        <v>0</v>
      </c>
      <c r="F13979" s="41">
        <v>1</v>
      </c>
      <c r="G13979" s="41">
        <v>5</v>
      </c>
      <c r="H13979" s="41">
        <v>43.501940000000005</v>
      </c>
      <c r="I13979" s="221"/>
      <c r="J13979" s="221"/>
    </row>
    <row r="13980" spans="1:10" s="15" customFormat="1" ht="24" hidden="1" customHeight="1" outlineLevel="1" x14ac:dyDescent="0.25">
      <c r="A13980" s="18">
        <v>2260</v>
      </c>
      <c r="B13980" s="4" t="s">
        <v>44</v>
      </c>
      <c r="C13980" s="38" t="s">
        <v>11996</v>
      </c>
      <c r="D13980" s="18">
        <v>2023</v>
      </c>
      <c r="E13980" s="18" t="s">
        <v>0</v>
      </c>
      <c r="F13980" s="41">
        <v>1</v>
      </c>
      <c r="G13980" s="41">
        <v>5</v>
      </c>
      <c r="H13980" s="41">
        <v>43.501940000000005</v>
      </c>
      <c r="I13980" s="221"/>
      <c r="J13980" s="221"/>
    </row>
    <row r="13981" spans="1:10" s="15" customFormat="1" ht="24" hidden="1" customHeight="1" outlineLevel="1" x14ac:dyDescent="0.25">
      <c r="A13981" s="18">
        <v>6483</v>
      </c>
      <c r="B13981" s="4" t="s">
        <v>44</v>
      </c>
      <c r="C13981" s="38" t="s">
        <v>11997</v>
      </c>
      <c r="D13981" s="18">
        <v>2023</v>
      </c>
      <c r="E13981" s="18" t="s">
        <v>0</v>
      </c>
      <c r="F13981" s="41">
        <v>1</v>
      </c>
      <c r="G13981" s="41">
        <v>10</v>
      </c>
      <c r="H13981" s="41">
        <v>43.501940000000005</v>
      </c>
      <c r="I13981" s="221"/>
      <c r="J13981" s="221"/>
    </row>
    <row r="13982" spans="1:10" s="15" customFormat="1" ht="24" hidden="1" customHeight="1" outlineLevel="1" x14ac:dyDescent="0.25">
      <c r="A13982" s="18">
        <v>6484</v>
      </c>
      <c r="B13982" s="4" t="s">
        <v>44</v>
      </c>
      <c r="C13982" s="38" t="s">
        <v>11998</v>
      </c>
      <c r="D13982" s="18">
        <v>2023</v>
      </c>
      <c r="E13982" s="18" t="s">
        <v>0</v>
      </c>
      <c r="F13982" s="41">
        <v>1</v>
      </c>
      <c r="G13982" s="41">
        <v>10</v>
      </c>
      <c r="H13982" s="41">
        <v>43.501940000000005</v>
      </c>
      <c r="I13982" s="221"/>
      <c r="J13982" s="221"/>
    </row>
    <row r="13983" spans="1:10" s="15" customFormat="1" ht="24" hidden="1" customHeight="1" outlineLevel="1" x14ac:dyDescent="0.25">
      <c r="A13983" s="18">
        <v>6485</v>
      </c>
      <c r="B13983" s="4" t="s">
        <v>44</v>
      </c>
      <c r="C13983" s="38" t="s">
        <v>11999</v>
      </c>
      <c r="D13983" s="18">
        <v>2023</v>
      </c>
      <c r="E13983" s="18" t="s">
        <v>0</v>
      </c>
      <c r="F13983" s="41">
        <v>1</v>
      </c>
      <c r="G13983" s="41">
        <v>15</v>
      </c>
      <c r="H13983" s="41">
        <v>43.501940000000005</v>
      </c>
      <c r="I13983" s="221"/>
      <c r="J13983" s="221"/>
    </row>
    <row r="13984" spans="1:10" s="15" customFormat="1" ht="24" hidden="1" customHeight="1" outlineLevel="1" x14ac:dyDescent="0.25">
      <c r="A13984" s="18">
        <v>6486</v>
      </c>
      <c r="B13984" s="4" t="s">
        <v>44</v>
      </c>
      <c r="C13984" s="38" t="s">
        <v>12000</v>
      </c>
      <c r="D13984" s="18">
        <v>2023</v>
      </c>
      <c r="E13984" s="18" t="s">
        <v>0</v>
      </c>
      <c r="F13984" s="41">
        <v>1</v>
      </c>
      <c r="G13984" s="41">
        <v>15</v>
      </c>
      <c r="H13984" s="41">
        <v>43.501940000000005</v>
      </c>
      <c r="I13984" s="221"/>
      <c r="J13984" s="221"/>
    </row>
    <row r="13985" spans="1:10" s="15" customFormat="1" ht="24" hidden="1" customHeight="1" outlineLevel="1" x14ac:dyDescent="0.25">
      <c r="A13985" s="18">
        <v>6487</v>
      </c>
      <c r="B13985" s="4" t="s">
        <v>44</v>
      </c>
      <c r="C13985" s="38" t="s">
        <v>12001</v>
      </c>
      <c r="D13985" s="18">
        <v>2023</v>
      </c>
      <c r="E13985" s="18" t="s">
        <v>0</v>
      </c>
      <c r="F13985" s="41">
        <v>1</v>
      </c>
      <c r="G13985" s="41">
        <v>15</v>
      </c>
      <c r="H13985" s="41">
        <v>43.501940000000005</v>
      </c>
      <c r="I13985" s="221"/>
      <c r="J13985" s="221"/>
    </row>
    <row r="13986" spans="1:10" s="15" customFormat="1" ht="24" hidden="1" customHeight="1" outlineLevel="1" x14ac:dyDescent="0.25">
      <c r="A13986" s="18">
        <v>6488</v>
      </c>
      <c r="B13986" s="4" t="s">
        <v>44</v>
      </c>
      <c r="C13986" s="38" t="s">
        <v>12002</v>
      </c>
      <c r="D13986" s="18">
        <v>2023</v>
      </c>
      <c r="E13986" s="18" t="s">
        <v>0</v>
      </c>
      <c r="F13986" s="41">
        <v>1</v>
      </c>
      <c r="G13986" s="41">
        <v>15</v>
      </c>
      <c r="H13986" s="41">
        <v>43.501940000000005</v>
      </c>
      <c r="I13986" s="221"/>
      <c r="J13986" s="221"/>
    </row>
    <row r="13987" spans="1:10" s="15" customFormat="1" ht="24" hidden="1" customHeight="1" outlineLevel="1" x14ac:dyDescent="0.25">
      <c r="A13987" s="18">
        <v>755</v>
      </c>
      <c r="B13987" s="4" t="s">
        <v>44</v>
      </c>
      <c r="C13987" s="38" t="s">
        <v>12003</v>
      </c>
      <c r="D13987" s="18">
        <v>2023</v>
      </c>
      <c r="E13987" s="18" t="s">
        <v>0</v>
      </c>
      <c r="F13987" s="41">
        <v>1</v>
      </c>
      <c r="G13987" s="41">
        <v>15</v>
      </c>
      <c r="H13987" s="41">
        <v>38.009450000000001</v>
      </c>
      <c r="I13987" s="221"/>
      <c r="J13987" s="221"/>
    </row>
    <row r="13988" spans="1:10" s="15" customFormat="1" ht="24" hidden="1" customHeight="1" outlineLevel="1" x14ac:dyDescent="0.25">
      <c r="A13988" s="18">
        <v>918</v>
      </c>
      <c r="B13988" s="4" t="s">
        <v>44</v>
      </c>
      <c r="C13988" s="38" t="s">
        <v>12004</v>
      </c>
      <c r="D13988" s="18">
        <v>2023</v>
      </c>
      <c r="E13988" s="18" t="s">
        <v>0</v>
      </c>
      <c r="F13988" s="41">
        <v>1</v>
      </c>
      <c r="G13988" s="41">
        <v>15</v>
      </c>
      <c r="H13988" s="41">
        <v>38.009440000000005</v>
      </c>
      <c r="I13988" s="221"/>
      <c r="J13988" s="221"/>
    </row>
    <row r="13989" spans="1:10" s="15" customFormat="1" ht="24" hidden="1" customHeight="1" outlineLevel="1" x14ac:dyDescent="0.25">
      <c r="A13989" s="18">
        <v>6519</v>
      </c>
      <c r="B13989" s="4" t="s">
        <v>44</v>
      </c>
      <c r="C13989" s="38" t="s">
        <v>12005</v>
      </c>
      <c r="D13989" s="18">
        <v>2023</v>
      </c>
      <c r="E13989" s="18" t="s">
        <v>0</v>
      </c>
      <c r="F13989" s="41">
        <v>1</v>
      </c>
      <c r="G13989" s="41">
        <v>17</v>
      </c>
      <c r="H13989" s="41">
        <v>38.009440000000005</v>
      </c>
      <c r="I13989" s="221"/>
      <c r="J13989" s="221"/>
    </row>
    <row r="13990" spans="1:10" s="15" customFormat="1" ht="24" hidden="1" customHeight="1" outlineLevel="1" x14ac:dyDescent="0.25">
      <c r="A13990" s="18">
        <v>6520</v>
      </c>
      <c r="B13990" s="4" t="s">
        <v>44</v>
      </c>
      <c r="C13990" s="38" t="s">
        <v>12006</v>
      </c>
      <c r="D13990" s="18">
        <v>2023</v>
      </c>
      <c r="E13990" s="18" t="s">
        <v>0</v>
      </c>
      <c r="F13990" s="41">
        <v>1</v>
      </c>
      <c r="G13990" s="41">
        <v>15</v>
      </c>
      <c r="H13990" s="41">
        <v>37.233910000000002</v>
      </c>
      <c r="I13990" s="221"/>
      <c r="J13990" s="221"/>
    </row>
    <row r="13991" spans="1:10" s="15" customFormat="1" ht="24" hidden="1" customHeight="1" outlineLevel="1" x14ac:dyDescent="0.25">
      <c r="A13991" s="18">
        <v>1961</v>
      </c>
      <c r="B13991" s="4" t="s">
        <v>44</v>
      </c>
      <c r="C13991" s="38" t="s">
        <v>12007</v>
      </c>
      <c r="D13991" s="18">
        <v>2023</v>
      </c>
      <c r="E13991" s="18" t="s">
        <v>0</v>
      </c>
      <c r="F13991" s="41">
        <v>1</v>
      </c>
      <c r="G13991" s="41">
        <v>15</v>
      </c>
      <c r="H13991" s="41">
        <v>38.526470000000003</v>
      </c>
      <c r="I13991" s="221"/>
      <c r="J13991" s="221"/>
    </row>
    <row r="13992" spans="1:10" s="15" customFormat="1" ht="24" hidden="1" customHeight="1" outlineLevel="1" x14ac:dyDescent="0.25">
      <c r="A13992" s="18">
        <v>6521</v>
      </c>
      <c r="B13992" s="4" t="s">
        <v>44</v>
      </c>
      <c r="C13992" s="38" t="s">
        <v>12008</v>
      </c>
      <c r="D13992" s="18">
        <v>2023</v>
      </c>
      <c r="E13992" s="18" t="s">
        <v>0</v>
      </c>
      <c r="F13992" s="41">
        <v>1</v>
      </c>
      <c r="G13992" s="41">
        <v>14</v>
      </c>
      <c r="H13992" s="41">
        <v>38.009440000000005</v>
      </c>
      <c r="I13992" s="221"/>
      <c r="J13992" s="221"/>
    </row>
    <row r="13993" spans="1:10" s="15" customFormat="1" ht="24" hidden="1" customHeight="1" outlineLevel="1" x14ac:dyDescent="0.25">
      <c r="A13993" s="18">
        <v>6522</v>
      </c>
      <c r="B13993" s="4" t="s">
        <v>44</v>
      </c>
      <c r="C13993" s="38" t="s">
        <v>12009</v>
      </c>
      <c r="D13993" s="18">
        <v>2023</v>
      </c>
      <c r="E13993" s="18" t="s">
        <v>0</v>
      </c>
      <c r="F13993" s="41">
        <v>1</v>
      </c>
      <c r="G13993" s="41">
        <v>13</v>
      </c>
      <c r="H13993" s="41">
        <v>38.009440000000005</v>
      </c>
      <c r="I13993" s="221"/>
      <c r="J13993" s="221"/>
    </row>
    <row r="13994" spans="1:10" s="15" customFormat="1" ht="24" hidden="1" customHeight="1" outlineLevel="1" x14ac:dyDescent="0.25">
      <c r="A13994" s="18">
        <v>6523</v>
      </c>
      <c r="B13994" s="4" t="s">
        <v>44</v>
      </c>
      <c r="C13994" s="38" t="s">
        <v>12010</v>
      </c>
      <c r="D13994" s="18">
        <v>2023</v>
      </c>
      <c r="E13994" s="18" t="s">
        <v>0</v>
      </c>
      <c r="F13994" s="41">
        <v>1</v>
      </c>
      <c r="G13994" s="41">
        <v>14</v>
      </c>
      <c r="H13994" s="41">
        <v>37.233910000000002</v>
      </c>
      <c r="I13994" s="221"/>
      <c r="J13994" s="221"/>
    </row>
    <row r="13995" spans="1:10" s="15" customFormat="1" ht="24" hidden="1" customHeight="1" outlineLevel="1" x14ac:dyDescent="0.25">
      <c r="A13995" s="18">
        <v>6524</v>
      </c>
      <c r="B13995" s="4" t="s">
        <v>44</v>
      </c>
      <c r="C13995" s="38" t="s">
        <v>12011</v>
      </c>
      <c r="D13995" s="18">
        <v>2023</v>
      </c>
      <c r="E13995" s="18" t="s">
        <v>0</v>
      </c>
      <c r="F13995" s="41">
        <v>1</v>
      </c>
      <c r="G13995" s="41">
        <v>15</v>
      </c>
      <c r="H13995" s="41">
        <v>40.594530000000006</v>
      </c>
      <c r="I13995" s="221"/>
      <c r="J13995" s="221"/>
    </row>
    <row r="13996" spans="1:10" s="15" customFormat="1" ht="24" hidden="1" customHeight="1" outlineLevel="1" x14ac:dyDescent="0.25">
      <c r="A13996" s="18">
        <v>6525</v>
      </c>
      <c r="B13996" s="4" t="s">
        <v>44</v>
      </c>
      <c r="C13996" s="38" t="s">
        <v>12012</v>
      </c>
      <c r="D13996" s="18">
        <v>2023</v>
      </c>
      <c r="E13996" s="18" t="s">
        <v>0</v>
      </c>
      <c r="F13996" s="41">
        <v>1</v>
      </c>
      <c r="G13996" s="41">
        <v>15</v>
      </c>
      <c r="H13996" s="41">
        <v>39.301969999999997</v>
      </c>
      <c r="I13996" s="221"/>
      <c r="J13996" s="221"/>
    </row>
    <row r="13997" spans="1:10" s="15" customFormat="1" ht="24" hidden="1" customHeight="1" outlineLevel="1" x14ac:dyDescent="0.25">
      <c r="A13997" s="18">
        <v>2278</v>
      </c>
      <c r="B13997" s="4" t="s">
        <v>44</v>
      </c>
      <c r="C13997" s="38" t="s">
        <v>12013</v>
      </c>
      <c r="D13997" s="18">
        <v>2023</v>
      </c>
      <c r="E13997" s="18" t="s">
        <v>0</v>
      </c>
      <c r="F13997" s="41">
        <v>1</v>
      </c>
      <c r="G13997" s="41">
        <v>15</v>
      </c>
      <c r="H13997" s="41">
        <v>36.975459999999998</v>
      </c>
      <c r="I13997" s="221"/>
      <c r="J13997" s="221"/>
    </row>
    <row r="13998" spans="1:10" s="15" customFormat="1" ht="24" hidden="1" customHeight="1" outlineLevel="1" x14ac:dyDescent="0.25">
      <c r="A13998" s="18">
        <v>6526</v>
      </c>
      <c r="B13998" s="4" t="s">
        <v>44</v>
      </c>
      <c r="C13998" s="38" t="s">
        <v>12014</v>
      </c>
      <c r="D13998" s="18">
        <v>2023</v>
      </c>
      <c r="E13998" s="18" t="s">
        <v>0</v>
      </c>
      <c r="F13998" s="41">
        <v>1</v>
      </c>
      <c r="G13998" s="41">
        <v>15</v>
      </c>
      <c r="H13998" s="41">
        <v>38.655719999999988</v>
      </c>
      <c r="I13998" s="221"/>
      <c r="J13998" s="221"/>
    </row>
    <row r="13999" spans="1:10" s="15" customFormat="1" ht="24" hidden="1" customHeight="1" outlineLevel="1" x14ac:dyDescent="0.25">
      <c r="A13999" s="18">
        <v>6527</v>
      </c>
      <c r="B13999" s="4" t="s">
        <v>44</v>
      </c>
      <c r="C13999" s="38" t="s">
        <v>12015</v>
      </c>
      <c r="D13999" s="18">
        <v>2023</v>
      </c>
      <c r="E13999" s="18" t="s">
        <v>0</v>
      </c>
      <c r="F13999" s="41">
        <v>1</v>
      </c>
      <c r="G13999" s="41">
        <v>10</v>
      </c>
      <c r="H13999" s="41">
        <v>46.894509999999997</v>
      </c>
      <c r="I13999" s="221"/>
      <c r="J13999" s="221"/>
    </row>
    <row r="14000" spans="1:10" s="15" customFormat="1" ht="24" hidden="1" customHeight="1" outlineLevel="1" x14ac:dyDescent="0.25">
      <c r="A14000" s="18">
        <v>2280</v>
      </c>
      <c r="B14000" s="4" t="s">
        <v>44</v>
      </c>
      <c r="C14000" s="38" t="s">
        <v>12016</v>
      </c>
      <c r="D14000" s="18">
        <v>2023</v>
      </c>
      <c r="E14000" s="18" t="s">
        <v>0</v>
      </c>
      <c r="F14000" s="41">
        <v>1</v>
      </c>
      <c r="G14000" s="41">
        <v>5</v>
      </c>
      <c r="H14000" s="41">
        <v>38.655729999999998</v>
      </c>
      <c r="I14000" s="221"/>
      <c r="J14000" s="221"/>
    </row>
    <row r="14001" spans="1:10" s="15" customFormat="1" ht="24" hidden="1" customHeight="1" outlineLevel="1" x14ac:dyDescent="0.25">
      <c r="A14001" s="18">
        <v>6528</v>
      </c>
      <c r="B14001" s="4" t="s">
        <v>44</v>
      </c>
      <c r="C14001" s="38" t="s">
        <v>12017</v>
      </c>
      <c r="D14001" s="18">
        <v>2023</v>
      </c>
      <c r="E14001" s="18" t="s">
        <v>0</v>
      </c>
      <c r="F14001" s="41">
        <v>1</v>
      </c>
      <c r="G14001" s="41">
        <v>10</v>
      </c>
      <c r="H14001" s="41">
        <v>47.057259999999999</v>
      </c>
      <c r="I14001" s="221"/>
      <c r="J14001" s="221"/>
    </row>
    <row r="14002" spans="1:10" s="15" customFormat="1" ht="24" hidden="1" customHeight="1" outlineLevel="1" x14ac:dyDescent="0.25">
      <c r="A14002" s="18">
        <v>6529</v>
      </c>
      <c r="B14002" s="4" t="s">
        <v>44</v>
      </c>
      <c r="C14002" s="38" t="s">
        <v>12018</v>
      </c>
      <c r="D14002" s="18">
        <v>2023</v>
      </c>
      <c r="E14002" s="18" t="s">
        <v>0</v>
      </c>
      <c r="F14002" s="41">
        <v>1</v>
      </c>
      <c r="G14002" s="41">
        <v>10</v>
      </c>
      <c r="H14002" s="41">
        <v>38.009440000000005</v>
      </c>
      <c r="I14002" s="221"/>
      <c r="J14002" s="221"/>
    </row>
    <row r="14003" spans="1:10" s="15" customFormat="1" ht="24" hidden="1" customHeight="1" outlineLevel="1" x14ac:dyDescent="0.25">
      <c r="A14003" s="18">
        <v>2306</v>
      </c>
      <c r="B14003" s="4" t="s">
        <v>44</v>
      </c>
      <c r="C14003" s="38" t="s">
        <v>12019</v>
      </c>
      <c r="D14003" s="18">
        <v>2023</v>
      </c>
      <c r="E14003" s="18" t="s">
        <v>0</v>
      </c>
      <c r="F14003" s="41">
        <v>1</v>
      </c>
      <c r="G14003" s="41">
        <v>3</v>
      </c>
      <c r="H14003" s="41">
        <v>38.009440000000005</v>
      </c>
      <c r="I14003" s="221"/>
      <c r="J14003" s="221"/>
    </row>
    <row r="14004" spans="1:10" s="15" customFormat="1" ht="24" hidden="1" customHeight="1" outlineLevel="1" x14ac:dyDescent="0.25">
      <c r="A14004" s="18">
        <v>6530</v>
      </c>
      <c r="B14004" s="4" t="s">
        <v>44</v>
      </c>
      <c r="C14004" s="38" t="s">
        <v>12020</v>
      </c>
      <c r="D14004" s="18">
        <v>2023</v>
      </c>
      <c r="E14004" s="18" t="s">
        <v>0</v>
      </c>
      <c r="F14004" s="41">
        <v>1</v>
      </c>
      <c r="G14004" s="41">
        <v>10</v>
      </c>
      <c r="H14004" s="41">
        <v>45.764770000000006</v>
      </c>
      <c r="I14004" s="221"/>
      <c r="J14004" s="221"/>
    </row>
    <row r="14005" spans="1:10" s="15" customFormat="1" ht="24" hidden="1" customHeight="1" outlineLevel="1" x14ac:dyDescent="0.25">
      <c r="A14005" s="18">
        <v>6531</v>
      </c>
      <c r="B14005" s="4" t="s">
        <v>44</v>
      </c>
      <c r="C14005" s="38" t="s">
        <v>12021</v>
      </c>
      <c r="D14005" s="18">
        <v>2023</v>
      </c>
      <c r="E14005" s="18" t="s">
        <v>0</v>
      </c>
      <c r="F14005" s="41">
        <v>1</v>
      </c>
      <c r="G14005" s="41">
        <v>15</v>
      </c>
      <c r="H14005" s="41">
        <v>45.764710000000001</v>
      </c>
      <c r="I14005" s="221"/>
      <c r="J14005" s="221"/>
    </row>
    <row r="14006" spans="1:10" s="15" customFormat="1" ht="24" hidden="1" customHeight="1" outlineLevel="1" x14ac:dyDescent="0.25">
      <c r="A14006" s="18">
        <v>6492</v>
      </c>
      <c r="B14006" s="4" t="s">
        <v>44</v>
      </c>
      <c r="C14006" s="38" t="s">
        <v>12022</v>
      </c>
      <c r="D14006" s="18">
        <v>2023</v>
      </c>
      <c r="E14006" s="18" t="s">
        <v>0</v>
      </c>
      <c r="F14006" s="41">
        <v>1</v>
      </c>
      <c r="G14006" s="41">
        <v>10</v>
      </c>
      <c r="H14006" s="41">
        <v>44.280089999999994</v>
      </c>
      <c r="I14006" s="221"/>
      <c r="J14006" s="221"/>
    </row>
    <row r="14007" spans="1:10" s="15" customFormat="1" ht="24" hidden="1" customHeight="1" outlineLevel="1" x14ac:dyDescent="0.25">
      <c r="A14007" s="18">
        <v>1784</v>
      </c>
      <c r="B14007" s="4" t="s">
        <v>44</v>
      </c>
      <c r="C14007" s="38" t="s">
        <v>12023</v>
      </c>
      <c r="D14007" s="18">
        <v>2023</v>
      </c>
      <c r="E14007" s="18" t="s">
        <v>0</v>
      </c>
      <c r="F14007" s="41">
        <v>1</v>
      </c>
      <c r="G14007" s="41">
        <v>15</v>
      </c>
      <c r="H14007" s="41">
        <v>44.069410000000005</v>
      </c>
      <c r="I14007" s="221"/>
      <c r="J14007" s="221"/>
    </row>
    <row r="14008" spans="1:10" s="15" customFormat="1" ht="24" hidden="1" customHeight="1" outlineLevel="1" x14ac:dyDescent="0.25">
      <c r="A14008" s="18">
        <v>6494</v>
      </c>
      <c r="B14008" s="4" t="s">
        <v>44</v>
      </c>
      <c r="C14008" s="38" t="s">
        <v>12024</v>
      </c>
      <c r="D14008" s="18">
        <v>2023</v>
      </c>
      <c r="E14008" s="18" t="s">
        <v>0</v>
      </c>
      <c r="F14008" s="41">
        <v>1</v>
      </c>
      <c r="G14008" s="41">
        <v>14</v>
      </c>
      <c r="H14008" s="41">
        <v>44.069410000000005</v>
      </c>
      <c r="I14008" s="221"/>
      <c r="J14008" s="221"/>
    </row>
    <row r="14009" spans="1:10" s="15" customFormat="1" ht="24" hidden="1" customHeight="1" outlineLevel="1" x14ac:dyDescent="0.25">
      <c r="A14009" s="18">
        <v>2336</v>
      </c>
      <c r="B14009" s="4" t="s">
        <v>44</v>
      </c>
      <c r="C14009" s="38" t="s">
        <v>12025</v>
      </c>
      <c r="D14009" s="18">
        <v>2023</v>
      </c>
      <c r="E14009" s="18" t="s">
        <v>0</v>
      </c>
      <c r="F14009" s="41">
        <v>1</v>
      </c>
      <c r="G14009" s="41">
        <v>5</v>
      </c>
      <c r="H14009" s="41">
        <v>44.069410000000005</v>
      </c>
      <c r="I14009" s="221"/>
      <c r="J14009" s="221"/>
    </row>
    <row r="14010" spans="1:10" s="15" customFormat="1" ht="24" hidden="1" customHeight="1" outlineLevel="1" x14ac:dyDescent="0.25">
      <c r="A14010" s="18">
        <v>6495</v>
      </c>
      <c r="B14010" s="4" t="s">
        <v>44</v>
      </c>
      <c r="C14010" s="38" t="s">
        <v>12026</v>
      </c>
      <c r="D14010" s="18">
        <v>2023</v>
      </c>
      <c r="E14010" s="18" t="s">
        <v>0</v>
      </c>
      <c r="F14010" s="41">
        <v>1</v>
      </c>
      <c r="G14010" s="41">
        <v>15</v>
      </c>
      <c r="H14010" s="41">
        <v>44.069410000000005</v>
      </c>
      <c r="I14010" s="221"/>
      <c r="J14010" s="221"/>
    </row>
    <row r="14011" spans="1:10" s="15" customFormat="1" ht="24" hidden="1" customHeight="1" outlineLevel="1" x14ac:dyDescent="0.25">
      <c r="A14011" s="18">
        <v>6499</v>
      </c>
      <c r="B14011" s="4" t="s">
        <v>44</v>
      </c>
      <c r="C14011" s="38" t="s">
        <v>12027</v>
      </c>
      <c r="D14011" s="18">
        <v>2023</v>
      </c>
      <c r="E14011" s="18" t="s">
        <v>0</v>
      </c>
      <c r="F14011" s="41">
        <v>1</v>
      </c>
      <c r="G14011" s="41">
        <v>15</v>
      </c>
      <c r="H14011" s="41">
        <v>44.069410000000005</v>
      </c>
      <c r="I14011" s="221"/>
      <c r="J14011" s="221"/>
    </row>
    <row r="14012" spans="1:10" s="15" customFormat="1" ht="24" hidden="1" customHeight="1" outlineLevel="1" x14ac:dyDescent="0.25">
      <c r="A14012" s="18">
        <v>6501</v>
      </c>
      <c r="B14012" s="4" t="s">
        <v>44</v>
      </c>
      <c r="C14012" s="38" t="s">
        <v>12028</v>
      </c>
      <c r="D14012" s="18">
        <v>2023</v>
      </c>
      <c r="E14012" s="18" t="s">
        <v>0</v>
      </c>
      <c r="F14012" s="41">
        <v>1</v>
      </c>
      <c r="G14012" s="41">
        <v>15</v>
      </c>
      <c r="H14012" s="41">
        <v>44.069410000000005</v>
      </c>
      <c r="I14012" s="221"/>
      <c r="J14012" s="221"/>
    </row>
    <row r="14013" spans="1:10" s="15" customFormat="1" ht="24" hidden="1" customHeight="1" outlineLevel="1" x14ac:dyDescent="0.25">
      <c r="A14013" s="18">
        <v>6502</v>
      </c>
      <c r="B14013" s="4" t="s">
        <v>44</v>
      </c>
      <c r="C14013" s="38" t="s">
        <v>12029</v>
      </c>
      <c r="D14013" s="18">
        <v>2023</v>
      </c>
      <c r="E14013" s="18" t="s">
        <v>0</v>
      </c>
      <c r="F14013" s="41">
        <v>1</v>
      </c>
      <c r="G14013" s="41">
        <v>15</v>
      </c>
      <c r="H14013" s="41">
        <v>44.069410000000005</v>
      </c>
      <c r="I14013" s="221"/>
      <c r="J14013" s="221"/>
    </row>
    <row r="14014" spans="1:10" s="15" customFormat="1" ht="24" hidden="1" customHeight="1" outlineLevel="1" x14ac:dyDescent="0.25">
      <c r="A14014" s="18">
        <v>6503</v>
      </c>
      <c r="B14014" s="4" t="s">
        <v>44</v>
      </c>
      <c r="C14014" s="38" t="s">
        <v>12030</v>
      </c>
      <c r="D14014" s="18">
        <v>2023</v>
      </c>
      <c r="E14014" s="18" t="s">
        <v>0</v>
      </c>
      <c r="F14014" s="41">
        <v>1</v>
      </c>
      <c r="G14014" s="41">
        <v>15</v>
      </c>
      <c r="H14014" s="41">
        <v>44.069410000000005</v>
      </c>
      <c r="I14014" s="221"/>
      <c r="J14014" s="221"/>
    </row>
    <row r="14015" spans="1:10" s="15" customFormat="1" ht="24" hidden="1" customHeight="1" outlineLevel="1" x14ac:dyDescent="0.25">
      <c r="A14015" s="18">
        <v>6508</v>
      </c>
      <c r="B14015" s="4" t="s">
        <v>44</v>
      </c>
      <c r="C14015" s="38" t="s">
        <v>12031</v>
      </c>
      <c r="D14015" s="18">
        <v>2023</v>
      </c>
      <c r="E14015" s="18" t="s">
        <v>0</v>
      </c>
      <c r="F14015" s="41">
        <v>1</v>
      </c>
      <c r="G14015" s="41">
        <v>15</v>
      </c>
      <c r="H14015" s="41">
        <v>44.069410000000005</v>
      </c>
      <c r="I14015" s="221"/>
      <c r="J14015" s="221"/>
    </row>
    <row r="14016" spans="1:10" s="15" customFormat="1" ht="24" hidden="1" customHeight="1" outlineLevel="1" x14ac:dyDescent="0.25">
      <c r="A14016" s="18">
        <v>6509</v>
      </c>
      <c r="B14016" s="4" t="s">
        <v>44</v>
      </c>
      <c r="C14016" s="38" t="s">
        <v>12032</v>
      </c>
      <c r="D14016" s="18">
        <v>2023</v>
      </c>
      <c r="E14016" s="18" t="s">
        <v>0</v>
      </c>
      <c r="F14016" s="41">
        <v>1</v>
      </c>
      <c r="G14016" s="41">
        <v>15</v>
      </c>
      <c r="H14016" s="41">
        <v>44.069410000000005</v>
      </c>
      <c r="I14016" s="221"/>
      <c r="J14016" s="221"/>
    </row>
    <row r="14017" spans="1:10" s="15" customFormat="1" ht="24" hidden="1" customHeight="1" outlineLevel="1" x14ac:dyDescent="0.25">
      <c r="A14017" s="18">
        <v>2438</v>
      </c>
      <c r="B14017" s="4" t="s">
        <v>44</v>
      </c>
      <c r="C14017" s="38" t="s">
        <v>12033</v>
      </c>
      <c r="D14017" s="18">
        <v>2023</v>
      </c>
      <c r="E14017" s="18" t="s">
        <v>0</v>
      </c>
      <c r="F14017" s="41">
        <v>1</v>
      </c>
      <c r="G14017" s="41">
        <v>4</v>
      </c>
      <c r="H14017" s="41">
        <v>12.918699999999999</v>
      </c>
      <c r="I14017" s="221"/>
      <c r="J14017" s="221"/>
    </row>
    <row r="14018" spans="1:10" s="15" customFormat="1" ht="24" hidden="1" customHeight="1" outlineLevel="1" x14ac:dyDescent="0.25">
      <c r="A14018" s="18">
        <v>2492</v>
      </c>
      <c r="B14018" s="4" t="s">
        <v>44</v>
      </c>
      <c r="C14018" s="38" t="s">
        <v>12034</v>
      </c>
      <c r="D14018" s="18">
        <v>2023</v>
      </c>
      <c r="E14018" s="18" t="s">
        <v>0</v>
      </c>
      <c r="F14018" s="41">
        <v>1</v>
      </c>
      <c r="G14018" s="41">
        <v>10</v>
      </c>
      <c r="H14018" s="41">
        <v>39.772669999999998</v>
      </c>
      <c r="I14018" s="221"/>
      <c r="J14018" s="221"/>
    </row>
    <row r="14019" spans="1:10" s="15" customFormat="1" ht="24" hidden="1" customHeight="1" outlineLevel="1" x14ac:dyDescent="0.25">
      <c r="A14019" s="18">
        <v>6516</v>
      </c>
      <c r="B14019" s="4" t="s">
        <v>44</v>
      </c>
      <c r="C14019" s="38" t="s">
        <v>12035</v>
      </c>
      <c r="D14019" s="18">
        <v>2023</v>
      </c>
      <c r="E14019" s="18" t="s">
        <v>0</v>
      </c>
      <c r="F14019" s="41">
        <v>1</v>
      </c>
      <c r="G14019" s="41">
        <v>15</v>
      </c>
      <c r="H14019" s="41">
        <v>39.906820000000003</v>
      </c>
      <c r="I14019" s="221"/>
      <c r="J14019" s="221"/>
    </row>
    <row r="14020" spans="1:10" s="15" customFormat="1" ht="24" hidden="1" customHeight="1" outlineLevel="1" x14ac:dyDescent="0.25">
      <c r="A14020" s="18">
        <v>6517</v>
      </c>
      <c r="B14020" s="4" t="s">
        <v>44</v>
      </c>
      <c r="C14020" s="38" t="s">
        <v>12036</v>
      </c>
      <c r="D14020" s="18">
        <v>2023</v>
      </c>
      <c r="E14020" s="18" t="s">
        <v>0</v>
      </c>
      <c r="F14020" s="41">
        <v>1</v>
      </c>
      <c r="G14020" s="41">
        <v>15</v>
      </c>
      <c r="H14020" s="41">
        <v>39.101659999999995</v>
      </c>
      <c r="I14020" s="221"/>
      <c r="J14020" s="221"/>
    </row>
    <row r="14021" spans="1:10" s="15" customFormat="1" ht="24" hidden="1" customHeight="1" outlineLevel="1" x14ac:dyDescent="0.25">
      <c r="A14021" s="18">
        <v>6518</v>
      </c>
      <c r="B14021" s="4" t="s">
        <v>44</v>
      </c>
      <c r="C14021" s="38" t="s">
        <v>12037</v>
      </c>
      <c r="D14021" s="18">
        <v>2023</v>
      </c>
      <c r="E14021" s="18" t="s">
        <v>0</v>
      </c>
      <c r="F14021" s="41">
        <v>1</v>
      </c>
      <c r="G14021" s="41">
        <v>15</v>
      </c>
      <c r="H14021" s="41">
        <v>39.631629999999994</v>
      </c>
      <c r="I14021" s="221"/>
      <c r="J14021" s="221"/>
    </row>
    <row r="14022" spans="1:10" s="15" customFormat="1" ht="24" hidden="1" customHeight="1" outlineLevel="1" x14ac:dyDescent="0.25">
      <c r="A14022" s="18">
        <v>2405</v>
      </c>
      <c r="B14022" s="4" t="s">
        <v>44</v>
      </c>
      <c r="C14022" s="38" t="s">
        <v>12038</v>
      </c>
      <c r="D14022" s="18">
        <v>2023</v>
      </c>
      <c r="E14022" s="18" t="s">
        <v>0</v>
      </c>
      <c r="F14022" s="41">
        <v>1</v>
      </c>
      <c r="G14022" s="41">
        <v>6</v>
      </c>
      <c r="H14022" s="41">
        <v>40.980500000000006</v>
      </c>
      <c r="I14022" s="221"/>
      <c r="J14022" s="221"/>
    </row>
    <row r="14023" spans="1:10" s="15" customFormat="1" ht="24" hidden="1" customHeight="1" outlineLevel="1" x14ac:dyDescent="0.25">
      <c r="A14023" s="18">
        <v>1063</v>
      </c>
      <c r="B14023" s="4" t="s">
        <v>44</v>
      </c>
      <c r="C14023" s="38" t="s">
        <v>12039</v>
      </c>
      <c r="D14023" s="18">
        <v>2023</v>
      </c>
      <c r="E14023" s="18" t="s">
        <v>0</v>
      </c>
      <c r="F14023" s="41">
        <v>1</v>
      </c>
      <c r="G14023" s="41">
        <v>10</v>
      </c>
      <c r="H14023" s="41">
        <v>40.228369999999998</v>
      </c>
      <c r="I14023" s="221"/>
      <c r="J14023" s="221"/>
    </row>
    <row r="14024" spans="1:10" s="15" customFormat="1" ht="24" hidden="1" customHeight="1" outlineLevel="1" x14ac:dyDescent="0.25">
      <c r="A14024" s="18">
        <v>1914</v>
      </c>
      <c r="B14024" s="4" t="s">
        <v>44</v>
      </c>
      <c r="C14024" s="38" t="s">
        <v>12040</v>
      </c>
      <c r="D14024" s="18">
        <v>2023</v>
      </c>
      <c r="E14024" s="18" t="s">
        <v>0</v>
      </c>
      <c r="F14024" s="41">
        <v>1</v>
      </c>
      <c r="G14024" s="41">
        <v>10</v>
      </c>
      <c r="H14024" s="41">
        <v>37.926879999999997</v>
      </c>
      <c r="I14024" s="221"/>
      <c r="J14024" s="221"/>
    </row>
    <row r="14025" spans="1:10" s="15" customFormat="1" ht="24" hidden="1" customHeight="1" outlineLevel="1" x14ac:dyDescent="0.25">
      <c r="A14025" s="18">
        <v>6564</v>
      </c>
      <c r="B14025" s="4" t="s">
        <v>44</v>
      </c>
      <c r="C14025" s="38" t="s">
        <v>12041</v>
      </c>
      <c r="D14025" s="18">
        <v>2023</v>
      </c>
      <c r="E14025" s="18" t="s">
        <v>0</v>
      </c>
      <c r="F14025" s="41">
        <v>1</v>
      </c>
      <c r="G14025" s="41">
        <v>15</v>
      </c>
      <c r="H14025" s="41">
        <v>37.678510000000003</v>
      </c>
      <c r="I14025" s="221"/>
      <c r="J14025" s="221"/>
    </row>
    <row r="14026" spans="1:10" s="15" customFormat="1" ht="24" hidden="1" customHeight="1" outlineLevel="1" x14ac:dyDescent="0.25">
      <c r="A14026" s="18">
        <v>2404</v>
      </c>
      <c r="B14026" s="4" t="s">
        <v>44</v>
      </c>
      <c r="C14026" s="38" t="s">
        <v>12042</v>
      </c>
      <c r="D14026" s="18">
        <v>2023</v>
      </c>
      <c r="E14026" s="18" t="s">
        <v>0</v>
      </c>
      <c r="F14026" s="41">
        <v>1</v>
      </c>
      <c r="G14026" s="41">
        <v>15</v>
      </c>
      <c r="H14026" s="41">
        <v>37.678510000000003</v>
      </c>
      <c r="I14026" s="221"/>
      <c r="J14026" s="221"/>
    </row>
    <row r="14027" spans="1:10" s="15" customFormat="1" ht="24" hidden="1" customHeight="1" outlineLevel="1" x14ac:dyDescent="0.25">
      <c r="A14027" s="18">
        <v>6565</v>
      </c>
      <c r="B14027" s="4" t="s">
        <v>44</v>
      </c>
      <c r="C14027" s="38" t="s">
        <v>12043</v>
      </c>
      <c r="D14027" s="18">
        <v>2023</v>
      </c>
      <c r="E14027" s="18" t="s">
        <v>0</v>
      </c>
      <c r="F14027" s="41">
        <v>1</v>
      </c>
      <c r="G14027" s="41">
        <v>15</v>
      </c>
      <c r="H14027" s="41">
        <v>37.926879999999997</v>
      </c>
      <c r="I14027" s="221"/>
      <c r="J14027" s="221"/>
    </row>
    <row r="14028" spans="1:10" s="15" customFormat="1" ht="24" hidden="1" customHeight="1" outlineLevel="1" x14ac:dyDescent="0.25">
      <c r="A14028" s="18">
        <v>6566</v>
      </c>
      <c r="B14028" s="4" t="s">
        <v>44</v>
      </c>
      <c r="C14028" s="38" t="s">
        <v>12044</v>
      </c>
      <c r="D14028" s="18">
        <v>2023</v>
      </c>
      <c r="E14028" s="18" t="s">
        <v>0</v>
      </c>
      <c r="F14028" s="41">
        <v>1</v>
      </c>
      <c r="G14028" s="41">
        <v>15</v>
      </c>
      <c r="H14028" s="41">
        <v>37.926879999999997</v>
      </c>
      <c r="I14028" s="221"/>
      <c r="J14028" s="221"/>
    </row>
    <row r="14029" spans="1:10" s="15" customFormat="1" ht="24" hidden="1" customHeight="1" outlineLevel="1" x14ac:dyDescent="0.25">
      <c r="A14029" s="18">
        <v>6567</v>
      </c>
      <c r="B14029" s="4" t="s">
        <v>44</v>
      </c>
      <c r="C14029" s="38" t="s">
        <v>12045</v>
      </c>
      <c r="D14029" s="18">
        <v>2023</v>
      </c>
      <c r="E14029" s="18" t="s">
        <v>0</v>
      </c>
      <c r="F14029" s="41">
        <v>1</v>
      </c>
      <c r="G14029" s="41">
        <v>10</v>
      </c>
      <c r="H14029" s="41">
        <v>37.926879999999997</v>
      </c>
      <c r="I14029" s="221"/>
      <c r="J14029" s="221"/>
    </row>
    <row r="14030" spans="1:10" s="15" customFormat="1" ht="24" hidden="1" customHeight="1" outlineLevel="1" x14ac:dyDescent="0.25">
      <c r="A14030" s="18">
        <v>2434</v>
      </c>
      <c r="B14030" s="4" t="s">
        <v>44</v>
      </c>
      <c r="C14030" s="38" t="s">
        <v>12046</v>
      </c>
      <c r="D14030" s="18">
        <v>2023</v>
      </c>
      <c r="E14030" s="18" t="s">
        <v>0</v>
      </c>
      <c r="F14030" s="41">
        <v>1</v>
      </c>
      <c r="G14030" s="41">
        <v>5</v>
      </c>
      <c r="H14030" s="41">
        <v>40.758110000000002</v>
      </c>
      <c r="I14030" s="221"/>
      <c r="J14030" s="221"/>
    </row>
    <row r="14031" spans="1:10" s="15" customFormat="1" ht="24" hidden="1" customHeight="1" outlineLevel="1" x14ac:dyDescent="0.25">
      <c r="A14031" s="18">
        <v>2454</v>
      </c>
      <c r="B14031" s="4" t="s">
        <v>44</v>
      </c>
      <c r="C14031" s="38" t="s">
        <v>12047</v>
      </c>
      <c r="D14031" s="18">
        <v>2023</v>
      </c>
      <c r="E14031" s="18" t="s">
        <v>0</v>
      </c>
      <c r="F14031" s="41">
        <v>1</v>
      </c>
      <c r="G14031" s="41">
        <v>15</v>
      </c>
      <c r="H14031" s="41">
        <v>38.705050000000007</v>
      </c>
      <c r="I14031" s="221"/>
      <c r="J14031" s="221"/>
    </row>
    <row r="14032" spans="1:10" s="15" customFormat="1" ht="24" hidden="1" customHeight="1" outlineLevel="1" x14ac:dyDescent="0.25">
      <c r="A14032" s="18">
        <v>2407</v>
      </c>
      <c r="B14032" s="4" t="s">
        <v>44</v>
      </c>
      <c r="C14032" s="38" t="s">
        <v>12048</v>
      </c>
      <c r="D14032" s="18">
        <v>2023</v>
      </c>
      <c r="E14032" s="18" t="s">
        <v>0</v>
      </c>
      <c r="F14032" s="41">
        <v>1</v>
      </c>
      <c r="G14032" s="41">
        <v>15</v>
      </c>
      <c r="H14032" s="41">
        <v>37.926879999999997</v>
      </c>
      <c r="I14032" s="221"/>
      <c r="J14032" s="221"/>
    </row>
    <row r="14033" spans="1:10" s="15" customFormat="1" ht="24" hidden="1" customHeight="1" outlineLevel="1" x14ac:dyDescent="0.25">
      <c r="A14033" s="18">
        <v>6568</v>
      </c>
      <c r="B14033" s="4" t="s">
        <v>44</v>
      </c>
      <c r="C14033" s="38" t="s">
        <v>12049</v>
      </c>
      <c r="D14033" s="18">
        <v>2023</v>
      </c>
      <c r="E14033" s="18" t="s">
        <v>0</v>
      </c>
      <c r="F14033" s="41">
        <v>1</v>
      </c>
      <c r="G14033" s="41">
        <v>15</v>
      </c>
      <c r="H14033" s="41">
        <v>37.926879999999997</v>
      </c>
      <c r="I14033" s="221"/>
      <c r="J14033" s="221"/>
    </row>
    <row r="14034" spans="1:10" s="15" customFormat="1" ht="24" hidden="1" customHeight="1" outlineLevel="1" x14ac:dyDescent="0.25">
      <c r="A14034" s="18">
        <v>2442</v>
      </c>
      <c r="B14034" s="4" t="s">
        <v>44</v>
      </c>
      <c r="C14034" s="38" t="s">
        <v>12050</v>
      </c>
      <c r="D14034" s="18">
        <v>2023</v>
      </c>
      <c r="E14034" s="18" t="s">
        <v>0</v>
      </c>
      <c r="F14034" s="41">
        <v>1</v>
      </c>
      <c r="G14034" s="41">
        <v>8</v>
      </c>
      <c r="H14034" s="41">
        <v>40.803719999999991</v>
      </c>
      <c r="I14034" s="221"/>
      <c r="J14034" s="221"/>
    </row>
    <row r="14035" spans="1:10" s="15" customFormat="1" ht="24" hidden="1" customHeight="1" outlineLevel="1" x14ac:dyDescent="0.25">
      <c r="A14035" s="18">
        <v>6569</v>
      </c>
      <c r="B14035" s="4" t="s">
        <v>44</v>
      </c>
      <c r="C14035" s="38" t="s">
        <v>12051</v>
      </c>
      <c r="D14035" s="18">
        <v>2023</v>
      </c>
      <c r="E14035" s="18" t="s">
        <v>0</v>
      </c>
      <c r="F14035" s="41">
        <v>1</v>
      </c>
      <c r="G14035" s="41">
        <v>15</v>
      </c>
      <c r="H14035" s="41">
        <v>37.351559999999999</v>
      </c>
      <c r="I14035" s="221"/>
      <c r="J14035" s="221"/>
    </row>
    <row r="14036" spans="1:10" s="15" customFormat="1" ht="24" hidden="1" customHeight="1" outlineLevel="1" x14ac:dyDescent="0.25">
      <c r="A14036" s="18">
        <v>6570</v>
      </c>
      <c r="B14036" s="4" t="s">
        <v>44</v>
      </c>
      <c r="C14036" s="38" t="s">
        <v>12052</v>
      </c>
      <c r="D14036" s="18">
        <v>2023</v>
      </c>
      <c r="E14036" s="18" t="s">
        <v>0</v>
      </c>
      <c r="F14036" s="41">
        <v>1</v>
      </c>
      <c r="G14036" s="41">
        <v>10</v>
      </c>
      <c r="H14036" s="41">
        <v>41.784610000000001</v>
      </c>
      <c r="I14036" s="221"/>
      <c r="J14036" s="221"/>
    </row>
    <row r="14037" spans="1:10" s="15" customFormat="1" ht="24" hidden="1" customHeight="1" outlineLevel="1" x14ac:dyDescent="0.25">
      <c r="A14037" s="18">
        <v>6571</v>
      </c>
      <c r="B14037" s="4" t="s">
        <v>44</v>
      </c>
      <c r="C14037" s="38" t="s">
        <v>12053</v>
      </c>
      <c r="D14037" s="18">
        <v>2023</v>
      </c>
      <c r="E14037" s="18" t="s">
        <v>0</v>
      </c>
      <c r="F14037" s="41">
        <v>1</v>
      </c>
      <c r="G14037" s="41">
        <v>15</v>
      </c>
      <c r="H14037" s="41">
        <v>42.811160000000001</v>
      </c>
      <c r="I14037" s="221"/>
      <c r="J14037" s="221"/>
    </row>
    <row r="14038" spans="1:10" s="15" customFormat="1" ht="24" hidden="1" customHeight="1" outlineLevel="1" x14ac:dyDescent="0.25">
      <c r="A14038" s="18">
        <v>6572</v>
      </c>
      <c r="B14038" s="4" t="s">
        <v>44</v>
      </c>
      <c r="C14038" s="38" t="s">
        <v>12054</v>
      </c>
      <c r="D14038" s="18">
        <v>2023</v>
      </c>
      <c r="E14038" s="18" t="s">
        <v>0</v>
      </c>
      <c r="F14038" s="41">
        <v>1</v>
      </c>
      <c r="G14038" s="41">
        <v>10</v>
      </c>
      <c r="H14038" s="41">
        <v>41.784610000000001</v>
      </c>
      <c r="I14038" s="221"/>
      <c r="J14038" s="221"/>
    </row>
    <row r="14039" spans="1:10" s="15" customFormat="1" ht="24" hidden="1" customHeight="1" outlineLevel="1" x14ac:dyDescent="0.25">
      <c r="A14039" s="18">
        <v>6573</v>
      </c>
      <c r="B14039" s="4" t="s">
        <v>44</v>
      </c>
      <c r="C14039" s="38" t="s">
        <v>12055</v>
      </c>
      <c r="D14039" s="18">
        <v>2023</v>
      </c>
      <c r="E14039" s="18" t="s">
        <v>0</v>
      </c>
      <c r="F14039" s="41">
        <v>1</v>
      </c>
      <c r="G14039" s="41">
        <v>15</v>
      </c>
      <c r="H14039" s="41">
        <v>37.926879999999997</v>
      </c>
      <c r="I14039" s="221"/>
      <c r="J14039" s="221"/>
    </row>
    <row r="14040" spans="1:10" s="15" customFormat="1" ht="24" hidden="1" customHeight="1" outlineLevel="1" x14ac:dyDescent="0.25">
      <c r="A14040" s="18">
        <v>6574</v>
      </c>
      <c r="B14040" s="4" t="s">
        <v>44</v>
      </c>
      <c r="C14040" s="38" t="s">
        <v>12056</v>
      </c>
      <c r="D14040" s="18">
        <v>2023</v>
      </c>
      <c r="E14040" s="18" t="s">
        <v>0</v>
      </c>
      <c r="F14040" s="41">
        <v>1</v>
      </c>
      <c r="G14040" s="41">
        <v>10</v>
      </c>
      <c r="H14040" s="41">
        <v>38.705050000000007</v>
      </c>
      <c r="I14040" s="221"/>
      <c r="J14040" s="221"/>
    </row>
    <row r="14041" spans="1:10" s="15" customFormat="1" ht="24" hidden="1" customHeight="1" outlineLevel="1" x14ac:dyDescent="0.25">
      <c r="A14041" s="18">
        <v>6536</v>
      </c>
      <c r="B14041" s="4" t="s">
        <v>44</v>
      </c>
      <c r="C14041" s="38" t="s">
        <v>12057</v>
      </c>
      <c r="D14041" s="18">
        <v>2023</v>
      </c>
      <c r="E14041" s="18" t="s">
        <v>0</v>
      </c>
      <c r="F14041" s="41">
        <v>1</v>
      </c>
      <c r="G14041" s="41">
        <v>12</v>
      </c>
      <c r="H14041" s="41">
        <v>37.190289999999997</v>
      </c>
      <c r="I14041" s="221"/>
      <c r="J14041" s="221"/>
    </row>
    <row r="14042" spans="1:10" s="15" customFormat="1" ht="24" hidden="1" customHeight="1" outlineLevel="1" x14ac:dyDescent="0.25">
      <c r="A14042" s="18">
        <v>6537</v>
      </c>
      <c r="B14042" s="4" t="s">
        <v>44</v>
      </c>
      <c r="C14042" s="38" t="s">
        <v>12058</v>
      </c>
      <c r="D14042" s="18">
        <v>2023</v>
      </c>
      <c r="E14042" s="18" t="s">
        <v>0</v>
      </c>
      <c r="F14042" s="41">
        <v>1</v>
      </c>
      <c r="G14042" s="41">
        <v>12</v>
      </c>
      <c r="H14042" s="41">
        <v>37.153360000000006</v>
      </c>
      <c r="I14042" s="221"/>
      <c r="J14042" s="221"/>
    </row>
    <row r="14043" spans="1:10" s="15" customFormat="1" ht="24" hidden="1" customHeight="1" outlineLevel="1" x14ac:dyDescent="0.25">
      <c r="A14043" s="18">
        <v>2532</v>
      </c>
      <c r="B14043" s="4" t="s">
        <v>44</v>
      </c>
      <c r="C14043" s="38" t="s">
        <v>12059</v>
      </c>
      <c r="D14043" s="18">
        <v>2023</v>
      </c>
      <c r="E14043" s="18" t="s">
        <v>0</v>
      </c>
      <c r="F14043" s="41">
        <v>1</v>
      </c>
      <c r="G14043" s="41">
        <v>7</v>
      </c>
      <c r="H14043" s="41">
        <v>42.951689999999999</v>
      </c>
      <c r="I14043" s="221"/>
      <c r="J14043" s="221"/>
    </row>
    <row r="14044" spans="1:10" s="15" customFormat="1" ht="24" hidden="1" customHeight="1" outlineLevel="1" x14ac:dyDescent="0.25">
      <c r="A14044" s="18">
        <v>2586</v>
      </c>
      <c r="B14044" s="4" t="s">
        <v>44</v>
      </c>
      <c r="C14044" s="38" t="s">
        <v>12060</v>
      </c>
      <c r="D14044" s="18">
        <v>2023</v>
      </c>
      <c r="E14044" s="18" t="s">
        <v>0</v>
      </c>
      <c r="F14044" s="41">
        <v>1</v>
      </c>
      <c r="G14044" s="41">
        <v>5</v>
      </c>
      <c r="H14044" s="41">
        <v>42.951689999999999</v>
      </c>
      <c r="I14044" s="221"/>
      <c r="J14044" s="221"/>
    </row>
    <row r="14045" spans="1:10" s="15" customFormat="1" ht="24" hidden="1" customHeight="1" outlineLevel="1" x14ac:dyDescent="0.25">
      <c r="A14045" s="18">
        <v>6575</v>
      </c>
      <c r="B14045" s="4" t="s">
        <v>44</v>
      </c>
      <c r="C14045" s="38" t="s">
        <v>12061</v>
      </c>
      <c r="D14045" s="18">
        <v>2023</v>
      </c>
      <c r="E14045" s="18" t="s">
        <v>0</v>
      </c>
      <c r="F14045" s="41">
        <v>1</v>
      </c>
      <c r="G14045" s="41">
        <v>15</v>
      </c>
      <c r="H14045" s="41">
        <v>42.951689999999999</v>
      </c>
      <c r="I14045" s="221"/>
      <c r="J14045" s="221"/>
    </row>
    <row r="14046" spans="1:10" s="15" customFormat="1" ht="24" hidden="1" customHeight="1" outlineLevel="1" x14ac:dyDescent="0.25">
      <c r="A14046" s="18">
        <v>6576</v>
      </c>
      <c r="B14046" s="4" t="s">
        <v>44</v>
      </c>
      <c r="C14046" s="38" t="s">
        <v>12062</v>
      </c>
      <c r="D14046" s="18">
        <v>2023</v>
      </c>
      <c r="E14046" s="18" t="s">
        <v>0</v>
      </c>
      <c r="F14046" s="41">
        <v>1</v>
      </c>
      <c r="G14046" s="41">
        <v>15</v>
      </c>
      <c r="H14046" s="41">
        <v>42.951689999999999</v>
      </c>
      <c r="I14046" s="221"/>
      <c r="J14046" s="221"/>
    </row>
    <row r="14047" spans="1:10" s="15" customFormat="1" ht="24" hidden="1" customHeight="1" outlineLevel="1" x14ac:dyDescent="0.25">
      <c r="A14047" s="18">
        <v>6577</v>
      </c>
      <c r="B14047" s="4" t="s">
        <v>44</v>
      </c>
      <c r="C14047" s="38" t="s">
        <v>12063</v>
      </c>
      <c r="D14047" s="18">
        <v>2023</v>
      </c>
      <c r="E14047" s="18" t="s">
        <v>0</v>
      </c>
      <c r="F14047" s="41">
        <v>1</v>
      </c>
      <c r="G14047" s="41">
        <v>15</v>
      </c>
      <c r="H14047" s="41">
        <v>42.951689999999999</v>
      </c>
      <c r="I14047" s="221"/>
      <c r="J14047" s="221"/>
    </row>
    <row r="14048" spans="1:10" s="15" customFormat="1" ht="24" hidden="1" customHeight="1" outlineLevel="1" x14ac:dyDescent="0.25">
      <c r="A14048" s="18">
        <v>6586</v>
      </c>
      <c r="B14048" s="4" t="s">
        <v>44</v>
      </c>
      <c r="C14048" s="38" t="s">
        <v>12064</v>
      </c>
      <c r="D14048" s="18">
        <v>2023</v>
      </c>
      <c r="E14048" s="18" t="s">
        <v>0</v>
      </c>
      <c r="F14048" s="41">
        <v>1</v>
      </c>
      <c r="G14048" s="41">
        <v>40</v>
      </c>
      <c r="H14048" s="41">
        <v>38.233689999999996</v>
      </c>
      <c r="I14048" s="221"/>
      <c r="J14048" s="221"/>
    </row>
    <row r="14049" spans="1:10" s="15" customFormat="1" ht="24" hidden="1" customHeight="1" outlineLevel="1" x14ac:dyDescent="0.25">
      <c r="A14049" s="18">
        <v>6587</v>
      </c>
      <c r="B14049" s="4" t="s">
        <v>44</v>
      </c>
      <c r="C14049" s="38" t="s">
        <v>12065</v>
      </c>
      <c r="D14049" s="18">
        <v>2023</v>
      </c>
      <c r="E14049" s="18" t="s">
        <v>0</v>
      </c>
      <c r="F14049" s="41">
        <v>1</v>
      </c>
      <c r="G14049" s="41">
        <v>10</v>
      </c>
      <c r="H14049" s="41">
        <v>38.233689999999996</v>
      </c>
      <c r="I14049" s="221"/>
      <c r="J14049" s="221"/>
    </row>
    <row r="14050" spans="1:10" s="15" customFormat="1" ht="24" hidden="1" customHeight="1" outlineLevel="1" x14ac:dyDescent="0.25">
      <c r="A14050" s="18">
        <v>6588</v>
      </c>
      <c r="B14050" s="4" t="s">
        <v>44</v>
      </c>
      <c r="C14050" s="38" t="s">
        <v>12066</v>
      </c>
      <c r="D14050" s="18">
        <v>2023</v>
      </c>
      <c r="E14050" s="18" t="s">
        <v>0</v>
      </c>
      <c r="F14050" s="41">
        <v>1</v>
      </c>
      <c r="G14050" s="41">
        <v>15</v>
      </c>
      <c r="H14050" s="41">
        <v>37.620919999999998</v>
      </c>
      <c r="I14050" s="221"/>
      <c r="J14050" s="221"/>
    </row>
    <row r="14051" spans="1:10" s="15" customFormat="1" ht="24" hidden="1" customHeight="1" outlineLevel="1" x14ac:dyDescent="0.25">
      <c r="A14051" s="18">
        <v>6589</v>
      </c>
      <c r="B14051" s="4" t="s">
        <v>44</v>
      </c>
      <c r="C14051" s="38" t="s">
        <v>12067</v>
      </c>
      <c r="D14051" s="18">
        <v>2023</v>
      </c>
      <c r="E14051" s="18" t="s">
        <v>0</v>
      </c>
      <c r="F14051" s="41">
        <v>1</v>
      </c>
      <c r="G14051" s="41">
        <v>15</v>
      </c>
      <c r="H14051" s="41">
        <v>39.765449999999994</v>
      </c>
      <c r="I14051" s="221"/>
      <c r="J14051" s="221"/>
    </row>
    <row r="14052" spans="1:10" s="15" customFormat="1" ht="24" hidden="1" customHeight="1" outlineLevel="1" x14ac:dyDescent="0.25">
      <c r="A14052" s="18">
        <v>6590</v>
      </c>
      <c r="B14052" s="4" t="s">
        <v>44</v>
      </c>
      <c r="C14052" s="38" t="s">
        <v>12068</v>
      </c>
      <c r="D14052" s="18">
        <v>2023</v>
      </c>
      <c r="E14052" s="18" t="s">
        <v>0</v>
      </c>
      <c r="F14052" s="41">
        <v>1</v>
      </c>
      <c r="G14052" s="41">
        <v>15</v>
      </c>
      <c r="H14052" s="41">
        <v>35.935939999999995</v>
      </c>
      <c r="I14052" s="221"/>
      <c r="J14052" s="221"/>
    </row>
    <row r="14053" spans="1:10" s="15" customFormat="1" ht="24" hidden="1" customHeight="1" outlineLevel="1" x14ac:dyDescent="0.25">
      <c r="A14053" s="18">
        <v>6591</v>
      </c>
      <c r="B14053" s="4" t="s">
        <v>44</v>
      </c>
      <c r="C14053" s="38" t="s">
        <v>12069</v>
      </c>
      <c r="D14053" s="18">
        <v>2023</v>
      </c>
      <c r="E14053" s="18" t="s">
        <v>0</v>
      </c>
      <c r="F14053" s="41">
        <v>1</v>
      </c>
      <c r="G14053" s="41">
        <v>15</v>
      </c>
      <c r="H14053" s="41">
        <v>38.233689999999996</v>
      </c>
      <c r="I14053" s="221"/>
      <c r="J14053" s="221"/>
    </row>
    <row r="14054" spans="1:10" s="15" customFormat="1" ht="24" hidden="1" customHeight="1" outlineLevel="1" x14ac:dyDescent="0.25">
      <c r="A14054" s="18">
        <v>2573</v>
      </c>
      <c r="B14054" s="4" t="s">
        <v>44</v>
      </c>
      <c r="C14054" s="38" t="s">
        <v>12070</v>
      </c>
      <c r="D14054" s="18">
        <v>2023</v>
      </c>
      <c r="E14054" s="18" t="s">
        <v>0</v>
      </c>
      <c r="F14054" s="41">
        <v>1</v>
      </c>
      <c r="G14054" s="41">
        <v>5</v>
      </c>
      <c r="H14054" s="41">
        <v>38.999580000000002</v>
      </c>
      <c r="I14054" s="221"/>
      <c r="J14054" s="221"/>
    </row>
    <row r="14055" spans="1:10" s="15" customFormat="1" ht="24" hidden="1" customHeight="1" outlineLevel="1" x14ac:dyDescent="0.25">
      <c r="A14055" s="18">
        <v>6592</v>
      </c>
      <c r="B14055" s="4" t="s">
        <v>44</v>
      </c>
      <c r="C14055" s="38" t="s">
        <v>12071</v>
      </c>
      <c r="D14055" s="18">
        <v>2023</v>
      </c>
      <c r="E14055" s="18" t="s">
        <v>0</v>
      </c>
      <c r="F14055" s="41">
        <v>1</v>
      </c>
      <c r="G14055" s="41">
        <v>15</v>
      </c>
      <c r="H14055" s="41">
        <v>38.233689999999996</v>
      </c>
      <c r="I14055" s="221"/>
      <c r="J14055" s="221"/>
    </row>
    <row r="14056" spans="1:10" s="15" customFormat="1" ht="24" hidden="1" customHeight="1" outlineLevel="1" x14ac:dyDescent="0.25">
      <c r="A14056" s="18">
        <v>2625</v>
      </c>
      <c r="B14056" s="4" t="s">
        <v>44</v>
      </c>
      <c r="C14056" s="38" t="s">
        <v>12072</v>
      </c>
      <c r="D14056" s="18">
        <v>2023</v>
      </c>
      <c r="E14056" s="18" t="s">
        <v>0</v>
      </c>
      <c r="F14056" s="41">
        <v>1</v>
      </c>
      <c r="G14056" s="41">
        <v>3</v>
      </c>
      <c r="H14056" s="41">
        <v>38.233689999999996</v>
      </c>
      <c r="I14056" s="221"/>
      <c r="J14056" s="221"/>
    </row>
    <row r="14057" spans="1:10" s="15" customFormat="1" ht="24" hidden="1" customHeight="1" outlineLevel="1" x14ac:dyDescent="0.25">
      <c r="A14057" s="18">
        <v>6593</v>
      </c>
      <c r="B14057" s="4" t="s">
        <v>44</v>
      </c>
      <c r="C14057" s="38" t="s">
        <v>12073</v>
      </c>
      <c r="D14057" s="18">
        <v>2023</v>
      </c>
      <c r="E14057" s="18" t="s">
        <v>0</v>
      </c>
      <c r="F14057" s="41">
        <v>1</v>
      </c>
      <c r="G14057" s="41">
        <v>15</v>
      </c>
      <c r="H14057" s="41">
        <v>38.999580000000002</v>
      </c>
      <c r="I14057" s="221"/>
      <c r="J14057" s="221"/>
    </row>
    <row r="14058" spans="1:10" s="15" customFormat="1" ht="24" hidden="1" customHeight="1" outlineLevel="1" x14ac:dyDescent="0.25">
      <c r="A14058" s="18">
        <v>6594</v>
      </c>
      <c r="B14058" s="4" t="s">
        <v>44</v>
      </c>
      <c r="C14058" s="38" t="s">
        <v>12074</v>
      </c>
      <c r="D14058" s="18">
        <v>2023</v>
      </c>
      <c r="E14058" s="18" t="s">
        <v>0</v>
      </c>
      <c r="F14058" s="41">
        <v>1</v>
      </c>
      <c r="G14058" s="41">
        <v>15</v>
      </c>
      <c r="H14058" s="41">
        <v>42.849989999999998</v>
      </c>
      <c r="I14058" s="221"/>
      <c r="J14058" s="221"/>
    </row>
    <row r="14059" spans="1:10" s="15" customFormat="1" ht="24" hidden="1" customHeight="1" outlineLevel="1" x14ac:dyDescent="0.25">
      <c r="A14059" s="18">
        <v>2525</v>
      </c>
      <c r="B14059" s="4" t="s">
        <v>44</v>
      </c>
      <c r="C14059" s="38" t="s">
        <v>12075</v>
      </c>
      <c r="D14059" s="18">
        <v>2023</v>
      </c>
      <c r="E14059" s="18" t="s">
        <v>0</v>
      </c>
      <c r="F14059" s="41">
        <v>1</v>
      </c>
      <c r="G14059" s="41">
        <v>1</v>
      </c>
      <c r="H14059" s="41">
        <v>42.849989999999998</v>
      </c>
      <c r="I14059" s="221"/>
      <c r="J14059" s="221"/>
    </row>
    <row r="14060" spans="1:10" s="15" customFormat="1" ht="24" hidden="1" customHeight="1" outlineLevel="1" x14ac:dyDescent="0.25">
      <c r="A14060" s="18">
        <v>6595</v>
      </c>
      <c r="B14060" s="4" t="s">
        <v>44</v>
      </c>
      <c r="C14060" s="38" t="s">
        <v>12076</v>
      </c>
      <c r="D14060" s="18">
        <v>2023</v>
      </c>
      <c r="E14060" s="18" t="s">
        <v>0</v>
      </c>
      <c r="F14060" s="41">
        <v>1</v>
      </c>
      <c r="G14060" s="41">
        <v>15</v>
      </c>
      <c r="H14060" s="41">
        <v>42.849989999999998</v>
      </c>
      <c r="I14060" s="221"/>
      <c r="J14060" s="221"/>
    </row>
    <row r="14061" spans="1:10" s="15" customFormat="1" ht="24" hidden="1" customHeight="1" outlineLevel="1" x14ac:dyDescent="0.25">
      <c r="A14061" s="18">
        <v>6596</v>
      </c>
      <c r="B14061" s="4" t="s">
        <v>44</v>
      </c>
      <c r="C14061" s="38" t="s">
        <v>12077</v>
      </c>
      <c r="D14061" s="18">
        <v>2023</v>
      </c>
      <c r="E14061" s="18" t="s">
        <v>0</v>
      </c>
      <c r="F14061" s="41">
        <v>1</v>
      </c>
      <c r="G14061" s="41">
        <v>15</v>
      </c>
      <c r="H14061" s="41">
        <v>42.849989999999998</v>
      </c>
      <c r="I14061" s="221"/>
      <c r="J14061" s="221"/>
    </row>
    <row r="14062" spans="1:10" s="15" customFormat="1" ht="24" hidden="1" customHeight="1" outlineLevel="1" x14ac:dyDescent="0.25">
      <c r="A14062" s="18">
        <v>6598</v>
      </c>
      <c r="B14062" s="4" t="s">
        <v>44</v>
      </c>
      <c r="C14062" s="38" t="s">
        <v>12078</v>
      </c>
      <c r="D14062" s="18">
        <v>2023</v>
      </c>
      <c r="E14062" s="18" t="s">
        <v>0</v>
      </c>
      <c r="F14062" s="41">
        <v>1</v>
      </c>
      <c r="G14062" s="41">
        <v>10</v>
      </c>
      <c r="H14062" s="41">
        <v>42.849989999999998</v>
      </c>
      <c r="I14062" s="221"/>
      <c r="J14062" s="221"/>
    </row>
    <row r="14063" spans="1:10" s="15" customFormat="1" ht="24" hidden="1" customHeight="1" outlineLevel="1" x14ac:dyDescent="0.25">
      <c r="A14063" s="18">
        <v>6599</v>
      </c>
      <c r="B14063" s="4" t="s">
        <v>44</v>
      </c>
      <c r="C14063" s="38" t="s">
        <v>12079</v>
      </c>
      <c r="D14063" s="18">
        <v>2023</v>
      </c>
      <c r="E14063" s="18" t="s">
        <v>0</v>
      </c>
      <c r="F14063" s="41">
        <v>1</v>
      </c>
      <c r="G14063" s="41">
        <v>15</v>
      </c>
      <c r="H14063" s="41">
        <v>42.849989999999998</v>
      </c>
      <c r="I14063" s="221"/>
      <c r="J14063" s="221"/>
    </row>
    <row r="14064" spans="1:10" s="15" customFormat="1" ht="24" hidden="1" customHeight="1" outlineLevel="1" x14ac:dyDescent="0.25">
      <c r="A14064" s="18">
        <v>6600</v>
      </c>
      <c r="B14064" s="4" t="s">
        <v>44</v>
      </c>
      <c r="C14064" s="38" t="s">
        <v>12080</v>
      </c>
      <c r="D14064" s="18">
        <v>2023</v>
      </c>
      <c r="E14064" s="18" t="s">
        <v>0</v>
      </c>
      <c r="F14064" s="41">
        <v>1</v>
      </c>
      <c r="G14064" s="41">
        <v>15</v>
      </c>
      <c r="H14064" s="41">
        <v>42.849989999999998</v>
      </c>
      <c r="I14064" s="221"/>
      <c r="J14064" s="221"/>
    </row>
    <row r="14065" spans="1:10" s="15" customFormat="1" ht="24" hidden="1" customHeight="1" outlineLevel="1" x14ac:dyDescent="0.25">
      <c r="A14065" s="18">
        <v>6602</v>
      </c>
      <c r="B14065" s="4" t="s">
        <v>44</v>
      </c>
      <c r="C14065" s="38" t="s">
        <v>12081</v>
      </c>
      <c r="D14065" s="18">
        <v>2023</v>
      </c>
      <c r="E14065" s="18" t="s">
        <v>0</v>
      </c>
      <c r="F14065" s="41">
        <v>1</v>
      </c>
      <c r="G14065" s="41">
        <v>15</v>
      </c>
      <c r="H14065" s="41">
        <v>42.849989999999998</v>
      </c>
      <c r="I14065" s="221"/>
      <c r="J14065" s="221"/>
    </row>
    <row r="14066" spans="1:10" s="15" customFormat="1" ht="24" hidden="1" customHeight="1" outlineLevel="1" x14ac:dyDescent="0.25">
      <c r="A14066" s="18">
        <v>6603</v>
      </c>
      <c r="B14066" s="4" t="s">
        <v>44</v>
      </c>
      <c r="C14066" s="38" t="s">
        <v>12082</v>
      </c>
      <c r="D14066" s="18">
        <v>2023</v>
      </c>
      <c r="E14066" s="18" t="s">
        <v>0</v>
      </c>
      <c r="F14066" s="41">
        <v>1</v>
      </c>
      <c r="G14066" s="41">
        <v>15</v>
      </c>
      <c r="H14066" s="41">
        <v>42.849989999999998</v>
      </c>
      <c r="I14066" s="221"/>
      <c r="J14066" s="221"/>
    </row>
    <row r="14067" spans="1:10" s="15" customFormat="1" ht="24" hidden="1" customHeight="1" outlineLevel="1" x14ac:dyDescent="0.25">
      <c r="A14067" s="18">
        <v>6604</v>
      </c>
      <c r="B14067" s="4" t="s">
        <v>44</v>
      </c>
      <c r="C14067" s="38" t="s">
        <v>12083</v>
      </c>
      <c r="D14067" s="18">
        <v>2023</v>
      </c>
      <c r="E14067" s="18" t="s">
        <v>0</v>
      </c>
      <c r="F14067" s="41">
        <v>1</v>
      </c>
      <c r="G14067" s="41">
        <v>10</v>
      </c>
      <c r="H14067" s="41">
        <v>42.849989999999998</v>
      </c>
      <c r="I14067" s="221"/>
      <c r="J14067" s="221"/>
    </row>
    <row r="14068" spans="1:10" s="15" customFormat="1" ht="24" hidden="1" customHeight="1" outlineLevel="1" x14ac:dyDescent="0.25">
      <c r="A14068" s="18">
        <v>2591</v>
      </c>
      <c r="B14068" s="4" t="s">
        <v>44</v>
      </c>
      <c r="C14068" s="38" t="s">
        <v>12084</v>
      </c>
      <c r="D14068" s="18">
        <v>2023</v>
      </c>
      <c r="E14068" s="18" t="s">
        <v>0</v>
      </c>
      <c r="F14068" s="41">
        <v>1</v>
      </c>
      <c r="G14068" s="41">
        <v>7</v>
      </c>
      <c r="H14068" s="41">
        <v>42.849989999999998</v>
      </c>
      <c r="I14068" s="221"/>
      <c r="J14068" s="221"/>
    </row>
    <row r="14069" spans="1:10" s="15" customFormat="1" ht="24" hidden="1" customHeight="1" outlineLevel="1" x14ac:dyDescent="0.25">
      <c r="A14069" s="18">
        <v>2605</v>
      </c>
      <c r="B14069" s="4" t="s">
        <v>44</v>
      </c>
      <c r="C14069" s="38" t="s">
        <v>12085</v>
      </c>
      <c r="D14069" s="18">
        <v>2023</v>
      </c>
      <c r="E14069" s="18" t="s">
        <v>0</v>
      </c>
      <c r="F14069" s="41">
        <v>1</v>
      </c>
      <c r="G14069" s="41">
        <v>3</v>
      </c>
      <c r="H14069" s="41">
        <v>42.849989999999998</v>
      </c>
      <c r="I14069" s="221"/>
      <c r="J14069" s="221"/>
    </row>
    <row r="14070" spans="1:10" s="15" customFormat="1" ht="24" hidden="1" customHeight="1" outlineLevel="1" x14ac:dyDescent="0.25">
      <c r="A14070" s="18">
        <v>662</v>
      </c>
      <c r="B14070" s="4" t="s">
        <v>44</v>
      </c>
      <c r="C14070" s="38" t="s">
        <v>12086</v>
      </c>
      <c r="D14070" s="18">
        <v>2023</v>
      </c>
      <c r="E14070" s="18" t="s">
        <v>0</v>
      </c>
      <c r="F14070" s="41">
        <v>1</v>
      </c>
      <c r="G14070" s="41">
        <v>15</v>
      </c>
      <c r="H14070" s="41">
        <v>48.735700000000001</v>
      </c>
      <c r="I14070" s="221"/>
      <c r="J14070" s="221"/>
    </row>
    <row r="14071" spans="1:10" s="15" customFormat="1" ht="24" hidden="1" customHeight="1" outlineLevel="1" x14ac:dyDescent="0.25">
      <c r="A14071" s="18">
        <v>6541</v>
      </c>
      <c r="B14071" s="4" t="s">
        <v>44</v>
      </c>
      <c r="C14071" s="38" t="s">
        <v>12087</v>
      </c>
      <c r="D14071" s="18">
        <v>2023</v>
      </c>
      <c r="E14071" s="18" t="s">
        <v>0</v>
      </c>
      <c r="F14071" s="41">
        <v>1</v>
      </c>
      <c r="G14071" s="41">
        <v>15</v>
      </c>
      <c r="H14071" s="41">
        <v>41.472750000000005</v>
      </c>
      <c r="I14071" s="221"/>
      <c r="J14071" s="221"/>
    </row>
    <row r="14072" spans="1:10" s="15" customFormat="1" ht="24" hidden="1" customHeight="1" outlineLevel="1" x14ac:dyDescent="0.25">
      <c r="A14072" s="18">
        <v>6542</v>
      </c>
      <c r="B14072" s="4" t="s">
        <v>44</v>
      </c>
      <c r="C14072" s="38" t="s">
        <v>12088</v>
      </c>
      <c r="D14072" s="18">
        <v>2023</v>
      </c>
      <c r="E14072" s="18" t="s">
        <v>0</v>
      </c>
      <c r="F14072" s="41">
        <v>1</v>
      </c>
      <c r="G14072" s="41">
        <v>10</v>
      </c>
      <c r="H14072" s="41">
        <v>41.472720000000002</v>
      </c>
      <c r="I14072" s="221"/>
      <c r="J14072" s="221"/>
    </row>
    <row r="14073" spans="1:10" s="15" customFormat="1" ht="24" hidden="1" customHeight="1" outlineLevel="1" x14ac:dyDescent="0.25">
      <c r="A14073" s="18">
        <v>2577</v>
      </c>
      <c r="B14073" s="4" t="s">
        <v>44</v>
      </c>
      <c r="C14073" s="38" t="s">
        <v>12089</v>
      </c>
      <c r="D14073" s="18">
        <v>2023</v>
      </c>
      <c r="E14073" s="18" t="s">
        <v>0</v>
      </c>
      <c r="F14073" s="41">
        <v>1</v>
      </c>
      <c r="G14073" s="41">
        <v>5</v>
      </c>
      <c r="H14073" s="41">
        <v>41.653620000000004</v>
      </c>
      <c r="I14073" s="221"/>
      <c r="J14073" s="221"/>
    </row>
    <row r="14074" spans="1:10" s="15" customFormat="1" ht="24" hidden="1" customHeight="1" outlineLevel="1" x14ac:dyDescent="0.25">
      <c r="A14074" s="18">
        <v>6559</v>
      </c>
      <c r="B14074" s="4" t="s">
        <v>44</v>
      </c>
      <c r="C14074" s="38" t="s">
        <v>12090</v>
      </c>
      <c r="D14074" s="18">
        <v>2023</v>
      </c>
      <c r="E14074" s="18" t="s">
        <v>0</v>
      </c>
      <c r="F14074" s="41">
        <v>1</v>
      </c>
      <c r="G14074" s="41">
        <v>12</v>
      </c>
      <c r="H14074" s="41">
        <v>41.254259999999995</v>
      </c>
      <c r="I14074" s="221"/>
      <c r="J14074" s="221"/>
    </row>
    <row r="14075" spans="1:10" s="15" customFormat="1" ht="24" hidden="1" customHeight="1" outlineLevel="1" x14ac:dyDescent="0.25">
      <c r="A14075" s="18">
        <v>6560</v>
      </c>
      <c r="B14075" s="4" t="s">
        <v>44</v>
      </c>
      <c r="C14075" s="38" t="s">
        <v>12091</v>
      </c>
      <c r="D14075" s="18">
        <v>2023</v>
      </c>
      <c r="E14075" s="18" t="s">
        <v>0</v>
      </c>
      <c r="F14075" s="41">
        <v>1</v>
      </c>
      <c r="G14075" s="41">
        <v>10</v>
      </c>
      <c r="H14075" s="41">
        <v>42.100700000000003</v>
      </c>
      <c r="I14075" s="221"/>
      <c r="J14075" s="221"/>
    </row>
    <row r="14076" spans="1:10" s="15" customFormat="1" ht="24" hidden="1" customHeight="1" outlineLevel="1" x14ac:dyDescent="0.25">
      <c r="A14076" s="18">
        <v>6561</v>
      </c>
      <c r="B14076" s="4" t="s">
        <v>44</v>
      </c>
      <c r="C14076" s="38" t="s">
        <v>12092</v>
      </c>
      <c r="D14076" s="18">
        <v>2023</v>
      </c>
      <c r="E14076" s="18" t="s">
        <v>0</v>
      </c>
      <c r="F14076" s="41">
        <v>1</v>
      </c>
      <c r="G14076" s="41">
        <v>15</v>
      </c>
      <c r="H14076" s="41">
        <v>41.254259999999995</v>
      </c>
      <c r="I14076" s="221"/>
      <c r="J14076" s="221"/>
    </row>
    <row r="14077" spans="1:10" s="15" customFormat="1" ht="24" hidden="1" customHeight="1" outlineLevel="1" x14ac:dyDescent="0.25">
      <c r="A14077" s="18">
        <v>6562</v>
      </c>
      <c r="B14077" s="4" t="s">
        <v>44</v>
      </c>
      <c r="C14077" s="38" t="s">
        <v>12093</v>
      </c>
      <c r="D14077" s="18">
        <v>2023</v>
      </c>
      <c r="E14077" s="18" t="s">
        <v>0</v>
      </c>
      <c r="F14077" s="41">
        <v>1</v>
      </c>
      <c r="G14077" s="41">
        <v>10</v>
      </c>
      <c r="H14077" s="41">
        <v>45.450410000000005</v>
      </c>
      <c r="I14077" s="221"/>
      <c r="J14077" s="221"/>
    </row>
    <row r="14078" spans="1:10" s="15" customFormat="1" ht="24" hidden="1" customHeight="1" outlineLevel="1" x14ac:dyDescent="0.25">
      <c r="A14078" s="18">
        <v>6563</v>
      </c>
      <c r="B14078" s="4" t="s">
        <v>44</v>
      </c>
      <c r="C14078" s="38" t="s">
        <v>12094</v>
      </c>
      <c r="D14078" s="18">
        <v>2023</v>
      </c>
      <c r="E14078" s="18" t="s">
        <v>0</v>
      </c>
      <c r="F14078" s="41">
        <v>1</v>
      </c>
      <c r="G14078" s="41">
        <v>15</v>
      </c>
      <c r="H14078" s="41">
        <v>41.254259999999995</v>
      </c>
      <c r="I14078" s="221"/>
      <c r="J14078" s="221"/>
    </row>
    <row r="14079" spans="1:10" s="15" customFormat="1" ht="24" hidden="1" customHeight="1" outlineLevel="1" x14ac:dyDescent="0.25">
      <c r="A14079" s="18">
        <v>6578</v>
      </c>
      <c r="B14079" s="4" t="s">
        <v>44</v>
      </c>
      <c r="C14079" s="38" t="s">
        <v>12095</v>
      </c>
      <c r="D14079" s="18">
        <v>2023</v>
      </c>
      <c r="E14079" s="18" t="s">
        <v>0</v>
      </c>
      <c r="F14079" s="41">
        <v>1</v>
      </c>
      <c r="G14079" s="41">
        <v>15</v>
      </c>
      <c r="H14079" s="41">
        <v>38.588999999999999</v>
      </c>
      <c r="I14079" s="221"/>
      <c r="J14079" s="221"/>
    </row>
    <row r="14080" spans="1:10" s="15" customFormat="1" ht="24" hidden="1" customHeight="1" outlineLevel="1" x14ac:dyDescent="0.25">
      <c r="A14080" s="18">
        <v>6581</v>
      </c>
      <c r="B14080" s="4" t="s">
        <v>44</v>
      </c>
      <c r="C14080" s="38" t="s">
        <v>12096</v>
      </c>
      <c r="D14080" s="18">
        <v>2023</v>
      </c>
      <c r="E14080" s="18" t="s">
        <v>0</v>
      </c>
      <c r="F14080" s="41">
        <v>1</v>
      </c>
      <c r="G14080" s="41">
        <v>4.0999999999999996</v>
      </c>
      <c r="H14080" s="41">
        <v>41.64387</v>
      </c>
      <c r="I14080" s="221"/>
      <c r="J14080" s="221"/>
    </row>
    <row r="14081" spans="1:10" s="15" customFormat="1" ht="24" hidden="1" customHeight="1" outlineLevel="1" x14ac:dyDescent="0.25">
      <c r="A14081" s="18">
        <v>2624</v>
      </c>
      <c r="B14081" s="4" t="s">
        <v>44</v>
      </c>
      <c r="C14081" s="38" t="s">
        <v>12097</v>
      </c>
      <c r="D14081" s="18">
        <v>2023</v>
      </c>
      <c r="E14081" s="18" t="s">
        <v>0</v>
      </c>
      <c r="F14081" s="41">
        <v>1</v>
      </c>
      <c r="G14081" s="41">
        <v>1</v>
      </c>
      <c r="H14081" s="41">
        <v>41.671979999999998</v>
      </c>
      <c r="I14081" s="221"/>
      <c r="J14081" s="221"/>
    </row>
    <row r="14082" spans="1:10" s="15" customFormat="1" ht="24" hidden="1" customHeight="1" outlineLevel="1" x14ac:dyDescent="0.25">
      <c r="A14082" s="18">
        <v>6607</v>
      </c>
      <c r="B14082" s="4" t="s">
        <v>44</v>
      </c>
      <c r="C14082" s="38" t="s">
        <v>12098</v>
      </c>
      <c r="D14082" s="18">
        <v>2023</v>
      </c>
      <c r="E14082" s="18" t="s">
        <v>0</v>
      </c>
      <c r="F14082" s="41">
        <v>1</v>
      </c>
      <c r="G14082" s="41">
        <v>15</v>
      </c>
      <c r="H14082" s="41">
        <v>44.921120000000002</v>
      </c>
      <c r="I14082" s="221"/>
      <c r="J14082" s="221"/>
    </row>
    <row r="14083" spans="1:10" s="15" customFormat="1" ht="24" hidden="1" customHeight="1" outlineLevel="1" x14ac:dyDescent="0.25">
      <c r="A14083" s="18">
        <v>6608</v>
      </c>
      <c r="B14083" s="4" t="s">
        <v>44</v>
      </c>
      <c r="C14083" s="38" t="s">
        <v>12099</v>
      </c>
      <c r="D14083" s="18">
        <v>2023</v>
      </c>
      <c r="E14083" s="18" t="s">
        <v>0</v>
      </c>
      <c r="F14083" s="41">
        <v>1</v>
      </c>
      <c r="G14083" s="41">
        <v>15</v>
      </c>
      <c r="H14083" s="41">
        <v>44.921120000000002</v>
      </c>
      <c r="I14083" s="221"/>
      <c r="J14083" s="221"/>
    </row>
    <row r="14084" spans="1:10" s="15" customFormat="1" ht="24" hidden="1" customHeight="1" outlineLevel="1" x14ac:dyDescent="0.25">
      <c r="A14084" s="18">
        <v>2631</v>
      </c>
      <c r="B14084" s="4" t="s">
        <v>44</v>
      </c>
      <c r="C14084" s="38" t="s">
        <v>12100</v>
      </c>
      <c r="D14084" s="18">
        <v>2023</v>
      </c>
      <c r="E14084" s="18" t="s">
        <v>0</v>
      </c>
      <c r="F14084" s="41">
        <v>1</v>
      </c>
      <c r="G14084" s="41">
        <v>15</v>
      </c>
      <c r="H14084" s="41">
        <v>44.921120000000002</v>
      </c>
      <c r="I14084" s="221"/>
      <c r="J14084" s="221"/>
    </row>
    <row r="14085" spans="1:10" s="15" customFormat="1" ht="24" hidden="1" customHeight="1" outlineLevel="1" x14ac:dyDescent="0.25">
      <c r="A14085" s="18">
        <v>6610</v>
      </c>
      <c r="B14085" s="4" t="s">
        <v>44</v>
      </c>
      <c r="C14085" s="38" t="s">
        <v>12101</v>
      </c>
      <c r="D14085" s="18">
        <v>2023</v>
      </c>
      <c r="E14085" s="18" t="s">
        <v>0</v>
      </c>
      <c r="F14085" s="41">
        <v>1</v>
      </c>
      <c r="G14085" s="41">
        <v>12</v>
      </c>
      <c r="H14085" s="41">
        <v>44.921120000000002</v>
      </c>
      <c r="I14085" s="221"/>
      <c r="J14085" s="221"/>
    </row>
    <row r="14086" spans="1:10" s="15" customFormat="1" ht="24" hidden="1" customHeight="1" outlineLevel="1" x14ac:dyDescent="0.25">
      <c r="A14086" s="18">
        <v>6611</v>
      </c>
      <c r="B14086" s="4" t="s">
        <v>44</v>
      </c>
      <c r="C14086" s="38" t="s">
        <v>12102</v>
      </c>
      <c r="D14086" s="18">
        <v>2023</v>
      </c>
      <c r="E14086" s="18" t="s">
        <v>0</v>
      </c>
      <c r="F14086" s="41">
        <v>1</v>
      </c>
      <c r="G14086" s="41">
        <v>10</v>
      </c>
      <c r="H14086" s="41">
        <v>44.921120000000002</v>
      </c>
      <c r="I14086" s="221"/>
      <c r="J14086" s="221"/>
    </row>
    <row r="14087" spans="1:10" s="15" customFormat="1" ht="24" hidden="1" customHeight="1" outlineLevel="1" x14ac:dyDescent="0.25">
      <c r="A14087" s="18">
        <v>2656</v>
      </c>
      <c r="B14087" s="4" t="s">
        <v>44</v>
      </c>
      <c r="C14087" s="38" t="s">
        <v>12103</v>
      </c>
      <c r="D14087" s="18">
        <v>2023</v>
      </c>
      <c r="E14087" s="18" t="s">
        <v>0</v>
      </c>
      <c r="F14087" s="41">
        <v>1</v>
      </c>
      <c r="G14087" s="41">
        <v>15</v>
      </c>
      <c r="H14087" s="41">
        <v>44.921120000000002</v>
      </c>
      <c r="I14087" s="221"/>
      <c r="J14087" s="221"/>
    </row>
    <row r="14088" spans="1:10" s="15" customFormat="1" ht="24" hidden="1" customHeight="1" outlineLevel="1" x14ac:dyDescent="0.25">
      <c r="A14088" s="18">
        <v>6616</v>
      </c>
      <c r="B14088" s="4" t="s">
        <v>44</v>
      </c>
      <c r="C14088" s="38" t="s">
        <v>12104</v>
      </c>
      <c r="D14088" s="18">
        <v>2023</v>
      </c>
      <c r="E14088" s="18" t="s">
        <v>0</v>
      </c>
      <c r="F14088" s="41">
        <v>1</v>
      </c>
      <c r="G14088" s="41">
        <v>15</v>
      </c>
      <c r="H14088" s="41">
        <v>44.921120000000002</v>
      </c>
      <c r="I14088" s="221"/>
      <c r="J14088" s="221"/>
    </row>
    <row r="14089" spans="1:10" s="15" customFormat="1" ht="24" hidden="1" customHeight="1" outlineLevel="1" x14ac:dyDescent="0.25">
      <c r="A14089" s="18">
        <v>6617</v>
      </c>
      <c r="B14089" s="4" t="s">
        <v>44</v>
      </c>
      <c r="C14089" s="38" t="s">
        <v>12105</v>
      </c>
      <c r="D14089" s="18">
        <v>2023</v>
      </c>
      <c r="E14089" s="18" t="s">
        <v>0</v>
      </c>
      <c r="F14089" s="41">
        <v>1</v>
      </c>
      <c r="G14089" s="41">
        <v>15</v>
      </c>
      <c r="H14089" s="41">
        <v>44.921120000000002</v>
      </c>
      <c r="I14089" s="221"/>
      <c r="J14089" s="221"/>
    </row>
    <row r="14090" spans="1:10" s="15" customFormat="1" ht="24" hidden="1" customHeight="1" outlineLevel="1" x14ac:dyDescent="0.25">
      <c r="A14090" s="18">
        <v>2677</v>
      </c>
      <c r="B14090" s="4" t="s">
        <v>44</v>
      </c>
      <c r="C14090" s="38" t="s">
        <v>12106</v>
      </c>
      <c r="D14090" s="18">
        <v>2023</v>
      </c>
      <c r="E14090" s="18" t="s">
        <v>0</v>
      </c>
      <c r="F14090" s="41">
        <v>1</v>
      </c>
      <c r="G14090" s="41">
        <v>15</v>
      </c>
      <c r="H14090" s="41">
        <v>44.921120000000002</v>
      </c>
      <c r="I14090" s="221"/>
      <c r="J14090" s="221"/>
    </row>
    <row r="14091" spans="1:10" s="15" customFormat="1" ht="24" hidden="1" customHeight="1" outlineLevel="1" x14ac:dyDescent="0.25">
      <c r="A14091" s="18">
        <v>6619</v>
      </c>
      <c r="B14091" s="4" t="s">
        <v>44</v>
      </c>
      <c r="C14091" s="38" t="s">
        <v>12107</v>
      </c>
      <c r="D14091" s="18">
        <v>2023</v>
      </c>
      <c r="E14091" s="18" t="s">
        <v>0</v>
      </c>
      <c r="F14091" s="41">
        <v>1</v>
      </c>
      <c r="G14091" s="41">
        <v>15</v>
      </c>
      <c r="H14091" s="41">
        <v>44.921120000000002</v>
      </c>
      <c r="I14091" s="221"/>
      <c r="J14091" s="221"/>
    </row>
    <row r="14092" spans="1:10" s="15" customFormat="1" ht="24" hidden="1" customHeight="1" outlineLevel="1" x14ac:dyDescent="0.25">
      <c r="A14092" s="18">
        <v>6620</v>
      </c>
      <c r="B14092" s="4" t="s">
        <v>44</v>
      </c>
      <c r="C14092" s="38" t="s">
        <v>12108</v>
      </c>
      <c r="D14092" s="18">
        <v>2023</v>
      </c>
      <c r="E14092" s="18" t="s">
        <v>0</v>
      </c>
      <c r="F14092" s="41">
        <v>1</v>
      </c>
      <c r="G14092" s="41">
        <v>14</v>
      </c>
      <c r="H14092" s="41">
        <v>44.445799999999991</v>
      </c>
      <c r="I14092" s="221"/>
      <c r="J14092" s="221"/>
    </row>
    <row r="14093" spans="1:10" s="15" customFormat="1" ht="24" hidden="1" customHeight="1" outlineLevel="1" x14ac:dyDescent="0.25">
      <c r="A14093" s="18">
        <v>6630</v>
      </c>
      <c r="B14093" s="4" t="s">
        <v>44</v>
      </c>
      <c r="C14093" s="38" t="s">
        <v>12109</v>
      </c>
      <c r="D14093" s="18">
        <v>2023</v>
      </c>
      <c r="E14093" s="18" t="s">
        <v>0</v>
      </c>
      <c r="F14093" s="41">
        <v>1</v>
      </c>
      <c r="G14093" s="41">
        <v>15</v>
      </c>
      <c r="H14093" s="41">
        <v>44.445799999999991</v>
      </c>
      <c r="I14093" s="221"/>
      <c r="J14093" s="221"/>
    </row>
    <row r="14094" spans="1:10" s="15" customFormat="1" ht="24" hidden="1" customHeight="1" outlineLevel="1" x14ac:dyDescent="0.25">
      <c r="A14094" s="18">
        <v>2676</v>
      </c>
      <c r="B14094" s="4" t="s">
        <v>44</v>
      </c>
      <c r="C14094" s="38" t="s">
        <v>12110</v>
      </c>
      <c r="D14094" s="18">
        <v>2023</v>
      </c>
      <c r="E14094" s="18" t="s">
        <v>0</v>
      </c>
      <c r="F14094" s="41">
        <v>1</v>
      </c>
      <c r="G14094" s="41">
        <v>5</v>
      </c>
      <c r="H14094" s="41">
        <v>44.445799999999991</v>
      </c>
      <c r="I14094" s="221"/>
      <c r="J14094" s="221"/>
    </row>
    <row r="14095" spans="1:10" s="15" customFormat="1" ht="24" hidden="1" customHeight="1" outlineLevel="1" x14ac:dyDescent="0.25">
      <c r="A14095" s="18">
        <v>6651</v>
      </c>
      <c r="B14095" s="4" t="s">
        <v>44</v>
      </c>
      <c r="C14095" s="38" t="s">
        <v>12111</v>
      </c>
      <c r="D14095" s="18">
        <v>2023</v>
      </c>
      <c r="E14095" s="18" t="s">
        <v>0</v>
      </c>
      <c r="F14095" s="41">
        <v>1</v>
      </c>
      <c r="G14095" s="41">
        <v>15</v>
      </c>
      <c r="H14095" s="41">
        <v>37.9572</v>
      </c>
      <c r="I14095" s="221"/>
      <c r="J14095" s="221"/>
    </row>
    <row r="14096" spans="1:10" s="15" customFormat="1" ht="24" hidden="1" customHeight="1" outlineLevel="1" x14ac:dyDescent="0.25">
      <c r="A14096" s="18">
        <v>6652</v>
      </c>
      <c r="B14096" s="4" t="s">
        <v>44</v>
      </c>
      <c r="C14096" s="38" t="s">
        <v>12112</v>
      </c>
      <c r="D14096" s="18">
        <v>2023</v>
      </c>
      <c r="E14096" s="18" t="s">
        <v>0</v>
      </c>
      <c r="F14096" s="41">
        <v>1</v>
      </c>
      <c r="G14096" s="41">
        <v>10</v>
      </c>
      <c r="H14096" s="41">
        <v>42.678319999999992</v>
      </c>
      <c r="I14096" s="221"/>
      <c r="J14096" s="221"/>
    </row>
    <row r="14097" spans="1:10" s="15" customFormat="1" ht="24" hidden="1" customHeight="1" outlineLevel="1" x14ac:dyDescent="0.25">
      <c r="A14097" s="18">
        <v>6653</v>
      </c>
      <c r="B14097" s="4" t="s">
        <v>44</v>
      </c>
      <c r="C14097" s="38" t="s">
        <v>12113</v>
      </c>
      <c r="D14097" s="18">
        <v>2023</v>
      </c>
      <c r="E14097" s="18" t="s">
        <v>0</v>
      </c>
      <c r="F14097" s="41">
        <v>1</v>
      </c>
      <c r="G14097" s="41">
        <v>15</v>
      </c>
      <c r="H14097" s="41">
        <v>38.63165</v>
      </c>
      <c r="I14097" s="221"/>
      <c r="J14097" s="221"/>
    </row>
    <row r="14098" spans="1:10" s="15" customFormat="1" ht="24" hidden="1" customHeight="1" outlineLevel="1" x14ac:dyDescent="0.25">
      <c r="A14098" s="18">
        <v>2635</v>
      </c>
      <c r="B14098" s="4" t="s">
        <v>44</v>
      </c>
      <c r="C14098" s="38" t="s">
        <v>12114</v>
      </c>
      <c r="D14098" s="18">
        <v>2023</v>
      </c>
      <c r="E14098" s="18" t="s">
        <v>0</v>
      </c>
      <c r="F14098" s="41">
        <v>1</v>
      </c>
      <c r="G14098" s="41">
        <v>15</v>
      </c>
      <c r="H14098" s="41">
        <v>37.282739999999997</v>
      </c>
      <c r="I14098" s="221"/>
      <c r="J14098" s="221"/>
    </row>
    <row r="14099" spans="1:10" s="15" customFormat="1" ht="24" hidden="1" customHeight="1" outlineLevel="1" x14ac:dyDescent="0.25">
      <c r="A14099" s="18">
        <v>2636</v>
      </c>
      <c r="B14099" s="4" t="s">
        <v>44</v>
      </c>
      <c r="C14099" s="38" t="s">
        <v>12115</v>
      </c>
      <c r="D14099" s="18">
        <v>2023</v>
      </c>
      <c r="E14099" s="18" t="s">
        <v>0</v>
      </c>
      <c r="F14099" s="41">
        <v>1</v>
      </c>
      <c r="G14099" s="41">
        <v>12.9</v>
      </c>
      <c r="H14099" s="41">
        <v>38.631630000000001</v>
      </c>
      <c r="I14099" s="221"/>
      <c r="J14099" s="221"/>
    </row>
    <row r="14100" spans="1:10" s="15" customFormat="1" ht="24" hidden="1" customHeight="1" outlineLevel="1" x14ac:dyDescent="0.25">
      <c r="A14100" s="18">
        <v>2617</v>
      </c>
      <c r="B14100" s="4" t="s">
        <v>44</v>
      </c>
      <c r="C14100" s="38" t="s">
        <v>12116</v>
      </c>
      <c r="D14100" s="18">
        <v>2023</v>
      </c>
      <c r="E14100" s="18" t="s">
        <v>0</v>
      </c>
      <c r="F14100" s="41">
        <v>1</v>
      </c>
      <c r="G14100" s="41">
        <v>10</v>
      </c>
      <c r="H14100" s="41">
        <v>37.9572</v>
      </c>
      <c r="I14100" s="221"/>
      <c r="J14100" s="221"/>
    </row>
    <row r="14101" spans="1:10" s="15" customFormat="1" ht="24" hidden="1" customHeight="1" outlineLevel="1" x14ac:dyDescent="0.25">
      <c r="A14101" s="18">
        <v>2660</v>
      </c>
      <c r="B14101" s="4" t="s">
        <v>44</v>
      </c>
      <c r="C14101" s="38" t="s">
        <v>12117</v>
      </c>
      <c r="D14101" s="18">
        <v>2023</v>
      </c>
      <c r="E14101" s="18" t="s">
        <v>0</v>
      </c>
      <c r="F14101" s="41">
        <v>1</v>
      </c>
      <c r="G14101" s="41">
        <v>15</v>
      </c>
      <c r="H14101" s="41">
        <v>39.306099999999994</v>
      </c>
      <c r="I14101" s="221"/>
      <c r="J14101" s="221"/>
    </row>
    <row r="14102" spans="1:10" s="15" customFormat="1" ht="24" hidden="1" customHeight="1" outlineLevel="1" x14ac:dyDescent="0.25">
      <c r="A14102" s="18">
        <v>6654</v>
      </c>
      <c r="B14102" s="4" t="s">
        <v>44</v>
      </c>
      <c r="C14102" s="38" t="s">
        <v>12118</v>
      </c>
      <c r="D14102" s="18">
        <v>2023</v>
      </c>
      <c r="E14102" s="18" t="s">
        <v>0</v>
      </c>
      <c r="F14102" s="41">
        <v>1</v>
      </c>
      <c r="G14102" s="41">
        <v>10</v>
      </c>
      <c r="H14102" s="41">
        <v>37.9572</v>
      </c>
      <c r="I14102" s="221"/>
      <c r="J14102" s="221"/>
    </row>
    <row r="14103" spans="1:10" s="15" customFormat="1" ht="24" hidden="1" customHeight="1" outlineLevel="1" x14ac:dyDescent="0.25">
      <c r="A14103" s="18">
        <v>6655</v>
      </c>
      <c r="B14103" s="4" t="s">
        <v>44</v>
      </c>
      <c r="C14103" s="38" t="s">
        <v>12119</v>
      </c>
      <c r="D14103" s="18">
        <v>2023</v>
      </c>
      <c r="E14103" s="18" t="s">
        <v>0</v>
      </c>
      <c r="F14103" s="41">
        <v>1</v>
      </c>
      <c r="G14103" s="41">
        <v>10</v>
      </c>
      <c r="H14103" s="41">
        <v>37.282729999999994</v>
      </c>
      <c r="I14103" s="221"/>
      <c r="J14103" s="221"/>
    </row>
    <row r="14104" spans="1:10" s="15" customFormat="1" ht="24" hidden="1" customHeight="1" outlineLevel="1" x14ac:dyDescent="0.25">
      <c r="A14104" s="18">
        <v>6656</v>
      </c>
      <c r="B14104" s="4" t="s">
        <v>44</v>
      </c>
      <c r="C14104" s="38" t="s">
        <v>12120</v>
      </c>
      <c r="D14104" s="18">
        <v>2023</v>
      </c>
      <c r="E14104" s="18" t="s">
        <v>0</v>
      </c>
      <c r="F14104" s="41">
        <v>1</v>
      </c>
      <c r="G14104" s="41">
        <v>10</v>
      </c>
      <c r="H14104" s="41">
        <v>37.282739999999997</v>
      </c>
      <c r="I14104" s="221"/>
      <c r="J14104" s="221"/>
    </row>
    <row r="14105" spans="1:10" s="15" customFormat="1" ht="24" hidden="1" customHeight="1" outlineLevel="1" x14ac:dyDescent="0.25">
      <c r="A14105" s="18">
        <v>6657</v>
      </c>
      <c r="B14105" s="4" t="s">
        <v>44</v>
      </c>
      <c r="C14105" s="38" t="s">
        <v>12121</v>
      </c>
      <c r="D14105" s="18">
        <v>2023</v>
      </c>
      <c r="E14105" s="18" t="s">
        <v>0</v>
      </c>
      <c r="F14105" s="41">
        <v>1</v>
      </c>
      <c r="G14105" s="41">
        <v>50</v>
      </c>
      <c r="H14105" s="41">
        <v>40.654959999999996</v>
      </c>
      <c r="I14105" s="221"/>
      <c r="J14105" s="221"/>
    </row>
    <row r="14106" spans="1:10" s="15" customFormat="1" ht="24" hidden="1" customHeight="1" outlineLevel="1" x14ac:dyDescent="0.25">
      <c r="A14106" s="18">
        <v>6658</v>
      </c>
      <c r="B14106" s="4" t="s">
        <v>44</v>
      </c>
      <c r="C14106" s="38" t="s">
        <v>12122</v>
      </c>
      <c r="D14106" s="18">
        <v>2023</v>
      </c>
      <c r="E14106" s="18" t="s">
        <v>0</v>
      </c>
      <c r="F14106" s="41">
        <v>1</v>
      </c>
      <c r="G14106" s="41">
        <v>15</v>
      </c>
      <c r="H14106" s="41">
        <v>37.9572</v>
      </c>
      <c r="I14106" s="221"/>
      <c r="J14106" s="221"/>
    </row>
    <row r="14107" spans="1:10" s="15" customFormat="1" ht="24" hidden="1" customHeight="1" outlineLevel="1" x14ac:dyDescent="0.25">
      <c r="A14107" s="18">
        <v>6203</v>
      </c>
      <c r="B14107" s="4" t="s">
        <v>44</v>
      </c>
      <c r="C14107" s="38" t="s">
        <v>12123</v>
      </c>
      <c r="D14107" s="18">
        <v>2023</v>
      </c>
      <c r="E14107" s="18" t="s">
        <v>0</v>
      </c>
      <c r="F14107" s="41">
        <v>1</v>
      </c>
      <c r="G14107" s="41">
        <v>15</v>
      </c>
      <c r="H14107" s="41">
        <v>17.884</v>
      </c>
      <c r="I14107" s="221"/>
      <c r="J14107" s="221"/>
    </row>
    <row r="14108" spans="1:10" s="15" customFormat="1" ht="24" hidden="1" customHeight="1" outlineLevel="1" x14ac:dyDescent="0.25">
      <c r="A14108" s="18">
        <v>3494</v>
      </c>
      <c r="B14108" s="4" t="s">
        <v>44</v>
      </c>
      <c r="C14108" s="38" t="s">
        <v>12124</v>
      </c>
      <c r="D14108" s="18">
        <v>2023</v>
      </c>
      <c r="E14108" s="18" t="s">
        <v>0</v>
      </c>
      <c r="F14108" s="41">
        <v>1</v>
      </c>
      <c r="G14108" s="41">
        <v>15</v>
      </c>
      <c r="H14108" s="41">
        <v>11.2096</v>
      </c>
      <c r="I14108" s="221"/>
      <c r="J14108" s="221"/>
    </row>
    <row r="14109" spans="1:10" s="15" customFormat="1" ht="24" hidden="1" customHeight="1" outlineLevel="1" x14ac:dyDescent="0.25">
      <c r="A14109" s="18">
        <v>6638</v>
      </c>
      <c r="B14109" s="4" t="s">
        <v>44</v>
      </c>
      <c r="C14109" s="38" t="s">
        <v>12125</v>
      </c>
      <c r="D14109" s="18">
        <v>2023</v>
      </c>
      <c r="E14109" s="18" t="s">
        <v>0</v>
      </c>
      <c r="F14109" s="41">
        <v>1</v>
      </c>
      <c r="G14109" s="41">
        <v>10</v>
      </c>
      <c r="H14109" s="41">
        <v>36.295000000000002</v>
      </c>
      <c r="I14109" s="221"/>
      <c r="J14109" s="221"/>
    </row>
    <row r="14110" spans="1:10" s="15" customFormat="1" ht="24" hidden="1" customHeight="1" outlineLevel="1" x14ac:dyDescent="0.25">
      <c r="A14110" s="18">
        <v>6639</v>
      </c>
      <c r="B14110" s="4" t="s">
        <v>44</v>
      </c>
      <c r="C14110" s="38" t="s">
        <v>12126</v>
      </c>
      <c r="D14110" s="18">
        <v>2023</v>
      </c>
      <c r="E14110" s="18" t="s">
        <v>0</v>
      </c>
      <c r="F14110" s="41">
        <v>1</v>
      </c>
      <c r="G14110" s="41">
        <v>5</v>
      </c>
      <c r="H14110" s="41">
        <v>4.7</v>
      </c>
      <c r="I14110" s="221"/>
      <c r="J14110" s="221"/>
    </row>
    <row r="14111" spans="1:10" s="15" customFormat="1" ht="24" hidden="1" customHeight="1" outlineLevel="1" x14ac:dyDescent="0.25">
      <c r="A14111" s="18">
        <v>6640</v>
      </c>
      <c r="B14111" s="4" t="s">
        <v>44</v>
      </c>
      <c r="C14111" s="38" t="s">
        <v>12127</v>
      </c>
      <c r="D14111" s="18">
        <v>2023</v>
      </c>
      <c r="E14111" s="18" t="s">
        <v>0</v>
      </c>
      <c r="F14111" s="41">
        <v>1</v>
      </c>
      <c r="G14111" s="41">
        <v>15</v>
      </c>
      <c r="H14111" s="41">
        <v>40.436800000000005</v>
      </c>
      <c r="I14111" s="221"/>
      <c r="J14111" s="221"/>
    </row>
    <row r="14112" spans="1:10" s="15" customFormat="1" ht="24" hidden="1" customHeight="1" outlineLevel="1" x14ac:dyDescent="0.25">
      <c r="A14112" s="18">
        <v>6641</v>
      </c>
      <c r="B14112" s="4" t="s">
        <v>44</v>
      </c>
      <c r="C14112" s="38" t="s">
        <v>12128</v>
      </c>
      <c r="D14112" s="18">
        <v>2023</v>
      </c>
      <c r="E14112" s="18" t="s">
        <v>0</v>
      </c>
      <c r="F14112" s="41">
        <v>1</v>
      </c>
      <c r="G14112" s="41">
        <v>14</v>
      </c>
      <c r="H14112" s="41">
        <v>46.439</v>
      </c>
      <c r="I14112" s="221"/>
      <c r="J14112" s="221"/>
    </row>
    <row r="14113" spans="1:10" s="15" customFormat="1" ht="24" hidden="1" customHeight="1" outlineLevel="1" x14ac:dyDescent="0.25">
      <c r="A14113" s="18">
        <v>6642</v>
      </c>
      <c r="B14113" s="4" t="s">
        <v>44</v>
      </c>
      <c r="C14113" s="38" t="s">
        <v>12129</v>
      </c>
      <c r="D14113" s="18">
        <v>2023</v>
      </c>
      <c r="E14113" s="18" t="s">
        <v>0</v>
      </c>
      <c r="F14113" s="41">
        <v>1</v>
      </c>
      <c r="G14113" s="41">
        <v>15</v>
      </c>
      <c r="H14113" s="41">
        <v>40.484000000000002</v>
      </c>
      <c r="I14113" s="221"/>
      <c r="J14113" s="221"/>
    </row>
    <row r="14114" spans="1:10" s="15" customFormat="1" ht="24" hidden="1" customHeight="1" outlineLevel="1" x14ac:dyDescent="0.25">
      <c r="A14114" s="18">
        <v>6643</v>
      </c>
      <c r="B14114" s="4" t="s">
        <v>44</v>
      </c>
      <c r="C14114" s="38" t="s">
        <v>12130</v>
      </c>
      <c r="D14114" s="18">
        <v>2023</v>
      </c>
      <c r="E14114" s="18" t="s">
        <v>0</v>
      </c>
      <c r="F14114" s="41">
        <v>1</v>
      </c>
      <c r="G14114" s="41">
        <v>15</v>
      </c>
      <c r="H14114" s="41">
        <v>40.48395</v>
      </c>
      <c r="I14114" s="221"/>
      <c r="J14114" s="221"/>
    </row>
    <row r="14115" spans="1:10" s="15" customFormat="1" ht="24" hidden="1" customHeight="1" outlineLevel="1" x14ac:dyDescent="0.25">
      <c r="A14115" s="18">
        <v>6647</v>
      </c>
      <c r="B14115" s="4" t="s">
        <v>44</v>
      </c>
      <c r="C14115" s="38" t="s">
        <v>12131</v>
      </c>
      <c r="D14115" s="18">
        <v>2023</v>
      </c>
      <c r="E14115" s="18" t="s">
        <v>0</v>
      </c>
      <c r="F14115" s="41">
        <v>1</v>
      </c>
      <c r="G14115" s="41">
        <v>8.8000000000000007</v>
      </c>
      <c r="H14115" s="41">
        <v>40.994</v>
      </c>
      <c r="I14115" s="221"/>
      <c r="J14115" s="221"/>
    </row>
    <row r="14116" spans="1:10" s="15" customFormat="1" ht="24" hidden="1" customHeight="1" outlineLevel="1" x14ac:dyDescent="0.25">
      <c r="A14116" s="18">
        <v>6648</v>
      </c>
      <c r="B14116" s="4" t="s">
        <v>44</v>
      </c>
      <c r="C14116" s="38" t="s">
        <v>12132</v>
      </c>
      <c r="D14116" s="18">
        <v>2023</v>
      </c>
      <c r="E14116" s="18" t="s">
        <v>0</v>
      </c>
      <c r="F14116" s="41">
        <v>1</v>
      </c>
      <c r="G14116" s="41">
        <v>15</v>
      </c>
      <c r="H14116" s="41">
        <v>40.838999999999999</v>
      </c>
      <c r="I14116" s="221"/>
      <c r="J14116" s="221"/>
    </row>
    <row r="14117" spans="1:10" s="15" customFormat="1" ht="24" hidden="1" customHeight="1" outlineLevel="1" x14ac:dyDescent="0.25">
      <c r="A14117" s="18">
        <v>6649</v>
      </c>
      <c r="B14117" s="4" t="s">
        <v>44</v>
      </c>
      <c r="C14117" s="38" t="s">
        <v>12133</v>
      </c>
      <c r="D14117" s="18">
        <v>2023</v>
      </c>
      <c r="E14117" s="18" t="s">
        <v>0</v>
      </c>
      <c r="F14117" s="41">
        <v>1</v>
      </c>
      <c r="G14117" s="41">
        <v>14.5</v>
      </c>
      <c r="H14117" s="41">
        <v>42.361000000000004</v>
      </c>
      <c r="I14117" s="221"/>
      <c r="J14117" s="221"/>
    </row>
    <row r="14118" spans="1:10" s="15" customFormat="1" ht="24" hidden="1" customHeight="1" outlineLevel="1" x14ac:dyDescent="0.25">
      <c r="A14118" s="18">
        <v>6650</v>
      </c>
      <c r="B14118" s="4" t="s">
        <v>44</v>
      </c>
      <c r="C14118" s="38" t="s">
        <v>12134</v>
      </c>
      <c r="D14118" s="18">
        <v>2023</v>
      </c>
      <c r="E14118" s="18" t="s">
        <v>0</v>
      </c>
      <c r="F14118" s="41">
        <v>1</v>
      </c>
      <c r="G14118" s="41">
        <v>15</v>
      </c>
      <c r="H14118" s="41">
        <v>43.516979999999997</v>
      </c>
      <c r="I14118" s="221"/>
      <c r="J14118" s="221"/>
    </row>
    <row r="14119" spans="1:10" s="15" customFormat="1" ht="24" hidden="1" customHeight="1" outlineLevel="1" x14ac:dyDescent="0.25">
      <c r="A14119" s="18">
        <v>6677</v>
      </c>
      <c r="B14119" s="4" t="s">
        <v>44</v>
      </c>
      <c r="C14119" s="38" t="s">
        <v>12135</v>
      </c>
      <c r="D14119" s="18">
        <v>2023</v>
      </c>
      <c r="E14119" s="18" t="s">
        <v>0</v>
      </c>
      <c r="F14119" s="41">
        <v>1</v>
      </c>
      <c r="G14119" s="41">
        <v>15</v>
      </c>
      <c r="H14119" s="41">
        <v>46.599799999999995</v>
      </c>
      <c r="I14119" s="221"/>
      <c r="J14119" s="221"/>
    </row>
    <row r="14120" spans="1:10" s="15" customFormat="1" ht="24" hidden="1" customHeight="1" outlineLevel="1" x14ac:dyDescent="0.25">
      <c r="A14120" s="18">
        <v>6680</v>
      </c>
      <c r="B14120" s="4" t="s">
        <v>44</v>
      </c>
      <c r="C14120" s="38" t="s">
        <v>12136</v>
      </c>
      <c r="D14120" s="18">
        <v>2023</v>
      </c>
      <c r="E14120" s="18" t="s">
        <v>0</v>
      </c>
      <c r="F14120" s="41">
        <v>1</v>
      </c>
      <c r="G14120" s="41">
        <v>15</v>
      </c>
      <c r="H14120" s="41">
        <v>46.718000000000004</v>
      </c>
      <c r="I14120" s="221"/>
      <c r="J14120" s="221"/>
    </row>
    <row r="14121" spans="1:10" s="15" customFormat="1" ht="24" hidden="1" customHeight="1" outlineLevel="1" x14ac:dyDescent="0.25">
      <c r="A14121" s="18">
        <v>2711</v>
      </c>
      <c r="B14121" s="4" t="s">
        <v>44</v>
      </c>
      <c r="C14121" s="38" t="s">
        <v>12137</v>
      </c>
      <c r="D14121" s="18">
        <v>2023</v>
      </c>
      <c r="E14121" s="18" t="s">
        <v>0</v>
      </c>
      <c r="F14121" s="41">
        <v>1</v>
      </c>
      <c r="G14121" s="41">
        <v>5</v>
      </c>
      <c r="H14121" s="41">
        <v>46.599799999999995</v>
      </c>
      <c r="I14121" s="221"/>
      <c r="J14121" s="221"/>
    </row>
    <row r="14122" spans="1:10" s="15" customFormat="1" ht="24" hidden="1" customHeight="1" outlineLevel="1" x14ac:dyDescent="0.25">
      <c r="A14122" s="18">
        <v>6681</v>
      </c>
      <c r="B14122" s="4" t="s">
        <v>44</v>
      </c>
      <c r="C14122" s="38" t="s">
        <v>12138</v>
      </c>
      <c r="D14122" s="18">
        <v>2023</v>
      </c>
      <c r="E14122" s="18" t="s">
        <v>0</v>
      </c>
      <c r="F14122" s="41">
        <v>1</v>
      </c>
      <c r="G14122" s="41">
        <v>15</v>
      </c>
      <c r="H14122" s="41">
        <v>46.599799999999995</v>
      </c>
      <c r="I14122" s="221"/>
      <c r="J14122" s="221"/>
    </row>
    <row r="14123" spans="1:10" s="15" customFormat="1" ht="24" hidden="1" customHeight="1" outlineLevel="1" x14ac:dyDescent="0.25">
      <c r="A14123" s="18">
        <v>2726</v>
      </c>
      <c r="B14123" s="4" t="s">
        <v>44</v>
      </c>
      <c r="C14123" s="38" t="s">
        <v>12139</v>
      </c>
      <c r="D14123" s="18">
        <v>2023</v>
      </c>
      <c r="E14123" s="18" t="s">
        <v>0</v>
      </c>
      <c r="F14123" s="41">
        <v>1</v>
      </c>
      <c r="G14123" s="41">
        <v>5</v>
      </c>
      <c r="H14123" s="41">
        <v>46.718000000000004</v>
      </c>
      <c r="I14123" s="221"/>
      <c r="J14123" s="221"/>
    </row>
    <row r="14124" spans="1:10" s="15" customFormat="1" ht="24" hidden="1" customHeight="1" outlineLevel="1" x14ac:dyDescent="0.25">
      <c r="A14124" s="18">
        <v>6684</v>
      </c>
      <c r="B14124" s="4" t="s">
        <v>44</v>
      </c>
      <c r="C14124" s="38" t="s">
        <v>12140</v>
      </c>
      <c r="D14124" s="18">
        <v>2023</v>
      </c>
      <c r="E14124" s="18" t="s">
        <v>0</v>
      </c>
      <c r="F14124" s="41">
        <v>1</v>
      </c>
      <c r="G14124" s="41">
        <v>15</v>
      </c>
      <c r="H14124" s="41">
        <v>44.564</v>
      </c>
      <c r="I14124" s="221"/>
      <c r="J14124" s="221"/>
    </row>
    <row r="14125" spans="1:10" s="15" customFormat="1" ht="24" hidden="1" customHeight="1" outlineLevel="1" x14ac:dyDescent="0.25">
      <c r="A14125" s="18">
        <v>6685</v>
      </c>
      <c r="B14125" s="4" t="s">
        <v>44</v>
      </c>
      <c r="C14125" s="38" t="s">
        <v>12141</v>
      </c>
      <c r="D14125" s="18">
        <v>2023</v>
      </c>
      <c r="E14125" s="18" t="s">
        <v>0</v>
      </c>
      <c r="F14125" s="41">
        <v>1</v>
      </c>
      <c r="G14125" s="41">
        <v>10</v>
      </c>
      <c r="H14125" s="41">
        <v>44.564150000000005</v>
      </c>
      <c r="I14125" s="221"/>
      <c r="J14125" s="221"/>
    </row>
    <row r="14126" spans="1:10" s="15" customFormat="1" ht="24" hidden="1" customHeight="1" outlineLevel="1" x14ac:dyDescent="0.25">
      <c r="A14126" s="18">
        <v>6690</v>
      </c>
      <c r="B14126" s="4" t="s">
        <v>44</v>
      </c>
      <c r="C14126" s="38" t="s">
        <v>12142</v>
      </c>
      <c r="D14126" s="18">
        <v>2023</v>
      </c>
      <c r="E14126" s="18" t="s">
        <v>0</v>
      </c>
      <c r="F14126" s="41">
        <v>1</v>
      </c>
      <c r="G14126" s="41">
        <v>15</v>
      </c>
      <c r="H14126" s="41">
        <v>44.451269999999994</v>
      </c>
      <c r="I14126" s="221"/>
      <c r="J14126" s="221"/>
    </row>
    <row r="14127" spans="1:10" s="15" customFormat="1" ht="24" hidden="1" customHeight="1" outlineLevel="1" x14ac:dyDescent="0.25">
      <c r="A14127" s="18">
        <v>6706</v>
      </c>
      <c r="B14127" s="4" t="s">
        <v>44</v>
      </c>
      <c r="C14127" s="38" t="s">
        <v>12143</v>
      </c>
      <c r="D14127" s="18">
        <v>2023</v>
      </c>
      <c r="E14127" s="18" t="s">
        <v>0</v>
      </c>
      <c r="F14127" s="41">
        <v>1</v>
      </c>
      <c r="G14127" s="41">
        <v>10</v>
      </c>
      <c r="H14127" s="41">
        <v>40.083239999999996</v>
      </c>
      <c r="I14127" s="221"/>
      <c r="J14127" s="221"/>
    </row>
    <row r="14128" spans="1:10" s="15" customFormat="1" ht="24" hidden="1" customHeight="1" outlineLevel="1" x14ac:dyDescent="0.25">
      <c r="A14128" s="18">
        <v>6707</v>
      </c>
      <c r="B14128" s="4" t="s">
        <v>44</v>
      </c>
      <c r="C14128" s="38" t="s">
        <v>12144</v>
      </c>
      <c r="D14128" s="18">
        <v>2023</v>
      </c>
      <c r="E14128" s="18" t="s">
        <v>0</v>
      </c>
      <c r="F14128" s="41">
        <v>1</v>
      </c>
      <c r="G14128" s="41">
        <v>10</v>
      </c>
      <c r="H14128" s="41">
        <v>39.345179999999999</v>
      </c>
      <c r="I14128" s="221"/>
      <c r="J14128" s="221"/>
    </row>
    <row r="14129" spans="1:10" s="15" customFormat="1" ht="24" hidden="1" customHeight="1" outlineLevel="1" x14ac:dyDescent="0.25">
      <c r="A14129" s="18">
        <v>2693</v>
      </c>
      <c r="B14129" s="4" t="s">
        <v>44</v>
      </c>
      <c r="C14129" s="38" t="s">
        <v>12145</v>
      </c>
      <c r="D14129" s="18">
        <v>2023</v>
      </c>
      <c r="E14129" s="18" t="s">
        <v>0</v>
      </c>
      <c r="F14129" s="41">
        <v>1</v>
      </c>
      <c r="G14129" s="41">
        <v>5</v>
      </c>
      <c r="H14129" s="41">
        <v>39.345179999999999</v>
      </c>
      <c r="I14129" s="221"/>
      <c r="J14129" s="221"/>
    </row>
    <row r="14130" spans="1:10" s="15" customFormat="1" ht="24" hidden="1" customHeight="1" outlineLevel="1" x14ac:dyDescent="0.25">
      <c r="A14130" s="18">
        <v>6708</v>
      </c>
      <c r="B14130" s="4" t="s">
        <v>44</v>
      </c>
      <c r="C14130" s="38" t="s">
        <v>12146</v>
      </c>
      <c r="D14130" s="18">
        <v>2023</v>
      </c>
      <c r="E14130" s="18" t="s">
        <v>0</v>
      </c>
      <c r="F14130" s="41">
        <v>1</v>
      </c>
      <c r="G14130" s="41">
        <v>14</v>
      </c>
      <c r="H14130" s="41">
        <v>40.82141</v>
      </c>
      <c r="I14130" s="221"/>
      <c r="J14130" s="221"/>
    </row>
    <row r="14131" spans="1:10" s="15" customFormat="1" ht="24" hidden="1" customHeight="1" outlineLevel="1" x14ac:dyDescent="0.25">
      <c r="A14131" s="18">
        <v>2576</v>
      </c>
      <c r="B14131" s="4" t="s">
        <v>44</v>
      </c>
      <c r="C14131" s="38" t="s">
        <v>12147</v>
      </c>
      <c r="D14131" s="18">
        <v>2023</v>
      </c>
      <c r="E14131" s="18" t="s">
        <v>0</v>
      </c>
      <c r="F14131" s="41">
        <v>1</v>
      </c>
      <c r="G14131" s="41">
        <v>6</v>
      </c>
      <c r="H14131" s="41">
        <v>39.492739999999998</v>
      </c>
      <c r="I14131" s="221"/>
      <c r="J14131" s="221"/>
    </row>
    <row r="14132" spans="1:10" s="15" customFormat="1" ht="24" hidden="1" customHeight="1" outlineLevel="1" x14ac:dyDescent="0.25">
      <c r="A14132" s="18">
        <v>2695</v>
      </c>
      <c r="B14132" s="4" t="s">
        <v>44</v>
      </c>
      <c r="C14132" s="38" t="s">
        <v>12148</v>
      </c>
      <c r="D14132" s="18">
        <v>2023</v>
      </c>
      <c r="E14132" s="18" t="s">
        <v>0</v>
      </c>
      <c r="F14132" s="41">
        <v>1</v>
      </c>
      <c r="G14132" s="41">
        <v>1</v>
      </c>
      <c r="H14132" s="41">
        <v>38.606999999999999</v>
      </c>
      <c r="I14132" s="221"/>
      <c r="J14132" s="221"/>
    </row>
    <row r="14133" spans="1:10" s="15" customFormat="1" ht="24" hidden="1" customHeight="1" outlineLevel="1" x14ac:dyDescent="0.25">
      <c r="A14133" s="18">
        <v>2697</v>
      </c>
      <c r="B14133" s="4" t="s">
        <v>44</v>
      </c>
      <c r="C14133" s="38" t="s">
        <v>12149</v>
      </c>
      <c r="D14133" s="18">
        <v>2023</v>
      </c>
      <c r="E14133" s="18" t="s">
        <v>0</v>
      </c>
      <c r="F14133" s="41">
        <v>1</v>
      </c>
      <c r="G14133" s="41">
        <v>3</v>
      </c>
      <c r="H14133" s="41">
        <v>40.821419999999996</v>
      </c>
      <c r="I14133" s="221"/>
      <c r="J14133" s="221"/>
    </row>
    <row r="14134" spans="1:10" s="15" customFormat="1" ht="24" hidden="1" customHeight="1" outlineLevel="1" x14ac:dyDescent="0.25">
      <c r="A14134" s="18">
        <v>6709</v>
      </c>
      <c r="B14134" s="4" t="s">
        <v>44</v>
      </c>
      <c r="C14134" s="38" t="s">
        <v>12150</v>
      </c>
      <c r="D14134" s="18">
        <v>2023</v>
      </c>
      <c r="E14134" s="18" t="s">
        <v>0</v>
      </c>
      <c r="F14134" s="41">
        <v>1</v>
      </c>
      <c r="G14134" s="41">
        <v>10</v>
      </c>
      <c r="H14134" s="41">
        <v>40.82141</v>
      </c>
      <c r="I14134" s="221"/>
      <c r="J14134" s="221"/>
    </row>
    <row r="14135" spans="1:10" s="15" customFormat="1" ht="24" hidden="1" customHeight="1" outlineLevel="1" x14ac:dyDescent="0.25">
      <c r="A14135" s="18">
        <v>6710</v>
      </c>
      <c r="B14135" s="4" t="s">
        <v>44</v>
      </c>
      <c r="C14135" s="38" t="s">
        <v>12151</v>
      </c>
      <c r="D14135" s="18">
        <v>2023</v>
      </c>
      <c r="E14135" s="18" t="s">
        <v>0</v>
      </c>
      <c r="F14135" s="41">
        <v>1</v>
      </c>
      <c r="G14135" s="41">
        <v>10</v>
      </c>
      <c r="H14135" s="41">
        <v>39.049950000000003</v>
      </c>
      <c r="I14135" s="221"/>
      <c r="J14135" s="221"/>
    </row>
    <row r="14136" spans="1:10" s="15" customFormat="1" ht="24" hidden="1" customHeight="1" outlineLevel="1" x14ac:dyDescent="0.25">
      <c r="A14136" s="18">
        <v>909</v>
      </c>
      <c r="B14136" s="4" t="s">
        <v>44</v>
      </c>
      <c r="C14136" s="38" t="s">
        <v>12152</v>
      </c>
      <c r="D14136" s="18">
        <v>2023</v>
      </c>
      <c r="E14136" s="18" t="s">
        <v>0</v>
      </c>
      <c r="F14136" s="41">
        <v>1</v>
      </c>
      <c r="G14136" s="41">
        <v>15</v>
      </c>
      <c r="H14136" s="41">
        <v>38.607040000000005</v>
      </c>
      <c r="I14136" s="221"/>
      <c r="J14136" s="221"/>
    </row>
    <row r="14137" spans="1:10" s="15" customFormat="1" ht="24" hidden="1" customHeight="1" outlineLevel="1" x14ac:dyDescent="0.25">
      <c r="A14137" s="18">
        <v>6693</v>
      </c>
      <c r="B14137" s="4" t="s">
        <v>44</v>
      </c>
      <c r="C14137" s="38" t="s">
        <v>12153</v>
      </c>
      <c r="D14137" s="18">
        <v>2023</v>
      </c>
      <c r="E14137" s="18" t="s">
        <v>0</v>
      </c>
      <c r="F14137" s="41">
        <v>1</v>
      </c>
      <c r="G14137" s="41">
        <v>15</v>
      </c>
      <c r="H14137" s="41">
        <v>39.018000000000001</v>
      </c>
      <c r="I14137" s="221"/>
      <c r="J14137" s="221"/>
    </row>
    <row r="14138" spans="1:10" s="15" customFormat="1" ht="24" hidden="1" customHeight="1" outlineLevel="1" x14ac:dyDescent="0.25">
      <c r="A14138" s="18">
        <v>2530</v>
      </c>
      <c r="B14138" s="4" t="s">
        <v>44</v>
      </c>
      <c r="C14138" s="38" t="s">
        <v>12154</v>
      </c>
      <c r="D14138" s="18">
        <v>2023</v>
      </c>
      <c r="E14138" s="18" t="s">
        <v>0</v>
      </c>
      <c r="F14138" s="41">
        <v>1</v>
      </c>
      <c r="G14138" s="41">
        <v>10</v>
      </c>
      <c r="H14138" s="41">
        <v>40.988249999999987</v>
      </c>
      <c r="I14138" s="221"/>
      <c r="J14138" s="221"/>
    </row>
    <row r="14139" spans="1:10" s="15" customFormat="1" ht="24" hidden="1" customHeight="1" outlineLevel="1" x14ac:dyDescent="0.25">
      <c r="A14139" s="18">
        <v>6697</v>
      </c>
      <c r="B14139" s="4" t="s">
        <v>44</v>
      </c>
      <c r="C14139" s="38" t="s">
        <v>12155</v>
      </c>
      <c r="D14139" s="18">
        <v>2023</v>
      </c>
      <c r="E14139" s="18" t="s">
        <v>0</v>
      </c>
      <c r="F14139" s="41">
        <v>1</v>
      </c>
      <c r="G14139" s="41">
        <v>15</v>
      </c>
      <c r="H14139" s="41">
        <v>40.865169999999999</v>
      </c>
      <c r="I14139" s="221"/>
      <c r="J14139" s="221"/>
    </row>
    <row r="14140" spans="1:10" s="15" customFormat="1" ht="24" hidden="1" customHeight="1" outlineLevel="1" x14ac:dyDescent="0.25">
      <c r="A14140" s="18">
        <v>6698</v>
      </c>
      <c r="B14140" s="4" t="s">
        <v>44</v>
      </c>
      <c r="C14140" s="38" t="s">
        <v>12156</v>
      </c>
      <c r="D14140" s="18">
        <v>2023</v>
      </c>
      <c r="E14140" s="18" t="s">
        <v>0</v>
      </c>
      <c r="F14140" s="41">
        <v>1</v>
      </c>
      <c r="G14140" s="41">
        <v>15</v>
      </c>
      <c r="H14140" s="41">
        <v>40.684980000000003</v>
      </c>
      <c r="I14140" s="221"/>
      <c r="J14140" s="221"/>
    </row>
    <row r="14141" spans="1:10" s="15" customFormat="1" ht="24" hidden="1" customHeight="1" outlineLevel="1" x14ac:dyDescent="0.25">
      <c r="A14141" s="18">
        <v>6699</v>
      </c>
      <c r="B14141" s="4" t="s">
        <v>44</v>
      </c>
      <c r="C14141" s="38" t="s">
        <v>12157</v>
      </c>
      <c r="D14141" s="18">
        <v>2023</v>
      </c>
      <c r="E14141" s="18" t="s">
        <v>0</v>
      </c>
      <c r="F14141" s="41">
        <v>1</v>
      </c>
      <c r="G14141" s="41">
        <v>15</v>
      </c>
      <c r="H14141" s="41">
        <v>44.326630000000002</v>
      </c>
      <c r="I14141" s="221"/>
      <c r="J14141" s="221"/>
    </row>
    <row r="14142" spans="1:10" s="15" customFormat="1" ht="24" hidden="1" customHeight="1" outlineLevel="1" x14ac:dyDescent="0.25">
      <c r="A14142" s="18">
        <v>2718</v>
      </c>
      <c r="B14142" s="4" t="s">
        <v>44</v>
      </c>
      <c r="C14142" s="38" t="s">
        <v>12158</v>
      </c>
      <c r="D14142" s="18">
        <v>2023</v>
      </c>
      <c r="E14142" s="18" t="s">
        <v>0</v>
      </c>
      <c r="F14142" s="41">
        <v>1</v>
      </c>
      <c r="G14142" s="41">
        <v>6</v>
      </c>
      <c r="H14142" s="41">
        <v>41.642660000000006</v>
      </c>
      <c r="I14142" s="221"/>
      <c r="J14142" s="221"/>
    </row>
    <row r="14143" spans="1:10" s="15" customFormat="1" ht="24" hidden="1" customHeight="1" outlineLevel="1" x14ac:dyDescent="0.25">
      <c r="A14143" s="18">
        <v>6700</v>
      </c>
      <c r="B14143" s="4" t="s">
        <v>44</v>
      </c>
      <c r="C14143" s="38" t="s">
        <v>12159</v>
      </c>
      <c r="D14143" s="18">
        <v>2023</v>
      </c>
      <c r="E14143" s="18" t="s">
        <v>0</v>
      </c>
      <c r="F14143" s="41">
        <v>1</v>
      </c>
      <c r="G14143" s="41">
        <v>15</v>
      </c>
      <c r="H14143" s="41">
        <v>42.318010000000001</v>
      </c>
      <c r="I14143" s="221"/>
      <c r="J14143" s="221"/>
    </row>
    <row r="14144" spans="1:10" s="15" customFormat="1" ht="24" hidden="1" customHeight="1" outlineLevel="1" x14ac:dyDescent="0.25">
      <c r="A14144" s="18">
        <v>6702</v>
      </c>
      <c r="B14144" s="4" t="s">
        <v>44</v>
      </c>
      <c r="C14144" s="38" t="s">
        <v>12160</v>
      </c>
      <c r="D14144" s="18">
        <v>2023</v>
      </c>
      <c r="E14144" s="18" t="s">
        <v>0</v>
      </c>
      <c r="F14144" s="41">
        <v>1</v>
      </c>
      <c r="G14144" s="41">
        <v>15</v>
      </c>
      <c r="H14144" s="41">
        <v>41.991320000000002</v>
      </c>
      <c r="I14144" s="221"/>
      <c r="J14144" s="221"/>
    </row>
    <row r="14145" spans="1:10" s="15" customFormat="1" ht="24" hidden="1" customHeight="1" outlineLevel="1" x14ac:dyDescent="0.25">
      <c r="A14145" s="18">
        <v>6703</v>
      </c>
      <c r="B14145" s="4" t="s">
        <v>44</v>
      </c>
      <c r="C14145" s="38" t="s">
        <v>12161</v>
      </c>
      <c r="D14145" s="18">
        <v>2023</v>
      </c>
      <c r="E14145" s="18" t="s">
        <v>0</v>
      </c>
      <c r="F14145" s="41">
        <v>1</v>
      </c>
      <c r="G14145" s="41">
        <v>15</v>
      </c>
      <c r="H14145" s="41">
        <v>41.984210000000004</v>
      </c>
      <c r="I14145" s="221"/>
      <c r="J14145" s="221"/>
    </row>
    <row r="14146" spans="1:10" s="15" customFormat="1" ht="24" hidden="1" customHeight="1" outlineLevel="1" x14ac:dyDescent="0.25">
      <c r="A14146" s="18">
        <v>2738</v>
      </c>
      <c r="B14146" s="4" t="s">
        <v>44</v>
      </c>
      <c r="C14146" s="38" t="s">
        <v>12162</v>
      </c>
      <c r="D14146" s="18">
        <v>2023</v>
      </c>
      <c r="E14146" s="18" t="s">
        <v>0</v>
      </c>
      <c r="F14146" s="41">
        <v>1</v>
      </c>
      <c r="G14146" s="41">
        <v>5</v>
      </c>
      <c r="H14146" s="41">
        <v>41.990309999999994</v>
      </c>
      <c r="I14146" s="221"/>
      <c r="J14146" s="221"/>
    </row>
    <row r="14147" spans="1:10" s="15" customFormat="1" ht="24" hidden="1" customHeight="1" outlineLevel="1" x14ac:dyDescent="0.25">
      <c r="A14147" s="18">
        <v>2265</v>
      </c>
      <c r="B14147" s="4" t="s">
        <v>44</v>
      </c>
      <c r="C14147" s="38" t="s">
        <v>12163</v>
      </c>
      <c r="D14147" s="18">
        <v>2023</v>
      </c>
      <c r="E14147" s="18" t="s">
        <v>0</v>
      </c>
      <c r="F14147" s="41">
        <v>1</v>
      </c>
      <c r="G14147" s="41">
        <v>3</v>
      </c>
      <c r="H14147" s="41">
        <v>41.698670000000007</v>
      </c>
      <c r="I14147" s="221"/>
      <c r="J14147" s="221"/>
    </row>
    <row r="14148" spans="1:10" s="15" customFormat="1" ht="24" hidden="1" customHeight="1" outlineLevel="1" x14ac:dyDescent="0.25">
      <c r="A14148" s="18">
        <v>6712</v>
      </c>
      <c r="B14148" s="4" t="s">
        <v>44</v>
      </c>
      <c r="C14148" s="38" t="s">
        <v>12164</v>
      </c>
      <c r="D14148" s="18">
        <v>2023</v>
      </c>
      <c r="E14148" s="18" t="s">
        <v>0</v>
      </c>
      <c r="F14148" s="41">
        <v>1</v>
      </c>
      <c r="G14148" s="41">
        <v>10</v>
      </c>
      <c r="H14148" s="41">
        <v>43.803040000000003</v>
      </c>
      <c r="I14148" s="221"/>
      <c r="J14148" s="221"/>
    </row>
    <row r="14149" spans="1:10" s="15" customFormat="1" ht="24" hidden="1" customHeight="1" outlineLevel="1" x14ac:dyDescent="0.25">
      <c r="A14149" s="18">
        <v>2761</v>
      </c>
      <c r="B14149" s="4" t="s">
        <v>44</v>
      </c>
      <c r="C14149" s="38" t="s">
        <v>12165</v>
      </c>
      <c r="D14149" s="18">
        <v>2023</v>
      </c>
      <c r="E14149" s="18" t="s">
        <v>0</v>
      </c>
      <c r="F14149" s="41">
        <v>1</v>
      </c>
      <c r="G14149" s="41">
        <v>15</v>
      </c>
      <c r="H14149" s="41">
        <v>43.803040000000003</v>
      </c>
      <c r="I14149" s="221"/>
      <c r="J14149" s="221"/>
    </row>
    <row r="14150" spans="1:10" s="15" customFormat="1" ht="24" hidden="1" customHeight="1" outlineLevel="1" x14ac:dyDescent="0.25">
      <c r="A14150" s="18">
        <v>6713</v>
      </c>
      <c r="B14150" s="4" t="s">
        <v>44</v>
      </c>
      <c r="C14150" s="38" t="s">
        <v>12166</v>
      </c>
      <c r="D14150" s="18">
        <v>2023</v>
      </c>
      <c r="E14150" s="18" t="s">
        <v>0</v>
      </c>
      <c r="F14150" s="41">
        <v>1</v>
      </c>
      <c r="G14150" s="41">
        <v>15</v>
      </c>
      <c r="H14150" s="41">
        <v>43.803040000000003</v>
      </c>
      <c r="I14150" s="221"/>
      <c r="J14150" s="221"/>
    </row>
    <row r="14151" spans="1:10" s="15" customFormat="1" ht="24" hidden="1" customHeight="1" outlineLevel="1" x14ac:dyDescent="0.25">
      <c r="A14151" s="18">
        <v>2785</v>
      </c>
      <c r="B14151" s="4" t="s">
        <v>44</v>
      </c>
      <c r="C14151" s="38" t="s">
        <v>12167</v>
      </c>
      <c r="D14151" s="18">
        <v>2023</v>
      </c>
      <c r="E14151" s="18" t="s">
        <v>0</v>
      </c>
      <c r="F14151" s="41">
        <v>1</v>
      </c>
      <c r="G14151" s="41">
        <v>15</v>
      </c>
      <c r="H14151" s="41">
        <v>43.803040000000003</v>
      </c>
      <c r="I14151" s="221"/>
      <c r="J14151" s="221"/>
    </row>
    <row r="14152" spans="1:10" s="15" customFormat="1" ht="24" hidden="1" customHeight="1" outlineLevel="1" x14ac:dyDescent="0.25">
      <c r="A14152" s="18">
        <v>6721</v>
      </c>
      <c r="B14152" s="4" t="s">
        <v>44</v>
      </c>
      <c r="C14152" s="38" t="s">
        <v>12168</v>
      </c>
      <c r="D14152" s="18">
        <v>2023</v>
      </c>
      <c r="E14152" s="18" t="s">
        <v>0</v>
      </c>
      <c r="F14152" s="41">
        <v>1</v>
      </c>
      <c r="G14152" s="41">
        <v>15</v>
      </c>
      <c r="H14152" s="41">
        <v>43.803040000000003</v>
      </c>
      <c r="I14152" s="221"/>
      <c r="J14152" s="221"/>
    </row>
    <row r="14153" spans="1:10" s="15" customFormat="1" ht="24" hidden="1" customHeight="1" outlineLevel="1" x14ac:dyDescent="0.25">
      <c r="A14153" s="18">
        <v>2780</v>
      </c>
      <c r="B14153" s="4" t="s">
        <v>44</v>
      </c>
      <c r="C14153" s="38" t="s">
        <v>12169</v>
      </c>
      <c r="D14153" s="18">
        <v>2023</v>
      </c>
      <c r="E14153" s="18" t="s">
        <v>0</v>
      </c>
      <c r="F14153" s="41">
        <v>1</v>
      </c>
      <c r="G14153" s="41">
        <v>15</v>
      </c>
      <c r="H14153" s="41">
        <v>43.803040000000003</v>
      </c>
      <c r="I14153" s="221"/>
      <c r="J14153" s="221"/>
    </row>
    <row r="14154" spans="1:10" s="15" customFormat="1" ht="24" hidden="1" customHeight="1" outlineLevel="1" x14ac:dyDescent="0.25">
      <c r="A14154" s="18">
        <v>2799</v>
      </c>
      <c r="B14154" s="4" t="s">
        <v>44</v>
      </c>
      <c r="C14154" s="38" t="s">
        <v>12170</v>
      </c>
      <c r="D14154" s="18">
        <v>2023</v>
      </c>
      <c r="E14154" s="18" t="s">
        <v>0</v>
      </c>
      <c r="F14154" s="41">
        <v>1</v>
      </c>
      <c r="G14154" s="41">
        <v>3</v>
      </c>
      <c r="H14154" s="41">
        <v>43.803040000000003</v>
      </c>
      <c r="I14154" s="221"/>
      <c r="J14154" s="221"/>
    </row>
    <row r="14155" spans="1:10" s="15" customFormat="1" ht="24" hidden="1" customHeight="1" outlineLevel="1" x14ac:dyDescent="0.25">
      <c r="A14155" s="18">
        <v>2755</v>
      </c>
      <c r="B14155" s="4" t="s">
        <v>44</v>
      </c>
      <c r="C14155" s="38" t="s">
        <v>12171</v>
      </c>
      <c r="D14155" s="18">
        <v>2023</v>
      </c>
      <c r="E14155" s="18" t="s">
        <v>0</v>
      </c>
      <c r="F14155" s="41">
        <v>1</v>
      </c>
      <c r="G14155" s="41">
        <v>1</v>
      </c>
      <c r="H14155" s="41">
        <v>43.914270000000002</v>
      </c>
      <c r="I14155" s="221"/>
      <c r="J14155" s="221"/>
    </row>
    <row r="14156" spans="1:10" s="15" customFormat="1" ht="24" hidden="1" customHeight="1" outlineLevel="1" x14ac:dyDescent="0.25">
      <c r="A14156" s="18">
        <v>2746</v>
      </c>
      <c r="B14156" s="4" t="s">
        <v>44</v>
      </c>
      <c r="C14156" s="38" t="s">
        <v>12172</v>
      </c>
      <c r="D14156" s="18">
        <v>2023</v>
      </c>
      <c r="E14156" s="18" t="s">
        <v>0</v>
      </c>
      <c r="F14156" s="41">
        <v>1</v>
      </c>
      <c r="G14156" s="41">
        <v>15</v>
      </c>
      <c r="H14156" s="41">
        <v>43.914270000000002</v>
      </c>
      <c r="I14156" s="221"/>
      <c r="J14156" s="221"/>
    </row>
    <row r="14157" spans="1:10" s="15" customFormat="1" ht="24" hidden="1" customHeight="1" outlineLevel="1" x14ac:dyDescent="0.25">
      <c r="A14157" s="18">
        <v>2770</v>
      </c>
      <c r="B14157" s="4" t="s">
        <v>44</v>
      </c>
      <c r="C14157" s="38" t="s">
        <v>12173</v>
      </c>
      <c r="D14157" s="18">
        <v>2023</v>
      </c>
      <c r="E14157" s="18" t="s">
        <v>0</v>
      </c>
      <c r="F14157" s="41">
        <v>1</v>
      </c>
      <c r="G14157" s="41">
        <v>6</v>
      </c>
      <c r="H14157" s="41">
        <v>43.914270000000002</v>
      </c>
      <c r="I14157" s="221"/>
      <c r="J14157" s="221"/>
    </row>
    <row r="14158" spans="1:10" s="15" customFormat="1" ht="24" hidden="1" customHeight="1" outlineLevel="1" x14ac:dyDescent="0.25">
      <c r="A14158" s="18">
        <v>2775</v>
      </c>
      <c r="B14158" s="4" t="s">
        <v>44</v>
      </c>
      <c r="C14158" s="38" t="s">
        <v>12174</v>
      </c>
      <c r="D14158" s="18">
        <v>2023</v>
      </c>
      <c r="E14158" s="18" t="s">
        <v>0</v>
      </c>
      <c r="F14158" s="41">
        <v>1</v>
      </c>
      <c r="G14158" s="41">
        <v>15</v>
      </c>
      <c r="H14158" s="41">
        <v>43.914270000000002</v>
      </c>
      <c r="I14158" s="221"/>
      <c r="J14158" s="221"/>
    </row>
    <row r="14159" spans="1:10" s="15" customFormat="1" ht="24" hidden="1" customHeight="1" outlineLevel="1" x14ac:dyDescent="0.25">
      <c r="A14159" s="18">
        <v>2784</v>
      </c>
      <c r="B14159" s="4" t="s">
        <v>44</v>
      </c>
      <c r="C14159" s="38" t="s">
        <v>12175</v>
      </c>
      <c r="D14159" s="18">
        <v>2023</v>
      </c>
      <c r="E14159" s="18" t="s">
        <v>0</v>
      </c>
      <c r="F14159" s="41">
        <v>1</v>
      </c>
      <c r="G14159" s="41">
        <v>10</v>
      </c>
      <c r="H14159" s="41">
        <v>43.914270000000002</v>
      </c>
      <c r="I14159" s="221"/>
      <c r="J14159" s="221"/>
    </row>
    <row r="14160" spans="1:10" s="15" customFormat="1" ht="24" hidden="1" customHeight="1" outlineLevel="1" x14ac:dyDescent="0.25">
      <c r="A14160" s="18">
        <v>6733</v>
      </c>
      <c r="B14160" s="4" t="s">
        <v>44</v>
      </c>
      <c r="C14160" s="38" t="s">
        <v>12176</v>
      </c>
      <c r="D14160" s="18">
        <v>2023</v>
      </c>
      <c r="E14160" s="18" t="s">
        <v>0</v>
      </c>
      <c r="F14160" s="41">
        <v>1</v>
      </c>
      <c r="G14160" s="41">
        <v>5</v>
      </c>
      <c r="H14160" s="41">
        <v>43.914270000000002</v>
      </c>
      <c r="I14160" s="221"/>
      <c r="J14160" s="221"/>
    </row>
    <row r="14161" spans="1:10" s="15" customFormat="1" ht="24" hidden="1" customHeight="1" outlineLevel="1" x14ac:dyDescent="0.25">
      <c r="A14161" s="18">
        <v>6736</v>
      </c>
      <c r="B14161" s="4" t="s">
        <v>44</v>
      </c>
      <c r="C14161" s="38" t="s">
        <v>12177</v>
      </c>
      <c r="D14161" s="18">
        <v>2023</v>
      </c>
      <c r="E14161" s="18" t="s">
        <v>0</v>
      </c>
      <c r="F14161" s="41">
        <v>1</v>
      </c>
      <c r="G14161" s="41">
        <v>15</v>
      </c>
      <c r="H14161" s="41">
        <v>39.67456</v>
      </c>
      <c r="I14161" s="221"/>
      <c r="J14161" s="221"/>
    </row>
    <row r="14162" spans="1:10" s="15" customFormat="1" ht="24" hidden="1" customHeight="1" outlineLevel="1" x14ac:dyDescent="0.25">
      <c r="A14162" s="18">
        <v>6738</v>
      </c>
      <c r="B14162" s="4" t="s">
        <v>44</v>
      </c>
      <c r="C14162" s="38" t="s">
        <v>12178</v>
      </c>
      <c r="D14162" s="18">
        <v>2023</v>
      </c>
      <c r="E14162" s="18" t="s">
        <v>0</v>
      </c>
      <c r="F14162" s="41">
        <v>1</v>
      </c>
      <c r="G14162" s="41">
        <v>15</v>
      </c>
      <c r="H14162" s="41">
        <v>40.395059999999994</v>
      </c>
      <c r="I14162" s="221"/>
      <c r="J14162" s="221"/>
    </row>
    <row r="14163" spans="1:10" s="15" customFormat="1" ht="24" hidden="1" customHeight="1" outlineLevel="1" x14ac:dyDescent="0.25">
      <c r="A14163" s="18">
        <v>6737</v>
      </c>
      <c r="B14163" s="4" t="s">
        <v>44</v>
      </c>
      <c r="C14163" s="38" t="s">
        <v>12179</v>
      </c>
      <c r="D14163" s="18">
        <v>2023</v>
      </c>
      <c r="E14163" s="18" t="s">
        <v>0</v>
      </c>
      <c r="F14163" s="41">
        <v>1</v>
      </c>
      <c r="G14163" s="41">
        <v>15</v>
      </c>
      <c r="H14163" s="41">
        <v>40.65898</v>
      </c>
      <c r="I14163" s="221"/>
      <c r="J14163" s="221"/>
    </row>
    <row r="14164" spans="1:10" s="15" customFormat="1" ht="24" hidden="1" customHeight="1" outlineLevel="1" x14ac:dyDescent="0.25">
      <c r="A14164" s="18">
        <v>2798</v>
      </c>
      <c r="B14164" s="4" t="s">
        <v>44</v>
      </c>
      <c r="C14164" s="38" t="s">
        <v>12180</v>
      </c>
      <c r="D14164" s="18">
        <v>2023</v>
      </c>
      <c r="E14164" s="18" t="s">
        <v>0</v>
      </c>
      <c r="F14164" s="41">
        <v>1</v>
      </c>
      <c r="G14164" s="41">
        <v>9</v>
      </c>
      <c r="H14164" s="41">
        <v>40.395020000000002</v>
      </c>
      <c r="I14164" s="221"/>
      <c r="J14164" s="221"/>
    </row>
    <row r="14165" spans="1:10" s="15" customFormat="1" ht="24" hidden="1" customHeight="1" outlineLevel="1" x14ac:dyDescent="0.25">
      <c r="A14165" s="18">
        <v>2754</v>
      </c>
      <c r="B14165" s="4" t="s">
        <v>44</v>
      </c>
      <c r="C14165" s="38" t="s">
        <v>12181</v>
      </c>
      <c r="D14165" s="18">
        <v>2023</v>
      </c>
      <c r="E14165" s="18" t="s">
        <v>0</v>
      </c>
      <c r="F14165" s="41">
        <v>1</v>
      </c>
      <c r="G14165" s="41">
        <v>6</v>
      </c>
      <c r="H14165" s="41">
        <v>41.469269999999995</v>
      </c>
      <c r="I14165" s="221"/>
      <c r="J14165" s="221"/>
    </row>
    <row r="14166" spans="1:10" s="15" customFormat="1" ht="24" hidden="1" customHeight="1" outlineLevel="1" x14ac:dyDescent="0.25">
      <c r="A14166" s="18">
        <v>6754</v>
      </c>
      <c r="B14166" s="4" t="s">
        <v>44</v>
      </c>
      <c r="C14166" s="38" t="s">
        <v>12182</v>
      </c>
      <c r="D14166" s="18">
        <v>2023</v>
      </c>
      <c r="E14166" s="18" t="s">
        <v>0</v>
      </c>
      <c r="F14166" s="41">
        <v>1</v>
      </c>
      <c r="G14166" s="41">
        <v>30</v>
      </c>
      <c r="H14166" s="41">
        <v>45.27017</v>
      </c>
      <c r="I14166" s="221"/>
      <c r="J14166" s="221"/>
    </row>
    <row r="14167" spans="1:10" s="15" customFormat="1" ht="24" hidden="1" customHeight="1" outlineLevel="1" x14ac:dyDescent="0.25">
      <c r="A14167" s="18">
        <v>2774</v>
      </c>
      <c r="B14167" s="4" t="s">
        <v>44</v>
      </c>
      <c r="C14167" s="38" t="s">
        <v>12183</v>
      </c>
      <c r="D14167" s="18">
        <v>2023</v>
      </c>
      <c r="E14167" s="18" t="s">
        <v>0</v>
      </c>
      <c r="F14167" s="41">
        <v>1</v>
      </c>
      <c r="G14167" s="41">
        <v>5</v>
      </c>
      <c r="H14167" s="41">
        <v>38.400509999999997</v>
      </c>
      <c r="I14167" s="221"/>
      <c r="J14167" s="221"/>
    </row>
    <row r="14168" spans="1:10" s="15" customFormat="1" ht="24" hidden="1" customHeight="1" outlineLevel="1" x14ac:dyDescent="0.25">
      <c r="A14168" s="18">
        <v>6755</v>
      </c>
      <c r="B14168" s="4" t="s">
        <v>44</v>
      </c>
      <c r="C14168" s="38" t="s">
        <v>12184</v>
      </c>
      <c r="D14168" s="18">
        <v>2023</v>
      </c>
      <c r="E14168" s="18" t="s">
        <v>0</v>
      </c>
      <c r="F14168" s="41">
        <v>1</v>
      </c>
      <c r="G14168" s="41">
        <v>10</v>
      </c>
      <c r="H14168" s="41">
        <v>42.640229999999995</v>
      </c>
      <c r="I14168" s="221"/>
      <c r="J14168" s="221"/>
    </row>
    <row r="14169" spans="1:10" s="15" customFormat="1" ht="24" hidden="1" customHeight="1" outlineLevel="1" x14ac:dyDescent="0.25">
      <c r="A14169" s="18">
        <v>2768</v>
      </c>
      <c r="B14169" s="4" t="s">
        <v>44</v>
      </c>
      <c r="C14169" s="38" t="s">
        <v>12185</v>
      </c>
      <c r="D14169" s="18">
        <v>2023</v>
      </c>
      <c r="E14169" s="18" t="s">
        <v>0</v>
      </c>
      <c r="F14169" s="41">
        <v>1</v>
      </c>
      <c r="G14169" s="41">
        <v>15</v>
      </c>
      <c r="H14169" s="41">
        <v>42.640229999999995</v>
      </c>
      <c r="I14169" s="221"/>
      <c r="J14169" s="221"/>
    </row>
    <row r="14170" spans="1:10" s="15" customFormat="1" ht="24" hidden="1" customHeight="1" outlineLevel="1" x14ac:dyDescent="0.25">
      <c r="A14170" s="18">
        <v>6756</v>
      </c>
      <c r="B14170" s="4" t="s">
        <v>44</v>
      </c>
      <c r="C14170" s="38" t="s">
        <v>12186</v>
      </c>
      <c r="D14170" s="18">
        <v>2023</v>
      </c>
      <c r="E14170" s="18" t="s">
        <v>0</v>
      </c>
      <c r="F14170" s="41">
        <v>1</v>
      </c>
      <c r="G14170" s="41">
        <v>10</v>
      </c>
      <c r="H14170" s="41">
        <v>41.178559999999997</v>
      </c>
      <c r="I14170" s="221"/>
      <c r="J14170" s="221"/>
    </row>
    <row r="14171" spans="1:10" s="15" customFormat="1" ht="24" hidden="1" customHeight="1" outlineLevel="1" x14ac:dyDescent="0.25">
      <c r="A14171" s="18">
        <v>2776</v>
      </c>
      <c r="B14171" s="4" t="s">
        <v>44</v>
      </c>
      <c r="C14171" s="38" t="s">
        <v>12187</v>
      </c>
      <c r="D14171" s="18">
        <v>2023</v>
      </c>
      <c r="E14171" s="18" t="s">
        <v>0</v>
      </c>
      <c r="F14171" s="41">
        <v>1</v>
      </c>
      <c r="G14171" s="41">
        <v>15</v>
      </c>
      <c r="H14171" s="41">
        <v>36.763890000000004</v>
      </c>
      <c r="I14171" s="221"/>
      <c r="J14171" s="221"/>
    </row>
    <row r="14172" spans="1:10" s="15" customFormat="1" ht="24" hidden="1" customHeight="1" outlineLevel="1" x14ac:dyDescent="0.25">
      <c r="A14172" s="18">
        <v>6757</v>
      </c>
      <c r="B14172" s="4" t="s">
        <v>44</v>
      </c>
      <c r="C14172" s="38" t="s">
        <v>12188</v>
      </c>
      <c r="D14172" s="18">
        <v>2023</v>
      </c>
      <c r="E14172" s="18" t="s">
        <v>0</v>
      </c>
      <c r="F14172" s="41">
        <v>1</v>
      </c>
      <c r="G14172" s="41">
        <v>15</v>
      </c>
      <c r="H14172" s="41">
        <v>38.400869999999998</v>
      </c>
      <c r="I14172" s="221"/>
      <c r="J14172" s="221"/>
    </row>
    <row r="14173" spans="1:10" s="15" customFormat="1" ht="24" hidden="1" customHeight="1" outlineLevel="1" x14ac:dyDescent="0.25">
      <c r="A14173" s="18">
        <v>6758</v>
      </c>
      <c r="B14173" s="4" t="s">
        <v>44</v>
      </c>
      <c r="C14173" s="38" t="s">
        <v>12189</v>
      </c>
      <c r="D14173" s="18">
        <v>2023</v>
      </c>
      <c r="E14173" s="18" t="s">
        <v>0</v>
      </c>
      <c r="F14173" s="41">
        <v>1</v>
      </c>
      <c r="G14173" s="41">
        <v>10</v>
      </c>
      <c r="H14173" s="41">
        <v>37.37764</v>
      </c>
      <c r="I14173" s="221"/>
      <c r="J14173" s="221"/>
    </row>
    <row r="14174" spans="1:10" s="15" customFormat="1" ht="24" hidden="1" customHeight="1" outlineLevel="1" x14ac:dyDescent="0.25">
      <c r="A14174" s="18">
        <v>6759</v>
      </c>
      <c r="B14174" s="4" t="s">
        <v>44</v>
      </c>
      <c r="C14174" s="38" t="s">
        <v>12190</v>
      </c>
      <c r="D14174" s="18">
        <v>2023</v>
      </c>
      <c r="E14174" s="18" t="s">
        <v>0</v>
      </c>
      <c r="F14174" s="41">
        <v>1</v>
      </c>
      <c r="G14174" s="41">
        <v>15</v>
      </c>
      <c r="H14174" s="41">
        <v>38.809989999999999</v>
      </c>
      <c r="I14174" s="221"/>
      <c r="J14174" s="221"/>
    </row>
    <row r="14175" spans="1:10" s="15" customFormat="1" ht="24" hidden="1" customHeight="1" outlineLevel="1" x14ac:dyDescent="0.25">
      <c r="A14175" s="18">
        <v>6760</v>
      </c>
      <c r="B14175" s="4" t="s">
        <v>44</v>
      </c>
      <c r="C14175" s="38" t="s">
        <v>12191</v>
      </c>
      <c r="D14175" s="18">
        <v>2023</v>
      </c>
      <c r="E14175" s="18" t="s">
        <v>0</v>
      </c>
      <c r="F14175" s="41">
        <v>1</v>
      </c>
      <c r="G14175" s="41">
        <v>15</v>
      </c>
      <c r="H14175" s="41">
        <v>39.218960000000003</v>
      </c>
      <c r="I14175" s="221"/>
      <c r="J14175" s="221"/>
    </row>
    <row r="14176" spans="1:10" s="15" customFormat="1" ht="24" hidden="1" customHeight="1" outlineLevel="1" x14ac:dyDescent="0.25">
      <c r="A14176" s="18">
        <v>2788</v>
      </c>
      <c r="B14176" s="4" t="s">
        <v>44</v>
      </c>
      <c r="C14176" s="38" t="s">
        <v>12192</v>
      </c>
      <c r="D14176" s="18">
        <v>2023</v>
      </c>
      <c r="E14176" s="18" t="s">
        <v>0</v>
      </c>
      <c r="F14176" s="41">
        <v>1</v>
      </c>
      <c r="G14176" s="41">
        <v>15</v>
      </c>
      <c r="H14176" s="41">
        <v>42.640229999999995</v>
      </c>
      <c r="I14176" s="221"/>
      <c r="J14176" s="221"/>
    </row>
    <row r="14177" spans="1:10" s="15" customFormat="1" ht="24" hidden="1" customHeight="1" outlineLevel="1" x14ac:dyDescent="0.25">
      <c r="A14177" s="18">
        <v>2789</v>
      </c>
      <c r="B14177" s="4" t="s">
        <v>44</v>
      </c>
      <c r="C14177" s="38" t="s">
        <v>12193</v>
      </c>
      <c r="D14177" s="18">
        <v>2023</v>
      </c>
      <c r="E14177" s="18" t="s">
        <v>0</v>
      </c>
      <c r="F14177" s="41">
        <v>1</v>
      </c>
      <c r="G14177" s="41">
        <v>9</v>
      </c>
      <c r="H14177" s="41">
        <v>42.640229999999995</v>
      </c>
      <c r="I14177" s="221"/>
      <c r="J14177" s="221"/>
    </row>
    <row r="14178" spans="1:10" s="15" customFormat="1" ht="24" hidden="1" customHeight="1" outlineLevel="1" x14ac:dyDescent="0.25">
      <c r="A14178" s="18">
        <v>6761</v>
      </c>
      <c r="B14178" s="4" t="s">
        <v>44</v>
      </c>
      <c r="C14178" s="38" t="s">
        <v>12194</v>
      </c>
      <c r="D14178" s="18">
        <v>2023</v>
      </c>
      <c r="E14178" s="18" t="s">
        <v>0</v>
      </c>
      <c r="F14178" s="41">
        <v>1</v>
      </c>
      <c r="G14178" s="41">
        <v>15</v>
      </c>
      <c r="H14178" s="41">
        <v>38.400509999999997</v>
      </c>
      <c r="I14178" s="221"/>
      <c r="J14178" s="221"/>
    </row>
    <row r="14179" spans="1:10" s="15" customFormat="1" ht="24" hidden="1" customHeight="1" outlineLevel="1" x14ac:dyDescent="0.25">
      <c r="A14179" s="18">
        <v>6762</v>
      </c>
      <c r="B14179" s="4" t="s">
        <v>44</v>
      </c>
      <c r="C14179" s="38" t="s">
        <v>12195</v>
      </c>
      <c r="D14179" s="18">
        <v>2023</v>
      </c>
      <c r="E14179" s="18" t="s">
        <v>0</v>
      </c>
      <c r="F14179" s="41">
        <v>1</v>
      </c>
      <c r="G14179" s="41">
        <v>10</v>
      </c>
      <c r="H14179" s="41">
        <v>37.37764</v>
      </c>
      <c r="I14179" s="221"/>
      <c r="J14179" s="221"/>
    </row>
    <row r="14180" spans="1:10" s="15" customFormat="1" ht="24" hidden="1" customHeight="1" outlineLevel="1" x14ac:dyDescent="0.25">
      <c r="A14180" s="18">
        <v>6763</v>
      </c>
      <c r="B14180" s="4" t="s">
        <v>44</v>
      </c>
      <c r="C14180" s="38" t="s">
        <v>12196</v>
      </c>
      <c r="D14180" s="18">
        <v>2023</v>
      </c>
      <c r="E14180" s="18" t="s">
        <v>0</v>
      </c>
      <c r="F14180" s="41">
        <v>1</v>
      </c>
      <c r="G14180" s="41">
        <v>15</v>
      </c>
      <c r="H14180" s="41">
        <v>37.37764</v>
      </c>
      <c r="I14180" s="221"/>
      <c r="J14180" s="221"/>
    </row>
    <row r="14181" spans="1:10" s="15" customFormat="1" ht="24" hidden="1" customHeight="1" outlineLevel="1" x14ac:dyDescent="0.25">
      <c r="A14181" s="18">
        <v>6764</v>
      </c>
      <c r="B14181" s="4" t="s">
        <v>44</v>
      </c>
      <c r="C14181" s="38" t="s">
        <v>12197</v>
      </c>
      <c r="D14181" s="18">
        <v>2023</v>
      </c>
      <c r="E14181" s="18" t="s">
        <v>0</v>
      </c>
      <c r="F14181" s="41">
        <v>1</v>
      </c>
      <c r="G14181" s="41">
        <v>15</v>
      </c>
      <c r="H14181" s="41">
        <v>37.37764</v>
      </c>
      <c r="I14181" s="221"/>
      <c r="J14181" s="221"/>
    </row>
    <row r="14182" spans="1:10" s="15" customFormat="1" ht="24" hidden="1" customHeight="1" outlineLevel="1" x14ac:dyDescent="0.25">
      <c r="A14182" s="18">
        <v>6765</v>
      </c>
      <c r="B14182" s="4" t="s">
        <v>44</v>
      </c>
      <c r="C14182" s="38" t="s">
        <v>12198</v>
      </c>
      <c r="D14182" s="18">
        <v>2023</v>
      </c>
      <c r="E14182" s="18" t="s">
        <v>0</v>
      </c>
      <c r="F14182" s="41">
        <v>1</v>
      </c>
      <c r="G14182" s="41">
        <v>15</v>
      </c>
      <c r="H14182" s="41">
        <v>39.218780000000002</v>
      </c>
      <c r="I14182" s="221"/>
      <c r="J14182" s="221"/>
    </row>
    <row r="14183" spans="1:10" s="15" customFormat="1" ht="24" hidden="1" customHeight="1" outlineLevel="1" x14ac:dyDescent="0.25">
      <c r="A14183" s="18">
        <v>2735</v>
      </c>
      <c r="B14183" s="4" t="s">
        <v>44</v>
      </c>
      <c r="C14183" s="38" t="s">
        <v>12199</v>
      </c>
      <c r="D14183" s="18">
        <v>2023</v>
      </c>
      <c r="E14183" s="18" t="s">
        <v>0</v>
      </c>
      <c r="F14183" s="41">
        <v>1</v>
      </c>
      <c r="G14183" s="41">
        <v>5</v>
      </c>
      <c r="H14183" s="41">
        <v>39.423319999999997</v>
      </c>
      <c r="I14183" s="221"/>
      <c r="J14183" s="221"/>
    </row>
    <row r="14184" spans="1:10" s="15" customFormat="1" ht="24" hidden="1" customHeight="1" outlineLevel="1" x14ac:dyDescent="0.25">
      <c r="A14184" s="18">
        <v>6766</v>
      </c>
      <c r="B14184" s="4" t="s">
        <v>44</v>
      </c>
      <c r="C14184" s="38" t="s">
        <v>12200</v>
      </c>
      <c r="D14184" s="18">
        <v>2023</v>
      </c>
      <c r="E14184" s="18" t="s">
        <v>0</v>
      </c>
      <c r="F14184" s="41">
        <v>1</v>
      </c>
      <c r="G14184" s="41">
        <v>15</v>
      </c>
      <c r="H14184" s="41">
        <v>41.178559999999997</v>
      </c>
      <c r="I14184" s="221"/>
      <c r="J14184" s="221"/>
    </row>
    <row r="14185" spans="1:10" s="15" customFormat="1" ht="24" hidden="1" customHeight="1" outlineLevel="1" x14ac:dyDescent="0.25">
      <c r="A14185" s="18">
        <v>6767</v>
      </c>
      <c r="B14185" s="4" t="s">
        <v>44</v>
      </c>
      <c r="C14185" s="38" t="s">
        <v>12201</v>
      </c>
      <c r="D14185" s="18">
        <v>2023</v>
      </c>
      <c r="E14185" s="18" t="s">
        <v>0</v>
      </c>
      <c r="F14185" s="41">
        <v>1</v>
      </c>
      <c r="G14185" s="41">
        <v>15</v>
      </c>
      <c r="H14185" s="41">
        <v>39.423299999999998</v>
      </c>
      <c r="I14185" s="221"/>
      <c r="J14185" s="221"/>
    </row>
    <row r="14186" spans="1:10" s="15" customFormat="1" ht="24" hidden="1" customHeight="1" outlineLevel="1" x14ac:dyDescent="0.25">
      <c r="A14186" s="18">
        <v>6768</v>
      </c>
      <c r="B14186" s="4" t="s">
        <v>44</v>
      </c>
      <c r="C14186" s="38" t="s">
        <v>12202</v>
      </c>
      <c r="D14186" s="18">
        <v>2023</v>
      </c>
      <c r="E14186" s="18" t="s">
        <v>0</v>
      </c>
      <c r="F14186" s="41">
        <v>1</v>
      </c>
      <c r="G14186" s="41">
        <v>15</v>
      </c>
      <c r="H14186" s="41">
        <v>38.195930000000004</v>
      </c>
      <c r="I14186" s="221"/>
      <c r="J14186" s="221"/>
    </row>
    <row r="14187" spans="1:10" s="15" customFormat="1" ht="24" hidden="1" customHeight="1" outlineLevel="1" x14ac:dyDescent="0.25">
      <c r="A14187" s="18">
        <v>6769</v>
      </c>
      <c r="B14187" s="4" t="s">
        <v>44</v>
      </c>
      <c r="C14187" s="38" t="s">
        <v>12203</v>
      </c>
      <c r="D14187" s="18">
        <v>2023</v>
      </c>
      <c r="E14187" s="18" t="s">
        <v>0</v>
      </c>
      <c r="F14187" s="41">
        <v>1</v>
      </c>
      <c r="G14187" s="41">
        <v>40</v>
      </c>
      <c r="H14187" s="41">
        <v>44.10183</v>
      </c>
      <c r="I14187" s="221"/>
      <c r="J14187" s="221"/>
    </row>
    <row r="14188" spans="1:10" s="15" customFormat="1" ht="24" hidden="1" customHeight="1" outlineLevel="1" x14ac:dyDescent="0.25">
      <c r="A14188" s="18">
        <v>6770</v>
      </c>
      <c r="B14188" s="4" t="s">
        <v>44</v>
      </c>
      <c r="C14188" s="38" t="s">
        <v>12204</v>
      </c>
      <c r="D14188" s="18">
        <v>2023</v>
      </c>
      <c r="E14188" s="18" t="s">
        <v>0</v>
      </c>
      <c r="F14188" s="41">
        <v>1</v>
      </c>
      <c r="G14188" s="41">
        <v>15</v>
      </c>
      <c r="H14188" s="41">
        <v>37.37764</v>
      </c>
      <c r="I14188" s="221"/>
      <c r="J14188" s="221"/>
    </row>
    <row r="14189" spans="1:10" s="15" customFormat="1" ht="24" hidden="1" customHeight="1" outlineLevel="1" x14ac:dyDescent="0.25">
      <c r="A14189" s="18">
        <v>2743</v>
      </c>
      <c r="B14189" s="4" t="s">
        <v>44</v>
      </c>
      <c r="C14189" s="38" t="s">
        <v>12205</v>
      </c>
      <c r="D14189" s="18">
        <v>2023</v>
      </c>
      <c r="E14189" s="18" t="s">
        <v>0</v>
      </c>
      <c r="F14189" s="41">
        <v>1</v>
      </c>
      <c r="G14189" s="41">
        <v>15</v>
      </c>
      <c r="H14189" s="41">
        <v>36.793539999999993</v>
      </c>
      <c r="I14189" s="221"/>
      <c r="J14189" s="221"/>
    </row>
    <row r="14190" spans="1:10" s="15" customFormat="1" ht="24" hidden="1" customHeight="1" outlineLevel="1" x14ac:dyDescent="0.25">
      <c r="A14190" s="18">
        <v>2748</v>
      </c>
      <c r="B14190" s="4" t="s">
        <v>44</v>
      </c>
      <c r="C14190" s="38" t="s">
        <v>12206</v>
      </c>
      <c r="D14190" s="18">
        <v>2023</v>
      </c>
      <c r="E14190" s="18" t="s">
        <v>0</v>
      </c>
      <c r="F14190" s="41">
        <v>1</v>
      </c>
      <c r="G14190" s="41">
        <v>12</v>
      </c>
      <c r="H14190" s="41">
        <v>39.423319999999997</v>
      </c>
      <c r="I14190" s="221"/>
      <c r="J14190" s="221"/>
    </row>
    <row r="14191" spans="1:10" s="15" customFormat="1" ht="24" hidden="1" customHeight="1" outlineLevel="1" x14ac:dyDescent="0.25">
      <c r="A14191" s="18">
        <v>2752</v>
      </c>
      <c r="B14191" s="4" t="s">
        <v>44</v>
      </c>
      <c r="C14191" s="38" t="s">
        <v>12207</v>
      </c>
      <c r="D14191" s="18">
        <v>2023</v>
      </c>
      <c r="E14191" s="18" t="s">
        <v>0</v>
      </c>
      <c r="F14191" s="41">
        <v>1</v>
      </c>
      <c r="G14191" s="41">
        <v>15</v>
      </c>
      <c r="H14191" s="41">
        <v>39.423299999999998</v>
      </c>
      <c r="I14191" s="221"/>
      <c r="J14191" s="221"/>
    </row>
    <row r="14192" spans="1:10" s="15" customFormat="1" ht="24" hidden="1" customHeight="1" outlineLevel="1" x14ac:dyDescent="0.25">
      <c r="A14192" s="18">
        <v>6771</v>
      </c>
      <c r="B14192" s="4" t="s">
        <v>44</v>
      </c>
      <c r="C14192" s="38" t="s">
        <v>12208</v>
      </c>
      <c r="D14192" s="18">
        <v>2023</v>
      </c>
      <c r="E14192" s="18" t="s">
        <v>0</v>
      </c>
      <c r="F14192" s="41">
        <v>1</v>
      </c>
      <c r="G14192" s="41">
        <v>15</v>
      </c>
      <c r="H14192" s="41">
        <v>37.176470000000002</v>
      </c>
      <c r="I14192" s="221"/>
      <c r="J14192" s="221"/>
    </row>
    <row r="14193" spans="1:10" s="15" customFormat="1" ht="24" hidden="1" customHeight="1" outlineLevel="1" x14ac:dyDescent="0.25">
      <c r="A14193" s="18">
        <v>6772</v>
      </c>
      <c r="B14193" s="4" t="s">
        <v>44</v>
      </c>
      <c r="C14193" s="38" t="s">
        <v>12209</v>
      </c>
      <c r="D14193" s="18">
        <v>2023</v>
      </c>
      <c r="E14193" s="18" t="s">
        <v>0</v>
      </c>
      <c r="F14193" s="41">
        <v>1</v>
      </c>
      <c r="G14193" s="41">
        <v>15</v>
      </c>
      <c r="H14193" s="41">
        <v>39.014200000000002</v>
      </c>
      <c r="I14193" s="221"/>
      <c r="J14193" s="221"/>
    </row>
    <row r="14194" spans="1:10" s="15" customFormat="1" ht="24" hidden="1" customHeight="1" outlineLevel="1" x14ac:dyDescent="0.25">
      <c r="A14194" s="18">
        <v>6208</v>
      </c>
      <c r="B14194" s="4" t="s">
        <v>44</v>
      </c>
      <c r="C14194" s="38" t="s">
        <v>12210</v>
      </c>
      <c r="D14194" s="18">
        <v>2023</v>
      </c>
      <c r="E14194" s="18" t="s">
        <v>0</v>
      </c>
      <c r="F14194" s="41">
        <v>1</v>
      </c>
      <c r="G14194" s="41">
        <v>91</v>
      </c>
      <c r="H14194" s="41">
        <v>37.395380000000003</v>
      </c>
      <c r="I14194" s="221"/>
      <c r="J14194" s="221"/>
    </row>
    <row r="14195" spans="1:10" s="15" customFormat="1" ht="24" hidden="1" customHeight="1" outlineLevel="1" x14ac:dyDescent="0.25">
      <c r="A14195" s="18">
        <v>6211</v>
      </c>
      <c r="B14195" s="4" t="s">
        <v>44</v>
      </c>
      <c r="C14195" s="38" t="s">
        <v>12211</v>
      </c>
      <c r="D14195" s="18">
        <v>2023</v>
      </c>
      <c r="E14195" s="18" t="s">
        <v>0</v>
      </c>
      <c r="F14195" s="41">
        <v>1</v>
      </c>
      <c r="G14195" s="41">
        <v>24</v>
      </c>
      <c r="H14195" s="41">
        <v>32.514050000000005</v>
      </c>
      <c r="I14195" s="221"/>
      <c r="J14195" s="221"/>
    </row>
    <row r="14196" spans="1:10" s="15" customFormat="1" ht="24" hidden="1" customHeight="1" outlineLevel="1" x14ac:dyDescent="0.25">
      <c r="A14196" s="18">
        <v>6212</v>
      </c>
      <c r="B14196" s="4" t="s">
        <v>44</v>
      </c>
      <c r="C14196" s="38" t="s">
        <v>12212</v>
      </c>
      <c r="D14196" s="18">
        <v>2023</v>
      </c>
      <c r="E14196" s="18" t="s">
        <v>0</v>
      </c>
      <c r="F14196" s="41">
        <v>1</v>
      </c>
      <c r="G14196" s="41">
        <v>130</v>
      </c>
      <c r="H14196" s="41">
        <v>32.227429999999998</v>
      </c>
      <c r="I14196" s="221"/>
      <c r="J14196" s="221"/>
    </row>
    <row r="14197" spans="1:10" s="15" customFormat="1" ht="24" hidden="1" customHeight="1" outlineLevel="1" x14ac:dyDescent="0.25">
      <c r="A14197" s="18">
        <v>6335</v>
      </c>
      <c r="B14197" s="4" t="s">
        <v>44</v>
      </c>
      <c r="C14197" s="38" t="s">
        <v>12213</v>
      </c>
      <c r="D14197" s="18">
        <v>2023</v>
      </c>
      <c r="E14197" s="18" t="s">
        <v>0</v>
      </c>
      <c r="F14197" s="41">
        <v>1</v>
      </c>
      <c r="G14197" s="41">
        <v>145</v>
      </c>
      <c r="H14197" s="41">
        <v>35.359379999999994</v>
      </c>
      <c r="I14197" s="221"/>
      <c r="J14197" s="221"/>
    </row>
    <row r="14198" spans="1:10" s="15" customFormat="1" ht="24" hidden="1" customHeight="1" outlineLevel="1" x14ac:dyDescent="0.25">
      <c r="A14198" s="18">
        <v>6411</v>
      </c>
      <c r="B14198" s="4" t="s">
        <v>44</v>
      </c>
      <c r="C14198" s="38" t="s">
        <v>12214</v>
      </c>
      <c r="D14198" s="18">
        <v>2023</v>
      </c>
      <c r="E14198" s="18" t="s">
        <v>0</v>
      </c>
      <c r="F14198" s="41">
        <v>1</v>
      </c>
      <c r="G14198" s="41">
        <v>15</v>
      </c>
      <c r="H14198" s="41">
        <v>35.201560000000001</v>
      </c>
      <c r="I14198" s="221"/>
      <c r="J14198" s="221"/>
    </row>
    <row r="14199" spans="1:10" s="15" customFormat="1" ht="24" hidden="1" customHeight="1" outlineLevel="1" x14ac:dyDescent="0.25">
      <c r="A14199" s="18">
        <v>6449</v>
      </c>
      <c r="B14199" s="4" t="s">
        <v>44</v>
      </c>
      <c r="C14199" s="38" t="s">
        <v>12215</v>
      </c>
      <c r="D14199" s="18">
        <v>2023</v>
      </c>
      <c r="E14199" s="18" t="s">
        <v>0</v>
      </c>
      <c r="F14199" s="41">
        <v>1</v>
      </c>
      <c r="G14199" s="41">
        <v>60</v>
      </c>
      <c r="H14199" s="41">
        <v>36.518619999999999</v>
      </c>
      <c r="I14199" s="221"/>
      <c r="J14199" s="221"/>
    </row>
    <row r="14200" spans="1:10" s="15" customFormat="1" ht="24" hidden="1" customHeight="1" outlineLevel="1" x14ac:dyDescent="0.25">
      <c r="A14200" s="18">
        <v>6410</v>
      </c>
      <c r="B14200" s="4" t="s">
        <v>44</v>
      </c>
      <c r="C14200" s="38" t="s">
        <v>12216</v>
      </c>
      <c r="D14200" s="18">
        <v>2023</v>
      </c>
      <c r="E14200" s="18" t="s">
        <v>0</v>
      </c>
      <c r="F14200" s="41">
        <v>1</v>
      </c>
      <c r="G14200" s="41">
        <v>45</v>
      </c>
      <c r="H14200" s="41">
        <v>40.439720000000001</v>
      </c>
      <c r="I14200" s="221"/>
      <c r="J14200" s="221"/>
    </row>
    <row r="14201" spans="1:10" s="15" customFormat="1" ht="24" hidden="1" customHeight="1" outlineLevel="1" x14ac:dyDescent="0.25">
      <c r="A14201" s="18">
        <v>6532</v>
      </c>
      <c r="B14201" s="4" t="s">
        <v>44</v>
      </c>
      <c r="C14201" s="38" t="s">
        <v>12217</v>
      </c>
      <c r="D14201" s="18">
        <v>2023</v>
      </c>
      <c r="E14201" s="18" t="s">
        <v>0</v>
      </c>
      <c r="F14201" s="41">
        <v>1</v>
      </c>
      <c r="G14201" s="41">
        <v>150</v>
      </c>
      <c r="H14201" s="41">
        <v>58.099439999999994</v>
      </c>
      <c r="I14201" s="221"/>
      <c r="J14201" s="221"/>
    </row>
    <row r="14202" spans="1:10" s="15" customFormat="1" ht="24" hidden="1" customHeight="1" outlineLevel="1" x14ac:dyDescent="0.25">
      <c r="A14202" s="18">
        <v>6194</v>
      </c>
      <c r="B14202" s="4" t="s">
        <v>44</v>
      </c>
      <c r="C14202" s="38" t="s">
        <v>12218</v>
      </c>
      <c r="D14202" s="18">
        <v>2023</v>
      </c>
      <c r="E14202" s="18" t="s">
        <v>0</v>
      </c>
      <c r="F14202" s="41">
        <v>1</v>
      </c>
      <c r="G14202" s="41">
        <v>150</v>
      </c>
      <c r="H14202" s="41">
        <v>53.317280000000004</v>
      </c>
      <c r="I14202" s="221"/>
      <c r="J14202" s="221"/>
    </row>
    <row r="14203" spans="1:10" s="15" customFormat="1" ht="24" hidden="1" customHeight="1" outlineLevel="1" x14ac:dyDescent="0.25">
      <c r="A14203" s="18">
        <v>6195</v>
      </c>
      <c r="B14203" s="4" t="s">
        <v>44</v>
      </c>
      <c r="C14203" s="38" t="s">
        <v>12219</v>
      </c>
      <c r="D14203" s="18">
        <v>2023</v>
      </c>
      <c r="E14203" s="18" t="s">
        <v>0</v>
      </c>
      <c r="F14203" s="41">
        <v>1</v>
      </c>
      <c r="G14203" s="41">
        <v>150</v>
      </c>
      <c r="H14203" s="41">
        <v>54.468119999999999</v>
      </c>
      <c r="I14203" s="221"/>
      <c r="J14203" s="221"/>
    </row>
    <row r="14204" spans="1:10" s="15" customFormat="1" ht="24" hidden="1" customHeight="1" outlineLevel="1" x14ac:dyDescent="0.25">
      <c r="A14204" s="18">
        <v>6515</v>
      </c>
      <c r="B14204" s="4" t="s">
        <v>44</v>
      </c>
      <c r="C14204" s="38" t="s">
        <v>12220</v>
      </c>
      <c r="D14204" s="18">
        <v>2023</v>
      </c>
      <c r="E14204" s="18" t="s">
        <v>0</v>
      </c>
      <c r="F14204" s="41">
        <v>1</v>
      </c>
      <c r="G14204" s="41">
        <v>68</v>
      </c>
      <c r="H14204" s="41">
        <v>37.312890000000003</v>
      </c>
      <c r="I14204" s="221"/>
      <c r="J14204" s="221"/>
    </row>
    <row r="14205" spans="1:10" s="15" customFormat="1" ht="24" hidden="1" customHeight="1" outlineLevel="1" x14ac:dyDescent="0.25">
      <c r="A14205" s="18">
        <v>6659</v>
      </c>
      <c r="B14205" s="4" t="s">
        <v>44</v>
      </c>
      <c r="C14205" s="38" t="s">
        <v>12221</v>
      </c>
      <c r="D14205" s="18">
        <v>2023</v>
      </c>
      <c r="E14205" s="18" t="s">
        <v>0</v>
      </c>
      <c r="F14205" s="41">
        <v>1</v>
      </c>
      <c r="G14205" s="41">
        <v>95</v>
      </c>
      <c r="H14205" s="41">
        <v>61.088070000000002</v>
      </c>
      <c r="I14205" s="221"/>
      <c r="J14205" s="221"/>
    </row>
    <row r="14206" spans="1:10" s="15" customFormat="1" ht="24" hidden="1" customHeight="1" outlineLevel="1" x14ac:dyDescent="0.25">
      <c r="A14206" s="18">
        <v>6660</v>
      </c>
      <c r="B14206" s="4" t="s">
        <v>44</v>
      </c>
      <c r="C14206" s="38" t="s">
        <v>12222</v>
      </c>
      <c r="D14206" s="18">
        <v>2023</v>
      </c>
      <c r="E14206" s="18" t="s">
        <v>0</v>
      </c>
      <c r="F14206" s="41">
        <v>1</v>
      </c>
      <c r="G14206" s="41">
        <v>60</v>
      </c>
      <c r="H14206" s="41">
        <v>54.044889999999988</v>
      </c>
      <c r="I14206" s="221"/>
      <c r="J14206" s="221"/>
    </row>
    <row r="14207" spans="1:10" s="15" customFormat="1" ht="24" hidden="1" customHeight="1" outlineLevel="1" x14ac:dyDescent="0.25">
      <c r="A14207" s="18">
        <v>6662</v>
      </c>
      <c r="B14207" s="4" t="s">
        <v>44</v>
      </c>
      <c r="C14207" s="38" t="s">
        <v>12223</v>
      </c>
      <c r="D14207" s="18">
        <v>2023</v>
      </c>
      <c r="E14207" s="18" t="s">
        <v>0</v>
      </c>
      <c r="F14207" s="41">
        <v>1</v>
      </c>
      <c r="G14207" s="41">
        <v>150</v>
      </c>
      <c r="H14207" s="41">
        <v>58.80932</v>
      </c>
      <c r="I14207" s="221"/>
      <c r="J14207" s="221"/>
    </row>
    <row r="14208" spans="1:10" s="15" customFormat="1" ht="24" hidden="1" customHeight="1" outlineLevel="1" x14ac:dyDescent="0.25">
      <c r="A14208" s="18">
        <v>6704</v>
      </c>
      <c r="B14208" s="4" t="s">
        <v>44</v>
      </c>
      <c r="C14208" s="38" t="s">
        <v>12224</v>
      </c>
      <c r="D14208" s="18">
        <v>2023</v>
      </c>
      <c r="E14208" s="18" t="s">
        <v>0</v>
      </c>
      <c r="F14208" s="41">
        <v>1</v>
      </c>
      <c r="G14208" s="41">
        <v>100</v>
      </c>
      <c r="H14208" s="41">
        <v>52.463989999999995</v>
      </c>
      <c r="I14208" s="221"/>
      <c r="J14208" s="221"/>
    </row>
    <row r="14209" spans="1:10" s="15" customFormat="1" ht="24" hidden="1" customHeight="1" outlineLevel="1" x14ac:dyDescent="0.25">
      <c r="A14209" s="18">
        <v>6701</v>
      </c>
      <c r="B14209" s="4" t="s">
        <v>44</v>
      </c>
      <c r="C14209" s="38" t="s">
        <v>12225</v>
      </c>
      <c r="D14209" s="18">
        <v>2023</v>
      </c>
      <c r="E14209" s="18" t="s">
        <v>0</v>
      </c>
      <c r="F14209" s="41">
        <v>1</v>
      </c>
      <c r="G14209" s="41">
        <v>85</v>
      </c>
      <c r="H14209" s="41">
        <v>55.695169999999997</v>
      </c>
      <c r="I14209" s="221"/>
      <c r="J14209" s="221"/>
    </row>
    <row r="14210" spans="1:10" s="15" customFormat="1" ht="24" hidden="1" customHeight="1" outlineLevel="1" x14ac:dyDescent="0.25">
      <c r="A14210" s="18">
        <v>6773</v>
      </c>
      <c r="B14210" s="4" t="s">
        <v>44</v>
      </c>
      <c r="C14210" s="38" t="s">
        <v>12226</v>
      </c>
      <c r="D14210" s="18">
        <v>2023</v>
      </c>
      <c r="E14210" s="18" t="s">
        <v>0</v>
      </c>
      <c r="F14210" s="41">
        <v>1</v>
      </c>
      <c r="G14210" s="41">
        <v>150</v>
      </c>
      <c r="H14210" s="41">
        <v>55.867400000000004</v>
      </c>
      <c r="I14210" s="221"/>
      <c r="J14210" s="221"/>
    </row>
    <row r="14211" spans="1:10" s="15" customFormat="1" ht="24" hidden="1" customHeight="1" outlineLevel="1" x14ac:dyDescent="0.25">
      <c r="A14211" s="18">
        <v>3978</v>
      </c>
      <c r="B14211" s="4" t="s">
        <v>44</v>
      </c>
      <c r="C14211" s="38" t="s">
        <v>8035</v>
      </c>
      <c r="D14211" s="18">
        <v>2023</v>
      </c>
      <c r="E14211" s="18" t="s">
        <v>0</v>
      </c>
      <c r="F14211" s="41">
        <v>1</v>
      </c>
      <c r="G14211" s="41">
        <v>15</v>
      </c>
      <c r="H14211" s="41">
        <v>26.103999999999999</v>
      </c>
      <c r="I14211" s="221"/>
      <c r="J14211" s="221"/>
    </row>
    <row r="14212" spans="1:10" s="15" customFormat="1" ht="24" hidden="1" customHeight="1" outlineLevel="1" x14ac:dyDescent="0.25">
      <c r="A14212" s="18">
        <v>6165</v>
      </c>
      <c r="B14212" s="4" t="s">
        <v>44</v>
      </c>
      <c r="C14212" s="38" t="s">
        <v>8036</v>
      </c>
      <c r="D14212" s="18">
        <v>2023</v>
      </c>
      <c r="E14212" s="18" t="s">
        <v>0</v>
      </c>
      <c r="F14212" s="41">
        <v>1</v>
      </c>
      <c r="G14212" s="41">
        <v>15</v>
      </c>
      <c r="H14212" s="41">
        <v>25.506999999999998</v>
      </c>
      <c r="I14212" s="221"/>
      <c r="J14212" s="221"/>
    </row>
    <row r="14213" spans="1:10" s="15" customFormat="1" ht="24" hidden="1" customHeight="1" outlineLevel="1" x14ac:dyDescent="0.25">
      <c r="A14213" s="18">
        <v>3967</v>
      </c>
      <c r="B14213" s="4" t="s">
        <v>44</v>
      </c>
      <c r="C14213" s="38" t="s">
        <v>8037</v>
      </c>
      <c r="D14213" s="18">
        <v>2023</v>
      </c>
      <c r="E14213" s="18" t="s">
        <v>0</v>
      </c>
      <c r="F14213" s="41">
        <v>1</v>
      </c>
      <c r="G14213" s="41">
        <v>10</v>
      </c>
      <c r="H14213" s="41">
        <v>33.905000000000001</v>
      </c>
      <c r="I14213" s="221"/>
      <c r="J14213" s="221"/>
    </row>
    <row r="14214" spans="1:10" s="15" customFormat="1" ht="24" hidden="1" customHeight="1" outlineLevel="1" x14ac:dyDescent="0.25">
      <c r="A14214" s="18">
        <v>3921</v>
      </c>
      <c r="B14214" s="4" t="s">
        <v>44</v>
      </c>
      <c r="C14214" s="38" t="s">
        <v>8040</v>
      </c>
      <c r="D14214" s="18">
        <v>2023</v>
      </c>
      <c r="E14214" s="18" t="s">
        <v>0</v>
      </c>
      <c r="F14214" s="41">
        <v>1</v>
      </c>
      <c r="G14214" s="41">
        <v>15</v>
      </c>
      <c r="H14214" s="41">
        <v>33.730000000000004</v>
      </c>
      <c r="I14214" s="221"/>
      <c r="J14214" s="221"/>
    </row>
    <row r="14215" spans="1:10" s="15" customFormat="1" ht="24" hidden="1" customHeight="1" outlineLevel="1" x14ac:dyDescent="0.25">
      <c r="A14215" s="18">
        <v>6169</v>
      </c>
      <c r="B14215" s="4" t="s">
        <v>44</v>
      </c>
      <c r="C14215" s="38" t="s">
        <v>8041</v>
      </c>
      <c r="D14215" s="18">
        <v>2023</v>
      </c>
      <c r="E14215" s="18" t="s">
        <v>0</v>
      </c>
      <c r="F14215" s="41">
        <v>1</v>
      </c>
      <c r="G14215" s="41">
        <v>15</v>
      </c>
      <c r="H14215" s="41">
        <v>30.605</v>
      </c>
      <c r="I14215" s="221"/>
      <c r="J14215" s="221"/>
    </row>
    <row r="14216" spans="1:10" s="15" customFormat="1" ht="24" hidden="1" customHeight="1" outlineLevel="1" x14ac:dyDescent="0.25">
      <c r="A14216" s="18">
        <v>3906</v>
      </c>
      <c r="B14216" s="4" t="s">
        <v>44</v>
      </c>
      <c r="C14216" s="38" t="s">
        <v>8042</v>
      </c>
      <c r="D14216" s="18">
        <v>2023</v>
      </c>
      <c r="E14216" s="18" t="s">
        <v>0</v>
      </c>
      <c r="F14216" s="41">
        <v>1</v>
      </c>
      <c r="G14216" s="41">
        <v>15</v>
      </c>
      <c r="H14216" s="41">
        <v>27.5</v>
      </c>
      <c r="I14216" s="221"/>
      <c r="J14216" s="221"/>
    </row>
    <row r="14217" spans="1:10" s="15" customFormat="1" ht="24" hidden="1" customHeight="1" outlineLevel="1" x14ac:dyDescent="0.25">
      <c r="A14217" s="18">
        <v>6197</v>
      </c>
      <c r="B14217" s="4" t="s">
        <v>44</v>
      </c>
      <c r="C14217" s="38" t="s">
        <v>8043</v>
      </c>
      <c r="D14217" s="18">
        <v>2023</v>
      </c>
      <c r="E14217" s="18" t="s">
        <v>0</v>
      </c>
      <c r="F14217" s="41">
        <v>1</v>
      </c>
      <c r="G14217" s="41">
        <v>40</v>
      </c>
      <c r="H14217" s="41">
        <v>25.867999999999999</v>
      </c>
      <c r="I14217" s="221"/>
      <c r="J14217" s="221"/>
    </row>
    <row r="14218" spans="1:10" s="15" customFormat="1" ht="24" hidden="1" customHeight="1" outlineLevel="1" x14ac:dyDescent="0.25">
      <c r="A14218" s="18">
        <v>3073</v>
      </c>
      <c r="B14218" s="4" t="s">
        <v>44</v>
      </c>
      <c r="C14218" s="38" t="s">
        <v>9327</v>
      </c>
      <c r="D14218" s="18">
        <v>2023</v>
      </c>
      <c r="E14218" s="18" t="s">
        <v>0</v>
      </c>
      <c r="F14218" s="41">
        <v>1</v>
      </c>
      <c r="G14218" s="41">
        <v>150</v>
      </c>
      <c r="H14218" s="41">
        <v>21.093</v>
      </c>
      <c r="I14218" s="221"/>
      <c r="J14218" s="221"/>
    </row>
    <row r="14219" spans="1:10" s="15" customFormat="1" ht="24" hidden="1" customHeight="1" outlineLevel="1" x14ac:dyDescent="0.25">
      <c r="A14219" s="18">
        <v>1046</v>
      </c>
      <c r="B14219" s="4" t="s">
        <v>44</v>
      </c>
      <c r="C14219" s="38" t="s">
        <v>8046</v>
      </c>
      <c r="D14219" s="18">
        <v>2023</v>
      </c>
      <c r="E14219" s="18" t="s">
        <v>0</v>
      </c>
      <c r="F14219" s="41">
        <v>1</v>
      </c>
      <c r="G14219" s="41">
        <v>15</v>
      </c>
      <c r="H14219" s="41">
        <v>52.040000000000006</v>
      </c>
      <c r="I14219" s="221"/>
      <c r="J14219" s="221"/>
    </row>
    <row r="14220" spans="1:10" s="15" customFormat="1" ht="24" hidden="1" customHeight="1" outlineLevel="1" x14ac:dyDescent="0.25">
      <c r="A14220" s="18">
        <v>1069</v>
      </c>
      <c r="B14220" s="4" t="s">
        <v>44</v>
      </c>
      <c r="C14220" s="38" t="s">
        <v>8047</v>
      </c>
      <c r="D14220" s="18">
        <v>2023</v>
      </c>
      <c r="E14220" s="18" t="s">
        <v>0</v>
      </c>
      <c r="F14220" s="41">
        <v>1</v>
      </c>
      <c r="G14220" s="41">
        <v>15</v>
      </c>
      <c r="H14220" s="41">
        <v>52.651999999999994</v>
      </c>
      <c r="I14220" s="221"/>
      <c r="J14220" s="221"/>
    </row>
    <row r="14221" spans="1:10" s="15" customFormat="1" ht="24" hidden="1" customHeight="1" outlineLevel="1" x14ac:dyDescent="0.25">
      <c r="A14221" s="18">
        <v>618</v>
      </c>
      <c r="B14221" s="4" t="s">
        <v>44</v>
      </c>
      <c r="C14221" s="38" t="s">
        <v>8048</v>
      </c>
      <c r="D14221" s="18">
        <v>2023</v>
      </c>
      <c r="E14221" s="18" t="s">
        <v>0</v>
      </c>
      <c r="F14221" s="41">
        <v>1</v>
      </c>
      <c r="G14221" s="41">
        <v>15</v>
      </c>
      <c r="H14221" s="41">
        <v>47.197000000000003</v>
      </c>
      <c r="I14221" s="221"/>
      <c r="J14221" s="221"/>
    </row>
    <row r="14222" spans="1:10" s="15" customFormat="1" ht="24" hidden="1" customHeight="1" outlineLevel="1" x14ac:dyDescent="0.25">
      <c r="A14222" s="18">
        <v>560</v>
      </c>
      <c r="B14222" s="4" t="s">
        <v>44</v>
      </c>
      <c r="C14222" s="38" t="s">
        <v>8051</v>
      </c>
      <c r="D14222" s="18">
        <v>2023</v>
      </c>
      <c r="E14222" s="18" t="s">
        <v>0</v>
      </c>
      <c r="F14222" s="41">
        <v>1</v>
      </c>
      <c r="G14222" s="41">
        <v>15</v>
      </c>
      <c r="H14222" s="41">
        <v>9.2200000000000006</v>
      </c>
      <c r="I14222" s="221"/>
      <c r="J14222" s="221"/>
    </row>
    <row r="14223" spans="1:10" s="15" customFormat="1" ht="24" hidden="1" customHeight="1" outlineLevel="1" x14ac:dyDescent="0.25">
      <c r="A14223" s="18">
        <v>559</v>
      </c>
      <c r="B14223" s="4" t="s">
        <v>44</v>
      </c>
      <c r="C14223" s="38" t="s">
        <v>8052</v>
      </c>
      <c r="D14223" s="18">
        <v>2023</v>
      </c>
      <c r="E14223" s="18" t="s">
        <v>0</v>
      </c>
      <c r="F14223" s="41">
        <v>1</v>
      </c>
      <c r="G14223" s="41">
        <v>15</v>
      </c>
      <c r="H14223" s="41">
        <v>6.8999999999999995</v>
      </c>
      <c r="I14223" s="221"/>
      <c r="J14223" s="221"/>
    </row>
    <row r="14224" spans="1:10" s="15" customFormat="1" ht="24" hidden="1" customHeight="1" outlineLevel="1" x14ac:dyDescent="0.25">
      <c r="A14224" s="18">
        <v>642</v>
      </c>
      <c r="B14224" s="4" t="s">
        <v>44</v>
      </c>
      <c r="C14224" s="38" t="s">
        <v>8053</v>
      </c>
      <c r="D14224" s="18">
        <v>2023</v>
      </c>
      <c r="E14224" s="18" t="s">
        <v>0</v>
      </c>
      <c r="F14224" s="41">
        <v>1</v>
      </c>
      <c r="G14224" s="41">
        <v>30</v>
      </c>
      <c r="H14224" s="41">
        <v>8.9700000000000006</v>
      </c>
      <c r="I14224" s="221"/>
      <c r="J14224" s="221"/>
    </row>
    <row r="14225" spans="1:10" s="15" customFormat="1" ht="24" hidden="1" customHeight="1" outlineLevel="1" x14ac:dyDescent="0.25">
      <c r="A14225" s="18">
        <v>817</v>
      </c>
      <c r="B14225" s="4" t="s">
        <v>44</v>
      </c>
      <c r="C14225" s="38" t="s">
        <v>8054</v>
      </c>
      <c r="D14225" s="18">
        <v>2023</v>
      </c>
      <c r="E14225" s="18" t="s">
        <v>0</v>
      </c>
      <c r="F14225" s="41">
        <v>1</v>
      </c>
      <c r="G14225" s="41">
        <v>15</v>
      </c>
      <c r="H14225" s="41">
        <v>8.11</v>
      </c>
      <c r="I14225" s="221"/>
      <c r="J14225" s="221"/>
    </row>
    <row r="14226" spans="1:10" s="15" customFormat="1" ht="24" hidden="1" customHeight="1" outlineLevel="1" x14ac:dyDescent="0.25">
      <c r="A14226" s="18">
        <v>818</v>
      </c>
      <c r="B14226" s="4" t="s">
        <v>44</v>
      </c>
      <c r="C14226" s="38" t="s">
        <v>8055</v>
      </c>
      <c r="D14226" s="18">
        <v>2023</v>
      </c>
      <c r="E14226" s="18" t="s">
        <v>0</v>
      </c>
      <c r="F14226" s="41">
        <v>1</v>
      </c>
      <c r="G14226" s="41">
        <v>15</v>
      </c>
      <c r="H14226" s="41">
        <v>8.9200000000000017</v>
      </c>
      <c r="I14226" s="221"/>
      <c r="J14226" s="221"/>
    </row>
    <row r="14227" spans="1:10" s="15" customFormat="1" ht="24" hidden="1" customHeight="1" outlineLevel="1" x14ac:dyDescent="0.25">
      <c r="A14227" s="18">
        <v>813</v>
      </c>
      <c r="B14227" s="4" t="s">
        <v>44</v>
      </c>
      <c r="C14227" s="38" t="s">
        <v>8056</v>
      </c>
      <c r="D14227" s="18">
        <v>2023</v>
      </c>
      <c r="E14227" s="18" t="s">
        <v>0</v>
      </c>
      <c r="F14227" s="41">
        <v>1</v>
      </c>
      <c r="G14227" s="41">
        <v>15</v>
      </c>
      <c r="H14227" s="41">
        <v>9.8600000000000012</v>
      </c>
      <c r="I14227" s="221"/>
      <c r="J14227" s="221"/>
    </row>
    <row r="14228" spans="1:10" s="15" customFormat="1" ht="24" hidden="1" customHeight="1" outlineLevel="1" x14ac:dyDescent="0.25">
      <c r="A14228" s="18">
        <v>845</v>
      </c>
      <c r="B14228" s="4" t="s">
        <v>44</v>
      </c>
      <c r="C14228" s="38" t="s">
        <v>8057</v>
      </c>
      <c r="D14228" s="18">
        <v>2023</v>
      </c>
      <c r="E14228" s="18" t="s">
        <v>0</v>
      </c>
      <c r="F14228" s="41">
        <v>1</v>
      </c>
      <c r="G14228" s="41">
        <v>15</v>
      </c>
      <c r="H14228" s="41">
        <v>11.709999999999999</v>
      </c>
      <c r="I14228" s="221"/>
      <c r="J14228" s="221"/>
    </row>
    <row r="14229" spans="1:10" s="15" customFormat="1" ht="24" hidden="1" customHeight="1" outlineLevel="1" x14ac:dyDescent="0.25">
      <c r="A14229" s="18">
        <v>514</v>
      </c>
      <c r="B14229" s="4" t="s">
        <v>44</v>
      </c>
      <c r="C14229" s="38" t="s">
        <v>8058</v>
      </c>
      <c r="D14229" s="18">
        <v>2023</v>
      </c>
      <c r="E14229" s="18" t="s">
        <v>0</v>
      </c>
      <c r="F14229" s="41">
        <v>1</v>
      </c>
      <c r="G14229" s="41">
        <v>15</v>
      </c>
      <c r="H14229" s="41">
        <v>163.458</v>
      </c>
      <c r="I14229" s="221"/>
      <c r="J14229" s="221"/>
    </row>
    <row r="14230" spans="1:10" s="15" customFormat="1" ht="24" hidden="1" customHeight="1" outlineLevel="1" x14ac:dyDescent="0.25">
      <c r="A14230" s="18">
        <v>6241</v>
      </c>
      <c r="B14230" s="4" t="s">
        <v>44</v>
      </c>
      <c r="C14230" s="38" t="s">
        <v>8059</v>
      </c>
      <c r="D14230" s="18">
        <v>2023</v>
      </c>
      <c r="E14230" s="18" t="s">
        <v>0</v>
      </c>
      <c r="F14230" s="41">
        <v>1</v>
      </c>
      <c r="G14230" s="41">
        <v>15</v>
      </c>
      <c r="H14230" s="41">
        <v>60.974000000000004</v>
      </c>
      <c r="I14230" s="221"/>
      <c r="J14230" s="221"/>
    </row>
    <row r="14231" spans="1:10" s="15" customFormat="1" ht="24" hidden="1" customHeight="1" outlineLevel="1" x14ac:dyDescent="0.25">
      <c r="A14231" s="18">
        <v>509</v>
      </c>
      <c r="B14231" s="4" t="s">
        <v>44</v>
      </c>
      <c r="C14231" s="38" t="s">
        <v>8060</v>
      </c>
      <c r="D14231" s="18">
        <v>2023</v>
      </c>
      <c r="E14231" s="18" t="s">
        <v>0</v>
      </c>
      <c r="F14231" s="41">
        <v>1</v>
      </c>
      <c r="G14231" s="41">
        <v>15</v>
      </c>
      <c r="H14231" s="41">
        <v>145.9</v>
      </c>
      <c r="I14231" s="221"/>
      <c r="J14231" s="221"/>
    </row>
    <row r="14232" spans="1:10" s="15" customFormat="1" ht="24" hidden="1" customHeight="1" outlineLevel="1" x14ac:dyDescent="0.25">
      <c r="A14232" s="18">
        <v>6196</v>
      </c>
      <c r="B14232" s="4" t="s">
        <v>44</v>
      </c>
      <c r="C14232" s="38" t="s">
        <v>8062</v>
      </c>
      <c r="D14232" s="18">
        <v>2023</v>
      </c>
      <c r="E14232" s="18" t="s">
        <v>0</v>
      </c>
      <c r="F14232" s="41">
        <v>1</v>
      </c>
      <c r="G14232" s="41">
        <v>15</v>
      </c>
      <c r="H14232" s="41">
        <v>46.889000000000003</v>
      </c>
      <c r="I14232" s="221"/>
      <c r="J14232" s="221"/>
    </row>
    <row r="14233" spans="1:10" s="15" customFormat="1" ht="24" hidden="1" customHeight="1" outlineLevel="1" x14ac:dyDescent="0.25">
      <c r="A14233" s="18">
        <v>629</v>
      </c>
      <c r="B14233" s="4" t="s">
        <v>44</v>
      </c>
      <c r="C14233" s="38" t="s">
        <v>8063</v>
      </c>
      <c r="D14233" s="18">
        <v>2023</v>
      </c>
      <c r="E14233" s="18" t="s">
        <v>0</v>
      </c>
      <c r="F14233" s="41">
        <v>1</v>
      </c>
      <c r="G14233" s="41">
        <v>15</v>
      </c>
      <c r="H14233" s="41">
        <v>45.834000000000003</v>
      </c>
      <c r="I14233" s="221"/>
      <c r="J14233" s="221"/>
    </row>
    <row r="14234" spans="1:10" s="15" customFormat="1" ht="24" hidden="1" customHeight="1" outlineLevel="1" x14ac:dyDescent="0.25">
      <c r="A14234" s="18">
        <v>636</v>
      </c>
      <c r="B14234" s="4" t="s">
        <v>44</v>
      </c>
      <c r="C14234" s="38" t="s">
        <v>8064</v>
      </c>
      <c r="D14234" s="18">
        <v>2023</v>
      </c>
      <c r="E14234" s="18" t="s">
        <v>0</v>
      </c>
      <c r="F14234" s="41">
        <v>1</v>
      </c>
      <c r="G14234" s="41">
        <v>15</v>
      </c>
      <c r="H14234" s="41">
        <v>48.198</v>
      </c>
      <c r="I14234" s="221"/>
      <c r="J14234" s="221"/>
    </row>
    <row r="14235" spans="1:10" s="15" customFormat="1" ht="24" hidden="1" customHeight="1" outlineLevel="1" x14ac:dyDescent="0.25">
      <c r="A14235" s="18">
        <v>667</v>
      </c>
      <c r="B14235" s="4" t="s">
        <v>44</v>
      </c>
      <c r="C14235" s="38" t="s">
        <v>8065</v>
      </c>
      <c r="D14235" s="18">
        <v>2023</v>
      </c>
      <c r="E14235" s="18" t="s">
        <v>0</v>
      </c>
      <c r="F14235" s="41">
        <v>2</v>
      </c>
      <c r="G14235" s="41">
        <v>60</v>
      </c>
      <c r="H14235" s="41">
        <v>90.7774</v>
      </c>
      <c r="I14235" s="221"/>
      <c r="J14235" s="221"/>
    </row>
    <row r="14236" spans="1:10" s="15" customFormat="1" ht="24" hidden="1" customHeight="1" outlineLevel="1" x14ac:dyDescent="0.25">
      <c r="A14236" s="18">
        <v>679</v>
      </c>
      <c r="B14236" s="4" t="s">
        <v>44</v>
      </c>
      <c r="C14236" s="38" t="s">
        <v>8066</v>
      </c>
      <c r="D14236" s="18">
        <v>2023</v>
      </c>
      <c r="E14236" s="18" t="s">
        <v>0</v>
      </c>
      <c r="F14236" s="41">
        <v>1</v>
      </c>
      <c r="G14236" s="41">
        <v>15</v>
      </c>
      <c r="H14236" s="41">
        <v>44</v>
      </c>
      <c r="I14236" s="221"/>
      <c r="J14236" s="221"/>
    </row>
    <row r="14237" spans="1:10" s="15" customFormat="1" ht="24" hidden="1" customHeight="1" outlineLevel="1" x14ac:dyDescent="0.25">
      <c r="A14237" s="18">
        <v>3659</v>
      </c>
      <c r="B14237" s="4" t="s">
        <v>44</v>
      </c>
      <c r="C14237" s="38" t="s">
        <v>8067</v>
      </c>
      <c r="D14237" s="18">
        <v>2023</v>
      </c>
      <c r="E14237" s="18" t="s">
        <v>0</v>
      </c>
      <c r="F14237" s="41">
        <v>1</v>
      </c>
      <c r="G14237" s="41">
        <v>15</v>
      </c>
      <c r="H14237" s="41">
        <v>49.855999999999995</v>
      </c>
      <c r="I14237" s="221"/>
      <c r="J14237" s="221"/>
    </row>
    <row r="14238" spans="1:10" s="15" customFormat="1" ht="24" hidden="1" customHeight="1" outlineLevel="1" x14ac:dyDescent="0.25">
      <c r="A14238" s="18">
        <v>839</v>
      </c>
      <c r="B14238" s="4" t="s">
        <v>44</v>
      </c>
      <c r="C14238" s="38" t="s">
        <v>8069</v>
      </c>
      <c r="D14238" s="18">
        <v>2023</v>
      </c>
      <c r="E14238" s="18" t="s">
        <v>0</v>
      </c>
      <c r="F14238" s="41">
        <v>1</v>
      </c>
      <c r="G14238" s="41">
        <v>15</v>
      </c>
      <c r="H14238" s="41">
        <v>51.552</v>
      </c>
      <c r="I14238" s="221"/>
      <c r="J14238" s="221"/>
    </row>
    <row r="14239" spans="1:10" s="15" customFormat="1" ht="24" hidden="1" customHeight="1" outlineLevel="1" x14ac:dyDescent="0.25">
      <c r="A14239" s="18">
        <v>3225</v>
      </c>
      <c r="B14239" s="4" t="s">
        <v>44</v>
      </c>
      <c r="C14239" s="38" t="s">
        <v>8071</v>
      </c>
      <c r="D14239" s="18">
        <v>2023</v>
      </c>
      <c r="E14239" s="18" t="s">
        <v>0</v>
      </c>
      <c r="F14239" s="41">
        <v>1</v>
      </c>
      <c r="G14239" s="41">
        <v>15</v>
      </c>
      <c r="H14239" s="41">
        <v>52.496000000000002</v>
      </c>
      <c r="I14239" s="221"/>
      <c r="J14239" s="221"/>
    </row>
    <row r="14240" spans="1:10" s="15" customFormat="1" ht="24" hidden="1" customHeight="1" outlineLevel="1" x14ac:dyDescent="0.25">
      <c r="A14240" s="18">
        <v>3108</v>
      </c>
      <c r="B14240" s="4" t="s">
        <v>44</v>
      </c>
      <c r="C14240" s="38" t="s">
        <v>8074</v>
      </c>
      <c r="D14240" s="18">
        <v>2023</v>
      </c>
      <c r="E14240" s="18" t="s">
        <v>0</v>
      </c>
      <c r="F14240" s="41">
        <v>1</v>
      </c>
      <c r="G14240" s="41">
        <v>23.75</v>
      </c>
      <c r="H14240" s="41">
        <v>45.826000000000001</v>
      </c>
      <c r="I14240" s="221"/>
      <c r="J14240" s="221"/>
    </row>
    <row r="14241" spans="1:10" s="15" customFormat="1" ht="24" hidden="1" customHeight="1" outlineLevel="1" x14ac:dyDescent="0.25">
      <c r="A14241" s="18">
        <v>860</v>
      </c>
      <c r="B14241" s="4" t="s">
        <v>44</v>
      </c>
      <c r="C14241" s="38" t="s">
        <v>8075</v>
      </c>
      <c r="D14241" s="18">
        <v>2023</v>
      </c>
      <c r="E14241" s="18" t="s">
        <v>0</v>
      </c>
      <c r="F14241" s="41">
        <v>1</v>
      </c>
      <c r="G14241" s="41">
        <v>15</v>
      </c>
      <c r="H14241" s="41">
        <v>66.699999999999989</v>
      </c>
      <c r="I14241" s="221"/>
      <c r="J14241" s="221"/>
    </row>
    <row r="14242" spans="1:10" s="15" customFormat="1" ht="24" hidden="1" customHeight="1" outlineLevel="1" x14ac:dyDescent="0.25">
      <c r="A14242" s="18">
        <v>6248</v>
      </c>
      <c r="B14242" s="4" t="s">
        <v>44</v>
      </c>
      <c r="C14242" s="38" t="s">
        <v>8076</v>
      </c>
      <c r="D14242" s="18">
        <v>2023</v>
      </c>
      <c r="E14242" s="18" t="s">
        <v>0</v>
      </c>
      <c r="F14242" s="41">
        <v>3</v>
      </c>
      <c r="G14242" s="41">
        <v>45</v>
      </c>
      <c r="H14242" s="41">
        <v>173.96100000000001</v>
      </c>
      <c r="I14242" s="221"/>
      <c r="J14242" s="221"/>
    </row>
    <row r="14243" spans="1:10" s="15" customFormat="1" ht="24" hidden="1" customHeight="1" outlineLevel="1" x14ac:dyDescent="0.25">
      <c r="A14243" s="18">
        <v>6256</v>
      </c>
      <c r="B14243" s="4" t="s">
        <v>44</v>
      </c>
      <c r="C14243" s="38" t="s">
        <v>8077</v>
      </c>
      <c r="D14243" s="18">
        <v>2023</v>
      </c>
      <c r="E14243" s="18" t="s">
        <v>0</v>
      </c>
      <c r="F14243" s="41">
        <v>1</v>
      </c>
      <c r="G14243" s="41">
        <v>7.5</v>
      </c>
      <c r="H14243" s="41">
        <v>48.113</v>
      </c>
      <c r="I14243" s="221"/>
      <c r="J14243" s="221"/>
    </row>
    <row r="14244" spans="1:10" s="15" customFormat="1" ht="24" hidden="1" customHeight="1" outlineLevel="1" x14ac:dyDescent="0.25">
      <c r="A14244" s="18">
        <v>6257</v>
      </c>
      <c r="B14244" s="4" t="s">
        <v>44</v>
      </c>
      <c r="C14244" s="38" t="s">
        <v>8078</v>
      </c>
      <c r="D14244" s="18">
        <v>2023</v>
      </c>
      <c r="E14244" s="18" t="s">
        <v>0</v>
      </c>
      <c r="F14244" s="41">
        <v>1</v>
      </c>
      <c r="G14244" s="41">
        <v>7.5</v>
      </c>
      <c r="H14244" s="41">
        <v>49.598000000000006</v>
      </c>
      <c r="I14244" s="221"/>
      <c r="J14244" s="221"/>
    </row>
    <row r="14245" spans="1:10" s="15" customFormat="1" ht="24" hidden="1" customHeight="1" outlineLevel="1" x14ac:dyDescent="0.25">
      <c r="A14245" s="18">
        <v>3864</v>
      </c>
      <c r="B14245" s="4" t="s">
        <v>44</v>
      </c>
      <c r="C14245" s="38" t="s">
        <v>8079</v>
      </c>
      <c r="D14245" s="18">
        <v>2023</v>
      </c>
      <c r="E14245" s="18" t="s">
        <v>0</v>
      </c>
      <c r="F14245" s="41">
        <v>1</v>
      </c>
      <c r="G14245" s="41">
        <v>15</v>
      </c>
      <c r="H14245" s="41">
        <v>43.731999999999999</v>
      </c>
      <c r="I14245" s="221"/>
      <c r="J14245" s="221"/>
    </row>
    <row r="14246" spans="1:10" s="15" customFormat="1" ht="24" hidden="1" customHeight="1" outlineLevel="1" x14ac:dyDescent="0.25">
      <c r="A14246" s="18">
        <v>600</v>
      </c>
      <c r="B14246" s="4" t="s">
        <v>44</v>
      </c>
      <c r="C14246" s="38" t="s">
        <v>8080</v>
      </c>
      <c r="D14246" s="18">
        <v>2023</v>
      </c>
      <c r="E14246" s="18" t="s">
        <v>0</v>
      </c>
      <c r="F14246" s="41">
        <v>1</v>
      </c>
      <c r="G14246" s="41">
        <v>15</v>
      </c>
      <c r="H14246" s="41">
        <v>42.695999999999998</v>
      </c>
      <c r="I14246" s="221"/>
      <c r="J14246" s="221"/>
    </row>
    <row r="14247" spans="1:10" s="15" customFormat="1" ht="24" hidden="1" customHeight="1" outlineLevel="1" x14ac:dyDescent="0.25">
      <c r="A14247" s="18">
        <v>616</v>
      </c>
      <c r="B14247" s="4" t="s">
        <v>44</v>
      </c>
      <c r="C14247" s="38" t="s">
        <v>8081</v>
      </c>
      <c r="D14247" s="18">
        <v>2023</v>
      </c>
      <c r="E14247" s="18" t="s">
        <v>0</v>
      </c>
      <c r="F14247" s="41">
        <v>2</v>
      </c>
      <c r="G14247" s="41">
        <v>30</v>
      </c>
      <c r="H14247" s="41">
        <v>85.647000000000006</v>
      </c>
      <c r="I14247" s="221"/>
      <c r="J14247" s="221"/>
    </row>
    <row r="14248" spans="1:10" s="15" customFormat="1" ht="24" hidden="1" customHeight="1" outlineLevel="1" x14ac:dyDescent="0.25">
      <c r="A14248" s="18">
        <v>3052</v>
      </c>
      <c r="B14248" s="4" t="s">
        <v>44</v>
      </c>
      <c r="C14248" s="38" t="s">
        <v>8083</v>
      </c>
      <c r="D14248" s="18">
        <v>2023</v>
      </c>
      <c r="E14248" s="18" t="s">
        <v>0</v>
      </c>
      <c r="F14248" s="41">
        <v>1</v>
      </c>
      <c r="G14248" s="41">
        <v>50</v>
      </c>
      <c r="H14248" s="41">
        <v>44.1</v>
      </c>
      <c r="I14248" s="221"/>
      <c r="J14248" s="221"/>
    </row>
    <row r="14249" spans="1:10" s="15" customFormat="1" ht="24" hidden="1" customHeight="1" outlineLevel="1" x14ac:dyDescent="0.25">
      <c r="A14249" s="18">
        <v>3253</v>
      </c>
      <c r="B14249" s="4" t="s">
        <v>44</v>
      </c>
      <c r="C14249" s="38" t="s">
        <v>8085</v>
      </c>
      <c r="D14249" s="18">
        <v>2023</v>
      </c>
      <c r="E14249" s="18" t="s">
        <v>0</v>
      </c>
      <c r="F14249" s="41">
        <v>1</v>
      </c>
      <c r="G14249" s="41">
        <v>5.5</v>
      </c>
      <c r="H14249" s="41">
        <v>55.058999999999997</v>
      </c>
      <c r="I14249" s="221"/>
      <c r="J14249" s="221"/>
    </row>
    <row r="14250" spans="1:10" s="15" customFormat="1" ht="24" hidden="1" customHeight="1" outlineLevel="1" x14ac:dyDescent="0.25">
      <c r="A14250" s="18">
        <v>3349</v>
      </c>
      <c r="B14250" s="4" t="s">
        <v>44</v>
      </c>
      <c r="C14250" s="38" t="s">
        <v>8086</v>
      </c>
      <c r="D14250" s="18">
        <v>2023</v>
      </c>
      <c r="E14250" s="18" t="s">
        <v>0</v>
      </c>
      <c r="F14250" s="41">
        <v>1</v>
      </c>
      <c r="G14250" s="41">
        <v>35</v>
      </c>
      <c r="H14250" s="41">
        <v>44.57</v>
      </c>
      <c r="I14250" s="221"/>
      <c r="J14250" s="221"/>
    </row>
    <row r="14251" spans="1:10" s="15" customFormat="1" ht="24" hidden="1" customHeight="1" outlineLevel="1" x14ac:dyDescent="0.25">
      <c r="A14251" s="18">
        <v>1230</v>
      </c>
      <c r="B14251" s="4" t="s">
        <v>44</v>
      </c>
      <c r="C14251" s="38" t="s">
        <v>8087</v>
      </c>
      <c r="D14251" s="18">
        <v>2023</v>
      </c>
      <c r="E14251" s="18" t="s">
        <v>0</v>
      </c>
      <c r="F14251" s="41">
        <v>1</v>
      </c>
      <c r="G14251" s="41">
        <v>15</v>
      </c>
      <c r="H14251" s="41">
        <v>51.833999999999996</v>
      </c>
      <c r="I14251" s="221"/>
      <c r="J14251" s="221"/>
    </row>
    <row r="14252" spans="1:10" s="15" customFormat="1" ht="24" hidden="1" customHeight="1" outlineLevel="1" x14ac:dyDescent="0.25">
      <c r="A14252" s="18">
        <v>889</v>
      </c>
      <c r="B14252" s="4" t="s">
        <v>44</v>
      </c>
      <c r="C14252" s="38" t="s">
        <v>8088</v>
      </c>
      <c r="D14252" s="18">
        <v>2023</v>
      </c>
      <c r="E14252" s="18" t="s">
        <v>0</v>
      </c>
      <c r="F14252" s="41">
        <v>1</v>
      </c>
      <c r="G14252" s="41">
        <v>15</v>
      </c>
      <c r="H14252" s="41">
        <v>44.769999999999996</v>
      </c>
      <c r="I14252" s="221"/>
      <c r="J14252" s="221"/>
    </row>
    <row r="14253" spans="1:10" s="15" customFormat="1" ht="24" hidden="1" customHeight="1" outlineLevel="1" x14ac:dyDescent="0.25">
      <c r="A14253" s="18">
        <v>1323</v>
      </c>
      <c r="B14253" s="4" t="s">
        <v>44</v>
      </c>
      <c r="C14253" s="38" t="s">
        <v>8092</v>
      </c>
      <c r="D14253" s="18">
        <v>2023</v>
      </c>
      <c r="E14253" s="18" t="s">
        <v>0</v>
      </c>
      <c r="F14253" s="41">
        <v>1</v>
      </c>
      <c r="G14253" s="41">
        <v>15</v>
      </c>
      <c r="H14253" s="41">
        <v>81.92</v>
      </c>
      <c r="I14253" s="221"/>
      <c r="J14253" s="221"/>
    </row>
    <row r="14254" spans="1:10" s="15" customFormat="1" ht="24" hidden="1" customHeight="1" outlineLevel="1" x14ac:dyDescent="0.25">
      <c r="A14254" s="18">
        <v>431</v>
      </c>
      <c r="B14254" s="4" t="s">
        <v>44</v>
      </c>
      <c r="C14254" s="38" t="s">
        <v>8093</v>
      </c>
      <c r="D14254" s="18">
        <v>2023</v>
      </c>
      <c r="E14254" s="18" t="s">
        <v>0</v>
      </c>
      <c r="F14254" s="41">
        <v>1</v>
      </c>
      <c r="G14254" s="41">
        <v>15</v>
      </c>
      <c r="H14254" s="41">
        <v>44.341999999999999</v>
      </c>
      <c r="I14254" s="221"/>
      <c r="J14254" s="221"/>
    </row>
    <row r="14255" spans="1:10" s="15" customFormat="1" ht="24" hidden="1" customHeight="1" outlineLevel="1" x14ac:dyDescent="0.25">
      <c r="A14255" s="18">
        <v>638</v>
      </c>
      <c r="B14255" s="4" t="s">
        <v>44</v>
      </c>
      <c r="C14255" s="38" t="s">
        <v>8094</v>
      </c>
      <c r="D14255" s="18">
        <v>2023</v>
      </c>
      <c r="E14255" s="18" t="s">
        <v>0</v>
      </c>
      <c r="F14255" s="41">
        <v>1</v>
      </c>
      <c r="G14255" s="41">
        <v>15</v>
      </c>
      <c r="H14255" s="41">
        <v>46.54</v>
      </c>
      <c r="I14255" s="221"/>
      <c r="J14255" s="221"/>
    </row>
    <row r="14256" spans="1:10" s="15" customFormat="1" ht="24" hidden="1" customHeight="1" outlineLevel="1" x14ac:dyDescent="0.25">
      <c r="A14256" s="18">
        <v>1108</v>
      </c>
      <c r="B14256" s="4" t="s">
        <v>44</v>
      </c>
      <c r="C14256" s="38" t="s">
        <v>8095</v>
      </c>
      <c r="D14256" s="18">
        <v>2023</v>
      </c>
      <c r="E14256" s="18" t="s">
        <v>0</v>
      </c>
      <c r="F14256" s="41">
        <v>1</v>
      </c>
      <c r="G14256" s="41">
        <v>15</v>
      </c>
      <c r="H14256" s="41">
        <v>44.33</v>
      </c>
      <c r="I14256" s="221"/>
      <c r="J14256" s="221"/>
    </row>
    <row r="14257" spans="1:10" s="15" customFormat="1" ht="24" hidden="1" customHeight="1" outlineLevel="1" x14ac:dyDescent="0.25">
      <c r="A14257" s="18">
        <v>1199</v>
      </c>
      <c r="B14257" s="4" t="s">
        <v>44</v>
      </c>
      <c r="C14257" s="38" t="s">
        <v>8096</v>
      </c>
      <c r="D14257" s="18">
        <v>2023</v>
      </c>
      <c r="E14257" s="18" t="s">
        <v>0</v>
      </c>
      <c r="F14257" s="41">
        <v>1</v>
      </c>
      <c r="G14257" s="41">
        <v>1</v>
      </c>
      <c r="H14257" s="41">
        <v>46.915999999999997</v>
      </c>
      <c r="I14257" s="221"/>
      <c r="J14257" s="221"/>
    </row>
    <row r="14258" spans="1:10" s="15" customFormat="1" ht="24" hidden="1" customHeight="1" outlineLevel="1" x14ac:dyDescent="0.25">
      <c r="A14258" s="18">
        <v>1254</v>
      </c>
      <c r="B14258" s="4" t="s">
        <v>44</v>
      </c>
      <c r="C14258" s="38" t="s">
        <v>8097</v>
      </c>
      <c r="D14258" s="18">
        <v>2023</v>
      </c>
      <c r="E14258" s="18" t="s">
        <v>0</v>
      </c>
      <c r="F14258" s="41">
        <v>1</v>
      </c>
      <c r="G14258" s="41">
        <v>2</v>
      </c>
      <c r="H14258" s="41">
        <v>51.173999999999999</v>
      </c>
      <c r="I14258" s="221"/>
      <c r="J14258" s="221"/>
    </row>
    <row r="14259" spans="1:10" s="15" customFormat="1" ht="24" hidden="1" customHeight="1" outlineLevel="1" x14ac:dyDescent="0.25">
      <c r="A14259" s="18">
        <v>1231</v>
      </c>
      <c r="B14259" s="4" t="s">
        <v>44</v>
      </c>
      <c r="C14259" s="38" t="s">
        <v>8098</v>
      </c>
      <c r="D14259" s="18">
        <v>2023</v>
      </c>
      <c r="E14259" s="18" t="s">
        <v>0</v>
      </c>
      <c r="F14259" s="41">
        <v>1</v>
      </c>
      <c r="G14259" s="41">
        <v>10</v>
      </c>
      <c r="H14259" s="41">
        <v>48.722999999999999</v>
      </c>
      <c r="I14259" s="221"/>
      <c r="J14259" s="221"/>
    </row>
    <row r="14260" spans="1:10" s="15" customFormat="1" ht="24" hidden="1" customHeight="1" outlineLevel="1" x14ac:dyDescent="0.25">
      <c r="A14260" s="18">
        <v>3238</v>
      </c>
      <c r="B14260" s="4" t="s">
        <v>44</v>
      </c>
      <c r="C14260" s="38" t="s">
        <v>8099</v>
      </c>
      <c r="D14260" s="18">
        <v>2023</v>
      </c>
      <c r="E14260" s="18" t="s">
        <v>0</v>
      </c>
      <c r="F14260" s="41">
        <v>1</v>
      </c>
      <c r="G14260" s="41">
        <v>15</v>
      </c>
      <c r="H14260" s="41">
        <v>49.338999999999999</v>
      </c>
      <c r="I14260" s="221"/>
      <c r="J14260" s="221"/>
    </row>
    <row r="14261" spans="1:10" s="15" customFormat="1" ht="24" hidden="1" customHeight="1" outlineLevel="1" x14ac:dyDescent="0.25">
      <c r="A14261" s="18">
        <v>1310</v>
      </c>
      <c r="B14261" s="4" t="s">
        <v>44</v>
      </c>
      <c r="C14261" s="38" t="s">
        <v>8101</v>
      </c>
      <c r="D14261" s="18">
        <v>2023</v>
      </c>
      <c r="E14261" s="18" t="s">
        <v>0</v>
      </c>
      <c r="F14261" s="41">
        <v>1</v>
      </c>
      <c r="G14261" s="41">
        <v>12</v>
      </c>
      <c r="H14261" s="41">
        <v>61.408999999999999</v>
      </c>
      <c r="I14261" s="221"/>
      <c r="J14261" s="221"/>
    </row>
    <row r="14262" spans="1:10" s="15" customFormat="1" ht="24" hidden="1" customHeight="1" outlineLevel="1" x14ac:dyDescent="0.25">
      <c r="A14262" s="18">
        <v>2849</v>
      </c>
      <c r="B14262" s="4" t="s">
        <v>44</v>
      </c>
      <c r="C14262" s="38" t="s">
        <v>8102</v>
      </c>
      <c r="D14262" s="18">
        <v>2023</v>
      </c>
      <c r="E14262" s="18" t="s">
        <v>0</v>
      </c>
      <c r="F14262" s="41">
        <v>1</v>
      </c>
      <c r="G14262" s="41">
        <v>15</v>
      </c>
      <c r="H14262" s="41">
        <v>62.07</v>
      </c>
      <c r="I14262" s="221"/>
      <c r="J14262" s="221"/>
    </row>
    <row r="14263" spans="1:10" s="15" customFormat="1" ht="24" hidden="1" customHeight="1" outlineLevel="1" x14ac:dyDescent="0.25">
      <c r="A14263" s="18">
        <v>827</v>
      </c>
      <c r="B14263" s="4" t="s">
        <v>44</v>
      </c>
      <c r="C14263" s="38" t="s">
        <v>8103</v>
      </c>
      <c r="D14263" s="18">
        <v>2023</v>
      </c>
      <c r="E14263" s="18" t="s">
        <v>0</v>
      </c>
      <c r="F14263" s="41">
        <v>1</v>
      </c>
      <c r="G14263" s="41">
        <v>15</v>
      </c>
      <c r="H14263" s="41">
        <v>65.433000000000007</v>
      </c>
      <c r="I14263" s="221"/>
      <c r="J14263" s="221"/>
    </row>
    <row r="14264" spans="1:10" s="15" customFormat="1" ht="24" hidden="1" customHeight="1" outlineLevel="1" x14ac:dyDescent="0.25">
      <c r="A14264" s="18">
        <v>3241</v>
      </c>
      <c r="B14264" s="4" t="s">
        <v>44</v>
      </c>
      <c r="C14264" s="38" t="s">
        <v>8104</v>
      </c>
      <c r="D14264" s="18">
        <v>2023</v>
      </c>
      <c r="E14264" s="18" t="s">
        <v>0</v>
      </c>
      <c r="F14264" s="41">
        <v>1</v>
      </c>
      <c r="G14264" s="41">
        <v>5</v>
      </c>
      <c r="H14264" s="41">
        <v>55.292500000000004</v>
      </c>
      <c r="I14264" s="221"/>
      <c r="J14264" s="221"/>
    </row>
    <row r="14265" spans="1:10" s="15" customFormat="1" ht="24" hidden="1" customHeight="1" outlineLevel="1" x14ac:dyDescent="0.25">
      <c r="A14265" s="18">
        <v>1088</v>
      </c>
      <c r="B14265" s="4" t="s">
        <v>44</v>
      </c>
      <c r="C14265" s="38" t="s">
        <v>8105</v>
      </c>
      <c r="D14265" s="18">
        <v>2023</v>
      </c>
      <c r="E14265" s="18" t="s">
        <v>0</v>
      </c>
      <c r="F14265" s="41">
        <v>3</v>
      </c>
      <c r="G14265" s="41">
        <v>45</v>
      </c>
      <c r="H14265" s="41">
        <v>169.73</v>
      </c>
      <c r="I14265" s="221"/>
      <c r="J14265" s="221"/>
    </row>
    <row r="14266" spans="1:10" s="15" customFormat="1" ht="24" hidden="1" customHeight="1" outlineLevel="1" x14ac:dyDescent="0.25">
      <c r="A14266" s="18">
        <v>6403</v>
      </c>
      <c r="B14266" s="4" t="s">
        <v>44</v>
      </c>
      <c r="C14266" s="38" t="s">
        <v>8106</v>
      </c>
      <c r="D14266" s="18">
        <v>2023</v>
      </c>
      <c r="E14266" s="18" t="s">
        <v>0</v>
      </c>
      <c r="F14266" s="41">
        <v>1</v>
      </c>
      <c r="G14266" s="41">
        <v>60</v>
      </c>
      <c r="H14266" s="41">
        <v>57.393999999999998</v>
      </c>
      <c r="I14266" s="221"/>
      <c r="J14266" s="221"/>
    </row>
    <row r="14267" spans="1:10" s="15" customFormat="1" ht="24" hidden="1" customHeight="1" outlineLevel="1" x14ac:dyDescent="0.25">
      <c r="A14267" s="18">
        <v>704</v>
      </c>
      <c r="B14267" s="4" t="s">
        <v>44</v>
      </c>
      <c r="C14267" s="38" t="s">
        <v>8107</v>
      </c>
      <c r="D14267" s="18">
        <v>2023</v>
      </c>
      <c r="E14267" s="18" t="s">
        <v>0</v>
      </c>
      <c r="F14267" s="41">
        <v>1</v>
      </c>
      <c r="G14267" s="41">
        <v>15</v>
      </c>
      <c r="H14267" s="41">
        <v>68.12</v>
      </c>
      <c r="I14267" s="221"/>
      <c r="J14267" s="221"/>
    </row>
    <row r="14268" spans="1:10" s="15" customFormat="1" ht="24" hidden="1" customHeight="1" outlineLevel="1" x14ac:dyDescent="0.25">
      <c r="A14268" s="18">
        <v>1349</v>
      </c>
      <c r="B14268" s="4" t="s">
        <v>44</v>
      </c>
      <c r="C14268" s="38" t="s">
        <v>8108</v>
      </c>
      <c r="D14268" s="18">
        <v>2023</v>
      </c>
      <c r="E14268" s="18" t="s">
        <v>0</v>
      </c>
      <c r="F14268" s="41">
        <v>1</v>
      </c>
      <c r="G14268" s="41">
        <v>15</v>
      </c>
      <c r="H14268" s="41">
        <v>67.959670000000003</v>
      </c>
      <c r="I14268" s="221"/>
      <c r="J14268" s="221"/>
    </row>
    <row r="14269" spans="1:10" s="15" customFormat="1" ht="24" hidden="1" customHeight="1" outlineLevel="1" x14ac:dyDescent="0.25">
      <c r="A14269" s="18">
        <v>614</v>
      </c>
      <c r="B14269" s="4" t="s">
        <v>44</v>
      </c>
      <c r="C14269" s="38" t="s">
        <v>8109</v>
      </c>
      <c r="D14269" s="18">
        <v>2023</v>
      </c>
      <c r="E14269" s="18" t="s">
        <v>0</v>
      </c>
      <c r="F14269" s="41">
        <v>1</v>
      </c>
      <c r="G14269" s="41">
        <v>15</v>
      </c>
      <c r="H14269" s="41">
        <v>19.349999999999998</v>
      </c>
      <c r="I14269" s="221"/>
      <c r="J14269" s="221"/>
    </row>
    <row r="14270" spans="1:10" s="15" customFormat="1" ht="24" hidden="1" customHeight="1" outlineLevel="1" x14ac:dyDescent="0.25">
      <c r="A14270" s="18">
        <v>630</v>
      </c>
      <c r="B14270" s="4" t="s">
        <v>44</v>
      </c>
      <c r="C14270" s="38" t="s">
        <v>8112</v>
      </c>
      <c r="D14270" s="18">
        <v>2023</v>
      </c>
      <c r="E14270" s="18" t="s">
        <v>0</v>
      </c>
      <c r="F14270" s="41">
        <v>1</v>
      </c>
      <c r="G14270" s="41">
        <v>15</v>
      </c>
      <c r="H14270" s="41">
        <v>73.199939999999998</v>
      </c>
      <c r="I14270" s="221"/>
      <c r="J14270" s="221"/>
    </row>
    <row r="14271" spans="1:10" s="15" customFormat="1" ht="24" hidden="1" customHeight="1" outlineLevel="1" x14ac:dyDescent="0.25">
      <c r="A14271" s="18">
        <v>681</v>
      </c>
      <c r="B14271" s="4" t="s">
        <v>44</v>
      </c>
      <c r="C14271" s="38" t="s">
        <v>8113</v>
      </c>
      <c r="D14271" s="18">
        <v>2023</v>
      </c>
      <c r="E14271" s="18" t="s">
        <v>0</v>
      </c>
      <c r="F14271" s="41">
        <v>1</v>
      </c>
      <c r="G14271" s="41">
        <v>15</v>
      </c>
      <c r="H14271" s="41">
        <v>54.234180000000002</v>
      </c>
      <c r="I14271" s="221"/>
      <c r="J14271" s="221"/>
    </row>
    <row r="14272" spans="1:10" s="15" customFormat="1" ht="24" hidden="1" customHeight="1" outlineLevel="1" x14ac:dyDescent="0.25">
      <c r="A14272" s="18">
        <v>716</v>
      </c>
      <c r="B14272" s="4" t="s">
        <v>44</v>
      </c>
      <c r="C14272" s="38" t="s">
        <v>8114</v>
      </c>
      <c r="D14272" s="18">
        <v>2023</v>
      </c>
      <c r="E14272" s="18" t="s">
        <v>0</v>
      </c>
      <c r="F14272" s="41">
        <v>1</v>
      </c>
      <c r="G14272" s="41">
        <v>15</v>
      </c>
      <c r="H14272" s="41">
        <v>50.140920000000001</v>
      </c>
      <c r="I14272" s="221"/>
      <c r="J14272" s="221"/>
    </row>
    <row r="14273" spans="1:10" s="15" customFormat="1" ht="24" hidden="1" customHeight="1" outlineLevel="1" x14ac:dyDescent="0.25">
      <c r="A14273" s="18">
        <v>3232</v>
      </c>
      <c r="B14273" s="4" t="s">
        <v>44</v>
      </c>
      <c r="C14273" s="38" t="s">
        <v>8115</v>
      </c>
      <c r="D14273" s="18">
        <v>2023</v>
      </c>
      <c r="E14273" s="18" t="s">
        <v>0</v>
      </c>
      <c r="F14273" s="41">
        <v>1</v>
      </c>
      <c r="G14273" s="41">
        <v>15</v>
      </c>
      <c r="H14273" s="41">
        <v>63.001349999999995</v>
      </c>
      <c r="I14273" s="221"/>
      <c r="J14273" s="221"/>
    </row>
    <row r="14274" spans="1:10" s="15" customFormat="1" ht="24" hidden="1" customHeight="1" outlineLevel="1" x14ac:dyDescent="0.25">
      <c r="A14274" s="18">
        <v>748</v>
      </c>
      <c r="B14274" s="4" t="s">
        <v>44</v>
      </c>
      <c r="C14274" s="38" t="s">
        <v>8116</v>
      </c>
      <c r="D14274" s="18">
        <v>2023</v>
      </c>
      <c r="E14274" s="18" t="s">
        <v>0</v>
      </c>
      <c r="F14274" s="41">
        <v>1</v>
      </c>
      <c r="G14274" s="41">
        <v>15</v>
      </c>
      <c r="H14274" s="41">
        <v>49.93676</v>
      </c>
      <c r="I14274" s="221"/>
      <c r="J14274" s="221"/>
    </row>
    <row r="14275" spans="1:10" s="15" customFormat="1" ht="24" hidden="1" customHeight="1" outlineLevel="1" x14ac:dyDescent="0.25">
      <c r="A14275" s="18">
        <v>762</v>
      </c>
      <c r="B14275" s="4" t="s">
        <v>44</v>
      </c>
      <c r="C14275" s="38" t="s">
        <v>8117</v>
      </c>
      <c r="D14275" s="18">
        <v>2023</v>
      </c>
      <c r="E14275" s="18" t="s">
        <v>0</v>
      </c>
      <c r="F14275" s="41">
        <v>1</v>
      </c>
      <c r="G14275" s="41">
        <v>15</v>
      </c>
      <c r="H14275" s="41">
        <v>42.910629999999998</v>
      </c>
      <c r="I14275" s="221"/>
      <c r="J14275" s="221"/>
    </row>
    <row r="14276" spans="1:10" s="15" customFormat="1" ht="24" hidden="1" customHeight="1" outlineLevel="1" x14ac:dyDescent="0.25">
      <c r="A14276" s="18">
        <v>764</v>
      </c>
      <c r="B14276" s="4" t="s">
        <v>44</v>
      </c>
      <c r="C14276" s="38" t="s">
        <v>8118</v>
      </c>
      <c r="D14276" s="18">
        <v>2023</v>
      </c>
      <c r="E14276" s="18" t="s">
        <v>0</v>
      </c>
      <c r="F14276" s="41">
        <v>1</v>
      </c>
      <c r="G14276" s="41">
        <v>8</v>
      </c>
      <c r="H14276" s="41">
        <v>45.939369999999997</v>
      </c>
      <c r="I14276" s="221"/>
      <c r="J14276" s="221"/>
    </row>
    <row r="14277" spans="1:10" s="15" customFormat="1" ht="24" hidden="1" customHeight="1" outlineLevel="1" x14ac:dyDescent="0.25">
      <c r="A14277" s="18">
        <v>797</v>
      </c>
      <c r="B14277" s="4" t="s">
        <v>44</v>
      </c>
      <c r="C14277" s="38" t="s">
        <v>8119</v>
      </c>
      <c r="D14277" s="18">
        <v>2023</v>
      </c>
      <c r="E14277" s="18" t="s">
        <v>0</v>
      </c>
      <c r="F14277" s="41">
        <v>1</v>
      </c>
      <c r="G14277" s="41">
        <v>15</v>
      </c>
      <c r="H14277" s="41">
        <v>44.581600000000002</v>
      </c>
      <c r="I14277" s="221"/>
      <c r="J14277" s="221"/>
    </row>
    <row r="14278" spans="1:10" s="15" customFormat="1" ht="24" hidden="1" customHeight="1" outlineLevel="1" x14ac:dyDescent="0.25">
      <c r="A14278" s="18">
        <v>3354</v>
      </c>
      <c r="B14278" s="4" t="s">
        <v>44</v>
      </c>
      <c r="C14278" s="38" t="s">
        <v>9331</v>
      </c>
      <c r="D14278" s="18">
        <v>2023</v>
      </c>
      <c r="E14278" s="18" t="s">
        <v>0</v>
      </c>
      <c r="F14278" s="41">
        <v>1</v>
      </c>
      <c r="G14278" s="41">
        <v>85</v>
      </c>
      <c r="H14278" s="41">
        <v>61.997056000000001</v>
      </c>
      <c r="I14278" s="221"/>
      <c r="J14278" s="221"/>
    </row>
    <row r="14279" spans="1:10" s="15" customFormat="1" ht="24" hidden="1" customHeight="1" outlineLevel="1" x14ac:dyDescent="0.25">
      <c r="A14279" s="18">
        <v>880</v>
      </c>
      <c r="B14279" s="4" t="s">
        <v>44</v>
      </c>
      <c r="C14279" s="38" t="s">
        <v>8120</v>
      </c>
      <c r="D14279" s="18">
        <v>2023</v>
      </c>
      <c r="E14279" s="18" t="s">
        <v>0</v>
      </c>
      <c r="F14279" s="41">
        <v>1</v>
      </c>
      <c r="G14279" s="41">
        <v>15</v>
      </c>
      <c r="H14279" s="41">
        <v>61.419889999999995</v>
      </c>
      <c r="I14279" s="221"/>
      <c r="J14279" s="221"/>
    </row>
    <row r="14280" spans="1:10" s="15" customFormat="1" ht="24" hidden="1" customHeight="1" outlineLevel="1" x14ac:dyDescent="0.25">
      <c r="A14280" s="18">
        <v>910</v>
      </c>
      <c r="B14280" s="4" t="s">
        <v>44</v>
      </c>
      <c r="C14280" s="38" t="s">
        <v>8121</v>
      </c>
      <c r="D14280" s="18">
        <v>2023</v>
      </c>
      <c r="E14280" s="18" t="s">
        <v>0</v>
      </c>
      <c r="F14280" s="41">
        <v>1</v>
      </c>
      <c r="G14280" s="41">
        <v>15</v>
      </c>
      <c r="H14280" s="41">
        <v>59.32029</v>
      </c>
      <c r="I14280" s="221"/>
      <c r="J14280" s="221"/>
    </row>
    <row r="14281" spans="1:10" s="15" customFormat="1" ht="24" hidden="1" customHeight="1" outlineLevel="1" x14ac:dyDescent="0.25">
      <c r="A14281" s="18">
        <v>3530</v>
      </c>
      <c r="B14281" s="4" t="s">
        <v>44</v>
      </c>
      <c r="C14281" s="38" t="s">
        <v>8122</v>
      </c>
      <c r="D14281" s="18">
        <v>2023</v>
      </c>
      <c r="E14281" s="18" t="s">
        <v>0</v>
      </c>
      <c r="F14281" s="41">
        <v>1</v>
      </c>
      <c r="G14281" s="41">
        <v>10</v>
      </c>
      <c r="H14281" s="41">
        <v>55.452099999999994</v>
      </c>
      <c r="I14281" s="221"/>
      <c r="J14281" s="221"/>
    </row>
    <row r="14282" spans="1:10" s="15" customFormat="1" ht="24" hidden="1" customHeight="1" outlineLevel="1" x14ac:dyDescent="0.25">
      <c r="A14282" s="18">
        <v>1194</v>
      </c>
      <c r="B14282" s="4" t="s">
        <v>44</v>
      </c>
      <c r="C14282" s="38" t="s">
        <v>8123</v>
      </c>
      <c r="D14282" s="18">
        <v>2023</v>
      </c>
      <c r="E14282" s="18" t="s">
        <v>0</v>
      </c>
      <c r="F14282" s="41">
        <v>1</v>
      </c>
      <c r="G14282" s="41">
        <v>7.5</v>
      </c>
      <c r="H14282" s="41">
        <v>50.063690000000001</v>
      </c>
      <c r="I14282" s="221"/>
      <c r="J14282" s="221"/>
    </row>
    <row r="14283" spans="1:10" s="15" customFormat="1" ht="24" hidden="1" customHeight="1" outlineLevel="1" x14ac:dyDescent="0.25">
      <c r="A14283" s="18">
        <v>3094</v>
      </c>
      <c r="B14283" s="4" t="s">
        <v>44</v>
      </c>
      <c r="C14283" s="38" t="s">
        <v>9332</v>
      </c>
      <c r="D14283" s="18">
        <v>2023</v>
      </c>
      <c r="E14283" s="18" t="s">
        <v>0</v>
      </c>
      <c r="F14283" s="41">
        <v>1</v>
      </c>
      <c r="G14283" s="41">
        <v>150</v>
      </c>
      <c r="H14283" s="41">
        <v>60.006</v>
      </c>
      <c r="I14283" s="221"/>
      <c r="J14283" s="221"/>
    </row>
    <row r="14284" spans="1:10" s="15" customFormat="1" ht="24" hidden="1" customHeight="1" outlineLevel="1" x14ac:dyDescent="0.25">
      <c r="A14284" s="18">
        <v>1232</v>
      </c>
      <c r="B14284" s="4" t="s">
        <v>44</v>
      </c>
      <c r="C14284" s="38" t="s">
        <v>8124</v>
      </c>
      <c r="D14284" s="18">
        <v>2023</v>
      </c>
      <c r="E14284" s="18" t="s">
        <v>0</v>
      </c>
      <c r="F14284" s="41">
        <v>1</v>
      </c>
      <c r="G14284" s="41">
        <v>5</v>
      </c>
      <c r="H14284" s="41">
        <v>53.862029999999997</v>
      </c>
      <c r="I14284" s="221"/>
      <c r="J14284" s="221"/>
    </row>
    <row r="14285" spans="1:10" s="15" customFormat="1" ht="24" hidden="1" customHeight="1" outlineLevel="1" x14ac:dyDescent="0.25">
      <c r="A14285" s="18">
        <v>3521</v>
      </c>
      <c r="B14285" s="4" t="s">
        <v>44</v>
      </c>
      <c r="C14285" s="38" t="s">
        <v>8125</v>
      </c>
      <c r="D14285" s="18">
        <v>2023</v>
      </c>
      <c r="E14285" s="18" t="s">
        <v>0</v>
      </c>
      <c r="F14285" s="41">
        <v>1</v>
      </c>
      <c r="G14285" s="41">
        <v>15</v>
      </c>
      <c r="H14285" s="41">
        <v>51.348150000000004</v>
      </c>
      <c r="I14285" s="221"/>
      <c r="J14285" s="221"/>
    </row>
    <row r="14286" spans="1:10" s="15" customFormat="1" ht="24" hidden="1" customHeight="1" outlineLevel="1" x14ac:dyDescent="0.25">
      <c r="A14286" s="18">
        <v>6259</v>
      </c>
      <c r="B14286" s="4" t="s">
        <v>44</v>
      </c>
      <c r="C14286" s="38" t="s">
        <v>8126</v>
      </c>
      <c r="D14286" s="18">
        <v>2023</v>
      </c>
      <c r="E14286" s="18" t="s">
        <v>0</v>
      </c>
      <c r="F14286" s="41">
        <v>1</v>
      </c>
      <c r="G14286" s="41">
        <v>7.5</v>
      </c>
      <c r="H14286" s="41">
        <v>67.650619999999989</v>
      </c>
      <c r="I14286" s="221"/>
      <c r="J14286" s="221"/>
    </row>
    <row r="14287" spans="1:10" s="15" customFormat="1" ht="24" hidden="1" customHeight="1" outlineLevel="1" x14ac:dyDescent="0.25">
      <c r="A14287" s="18">
        <v>2848</v>
      </c>
      <c r="B14287" s="4" t="s">
        <v>44</v>
      </c>
      <c r="C14287" s="38" t="s">
        <v>8127</v>
      </c>
      <c r="D14287" s="18">
        <v>2023</v>
      </c>
      <c r="E14287" s="18" t="s">
        <v>0</v>
      </c>
      <c r="F14287" s="41">
        <v>1</v>
      </c>
      <c r="G14287" s="41">
        <v>15</v>
      </c>
      <c r="H14287" s="41">
        <v>45.759239999999998</v>
      </c>
      <c r="I14287" s="221"/>
      <c r="J14287" s="221"/>
    </row>
    <row r="14288" spans="1:10" s="15" customFormat="1" ht="24" hidden="1" customHeight="1" outlineLevel="1" x14ac:dyDescent="0.25">
      <c r="A14288" s="18">
        <v>6260</v>
      </c>
      <c r="B14288" s="4" t="s">
        <v>44</v>
      </c>
      <c r="C14288" s="38" t="s">
        <v>8128</v>
      </c>
      <c r="D14288" s="18">
        <v>2023</v>
      </c>
      <c r="E14288" s="18" t="s">
        <v>0</v>
      </c>
      <c r="F14288" s="41">
        <v>1</v>
      </c>
      <c r="G14288" s="41">
        <v>15</v>
      </c>
      <c r="H14288" s="41">
        <v>52.414950000000005</v>
      </c>
      <c r="I14288" s="221"/>
      <c r="J14288" s="221"/>
    </row>
    <row r="14289" spans="1:10" s="15" customFormat="1" ht="24" hidden="1" customHeight="1" outlineLevel="1" x14ac:dyDescent="0.25">
      <c r="A14289" s="18">
        <v>1017</v>
      </c>
      <c r="B14289" s="4" t="s">
        <v>44</v>
      </c>
      <c r="C14289" s="38" t="s">
        <v>8129</v>
      </c>
      <c r="D14289" s="18">
        <v>2023</v>
      </c>
      <c r="E14289" s="18" t="s">
        <v>0</v>
      </c>
      <c r="F14289" s="41">
        <v>1</v>
      </c>
      <c r="G14289" s="41">
        <v>15</v>
      </c>
      <c r="H14289" s="41">
        <v>84.212400000000002</v>
      </c>
      <c r="I14289" s="221"/>
      <c r="J14289" s="221"/>
    </row>
    <row r="14290" spans="1:10" s="15" customFormat="1" ht="24" hidden="1" customHeight="1" outlineLevel="1" x14ac:dyDescent="0.25">
      <c r="A14290" s="18">
        <v>1408</v>
      </c>
      <c r="B14290" s="4" t="s">
        <v>44</v>
      </c>
      <c r="C14290" s="38" t="s">
        <v>8133</v>
      </c>
      <c r="D14290" s="18">
        <v>2023</v>
      </c>
      <c r="E14290" s="18" t="s">
        <v>0</v>
      </c>
      <c r="F14290" s="41">
        <v>1</v>
      </c>
      <c r="G14290" s="41">
        <v>5</v>
      </c>
      <c r="H14290" s="41">
        <v>136.59046999999998</v>
      </c>
      <c r="I14290" s="221"/>
      <c r="J14290" s="221"/>
    </row>
    <row r="14291" spans="1:10" s="15" customFormat="1" ht="24" hidden="1" customHeight="1" outlineLevel="1" x14ac:dyDescent="0.25">
      <c r="A14291" s="18">
        <v>1725</v>
      </c>
      <c r="B14291" s="4" t="s">
        <v>44</v>
      </c>
      <c r="C14291" s="38" t="s">
        <v>8135</v>
      </c>
      <c r="D14291" s="18">
        <v>2023</v>
      </c>
      <c r="E14291" s="18" t="s">
        <v>0</v>
      </c>
      <c r="F14291" s="41">
        <v>1</v>
      </c>
      <c r="G14291" s="41">
        <v>15</v>
      </c>
      <c r="H14291" s="41">
        <v>120.41504</v>
      </c>
      <c r="I14291" s="221"/>
      <c r="J14291" s="221"/>
    </row>
    <row r="14292" spans="1:10" s="15" customFormat="1" ht="24" hidden="1" customHeight="1" outlineLevel="1" x14ac:dyDescent="0.25">
      <c r="A14292" s="18">
        <v>933</v>
      </c>
      <c r="B14292" s="4" t="s">
        <v>44</v>
      </c>
      <c r="C14292" s="38" t="s">
        <v>8136</v>
      </c>
      <c r="D14292" s="18">
        <v>2023</v>
      </c>
      <c r="E14292" s="18" t="s">
        <v>0</v>
      </c>
      <c r="F14292" s="41">
        <v>1</v>
      </c>
      <c r="G14292" s="41">
        <v>15</v>
      </c>
      <c r="H14292" s="41">
        <v>124.40213999999999</v>
      </c>
      <c r="I14292" s="221"/>
      <c r="J14292" s="221"/>
    </row>
    <row r="14293" spans="1:10" s="15" customFormat="1" ht="24" hidden="1" customHeight="1" outlineLevel="1" x14ac:dyDescent="0.25">
      <c r="A14293" s="18">
        <v>6468</v>
      </c>
      <c r="B14293" s="4" t="s">
        <v>44</v>
      </c>
      <c r="C14293" s="38" t="s">
        <v>8138</v>
      </c>
      <c r="D14293" s="18">
        <v>2023</v>
      </c>
      <c r="E14293" s="18" t="s">
        <v>0</v>
      </c>
      <c r="F14293" s="41">
        <v>1</v>
      </c>
      <c r="G14293" s="41">
        <v>10</v>
      </c>
      <c r="H14293" s="41">
        <v>89.705699999999993</v>
      </c>
      <c r="I14293" s="221"/>
      <c r="J14293" s="221"/>
    </row>
    <row r="14294" spans="1:10" s="15" customFormat="1" ht="24" hidden="1" customHeight="1" outlineLevel="1" x14ac:dyDescent="0.25">
      <c r="A14294" s="18">
        <v>671</v>
      </c>
      <c r="B14294" s="4" t="s">
        <v>44</v>
      </c>
      <c r="C14294" s="38" t="s">
        <v>8139</v>
      </c>
      <c r="D14294" s="18">
        <v>2023</v>
      </c>
      <c r="E14294" s="18" t="s">
        <v>0</v>
      </c>
      <c r="F14294" s="41">
        <v>1</v>
      </c>
      <c r="G14294" s="41">
        <v>15</v>
      </c>
      <c r="H14294" s="41">
        <v>64.233649999999997</v>
      </c>
      <c r="I14294" s="221"/>
      <c r="J14294" s="221"/>
    </row>
    <row r="14295" spans="1:10" s="15" customFormat="1" ht="24" hidden="1" customHeight="1" outlineLevel="1" x14ac:dyDescent="0.25">
      <c r="A14295" s="18">
        <v>1567</v>
      </c>
      <c r="B14295" s="4" t="s">
        <v>44</v>
      </c>
      <c r="C14295" s="38" t="s">
        <v>8140</v>
      </c>
      <c r="D14295" s="18">
        <v>2023</v>
      </c>
      <c r="E14295" s="18" t="s">
        <v>0</v>
      </c>
      <c r="F14295" s="41">
        <v>1</v>
      </c>
      <c r="G14295" s="41">
        <v>15</v>
      </c>
      <c r="H14295" s="41">
        <v>155.60642999999999</v>
      </c>
      <c r="I14295" s="221"/>
      <c r="J14295" s="221"/>
    </row>
    <row r="14296" spans="1:10" s="15" customFormat="1" ht="24" hidden="1" customHeight="1" outlineLevel="1" x14ac:dyDescent="0.25">
      <c r="A14296" s="18">
        <v>611</v>
      </c>
      <c r="B14296" s="4" t="s">
        <v>44</v>
      </c>
      <c r="C14296" s="38" t="s">
        <v>8142</v>
      </c>
      <c r="D14296" s="18">
        <v>2023</v>
      </c>
      <c r="E14296" s="18" t="s">
        <v>0</v>
      </c>
      <c r="F14296" s="41">
        <v>1</v>
      </c>
      <c r="G14296" s="41">
        <v>10</v>
      </c>
      <c r="H14296" s="41">
        <v>59.434849999999997</v>
      </c>
      <c r="I14296" s="221"/>
      <c r="J14296" s="221"/>
    </row>
    <row r="14297" spans="1:10" s="15" customFormat="1" ht="24" hidden="1" customHeight="1" outlineLevel="1" x14ac:dyDescent="0.25">
      <c r="A14297" s="18">
        <v>1375</v>
      </c>
      <c r="B14297" s="4" t="s">
        <v>44</v>
      </c>
      <c r="C14297" s="38" t="s">
        <v>8145</v>
      </c>
      <c r="D14297" s="18">
        <v>2023</v>
      </c>
      <c r="E14297" s="18" t="s">
        <v>0</v>
      </c>
      <c r="F14297" s="41">
        <v>1</v>
      </c>
      <c r="G14297" s="41">
        <v>8</v>
      </c>
      <c r="H14297" s="41">
        <v>112.11790000000001</v>
      </c>
      <c r="I14297" s="221"/>
      <c r="J14297" s="221"/>
    </row>
    <row r="14298" spans="1:10" s="15" customFormat="1" ht="24" hidden="1" customHeight="1" outlineLevel="1" x14ac:dyDescent="0.25">
      <c r="A14298" s="18">
        <v>2859</v>
      </c>
      <c r="B14298" s="4" t="s">
        <v>44</v>
      </c>
      <c r="C14298" s="38" t="s">
        <v>8146</v>
      </c>
      <c r="D14298" s="18">
        <v>2023</v>
      </c>
      <c r="E14298" s="18" t="s">
        <v>0</v>
      </c>
      <c r="F14298" s="41">
        <v>1</v>
      </c>
      <c r="G14298" s="41">
        <v>15</v>
      </c>
      <c r="H14298" s="41">
        <v>80.089999999999989</v>
      </c>
      <c r="I14298" s="221"/>
      <c r="J14298" s="221"/>
    </row>
    <row r="14299" spans="1:10" s="15" customFormat="1" ht="24" hidden="1" customHeight="1" outlineLevel="1" x14ac:dyDescent="0.25">
      <c r="A14299" s="18">
        <v>1235</v>
      </c>
      <c r="B14299" s="4" t="s">
        <v>44</v>
      </c>
      <c r="C14299" s="38" t="s">
        <v>8148</v>
      </c>
      <c r="D14299" s="18">
        <v>2023</v>
      </c>
      <c r="E14299" s="18" t="s">
        <v>0</v>
      </c>
      <c r="F14299" s="41">
        <v>1</v>
      </c>
      <c r="G14299" s="41">
        <v>15</v>
      </c>
      <c r="H14299" s="41">
        <v>95.073300000000003</v>
      </c>
      <c r="I14299" s="221"/>
      <c r="J14299" s="221"/>
    </row>
    <row r="14300" spans="1:10" s="15" customFormat="1" ht="24" hidden="1" customHeight="1" outlineLevel="1" x14ac:dyDescent="0.25">
      <c r="A14300" s="18">
        <v>3236</v>
      </c>
      <c r="B14300" s="4" t="s">
        <v>44</v>
      </c>
      <c r="C14300" s="38" t="s">
        <v>8149</v>
      </c>
      <c r="D14300" s="18">
        <v>2023</v>
      </c>
      <c r="E14300" s="18" t="s">
        <v>0</v>
      </c>
      <c r="F14300" s="41">
        <v>1</v>
      </c>
      <c r="G14300" s="41">
        <v>15</v>
      </c>
      <c r="H14300" s="41">
        <v>63.728200000000001</v>
      </c>
      <c r="I14300" s="221"/>
      <c r="J14300" s="221"/>
    </row>
    <row r="14301" spans="1:10" s="15" customFormat="1" ht="24" hidden="1" customHeight="1" outlineLevel="1" x14ac:dyDescent="0.25">
      <c r="A14301" s="18">
        <v>475</v>
      </c>
      <c r="B14301" s="4" t="s">
        <v>44</v>
      </c>
      <c r="C14301" s="38" t="s">
        <v>8150</v>
      </c>
      <c r="D14301" s="18">
        <v>2023</v>
      </c>
      <c r="E14301" s="18" t="s">
        <v>0</v>
      </c>
      <c r="F14301" s="41">
        <v>1</v>
      </c>
      <c r="G14301" s="41">
        <v>15</v>
      </c>
      <c r="H14301" s="41">
        <v>54.432569999999998</v>
      </c>
      <c r="I14301" s="221"/>
      <c r="J14301" s="221"/>
    </row>
    <row r="14302" spans="1:10" s="15" customFormat="1" ht="24" hidden="1" customHeight="1" outlineLevel="1" x14ac:dyDescent="0.25">
      <c r="A14302" s="18">
        <v>3366</v>
      </c>
      <c r="B14302" s="4" t="s">
        <v>44</v>
      </c>
      <c r="C14302" s="38" t="s">
        <v>9030</v>
      </c>
      <c r="D14302" s="18">
        <v>2023</v>
      </c>
      <c r="E14302" s="18" t="s">
        <v>0</v>
      </c>
      <c r="F14302" s="41">
        <v>1</v>
      </c>
      <c r="G14302" s="41">
        <v>150</v>
      </c>
      <c r="H14302" s="41">
        <v>44.879849999999998</v>
      </c>
      <c r="I14302" s="221"/>
      <c r="J14302" s="221"/>
    </row>
    <row r="14303" spans="1:10" s="15" customFormat="1" ht="24" hidden="1" customHeight="1" outlineLevel="1" x14ac:dyDescent="0.25">
      <c r="A14303" s="18">
        <v>1099</v>
      </c>
      <c r="B14303" s="4" t="s">
        <v>44</v>
      </c>
      <c r="C14303" s="38" t="s">
        <v>8151</v>
      </c>
      <c r="D14303" s="18">
        <v>2023</v>
      </c>
      <c r="E14303" s="18" t="s">
        <v>0</v>
      </c>
      <c r="F14303" s="41">
        <v>1</v>
      </c>
      <c r="G14303" s="41">
        <v>15</v>
      </c>
      <c r="H14303" s="41">
        <v>60.22974</v>
      </c>
      <c r="I14303" s="221"/>
      <c r="J14303" s="221"/>
    </row>
    <row r="14304" spans="1:10" s="15" customFormat="1" ht="24" hidden="1" customHeight="1" outlineLevel="1" x14ac:dyDescent="0.25">
      <c r="A14304" s="18">
        <v>729</v>
      </c>
      <c r="B14304" s="4" t="s">
        <v>44</v>
      </c>
      <c r="C14304" s="38" t="s">
        <v>8153</v>
      </c>
      <c r="D14304" s="18">
        <v>2023</v>
      </c>
      <c r="E14304" s="18" t="s">
        <v>0</v>
      </c>
      <c r="F14304" s="41">
        <v>1</v>
      </c>
      <c r="G14304" s="41">
        <v>15</v>
      </c>
      <c r="H14304" s="41">
        <v>65.207480000000004</v>
      </c>
      <c r="I14304" s="221"/>
      <c r="J14304" s="221"/>
    </row>
    <row r="14305" spans="1:10" s="15" customFormat="1" ht="24" hidden="1" customHeight="1" outlineLevel="1" x14ac:dyDescent="0.25">
      <c r="A14305" s="18">
        <v>1846</v>
      </c>
      <c r="B14305" s="4" t="s">
        <v>44</v>
      </c>
      <c r="C14305" s="38" t="s">
        <v>8154</v>
      </c>
      <c r="D14305" s="18">
        <v>2023</v>
      </c>
      <c r="E14305" s="18" t="s">
        <v>0</v>
      </c>
      <c r="F14305" s="41">
        <v>1</v>
      </c>
      <c r="G14305" s="41">
        <v>5</v>
      </c>
      <c r="H14305" s="41">
        <v>58.934899999999999</v>
      </c>
      <c r="I14305" s="221"/>
      <c r="J14305" s="221"/>
    </row>
    <row r="14306" spans="1:10" s="15" customFormat="1" ht="24" hidden="1" customHeight="1" outlineLevel="1" x14ac:dyDescent="0.25">
      <c r="A14306" s="18">
        <v>2880</v>
      </c>
      <c r="B14306" s="4" t="s">
        <v>44</v>
      </c>
      <c r="C14306" s="38" t="s">
        <v>8156</v>
      </c>
      <c r="D14306" s="18">
        <v>2023</v>
      </c>
      <c r="E14306" s="18" t="s">
        <v>0</v>
      </c>
      <c r="F14306" s="41">
        <v>1</v>
      </c>
      <c r="G14306" s="41">
        <v>15</v>
      </c>
      <c r="H14306" s="41">
        <v>67.885860000000008</v>
      </c>
      <c r="I14306" s="221"/>
      <c r="J14306" s="221"/>
    </row>
    <row r="14307" spans="1:10" s="15" customFormat="1" ht="24" hidden="1" customHeight="1" outlineLevel="1" x14ac:dyDescent="0.25">
      <c r="A14307" s="18">
        <v>1578</v>
      </c>
      <c r="B14307" s="4" t="s">
        <v>44</v>
      </c>
      <c r="C14307" s="38" t="s">
        <v>8158</v>
      </c>
      <c r="D14307" s="18">
        <v>2023</v>
      </c>
      <c r="E14307" s="18" t="s">
        <v>0</v>
      </c>
      <c r="F14307" s="41">
        <v>1</v>
      </c>
      <c r="G14307" s="41">
        <v>15</v>
      </c>
      <c r="H14307" s="41">
        <v>85.181300000000007</v>
      </c>
      <c r="I14307" s="221"/>
      <c r="J14307" s="221"/>
    </row>
    <row r="14308" spans="1:10" s="15" customFormat="1" ht="24" hidden="1" customHeight="1" outlineLevel="1" x14ac:dyDescent="0.25">
      <c r="A14308" s="18">
        <v>595</v>
      </c>
      <c r="B14308" s="4" t="s">
        <v>44</v>
      </c>
      <c r="C14308" s="38" t="s">
        <v>8159</v>
      </c>
      <c r="D14308" s="18">
        <v>2023</v>
      </c>
      <c r="E14308" s="18" t="s">
        <v>0</v>
      </c>
      <c r="F14308" s="41">
        <v>1</v>
      </c>
      <c r="G14308" s="41">
        <v>10</v>
      </c>
      <c r="H14308" s="41">
        <v>70.729900000000001</v>
      </c>
      <c r="I14308" s="221"/>
      <c r="J14308" s="221"/>
    </row>
    <row r="14309" spans="1:10" s="15" customFormat="1" ht="24" hidden="1" customHeight="1" outlineLevel="1" x14ac:dyDescent="0.25">
      <c r="A14309" s="18">
        <v>1322</v>
      </c>
      <c r="B14309" s="4" t="s">
        <v>44</v>
      </c>
      <c r="C14309" s="38" t="s">
        <v>8160</v>
      </c>
      <c r="D14309" s="18">
        <v>2023</v>
      </c>
      <c r="E14309" s="18" t="s">
        <v>0</v>
      </c>
      <c r="F14309" s="41">
        <v>1</v>
      </c>
      <c r="G14309" s="41">
        <v>15</v>
      </c>
      <c r="H14309" s="41">
        <v>124.8603</v>
      </c>
      <c r="I14309" s="221"/>
      <c r="J14309" s="221"/>
    </row>
    <row r="14310" spans="1:10" s="15" customFormat="1" ht="24" hidden="1" customHeight="1" outlineLevel="1" x14ac:dyDescent="0.25">
      <c r="A14310" s="18">
        <v>1094</v>
      </c>
      <c r="B14310" s="4" t="s">
        <v>44</v>
      </c>
      <c r="C14310" s="38" t="s">
        <v>8161</v>
      </c>
      <c r="D14310" s="18">
        <v>2023</v>
      </c>
      <c r="E14310" s="18" t="s">
        <v>0</v>
      </c>
      <c r="F14310" s="41">
        <v>1</v>
      </c>
      <c r="G14310" s="41">
        <v>15</v>
      </c>
      <c r="H14310" s="41">
        <v>62.22</v>
      </c>
      <c r="I14310" s="221"/>
      <c r="J14310" s="221"/>
    </row>
    <row r="14311" spans="1:10" s="15" customFormat="1" ht="24" hidden="1" customHeight="1" outlineLevel="1" x14ac:dyDescent="0.25">
      <c r="A14311" s="18">
        <v>3270</v>
      </c>
      <c r="B14311" s="4" t="s">
        <v>44</v>
      </c>
      <c r="C14311" s="38" t="s">
        <v>8162</v>
      </c>
      <c r="D14311" s="18">
        <v>2023</v>
      </c>
      <c r="E14311" s="18" t="s">
        <v>0</v>
      </c>
      <c r="F14311" s="41">
        <v>1</v>
      </c>
      <c r="G14311" s="41">
        <v>15</v>
      </c>
      <c r="H14311" s="41">
        <v>90.976459999999989</v>
      </c>
      <c r="I14311" s="221"/>
      <c r="J14311" s="221"/>
    </row>
    <row r="14312" spans="1:10" s="15" customFormat="1" ht="24" hidden="1" customHeight="1" outlineLevel="1" x14ac:dyDescent="0.25">
      <c r="A14312" s="18">
        <v>1445</v>
      </c>
      <c r="B14312" s="4" t="s">
        <v>44</v>
      </c>
      <c r="C14312" s="38" t="s">
        <v>8164</v>
      </c>
      <c r="D14312" s="18">
        <v>2023</v>
      </c>
      <c r="E14312" s="18" t="s">
        <v>0</v>
      </c>
      <c r="F14312" s="41">
        <v>1</v>
      </c>
      <c r="G14312" s="41">
        <v>10</v>
      </c>
      <c r="H14312" s="41">
        <v>51.253999999999998</v>
      </c>
      <c r="I14312" s="221"/>
      <c r="J14312" s="221"/>
    </row>
    <row r="14313" spans="1:10" s="15" customFormat="1" ht="24" hidden="1" customHeight="1" outlineLevel="1" x14ac:dyDescent="0.25">
      <c r="A14313" s="18">
        <v>3139</v>
      </c>
      <c r="B14313" s="4" t="s">
        <v>44</v>
      </c>
      <c r="C14313" s="38" t="s">
        <v>8165</v>
      </c>
      <c r="D14313" s="18">
        <v>2023</v>
      </c>
      <c r="E14313" s="18" t="s">
        <v>0</v>
      </c>
      <c r="F14313" s="41">
        <v>1</v>
      </c>
      <c r="G14313" s="41">
        <v>44</v>
      </c>
      <c r="H14313" s="41">
        <v>73.927679999999995</v>
      </c>
      <c r="I14313" s="221"/>
      <c r="J14313" s="221"/>
    </row>
    <row r="14314" spans="1:10" s="15" customFormat="1" ht="24" hidden="1" customHeight="1" outlineLevel="1" x14ac:dyDescent="0.25">
      <c r="A14314" s="18">
        <v>6535</v>
      </c>
      <c r="B14314" s="4" t="s">
        <v>44</v>
      </c>
      <c r="C14314" s="38" t="s">
        <v>8166</v>
      </c>
      <c r="D14314" s="18">
        <v>2023</v>
      </c>
      <c r="E14314" s="18" t="s">
        <v>0</v>
      </c>
      <c r="F14314" s="41">
        <v>1</v>
      </c>
      <c r="G14314" s="41">
        <v>15</v>
      </c>
      <c r="H14314" s="41">
        <v>67.263000000000005</v>
      </c>
      <c r="I14314" s="221"/>
      <c r="J14314" s="221"/>
    </row>
    <row r="14315" spans="1:10" s="15" customFormat="1" ht="24" hidden="1" customHeight="1" outlineLevel="1" x14ac:dyDescent="0.25">
      <c r="A14315" s="18">
        <v>2857</v>
      </c>
      <c r="B14315" s="4" t="s">
        <v>44</v>
      </c>
      <c r="C14315" s="38" t="s">
        <v>8167</v>
      </c>
      <c r="D14315" s="18">
        <v>2023</v>
      </c>
      <c r="E14315" s="18" t="s">
        <v>0</v>
      </c>
      <c r="F14315" s="41">
        <v>1</v>
      </c>
      <c r="G14315" s="41">
        <v>15</v>
      </c>
      <c r="H14315" s="41">
        <v>67.27297999999999</v>
      </c>
      <c r="I14315" s="221"/>
      <c r="J14315" s="221"/>
    </row>
    <row r="14316" spans="1:10" s="15" customFormat="1" ht="24" hidden="1" customHeight="1" outlineLevel="1" x14ac:dyDescent="0.25">
      <c r="A14316" s="18">
        <v>2252</v>
      </c>
      <c r="B14316" s="4" t="s">
        <v>44</v>
      </c>
      <c r="C14316" s="38" t="s">
        <v>8169</v>
      </c>
      <c r="D14316" s="18">
        <v>2023</v>
      </c>
      <c r="E14316" s="18" t="s">
        <v>0</v>
      </c>
      <c r="F14316" s="41">
        <v>1</v>
      </c>
      <c r="G14316" s="41">
        <v>5</v>
      </c>
      <c r="H14316" s="41">
        <v>142.5018</v>
      </c>
      <c r="I14316" s="221"/>
      <c r="J14316" s="221"/>
    </row>
    <row r="14317" spans="1:10" s="15" customFormat="1" ht="24" hidden="1" customHeight="1" outlineLevel="1" x14ac:dyDescent="0.25">
      <c r="A14317" s="18">
        <v>1946</v>
      </c>
      <c r="B14317" s="4" t="s">
        <v>44</v>
      </c>
      <c r="C14317" s="38" t="s">
        <v>8170</v>
      </c>
      <c r="D14317" s="18">
        <v>2023</v>
      </c>
      <c r="E14317" s="18" t="s">
        <v>0</v>
      </c>
      <c r="F14317" s="41">
        <v>1</v>
      </c>
      <c r="G14317" s="41">
        <v>5</v>
      </c>
      <c r="H14317" s="41">
        <v>105.10796999999999</v>
      </c>
      <c r="I14317" s="221"/>
      <c r="J14317" s="221"/>
    </row>
    <row r="14318" spans="1:10" s="15" customFormat="1" ht="24" hidden="1" customHeight="1" outlineLevel="1" x14ac:dyDescent="0.25">
      <c r="A14318" s="18">
        <v>2063</v>
      </c>
      <c r="B14318" s="4" t="s">
        <v>44</v>
      </c>
      <c r="C14318" s="38" t="s">
        <v>8172</v>
      </c>
      <c r="D14318" s="18">
        <v>2023</v>
      </c>
      <c r="E14318" s="18" t="s">
        <v>0</v>
      </c>
      <c r="F14318" s="41">
        <v>1</v>
      </c>
      <c r="G14318" s="41">
        <v>15</v>
      </c>
      <c r="H14318" s="41">
        <v>95.799690000000012</v>
      </c>
      <c r="I14318" s="221"/>
      <c r="J14318" s="221"/>
    </row>
    <row r="14319" spans="1:10" s="15" customFormat="1" ht="24" hidden="1" customHeight="1" outlineLevel="1" x14ac:dyDescent="0.25">
      <c r="A14319" s="18">
        <v>2154</v>
      </c>
      <c r="B14319" s="4" t="s">
        <v>44</v>
      </c>
      <c r="C14319" s="38" t="s">
        <v>8173</v>
      </c>
      <c r="D14319" s="18">
        <v>2023</v>
      </c>
      <c r="E14319" s="18" t="s">
        <v>0</v>
      </c>
      <c r="F14319" s="41">
        <v>1</v>
      </c>
      <c r="G14319" s="41">
        <v>15</v>
      </c>
      <c r="H14319" s="41">
        <v>114.33964</v>
      </c>
      <c r="I14319" s="221"/>
      <c r="J14319" s="221"/>
    </row>
    <row r="14320" spans="1:10" s="15" customFormat="1" ht="24" hidden="1" customHeight="1" outlineLevel="1" x14ac:dyDescent="0.25">
      <c r="A14320" s="18">
        <v>1626</v>
      </c>
      <c r="B14320" s="4" t="s">
        <v>44</v>
      </c>
      <c r="C14320" s="38" t="s">
        <v>8174</v>
      </c>
      <c r="D14320" s="18">
        <v>2023</v>
      </c>
      <c r="E14320" s="18" t="s">
        <v>0</v>
      </c>
      <c r="F14320" s="41">
        <v>1</v>
      </c>
      <c r="G14320" s="41">
        <v>15</v>
      </c>
      <c r="H14320" s="41">
        <v>65.167720000000003</v>
      </c>
      <c r="I14320" s="221"/>
      <c r="J14320" s="221"/>
    </row>
    <row r="14321" spans="1:10" s="15" customFormat="1" ht="24" hidden="1" customHeight="1" outlineLevel="1" x14ac:dyDescent="0.25">
      <c r="A14321" s="18">
        <v>1857</v>
      </c>
      <c r="B14321" s="4" t="s">
        <v>44</v>
      </c>
      <c r="C14321" s="38" t="s">
        <v>8175</v>
      </c>
      <c r="D14321" s="18">
        <v>2023</v>
      </c>
      <c r="E14321" s="18" t="s">
        <v>0</v>
      </c>
      <c r="F14321" s="41">
        <v>1</v>
      </c>
      <c r="G14321" s="41">
        <v>5</v>
      </c>
      <c r="H14321" s="41">
        <v>66.608609999999999</v>
      </c>
      <c r="I14321" s="221"/>
      <c r="J14321" s="221"/>
    </row>
    <row r="14322" spans="1:10" s="15" customFormat="1" ht="24" hidden="1" customHeight="1" outlineLevel="1" x14ac:dyDescent="0.25">
      <c r="A14322" s="18">
        <v>3136</v>
      </c>
      <c r="B14322" s="4" t="s">
        <v>44</v>
      </c>
      <c r="C14322" s="38" t="s">
        <v>8176</v>
      </c>
      <c r="D14322" s="18">
        <v>2023</v>
      </c>
      <c r="E14322" s="18" t="s">
        <v>0</v>
      </c>
      <c r="F14322" s="41">
        <v>1</v>
      </c>
      <c r="G14322" s="41">
        <v>20</v>
      </c>
      <c r="H14322" s="41">
        <v>61.258000000000003</v>
      </c>
      <c r="I14322" s="221"/>
      <c r="J14322" s="221"/>
    </row>
    <row r="14323" spans="1:10" s="15" customFormat="1" ht="24" hidden="1" customHeight="1" outlineLevel="1" x14ac:dyDescent="0.25">
      <c r="A14323" s="18">
        <v>3301</v>
      </c>
      <c r="B14323" s="4" t="s">
        <v>44</v>
      </c>
      <c r="C14323" s="38" t="s">
        <v>8177</v>
      </c>
      <c r="D14323" s="18">
        <v>2023</v>
      </c>
      <c r="E14323" s="18" t="s">
        <v>0</v>
      </c>
      <c r="F14323" s="41">
        <v>1</v>
      </c>
      <c r="G14323" s="41">
        <v>15</v>
      </c>
      <c r="H14323" s="41">
        <v>67.506</v>
      </c>
      <c r="I14323" s="221"/>
      <c r="J14323" s="221"/>
    </row>
    <row r="14324" spans="1:10" s="15" customFormat="1" ht="24" hidden="1" customHeight="1" outlineLevel="1" x14ac:dyDescent="0.25">
      <c r="A14324" s="18">
        <v>2065</v>
      </c>
      <c r="B14324" s="4" t="s">
        <v>44</v>
      </c>
      <c r="C14324" s="38" t="s">
        <v>8178</v>
      </c>
      <c r="D14324" s="18">
        <v>2023</v>
      </c>
      <c r="E14324" s="18" t="s">
        <v>0</v>
      </c>
      <c r="F14324" s="41">
        <v>1</v>
      </c>
      <c r="G14324" s="41">
        <v>10</v>
      </c>
      <c r="H14324" s="41">
        <v>69.756</v>
      </c>
      <c r="I14324" s="221"/>
      <c r="J14324" s="221"/>
    </row>
    <row r="14325" spans="1:10" s="15" customFormat="1" ht="24" hidden="1" customHeight="1" outlineLevel="1" x14ac:dyDescent="0.25">
      <c r="A14325" s="18">
        <v>1957</v>
      </c>
      <c r="B14325" s="4" t="s">
        <v>44</v>
      </c>
      <c r="C14325" s="38" t="s">
        <v>8179</v>
      </c>
      <c r="D14325" s="18">
        <v>2023</v>
      </c>
      <c r="E14325" s="18" t="s">
        <v>0</v>
      </c>
      <c r="F14325" s="41">
        <v>1</v>
      </c>
      <c r="G14325" s="41">
        <v>1</v>
      </c>
      <c r="H14325" s="41">
        <v>68.570000000000007</v>
      </c>
      <c r="I14325" s="221"/>
      <c r="J14325" s="221"/>
    </row>
    <row r="14326" spans="1:10" s="15" customFormat="1" ht="24" hidden="1" customHeight="1" outlineLevel="1" x14ac:dyDescent="0.25">
      <c r="A14326" s="18">
        <v>685</v>
      </c>
      <c r="B14326" s="4" t="s">
        <v>44</v>
      </c>
      <c r="C14326" s="38" t="s">
        <v>8180</v>
      </c>
      <c r="D14326" s="18">
        <v>2023</v>
      </c>
      <c r="E14326" s="18" t="s">
        <v>0</v>
      </c>
      <c r="F14326" s="41">
        <v>1</v>
      </c>
      <c r="G14326" s="41">
        <v>15</v>
      </c>
      <c r="H14326" s="41">
        <v>18.082000000000001</v>
      </c>
      <c r="I14326" s="221"/>
      <c r="J14326" s="221"/>
    </row>
    <row r="14327" spans="1:10" s="15" customFormat="1" ht="24" hidden="1" customHeight="1" outlineLevel="1" x14ac:dyDescent="0.25">
      <c r="A14327" s="18">
        <v>634</v>
      </c>
      <c r="B14327" s="4" t="s">
        <v>44</v>
      </c>
      <c r="C14327" s="38" t="s">
        <v>8182</v>
      </c>
      <c r="D14327" s="18">
        <v>2023</v>
      </c>
      <c r="E14327" s="18" t="s">
        <v>0</v>
      </c>
      <c r="F14327" s="41">
        <v>1</v>
      </c>
      <c r="G14327" s="41">
        <v>15</v>
      </c>
      <c r="H14327" s="41">
        <v>52.024900000000002</v>
      </c>
      <c r="I14327" s="221"/>
      <c r="J14327" s="221"/>
    </row>
    <row r="14328" spans="1:10" s="15" customFormat="1" ht="24" hidden="1" customHeight="1" outlineLevel="1" x14ac:dyDescent="0.25">
      <c r="A14328" s="18">
        <v>650</v>
      </c>
      <c r="B14328" s="4" t="s">
        <v>44</v>
      </c>
      <c r="C14328" s="38" t="s">
        <v>8183</v>
      </c>
      <c r="D14328" s="18">
        <v>2023</v>
      </c>
      <c r="E14328" s="18" t="s">
        <v>0</v>
      </c>
      <c r="F14328" s="41">
        <v>3</v>
      </c>
      <c r="G14328" s="41">
        <v>30</v>
      </c>
      <c r="H14328" s="41">
        <v>200.512</v>
      </c>
      <c r="I14328" s="221"/>
      <c r="J14328" s="221"/>
    </row>
    <row r="14329" spans="1:10" s="15" customFormat="1" ht="24" hidden="1" customHeight="1" outlineLevel="1" x14ac:dyDescent="0.25">
      <c r="A14329" s="18">
        <v>652</v>
      </c>
      <c r="B14329" s="4" t="s">
        <v>44</v>
      </c>
      <c r="C14329" s="38" t="s">
        <v>8184</v>
      </c>
      <c r="D14329" s="18">
        <v>2023</v>
      </c>
      <c r="E14329" s="18" t="s">
        <v>0</v>
      </c>
      <c r="F14329" s="41">
        <v>1</v>
      </c>
      <c r="G14329" s="41">
        <v>10</v>
      </c>
      <c r="H14329" s="41">
        <v>53.455999999999996</v>
      </c>
      <c r="I14329" s="221"/>
      <c r="J14329" s="221"/>
    </row>
    <row r="14330" spans="1:10" s="15" customFormat="1" ht="24" hidden="1" customHeight="1" outlineLevel="1" x14ac:dyDescent="0.25">
      <c r="A14330" s="18">
        <v>661</v>
      </c>
      <c r="B14330" s="4" t="s">
        <v>44</v>
      </c>
      <c r="C14330" s="38" t="s">
        <v>8185</v>
      </c>
      <c r="D14330" s="18">
        <v>2023</v>
      </c>
      <c r="E14330" s="18" t="s">
        <v>0</v>
      </c>
      <c r="F14330" s="41">
        <v>1</v>
      </c>
      <c r="G14330" s="41">
        <v>10</v>
      </c>
      <c r="H14330" s="41">
        <v>57.271000000000001</v>
      </c>
      <c r="I14330" s="221"/>
      <c r="J14330" s="221"/>
    </row>
    <row r="14331" spans="1:10" s="15" customFormat="1" ht="24" hidden="1" customHeight="1" outlineLevel="1" x14ac:dyDescent="0.25">
      <c r="A14331" s="18">
        <v>915</v>
      </c>
      <c r="B14331" s="4" t="s">
        <v>44</v>
      </c>
      <c r="C14331" s="38" t="s">
        <v>8186</v>
      </c>
      <c r="D14331" s="18">
        <v>2023</v>
      </c>
      <c r="E14331" s="18" t="s">
        <v>0</v>
      </c>
      <c r="F14331" s="41">
        <v>1</v>
      </c>
      <c r="G14331" s="41">
        <v>15</v>
      </c>
      <c r="H14331" s="41">
        <v>46.140999999999998</v>
      </c>
      <c r="I14331" s="221"/>
      <c r="J14331" s="221"/>
    </row>
    <row r="14332" spans="1:10" s="15" customFormat="1" ht="24" hidden="1" customHeight="1" outlineLevel="1" x14ac:dyDescent="0.25">
      <c r="A14332" s="18">
        <v>2861</v>
      </c>
      <c r="B14332" s="4" t="s">
        <v>44</v>
      </c>
      <c r="C14332" s="38" t="s">
        <v>8189</v>
      </c>
      <c r="D14332" s="18">
        <v>2023</v>
      </c>
      <c r="E14332" s="18" t="s">
        <v>0</v>
      </c>
      <c r="F14332" s="41">
        <v>1</v>
      </c>
      <c r="G14332" s="41">
        <v>15</v>
      </c>
      <c r="H14332" s="41">
        <v>59.877000000000002</v>
      </c>
      <c r="I14332" s="221"/>
      <c r="J14332" s="221"/>
    </row>
    <row r="14333" spans="1:10" s="15" customFormat="1" ht="24" hidden="1" customHeight="1" outlineLevel="1" x14ac:dyDescent="0.25">
      <c r="A14333" s="18">
        <v>2177</v>
      </c>
      <c r="B14333" s="4" t="s">
        <v>44</v>
      </c>
      <c r="C14333" s="38" t="s">
        <v>8190</v>
      </c>
      <c r="D14333" s="18">
        <v>2023</v>
      </c>
      <c r="E14333" s="18" t="s">
        <v>0</v>
      </c>
      <c r="F14333" s="41">
        <v>1</v>
      </c>
      <c r="G14333" s="41">
        <v>10</v>
      </c>
      <c r="H14333" s="41">
        <v>55.311</v>
      </c>
      <c r="I14333" s="221"/>
      <c r="J14333" s="221"/>
    </row>
    <row r="14334" spans="1:10" s="15" customFormat="1" ht="24" hidden="1" customHeight="1" outlineLevel="1" x14ac:dyDescent="0.25">
      <c r="A14334" s="18">
        <v>2868</v>
      </c>
      <c r="B14334" s="4" t="s">
        <v>44</v>
      </c>
      <c r="C14334" s="38" t="s">
        <v>8191</v>
      </c>
      <c r="D14334" s="18">
        <v>2023</v>
      </c>
      <c r="E14334" s="18" t="s">
        <v>0</v>
      </c>
      <c r="F14334" s="41">
        <v>1</v>
      </c>
      <c r="G14334" s="41">
        <v>15</v>
      </c>
      <c r="H14334" s="41">
        <v>52.227000000000004</v>
      </c>
      <c r="I14334" s="221"/>
      <c r="J14334" s="221"/>
    </row>
    <row r="14335" spans="1:10" s="15" customFormat="1" ht="24" hidden="1" customHeight="1" outlineLevel="1" x14ac:dyDescent="0.25">
      <c r="A14335" s="18">
        <v>2295</v>
      </c>
      <c r="B14335" s="4" t="s">
        <v>44</v>
      </c>
      <c r="C14335" s="38" t="s">
        <v>8192</v>
      </c>
      <c r="D14335" s="18">
        <v>2023</v>
      </c>
      <c r="E14335" s="18" t="s">
        <v>0</v>
      </c>
      <c r="F14335" s="41">
        <v>1</v>
      </c>
      <c r="G14335" s="41">
        <v>15</v>
      </c>
      <c r="H14335" s="41">
        <v>74.481000000000009</v>
      </c>
      <c r="I14335" s="221"/>
      <c r="J14335" s="221"/>
    </row>
    <row r="14336" spans="1:10" s="15" customFormat="1" ht="24" hidden="1" customHeight="1" outlineLevel="1" x14ac:dyDescent="0.25">
      <c r="A14336" s="18">
        <v>6533</v>
      </c>
      <c r="B14336" s="4" t="s">
        <v>44</v>
      </c>
      <c r="C14336" s="38" t="s">
        <v>8193</v>
      </c>
      <c r="D14336" s="18">
        <v>2023</v>
      </c>
      <c r="E14336" s="18" t="s">
        <v>0</v>
      </c>
      <c r="F14336" s="41">
        <v>1</v>
      </c>
      <c r="G14336" s="41">
        <v>7.5</v>
      </c>
      <c r="H14336" s="41">
        <v>83.39</v>
      </c>
      <c r="I14336" s="221"/>
      <c r="J14336" s="221"/>
    </row>
    <row r="14337" spans="1:10" s="15" customFormat="1" ht="24" hidden="1" customHeight="1" outlineLevel="1" x14ac:dyDescent="0.25">
      <c r="A14337" s="18">
        <v>1654</v>
      </c>
      <c r="B14337" s="4" t="s">
        <v>44</v>
      </c>
      <c r="C14337" s="38" t="s">
        <v>8194</v>
      </c>
      <c r="D14337" s="18">
        <v>2023</v>
      </c>
      <c r="E14337" s="18" t="s">
        <v>0</v>
      </c>
      <c r="F14337" s="41">
        <v>1</v>
      </c>
      <c r="G14337" s="41">
        <v>15</v>
      </c>
      <c r="H14337" s="41">
        <v>61.864000000000004</v>
      </c>
      <c r="I14337" s="221"/>
      <c r="J14337" s="221"/>
    </row>
    <row r="14338" spans="1:10" s="15" customFormat="1" ht="24" hidden="1" customHeight="1" outlineLevel="1" x14ac:dyDescent="0.25">
      <c r="A14338" s="18">
        <v>644</v>
      </c>
      <c r="B14338" s="4" t="s">
        <v>44</v>
      </c>
      <c r="C14338" s="38" t="s">
        <v>8200</v>
      </c>
      <c r="D14338" s="18">
        <v>2023</v>
      </c>
      <c r="E14338" s="18" t="s">
        <v>0</v>
      </c>
      <c r="F14338" s="41">
        <v>1</v>
      </c>
      <c r="G14338" s="41">
        <v>15</v>
      </c>
      <c r="H14338" s="41">
        <v>56.707000000000001</v>
      </c>
      <c r="I14338" s="221"/>
      <c r="J14338" s="221"/>
    </row>
    <row r="14339" spans="1:10" s="15" customFormat="1" ht="24" hidden="1" customHeight="1" outlineLevel="1" x14ac:dyDescent="0.25">
      <c r="A14339" s="18">
        <v>678</v>
      </c>
      <c r="B14339" s="4" t="s">
        <v>44</v>
      </c>
      <c r="C14339" s="38" t="s">
        <v>8201</v>
      </c>
      <c r="D14339" s="18">
        <v>2023</v>
      </c>
      <c r="E14339" s="18" t="s">
        <v>0</v>
      </c>
      <c r="F14339" s="41">
        <v>1</v>
      </c>
      <c r="G14339" s="41">
        <v>14</v>
      </c>
      <c r="H14339" s="41">
        <v>82.357500000000002</v>
      </c>
      <c r="I14339" s="221"/>
      <c r="J14339" s="221"/>
    </row>
    <row r="14340" spans="1:10" s="15" customFormat="1" ht="24" hidden="1" customHeight="1" outlineLevel="1" x14ac:dyDescent="0.25">
      <c r="A14340" s="18">
        <v>633</v>
      </c>
      <c r="B14340" s="4" t="s">
        <v>44</v>
      </c>
      <c r="C14340" s="38" t="s">
        <v>8202</v>
      </c>
      <c r="D14340" s="18">
        <v>2023</v>
      </c>
      <c r="E14340" s="18" t="s">
        <v>0</v>
      </c>
      <c r="F14340" s="41">
        <v>1</v>
      </c>
      <c r="G14340" s="41">
        <v>10</v>
      </c>
      <c r="H14340" s="41">
        <v>73.191699999999997</v>
      </c>
      <c r="I14340" s="221"/>
      <c r="J14340" s="221"/>
    </row>
    <row r="14341" spans="1:10" s="15" customFormat="1" ht="24" hidden="1" customHeight="1" outlineLevel="1" x14ac:dyDescent="0.25">
      <c r="A14341" s="18">
        <v>1070</v>
      </c>
      <c r="B14341" s="4" t="s">
        <v>44</v>
      </c>
      <c r="C14341" s="38" t="s">
        <v>8203</v>
      </c>
      <c r="D14341" s="18">
        <v>2023</v>
      </c>
      <c r="E14341" s="18" t="s">
        <v>0</v>
      </c>
      <c r="F14341" s="41">
        <v>1</v>
      </c>
      <c r="G14341" s="41">
        <v>15</v>
      </c>
      <c r="H14341" s="41">
        <v>60.753</v>
      </c>
      <c r="I14341" s="221"/>
      <c r="J14341" s="221"/>
    </row>
    <row r="14342" spans="1:10" s="15" customFormat="1" ht="24" hidden="1" customHeight="1" outlineLevel="1" x14ac:dyDescent="0.25">
      <c r="A14342" s="18">
        <v>6534</v>
      </c>
      <c r="B14342" s="4" t="s">
        <v>44</v>
      </c>
      <c r="C14342" s="38" t="s">
        <v>8204</v>
      </c>
      <c r="D14342" s="18">
        <v>2023</v>
      </c>
      <c r="E14342" s="18" t="s">
        <v>0</v>
      </c>
      <c r="F14342" s="41">
        <v>1</v>
      </c>
      <c r="G14342" s="41">
        <v>45</v>
      </c>
      <c r="H14342" s="41">
        <v>75.478999999999999</v>
      </c>
      <c r="I14342" s="221"/>
      <c r="J14342" s="221"/>
    </row>
    <row r="14343" spans="1:10" s="15" customFormat="1" ht="24" hidden="1" customHeight="1" outlineLevel="1" x14ac:dyDescent="0.25">
      <c r="A14343" s="18">
        <v>2877</v>
      </c>
      <c r="B14343" s="4" t="s">
        <v>44</v>
      </c>
      <c r="C14343" s="38" t="s">
        <v>8205</v>
      </c>
      <c r="D14343" s="18">
        <v>2023</v>
      </c>
      <c r="E14343" s="18" t="s">
        <v>0</v>
      </c>
      <c r="F14343" s="41">
        <v>1</v>
      </c>
      <c r="G14343" s="41">
        <v>15</v>
      </c>
      <c r="H14343" s="41">
        <v>64.259600000000006</v>
      </c>
      <c r="I14343" s="221"/>
      <c r="J14343" s="221"/>
    </row>
    <row r="14344" spans="1:10" s="15" customFormat="1" ht="24" hidden="1" customHeight="1" outlineLevel="1" x14ac:dyDescent="0.25">
      <c r="A14344" s="18">
        <v>2383</v>
      </c>
      <c r="B14344" s="4" t="s">
        <v>44</v>
      </c>
      <c r="C14344" s="38" t="s">
        <v>8206</v>
      </c>
      <c r="D14344" s="18">
        <v>2023</v>
      </c>
      <c r="E14344" s="18" t="s">
        <v>0</v>
      </c>
      <c r="F14344" s="41">
        <v>1</v>
      </c>
      <c r="G14344" s="41">
        <v>10</v>
      </c>
      <c r="H14344" s="41">
        <v>60.358499999999999</v>
      </c>
      <c r="I14344" s="221"/>
      <c r="J14344" s="221"/>
    </row>
    <row r="14345" spans="1:10" s="15" customFormat="1" ht="24" hidden="1" customHeight="1" outlineLevel="1" x14ac:dyDescent="0.25">
      <c r="A14345" s="18">
        <v>1233</v>
      </c>
      <c r="B14345" s="4" t="s">
        <v>44</v>
      </c>
      <c r="C14345" s="38" t="s">
        <v>8213</v>
      </c>
      <c r="D14345" s="18">
        <v>2023</v>
      </c>
      <c r="E14345" s="18" t="s">
        <v>0</v>
      </c>
      <c r="F14345" s="41">
        <v>1</v>
      </c>
      <c r="G14345" s="41">
        <v>15</v>
      </c>
      <c r="H14345" s="41">
        <v>83.859000000000009</v>
      </c>
      <c r="I14345" s="221"/>
      <c r="J14345" s="221"/>
    </row>
    <row r="14346" spans="1:10" s="15" customFormat="1" ht="24" hidden="1" customHeight="1" outlineLevel="1" x14ac:dyDescent="0.25">
      <c r="A14346" s="18">
        <v>6692</v>
      </c>
      <c r="B14346" s="4" t="s">
        <v>44</v>
      </c>
      <c r="C14346" s="38" t="s">
        <v>8214</v>
      </c>
      <c r="D14346" s="18">
        <v>2023</v>
      </c>
      <c r="E14346" s="18" t="s">
        <v>0</v>
      </c>
      <c r="F14346" s="41">
        <v>1</v>
      </c>
      <c r="G14346" s="41">
        <v>15</v>
      </c>
      <c r="H14346" s="41">
        <v>43.475999999999999</v>
      </c>
      <c r="I14346" s="221"/>
      <c r="J14346" s="221"/>
    </row>
    <row r="14347" spans="1:10" s="15" customFormat="1" ht="24" hidden="1" customHeight="1" outlineLevel="1" x14ac:dyDescent="0.25">
      <c r="A14347" s="18">
        <v>3330</v>
      </c>
      <c r="B14347" s="4" t="s">
        <v>44</v>
      </c>
      <c r="C14347" s="38" t="s">
        <v>8216</v>
      </c>
      <c r="D14347" s="18">
        <v>2023</v>
      </c>
      <c r="E14347" s="18" t="s">
        <v>0</v>
      </c>
      <c r="F14347" s="41">
        <v>1</v>
      </c>
      <c r="G14347" s="41">
        <v>3</v>
      </c>
      <c r="H14347" s="41">
        <v>80.368800000000007</v>
      </c>
      <c r="I14347" s="221"/>
      <c r="J14347" s="221"/>
    </row>
    <row r="14348" spans="1:10" s="15" customFormat="1" ht="24" hidden="1" customHeight="1" outlineLevel="1" x14ac:dyDescent="0.25">
      <c r="A14348" s="18">
        <v>2169</v>
      </c>
      <c r="B14348" s="4" t="s">
        <v>44</v>
      </c>
      <c r="C14348" s="38" t="s">
        <v>8217</v>
      </c>
      <c r="D14348" s="18">
        <v>2023</v>
      </c>
      <c r="E14348" s="18" t="s">
        <v>0</v>
      </c>
      <c r="F14348" s="41">
        <v>1</v>
      </c>
      <c r="G14348" s="41">
        <v>5</v>
      </c>
      <c r="H14348" s="41">
        <v>77.09299</v>
      </c>
      <c r="I14348" s="221"/>
      <c r="J14348" s="221"/>
    </row>
    <row r="14349" spans="1:10" s="15" customFormat="1" ht="24" hidden="1" customHeight="1" outlineLevel="1" x14ac:dyDescent="0.25">
      <c r="A14349" s="18">
        <v>3018</v>
      </c>
      <c r="B14349" s="4" t="s">
        <v>44</v>
      </c>
      <c r="C14349" s="38" t="s">
        <v>9033</v>
      </c>
      <c r="D14349" s="18">
        <v>2023</v>
      </c>
      <c r="E14349" s="18" t="s">
        <v>0</v>
      </c>
      <c r="F14349" s="41">
        <v>1</v>
      </c>
      <c r="G14349" s="41">
        <v>50</v>
      </c>
      <c r="H14349" s="41">
        <v>59.788000000000004</v>
      </c>
      <c r="I14349" s="221"/>
      <c r="J14349" s="221"/>
    </row>
    <row r="14350" spans="1:10" s="15" customFormat="1" ht="24" hidden="1" customHeight="1" outlineLevel="1" x14ac:dyDescent="0.25">
      <c r="A14350" s="18">
        <v>3280</v>
      </c>
      <c r="B14350" s="4" t="s">
        <v>44</v>
      </c>
      <c r="C14350" s="38" t="s">
        <v>8163</v>
      </c>
      <c r="D14350" s="18">
        <v>2023</v>
      </c>
      <c r="E14350" s="18" t="s">
        <v>0</v>
      </c>
      <c r="F14350" s="41">
        <v>1</v>
      </c>
      <c r="G14350" s="41">
        <v>15</v>
      </c>
      <c r="H14350" s="41">
        <v>71.528959999999998</v>
      </c>
      <c r="I14350" s="221"/>
      <c r="J14350" s="221"/>
    </row>
    <row r="14351" spans="1:10" s="15" customFormat="1" ht="24" hidden="1" customHeight="1" outlineLevel="1" x14ac:dyDescent="0.25">
      <c r="A14351" s="18">
        <v>361</v>
      </c>
      <c r="B14351" s="4" t="s">
        <v>44</v>
      </c>
      <c r="C14351" s="38" t="s">
        <v>9023</v>
      </c>
      <c r="D14351" s="18">
        <v>2023</v>
      </c>
      <c r="E14351" s="18" t="s">
        <v>0</v>
      </c>
      <c r="F14351" s="41">
        <v>1</v>
      </c>
      <c r="G14351" s="41">
        <v>15</v>
      </c>
      <c r="H14351" s="41">
        <v>130.41800000000001</v>
      </c>
      <c r="I14351" s="221"/>
      <c r="J14351" s="221"/>
    </row>
    <row r="14352" spans="1:10" s="15" customFormat="1" ht="24" hidden="1" customHeight="1" outlineLevel="1" x14ac:dyDescent="0.25">
      <c r="A14352" s="18">
        <v>3152</v>
      </c>
      <c r="B14352" s="4" t="s">
        <v>44</v>
      </c>
      <c r="C14352" s="38" t="s">
        <v>9360</v>
      </c>
      <c r="D14352" s="18">
        <v>2023</v>
      </c>
      <c r="E14352" s="18" t="s">
        <v>0</v>
      </c>
      <c r="F14352" s="41">
        <v>1</v>
      </c>
      <c r="G14352" s="41">
        <v>50</v>
      </c>
      <c r="H14352" s="41">
        <v>96.284999999999997</v>
      </c>
      <c r="I14352" s="221"/>
      <c r="J14352" s="221"/>
    </row>
    <row r="14353" spans="1:10" s="15" customFormat="1" ht="24" hidden="1" customHeight="1" outlineLevel="1" x14ac:dyDescent="0.25">
      <c r="A14353" s="18">
        <v>1609</v>
      </c>
      <c r="B14353" s="4" t="s">
        <v>44</v>
      </c>
      <c r="C14353" s="38" t="s">
        <v>12227</v>
      </c>
      <c r="D14353" s="18">
        <v>2023</v>
      </c>
      <c r="E14353" s="18" t="s">
        <v>0</v>
      </c>
      <c r="F14353" s="41">
        <v>1</v>
      </c>
      <c r="G14353" s="41">
        <v>10</v>
      </c>
      <c r="H14353" s="41">
        <v>39.162030000000001</v>
      </c>
      <c r="I14353" s="221"/>
      <c r="J14353" s="221"/>
    </row>
    <row r="14354" spans="1:10" s="15" customFormat="1" ht="24" hidden="1" customHeight="1" outlineLevel="1" x14ac:dyDescent="0.25">
      <c r="A14354" s="18">
        <v>4039</v>
      </c>
      <c r="B14354" s="4" t="s">
        <v>44</v>
      </c>
      <c r="C14354" s="38" t="s">
        <v>12228</v>
      </c>
      <c r="D14354" s="18">
        <v>2023</v>
      </c>
      <c r="E14354" s="18" t="s">
        <v>0</v>
      </c>
      <c r="F14354" s="41">
        <v>1</v>
      </c>
      <c r="G14354" s="41">
        <v>15</v>
      </c>
      <c r="H14354" s="41">
        <v>38.342389999999995</v>
      </c>
      <c r="I14354" s="221"/>
      <c r="J14354" s="221"/>
    </row>
    <row r="14355" spans="1:10" s="15" customFormat="1" ht="24" hidden="1" customHeight="1" outlineLevel="1" x14ac:dyDescent="0.25">
      <c r="A14355" s="18">
        <v>4041</v>
      </c>
      <c r="B14355" s="4" t="s">
        <v>44</v>
      </c>
      <c r="C14355" s="38" t="s">
        <v>12229</v>
      </c>
      <c r="D14355" s="18">
        <v>2023</v>
      </c>
      <c r="E14355" s="18" t="s">
        <v>0</v>
      </c>
      <c r="F14355" s="41">
        <v>1</v>
      </c>
      <c r="G14355" s="41">
        <v>15</v>
      </c>
      <c r="H14355" s="41">
        <v>39.455179999999999</v>
      </c>
      <c r="I14355" s="221"/>
      <c r="J14355" s="221"/>
    </row>
    <row r="14356" spans="1:10" s="15" customFormat="1" ht="24" hidden="1" customHeight="1" outlineLevel="1" x14ac:dyDescent="0.25">
      <c r="A14356" s="18">
        <v>318</v>
      </c>
      <c r="B14356" s="4" t="s">
        <v>44</v>
      </c>
      <c r="C14356" s="38" t="s">
        <v>12230</v>
      </c>
      <c r="D14356" s="18">
        <v>2023</v>
      </c>
      <c r="E14356" s="18" t="s">
        <v>0</v>
      </c>
      <c r="F14356" s="41">
        <v>1</v>
      </c>
      <c r="G14356" s="41">
        <v>15</v>
      </c>
      <c r="H14356" s="41">
        <v>25.01397</v>
      </c>
      <c r="I14356" s="221"/>
      <c r="J14356" s="221"/>
    </row>
    <row r="14357" spans="1:10" s="15" customFormat="1" ht="24" hidden="1" customHeight="1" outlineLevel="1" x14ac:dyDescent="0.25">
      <c r="A14357" s="18">
        <v>1171</v>
      </c>
      <c r="B14357" s="4" t="s">
        <v>44</v>
      </c>
      <c r="C14357" s="38" t="s">
        <v>12231</v>
      </c>
      <c r="D14357" s="18">
        <v>2023</v>
      </c>
      <c r="E14357" s="18" t="s">
        <v>0</v>
      </c>
      <c r="F14357" s="41">
        <v>1</v>
      </c>
      <c r="G14357" s="41">
        <v>12</v>
      </c>
      <c r="H14357" s="41">
        <v>39.984569999999998</v>
      </c>
      <c r="I14357" s="221"/>
      <c r="J14357" s="221"/>
    </row>
    <row r="14358" spans="1:10" s="15" customFormat="1" ht="24" hidden="1" customHeight="1" outlineLevel="1" x14ac:dyDescent="0.25">
      <c r="A14358" s="18">
        <v>1144</v>
      </c>
      <c r="B14358" s="4" t="s">
        <v>44</v>
      </c>
      <c r="C14358" s="38" t="s">
        <v>12232</v>
      </c>
      <c r="D14358" s="18">
        <v>2023</v>
      </c>
      <c r="E14358" s="18" t="s">
        <v>0</v>
      </c>
      <c r="F14358" s="41">
        <v>1</v>
      </c>
      <c r="G14358" s="41">
        <v>15</v>
      </c>
      <c r="H14358" s="41">
        <v>22.145589999999999</v>
      </c>
      <c r="I14358" s="221"/>
      <c r="J14358" s="221"/>
    </row>
    <row r="14359" spans="1:10" s="15" customFormat="1" ht="24" hidden="1" customHeight="1" outlineLevel="1" x14ac:dyDescent="0.25">
      <c r="A14359" s="18">
        <v>4049</v>
      </c>
      <c r="B14359" s="4" t="s">
        <v>44</v>
      </c>
      <c r="C14359" s="38" t="s">
        <v>12233</v>
      </c>
      <c r="D14359" s="18">
        <v>2023</v>
      </c>
      <c r="E14359" s="18" t="s">
        <v>0</v>
      </c>
      <c r="F14359" s="41">
        <v>1</v>
      </c>
      <c r="G14359" s="41">
        <v>10</v>
      </c>
      <c r="H14359" s="41">
        <v>38.311440000000005</v>
      </c>
      <c r="I14359" s="221"/>
      <c r="J14359" s="221"/>
    </row>
    <row r="14360" spans="1:10" s="15" customFormat="1" ht="24" hidden="1" customHeight="1" outlineLevel="1" x14ac:dyDescent="0.25">
      <c r="A14360" s="18">
        <v>4035</v>
      </c>
      <c r="B14360" s="4" t="s">
        <v>44</v>
      </c>
      <c r="C14360" s="38" t="s">
        <v>12234</v>
      </c>
      <c r="D14360" s="18">
        <v>2023</v>
      </c>
      <c r="E14360" s="18" t="s">
        <v>0</v>
      </c>
      <c r="F14360" s="41">
        <v>1</v>
      </c>
      <c r="G14360" s="41">
        <v>10</v>
      </c>
      <c r="H14360" s="41">
        <v>40.007739999999998</v>
      </c>
      <c r="I14360" s="221"/>
      <c r="J14360" s="221"/>
    </row>
    <row r="14361" spans="1:10" s="15" customFormat="1" ht="24" hidden="1" customHeight="1" outlineLevel="1" x14ac:dyDescent="0.25">
      <c r="A14361" s="18">
        <v>4048</v>
      </c>
      <c r="B14361" s="4" t="s">
        <v>44</v>
      </c>
      <c r="C14361" s="38" t="s">
        <v>12235</v>
      </c>
      <c r="D14361" s="18">
        <v>2023</v>
      </c>
      <c r="E14361" s="18" t="s">
        <v>0</v>
      </c>
      <c r="F14361" s="41">
        <v>1</v>
      </c>
      <c r="G14361" s="41">
        <v>13</v>
      </c>
      <c r="H14361" s="41">
        <v>38.070039999999999</v>
      </c>
      <c r="I14361" s="221"/>
      <c r="J14361" s="221"/>
    </row>
    <row r="14362" spans="1:10" s="15" customFormat="1" ht="24" hidden="1" customHeight="1" outlineLevel="1" x14ac:dyDescent="0.25">
      <c r="A14362" s="18">
        <v>4050</v>
      </c>
      <c r="B14362" s="4" t="s">
        <v>44</v>
      </c>
      <c r="C14362" s="38" t="s">
        <v>12236</v>
      </c>
      <c r="D14362" s="18">
        <v>2023</v>
      </c>
      <c r="E14362" s="18" t="s">
        <v>0</v>
      </c>
      <c r="F14362" s="41">
        <v>1</v>
      </c>
      <c r="G14362" s="41">
        <v>15</v>
      </c>
      <c r="H14362" s="41">
        <v>38.310560000000002</v>
      </c>
      <c r="I14362" s="221"/>
      <c r="J14362" s="221"/>
    </row>
    <row r="14363" spans="1:10" s="15" customFormat="1" ht="24" hidden="1" customHeight="1" outlineLevel="1" x14ac:dyDescent="0.25">
      <c r="A14363" s="18">
        <v>3855</v>
      </c>
      <c r="B14363" s="4" t="s">
        <v>44</v>
      </c>
      <c r="C14363" s="38" t="s">
        <v>12237</v>
      </c>
      <c r="D14363" s="18">
        <v>2023</v>
      </c>
      <c r="E14363" s="18" t="s">
        <v>0</v>
      </c>
      <c r="F14363" s="41">
        <v>1</v>
      </c>
      <c r="G14363" s="41">
        <v>10</v>
      </c>
      <c r="H14363" s="41">
        <v>46.74503</v>
      </c>
      <c r="I14363" s="221"/>
      <c r="J14363" s="221"/>
    </row>
    <row r="14364" spans="1:10" s="15" customFormat="1" ht="24" hidden="1" customHeight="1" outlineLevel="1" x14ac:dyDescent="0.25">
      <c r="A14364" s="18">
        <v>1585</v>
      </c>
      <c r="B14364" s="4" t="s">
        <v>44</v>
      </c>
      <c r="C14364" s="38" t="s">
        <v>12238</v>
      </c>
      <c r="D14364" s="18">
        <v>2023</v>
      </c>
      <c r="E14364" s="18" t="s">
        <v>0</v>
      </c>
      <c r="F14364" s="41">
        <v>1</v>
      </c>
      <c r="G14364" s="41">
        <v>3</v>
      </c>
      <c r="H14364" s="41">
        <v>41.442029999999995</v>
      </c>
      <c r="I14364" s="221"/>
      <c r="J14364" s="221"/>
    </row>
    <row r="14365" spans="1:10" s="15" customFormat="1" ht="24" hidden="1" customHeight="1" outlineLevel="1" x14ac:dyDescent="0.25">
      <c r="A14365" s="18">
        <v>782</v>
      </c>
      <c r="B14365" s="4" t="s">
        <v>44</v>
      </c>
      <c r="C14365" s="38" t="s">
        <v>12239</v>
      </c>
      <c r="D14365" s="18">
        <v>2023</v>
      </c>
      <c r="E14365" s="18" t="s">
        <v>0</v>
      </c>
      <c r="F14365" s="41">
        <v>1</v>
      </c>
      <c r="G14365" s="41">
        <v>15</v>
      </c>
      <c r="H14365" s="41">
        <v>22.306419999999999</v>
      </c>
      <c r="I14365" s="221"/>
      <c r="J14365" s="221"/>
    </row>
    <row r="14366" spans="1:10" s="15" customFormat="1" ht="24" hidden="1" customHeight="1" outlineLevel="1" x14ac:dyDescent="0.25">
      <c r="A14366" s="18">
        <v>1425</v>
      </c>
      <c r="B14366" s="4" t="s">
        <v>44</v>
      </c>
      <c r="C14366" s="38" t="s">
        <v>12240</v>
      </c>
      <c r="D14366" s="18">
        <v>2023</v>
      </c>
      <c r="E14366" s="18" t="s">
        <v>0</v>
      </c>
      <c r="F14366" s="41">
        <v>1</v>
      </c>
      <c r="G14366" s="41">
        <v>3</v>
      </c>
      <c r="H14366" s="41">
        <v>41.017440000000001</v>
      </c>
      <c r="I14366" s="221"/>
      <c r="J14366" s="221"/>
    </row>
    <row r="14367" spans="1:10" s="15" customFormat="1" ht="24" hidden="1" customHeight="1" outlineLevel="1" x14ac:dyDescent="0.25">
      <c r="A14367" s="18">
        <v>4047</v>
      </c>
      <c r="B14367" s="4" t="s">
        <v>44</v>
      </c>
      <c r="C14367" s="38" t="s">
        <v>12241</v>
      </c>
      <c r="D14367" s="18">
        <v>2023</v>
      </c>
      <c r="E14367" s="18" t="s">
        <v>0</v>
      </c>
      <c r="F14367" s="41">
        <v>1</v>
      </c>
      <c r="G14367" s="41">
        <v>8</v>
      </c>
      <c r="H14367" s="41">
        <v>41.473080000000003</v>
      </c>
      <c r="I14367" s="221"/>
      <c r="J14367" s="221"/>
    </row>
    <row r="14368" spans="1:10" s="15" customFormat="1" ht="24" hidden="1" customHeight="1" outlineLevel="1" x14ac:dyDescent="0.25">
      <c r="A14368" s="18">
        <v>1618</v>
      </c>
      <c r="B14368" s="4" t="s">
        <v>44</v>
      </c>
      <c r="C14368" s="38" t="s">
        <v>12242</v>
      </c>
      <c r="D14368" s="18">
        <v>2023</v>
      </c>
      <c r="E14368" s="18" t="s">
        <v>0</v>
      </c>
      <c r="F14368" s="41">
        <v>1</v>
      </c>
      <c r="G14368" s="41">
        <v>2</v>
      </c>
      <c r="H14368" s="41">
        <v>42.482869999999998</v>
      </c>
      <c r="I14368" s="221"/>
      <c r="J14368" s="221"/>
    </row>
    <row r="14369" spans="1:10" s="15" customFormat="1" ht="24" hidden="1" customHeight="1" outlineLevel="1" x14ac:dyDescent="0.25">
      <c r="A14369" s="18">
        <v>4051</v>
      </c>
      <c r="B14369" s="4" t="s">
        <v>44</v>
      </c>
      <c r="C14369" s="38" t="s">
        <v>12243</v>
      </c>
      <c r="D14369" s="18">
        <v>2023</v>
      </c>
      <c r="E14369" s="18" t="s">
        <v>0</v>
      </c>
      <c r="F14369" s="41">
        <v>1</v>
      </c>
      <c r="G14369" s="41">
        <v>7.5</v>
      </c>
      <c r="H14369" s="41">
        <v>40.330129999999997</v>
      </c>
      <c r="I14369" s="221"/>
      <c r="J14369" s="221"/>
    </row>
    <row r="14370" spans="1:10" s="15" customFormat="1" ht="24" hidden="1" customHeight="1" outlineLevel="1" x14ac:dyDescent="0.25">
      <c r="A14370" s="18">
        <v>1579</v>
      </c>
      <c r="B14370" s="4" t="s">
        <v>44</v>
      </c>
      <c r="C14370" s="38" t="s">
        <v>12244</v>
      </c>
      <c r="D14370" s="18">
        <v>2023</v>
      </c>
      <c r="E14370" s="18" t="s">
        <v>0</v>
      </c>
      <c r="F14370" s="41">
        <v>1</v>
      </c>
      <c r="G14370" s="41">
        <v>6.5</v>
      </c>
      <c r="H14370" s="41">
        <v>42.38026</v>
      </c>
      <c r="I14370" s="221"/>
      <c r="J14370" s="221"/>
    </row>
    <row r="14371" spans="1:10" s="15" customFormat="1" ht="24" hidden="1" customHeight="1" outlineLevel="1" x14ac:dyDescent="0.25">
      <c r="A14371" s="18">
        <v>4064</v>
      </c>
      <c r="B14371" s="4" t="s">
        <v>44</v>
      </c>
      <c r="C14371" s="38" t="s">
        <v>12245</v>
      </c>
      <c r="D14371" s="18">
        <v>2023</v>
      </c>
      <c r="E14371" s="18" t="s">
        <v>0</v>
      </c>
      <c r="F14371" s="41">
        <v>1</v>
      </c>
      <c r="G14371" s="41">
        <v>15</v>
      </c>
      <c r="H14371" s="41">
        <v>37.463200000000001</v>
      </c>
      <c r="I14371" s="221"/>
      <c r="J14371" s="221"/>
    </row>
    <row r="14372" spans="1:10" s="15" customFormat="1" ht="24" hidden="1" customHeight="1" outlineLevel="1" x14ac:dyDescent="0.25">
      <c r="A14372" s="18">
        <v>4063</v>
      </c>
      <c r="B14372" s="4" t="s">
        <v>44</v>
      </c>
      <c r="C14372" s="38" t="s">
        <v>12246</v>
      </c>
      <c r="D14372" s="18">
        <v>2023</v>
      </c>
      <c r="E14372" s="18" t="s">
        <v>0</v>
      </c>
      <c r="F14372" s="41">
        <v>1</v>
      </c>
      <c r="G14372" s="41">
        <v>10</v>
      </c>
      <c r="H14372" s="41">
        <v>38.76482</v>
      </c>
      <c r="I14372" s="221"/>
      <c r="J14372" s="221"/>
    </row>
    <row r="14373" spans="1:10" s="15" customFormat="1" ht="24" hidden="1" customHeight="1" outlineLevel="1" x14ac:dyDescent="0.25">
      <c r="A14373" s="18">
        <v>4066</v>
      </c>
      <c r="B14373" s="4" t="s">
        <v>44</v>
      </c>
      <c r="C14373" s="38" t="s">
        <v>12247</v>
      </c>
      <c r="D14373" s="18">
        <v>2023</v>
      </c>
      <c r="E14373" s="18" t="s">
        <v>0</v>
      </c>
      <c r="F14373" s="41">
        <v>1</v>
      </c>
      <c r="G14373" s="41">
        <v>15</v>
      </c>
      <c r="H14373" s="41">
        <v>39.123900000000006</v>
      </c>
      <c r="I14373" s="221"/>
      <c r="J14373" s="221"/>
    </row>
    <row r="14374" spans="1:10" s="15" customFormat="1" ht="24" hidden="1" customHeight="1" outlineLevel="1" x14ac:dyDescent="0.25">
      <c r="A14374" s="18">
        <v>3888</v>
      </c>
      <c r="B14374" s="4" t="s">
        <v>44</v>
      </c>
      <c r="C14374" s="38" t="s">
        <v>12248</v>
      </c>
      <c r="D14374" s="18">
        <v>2023</v>
      </c>
      <c r="E14374" s="18" t="s">
        <v>0</v>
      </c>
      <c r="F14374" s="41">
        <v>1</v>
      </c>
      <c r="G14374" s="41">
        <v>14</v>
      </c>
      <c r="H14374" s="41">
        <v>42.193260000000002</v>
      </c>
      <c r="I14374" s="221"/>
      <c r="J14374" s="221"/>
    </row>
    <row r="14375" spans="1:10" s="15" customFormat="1" ht="24" hidden="1" customHeight="1" outlineLevel="1" x14ac:dyDescent="0.25">
      <c r="A14375" s="18">
        <v>4024</v>
      </c>
      <c r="B14375" s="4" t="s">
        <v>44</v>
      </c>
      <c r="C14375" s="38" t="s">
        <v>12249</v>
      </c>
      <c r="D14375" s="18">
        <v>2023</v>
      </c>
      <c r="E14375" s="18" t="s">
        <v>0</v>
      </c>
      <c r="F14375" s="41">
        <v>1</v>
      </c>
      <c r="G14375" s="41">
        <v>14</v>
      </c>
      <c r="H14375" s="41">
        <v>42.28904</v>
      </c>
      <c r="I14375" s="221"/>
      <c r="J14375" s="221"/>
    </row>
    <row r="14376" spans="1:10" s="15" customFormat="1" ht="24" hidden="1" customHeight="1" outlineLevel="1" x14ac:dyDescent="0.25">
      <c r="A14376" s="18">
        <v>4067</v>
      </c>
      <c r="B14376" s="4" t="s">
        <v>44</v>
      </c>
      <c r="C14376" s="38" t="s">
        <v>12250</v>
      </c>
      <c r="D14376" s="18">
        <v>2023</v>
      </c>
      <c r="E14376" s="18" t="s">
        <v>0</v>
      </c>
      <c r="F14376" s="41">
        <v>1</v>
      </c>
      <c r="G14376" s="41">
        <v>15</v>
      </c>
      <c r="H14376" s="41">
        <v>38.781059999999997</v>
      </c>
      <c r="I14376" s="221"/>
      <c r="J14376" s="221"/>
    </row>
    <row r="14377" spans="1:10" s="15" customFormat="1" ht="24" hidden="1" customHeight="1" outlineLevel="1" x14ac:dyDescent="0.25">
      <c r="A14377" s="18">
        <v>1746</v>
      </c>
      <c r="B14377" s="4" t="s">
        <v>44</v>
      </c>
      <c r="C14377" s="38" t="s">
        <v>12251</v>
      </c>
      <c r="D14377" s="18">
        <v>2023</v>
      </c>
      <c r="E14377" s="18" t="s">
        <v>0</v>
      </c>
      <c r="F14377" s="41">
        <v>1</v>
      </c>
      <c r="G14377" s="41">
        <v>15</v>
      </c>
      <c r="H14377" s="41">
        <v>38.205379999999998</v>
      </c>
      <c r="I14377" s="221"/>
      <c r="J14377" s="221"/>
    </row>
    <row r="14378" spans="1:10" s="15" customFormat="1" ht="24" hidden="1" customHeight="1" outlineLevel="1" x14ac:dyDescent="0.25">
      <c r="A14378" s="18">
        <v>4068</v>
      </c>
      <c r="B14378" s="4" t="s">
        <v>44</v>
      </c>
      <c r="C14378" s="38" t="s">
        <v>12252</v>
      </c>
      <c r="D14378" s="18">
        <v>2023</v>
      </c>
      <c r="E14378" s="18" t="s">
        <v>0</v>
      </c>
      <c r="F14378" s="41">
        <v>1</v>
      </c>
      <c r="G14378" s="41">
        <v>6</v>
      </c>
      <c r="H14378" s="41">
        <v>39.958779999999997</v>
      </c>
      <c r="I14378" s="221"/>
      <c r="J14378" s="221"/>
    </row>
    <row r="14379" spans="1:10" s="15" customFormat="1" ht="24" hidden="1" customHeight="1" outlineLevel="1" x14ac:dyDescent="0.25">
      <c r="A14379" s="18">
        <v>4069</v>
      </c>
      <c r="B14379" s="4" t="s">
        <v>44</v>
      </c>
      <c r="C14379" s="38" t="s">
        <v>12253</v>
      </c>
      <c r="D14379" s="18">
        <v>2023</v>
      </c>
      <c r="E14379" s="18" t="s">
        <v>0</v>
      </c>
      <c r="F14379" s="41">
        <v>1</v>
      </c>
      <c r="G14379" s="41">
        <v>7</v>
      </c>
      <c r="H14379" s="41">
        <v>39.958860000000001</v>
      </c>
      <c r="I14379" s="221"/>
      <c r="J14379" s="221"/>
    </row>
    <row r="14380" spans="1:10" s="15" customFormat="1" ht="24" hidden="1" customHeight="1" outlineLevel="1" x14ac:dyDescent="0.25">
      <c r="A14380" s="18">
        <v>4072</v>
      </c>
      <c r="B14380" s="4" t="s">
        <v>44</v>
      </c>
      <c r="C14380" s="38" t="s">
        <v>12254</v>
      </c>
      <c r="D14380" s="18">
        <v>2023</v>
      </c>
      <c r="E14380" s="18" t="s">
        <v>0</v>
      </c>
      <c r="F14380" s="41">
        <v>1</v>
      </c>
      <c r="G14380" s="41">
        <v>9</v>
      </c>
      <c r="H14380" s="41">
        <v>40.246650000000002</v>
      </c>
      <c r="I14380" s="221"/>
      <c r="J14380" s="221"/>
    </row>
    <row r="14381" spans="1:10" s="15" customFormat="1" ht="24" hidden="1" customHeight="1" outlineLevel="1" x14ac:dyDescent="0.25">
      <c r="A14381" s="18">
        <v>1668</v>
      </c>
      <c r="B14381" s="4" t="s">
        <v>44</v>
      </c>
      <c r="C14381" s="38" t="s">
        <v>12255</v>
      </c>
      <c r="D14381" s="18">
        <v>2023</v>
      </c>
      <c r="E14381" s="18" t="s">
        <v>0</v>
      </c>
      <c r="F14381" s="41">
        <v>1</v>
      </c>
      <c r="G14381" s="41">
        <v>9</v>
      </c>
      <c r="H14381" s="41">
        <v>38.29392</v>
      </c>
      <c r="I14381" s="221"/>
      <c r="J14381" s="221"/>
    </row>
    <row r="14382" spans="1:10" s="15" customFormat="1" ht="24" hidden="1" customHeight="1" outlineLevel="1" x14ac:dyDescent="0.25">
      <c r="A14382" s="18">
        <v>4073</v>
      </c>
      <c r="B14382" s="4" t="s">
        <v>44</v>
      </c>
      <c r="C14382" s="38" t="s">
        <v>12256</v>
      </c>
      <c r="D14382" s="18">
        <v>2023</v>
      </c>
      <c r="E14382" s="18" t="s">
        <v>0</v>
      </c>
      <c r="F14382" s="41">
        <v>1</v>
      </c>
      <c r="G14382" s="41">
        <v>15</v>
      </c>
      <c r="H14382" s="41">
        <v>38.549510000000005</v>
      </c>
      <c r="I14382" s="221"/>
      <c r="J14382" s="221"/>
    </row>
    <row r="14383" spans="1:10" s="15" customFormat="1" ht="24" hidden="1" customHeight="1" outlineLevel="1" x14ac:dyDescent="0.25">
      <c r="A14383" s="18">
        <v>4065</v>
      </c>
      <c r="B14383" s="4" t="s">
        <v>44</v>
      </c>
      <c r="C14383" s="38" t="s">
        <v>12257</v>
      </c>
      <c r="D14383" s="18">
        <v>2023</v>
      </c>
      <c r="E14383" s="18" t="s">
        <v>0</v>
      </c>
      <c r="F14383" s="41">
        <v>1</v>
      </c>
      <c r="G14383" s="41">
        <v>15</v>
      </c>
      <c r="H14383" s="41">
        <v>44.845469999999999</v>
      </c>
      <c r="I14383" s="221"/>
      <c r="J14383" s="221"/>
    </row>
    <row r="14384" spans="1:10" s="15" customFormat="1" ht="24" hidden="1" customHeight="1" outlineLevel="1" x14ac:dyDescent="0.25">
      <c r="A14384" s="18">
        <v>457</v>
      </c>
      <c r="B14384" s="4" t="s">
        <v>44</v>
      </c>
      <c r="C14384" s="38" t="s">
        <v>12258</v>
      </c>
      <c r="D14384" s="18">
        <v>2023</v>
      </c>
      <c r="E14384" s="18" t="s">
        <v>0</v>
      </c>
      <c r="F14384" s="41">
        <v>1</v>
      </c>
      <c r="G14384" s="41">
        <v>15</v>
      </c>
      <c r="H14384" s="41">
        <v>43.14537</v>
      </c>
      <c r="I14384" s="221"/>
      <c r="J14384" s="221"/>
    </row>
    <row r="14385" spans="1:10" s="15" customFormat="1" ht="24" hidden="1" customHeight="1" outlineLevel="1" x14ac:dyDescent="0.25">
      <c r="A14385" s="18">
        <v>456</v>
      </c>
      <c r="B14385" s="4" t="s">
        <v>44</v>
      </c>
      <c r="C14385" s="38" t="s">
        <v>12259</v>
      </c>
      <c r="D14385" s="18">
        <v>2023</v>
      </c>
      <c r="E14385" s="18" t="s">
        <v>0</v>
      </c>
      <c r="F14385" s="41">
        <v>1</v>
      </c>
      <c r="G14385" s="41">
        <v>15</v>
      </c>
      <c r="H14385" s="41">
        <v>45.409860000000002</v>
      </c>
      <c r="I14385" s="221"/>
      <c r="J14385" s="221"/>
    </row>
    <row r="14386" spans="1:10" s="15" customFormat="1" ht="24" hidden="1" customHeight="1" outlineLevel="1" x14ac:dyDescent="0.25">
      <c r="A14386" s="18">
        <v>4058</v>
      </c>
      <c r="B14386" s="4" t="s">
        <v>44</v>
      </c>
      <c r="C14386" s="38" t="s">
        <v>12260</v>
      </c>
      <c r="D14386" s="18">
        <v>2023</v>
      </c>
      <c r="E14386" s="18" t="s">
        <v>0</v>
      </c>
      <c r="F14386" s="41">
        <v>1</v>
      </c>
      <c r="G14386" s="41">
        <v>15</v>
      </c>
      <c r="H14386" s="41">
        <v>39.803070000000005</v>
      </c>
      <c r="I14386" s="221"/>
      <c r="J14386" s="221"/>
    </row>
    <row r="14387" spans="1:10" s="15" customFormat="1" ht="24" hidden="1" customHeight="1" outlineLevel="1" x14ac:dyDescent="0.25">
      <c r="A14387" s="18">
        <v>4056</v>
      </c>
      <c r="B14387" s="4" t="s">
        <v>44</v>
      </c>
      <c r="C14387" s="38" t="s">
        <v>12261</v>
      </c>
      <c r="D14387" s="18">
        <v>2023</v>
      </c>
      <c r="E14387" s="18" t="s">
        <v>0</v>
      </c>
      <c r="F14387" s="41">
        <v>1</v>
      </c>
      <c r="G14387" s="41">
        <v>10</v>
      </c>
      <c r="H14387" s="41">
        <v>38.83278</v>
      </c>
      <c r="I14387" s="221"/>
      <c r="J14387" s="221"/>
    </row>
    <row r="14388" spans="1:10" s="15" customFormat="1" ht="24" hidden="1" customHeight="1" outlineLevel="1" x14ac:dyDescent="0.25">
      <c r="A14388" s="18">
        <v>1737</v>
      </c>
      <c r="B14388" s="4" t="s">
        <v>44</v>
      </c>
      <c r="C14388" s="38" t="s">
        <v>12262</v>
      </c>
      <c r="D14388" s="18">
        <v>2023</v>
      </c>
      <c r="E14388" s="18" t="s">
        <v>0</v>
      </c>
      <c r="F14388" s="41">
        <v>1</v>
      </c>
      <c r="G14388" s="41">
        <v>1</v>
      </c>
      <c r="H14388" s="41">
        <v>39.85031</v>
      </c>
      <c r="I14388" s="221"/>
      <c r="J14388" s="221"/>
    </row>
    <row r="14389" spans="1:10" s="15" customFormat="1" ht="24" hidden="1" customHeight="1" outlineLevel="1" x14ac:dyDescent="0.25">
      <c r="A14389" s="18">
        <v>4054</v>
      </c>
      <c r="B14389" s="4" t="s">
        <v>44</v>
      </c>
      <c r="C14389" s="38" t="s">
        <v>12263</v>
      </c>
      <c r="D14389" s="18">
        <v>2023</v>
      </c>
      <c r="E14389" s="18" t="s">
        <v>0</v>
      </c>
      <c r="F14389" s="41">
        <v>1</v>
      </c>
      <c r="G14389" s="41">
        <v>10</v>
      </c>
      <c r="H14389" s="41">
        <v>40.124399999999994</v>
      </c>
      <c r="I14389" s="221"/>
      <c r="J14389" s="221"/>
    </row>
    <row r="14390" spans="1:10" s="15" customFormat="1" ht="24" hidden="1" customHeight="1" outlineLevel="1" x14ac:dyDescent="0.25">
      <c r="A14390" s="18">
        <v>1723</v>
      </c>
      <c r="B14390" s="4" t="s">
        <v>44</v>
      </c>
      <c r="C14390" s="38" t="s">
        <v>12264</v>
      </c>
      <c r="D14390" s="18">
        <v>2023</v>
      </c>
      <c r="E14390" s="18" t="s">
        <v>0</v>
      </c>
      <c r="F14390" s="41">
        <v>1</v>
      </c>
      <c r="G14390" s="41">
        <v>8</v>
      </c>
      <c r="H14390" s="41">
        <v>40.615859999999998</v>
      </c>
      <c r="I14390" s="221"/>
      <c r="J14390" s="221"/>
    </row>
    <row r="14391" spans="1:10" s="15" customFormat="1" ht="24" hidden="1" customHeight="1" outlineLevel="1" x14ac:dyDescent="0.25">
      <c r="A14391" s="18">
        <v>4059</v>
      </c>
      <c r="B14391" s="4" t="s">
        <v>44</v>
      </c>
      <c r="C14391" s="38" t="s">
        <v>12265</v>
      </c>
      <c r="D14391" s="18">
        <v>2023</v>
      </c>
      <c r="E14391" s="18" t="s">
        <v>0</v>
      </c>
      <c r="F14391" s="41">
        <v>1</v>
      </c>
      <c r="G14391" s="41">
        <v>9</v>
      </c>
      <c r="H14391" s="41">
        <v>38.286189999999998</v>
      </c>
      <c r="I14391" s="221"/>
      <c r="J14391" s="221"/>
    </row>
    <row r="14392" spans="1:10" s="15" customFormat="1" ht="24" hidden="1" customHeight="1" outlineLevel="1" x14ac:dyDescent="0.25">
      <c r="A14392" s="18">
        <v>4061</v>
      </c>
      <c r="B14392" s="4" t="s">
        <v>44</v>
      </c>
      <c r="C14392" s="38" t="s">
        <v>12266</v>
      </c>
      <c r="D14392" s="18">
        <v>2023</v>
      </c>
      <c r="E14392" s="18" t="s">
        <v>0</v>
      </c>
      <c r="F14392" s="41">
        <v>1</v>
      </c>
      <c r="G14392" s="41">
        <v>10</v>
      </c>
      <c r="H14392" s="41">
        <v>39.345289999999999</v>
      </c>
      <c r="I14392" s="221"/>
      <c r="J14392" s="221"/>
    </row>
    <row r="14393" spans="1:10" s="15" customFormat="1" ht="24" hidden="1" customHeight="1" outlineLevel="1" x14ac:dyDescent="0.25">
      <c r="A14393" s="18">
        <v>1703</v>
      </c>
      <c r="B14393" s="4" t="s">
        <v>44</v>
      </c>
      <c r="C14393" s="38" t="s">
        <v>12267</v>
      </c>
      <c r="D14393" s="18">
        <v>2023</v>
      </c>
      <c r="E14393" s="18" t="s">
        <v>0</v>
      </c>
      <c r="F14393" s="41">
        <v>1</v>
      </c>
      <c r="G14393" s="41">
        <v>10</v>
      </c>
      <c r="H14393" s="41">
        <v>39.784300000000002</v>
      </c>
      <c r="I14393" s="221"/>
      <c r="J14393" s="221"/>
    </row>
    <row r="14394" spans="1:10" s="15" customFormat="1" ht="24" hidden="1" customHeight="1" outlineLevel="1" x14ac:dyDescent="0.25">
      <c r="A14394" s="18">
        <v>1678</v>
      </c>
      <c r="B14394" s="4" t="s">
        <v>44</v>
      </c>
      <c r="C14394" s="38" t="s">
        <v>12268</v>
      </c>
      <c r="D14394" s="18">
        <v>2023</v>
      </c>
      <c r="E14394" s="18" t="s">
        <v>0</v>
      </c>
      <c r="F14394" s="41">
        <v>1</v>
      </c>
      <c r="G14394" s="41">
        <v>10</v>
      </c>
      <c r="H14394" s="41">
        <v>39.85031</v>
      </c>
      <c r="I14394" s="221"/>
      <c r="J14394" s="221"/>
    </row>
    <row r="14395" spans="1:10" s="15" customFormat="1" ht="24" hidden="1" customHeight="1" outlineLevel="1" x14ac:dyDescent="0.25">
      <c r="A14395" s="18">
        <v>1158</v>
      </c>
      <c r="B14395" s="4" t="s">
        <v>44</v>
      </c>
      <c r="C14395" s="38" t="s">
        <v>12269</v>
      </c>
      <c r="D14395" s="18">
        <v>2023</v>
      </c>
      <c r="E14395" s="18" t="s">
        <v>0</v>
      </c>
      <c r="F14395" s="41">
        <v>1</v>
      </c>
      <c r="G14395" s="41">
        <v>15</v>
      </c>
      <c r="H14395" s="41">
        <v>40.127379999999995</v>
      </c>
      <c r="I14395" s="221"/>
      <c r="J14395" s="221"/>
    </row>
    <row r="14396" spans="1:10" s="15" customFormat="1" ht="24" hidden="1" customHeight="1" outlineLevel="1" x14ac:dyDescent="0.25">
      <c r="A14396" s="18">
        <v>1273</v>
      </c>
      <c r="B14396" s="4" t="s">
        <v>44</v>
      </c>
      <c r="C14396" s="38" t="s">
        <v>12270</v>
      </c>
      <c r="D14396" s="18">
        <v>2023</v>
      </c>
      <c r="E14396" s="18" t="s">
        <v>0</v>
      </c>
      <c r="F14396" s="41">
        <v>1</v>
      </c>
      <c r="G14396" s="41">
        <v>15</v>
      </c>
      <c r="H14396" s="41">
        <v>39.40204</v>
      </c>
      <c r="I14396" s="221"/>
      <c r="J14396" s="221"/>
    </row>
    <row r="14397" spans="1:10" s="15" customFormat="1" ht="24" hidden="1" customHeight="1" outlineLevel="1" x14ac:dyDescent="0.25">
      <c r="A14397" s="18">
        <v>1922</v>
      </c>
      <c r="B14397" s="4" t="s">
        <v>44</v>
      </c>
      <c r="C14397" s="38" t="s">
        <v>12271</v>
      </c>
      <c r="D14397" s="18">
        <v>2023</v>
      </c>
      <c r="E14397" s="18" t="s">
        <v>0</v>
      </c>
      <c r="F14397" s="41">
        <v>1</v>
      </c>
      <c r="G14397" s="41">
        <v>4</v>
      </c>
      <c r="H14397" s="41">
        <v>38.581589999999998</v>
      </c>
      <c r="I14397" s="221"/>
      <c r="J14397" s="221"/>
    </row>
    <row r="14398" spans="1:10" s="15" customFormat="1" ht="24" hidden="1" customHeight="1" outlineLevel="1" x14ac:dyDescent="0.25">
      <c r="A14398" s="18">
        <v>1337</v>
      </c>
      <c r="B14398" s="4" t="s">
        <v>44</v>
      </c>
      <c r="C14398" s="38" t="s">
        <v>12272</v>
      </c>
      <c r="D14398" s="18">
        <v>2023</v>
      </c>
      <c r="E14398" s="18" t="s">
        <v>0</v>
      </c>
      <c r="F14398" s="41">
        <v>1</v>
      </c>
      <c r="G14398" s="41">
        <v>2</v>
      </c>
      <c r="H14398" s="41">
        <v>41.298200000000001</v>
      </c>
      <c r="I14398" s="221"/>
      <c r="J14398" s="221"/>
    </row>
    <row r="14399" spans="1:10" s="15" customFormat="1" ht="24" hidden="1" customHeight="1" outlineLevel="1" x14ac:dyDescent="0.25">
      <c r="A14399" s="18">
        <v>4057</v>
      </c>
      <c r="B14399" s="4" t="s">
        <v>44</v>
      </c>
      <c r="C14399" s="38" t="s">
        <v>12273</v>
      </c>
      <c r="D14399" s="18">
        <v>2023</v>
      </c>
      <c r="E14399" s="18" t="s">
        <v>0</v>
      </c>
      <c r="F14399" s="41">
        <v>1</v>
      </c>
      <c r="G14399" s="41">
        <v>15</v>
      </c>
      <c r="H14399" s="41">
        <v>41.085380000000001</v>
      </c>
      <c r="I14399" s="221"/>
      <c r="J14399" s="221"/>
    </row>
    <row r="14400" spans="1:10" s="15" customFormat="1" ht="24" hidden="1" customHeight="1" outlineLevel="1" x14ac:dyDescent="0.25">
      <c r="A14400" s="18">
        <v>1165</v>
      </c>
      <c r="B14400" s="4" t="s">
        <v>44</v>
      </c>
      <c r="C14400" s="38" t="s">
        <v>12274</v>
      </c>
      <c r="D14400" s="18">
        <v>2023</v>
      </c>
      <c r="E14400" s="18" t="s">
        <v>0</v>
      </c>
      <c r="F14400" s="41">
        <v>1</v>
      </c>
      <c r="G14400" s="41">
        <v>15</v>
      </c>
      <c r="H14400" s="41">
        <v>38.864890000000003</v>
      </c>
      <c r="I14400" s="221"/>
      <c r="J14400" s="221"/>
    </row>
    <row r="14401" spans="1:10" s="15" customFormat="1" ht="24" hidden="1" customHeight="1" outlineLevel="1" x14ac:dyDescent="0.25">
      <c r="A14401" s="18">
        <v>1938</v>
      </c>
      <c r="B14401" s="4" t="s">
        <v>44</v>
      </c>
      <c r="C14401" s="38" t="s">
        <v>12275</v>
      </c>
      <c r="D14401" s="18">
        <v>2023</v>
      </c>
      <c r="E14401" s="18" t="s">
        <v>0</v>
      </c>
      <c r="F14401" s="41">
        <v>1</v>
      </c>
      <c r="G14401" s="41">
        <v>4</v>
      </c>
      <c r="H14401" s="41">
        <v>38.217010000000002</v>
      </c>
      <c r="I14401" s="221"/>
      <c r="J14401" s="221"/>
    </row>
    <row r="14402" spans="1:10" s="15" customFormat="1" ht="24" hidden="1" customHeight="1" outlineLevel="1" x14ac:dyDescent="0.25">
      <c r="A14402" s="18">
        <v>4078</v>
      </c>
      <c r="B14402" s="4" t="s">
        <v>44</v>
      </c>
      <c r="C14402" s="38" t="s">
        <v>12276</v>
      </c>
      <c r="D14402" s="18">
        <v>2023</v>
      </c>
      <c r="E14402" s="18" t="s">
        <v>0</v>
      </c>
      <c r="F14402" s="41">
        <v>1</v>
      </c>
      <c r="G14402" s="41">
        <v>15</v>
      </c>
      <c r="H14402" s="41">
        <v>47.264800000000001</v>
      </c>
      <c r="I14402" s="221"/>
      <c r="J14402" s="221"/>
    </row>
    <row r="14403" spans="1:10" s="15" customFormat="1" ht="24" hidden="1" customHeight="1" outlineLevel="1" x14ac:dyDescent="0.25">
      <c r="A14403" s="18">
        <v>4075</v>
      </c>
      <c r="B14403" s="4" t="s">
        <v>44</v>
      </c>
      <c r="C14403" s="38" t="s">
        <v>12277</v>
      </c>
      <c r="D14403" s="18">
        <v>2023</v>
      </c>
      <c r="E14403" s="18" t="s">
        <v>0</v>
      </c>
      <c r="F14403" s="41">
        <v>1</v>
      </c>
      <c r="G14403" s="41">
        <v>15</v>
      </c>
      <c r="H14403" s="41">
        <v>39.327370000000002</v>
      </c>
      <c r="I14403" s="221"/>
      <c r="J14403" s="221"/>
    </row>
    <row r="14404" spans="1:10" s="15" customFormat="1" ht="24" hidden="1" customHeight="1" outlineLevel="1" x14ac:dyDescent="0.25">
      <c r="A14404" s="18">
        <v>497</v>
      </c>
      <c r="B14404" s="4" t="s">
        <v>44</v>
      </c>
      <c r="C14404" s="38" t="s">
        <v>12278</v>
      </c>
      <c r="D14404" s="18">
        <v>2023</v>
      </c>
      <c r="E14404" s="18" t="s">
        <v>0</v>
      </c>
      <c r="F14404" s="41">
        <v>1</v>
      </c>
      <c r="G14404" s="41">
        <v>15</v>
      </c>
      <c r="H14404" s="41">
        <v>462.62923999999998</v>
      </c>
      <c r="I14404" s="221"/>
      <c r="J14404" s="221"/>
    </row>
    <row r="14405" spans="1:10" s="15" customFormat="1" ht="24" hidden="1" customHeight="1" outlineLevel="1" x14ac:dyDescent="0.25">
      <c r="A14405" s="18">
        <v>4046</v>
      </c>
      <c r="B14405" s="4" t="s">
        <v>44</v>
      </c>
      <c r="C14405" s="38" t="s">
        <v>12279</v>
      </c>
      <c r="D14405" s="18">
        <v>2023</v>
      </c>
      <c r="E14405" s="18" t="s">
        <v>0</v>
      </c>
      <c r="F14405" s="41">
        <v>1</v>
      </c>
      <c r="G14405" s="41">
        <v>135</v>
      </c>
      <c r="H14405" s="41">
        <v>52.593739999999997</v>
      </c>
      <c r="I14405" s="221"/>
      <c r="J14405" s="221"/>
    </row>
    <row r="14406" spans="1:10" s="15" customFormat="1" ht="24" hidden="1" customHeight="1" outlineLevel="1" x14ac:dyDescent="0.25">
      <c r="A14406" s="18">
        <v>4083</v>
      </c>
      <c r="B14406" s="4" t="s">
        <v>44</v>
      </c>
      <c r="C14406" s="38" t="s">
        <v>12280</v>
      </c>
      <c r="D14406" s="18">
        <v>2023</v>
      </c>
      <c r="E14406" s="18" t="s">
        <v>0</v>
      </c>
      <c r="F14406" s="41">
        <v>1</v>
      </c>
      <c r="G14406" s="41">
        <v>15</v>
      </c>
      <c r="H14406" s="41">
        <v>38.308309999999999</v>
      </c>
      <c r="I14406" s="221"/>
      <c r="J14406" s="221"/>
    </row>
    <row r="14407" spans="1:10" s="15" customFormat="1" ht="24" hidden="1" customHeight="1" outlineLevel="1" x14ac:dyDescent="0.25">
      <c r="A14407" s="18">
        <v>4027</v>
      </c>
      <c r="B14407" s="4" t="s">
        <v>44</v>
      </c>
      <c r="C14407" s="38" t="s">
        <v>12281</v>
      </c>
      <c r="D14407" s="18">
        <v>2023</v>
      </c>
      <c r="E14407" s="18" t="s">
        <v>0</v>
      </c>
      <c r="F14407" s="41">
        <v>1</v>
      </c>
      <c r="G14407" s="41">
        <v>14</v>
      </c>
      <c r="H14407" s="41">
        <v>43.523829999999997</v>
      </c>
      <c r="I14407" s="221"/>
      <c r="J14407" s="221"/>
    </row>
    <row r="14408" spans="1:10" s="15" customFormat="1" ht="24" hidden="1" customHeight="1" outlineLevel="1" x14ac:dyDescent="0.25">
      <c r="A14408" s="18">
        <v>4026</v>
      </c>
      <c r="B14408" s="4" t="s">
        <v>44</v>
      </c>
      <c r="C14408" s="38" t="s">
        <v>12282</v>
      </c>
      <c r="D14408" s="18">
        <v>2023</v>
      </c>
      <c r="E14408" s="18" t="s">
        <v>0</v>
      </c>
      <c r="F14408" s="41">
        <v>1</v>
      </c>
      <c r="G14408" s="41">
        <v>14</v>
      </c>
      <c r="H14408" s="41">
        <v>43.523800000000001</v>
      </c>
      <c r="I14408" s="221"/>
      <c r="J14408" s="221"/>
    </row>
    <row r="14409" spans="1:10" s="15" customFormat="1" ht="24" hidden="1" customHeight="1" outlineLevel="1" x14ac:dyDescent="0.25">
      <c r="A14409" s="18">
        <v>460</v>
      </c>
      <c r="B14409" s="4" t="s">
        <v>44</v>
      </c>
      <c r="C14409" s="38" t="s">
        <v>12283</v>
      </c>
      <c r="D14409" s="18">
        <v>2023</v>
      </c>
      <c r="E14409" s="18" t="s">
        <v>0</v>
      </c>
      <c r="F14409" s="41">
        <v>1</v>
      </c>
      <c r="G14409" s="41">
        <v>14</v>
      </c>
      <c r="H14409" s="41">
        <v>43.523820000000001</v>
      </c>
      <c r="I14409" s="221"/>
      <c r="J14409" s="221"/>
    </row>
    <row r="14410" spans="1:10" s="15" customFormat="1" ht="24" hidden="1" customHeight="1" outlineLevel="1" x14ac:dyDescent="0.25">
      <c r="A14410" s="18">
        <v>4082</v>
      </c>
      <c r="B14410" s="4" t="s">
        <v>44</v>
      </c>
      <c r="C14410" s="38" t="s">
        <v>12284</v>
      </c>
      <c r="D14410" s="18">
        <v>2023</v>
      </c>
      <c r="E14410" s="18" t="s">
        <v>0</v>
      </c>
      <c r="F14410" s="41">
        <v>1</v>
      </c>
      <c r="G14410" s="41">
        <v>15</v>
      </c>
      <c r="H14410" s="41">
        <v>39.7605</v>
      </c>
      <c r="I14410" s="221"/>
      <c r="J14410" s="221"/>
    </row>
    <row r="14411" spans="1:10" s="15" customFormat="1" ht="24" hidden="1" customHeight="1" outlineLevel="1" x14ac:dyDescent="0.25">
      <c r="A14411" s="18">
        <v>4079</v>
      </c>
      <c r="B14411" s="4" t="s">
        <v>44</v>
      </c>
      <c r="C14411" s="38" t="s">
        <v>12285</v>
      </c>
      <c r="D14411" s="18">
        <v>2023</v>
      </c>
      <c r="E14411" s="18" t="s">
        <v>0</v>
      </c>
      <c r="F14411" s="41">
        <v>1</v>
      </c>
      <c r="G14411" s="41">
        <v>10</v>
      </c>
      <c r="H14411" s="41">
        <v>39.921840000000003</v>
      </c>
      <c r="I14411" s="221"/>
      <c r="J14411" s="221"/>
    </row>
    <row r="14412" spans="1:10" s="15" customFormat="1" ht="24" hidden="1" customHeight="1" outlineLevel="1" x14ac:dyDescent="0.25">
      <c r="A14412" s="18">
        <v>4081</v>
      </c>
      <c r="B14412" s="4" t="s">
        <v>44</v>
      </c>
      <c r="C14412" s="38" t="s">
        <v>12286</v>
      </c>
      <c r="D14412" s="18">
        <v>2023</v>
      </c>
      <c r="E14412" s="18" t="s">
        <v>0</v>
      </c>
      <c r="F14412" s="41">
        <v>1</v>
      </c>
      <c r="G14412" s="41">
        <v>10</v>
      </c>
      <c r="H14412" s="41">
        <v>40.708559999999999</v>
      </c>
      <c r="I14412" s="221"/>
      <c r="J14412" s="221"/>
    </row>
    <row r="14413" spans="1:10" s="15" customFormat="1" ht="24" hidden="1" customHeight="1" outlineLevel="1" x14ac:dyDescent="0.25">
      <c r="A14413" s="18">
        <v>1260</v>
      </c>
      <c r="B14413" s="4" t="s">
        <v>44</v>
      </c>
      <c r="C14413" s="38" t="s">
        <v>12287</v>
      </c>
      <c r="D14413" s="18">
        <v>2023</v>
      </c>
      <c r="E14413" s="18" t="s">
        <v>0</v>
      </c>
      <c r="F14413" s="41">
        <v>1</v>
      </c>
      <c r="G14413" s="41">
        <v>10</v>
      </c>
      <c r="H14413" s="41">
        <v>41.320040000000006</v>
      </c>
      <c r="I14413" s="221"/>
      <c r="J14413" s="221"/>
    </row>
    <row r="14414" spans="1:10" s="15" customFormat="1" ht="24" hidden="1" customHeight="1" outlineLevel="1" x14ac:dyDescent="0.25">
      <c r="A14414" s="18">
        <v>4029</v>
      </c>
      <c r="B14414" s="4" t="s">
        <v>44</v>
      </c>
      <c r="C14414" s="38" t="s">
        <v>12288</v>
      </c>
      <c r="D14414" s="18">
        <v>2023</v>
      </c>
      <c r="E14414" s="18" t="s">
        <v>0</v>
      </c>
      <c r="F14414" s="41">
        <v>1</v>
      </c>
      <c r="G14414" s="41">
        <v>15</v>
      </c>
      <c r="H14414" s="41">
        <v>29.310960000000001</v>
      </c>
      <c r="I14414" s="221"/>
      <c r="J14414" s="221"/>
    </row>
    <row r="14415" spans="1:10" s="15" customFormat="1" ht="24" hidden="1" customHeight="1" outlineLevel="1" x14ac:dyDescent="0.25">
      <c r="A14415" s="18">
        <v>422</v>
      </c>
      <c r="B14415" s="4" t="s">
        <v>44</v>
      </c>
      <c r="C14415" s="38" t="s">
        <v>12289</v>
      </c>
      <c r="D14415" s="18">
        <v>2023</v>
      </c>
      <c r="E14415" s="18" t="s">
        <v>0</v>
      </c>
      <c r="F14415" s="41">
        <v>1</v>
      </c>
      <c r="G14415" s="41">
        <v>10</v>
      </c>
      <c r="H14415" s="41">
        <v>62.417340000000003</v>
      </c>
      <c r="I14415" s="221"/>
      <c r="J14415" s="221"/>
    </row>
    <row r="14416" spans="1:10" s="15" customFormat="1" ht="24" hidden="1" customHeight="1" outlineLevel="1" x14ac:dyDescent="0.25">
      <c r="A14416" s="18">
        <v>4089</v>
      </c>
      <c r="B14416" s="4" t="s">
        <v>44</v>
      </c>
      <c r="C14416" s="38" t="s">
        <v>12290</v>
      </c>
      <c r="D14416" s="18">
        <v>2023</v>
      </c>
      <c r="E14416" s="18" t="s">
        <v>0</v>
      </c>
      <c r="F14416" s="41">
        <v>1</v>
      </c>
      <c r="G14416" s="41">
        <v>15</v>
      </c>
      <c r="H14416" s="41">
        <v>40.802379999999999</v>
      </c>
      <c r="I14416" s="221"/>
      <c r="J14416" s="221"/>
    </row>
    <row r="14417" spans="1:10" s="15" customFormat="1" ht="24" hidden="1" customHeight="1" outlineLevel="1" x14ac:dyDescent="0.25">
      <c r="A14417" s="18">
        <v>1952</v>
      </c>
      <c r="B14417" s="4" t="s">
        <v>44</v>
      </c>
      <c r="C14417" s="38" t="s">
        <v>12291</v>
      </c>
      <c r="D14417" s="18">
        <v>2023</v>
      </c>
      <c r="E14417" s="18" t="s">
        <v>0</v>
      </c>
      <c r="F14417" s="41">
        <v>1</v>
      </c>
      <c r="G14417" s="41">
        <v>5</v>
      </c>
      <c r="H14417" s="41">
        <v>37.808660000000003</v>
      </c>
      <c r="I14417" s="221"/>
      <c r="J14417" s="221"/>
    </row>
    <row r="14418" spans="1:10" s="15" customFormat="1" ht="24" hidden="1" customHeight="1" outlineLevel="1" x14ac:dyDescent="0.25">
      <c r="A14418" s="18">
        <v>4090</v>
      </c>
      <c r="B14418" s="4" t="s">
        <v>44</v>
      </c>
      <c r="C14418" s="38" t="s">
        <v>12292</v>
      </c>
      <c r="D14418" s="18">
        <v>2023</v>
      </c>
      <c r="E14418" s="18" t="s">
        <v>0</v>
      </c>
      <c r="F14418" s="41">
        <v>1</v>
      </c>
      <c r="G14418" s="41">
        <v>12.5</v>
      </c>
      <c r="H14418" s="41">
        <v>41.352910000000001</v>
      </c>
      <c r="I14418" s="221"/>
      <c r="J14418" s="221"/>
    </row>
    <row r="14419" spans="1:10" s="15" customFormat="1" ht="24" hidden="1" customHeight="1" outlineLevel="1" x14ac:dyDescent="0.25">
      <c r="A14419" s="18">
        <v>640</v>
      </c>
      <c r="B14419" s="4" t="s">
        <v>44</v>
      </c>
      <c r="C14419" s="38" t="s">
        <v>12293</v>
      </c>
      <c r="D14419" s="18">
        <v>2023</v>
      </c>
      <c r="E14419" s="18" t="s">
        <v>0</v>
      </c>
      <c r="F14419" s="41">
        <v>1</v>
      </c>
      <c r="G14419" s="41">
        <v>15</v>
      </c>
      <c r="H14419" s="41">
        <v>63.88711</v>
      </c>
      <c r="I14419" s="221"/>
      <c r="J14419" s="221"/>
    </row>
    <row r="14420" spans="1:10" s="15" customFormat="1" ht="24" hidden="1" customHeight="1" outlineLevel="1" x14ac:dyDescent="0.25">
      <c r="A14420" s="18">
        <v>4084</v>
      </c>
      <c r="B14420" s="4" t="s">
        <v>44</v>
      </c>
      <c r="C14420" s="38" t="s">
        <v>12294</v>
      </c>
      <c r="D14420" s="18">
        <v>2023</v>
      </c>
      <c r="E14420" s="18" t="s">
        <v>0</v>
      </c>
      <c r="F14420" s="41">
        <v>1</v>
      </c>
      <c r="G14420" s="41">
        <v>10</v>
      </c>
      <c r="H14420" s="41">
        <v>45.80218</v>
      </c>
      <c r="I14420" s="221"/>
      <c r="J14420" s="221"/>
    </row>
    <row r="14421" spans="1:10" s="15" customFormat="1" ht="24" hidden="1" customHeight="1" outlineLevel="1" x14ac:dyDescent="0.25">
      <c r="A14421" s="18">
        <v>4077</v>
      </c>
      <c r="B14421" s="4" t="s">
        <v>44</v>
      </c>
      <c r="C14421" s="38" t="s">
        <v>12295</v>
      </c>
      <c r="D14421" s="18">
        <v>2023</v>
      </c>
      <c r="E14421" s="18" t="s">
        <v>0</v>
      </c>
      <c r="F14421" s="41">
        <v>1</v>
      </c>
      <c r="G14421" s="41">
        <v>15</v>
      </c>
      <c r="H14421" s="41">
        <v>39.21452</v>
      </c>
      <c r="I14421" s="221"/>
      <c r="J14421" s="221"/>
    </row>
    <row r="14422" spans="1:10" s="15" customFormat="1" ht="24" hidden="1" customHeight="1" outlineLevel="1" x14ac:dyDescent="0.25">
      <c r="A14422" s="18">
        <v>4087</v>
      </c>
      <c r="B14422" s="4" t="s">
        <v>44</v>
      </c>
      <c r="C14422" s="38" t="s">
        <v>12296</v>
      </c>
      <c r="D14422" s="18">
        <v>2023</v>
      </c>
      <c r="E14422" s="18" t="s">
        <v>0</v>
      </c>
      <c r="F14422" s="41">
        <v>1</v>
      </c>
      <c r="G14422" s="41">
        <v>10</v>
      </c>
      <c r="H14422" s="41">
        <v>38.865719999999996</v>
      </c>
      <c r="I14422" s="221"/>
      <c r="J14422" s="221"/>
    </row>
    <row r="14423" spans="1:10" s="15" customFormat="1" ht="24" hidden="1" customHeight="1" outlineLevel="1" x14ac:dyDescent="0.25">
      <c r="A14423" s="18">
        <v>2050</v>
      </c>
      <c r="B14423" s="4" t="s">
        <v>44</v>
      </c>
      <c r="C14423" s="38" t="s">
        <v>12297</v>
      </c>
      <c r="D14423" s="18">
        <v>2023</v>
      </c>
      <c r="E14423" s="18" t="s">
        <v>0</v>
      </c>
      <c r="F14423" s="41">
        <v>1</v>
      </c>
      <c r="G14423" s="41">
        <v>3</v>
      </c>
      <c r="H14423" s="41">
        <v>38.863819999999997</v>
      </c>
      <c r="I14423" s="221"/>
      <c r="J14423" s="221"/>
    </row>
    <row r="14424" spans="1:10" s="15" customFormat="1" ht="24" hidden="1" customHeight="1" outlineLevel="1" x14ac:dyDescent="0.25">
      <c r="A14424" s="18">
        <v>1753</v>
      </c>
      <c r="B14424" s="4" t="s">
        <v>44</v>
      </c>
      <c r="C14424" s="38" t="s">
        <v>12298</v>
      </c>
      <c r="D14424" s="18">
        <v>2023</v>
      </c>
      <c r="E14424" s="18" t="s">
        <v>0</v>
      </c>
      <c r="F14424" s="41">
        <v>1</v>
      </c>
      <c r="G14424" s="41">
        <v>5</v>
      </c>
      <c r="H14424" s="41">
        <v>38.902760000000001</v>
      </c>
      <c r="I14424" s="221"/>
      <c r="J14424" s="221"/>
    </row>
    <row r="14425" spans="1:10" s="15" customFormat="1" ht="24" hidden="1" customHeight="1" outlineLevel="1" x14ac:dyDescent="0.25">
      <c r="A14425" s="18">
        <v>1220</v>
      </c>
      <c r="B14425" s="4" t="s">
        <v>44</v>
      </c>
      <c r="C14425" s="38" t="s">
        <v>12299</v>
      </c>
      <c r="D14425" s="18">
        <v>2023</v>
      </c>
      <c r="E14425" s="18" t="s">
        <v>0</v>
      </c>
      <c r="F14425" s="41">
        <v>1</v>
      </c>
      <c r="G14425" s="41">
        <v>2</v>
      </c>
      <c r="H14425" s="41">
        <v>39.228970000000004</v>
      </c>
      <c r="I14425" s="221"/>
      <c r="J14425" s="221"/>
    </row>
    <row r="14426" spans="1:10" s="15" customFormat="1" ht="24" hidden="1" customHeight="1" outlineLevel="1" x14ac:dyDescent="0.25">
      <c r="A14426" s="18">
        <v>355</v>
      </c>
      <c r="B14426" s="4" t="s">
        <v>44</v>
      </c>
      <c r="C14426" s="38" t="s">
        <v>12300</v>
      </c>
      <c r="D14426" s="18">
        <v>2023</v>
      </c>
      <c r="E14426" s="18" t="s">
        <v>0</v>
      </c>
      <c r="F14426" s="41">
        <v>1</v>
      </c>
      <c r="G14426" s="41">
        <v>10</v>
      </c>
      <c r="H14426" s="41">
        <v>46.400869999999998</v>
      </c>
      <c r="I14426" s="221"/>
      <c r="J14426" s="221"/>
    </row>
    <row r="14427" spans="1:10" s="15" customFormat="1" ht="24" hidden="1" customHeight="1" outlineLevel="1" x14ac:dyDescent="0.25">
      <c r="A14427" s="18">
        <v>843</v>
      </c>
      <c r="B14427" s="4" t="s">
        <v>44</v>
      </c>
      <c r="C14427" s="38" t="s">
        <v>12301</v>
      </c>
      <c r="D14427" s="18">
        <v>2023</v>
      </c>
      <c r="E14427" s="18" t="s">
        <v>0</v>
      </c>
      <c r="F14427" s="41">
        <v>1</v>
      </c>
      <c r="G14427" s="41">
        <v>10</v>
      </c>
      <c r="H14427" s="41">
        <v>37.375160000000001</v>
      </c>
      <c r="I14427" s="221"/>
      <c r="J14427" s="221"/>
    </row>
    <row r="14428" spans="1:10" s="15" customFormat="1" ht="24" hidden="1" customHeight="1" outlineLevel="1" x14ac:dyDescent="0.25">
      <c r="A14428" s="18">
        <v>572</v>
      </c>
      <c r="B14428" s="4" t="s">
        <v>44</v>
      </c>
      <c r="C14428" s="38" t="s">
        <v>12302</v>
      </c>
      <c r="D14428" s="18">
        <v>2023</v>
      </c>
      <c r="E14428" s="18" t="s">
        <v>0</v>
      </c>
      <c r="F14428" s="41">
        <v>1</v>
      </c>
      <c r="G14428" s="41">
        <v>10</v>
      </c>
      <c r="H14428" s="41">
        <v>62.871850000000009</v>
      </c>
      <c r="I14428" s="221"/>
      <c r="J14428" s="221"/>
    </row>
    <row r="14429" spans="1:10" s="15" customFormat="1" ht="24" hidden="1" customHeight="1" outlineLevel="1" x14ac:dyDescent="0.25">
      <c r="A14429" s="18">
        <v>4103</v>
      </c>
      <c r="B14429" s="4" t="s">
        <v>44</v>
      </c>
      <c r="C14429" s="38" t="s">
        <v>12303</v>
      </c>
      <c r="D14429" s="18">
        <v>2023</v>
      </c>
      <c r="E14429" s="18" t="s">
        <v>0</v>
      </c>
      <c r="F14429" s="41">
        <v>1</v>
      </c>
      <c r="G14429" s="41">
        <v>15</v>
      </c>
      <c r="H14429" s="41">
        <v>40.757259999999995</v>
      </c>
      <c r="I14429" s="221"/>
      <c r="J14429" s="221"/>
    </row>
    <row r="14430" spans="1:10" s="15" customFormat="1" ht="24" hidden="1" customHeight="1" outlineLevel="1" x14ac:dyDescent="0.25">
      <c r="A14430" s="18">
        <v>4102</v>
      </c>
      <c r="B14430" s="4" t="s">
        <v>44</v>
      </c>
      <c r="C14430" s="38" t="s">
        <v>12304</v>
      </c>
      <c r="D14430" s="18">
        <v>2023</v>
      </c>
      <c r="E14430" s="18" t="s">
        <v>0</v>
      </c>
      <c r="F14430" s="41">
        <v>1</v>
      </c>
      <c r="G14430" s="41">
        <v>15</v>
      </c>
      <c r="H14430" s="41">
        <v>40.0383</v>
      </c>
      <c r="I14430" s="221"/>
      <c r="J14430" s="221"/>
    </row>
    <row r="14431" spans="1:10" s="15" customFormat="1" ht="24" hidden="1" customHeight="1" outlineLevel="1" x14ac:dyDescent="0.25">
      <c r="A14431" s="18">
        <v>2214</v>
      </c>
      <c r="B14431" s="4" t="s">
        <v>44</v>
      </c>
      <c r="C14431" s="38" t="s">
        <v>12305</v>
      </c>
      <c r="D14431" s="18">
        <v>2023</v>
      </c>
      <c r="E14431" s="18" t="s">
        <v>0</v>
      </c>
      <c r="F14431" s="41">
        <v>1</v>
      </c>
      <c r="G14431" s="41">
        <v>6</v>
      </c>
      <c r="H14431" s="41">
        <v>39.496259999999999</v>
      </c>
      <c r="I14431" s="221"/>
      <c r="J14431" s="221"/>
    </row>
    <row r="14432" spans="1:10" s="15" customFormat="1" ht="24" hidden="1" customHeight="1" outlineLevel="1" x14ac:dyDescent="0.25">
      <c r="A14432" s="18">
        <v>4104</v>
      </c>
      <c r="B14432" s="4" t="s">
        <v>44</v>
      </c>
      <c r="C14432" s="38" t="s">
        <v>12306</v>
      </c>
      <c r="D14432" s="18">
        <v>2023</v>
      </c>
      <c r="E14432" s="18" t="s">
        <v>0</v>
      </c>
      <c r="F14432" s="41">
        <v>1</v>
      </c>
      <c r="G14432" s="41">
        <v>10</v>
      </c>
      <c r="H14432" s="41">
        <v>39.143389999999997</v>
      </c>
      <c r="I14432" s="221"/>
      <c r="J14432" s="221"/>
    </row>
    <row r="14433" spans="1:10" s="15" customFormat="1" ht="24" hidden="1" customHeight="1" outlineLevel="1" x14ac:dyDescent="0.25">
      <c r="A14433" s="18">
        <v>1873</v>
      </c>
      <c r="B14433" s="4" t="s">
        <v>44</v>
      </c>
      <c r="C14433" s="38" t="s">
        <v>12307</v>
      </c>
      <c r="D14433" s="18">
        <v>2023</v>
      </c>
      <c r="E14433" s="18" t="s">
        <v>0</v>
      </c>
      <c r="F14433" s="41">
        <v>1</v>
      </c>
      <c r="G14433" s="41">
        <v>15</v>
      </c>
      <c r="H14433" s="41">
        <v>39.597439999999999</v>
      </c>
      <c r="I14433" s="221"/>
      <c r="J14433" s="221"/>
    </row>
    <row r="14434" spans="1:10" s="15" customFormat="1" ht="24" hidden="1" customHeight="1" outlineLevel="1" x14ac:dyDescent="0.25">
      <c r="A14434" s="18">
        <v>4108</v>
      </c>
      <c r="B14434" s="4" t="s">
        <v>44</v>
      </c>
      <c r="C14434" s="38" t="s">
        <v>12308</v>
      </c>
      <c r="D14434" s="18">
        <v>2023</v>
      </c>
      <c r="E14434" s="18" t="s">
        <v>0</v>
      </c>
      <c r="F14434" s="41">
        <v>1</v>
      </c>
      <c r="G14434" s="41">
        <v>13.5</v>
      </c>
      <c r="H14434" s="41">
        <v>46.218229999999998</v>
      </c>
      <c r="I14434" s="221"/>
      <c r="J14434" s="221"/>
    </row>
    <row r="14435" spans="1:10" s="15" customFormat="1" ht="24" hidden="1" customHeight="1" outlineLevel="1" x14ac:dyDescent="0.25">
      <c r="A14435" s="18">
        <v>4110</v>
      </c>
      <c r="B14435" s="4" t="s">
        <v>44</v>
      </c>
      <c r="C14435" s="38" t="s">
        <v>12309</v>
      </c>
      <c r="D14435" s="18">
        <v>2023</v>
      </c>
      <c r="E14435" s="18" t="s">
        <v>0</v>
      </c>
      <c r="F14435" s="41">
        <v>1</v>
      </c>
      <c r="G14435" s="41">
        <v>15</v>
      </c>
      <c r="H14435" s="41">
        <v>39.779879999999999</v>
      </c>
      <c r="I14435" s="221"/>
      <c r="J14435" s="221"/>
    </row>
    <row r="14436" spans="1:10" s="15" customFormat="1" ht="24" hidden="1" customHeight="1" outlineLevel="1" x14ac:dyDescent="0.25">
      <c r="A14436" s="18">
        <v>4111</v>
      </c>
      <c r="B14436" s="4" t="s">
        <v>44</v>
      </c>
      <c r="C14436" s="38" t="s">
        <v>12310</v>
      </c>
      <c r="D14436" s="18">
        <v>2023</v>
      </c>
      <c r="E14436" s="18" t="s">
        <v>0</v>
      </c>
      <c r="F14436" s="41">
        <v>1</v>
      </c>
      <c r="G14436" s="41">
        <v>15</v>
      </c>
      <c r="H14436" s="41">
        <v>39.719329999999999</v>
      </c>
      <c r="I14436" s="221"/>
      <c r="J14436" s="221"/>
    </row>
    <row r="14437" spans="1:10" s="15" customFormat="1" ht="24" hidden="1" customHeight="1" outlineLevel="1" x14ac:dyDescent="0.25">
      <c r="A14437" s="18">
        <v>4096</v>
      </c>
      <c r="B14437" s="4" t="s">
        <v>44</v>
      </c>
      <c r="C14437" s="38" t="s">
        <v>12311</v>
      </c>
      <c r="D14437" s="18">
        <v>2023</v>
      </c>
      <c r="E14437" s="18" t="s">
        <v>0</v>
      </c>
      <c r="F14437" s="41">
        <v>1</v>
      </c>
      <c r="G14437" s="41">
        <v>15</v>
      </c>
      <c r="H14437" s="41">
        <v>39.641919999999999</v>
      </c>
      <c r="I14437" s="221"/>
      <c r="J14437" s="221"/>
    </row>
    <row r="14438" spans="1:10" s="15" customFormat="1" ht="24" hidden="1" customHeight="1" outlineLevel="1" x14ac:dyDescent="0.25">
      <c r="A14438" s="18">
        <v>4085</v>
      </c>
      <c r="B14438" s="4" t="s">
        <v>44</v>
      </c>
      <c r="C14438" s="38" t="s">
        <v>12312</v>
      </c>
      <c r="D14438" s="18">
        <v>2023</v>
      </c>
      <c r="E14438" s="18" t="s">
        <v>0</v>
      </c>
      <c r="F14438" s="41">
        <v>1</v>
      </c>
      <c r="G14438" s="41">
        <v>15</v>
      </c>
      <c r="H14438" s="41">
        <v>39.597380000000001</v>
      </c>
      <c r="I14438" s="221"/>
      <c r="J14438" s="221"/>
    </row>
    <row r="14439" spans="1:10" s="15" customFormat="1" ht="24" hidden="1" customHeight="1" outlineLevel="1" x14ac:dyDescent="0.25">
      <c r="A14439" s="18">
        <v>4094</v>
      </c>
      <c r="B14439" s="4" t="s">
        <v>44</v>
      </c>
      <c r="C14439" s="38" t="s">
        <v>12313</v>
      </c>
      <c r="D14439" s="18">
        <v>2023</v>
      </c>
      <c r="E14439" s="18" t="s">
        <v>0</v>
      </c>
      <c r="F14439" s="41">
        <v>1</v>
      </c>
      <c r="G14439" s="41">
        <v>10</v>
      </c>
      <c r="H14439" s="41">
        <v>39.504519999999999</v>
      </c>
      <c r="I14439" s="221"/>
      <c r="J14439" s="221"/>
    </row>
    <row r="14440" spans="1:10" s="15" customFormat="1" ht="24" hidden="1" customHeight="1" outlineLevel="1" x14ac:dyDescent="0.25">
      <c r="A14440" s="18">
        <v>4126</v>
      </c>
      <c r="B14440" s="4" t="s">
        <v>44</v>
      </c>
      <c r="C14440" s="38" t="s">
        <v>12314</v>
      </c>
      <c r="D14440" s="18">
        <v>2023</v>
      </c>
      <c r="E14440" s="18" t="s">
        <v>0</v>
      </c>
      <c r="F14440" s="41">
        <v>1</v>
      </c>
      <c r="G14440" s="41">
        <v>15</v>
      </c>
      <c r="H14440" s="41">
        <v>37.085659999999997</v>
      </c>
      <c r="I14440" s="221"/>
      <c r="J14440" s="221"/>
    </row>
    <row r="14441" spans="1:10" s="15" customFormat="1" ht="24" hidden="1" customHeight="1" outlineLevel="1" x14ac:dyDescent="0.25">
      <c r="A14441" s="18">
        <v>4127</v>
      </c>
      <c r="B14441" s="4" t="s">
        <v>44</v>
      </c>
      <c r="C14441" s="38" t="s">
        <v>12315</v>
      </c>
      <c r="D14441" s="18">
        <v>2023</v>
      </c>
      <c r="E14441" s="18" t="s">
        <v>0</v>
      </c>
      <c r="F14441" s="41">
        <v>1</v>
      </c>
      <c r="G14441" s="117">
        <v>13.24</v>
      </c>
      <c r="H14441" s="41">
        <v>38.970869999999998</v>
      </c>
      <c r="I14441" s="221"/>
      <c r="J14441" s="221"/>
    </row>
    <row r="14442" spans="1:10" s="15" customFormat="1" ht="24" hidden="1" customHeight="1" outlineLevel="1" x14ac:dyDescent="0.25">
      <c r="A14442" s="18">
        <v>2201</v>
      </c>
      <c r="B14442" s="4" t="s">
        <v>44</v>
      </c>
      <c r="C14442" s="38" t="s">
        <v>12316</v>
      </c>
      <c r="D14442" s="18">
        <v>2023</v>
      </c>
      <c r="E14442" s="18" t="s">
        <v>0</v>
      </c>
      <c r="F14442" s="41">
        <v>1</v>
      </c>
      <c r="G14442" s="41">
        <v>7</v>
      </c>
      <c r="H14442" s="41">
        <v>35.716409999999996</v>
      </c>
      <c r="I14442" s="221"/>
      <c r="J14442" s="221"/>
    </row>
    <row r="14443" spans="1:10" s="15" customFormat="1" ht="24" hidden="1" customHeight="1" outlineLevel="1" x14ac:dyDescent="0.25">
      <c r="A14443" s="18">
        <v>4106</v>
      </c>
      <c r="B14443" s="4" t="s">
        <v>44</v>
      </c>
      <c r="C14443" s="38" t="s">
        <v>12317</v>
      </c>
      <c r="D14443" s="18">
        <v>2023</v>
      </c>
      <c r="E14443" s="18" t="s">
        <v>0</v>
      </c>
      <c r="F14443" s="41">
        <v>1</v>
      </c>
      <c r="G14443" s="41">
        <v>15</v>
      </c>
      <c r="H14443" s="41">
        <v>40.42868</v>
      </c>
      <c r="I14443" s="221"/>
      <c r="J14443" s="221"/>
    </row>
    <row r="14444" spans="1:10" s="15" customFormat="1" ht="24" hidden="1" customHeight="1" outlineLevel="1" x14ac:dyDescent="0.25">
      <c r="A14444" s="18">
        <v>4125</v>
      </c>
      <c r="B14444" s="4" t="s">
        <v>44</v>
      </c>
      <c r="C14444" s="38" t="s">
        <v>12318</v>
      </c>
      <c r="D14444" s="18">
        <v>2023</v>
      </c>
      <c r="E14444" s="18" t="s">
        <v>0</v>
      </c>
      <c r="F14444" s="41">
        <v>1</v>
      </c>
      <c r="G14444" s="41">
        <v>10</v>
      </c>
      <c r="H14444" s="41">
        <v>36.877409999999998</v>
      </c>
      <c r="I14444" s="221"/>
      <c r="J14444" s="221"/>
    </row>
    <row r="14445" spans="1:10" s="15" customFormat="1" ht="24" hidden="1" customHeight="1" outlineLevel="1" x14ac:dyDescent="0.25">
      <c r="A14445" s="18">
        <v>4129</v>
      </c>
      <c r="B14445" s="4" t="s">
        <v>44</v>
      </c>
      <c r="C14445" s="38" t="s">
        <v>12319</v>
      </c>
      <c r="D14445" s="18">
        <v>2023</v>
      </c>
      <c r="E14445" s="18" t="s">
        <v>0</v>
      </c>
      <c r="F14445" s="41">
        <v>1</v>
      </c>
      <c r="G14445" s="41">
        <v>15</v>
      </c>
      <c r="H14445" s="41">
        <v>40.274389999999997</v>
      </c>
      <c r="I14445" s="221"/>
      <c r="J14445" s="221"/>
    </row>
    <row r="14446" spans="1:10" s="15" customFormat="1" ht="24" hidden="1" customHeight="1" outlineLevel="1" x14ac:dyDescent="0.25">
      <c r="A14446" s="18">
        <v>2319</v>
      </c>
      <c r="B14446" s="4" t="s">
        <v>44</v>
      </c>
      <c r="C14446" s="38" t="s">
        <v>12320</v>
      </c>
      <c r="D14446" s="18">
        <v>2023</v>
      </c>
      <c r="E14446" s="18" t="s">
        <v>0</v>
      </c>
      <c r="F14446" s="41">
        <v>1</v>
      </c>
      <c r="G14446" s="41">
        <v>1</v>
      </c>
      <c r="H14446" s="41">
        <v>36.935490000000001</v>
      </c>
      <c r="I14446" s="221"/>
      <c r="J14446" s="221"/>
    </row>
    <row r="14447" spans="1:10" s="15" customFormat="1" ht="24" hidden="1" customHeight="1" outlineLevel="1" x14ac:dyDescent="0.25">
      <c r="A14447" s="18">
        <v>4130</v>
      </c>
      <c r="B14447" s="4" t="s">
        <v>44</v>
      </c>
      <c r="C14447" s="38" t="s">
        <v>12321</v>
      </c>
      <c r="D14447" s="18">
        <v>2023</v>
      </c>
      <c r="E14447" s="18" t="s">
        <v>0</v>
      </c>
      <c r="F14447" s="41">
        <v>1</v>
      </c>
      <c r="G14447" s="41">
        <v>15</v>
      </c>
      <c r="H14447" s="41">
        <v>40.274389999999997</v>
      </c>
      <c r="I14447" s="221"/>
      <c r="J14447" s="221"/>
    </row>
    <row r="14448" spans="1:10" s="15" customFormat="1" ht="24" hidden="1" customHeight="1" outlineLevel="1" x14ac:dyDescent="0.25">
      <c r="A14448" s="18">
        <v>1886</v>
      </c>
      <c r="B14448" s="4" t="s">
        <v>44</v>
      </c>
      <c r="C14448" s="38" t="s">
        <v>12322</v>
      </c>
      <c r="D14448" s="18">
        <v>2023</v>
      </c>
      <c r="E14448" s="18" t="s">
        <v>0</v>
      </c>
      <c r="F14448" s="41">
        <v>1</v>
      </c>
      <c r="G14448" s="41">
        <v>10</v>
      </c>
      <c r="H14448" s="41">
        <v>46.34366</v>
      </c>
      <c r="I14448" s="221"/>
      <c r="J14448" s="221"/>
    </row>
    <row r="14449" spans="1:10" s="15" customFormat="1" ht="24" hidden="1" customHeight="1" outlineLevel="1" x14ac:dyDescent="0.25">
      <c r="A14449" s="18">
        <v>4133</v>
      </c>
      <c r="B14449" s="4" t="s">
        <v>44</v>
      </c>
      <c r="C14449" s="38" t="s">
        <v>12323</v>
      </c>
      <c r="D14449" s="18">
        <v>2023</v>
      </c>
      <c r="E14449" s="18" t="s">
        <v>0</v>
      </c>
      <c r="F14449" s="41">
        <v>1</v>
      </c>
      <c r="G14449" s="41">
        <v>10</v>
      </c>
      <c r="H14449" s="41">
        <v>37.663019999999996</v>
      </c>
      <c r="I14449" s="221"/>
      <c r="J14449" s="221"/>
    </row>
    <row r="14450" spans="1:10" s="15" customFormat="1" ht="24" hidden="1" customHeight="1" outlineLevel="1" x14ac:dyDescent="0.25">
      <c r="A14450" s="18">
        <v>4134</v>
      </c>
      <c r="B14450" s="4" t="s">
        <v>44</v>
      </c>
      <c r="C14450" s="38" t="s">
        <v>12324</v>
      </c>
      <c r="D14450" s="18">
        <v>2023</v>
      </c>
      <c r="E14450" s="18" t="s">
        <v>0</v>
      </c>
      <c r="F14450" s="41">
        <v>1</v>
      </c>
      <c r="G14450" s="41">
        <v>11</v>
      </c>
      <c r="H14450" s="41">
        <v>37.662320000000001</v>
      </c>
      <c r="I14450" s="221"/>
      <c r="J14450" s="221"/>
    </row>
    <row r="14451" spans="1:10" s="15" customFormat="1" ht="24" hidden="1" customHeight="1" outlineLevel="1" x14ac:dyDescent="0.25">
      <c r="A14451" s="18">
        <v>4115</v>
      </c>
      <c r="B14451" s="4" t="s">
        <v>44</v>
      </c>
      <c r="C14451" s="38" t="s">
        <v>12325</v>
      </c>
      <c r="D14451" s="18">
        <v>2023</v>
      </c>
      <c r="E14451" s="18" t="s">
        <v>0</v>
      </c>
      <c r="F14451" s="41">
        <v>1</v>
      </c>
      <c r="G14451" s="41">
        <v>11</v>
      </c>
      <c r="H14451" s="41">
        <v>38.719539999999995</v>
      </c>
      <c r="I14451" s="221"/>
      <c r="J14451" s="221"/>
    </row>
    <row r="14452" spans="1:10" s="15" customFormat="1" ht="24" hidden="1" customHeight="1" outlineLevel="1" x14ac:dyDescent="0.25">
      <c r="A14452" s="18">
        <v>4113</v>
      </c>
      <c r="B14452" s="4" t="s">
        <v>44</v>
      </c>
      <c r="C14452" s="38" t="s">
        <v>12326</v>
      </c>
      <c r="D14452" s="18">
        <v>2023</v>
      </c>
      <c r="E14452" s="18" t="s">
        <v>0</v>
      </c>
      <c r="F14452" s="41">
        <v>1</v>
      </c>
      <c r="G14452" s="41">
        <v>11</v>
      </c>
      <c r="H14452" s="41">
        <v>38.719529999999999</v>
      </c>
      <c r="I14452" s="221"/>
      <c r="J14452" s="221"/>
    </row>
    <row r="14453" spans="1:10" s="15" customFormat="1" ht="24" hidden="1" customHeight="1" outlineLevel="1" x14ac:dyDescent="0.25">
      <c r="A14453" s="18">
        <v>4114</v>
      </c>
      <c r="B14453" s="4" t="s">
        <v>44</v>
      </c>
      <c r="C14453" s="38" t="s">
        <v>12327</v>
      </c>
      <c r="D14453" s="18">
        <v>2023</v>
      </c>
      <c r="E14453" s="18" t="s">
        <v>0</v>
      </c>
      <c r="F14453" s="41">
        <v>1</v>
      </c>
      <c r="G14453" s="41">
        <v>11</v>
      </c>
      <c r="H14453" s="41">
        <v>38.719529999999999</v>
      </c>
      <c r="I14453" s="221"/>
      <c r="J14453" s="221"/>
    </row>
    <row r="14454" spans="1:10" s="15" customFormat="1" ht="24" hidden="1" customHeight="1" outlineLevel="1" x14ac:dyDescent="0.25">
      <c r="A14454" s="18">
        <v>4131</v>
      </c>
      <c r="B14454" s="4" t="s">
        <v>44</v>
      </c>
      <c r="C14454" s="38" t="s">
        <v>12328</v>
      </c>
      <c r="D14454" s="18">
        <v>2023</v>
      </c>
      <c r="E14454" s="18" t="s">
        <v>0</v>
      </c>
      <c r="F14454" s="41">
        <v>1</v>
      </c>
      <c r="G14454" s="41">
        <v>15</v>
      </c>
      <c r="H14454" s="41">
        <v>40.474379999999996</v>
      </c>
      <c r="I14454" s="221"/>
      <c r="J14454" s="221"/>
    </row>
    <row r="14455" spans="1:10" s="15" customFormat="1" ht="24" hidden="1" customHeight="1" outlineLevel="1" x14ac:dyDescent="0.25">
      <c r="A14455" s="18">
        <v>4107</v>
      </c>
      <c r="B14455" s="4" t="s">
        <v>44</v>
      </c>
      <c r="C14455" s="38" t="s">
        <v>12329</v>
      </c>
      <c r="D14455" s="18">
        <v>2023</v>
      </c>
      <c r="E14455" s="18" t="s">
        <v>0</v>
      </c>
      <c r="F14455" s="41">
        <v>1</v>
      </c>
      <c r="G14455" s="41">
        <v>10</v>
      </c>
      <c r="H14455" s="41">
        <v>37.312550000000002</v>
      </c>
      <c r="I14455" s="221"/>
      <c r="J14455" s="221"/>
    </row>
    <row r="14456" spans="1:10" s="15" customFormat="1" ht="24" hidden="1" customHeight="1" outlineLevel="1" x14ac:dyDescent="0.25">
      <c r="A14456" s="18">
        <v>4097</v>
      </c>
      <c r="B14456" s="4" t="s">
        <v>44</v>
      </c>
      <c r="C14456" s="38" t="s">
        <v>12330</v>
      </c>
      <c r="D14456" s="18">
        <v>2023</v>
      </c>
      <c r="E14456" s="18" t="s">
        <v>0</v>
      </c>
      <c r="F14456" s="41">
        <v>1</v>
      </c>
      <c r="G14456" s="41">
        <v>10</v>
      </c>
      <c r="H14456" s="41">
        <v>49.157560000000004</v>
      </c>
      <c r="I14456" s="221"/>
      <c r="J14456" s="221"/>
    </row>
    <row r="14457" spans="1:10" s="15" customFormat="1" ht="24" hidden="1" customHeight="1" outlineLevel="1" x14ac:dyDescent="0.25">
      <c r="A14457" s="18">
        <v>4119</v>
      </c>
      <c r="B14457" s="4" t="s">
        <v>44</v>
      </c>
      <c r="C14457" s="38" t="s">
        <v>12331</v>
      </c>
      <c r="D14457" s="18">
        <v>2023</v>
      </c>
      <c r="E14457" s="18" t="s">
        <v>0</v>
      </c>
      <c r="F14457" s="41">
        <v>1</v>
      </c>
      <c r="G14457" s="151">
        <v>13.5</v>
      </c>
      <c r="H14457" s="41">
        <v>41.197189999999999</v>
      </c>
      <c r="I14457" s="221"/>
      <c r="J14457" s="221"/>
    </row>
    <row r="14458" spans="1:10" s="15" customFormat="1" ht="24" hidden="1" customHeight="1" outlineLevel="1" x14ac:dyDescent="0.25">
      <c r="A14458" s="18">
        <v>4121</v>
      </c>
      <c r="B14458" s="4" t="s">
        <v>44</v>
      </c>
      <c r="C14458" s="38" t="s">
        <v>12332</v>
      </c>
      <c r="D14458" s="18">
        <v>2023</v>
      </c>
      <c r="E14458" s="18" t="s">
        <v>0</v>
      </c>
      <c r="F14458" s="41">
        <v>1</v>
      </c>
      <c r="G14458" s="151">
        <v>13.5</v>
      </c>
      <c r="H14458" s="41">
        <v>41.197209999999998</v>
      </c>
      <c r="I14458" s="221"/>
      <c r="J14458" s="221"/>
    </row>
    <row r="14459" spans="1:10" s="15" customFormat="1" ht="24" hidden="1" customHeight="1" outlineLevel="1" x14ac:dyDescent="0.25">
      <c r="A14459" s="18">
        <v>4120</v>
      </c>
      <c r="B14459" s="4" t="s">
        <v>44</v>
      </c>
      <c r="C14459" s="38" t="s">
        <v>12333</v>
      </c>
      <c r="D14459" s="18">
        <v>2023</v>
      </c>
      <c r="E14459" s="18" t="s">
        <v>0</v>
      </c>
      <c r="F14459" s="41">
        <v>1</v>
      </c>
      <c r="G14459" s="41">
        <v>10</v>
      </c>
      <c r="H14459" s="41">
        <v>41.197200000000002</v>
      </c>
      <c r="I14459" s="221"/>
      <c r="J14459" s="221"/>
    </row>
    <row r="14460" spans="1:10" s="15" customFormat="1" ht="24" hidden="1" customHeight="1" outlineLevel="1" x14ac:dyDescent="0.25">
      <c r="A14460" s="18">
        <v>4118</v>
      </c>
      <c r="B14460" s="4" t="s">
        <v>44</v>
      </c>
      <c r="C14460" s="38" t="s">
        <v>12334</v>
      </c>
      <c r="D14460" s="18">
        <v>2023</v>
      </c>
      <c r="E14460" s="18" t="s">
        <v>0</v>
      </c>
      <c r="F14460" s="41">
        <v>1</v>
      </c>
      <c r="G14460" s="151">
        <v>13.5</v>
      </c>
      <c r="H14460" s="41">
        <v>41.197209999999998</v>
      </c>
      <c r="I14460" s="221"/>
      <c r="J14460" s="221"/>
    </row>
    <row r="14461" spans="1:10" s="15" customFormat="1" ht="24" hidden="1" customHeight="1" outlineLevel="1" x14ac:dyDescent="0.25">
      <c r="A14461" s="18">
        <v>4122</v>
      </c>
      <c r="B14461" s="4" t="s">
        <v>44</v>
      </c>
      <c r="C14461" s="38" t="s">
        <v>12335</v>
      </c>
      <c r="D14461" s="18">
        <v>2023</v>
      </c>
      <c r="E14461" s="18" t="s">
        <v>0</v>
      </c>
      <c r="F14461" s="41">
        <v>1</v>
      </c>
      <c r="G14461" s="151">
        <v>13.5</v>
      </c>
      <c r="H14461" s="41">
        <v>41.127070000000003</v>
      </c>
      <c r="I14461" s="221"/>
      <c r="J14461" s="221"/>
    </row>
    <row r="14462" spans="1:10" s="15" customFormat="1" ht="24" hidden="1" customHeight="1" outlineLevel="1" x14ac:dyDescent="0.25">
      <c r="A14462" s="18">
        <v>4123</v>
      </c>
      <c r="B14462" s="4" t="s">
        <v>44</v>
      </c>
      <c r="C14462" s="38" t="s">
        <v>12336</v>
      </c>
      <c r="D14462" s="18">
        <v>2023</v>
      </c>
      <c r="E14462" s="18" t="s">
        <v>0</v>
      </c>
      <c r="F14462" s="41">
        <v>1</v>
      </c>
      <c r="G14462" s="41">
        <v>10</v>
      </c>
      <c r="H14462" s="41">
        <v>41.126269999999998</v>
      </c>
      <c r="I14462" s="221"/>
      <c r="J14462" s="221"/>
    </row>
    <row r="14463" spans="1:10" s="15" customFormat="1" ht="24" hidden="1" customHeight="1" outlineLevel="1" x14ac:dyDescent="0.25">
      <c r="A14463" s="18">
        <v>4117</v>
      </c>
      <c r="B14463" s="4" t="s">
        <v>44</v>
      </c>
      <c r="C14463" s="38" t="s">
        <v>12337</v>
      </c>
      <c r="D14463" s="18">
        <v>2023</v>
      </c>
      <c r="E14463" s="18" t="s">
        <v>0</v>
      </c>
      <c r="F14463" s="41">
        <v>1</v>
      </c>
      <c r="G14463" s="41">
        <v>13</v>
      </c>
      <c r="H14463" s="41">
        <v>41.315469999999998</v>
      </c>
      <c r="I14463" s="221"/>
      <c r="J14463" s="221"/>
    </row>
    <row r="14464" spans="1:10" s="15" customFormat="1" ht="24" hidden="1" customHeight="1" outlineLevel="1" x14ac:dyDescent="0.25">
      <c r="A14464" s="18">
        <v>4116</v>
      </c>
      <c r="B14464" s="4" t="s">
        <v>44</v>
      </c>
      <c r="C14464" s="38" t="s">
        <v>12338</v>
      </c>
      <c r="D14464" s="18">
        <v>2023</v>
      </c>
      <c r="E14464" s="18" t="s">
        <v>0</v>
      </c>
      <c r="F14464" s="41">
        <v>1</v>
      </c>
      <c r="G14464" s="41">
        <v>13</v>
      </c>
      <c r="H14464" s="41">
        <v>41.31673</v>
      </c>
      <c r="I14464" s="221"/>
      <c r="J14464" s="221"/>
    </row>
    <row r="14465" spans="1:10" s="15" customFormat="1" ht="24" hidden="1" customHeight="1" outlineLevel="1" x14ac:dyDescent="0.25">
      <c r="A14465" s="18">
        <v>4132</v>
      </c>
      <c r="B14465" s="4" t="s">
        <v>44</v>
      </c>
      <c r="C14465" s="38" t="s">
        <v>12339</v>
      </c>
      <c r="D14465" s="18">
        <v>2023</v>
      </c>
      <c r="E14465" s="18" t="s">
        <v>0</v>
      </c>
      <c r="F14465" s="41">
        <v>1</v>
      </c>
      <c r="G14465" s="41">
        <v>13</v>
      </c>
      <c r="H14465" s="41">
        <v>38.385509999999996</v>
      </c>
      <c r="I14465" s="221"/>
      <c r="J14465" s="221"/>
    </row>
    <row r="14466" spans="1:10" s="15" customFormat="1" ht="24" hidden="1" customHeight="1" outlineLevel="1" x14ac:dyDescent="0.25">
      <c r="A14466" s="18">
        <v>2309</v>
      </c>
      <c r="B14466" s="4" t="s">
        <v>44</v>
      </c>
      <c r="C14466" s="38" t="s">
        <v>12340</v>
      </c>
      <c r="D14466" s="18">
        <v>2023</v>
      </c>
      <c r="E14466" s="18" t="s">
        <v>0</v>
      </c>
      <c r="F14466" s="41">
        <v>1</v>
      </c>
      <c r="G14466" s="41">
        <v>15</v>
      </c>
      <c r="H14466" s="41">
        <v>38.441299999999998</v>
      </c>
      <c r="I14466" s="221"/>
      <c r="J14466" s="221"/>
    </row>
    <row r="14467" spans="1:10" s="15" customFormat="1" ht="24" hidden="1" customHeight="1" outlineLevel="1" x14ac:dyDescent="0.25">
      <c r="A14467" s="18">
        <v>631</v>
      </c>
      <c r="B14467" s="4" t="s">
        <v>44</v>
      </c>
      <c r="C14467" s="38" t="s">
        <v>12341</v>
      </c>
      <c r="D14467" s="18">
        <v>2023</v>
      </c>
      <c r="E14467" s="18" t="s">
        <v>0</v>
      </c>
      <c r="F14467" s="41">
        <v>1</v>
      </c>
      <c r="G14467" s="41">
        <v>10</v>
      </c>
      <c r="H14467" s="41">
        <v>39.224229999999999</v>
      </c>
      <c r="I14467" s="221"/>
      <c r="J14467" s="221"/>
    </row>
    <row r="14468" spans="1:10" s="15" customFormat="1" ht="24" hidden="1" customHeight="1" outlineLevel="1" x14ac:dyDescent="0.25">
      <c r="A14468" s="18">
        <v>4141</v>
      </c>
      <c r="B14468" s="4" t="s">
        <v>44</v>
      </c>
      <c r="C14468" s="38" t="s">
        <v>12342</v>
      </c>
      <c r="D14468" s="18">
        <v>2023</v>
      </c>
      <c r="E14468" s="18" t="s">
        <v>0</v>
      </c>
      <c r="F14468" s="41">
        <v>1</v>
      </c>
      <c r="G14468" s="41">
        <v>10</v>
      </c>
      <c r="H14468" s="41">
        <v>41.00835</v>
      </c>
      <c r="I14468" s="221"/>
      <c r="J14468" s="221"/>
    </row>
    <row r="14469" spans="1:10" s="15" customFormat="1" ht="24" hidden="1" customHeight="1" outlineLevel="1" x14ac:dyDescent="0.25">
      <c r="A14469" s="18">
        <v>2463</v>
      </c>
      <c r="B14469" s="4" t="s">
        <v>44</v>
      </c>
      <c r="C14469" s="38" t="s">
        <v>12343</v>
      </c>
      <c r="D14469" s="18">
        <v>2023</v>
      </c>
      <c r="E14469" s="18" t="s">
        <v>0</v>
      </c>
      <c r="F14469" s="41">
        <v>1</v>
      </c>
      <c r="G14469" s="41">
        <v>1</v>
      </c>
      <c r="H14469" s="41">
        <v>41.008369999999999</v>
      </c>
      <c r="I14469" s="221"/>
      <c r="J14469" s="221"/>
    </row>
    <row r="14470" spans="1:10" s="15" customFormat="1" ht="24" hidden="1" customHeight="1" outlineLevel="1" x14ac:dyDescent="0.25">
      <c r="A14470" s="18">
        <v>1845</v>
      </c>
      <c r="B14470" s="4" t="s">
        <v>44</v>
      </c>
      <c r="C14470" s="38" t="s">
        <v>12344</v>
      </c>
      <c r="D14470" s="18">
        <v>2023</v>
      </c>
      <c r="E14470" s="18" t="s">
        <v>0</v>
      </c>
      <c r="F14470" s="41">
        <v>1</v>
      </c>
      <c r="G14470" s="41">
        <v>10</v>
      </c>
      <c r="H14470" s="41">
        <v>34.265389999999996</v>
      </c>
      <c r="I14470" s="221"/>
      <c r="J14470" s="221"/>
    </row>
    <row r="14471" spans="1:10" s="15" customFormat="1" ht="24" hidden="1" customHeight="1" outlineLevel="1" x14ac:dyDescent="0.25">
      <c r="A14471" s="18">
        <v>2424</v>
      </c>
      <c r="B14471" s="4" t="s">
        <v>44</v>
      </c>
      <c r="C14471" s="38" t="s">
        <v>12345</v>
      </c>
      <c r="D14471" s="18">
        <v>2023</v>
      </c>
      <c r="E14471" s="18" t="s">
        <v>0</v>
      </c>
      <c r="F14471" s="41">
        <v>1</v>
      </c>
      <c r="G14471" s="41">
        <v>15</v>
      </c>
      <c r="H14471" s="41">
        <v>39.06138</v>
      </c>
      <c r="I14471" s="221"/>
      <c r="J14471" s="221"/>
    </row>
    <row r="14472" spans="1:10" s="15" customFormat="1" ht="24" hidden="1" customHeight="1" outlineLevel="1" x14ac:dyDescent="0.25">
      <c r="A14472" s="18">
        <v>4137</v>
      </c>
      <c r="B14472" s="4" t="s">
        <v>44</v>
      </c>
      <c r="C14472" s="38" t="s">
        <v>12346</v>
      </c>
      <c r="D14472" s="18">
        <v>2023</v>
      </c>
      <c r="E14472" s="18" t="s">
        <v>0</v>
      </c>
      <c r="F14472" s="41">
        <v>1</v>
      </c>
      <c r="G14472" s="41">
        <v>15</v>
      </c>
      <c r="H14472" s="41">
        <v>42.963260000000005</v>
      </c>
      <c r="I14472" s="221"/>
      <c r="J14472" s="221"/>
    </row>
    <row r="14473" spans="1:10" s="15" customFormat="1" ht="24" hidden="1" customHeight="1" outlineLevel="1" x14ac:dyDescent="0.25">
      <c r="A14473" s="18">
        <v>4138</v>
      </c>
      <c r="B14473" s="4" t="s">
        <v>44</v>
      </c>
      <c r="C14473" s="38" t="s">
        <v>12347</v>
      </c>
      <c r="D14473" s="18">
        <v>2023</v>
      </c>
      <c r="E14473" s="18" t="s">
        <v>0</v>
      </c>
      <c r="F14473" s="41">
        <v>1</v>
      </c>
      <c r="G14473" s="41">
        <v>15</v>
      </c>
      <c r="H14473" s="41">
        <v>42.229620000000004</v>
      </c>
      <c r="I14473" s="221"/>
      <c r="J14473" s="221"/>
    </row>
    <row r="14474" spans="1:10" s="15" customFormat="1" ht="24" hidden="1" customHeight="1" outlineLevel="1" x14ac:dyDescent="0.25">
      <c r="A14474" s="18">
        <v>4159</v>
      </c>
      <c r="B14474" s="4" t="s">
        <v>44</v>
      </c>
      <c r="C14474" s="38" t="s">
        <v>12348</v>
      </c>
      <c r="D14474" s="18">
        <v>2023</v>
      </c>
      <c r="E14474" s="18" t="s">
        <v>0</v>
      </c>
      <c r="F14474" s="41">
        <v>1</v>
      </c>
      <c r="G14474" s="41">
        <v>5.5</v>
      </c>
      <c r="H14474" s="41">
        <v>39.73827</v>
      </c>
      <c r="I14474" s="221"/>
      <c r="J14474" s="221"/>
    </row>
    <row r="14475" spans="1:10" s="15" customFormat="1" ht="24" hidden="1" customHeight="1" outlineLevel="1" x14ac:dyDescent="0.25">
      <c r="A14475" s="18">
        <v>2410</v>
      </c>
      <c r="B14475" s="4" t="s">
        <v>44</v>
      </c>
      <c r="C14475" s="38" t="s">
        <v>12349</v>
      </c>
      <c r="D14475" s="18">
        <v>2023</v>
      </c>
      <c r="E14475" s="18" t="s">
        <v>0</v>
      </c>
      <c r="F14475" s="41">
        <v>1</v>
      </c>
      <c r="G14475" s="41">
        <v>1</v>
      </c>
      <c r="H14475" s="41">
        <v>36.845570000000002</v>
      </c>
      <c r="I14475" s="221"/>
      <c r="J14475" s="221"/>
    </row>
    <row r="14476" spans="1:10" s="15" customFormat="1" ht="24" hidden="1" customHeight="1" outlineLevel="1" x14ac:dyDescent="0.25">
      <c r="A14476" s="18">
        <v>4154</v>
      </c>
      <c r="B14476" s="4" t="s">
        <v>44</v>
      </c>
      <c r="C14476" s="38" t="s">
        <v>12350</v>
      </c>
      <c r="D14476" s="18">
        <v>2023</v>
      </c>
      <c r="E14476" s="18" t="s">
        <v>0</v>
      </c>
      <c r="F14476" s="41">
        <v>1</v>
      </c>
      <c r="G14476" s="41">
        <v>10</v>
      </c>
      <c r="H14476" s="41">
        <v>39.06955</v>
      </c>
      <c r="I14476" s="221"/>
      <c r="J14476" s="221"/>
    </row>
    <row r="14477" spans="1:10" s="15" customFormat="1" ht="24" hidden="1" customHeight="1" outlineLevel="1" x14ac:dyDescent="0.25">
      <c r="A14477" s="18">
        <v>2482</v>
      </c>
      <c r="B14477" s="4" t="s">
        <v>44</v>
      </c>
      <c r="C14477" s="38" t="s">
        <v>12351</v>
      </c>
      <c r="D14477" s="18">
        <v>2023</v>
      </c>
      <c r="E14477" s="18" t="s">
        <v>0</v>
      </c>
      <c r="F14477" s="41">
        <v>1</v>
      </c>
      <c r="G14477" s="41">
        <v>6</v>
      </c>
      <c r="H14477" s="41">
        <v>39.069490000000002</v>
      </c>
      <c r="I14477" s="221"/>
      <c r="J14477" s="221"/>
    </row>
    <row r="14478" spans="1:10" s="15" customFormat="1" ht="24" hidden="1" customHeight="1" outlineLevel="1" x14ac:dyDescent="0.25">
      <c r="A14478" s="18">
        <v>4152</v>
      </c>
      <c r="B14478" s="4" t="s">
        <v>44</v>
      </c>
      <c r="C14478" s="38" t="s">
        <v>12352</v>
      </c>
      <c r="D14478" s="18">
        <v>2023</v>
      </c>
      <c r="E14478" s="18" t="s">
        <v>0</v>
      </c>
      <c r="F14478" s="41">
        <v>1</v>
      </c>
      <c r="G14478" s="41">
        <v>60</v>
      </c>
      <c r="H14478" s="41">
        <v>40.618000000000002</v>
      </c>
      <c r="I14478" s="221"/>
      <c r="J14478" s="221"/>
    </row>
    <row r="14479" spans="1:10" s="15" customFormat="1" ht="24" hidden="1" customHeight="1" outlineLevel="1" x14ac:dyDescent="0.25">
      <c r="A14479" s="18">
        <v>4161</v>
      </c>
      <c r="B14479" s="4" t="s">
        <v>44</v>
      </c>
      <c r="C14479" s="38" t="s">
        <v>12353</v>
      </c>
      <c r="D14479" s="18">
        <v>2023</v>
      </c>
      <c r="E14479" s="18" t="s">
        <v>0</v>
      </c>
      <c r="F14479" s="41">
        <v>1</v>
      </c>
      <c r="G14479" s="41">
        <v>7.5</v>
      </c>
      <c r="H14479" s="41">
        <v>38.821899999999999</v>
      </c>
      <c r="I14479" s="221"/>
      <c r="J14479" s="221"/>
    </row>
    <row r="14480" spans="1:10" s="15" customFormat="1" ht="24" hidden="1" customHeight="1" outlineLevel="1" x14ac:dyDescent="0.25">
      <c r="A14480" s="18">
        <v>4160</v>
      </c>
      <c r="B14480" s="4" t="s">
        <v>44</v>
      </c>
      <c r="C14480" s="38" t="s">
        <v>12354</v>
      </c>
      <c r="D14480" s="18">
        <v>2023</v>
      </c>
      <c r="E14480" s="18" t="s">
        <v>0</v>
      </c>
      <c r="F14480" s="41">
        <v>1</v>
      </c>
      <c r="G14480" s="41">
        <v>7.5</v>
      </c>
      <c r="H14480" s="41">
        <v>38.375010000000003</v>
      </c>
      <c r="I14480" s="221"/>
      <c r="J14480" s="221"/>
    </row>
    <row r="14481" spans="1:10" s="15" customFormat="1" ht="24" hidden="1" customHeight="1" outlineLevel="1" x14ac:dyDescent="0.25">
      <c r="A14481" s="18">
        <v>2538</v>
      </c>
      <c r="B14481" s="4" t="s">
        <v>44</v>
      </c>
      <c r="C14481" s="38" t="s">
        <v>12355</v>
      </c>
      <c r="D14481" s="18">
        <v>2023</v>
      </c>
      <c r="E14481" s="18" t="s">
        <v>0</v>
      </c>
      <c r="F14481" s="41">
        <v>1</v>
      </c>
      <c r="G14481" s="41">
        <v>10</v>
      </c>
      <c r="H14481" s="41">
        <v>38.932369999999999</v>
      </c>
      <c r="I14481" s="221"/>
      <c r="J14481" s="221"/>
    </row>
    <row r="14482" spans="1:10" s="15" customFormat="1" ht="24" hidden="1" customHeight="1" outlineLevel="1" x14ac:dyDescent="0.25">
      <c r="A14482" s="18">
        <v>4128</v>
      </c>
      <c r="B14482" s="4" t="s">
        <v>44</v>
      </c>
      <c r="C14482" s="38" t="s">
        <v>12356</v>
      </c>
      <c r="D14482" s="18">
        <v>2023</v>
      </c>
      <c r="E14482" s="18" t="s">
        <v>0</v>
      </c>
      <c r="F14482" s="41">
        <v>1</v>
      </c>
      <c r="G14482" s="41">
        <v>15</v>
      </c>
      <c r="H14482" s="41">
        <v>43.080350000000003</v>
      </c>
      <c r="I14482" s="221"/>
      <c r="J14482" s="221"/>
    </row>
    <row r="14483" spans="1:10" s="15" customFormat="1" ht="24" hidden="1" customHeight="1" outlineLevel="1" x14ac:dyDescent="0.25">
      <c r="A14483" s="18">
        <v>4151</v>
      </c>
      <c r="B14483" s="4" t="s">
        <v>44</v>
      </c>
      <c r="C14483" s="38" t="s">
        <v>12357</v>
      </c>
      <c r="D14483" s="18">
        <v>2023</v>
      </c>
      <c r="E14483" s="18" t="s">
        <v>0</v>
      </c>
      <c r="F14483" s="41">
        <v>1</v>
      </c>
      <c r="G14483" s="41">
        <v>10</v>
      </c>
      <c r="H14483" s="41">
        <v>42.197339999999997</v>
      </c>
      <c r="I14483" s="221"/>
      <c r="J14483" s="221"/>
    </row>
    <row r="14484" spans="1:10" s="15" customFormat="1" ht="24" hidden="1" customHeight="1" outlineLevel="1" x14ac:dyDescent="0.25">
      <c r="A14484" s="18">
        <v>4150</v>
      </c>
      <c r="B14484" s="4" t="s">
        <v>44</v>
      </c>
      <c r="C14484" s="38" t="s">
        <v>12358</v>
      </c>
      <c r="D14484" s="18">
        <v>2023</v>
      </c>
      <c r="E14484" s="18" t="s">
        <v>0</v>
      </c>
      <c r="F14484" s="41">
        <v>1</v>
      </c>
      <c r="G14484" s="41">
        <v>15</v>
      </c>
      <c r="H14484" s="41">
        <v>42.197330000000001</v>
      </c>
      <c r="I14484" s="221"/>
      <c r="J14484" s="221"/>
    </row>
    <row r="14485" spans="1:10" s="15" customFormat="1" ht="24" hidden="1" customHeight="1" outlineLevel="1" x14ac:dyDescent="0.25">
      <c r="A14485" s="18">
        <v>4165</v>
      </c>
      <c r="B14485" s="4" t="s">
        <v>44</v>
      </c>
      <c r="C14485" s="38" t="s">
        <v>12359</v>
      </c>
      <c r="D14485" s="18">
        <v>2023</v>
      </c>
      <c r="E14485" s="18" t="s">
        <v>0</v>
      </c>
      <c r="F14485" s="41">
        <v>1</v>
      </c>
      <c r="G14485" s="41">
        <v>15</v>
      </c>
      <c r="H14485" s="41">
        <v>41.32687</v>
      </c>
      <c r="I14485" s="221"/>
      <c r="J14485" s="221"/>
    </row>
    <row r="14486" spans="1:10" s="15" customFormat="1" ht="24" hidden="1" customHeight="1" outlineLevel="1" x14ac:dyDescent="0.25">
      <c r="A14486" s="18">
        <v>4148</v>
      </c>
      <c r="B14486" s="4" t="s">
        <v>44</v>
      </c>
      <c r="C14486" s="38" t="s">
        <v>12360</v>
      </c>
      <c r="D14486" s="18">
        <v>2023</v>
      </c>
      <c r="E14486" s="18" t="s">
        <v>0</v>
      </c>
      <c r="F14486" s="41">
        <v>1</v>
      </c>
      <c r="G14486" s="41">
        <v>10</v>
      </c>
      <c r="H14486" s="41">
        <v>41.947189999999999</v>
      </c>
      <c r="I14486" s="221"/>
      <c r="J14486" s="221"/>
    </row>
    <row r="14487" spans="1:10" s="15" customFormat="1" ht="24" hidden="1" customHeight="1" outlineLevel="1" x14ac:dyDescent="0.25">
      <c r="A14487" s="18">
        <v>4140</v>
      </c>
      <c r="B14487" s="4" t="s">
        <v>44</v>
      </c>
      <c r="C14487" s="38" t="s">
        <v>12361</v>
      </c>
      <c r="D14487" s="18">
        <v>2023</v>
      </c>
      <c r="E14487" s="18" t="s">
        <v>0</v>
      </c>
      <c r="F14487" s="41">
        <v>1</v>
      </c>
      <c r="G14487" s="41">
        <v>15</v>
      </c>
      <c r="H14487" s="41">
        <v>42.921710000000004</v>
      </c>
      <c r="I14487" s="221"/>
      <c r="J14487" s="221"/>
    </row>
    <row r="14488" spans="1:10" s="15" customFormat="1" ht="24" hidden="1" customHeight="1" outlineLevel="1" x14ac:dyDescent="0.25">
      <c r="A14488" s="18">
        <v>4166</v>
      </c>
      <c r="B14488" s="4" t="s">
        <v>44</v>
      </c>
      <c r="C14488" s="38" t="s">
        <v>12362</v>
      </c>
      <c r="D14488" s="18">
        <v>2023</v>
      </c>
      <c r="E14488" s="18" t="s">
        <v>0</v>
      </c>
      <c r="F14488" s="41">
        <v>1</v>
      </c>
      <c r="G14488" s="41">
        <v>15</v>
      </c>
      <c r="H14488" s="41">
        <v>41.326880000000003</v>
      </c>
      <c r="I14488" s="221"/>
      <c r="J14488" s="221"/>
    </row>
    <row r="14489" spans="1:10" s="15" customFormat="1" ht="24" hidden="1" customHeight="1" outlineLevel="1" x14ac:dyDescent="0.25">
      <c r="A14489" s="18">
        <v>4167</v>
      </c>
      <c r="B14489" s="4" t="s">
        <v>44</v>
      </c>
      <c r="C14489" s="38" t="s">
        <v>12363</v>
      </c>
      <c r="D14489" s="18">
        <v>2023</v>
      </c>
      <c r="E14489" s="18" t="s">
        <v>0</v>
      </c>
      <c r="F14489" s="41">
        <v>1</v>
      </c>
      <c r="G14489" s="151">
        <v>11.4</v>
      </c>
      <c r="H14489" s="41">
        <v>41.326889999999999</v>
      </c>
      <c r="I14489" s="221"/>
      <c r="J14489" s="221"/>
    </row>
    <row r="14490" spans="1:10" s="15" customFormat="1" ht="24" hidden="1" customHeight="1" outlineLevel="1" x14ac:dyDescent="0.25">
      <c r="A14490" s="18">
        <v>4168</v>
      </c>
      <c r="B14490" s="4" t="s">
        <v>44</v>
      </c>
      <c r="C14490" s="38" t="s">
        <v>12364</v>
      </c>
      <c r="D14490" s="18">
        <v>2023</v>
      </c>
      <c r="E14490" s="18" t="s">
        <v>0</v>
      </c>
      <c r="F14490" s="41">
        <v>1</v>
      </c>
      <c r="G14490" s="41">
        <v>15</v>
      </c>
      <c r="H14490" s="41">
        <v>41.21293</v>
      </c>
      <c r="I14490" s="221"/>
      <c r="J14490" s="221"/>
    </row>
    <row r="14491" spans="1:10" s="15" customFormat="1" ht="24" hidden="1" customHeight="1" outlineLevel="1" x14ac:dyDescent="0.25">
      <c r="A14491" s="18">
        <v>4170</v>
      </c>
      <c r="B14491" s="4" t="s">
        <v>44</v>
      </c>
      <c r="C14491" s="38" t="s">
        <v>12365</v>
      </c>
      <c r="D14491" s="18">
        <v>2023</v>
      </c>
      <c r="E14491" s="18" t="s">
        <v>0</v>
      </c>
      <c r="F14491" s="41">
        <v>1</v>
      </c>
      <c r="G14491" s="41">
        <v>15</v>
      </c>
      <c r="H14491" s="41">
        <v>41.328229999999998</v>
      </c>
      <c r="I14491" s="221"/>
      <c r="J14491" s="221"/>
    </row>
    <row r="14492" spans="1:10" s="15" customFormat="1" ht="24" hidden="1" customHeight="1" outlineLevel="1" x14ac:dyDescent="0.25">
      <c r="A14492" s="18">
        <v>4171</v>
      </c>
      <c r="B14492" s="4" t="s">
        <v>44</v>
      </c>
      <c r="C14492" s="38" t="s">
        <v>12366</v>
      </c>
      <c r="D14492" s="18">
        <v>2023</v>
      </c>
      <c r="E14492" s="18" t="s">
        <v>0</v>
      </c>
      <c r="F14492" s="41">
        <v>1</v>
      </c>
      <c r="G14492" s="41">
        <v>10</v>
      </c>
      <c r="H14492" s="41">
        <v>40.642910000000001</v>
      </c>
      <c r="I14492" s="221"/>
      <c r="J14492" s="221"/>
    </row>
    <row r="14493" spans="1:10" s="15" customFormat="1" ht="24" hidden="1" customHeight="1" outlineLevel="1" x14ac:dyDescent="0.25">
      <c r="A14493" s="18">
        <v>2595</v>
      </c>
      <c r="B14493" s="4" t="s">
        <v>44</v>
      </c>
      <c r="C14493" s="38" t="s">
        <v>12367</v>
      </c>
      <c r="D14493" s="18">
        <v>2023</v>
      </c>
      <c r="E14493" s="18" t="s">
        <v>0</v>
      </c>
      <c r="F14493" s="41">
        <v>1</v>
      </c>
      <c r="G14493" s="41">
        <v>10</v>
      </c>
      <c r="H14493" s="41">
        <v>30.144190000000002</v>
      </c>
      <c r="I14493" s="221"/>
      <c r="J14493" s="221"/>
    </row>
    <row r="14494" spans="1:10" s="15" customFormat="1" ht="24" hidden="1" customHeight="1" outlineLevel="1" x14ac:dyDescent="0.25">
      <c r="A14494" s="18">
        <v>4172</v>
      </c>
      <c r="B14494" s="4" t="s">
        <v>44</v>
      </c>
      <c r="C14494" s="38" t="s">
        <v>12368</v>
      </c>
      <c r="D14494" s="18">
        <v>2023</v>
      </c>
      <c r="E14494" s="18" t="s">
        <v>0</v>
      </c>
      <c r="F14494" s="41">
        <v>1</v>
      </c>
      <c r="G14494" s="41">
        <v>15</v>
      </c>
      <c r="H14494" s="41">
        <v>40.774199999999993</v>
      </c>
      <c r="I14494" s="221"/>
      <c r="J14494" s="221"/>
    </row>
    <row r="14495" spans="1:10" s="15" customFormat="1" ht="24" hidden="1" customHeight="1" outlineLevel="1" x14ac:dyDescent="0.25">
      <c r="A14495" s="18">
        <v>4164</v>
      </c>
      <c r="B14495" s="4" t="s">
        <v>44</v>
      </c>
      <c r="C14495" s="38" t="s">
        <v>12369</v>
      </c>
      <c r="D14495" s="18">
        <v>2023</v>
      </c>
      <c r="E14495" s="18" t="s">
        <v>0</v>
      </c>
      <c r="F14495" s="41">
        <v>1</v>
      </c>
      <c r="G14495" s="41">
        <v>15</v>
      </c>
      <c r="H14495" s="41">
        <v>39.645299999999999</v>
      </c>
      <c r="I14495" s="221"/>
      <c r="J14495" s="221"/>
    </row>
    <row r="14496" spans="1:10" s="15" customFormat="1" ht="24" hidden="1" customHeight="1" outlineLevel="1" x14ac:dyDescent="0.25">
      <c r="A14496" s="18">
        <v>2329</v>
      </c>
      <c r="B14496" s="4" t="s">
        <v>44</v>
      </c>
      <c r="C14496" s="38" t="s">
        <v>12370</v>
      </c>
      <c r="D14496" s="18">
        <v>2023</v>
      </c>
      <c r="E14496" s="18" t="s">
        <v>0</v>
      </c>
      <c r="F14496" s="41">
        <v>1</v>
      </c>
      <c r="G14496" s="41">
        <v>6</v>
      </c>
      <c r="H14496" s="41">
        <v>39.038980000000002</v>
      </c>
      <c r="I14496" s="221"/>
      <c r="J14496" s="221"/>
    </row>
    <row r="14497" spans="1:10" s="15" customFormat="1" ht="24" hidden="1" customHeight="1" outlineLevel="1" x14ac:dyDescent="0.25">
      <c r="A14497" s="18">
        <v>4174</v>
      </c>
      <c r="B14497" s="4" t="s">
        <v>44</v>
      </c>
      <c r="C14497" s="38" t="s">
        <v>12371</v>
      </c>
      <c r="D14497" s="18">
        <v>2023</v>
      </c>
      <c r="E14497" s="18" t="s">
        <v>0</v>
      </c>
      <c r="F14497" s="41">
        <v>1</v>
      </c>
      <c r="G14497" s="41">
        <v>10</v>
      </c>
      <c r="H14497" s="41">
        <v>38.732970000000002</v>
      </c>
      <c r="I14497" s="221"/>
      <c r="J14497" s="221"/>
    </row>
    <row r="14498" spans="1:10" s="15" customFormat="1" ht="24" hidden="1" customHeight="1" outlineLevel="1" x14ac:dyDescent="0.25">
      <c r="A14498" s="18">
        <v>4176</v>
      </c>
      <c r="B14498" s="4" t="s">
        <v>44</v>
      </c>
      <c r="C14498" s="38" t="s">
        <v>12372</v>
      </c>
      <c r="D14498" s="18">
        <v>2023</v>
      </c>
      <c r="E14498" s="18" t="s">
        <v>0</v>
      </c>
      <c r="F14498" s="41">
        <v>1</v>
      </c>
      <c r="G14498" s="41">
        <v>15</v>
      </c>
      <c r="H14498" s="41">
        <v>38.481630000000003</v>
      </c>
      <c r="I14498" s="221"/>
      <c r="J14498" s="221"/>
    </row>
    <row r="14499" spans="1:10" s="15" customFormat="1" ht="24" hidden="1" customHeight="1" outlineLevel="1" x14ac:dyDescent="0.25">
      <c r="A14499" s="18">
        <v>4175</v>
      </c>
      <c r="B14499" s="4" t="s">
        <v>44</v>
      </c>
      <c r="C14499" s="38" t="s">
        <v>12373</v>
      </c>
      <c r="D14499" s="18">
        <v>2023</v>
      </c>
      <c r="E14499" s="18" t="s">
        <v>0</v>
      </c>
      <c r="F14499" s="41">
        <v>1</v>
      </c>
      <c r="G14499" s="41">
        <v>15</v>
      </c>
      <c r="H14499" s="41">
        <v>38.808929999999997</v>
      </c>
      <c r="I14499" s="221"/>
      <c r="J14499" s="221"/>
    </row>
    <row r="14500" spans="1:10" s="15" customFormat="1" ht="24" hidden="1" customHeight="1" outlineLevel="1" x14ac:dyDescent="0.25">
      <c r="A14500" s="18">
        <v>474</v>
      </c>
      <c r="B14500" s="4" t="s">
        <v>44</v>
      </c>
      <c r="C14500" s="38" t="s">
        <v>12374</v>
      </c>
      <c r="D14500" s="18">
        <v>2023</v>
      </c>
      <c r="E14500" s="18" t="s">
        <v>0</v>
      </c>
      <c r="F14500" s="41">
        <v>1</v>
      </c>
      <c r="G14500" s="41">
        <v>10</v>
      </c>
      <c r="H14500" s="41">
        <v>39.273580000000003</v>
      </c>
      <c r="I14500" s="221"/>
      <c r="J14500" s="221"/>
    </row>
    <row r="14501" spans="1:10" s="15" customFormat="1" ht="24" hidden="1" customHeight="1" outlineLevel="1" x14ac:dyDescent="0.25">
      <c r="A14501" s="18">
        <v>4187</v>
      </c>
      <c r="B14501" s="4" t="s">
        <v>44</v>
      </c>
      <c r="C14501" s="38" t="s">
        <v>12375</v>
      </c>
      <c r="D14501" s="18">
        <v>2023</v>
      </c>
      <c r="E14501" s="18" t="s">
        <v>0</v>
      </c>
      <c r="F14501" s="41">
        <v>1</v>
      </c>
      <c r="G14501" s="41">
        <v>15</v>
      </c>
      <c r="H14501" s="41">
        <v>40.852789999999999</v>
      </c>
      <c r="I14501" s="221"/>
      <c r="J14501" s="221"/>
    </row>
    <row r="14502" spans="1:10" s="15" customFormat="1" ht="24" hidden="1" customHeight="1" outlineLevel="1" x14ac:dyDescent="0.25">
      <c r="A14502" s="18">
        <v>4188</v>
      </c>
      <c r="B14502" s="4" t="s">
        <v>44</v>
      </c>
      <c r="C14502" s="38" t="s">
        <v>12376</v>
      </c>
      <c r="D14502" s="18">
        <v>2023</v>
      </c>
      <c r="E14502" s="18" t="s">
        <v>0</v>
      </c>
      <c r="F14502" s="41">
        <v>1</v>
      </c>
      <c r="G14502" s="41">
        <v>15</v>
      </c>
      <c r="H14502" s="41">
        <v>40.852779999999996</v>
      </c>
      <c r="I14502" s="221"/>
      <c r="J14502" s="221"/>
    </row>
    <row r="14503" spans="1:10" s="15" customFormat="1" ht="24" hidden="1" customHeight="1" outlineLevel="1" x14ac:dyDescent="0.25">
      <c r="A14503" s="18">
        <v>4183</v>
      </c>
      <c r="B14503" s="4" t="s">
        <v>44</v>
      </c>
      <c r="C14503" s="38" t="s">
        <v>12377</v>
      </c>
      <c r="D14503" s="18">
        <v>2023</v>
      </c>
      <c r="E14503" s="18" t="s">
        <v>0</v>
      </c>
      <c r="F14503" s="41">
        <v>1</v>
      </c>
      <c r="G14503" s="41">
        <v>15</v>
      </c>
      <c r="H14503" s="41">
        <v>40.852820000000001</v>
      </c>
      <c r="I14503" s="221"/>
      <c r="J14503" s="221"/>
    </row>
    <row r="14504" spans="1:10" s="15" customFormat="1" ht="24" hidden="1" customHeight="1" outlineLevel="1" x14ac:dyDescent="0.25">
      <c r="A14504" s="18">
        <v>4184</v>
      </c>
      <c r="B14504" s="4" t="s">
        <v>44</v>
      </c>
      <c r="C14504" s="38" t="s">
        <v>12378</v>
      </c>
      <c r="D14504" s="18">
        <v>2023</v>
      </c>
      <c r="E14504" s="18" t="s">
        <v>0</v>
      </c>
      <c r="F14504" s="41">
        <v>1</v>
      </c>
      <c r="G14504" s="41">
        <v>15</v>
      </c>
      <c r="H14504" s="41">
        <v>40.852810000000005</v>
      </c>
      <c r="I14504" s="221"/>
      <c r="J14504" s="221"/>
    </row>
    <row r="14505" spans="1:10" s="15" customFormat="1" ht="24" hidden="1" customHeight="1" outlineLevel="1" x14ac:dyDescent="0.25">
      <c r="A14505" s="18">
        <v>4186</v>
      </c>
      <c r="B14505" s="4" t="s">
        <v>44</v>
      </c>
      <c r="C14505" s="38" t="s">
        <v>12379</v>
      </c>
      <c r="D14505" s="18">
        <v>2023</v>
      </c>
      <c r="E14505" s="18" t="s">
        <v>0</v>
      </c>
      <c r="F14505" s="41">
        <v>1</v>
      </c>
      <c r="G14505" s="41">
        <v>15</v>
      </c>
      <c r="H14505" s="41">
        <v>39.770670000000003</v>
      </c>
      <c r="I14505" s="221"/>
      <c r="J14505" s="221"/>
    </row>
    <row r="14506" spans="1:10" s="15" customFormat="1" ht="24" hidden="1" customHeight="1" outlineLevel="1" x14ac:dyDescent="0.25">
      <c r="A14506" s="18">
        <v>2651</v>
      </c>
      <c r="B14506" s="4" t="s">
        <v>44</v>
      </c>
      <c r="C14506" s="38" t="s">
        <v>12380</v>
      </c>
      <c r="D14506" s="18">
        <v>2023</v>
      </c>
      <c r="E14506" s="18" t="s">
        <v>0</v>
      </c>
      <c r="F14506" s="41">
        <v>1</v>
      </c>
      <c r="G14506" s="41">
        <v>15</v>
      </c>
      <c r="H14506" s="41">
        <v>38.955959999999997</v>
      </c>
      <c r="I14506" s="221"/>
      <c r="J14506" s="221"/>
    </row>
    <row r="14507" spans="1:10" s="15" customFormat="1" ht="24" hidden="1" customHeight="1" outlineLevel="1" x14ac:dyDescent="0.25">
      <c r="A14507" s="18">
        <v>4139</v>
      </c>
      <c r="B14507" s="4" t="s">
        <v>44</v>
      </c>
      <c r="C14507" s="38" t="s">
        <v>12381</v>
      </c>
      <c r="D14507" s="18">
        <v>2023</v>
      </c>
      <c r="E14507" s="18" t="s">
        <v>0</v>
      </c>
      <c r="F14507" s="41">
        <v>1</v>
      </c>
      <c r="G14507" s="41">
        <v>15</v>
      </c>
      <c r="H14507" s="41">
        <v>41.543789999999994</v>
      </c>
      <c r="I14507" s="221"/>
      <c r="J14507" s="221"/>
    </row>
    <row r="14508" spans="1:10" s="15" customFormat="1" ht="24" hidden="1" customHeight="1" outlineLevel="1" x14ac:dyDescent="0.25">
      <c r="A14508" s="18">
        <v>4181</v>
      </c>
      <c r="B14508" s="4" t="s">
        <v>44</v>
      </c>
      <c r="C14508" s="38" t="s">
        <v>12382</v>
      </c>
      <c r="D14508" s="18">
        <v>2023</v>
      </c>
      <c r="E14508" s="18" t="s">
        <v>0</v>
      </c>
      <c r="F14508" s="41">
        <v>1</v>
      </c>
      <c r="G14508" s="41">
        <v>15</v>
      </c>
      <c r="H14508" s="41">
        <v>39.09075</v>
      </c>
      <c r="I14508" s="221"/>
      <c r="J14508" s="221"/>
    </row>
    <row r="14509" spans="1:10" s="15" customFormat="1" ht="24" hidden="1" customHeight="1" outlineLevel="1" x14ac:dyDescent="0.25">
      <c r="A14509" s="18">
        <v>4180</v>
      </c>
      <c r="B14509" s="4" t="s">
        <v>44</v>
      </c>
      <c r="C14509" s="38" t="s">
        <v>12383</v>
      </c>
      <c r="D14509" s="18">
        <v>2023</v>
      </c>
      <c r="E14509" s="18" t="s">
        <v>0</v>
      </c>
      <c r="F14509" s="41">
        <v>1</v>
      </c>
      <c r="G14509" s="41">
        <v>15</v>
      </c>
      <c r="H14509" s="41">
        <v>38.896189999999997</v>
      </c>
      <c r="I14509" s="221"/>
      <c r="J14509" s="221"/>
    </row>
    <row r="14510" spans="1:10" s="15" customFormat="1" ht="24" hidden="1" customHeight="1" outlineLevel="1" x14ac:dyDescent="0.25">
      <c r="A14510" s="18">
        <v>4178</v>
      </c>
      <c r="B14510" s="4" t="s">
        <v>44</v>
      </c>
      <c r="C14510" s="38" t="s">
        <v>12384</v>
      </c>
      <c r="D14510" s="18">
        <v>2023</v>
      </c>
      <c r="E14510" s="18" t="s">
        <v>0</v>
      </c>
      <c r="F14510" s="41">
        <v>1</v>
      </c>
      <c r="G14510" s="117">
        <v>12.25</v>
      </c>
      <c r="H14510" s="41">
        <v>38.827210000000001</v>
      </c>
      <c r="I14510" s="221"/>
      <c r="J14510" s="221"/>
    </row>
    <row r="14511" spans="1:10" s="15" customFormat="1" ht="24" hidden="1" customHeight="1" outlineLevel="1" x14ac:dyDescent="0.25">
      <c r="A14511" s="18">
        <v>2642</v>
      </c>
      <c r="B14511" s="4" t="s">
        <v>44</v>
      </c>
      <c r="C14511" s="38" t="s">
        <v>12385</v>
      </c>
      <c r="D14511" s="18">
        <v>2023</v>
      </c>
      <c r="E14511" s="18" t="s">
        <v>0</v>
      </c>
      <c r="F14511" s="41">
        <v>1</v>
      </c>
      <c r="G14511" s="41">
        <v>9</v>
      </c>
      <c r="H14511" s="41">
        <v>41.268279999999997</v>
      </c>
      <c r="I14511" s="221"/>
      <c r="J14511" s="221"/>
    </row>
    <row r="14512" spans="1:10" s="15" customFormat="1" ht="24" hidden="1" customHeight="1" outlineLevel="1" x14ac:dyDescent="0.25">
      <c r="A14512" s="18">
        <v>2662</v>
      </c>
      <c r="B14512" s="4" t="s">
        <v>44</v>
      </c>
      <c r="C14512" s="38" t="s">
        <v>12386</v>
      </c>
      <c r="D14512" s="18">
        <v>2023</v>
      </c>
      <c r="E14512" s="18" t="s">
        <v>0</v>
      </c>
      <c r="F14512" s="41">
        <v>1</v>
      </c>
      <c r="G14512" s="41">
        <v>15</v>
      </c>
      <c r="H14512" s="41">
        <v>40.050179999999997</v>
      </c>
      <c r="I14512" s="221"/>
      <c r="J14512" s="221"/>
    </row>
    <row r="14513" spans="1:10" s="15" customFormat="1" ht="24" hidden="1" customHeight="1" outlineLevel="1" x14ac:dyDescent="0.25">
      <c r="A14513" s="18">
        <v>4179</v>
      </c>
      <c r="B14513" s="4" t="s">
        <v>44</v>
      </c>
      <c r="C14513" s="38" t="s">
        <v>12387</v>
      </c>
      <c r="D14513" s="18">
        <v>2023</v>
      </c>
      <c r="E14513" s="18" t="s">
        <v>0</v>
      </c>
      <c r="F14513" s="41">
        <v>1</v>
      </c>
      <c r="G14513" s="41">
        <v>25</v>
      </c>
      <c r="H14513" s="41">
        <v>40.052300000000002</v>
      </c>
      <c r="I14513" s="221"/>
      <c r="J14513" s="221"/>
    </row>
    <row r="14514" spans="1:10" s="15" customFormat="1" ht="24" hidden="1" customHeight="1" outlineLevel="1" x14ac:dyDescent="0.25">
      <c r="A14514" s="18">
        <v>4182</v>
      </c>
      <c r="B14514" s="4" t="s">
        <v>44</v>
      </c>
      <c r="C14514" s="38" t="s">
        <v>12388</v>
      </c>
      <c r="D14514" s="18">
        <v>2023</v>
      </c>
      <c r="E14514" s="18" t="s">
        <v>0</v>
      </c>
      <c r="F14514" s="41">
        <v>1</v>
      </c>
      <c r="G14514" s="41">
        <v>15</v>
      </c>
      <c r="H14514" s="41">
        <v>42.827400000000004</v>
      </c>
      <c r="I14514" s="221"/>
      <c r="J14514" s="221"/>
    </row>
    <row r="14515" spans="1:10" s="15" customFormat="1" ht="24" hidden="1" customHeight="1" outlineLevel="1" x14ac:dyDescent="0.25">
      <c r="A14515" s="18">
        <v>2684</v>
      </c>
      <c r="B14515" s="4" t="s">
        <v>44</v>
      </c>
      <c r="C14515" s="38" t="s">
        <v>12389</v>
      </c>
      <c r="D14515" s="18">
        <v>2023</v>
      </c>
      <c r="E14515" s="18" t="s">
        <v>0</v>
      </c>
      <c r="F14515" s="41">
        <v>1</v>
      </c>
      <c r="G14515" s="41">
        <v>1</v>
      </c>
      <c r="H14515" s="41">
        <v>43.264279999999999</v>
      </c>
      <c r="I14515" s="221"/>
      <c r="J14515" s="221"/>
    </row>
    <row r="14516" spans="1:10" s="15" customFormat="1" ht="24" hidden="1" customHeight="1" outlineLevel="1" x14ac:dyDescent="0.25">
      <c r="A14516" s="18">
        <v>4194</v>
      </c>
      <c r="B14516" s="4" t="s">
        <v>44</v>
      </c>
      <c r="C14516" s="38" t="s">
        <v>12390</v>
      </c>
      <c r="D14516" s="18">
        <v>2023</v>
      </c>
      <c r="E14516" s="18" t="s">
        <v>0</v>
      </c>
      <c r="F14516" s="41">
        <v>1</v>
      </c>
      <c r="G14516" s="41">
        <v>15</v>
      </c>
      <c r="H14516" s="41">
        <v>43.854129999999998</v>
      </c>
      <c r="I14516" s="221"/>
      <c r="J14516" s="221"/>
    </row>
    <row r="14517" spans="1:10" s="15" customFormat="1" ht="24" hidden="1" customHeight="1" outlineLevel="1" x14ac:dyDescent="0.25">
      <c r="A14517" s="18">
        <v>4190</v>
      </c>
      <c r="B14517" s="4" t="s">
        <v>44</v>
      </c>
      <c r="C14517" s="38" t="s">
        <v>12391</v>
      </c>
      <c r="D14517" s="18">
        <v>2023</v>
      </c>
      <c r="E14517" s="18" t="s">
        <v>0</v>
      </c>
      <c r="F14517" s="41">
        <v>1</v>
      </c>
      <c r="G14517" s="117">
        <v>13.54</v>
      </c>
      <c r="H14517" s="41">
        <v>39.659129999999998</v>
      </c>
      <c r="I14517" s="221"/>
      <c r="J14517" s="221"/>
    </row>
    <row r="14518" spans="1:10" s="15" customFormat="1" ht="24" hidden="1" customHeight="1" outlineLevel="1" x14ac:dyDescent="0.25">
      <c r="A14518" s="18">
        <v>4204</v>
      </c>
      <c r="B14518" s="4" t="s">
        <v>44</v>
      </c>
      <c r="C14518" s="38" t="s">
        <v>12392</v>
      </c>
      <c r="D14518" s="18">
        <v>2023</v>
      </c>
      <c r="E14518" s="18" t="s">
        <v>0</v>
      </c>
      <c r="F14518" s="41">
        <v>1</v>
      </c>
      <c r="G14518" s="41">
        <v>7.5</v>
      </c>
      <c r="H14518" s="41">
        <v>40.096289999999996</v>
      </c>
      <c r="I14518" s="221"/>
      <c r="J14518" s="221"/>
    </row>
    <row r="14519" spans="1:10" s="15" customFormat="1" ht="24" hidden="1" customHeight="1" outlineLevel="1" x14ac:dyDescent="0.25">
      <c r="A14519" s="18">
        <v>4202</v>
      </c>
      <c r="B14519" s="4" t="s">
        <v>44</v>
      </c>
      <c r="C14519" s="38" t="s">
        <v>12393</v>
      </c>
      <c r="D14519" s="18">
        <v>2023</v>
      </c>
      <c r="E14519" s="18" t="s">
        <v>0</v>
      </c>
      <c r="F14519" s="41">
        <v>1</v>
      </c>
      <c r="G14519" s="41">
        <v>7</v>
      </c>
      <c r="H14519" s="41">
        <v>40.266889999999997</v>
      </c>
      <c r="I14519" s="221"/>
      <c r="J14519" s="221"/>
    </row>
    <row r="14520" spans="1:10" s="15" customFormat="1" ht="24" hidden="1" customHeight="1" outlineLevel="1" x14ac:dyDescent="0.25">
      <c r="A14520" s="18">
        <v>4198</v>
      </c>
      <c r="B14520" s="4" t="s">
        <v>44</v>
      </c>
      <c r="C14520" s="38" t="s">
        <v>12394</v>
      </c>
      <c r="D14520" s="18">
        <v>2023</v>
      </c>
      <c r="E14520" s="18" t="s">
        <v>0</v>
      </c>
      <c r="F14520" s="41">
        <v>1</v>
      </c>
      <c r="G14520" s="41">
        <v>15</v>
      </c>
      <c r="H14520" s="41">
        <v>40.705280000000002</v>
      </c>
      <c r="I14520" s="221"/>
      <c r="J14520" s="221"/>
    </row>
    <row r="14521" spans="1:10" s="15" customFormat="1" ht="24" hidden="1" customHeight="1" outlineLevel="1" x14ac:dyDescent="0.25">
      <c r="A14521" s="18">
        <v>4197</v>
      </c>
      <c r="B14521" s="4" t="s">
        <v>44</v>
      </c>
      <c r="C14521" s="38" t="s">
        <v>12395</v>
      </c>
      <c r="D14521" s="18">
        <v>2023</v>
      </c>
      <c r="E14521" s="18" t="s">
        <v>0</v>
      </c>
      <c r="F14521" s="41">
        <v>1</v>
      </c>
      <c r="G14521" s="41">
        <v>7.5</v>
      </c>
      <c r="H14521" s="41">
        <v>40.431460000000001</v>
      </c>
      <c r="I14521" s="221"/>
      <c r="J14521" s="221"/>
    </row>
    <row r="14522" spans="1:10" s="15" customFormat="1" ht="24" hidden="1" customHeight="1" outlineLevel="1" x14ac:dyDescent="0.25">
      <c r="A14522" s="18">
        <v>4199</v>
      </c>
      <c r="B14522" s="4" t="s">
        <v>44</v>
      </c>
      <c r="C14522" s="38" t="s">
        <v>12396</v>
      </c>
      <c r="D14522" s="18">
        <v>2023</v>
      </c>
      <c r="E14522" s="18" t="s">
        <v>0</v>
      </c>
      <c r="F14522" s="41">
        <v>1</v>
      </c>
      <c r="G14522" s="41">
        <v>10</v>
      </c>
      <c r="H14522" s="41">
        <v>42.223930000000003</v>
      </c>
      <c r="I14522" s="221"/>
      <c r="J14522" s="221"/>
    </row>
    <row r="14523" spans="1:10" s="15" customFormat="1" ht="24" hidden="1" customHeight="1" outlineLevel="1" x14ac:dyDescent="0.25">
      <c r="A14523" s="18">
        <v>4192</v>
      </c>
      <c r="B14523" s="4" t="s">
        <v>44</v>
      </c>
      <c r="C14523" s="38" t="s">
        <v>12397</v>
      </c>
      <c r="D14523" s="18">
        <v>2023</v>
      </c>
      <c r="E14523" s="18" t="s">
        <v>0</v>
      </c>
      <c r="F14523" s="41">
        <v>1</v>
      </c>
      <c r="G14523" s="41">
        <v>15</v>
      </c>
      <c r="H14523" s="41">
        <v>40.939169999999997</v>
      </c>
      <c r="I14523" s="221"/>
      <c r="J14523" s="221"/>
    </row>
    <row r="14524" spans="1:10" s="15" customFormat="1" ht="24" hidden="1" customHeight="1" outlineLevel="1" x14ac:dyDescent="0.25">
      <c r="A14524" s="18">
        <v>2683</v>
      </c>
      <c r="B14524" s="4" t="s">
        <v>44</v>
      </c>
      <c r="C14524" s="38" t="s">
        <v>12398</v>
      </c>
      <c r="D14524" s="18">
        <v>2023</v>
      </c>
      <c r="E14524" s="18" t="s">
        <v>0</v>
      </c>
      <c r="F14524" s="41">
        <v>1</v>
      </c>
      <c r="G14524" s="41">
        <v>9</v>
      </c>
      <c r="H14524" s="41">
        <v>38.540430000000001</v>
      </c>
      <c r="I14524" s="221"/>
      <c r="J14524" s="221"/>
    </row>
    <row r="14525" spans="1:10" s="15" customFormat="1" ht="24" hidden="1" customHeight="1" outlineLevel="1" x14ac:dyDescent="0.25">
      <c r="A14525" s="18">
        <v>2691</v>
      </c>
      <c r="B14525" s="4" t="s">
        <v>44</v>
      </c>
      <c r="C14525" s="38" t="s">
        <v>12399</v>
      </c>
      <c r="D14525" s="18">
        <v>2023</v>
      </c>
      <c r="E14525" s="18" t="s">
        <v>0</v>
      </c>
      <c r="F14525" s="41">
        <v>1</v>
      </c>
      <c r="G14525" s="41">
        <v>14</v>
      </c>
      <c r="H14525" s="41">
        <v>38.540459999999996</v>
      </c>
      <c r="I14525" s="221"/>
      <c r="J14525" s="221"/>
    </row>
    <row r="14526" spans="1:10" s="15" customFormat="1" ht="24" hidden="1" customHeight="1" outlineLevel="1" x14ac:dyDescent="0.25">
      <c r="A14526" s="18">
        <v>4200</v>
      </c>
      <c r="B14526" s="4" t="s">
        <v>44</v>
      </c>
      <c r="C14526" s="38" t="s">
        <v>12400</v>
      </c>
      <c r="D14526" s="18">
        <v>2023</v>
      </c>
      <c r="E14526" s="18" t="s">
        <v>0</v>
      </c>
      <c r="F14526" s="41">
        <v>1</v>
      </c>
      <c r="G14526" s="41">
        <v>15</v>
      </c>
      <c r="H14526" s="41">
        <v>38.121189999999999</v>
      </c>
      <c r="I14526" s="221"/>
      <c r="J14526" s="221"/>
    </row>
    <row r="14527" spans="1:10" s="15" customFormat="1" ht="24" hidden="1" customHeight="1" outlineLevel="1" x14ac:dyDescent="0.25">
      <c r="A14527" s="18">
        <v>2682</v>
      </c>
      <c r="B14527" s="4" t="s">
        <v>44</v>
      </c>
      <c r="C14527" s="38" t="s">
        <v>12401</v>
      </c>
      <c r="D14527" s="18">
        <v>2023</v>
      </c>
      <c r="E14527" s="18" t="s">
        <v>0</v>
      </c>
      <c r="F14527" s="41">
        <v>1</v>
      </c>
      <c r="G14527" s="41">
        <v>10</v>
      </c>
      <c r="H14527" s="41">
        <v>42.357260000000004</v>
      </c>
      <c r="I14527" s="221"/>
      <c r="J14527" s="221"/>
    </row>
    <row r="14528" spans="1:10" s="15" customFormat="1" ht="24" hidden="1" customHeight="1" outlineLevel="1" x14ac:dyDescent="0.25">
      <c r="A14528" s="18">
        <v>4205</v>
      </c>
      <c r="B14528" s="4" t="s">
        <v>44</v>
      </c>
      <c r="C14528" s="38" t="s">
        <v>12402</v>
      </c>
      <c r="D14528" s="18">
        <v>2023</v>
      </c>
      <c r="E14528" s="18" t="s">
        <v>0</v>
      </c>
      <c r="F14528" s="41">
        <v>1</v>
      </c>
      <c r="G14528" s="41">
        <v>10</v>
      </c>
      <c r="H14528" s="41">
        <v>43.017939999999996</v>
      </c>
      <c r="I14528" s="221"/>
      <c r="J14528" s="221"/>
    </row>
    <row r="14529" spans="1:10" s="15" customFormat="1" ht="24" hidden="1" customHeight="1" outlineLevel="1" x14ac:dyDescent="0.25">
      <c r="A14529" s="18">
        <v>4195</v>
      </c>
      <c r="B14529" s="4" t="s">
        <v>44</v>
      </c>
      <c r="C14529" s="38" t="s">
        <v>12403</v>
      </c>
      <c r="D14529" s="18">
        <v>2023</v>
      </c>
      <c r="E14529" s="18" t="s">
        <v>0</v>
      </c>
      <c r="F14529" s="41">
        <v>1</v>
      </c>
      <c r="G14529" s="41">
        <v>15</v>
      </c>
      <c r="H14529" s="41">
        <v>39.478560000000002</v>
      </c>
      <c r="I14529" s="221"/>
      <c r="J14529" s="221"/>
    </row>
    <row r="14530" spans="1:10" s="15" customFormat="1" ht="24" hidden="1" customHeight="1" outlineLevel="1" x14ac:dyDescent="0.25">
      <c r="A14530" s="18">
        <v>4196</v>
      </c>
      <c r="B14530" s="4" t="s">
        <v>44</v>
      </c>
      <c r="C14530" s="38" t="s">
        <v>12404</v>
      </c>
      <c r="D14530" s="18">
        <v>2023</v>
      </c>
      <c r="E14530" s="18" t="s">
        <v>0</v>
      </c>
      <c r="F14530" s="41">
        <v>1</v>
      </c>
      <c r="G14530" s="41">
        <v>15</v>
      </c>
      <c r="H14530" s="41">
        <v>39.486359999999998</v>
      </c>
      <c r="I14530" s="221"/>
      <c r="J14530" s="221"/>
    </row>
    <row r="14531" spans="1:10" s="15" customFormat="1" ht="24" hidden="1" customHeight="1" outlineLevel="1" x14ac:dyDescent="0.25">
      <c r="A14531" s="18">
        <v>2714</v>
      </c>
      <c r="B14531" s="4" t="s">
        <v>44</v>
      </c>
      <c r="C14531" s="38" t="s">
        <v>12405</v>
      </c>
      <c r="D14531" s="18">
        <v>2023</v>
      </c>
      <c r="E14531" s="18" t="s">
        <v>0</v>
      </c>
      <c r="F14531" s="41">
        <v>1</v>
      </c>
      <c r="G14531" s="41">
        <v>14</v>
      </c>
      <c r="H14531" s="41">
        <v>40.62285</v>
      </c>
      <c r="I14531" s="221"/>
      <c r="J14531" s="221"/>
    </row>
    <row r="14532" spans="1:10" s="15" customFormat="1" ht="24" hidden="1" customHeight="1" outlineLevel="1" x14ac:dyDescent="0.25">
      <c r="A14532" s="18">
        <v>4208</v>
      </c>
      <c r="B14532" s="4" t="s">
        <v>44</v>
      </c>
      <c r="C14532" s="38" t="s">
        <v>12406</v>
      </c>
      <c r="D14532" s="18">
        <v>2023</v>
      </c>
      <c r="E14532" s="18" t="s">
        <v>0</v>
      </c>
      <c r="F14532" s="41">
        <v>1</v>
      </c>
      <c r="G14532" s="41">
        <v>15</v>
      </c>
      <c r="H14532" s="41">
        <v>41.178220000000003</v>
      </c>
      <c r="I14532" s="221"/>
      <c r="J14532" s="221"/>
    </row>
    <row r="14533" spans="1:10" s="15" customFormat="1" ht="24" hidden="1" customHeight="1" outlineLevel="1" x14ac:dyDescent="0.25">
      <c r="A14533" s="18">
        <v>4206</v>
      </c>
      <c r="B14533" s="4" t="s">
        <v>44</v>
      </c>
      <c r="C14533" s="38" t="s">
        <v>12407</v>
      </c>
      <c r="D14533" s="18">
        <v>2023</v>
      </c>
      <c r="E14533" s="18" t="s">
        <v>0</v>
      </c>
      <c r="F14533" s="41">
        <v>1</v>
      </c>
      <c r="G14533" s="41">
        <v>15</v>
      </c>
      <c r="H14533" s="41">
        <v>41.828760000000003</v>
      </c>
      <c r="I14533" s="221"/>
      <c r="J14533" s="221"/>
    </row>
    <row r="14534" spans="1:10" s="15" customFormat="1" ht="24" hidden="1" customHeight="1" outlineLevel="1" x14ac:dyDescent="0.25">
      <c r="A14534" s="18">
        <v>2727</v>
      </c>
      <c r="B14534" s="4" t="s">
        <v>44</v>
      </c>
      <c r="C14534" s="38" t="s">
        <v>12408</v>
      </c>
      <c r="D14534" s="18">
        <v>2023</v>
      </c>
      <c r="E14534" s="18" t="s">
        <v>0</v>
      </c>
      <c r="F14534" s="41">
        <v>1</v>
      </c>
      <c r="G14534" s="41">
        <v>10</v>
      </c>
      <c r="H14534" s="41">
        <v>42.127760000000002</v>
      </c>
      <c r="I14534" s="221"/>
      <c r="J14534" s="221"/>
    </row>
    <row r="14535" spans="1:10" s="15" customFormat="1" ht="24" hidden="1" customHeight="1" outlineLevel="1" x14ac:dyDescent="0.25">
      <c r="A14535" s="18">
        <v>4207</v>
      </c>
      <c r="B14535" s="4" t="s">
        <v>44</v>
      </c>
      <c r="C14535" s="38" t="s">
        <v>12409</v>
      </c>
      <c r="D14535" s="18">
        <v>2023</v>
      </c>
      <c r="E14535" s="18" t="s">
        <v>0</v>
      </c>
      <c r="F14535" s="41">
        <v>1</v>
      </c>
      <c r="G14535" s="41">
        <v>15</v>
      </c>
      <c r="H14535" s="41">
        <v>42.12773</v>
      </c>
      <c r="I14535" s="221"/>
      <c r="J14535" s="221"/>
    </row>
    <row r="14536" spans="1:10" s="15" customFormat="1" ht="24" hidden="1" customHeight="1" outlineLevel="1" x14ac:dyDescent="0.25">
      <c r="A14536" s="18">
        <v>4080</v>
      </c>
      <c r="B14536" s="4" t="s">
        <v>44</v>
      </c>
      <c r="C14536" s="38" t="s">
        <v>12410</v>
      </c>
      <c r="D14536" s="18">
        <v>2023</v>
      </c>
      <c r="E14536" s="18" t="s">
        <v>0</v>
      </c>
      <c r="F14536" s="41">
        <v>1</v>
      </c>
      <c r="G14536" s="41">
        <v>72</v>
      </c>
      <c r="H14536" s="41">
        <v>49.226689999999998</v>
      </c>
      <c r="I14536" s="221"/>
      <c r="J14536" s="221"/>
    </row>
    <row r="14537" spans="1:10" s="15" customFormat="1" ht="24" hidden="1" customHeight="1" outlineLevel="1" x14ac:dyDescent="0.25">
      <c r="A14537" s="18">
        <v>2759</v>
      </c>
      <c r="B14537" s="4" t="s">
        <v>44</v>
      </c>
      <c r="C14537" s="38" t="s">
        <v>12411</v>
      </c>
      <c r="D14537" s="18">
        <v>2023</v>
      </c>
      <c r="E14537" s="18" t="s">
        <v>0</v>
      </c>
      <c r="F14537" s="41">
        <v>1</v>
      </c>
      <c r="G14537" s="41">
        <v>7</v>
      </c>
      <c r="H14537" s="41">
        <v>38.980229999999999</v>
      </c>
      <c r="I14537" s="221"/>
      <c r="J14537" s="221"/>
    </row>
    <row r="14538" spans="1:10" s="15" customFormat="1" ht="24" hidden="1" customHeight="1" outlineLevel="1" x14ac:dyDescent="0.25">
      <c r="A14538" s="18">
        <v>2762</v>
      </c>
      <c r="B14538" s="4" t="s">
        <v>44</v>
      </c>
      <c r="C14538" s="38" t="s">
        <v>12412</v>
      </c>
      <c r="D14538" s="18">
        <v>2023</v>
      </c>
      <c r="E14538" s="18" t="s">
        <v>0</v>
      </c>
      <c r="F14538" s="41">
        <v>1</v>
      </c>
      <c r="G14538" s="41">
        <v>15</v>
      </c>
      <c r="H14538" s="41">
        <v>40.455329999999996</v>
      </c>
      <c r="I14538" s="221"/>
      <c r="J14538" s="221"/>
    </row>
    <row r="14539" spans="1:10" s="15" customFormat="1" ht="24" hidden="1" customHeight="1" outlineLevel="1" x14ac:dyDescent="0.25">
      <c r="A14539" s="18">
        <v>4203</v>
      </c>
      <c r="B14539" s="4" t="s">
        <v>44</v>
      </c>
      <c r="C14539" s="38" t="s">
        <v>12413</v>
      </c>
      <c r="D14539" s="18">
        <v>2023</v>
      </c>
      <c r="E14539" s="18" t="s">
        <v>0</v>
      </c>
      <c r="F14539" s="41">
        <v>1</v>
      </c>
      <c r="G14539" s="41">
        <v>15</v>
      </c>
      <c r="H14539" s="41">
        <v>42.425409999999999</v>
      </c>
      <c r="I14539" s="221"/>
      <c r="J14539" s="221"/>
    </row>
    <row r="14540" spans="1:10" s="15" customFormat="1" ht="24" hidden="1" customHeight="1" outlineLevel="1" x14ac:dyDescent="0.25">
      <c r="A14540" s="18">
        <v>4213</v>
      </c>
      <c r="B14540" s="4" t="s">
        <v>44</v>
      </c>
      <c r="C14540" s="38" t="s">
        <v>12414</v>
      </c>
      <c r="D14540" s="18">
        <v>2023</v>
      </c>
      <c r="E14540" s="18" t="s">
        <v>0</v>
      </c>
      <c r="F14540" s="41">
        <v>1</v>
      </c>
      <c r="G14540" s="41">
        <v>15</v>
      </c>
      <c r="H14540" s="41">
        <v>41.021479999999997</v>
      </c>
      <c r="I14540" s="221"/>
      <c r="J14540" s="221"/>
    </row>
    <row r="14541" spans="1:10" s="15" customFormat="1" ht="24" hidden="1" customHeight="1" outlineLevel="1" x14ac:dyDescent="0.25">
      <c r="A14541" s="18">
        <v>4211</v>
      </c>
      <c r="B14541" s="4" t="s">
        <v>44</v>
      </c>
      <c r="C14541" s="38" t="s">
        <v>12415</v>
      </c>
      <c r="D14541" s="18">
        <v>2023</v>
      </c>
      <c r="E14541" s="18" t="s">
        <v>0</v>
      </c>
      <c r="F14541" s="41">
        <v>1</v>
      </c>
      <c r="G14541" s="41">
        <v>15</v>
      </c>
      <c r="H14541" s="41">
        <v>40.406709999999997</v>
      </c>
      <c r="I14541" s="221"/>
      <c r="J14541" s="221"/>
    </row>
    <row r="14542" spans="1:10" s="15" customFormat="1" ht="24" hidden="1" customHeight="1" outlineLevel="1" x14ac:dyDescent="0.25">
      <c r="A14542" s="18">
        <v>4212</v>
      </c>
      <c r="B14542" s="4" t="s">
        <v>44</v>
      </c>
      <c r="C14542" s="38" t="s">
        <v>12416</v>
      </c>
      <c r="D14542" s="18">
        <v>2023</v>
      </c>
      <c r="E14542" s="18" t="s">
        <v>0</v>
      </c>
      <c r="F14542" s="41">
        <v>1</v>
      </c>
      <c r="G14542" s="41">
        <v>25</v>
      </c>
      <c r="H14542" s="41">
        <v>41.046800000000005</v>
      </c>
      <c r="I14542" s="221"/>
      <c r="J14542" s="221"/>
    </row>
    <row r="14543" spans="1:10" s="15" customFormat="1" ht="24" hidden="1" customHeight="1" outlineLevel="1" x14ac:dyDescent="0.25">
      <c r="A14543" s="18">
        <v>4215</v>
      </c>
      <c r="B14543" s="4" t="s">
        <v>44</v>
      </c>
      <c r="C14543" s="38" t="s">
        <v>12417</v>
      </c>
      <c r="D14543" s="18">
        <v>2023</v>
      </c>
      <c r="E14543" s="18" t="s">
        <v>0</v>
      </c>
      <c r="F14543" s="41">
        <v>1</v>
      </c>
      <c r="G14543" s="41">
        <v>15</v>
      </c>
      <c r="H14543" s="41">
        <v>41.474029999999999</v>
      </c>
      <c r="I14543" s="221"/>
      <c r="J14543" s="221"/>
    </row>
    <row r="14544" spans="1:10" s="15" customFormat="1" ht="24" hidden="1" customHeight="1" outlineLevel="1" x14ac:dyDescent="0.25">
      <c r="A14544" s="18">
        <v>2766</v>
      </c>
      <c r="B14544" s="4" t="s">
        <v>44</v>
      </c>
      <c r="C14544" s="38" t="s">
        <v>12418</v>
      </c>
      <c r="D14544" s="18">
        <v>2023</v>
      </c>
      <c r="E14544" s="18" t="s">
        <v>0</v>
      </c>
      <c r="F14544" s="41">
        <v>1</v>
      </c>
      <c r="G14544" s="41">
        <v>9</v>
      </c>
      <c r="H14544" s="41">
        <v>40.716679999999997</v>
      </c>
      <c r="I14544" s="221"/>
      <c r="J14544" s="221"/>
    </row>
    <row r="14545" spans="1:10" s="15" customFormat="1" ht="24" hidden="1" customHeight="1" outlineLevel="1" x14ac:dyDescent="0.25">
      <c r="A14545" s="18">
        <v>4216</v>
      </c>
      <c r="B14545" s="4" t="s">
        <v>44</v>
      </c>
      <c r="C14545" s="38" t="s">
        <v>12419</v>
      </c>
      <c r="D14545" s="18">
        <v>2023</v>
      </c>
      <c r="E14545" s="18" t="s">
        <v>0</v>
      </c>
      <c r="F14545" s="41">
        <v>1</v>
      </c>
      <c r="G14545" s="41">
        <v>15</v>
      </c>
      <c r="H14545" s="41">
        <v>41.210969999999996</v>
      </c>
      <c r="I14545" s="221"/>
      <c r="J14545" s="221"/>
    </row>
    <row r="14546" spans="1:10" s="15" customFormat="1" ht="24" hidden="1" customHeight="1" outlineLevel="1" x14ac:dyDescent="0.25">
      <c r="A14546" s="18">
        <v>4095</v>
      </c>
      <c r="B14546" s="4" t="s">
        <v>44</v>
      </c>
      <c r="C14546" s="38" t="s">
        <v>12420</v>
      </c>
      <c r="D14546" s="18">
        <v>2023</v>
      </c>
      <c r="E14546" s="18" t="s">
        <v>0</v>
      </c>
      <c r="F14546" s="41">
        <v>1</v>
      </c>
      <c r="G14546" s="41">
        <v>6</v>
      </c>
      <c r="H14546" s="41">
        <v>48.212049999999998</v>
      </c>
      <c r="I14546" s="221"/>
      <c r="J14546" s="221"/>
    </row>
    <row r="14547" spans="1:10" s="15" customFormat="1" ht="24" hidden="1" customHeight="1" outlineLevel="1" x14ac:dyDescent="0.25">
      <c r="A14547" s="18">
        <v>4086</v>
      </c>
      <c r="B14547" s="4" t="s">
        <v>44</v>
      </c>
      <c r="C14547" s="38" t="s">
        <v>12421</v>
      </c>
      <c r="D14547" s="18">
        <v>2023</v>
      </c>
      <c r="E14547" s="18" t="s">
        <v>0</v>
      </c>
      <c r="F14547" s="41">
        <v>1</v>
      </c>
      <c r="G14547" s="41">
        <v>15</v>
      </c>
      <c r="H14547" s="41">
        <v>46.988160000000001</v>
      </c>
      <c r="I14547" s="221"/>
      <c r="J14547" s="221"/>
    </row>
    <row r="14548" spans="1:10" s="15" customFormat="1" ht="24" hidden="1" customHeight="1" outlineLevel="1" x14ac:dyDescent="0.25">
      <c r="A14548" s="18">
        <v>4214</v>
      </c>
      <c r="B14548" s="4" t="s">
        <v>44</v>
      </c>
      <c r="C14548" s="38" t="s">
        <v>12422</v>
      </c>
      <c r="D14548" s="18">
        <v>2023</v>
      </c>
      <c r="E14548" s="18" t="s">
        <v>0</v>
      </c>
      <c r="F14548" s="41">
        <v>1</v>
      </c>
      <c r="G14548" s="41">
        <v>15</v>
      </c>
      <c r="H14548" s="41">
        <v>35.837309999999995</v>
      </c>
      <c r="I14548" s="221"/>
      <c r="J14548" s="221"/>
    </row>
    <row r="14549" spans="1:10" s="15" customFormat="1" ht="24" hidden="1" customHeight="1" outlineLevel="1" x14ac:dyDescent="0.25">
      <c r="A14549" s="18">
        <v>4223</v>
      </c>
      <c r="B14549" s="4" t="s">
        <v>44</v>
      </c>
      <c r="C14549" s="38" t="s">
        <v>12423</v>
      </c>
      <c r="D14549" s="18">
        <v>2023</v>
      </c>
      <c r="E14549" s="18" t="s">
        <v>0</v>
      </c>
      <c r="F14549" s="41">
        <v>1</v>
      </c>
      <c r="G14549" s="41">
        <v>10</v>
      </c>
      <c r="H14549" s="41">
        <v>39.552680000000002</v>
      </c>
      <c r="I14549" s="221"/>
      <c r="J14549" s="221"/>
    </row>
    <row r="14550" spans="1:10" s="15" customFormat="1" ht="24" hidden="1" customHeight="1" outlineLevel="1" x14ac:dyDescent="0.25">
      <c r="A14550" s="18">
        <v>4221</v>
      </c>
      <c r="B14550" s="4" t="s">
        <v>44</v>
      </c>
      <c r="C14550" s="38" t="s">
        <v>12424</v>
      </c>
      <c r="D14550" s="18">
        <v>2023</v>
      </c>
      <c r="E14550" s="18" t="s">
        <v>0</v>
      </c>
      <c r="F14550" s="41">
        <v>1</v>
      </c>
      <c r="G14550" s="41">
        <v>15</v>
      </c>
      <c r="H14550" s="41">
        <v>40.198889999999999</v>
      </c>
      <c r="I14550" s="221"/>
      <c r="J14550" s="221"/>
    </row>
    <row r="14551" spans="1:10" s="15" customFormat="1" ht="24" hidden="1" customHeight="1" outlineLevel="1" x14ac:dyDescent="0.25">
      <c r="A14551" s="18">
        <v>4217</v>
      </c>
      <c r="B14551" s="4" t="s">
        <v>44</v>
      </c>
      <c r="C14551" s="38" t="s">
        <v>12425</v>
      </c>
      <c r="D14551" s="18">
        <v>2023</v>
      </c>
      <c r="E14551" s="18" t="s">
        <v>0</v>
      </c>
      <c r="F14551" s="41">
        <v>1</v>
      </c>
      <c r="G14551" s="41">
        <v>15</v>
      </c>
      <c r="H14551" s="41">
        <v>41.154769999999999</v>
      </c>
      <c r="I14551" s="221"/>
      <c r="J14551" s="221"/>
    </row>
    <row r="14552" spans="1:10" s="15" customFormat="1" ht="24" hidden="1" customHeight="1" outlineLevel="1" x14ac:dyDescent="0.25">
      <c r="A14552" s="18">
        <v>4219</v>
      </c>
      <c r="B14552" s="4" t="s">
        <v>44</v>
      </c>
      <c r="C14552" s="38" t="s">
        <v>12426</v>
      </c>
      <c r="D14552" s="18">
        <v>2023</v>
      </c>
      <c r="E14552" s="18" t="s">
        <v>0</v>
      </c>
      <c r="F14552" s="41">
        <v>1</v>
      </c>
      <c r="G14552" s="41">
        <v>15</v>
      </c>
      <c r="H14552" s="41">
        <v>40.198889999999999</v>
      </c>
      <c r="I14552" s="221"/>
      <c r="J14552" s="221"/>
    </row>
    <row r="14553" spans="1:10" s="15" customFormat="1" ht="24" hidden="1" customHeight="1" outlineLevel="1" x14ac:dyDescent="0.25">
      <c r="A14553" s="18">
        <v>4224</v>
      </c>
      <c r="B14553" s="4" t="s">
        <v>44</v>
      </c>
      <c r="C14553" s="38" t="s">
        <v>12427</v>
      </c>
      <c r="D14553" s="18">
        <v>2023</v>
      </c>
      <c r="E14553" s="18" t="s">
        <v>0</v>
      </c>
      <c r="F14553" s="41">
        <v>1</v>
      </c>
      <c r="G14553" s="41">
        <v>15</v>
      </c>
      <c r="H14553" s="41">
        <v>41.245509999999996</v>
      </c>
      <c r="I14553" s="221"/>
      <c r="J14553" s="221"/>
    </row>
    <row r="14554" spans="1:10" s="15" customFormat="1" ht="24" hidden="1" customHeight="1" outlineLevel="1" x14ac:dyDescent="0.25">
      <c r="A14554" s="18">
        <v>4230</v>
      </c>
      <c r="B14554" s="4" t="s">
        <v>44</v>
      </c>
      <c r="C14554" s="38" t="s">
        <v>12428</v>
      </c>
      <c r="D14554" s="18">
        <v>2023</v>
      </c>
      <c r="E14554" s="18" t="s">
        <v>0</v>
      </c>
      <c r="F14554" s="41">
        <v>1</v>
      </c>
      <c r="G14554" s="41">
        <v>10</v>
      </c>
      <c r="H14554" s="41">
        <v>41.526260000000001</v>
      </c>
      <c r="I14554" s="221"/>
      <c r="J14554" s="221"/>
    </row>
    <row r="14555" spans="1:10" s="15" customFormat="1" ht="24" hidden="1" customHeight="1" outlineLevel="1" x14ac:dyDescent="0.25">
      <c r="A14555" s="18">
        <v>4231</v>
      </c>
      <c r="B14555" s="4" t="s">
        <v>44</v>
      </c>
      <c r="C14555" s="38" t="s">
        <v>12429</v>
      </c>
      <c r="D14555" s="18">
        <v>2023</v>
      </c>
      <c r="E14555" s="18" t="s">
        <v>0</v>
      </c>
      <c r="F14555" s="41">
        <v>1</v>
      </c>
      <c r="G14555" s="41">
        <v>6</v>
      </c>
      <c r="H14555" s="41">
        <v>41.528469999999999</v>
      </c>
      <c r="I14555" s="221"/>
      <c r="J14555" s="221"/>
    </row>
    <row r="14556" spans="1:10" s="15" customFormat="1" ht="24" hidden="1" customHeight="1" outlineLevel="1" x14ac:dyDescent="0.25">
      <c r="A14556" s="18">
        <v>2778</v>
      </c>
      <c r="B14556" s="4" t="s">
        <v>44</v>
      </c>
      <c r="C14556" s="38" t="s">
        <v>12430</v>
      </c>
      <c r="D14556" s="18">
        <v>2023</v>
      </c>
      <c r="E14556" s="18" t="s">
        <v>0</v>
      </c>
      <c r="F14556" s="41">
        <v>1</v>
      </c>
      <c r="G14556" s="41">
        <v>15</v>
      </c>
      <c r="H14556" s="41">
        <v>41.418320000000001</v>
      </c>
      <c r="I14556" s="221"/>
      <c r="J14556" s="221"/>
    </row>
    <row r="14557" spans="1:10" s="15" customFormat="1" ht="24" hidden="1" customHeight="1" outlineLevel="1" x14ac:dyDescent="0.25">
      <c r="A14557" s="18">
        <v>4232</v>
      </c>
      <c r="B14557" s="4" t="s">
        <v>44</v>
      </c>
      <c r="C14557" s="38" t="s">
        <v>12431</v>
      </c>
      <c r="D14557" s="18">
        <v>2023</v>
      </c>
      <c r="E14557" s="18" t="s">
        <v>0</v>
      </c>
      <c r="F14557" s="41">
        <v>1</v>
      </c>
      <c r="G14557" s="41">
        <v>15</v>
      </c>
      <c r="H14557" s="41">
        <v>42.758829999999996</v>
      </c>
      <c r="I14557" s="221"/>
      <c r="J14557" s="221"/>
    </row>
    <row r="14558" spans="1:10" s="15" customFormat="1" ht="24" hidden="1" customHeight="1" outlineLevel="1" x14ac:dyDescent="0.25">
      <c r="A14558" s="18">
        <v>2793</v>
      </c>
      <c r="B14558" s="4" t="s">
        <v>44</v>
      </c>
      <c r="C14558" s="38" t="s">
        <v>12432</v>
      </c>
      <c r="D14558" s="18">
        <v>2023</v>
      </c>
      <c r="E14558" s="18" t="s">
        <v>0</v>
      </c>
      <c r="F14558" s="41">
        <v>1</v>
      </c>
      <c r="G14558" s="41">
        <v>5</v>
      </c>
      <c r="H14558" s="41">
        <v>40.314579999999999</v>
      </c>
      <c r="I14558" s="221"/>
      <c r="J14558" s="221"/>
    </row>
    <row r="14559" spans="1:10" s="15" customFormat="1" ht="24" hidden="1" customHeight="1" outlineLevel="1" x14ac:dyDescent="0.25">
      <c r="A14559" s="18">
        <v>4226</v>
      </c>
      <c r="B14559" s="4" t="s">
        <v>44</v>
      </c>
      <c r="C14559" s="38" t="s">
        <v>12433</v>
      </c>
      <c r="D14559" s="18">
        <v>2023</v>
      </c>
      <c r="E14559" s="18" t="s">
        <v>0</v>
      </c>
      <c r="F14559" s="41">
        <v>1</v>
      </c>
      <c r="G14559" s="41">
        <v>15</v>
      </c>
      <c r="H14559" s="41">
        <v>40.196330000000003</v>
      </c>
      <c r="I14559" s="221"/>
      <c r="J14559" s="221"/>
    </row>
    <row r="14560" spans="1:10" s="15" customFormat="1" ht="24" hidden="1" customHeight="1" outlineLevel="1" x14ac:dyDescent="0.25">
      <c r="A14560" s="18">
        <v>2810</v>
      </c>
      <c r="B14560" s="4" t="s">
        <v>44</v>
      </c>
      <c r="C14560" s="38" t="s">
        <v>12434</v>
      </c>
      <c r="D14560" s="18">
        <v>2023</v>
      </c>
      <c r="E14560" s="18" t="s">
        <v>0</v>
      </c>
      <c r="F14560" s="41">
        <v>1</v>
      </c>
      <c r="G14560" s="41">
        <v>9</v>
      </c>
      <c r="H14560" s="41">
        <v>38.771169999999998</v>
      </c>
      <c r="I14560" s="221"/>
      <c r="J14560" s="221"/>
    </row>
    <row r="14561" spans="1:10" s="15" customFormat="1" ht="24" hidden="1" customHeight="1" outlineLevel="1" x14ac:dyDescent="0.25">
      <c r="A14561" s="18">
        <v>2792</v>
      </c>
      <c r="B14561" s="4" t="s">
        <v>44</v>
      </c>
      <c r="C14561" s="38" t="s">
        <v>12435</v>
      </c>
      <c r="D14561" s="18">
        <v>2023</v>
      </c>
      <c r="E14561" s="18" t="s">
        <v>0</v>
      </c>
      <c r="F14561" s="41">
        <v>1</v>
      </c>
      <c r="G14561" s="41">
        <v>7</v>
      </c>
      <c r="H14561" s="41">
        <v>38.771149999999999</v>
      </c>
      <c r="I14561" s="221"/>
      <c r="J14561" s="221"/>
    </row>
    <row r="14562" spans="1:10" s="15" customFormat="1" ht="24" hidden="1" customHeight="1" outlineLevel="1" x14ac:dyDescent="0.25">
      <c r="A14562" s="18">
        <v>4235</v>
      </c>
      <c r="B14562" s="4" t="s">
        <v>44</v>
      </c>
      <c r="C14562" s="38" t="s">
        <v>12436</v>
      </c>
      <c r="D14562" s="18">
        <v>2023</v>
      </c>
      <c r="E14562" s="18" t="s">
        <v>0</v>
      </c>
      <c r="F14562" s="41">
        <v>1</v>
      </c>
      <c r="G14562" s="41">
        <v>15</v>
      </c>
      <c r="H14562" s="41">
        <v>43.28519</v>
      </c>
      <c r="I14562" s="221"/>
      <c r="J14562" s="221"/>
    </row>
    <row r="14563" spans="1:10" s="15" customFormat="1" ht="24" hidden="1" customHeight="1" outlineLevel="1" x14ac:dyDescent="0.25">
      <c r="A14563" s="18">
        <v>4229</v>
      </c>
      <c r="B14563" s="4" t="s">
        <v>44</v>
      </c>
      <c r="C14563" s="38" t="s">
        <v>12437</v>
      </c>
      <c r="D14563" s="18">
        <v>2023</v>
      </c>
      <c r="E14563" s="18" t="s">
        <v>0</v>
      </c>
      <c r="F14563" s="41">
        <v>1</v>
      </c>
      <c r="G14563" s="41">
        <v>15</v>
      </c>
      <c r="H14563" s="41">
        <v>38.949269999999999</v>
      </c>
      <c r="I14563" s="221"/>
      <c r="J14563" s="221"/>
    </row>
    <row r="14564" spans="1:10" s="15" customFormat="1" ht="24" hidden="1" customHeight="1" outlineLevel="1" x14ac:dyDescent="0.25">
      <c r="A14564" s="18">
        <v>2809</v>
      </c>
      <c r="B14564" s="4" t="s">
        <v>44</v>
      </c>
      <c r="C14564" s="38" t="s">
        <v>12438</v>
      </c>
      <c r="D14564" s="18">
        <v>2023</v>
      </c>
      <c r="E14564" s="18" t="s">
        <v>0</v>
      </c>
      <c r="F14564" s="41">
        <v>1</v>
      </c>
      <c r="G14564" s="41">
        <v>10</v>
      </c>
      <c r="H14564" s="41">
        <v>39.045769999999997</v>
      </c>
      <c r="I14564" s="221"/>
      <c r="J14564" s="221"/>
    </row>
    <row r="14565" spans="1:10" s="15" customFormat="1" ht="24" hidden="1" customHeight="1" outlineLevel="1" x14ac:dyDescent="0.25">
      <c r="A14565" s="18">
        <v>327</v>
      </c>
      <c r="B14565" s="4" t="s">
        <v>44</v>
      </c>
      <c r="C14565" s="38" t="s">
        <v>12439</v>
      </c>
      <c r="D14565" s="18">
        <v>2023</v>
      </c>
      <c r="E14565" s="18" t="s">
        <v>0</v>
      </c>
      <c r="F14565" s="41">
        <v>1</v>
      </c>
      <c r="G14565" s="41">
        <v>10</v>
      </c>
      <c r="H14565" s="41">
        <v>43.953180000000003</v>
      </c>
      <c r="I14565" s="221"/>
      <c r="J14565" s="221"/>
    </row>
    <row r="14566" spans="1:10" s="15" customFormat="1" ht="24" hidden="1" customHeight="1" outlineLevel="1" x14ac:dyDescent="0.25">
      <c r="A14566" s="18">
        <v>4227</v>
      </c>
      <c r="B14566" s="4" t="s">
        <v>44</v>
      </c>
      <c r="C14566" s="38" t="s">
        <v>12440</v>
      </c>
      <c r="D14566" s="18">
        <v>2023</v>
      </c>
      <c r="E14566" s="18" t="s">
        <v>0</v>
      </c>
      <c r="F14566" s="41">
        <v>1</v>
      </c>
      <c r="G14566" s="41">
        <v>10</v>
      </c>
      <c r="H14566" s="41">
        <v>38.348390000000002</v>
      </c>
      <c r="I14566" s="221"/>
      <c r="J14566" s="221"/>
    </row>
    <row r="14567" spans="1:10" s="15" customFormat="1" ht="24" hidden="1" customHeight="1" outlineLevel="1" x14ac:dyDescent="0.25">
      <c r="A14567" s="18">
        <v>3623</v>
      </c>
      <c r="B14567" s="4" t="s">
        <v>44</v>
      </c>
      <c r="C14567" s="38" t="s">
        <v>12441</v>
      </c>
      <c r="D14567" s="18">
        <v>2023</v>
      </c>
      <c r="E14567" s="18" t="s">
        <v>0</v>
      </c>
      <c r="F14567" s="41">
        <v>1</v>
      </c>
      <c r="G14567" s="41">
        <v>15</v>
      </c>
      <c r="H14567" s="41">
        <v>45</v>
      </c>
      <c r="I14567" s="221"/>
      <c r="J14567" s="221"/>
    </row>
    <row r="14568" spans="1:10" s="15" customFormat="1" ht="24" hidden="1" customHeight="1" outlineLevel="1" x14ac:dyDescent="0.25">
      <c r="A14568" s="18">
        <v>4020</v>
      </c>
      <c r="B14568" s="4" t="s">
        <v>44</v>
      </c>
      <c r="C14568" s="38" t="s">
        <v>8218</v>
      </c>
      <c r="D14568" s="18">
        <v>2023</v>
      </c>
      <c r="E14568" s="18" t="s">
        <v>0</v>
      </c>
      <c r="F14568" s="41">
        <v>1</v>
      </c>
      <c r="G14568" s="41">
        <v>13.5</v>
      </c>
      <c r="H14568" s="41">
        <v>55.625800000000005</v>
      </c>
      <c r="I14568" s="221"/>
      <c r="J14568" s="221"/>
    </row>
    <row r="14569" spans="1:10" s="15" customFormat="1" ht="24" hidden="1" customHeight="1" outlineLevel="1" x14ac:dyDescent="0.25">
      <c r="A14569" s="18">
        <v>3990</v>
      </c>
      <c r="B14569" s="4" t="s">
        <v>44</v>
      </c>
      <c r="C14569" s="38" t="s">
        <v>8219</v>
      </c>
      <c r="D14569" s="18">
        <v>2023</v>
      </c>
      <c r="E14569" s="18" t="s">
        <v>0</v>
      </c>
      <c r="F14569" s="41">
        <v>1</v>
      </c>
      <c r="G14569" s="41">
        <v>10</v>
      </c>
      <c r="H14569" s="41">
        <v>36.722430000000003</v>
      </c>
      <c r="I14569" s="221"/>
      <c r="J14569" s="221"/>
    </row>
    <row r="14570" spans="1:10" s="15" customFormat="1" ht="24" hidden="1" customHeight="1" outlineLevel="1" x14ac:dyDescent="0.25">
      <c r="A14570" s="18">
        <v>3992</v>
      </c>
      <c r="B14570" s="4" t="s">
        <v>44</v>
      </c>
      <c r="C14570" s="38" t="s">
        <v>8220</v>
      </c>
      <c r="D14570" s="18">
        <v>2023</v>
      </c>
      <c r="E14570" s="18" t="s">
        <v>0</v>
      </c>
      <c r="F14570" s="41">
        <v>1</v>
      </c>
      <c r="G14570" s="41">
        <v>15</v>
      </c>
      <c r="H14570" s="41">
        <v>30.714310000000001</v>
      </c>
      <c r="I14570" s="221"/>
      <c r="J14570" s="221"/>
    </row>
    <row r="14571" spans="1:10" s="15" customFormat="1" ht="24" hidden="1" customHeight="1" outlineLevel="1" x14ac:dyDescent="0.25">
      <c r="A14571" s="18">
        <v>3996</v>
      </c>
      <c r="B14571" s="4" t="s">
        <v>44</v>
      </c>
      <c r="C14571" s="38" t="s">
        <v>8221</v>
      </c>
      <c r="D14571" s="18">
        <v>2023</v>
      </c>
      <c r="E14571" s="18" t="s">
        <v>0</v>
      </c>
      <c r="F14571" s="41">
        <v>1</v>
      </c>
      <c r="G14571" s="41">
        <v>15</v>
      </c>
      <c r="H14571" s="41">
        <v>43.536380000000001</v>
      </c>
      <c r="I14571" s="221"/>
      <c r="J14571" s="221"/>
    </row>
    <row r="14572" spans="1:10" s="15" customFormat="1" ht="24" hidden="1" customHeight="1" outlineLevel="1" x14ac:dyDescent="0.25">
      <c r="A14572" s="18">
        <v>4014</v>
      </c>
      <c r="B14572" s="4" t="s">
        <v>44</v>
      </c>
      <c r="C14572" s="38" t="s">
        <v>8223</v>
      </c>
      <c r="D14572" s="18">
        <v>2023</v>
      </c>
      <c r="E14572" s="18" t="s">
        <v>0</v>
      </c>
      <c r="F14572" s="41">
        <v>1</v>
      </c>
      <c r="G14572" s="41">
        <v>15</v>
      </c>
      <c r="H14572" s="41">
        <v>56.26961</v>
      </c>
      <c r="I14572" s="221"/>
      <c r="J14572" s="221"/>
    </row>
    <row r="14573" spans="1:10" s="15" customFormat="1" ht="24" hidden="1" customHeight="1" outlineLevel="1" x14ac:dyDescent="0.25">
      <c r="A14573" s="18">
        <v>3902</v>
      </c>
      <c r="B14573" s="4" t="s">
        <v>44</v>
      </c>
      <c r="C14573" s="38" t="s">
        <v>8225</v>
      </c>
      <c r="D14573" s="18">
        <v>2023</v>
      </c>
      <c r="E14573" s="18" t="s">
        <v>0</v>
      </c>
      <c r="F14573" s="41">
        <v>1</v>
      </c>
      <c r="G14573" s="41">
        <v>10</v>
      </c>
      <c r="H14573" s="41">
        <v>32.691310000000001</v>
      </c>
      <c r="I14573" s="221"/>
      <c r="J14573" s="221"/>
    </row>
    <row r="14574" spans="1:10" s="15" customFormat="1" ht="24" hidden="1" customHeight="1" outlineLevel="1" x14ac:dyDescent="0.25">
      <c r="A14574" s="18">
        <v>561</v>
      </c>
      <c r="B14574" s="4" t="s">
        <v>44</v>
      </c>
      <c r="C14574" s="38" t="s">
        <v>8226</v>
      </c>
      <c r="D14574" s="18">
        <v>2023</v>
      </c>
      <c r="E14574" s="18" t="s">
        <v>0</v>
      </c>
      <c r="F14574" s="41">
        <v>1</v>
      </c>
      <c r="G14574" s="41">
        <v>5</v>
      </c>
      <c r="H14574" s="41">
        <v>41.004289999999997</v>
      </c>
      <c r="I14574" s="221"/>
      <c r="J14574" s="221"/>
    </row>
    <row r="14575" spans="1:10" s="15" customFormat="1" ht="24" hidden="1" customHeight="1" outlineLevel="1" x14ac:dyDescent="0.25">
      <c r="A14575" s="18">
        <v>3812</v>
      </c>
      <c r="B14575" s="4" t="s">
        <v>44</v>
      </c>
      <c r="C14575" s="38" t="s">
        <v>8227</v>
      </c>
      <c r="D14575" s="18">
        <v>2023</v>
      </c>
      <c r="E14575" s="18" t="s">
        <v>0</v>
      </c>
      <c r="F14575" s="41">
        <v>1</v>
      </c>
      <c r="G14575" s="41">
        <v>15</v>
      </c>
      <c r="H14575" s="41">
        <v>54.524370000000005</v>
      </c>
      <c r="I14575" s="221"/>
      <c r="J14575" s="221"/>
    </row>
    <row r="14576" spans="1:10" s="15" customFormat="1" ht="24" hidden="1" customHeight="1" outlineLevel="1" x14ac:dyDescent="0.25">
      <c r="A14576" s="18">
        <v>3942</v>
      </c>
      <c r="B14576" s="4" t="s">
        <v>44</v>
      </c>
      <c r="C14576" s="38" t="s">
        <v>8228</v>
      </c>
      <c r="D14576" s="18">
        <v>2023</v>
      </c>
      <c r="E14576" s="18" t="s">
        <v>0</v>
      </c>
      <c r="F14576" s="41">
        <v>1</v>
      </c>
      <c r="G14576" s="41">
        <v>10</v>
      </c>
      <c r="H14576" s="41">
        <v>50.647190000000002</v>
      </c>
      <c r="I14576" s="221"/>
      <c r="J14576" s="221"/>
    </row>
    <row r="14577" spans="1:10" s="15" customFormat="1" ht="24" hidden="1" customHeight="1" outlineLevel="1" x14ac:dyDescent="0.25">
      <c r="A14577" s="18">
        <v>3950</v>
      </c>
      <c r="B14577" s="4" t="s">
        <v>44</v>
      </c>
      <c r="C14577" s="38" t="s">
        <v>8230</v>
      </c>
      <c r="D14577" s="18">
        <v>2023</v>
      </c>
      <c r="E14577" s="18" t="s">
        <v>0</v>
      </c>
      <c r="F14577" s="41">
        <v>1</v>
      </c>
      <c r="G14577" s="41">
        <v>15</v>
      </c>
      <c r="H14577" s="41">
        <v>36.552660000000003</v>
      </c>
      <c r="I14577" s="221"/>
      <c r="J14577" s="221"/>
    </row>
    <row r="14578" spans="1:10" s="15" customFormat="1" ht="24" hidden="1" customHeight="1" outlineLevel="1" x14ac:dyDescent="0.25">
      <c r="A14578" s="18">
        <v>608</v>
      </c>
      <c r="B14578" s="4" t="s">
        <v>44</v>
      </c>
      <c r="C14578" s="38" t="s">
        <v>8231</v>
      </c>
      <c r="D14578" s="18">
        <v>2023</v>
      </c>
      <c r="E14578" s="18" t="s">
        <v>0</v>
      </c>
      <c r="F14578" s="41">
        <v>1</v>
      </c>
      <c r="G14578" s="41">
        <v>15</v>
      </c>
      <c r="H14578" s="41">
        <v>45.659739999999999</v>
      </c>
      <c r="I14578" s="221"/>
      <c r="J14578" s="221"/>
    </row>
    <row r="14579" spans="1:10" s="15" customFormat="1" ht="24" hidden="1" customHeight="1" outlineLevel="1" x14ac:dyDescent="0.25">
      <c r="A14579" s="18">
        <v>3963</v>
      </c>
      <c r="B14579" s="4" t="s">
        <v>44</v>
      </c>
      <c r="C14579" s="38" t="s">
        <v>8232</v>
      </c>
      <c r="D14579" s="18">
        <v>2023</v>
      </c>
      <c r="E14579" s="18" t="s">
        <v>0</v>
      </c>
      <c r="F14579" s="41">
        <v>1</v>
      </c>
      <c r="G14579" s="41">
        <v>15</v>
      </c>
      <c r="H14579" s="41">
        <v>67.920540000000003</v>
      </c>
      <c r="I14579" s="221"/>
      <c r="J14579" s="221"/>
    </row>
    <row r="14580" spans="1:10" s="15" customFormat="1" ht="24" hidden="1" customHeight="1" outlineLevel="1" x14ac:dyDescent="0.25">
      <c r="A14580" s="18">
        <v>3924</v>
      </c>
      <c r="B14580" s="4" t="s">
        <v>44</v>
      </c>
      <c r="C14580" s="38" t="s">
        <v>8233</v>
      </c>
      <c r="D14580" s="18">
        <v>2023</v>
      </c>
      <c r="E14580" s="18" t="s">
        <v>0</v>
      </c>
      <c r="F14580" s="41">
        <v>1</v>
      </c>
      <c r="G14580" s="41">
        <v>15</v>
      </c>
      <c r="H14580" s="41">
        <v>39.237369999999999</v>
      </c>
      <c r="I14580" s="221"/>
      <c r="J14580" s="221"/>
    </row>
    <row r="14581" spans="1:10" s="15" customFormat="1" ht="24" hidden="1" customHeight="1" outlineLevel="1" x14ac:dyDescent="0.25">
      <c r="A14581" s="18">
        <v>3811</v>
      </c>
      <c r="B14581" s="4" t="s">
        <v>44</v>
      </c>
      <c r="C14581" s="38" t="s">
        <v>8236</v>
      </c>
      <c r="D14581" s="18">
        <v>2023</v>
      </c>
      <c r="E14581" s="18" t="s">
        <v>0</v>
      </c>
      <c r="F14581" s="41">
        <v>1</v>
      </c>
      <c r="G14581" s="41">
        <v>15</v>
      </c>
      <c r="H14581" s="41">
        <v>77.941299999999998</v>
      </c>
      <c r="I14581" s="221"/>
      <c r="J14581" s="221"/>
    </row>
    <row r="14582" spans="1:10" s="15" customFormat="1" ht="24" hidden="1" customHeight="1" outlineLevel="1" x14ac:dyDescent="0.25">
      <c r="A14582" s="18">
        <v>3527</v>
      </c>
      <c r="B14582" s="4" t="s">
        <v>44</v>
      </c>
      <c r="C14582" s="38" t="s">
        <v>8237</v>
      </c>
      <c r="D14582" s="18">
        <v>2023</v>
      </c>
      <c r="E14582" s="18" t="s">
        <v>0</v>
      </c>
      <c r="F14582" s="41">
        <v>1</v>
      </c>
      <c r="G14582" s="41">
        <v>15</v>
      </c>
      <c r="H14582" s="41">
        <v>31.770239999999998</v>
      </c>
      <c r="I14582" s="221"/>
      <c r="J14582" s="221"/>
    </row>
    <row r="14583" spans="1:10" s="15" customFormat="1" ht="24" hidden="1" customHeight="1" outlineLevel="1" x14ac:dyDescent="0.25">
      <c r="A14583" s="18">
        <v>3622</v>
      </c>
      <c r="B14583" s="4" t="s">
        <v>44</v>
      </c>
      <c r="C14583" s="38" t="s">
        <v>8238</v>
      </c>
      <c r="D14583" s="18">
        <v>2023</v>
      </c>
      <c r="E14583" s="18" t="s">
        <v>0</v>
      </c>
      <c r="F14583" s="41">
        <v>1</v>
      </c>
      <c r="G14583" s="41">
        <v>15</v>
      </c>
      <c r="H14583" s="41">
        <v>46.8506</v>
      </c>
      <c r="I14583" s="221"/>
      <c r="J14583" s="221"/>
    </row>
    <row r="14584" spans="1:10" s="15" customFormat="1" ht="24" hidden="1" customHeight="1" outlineLevel="1" x14ac:dyDescent="0.25">
      <c r="A14584" s="18">
        <v>3533</v>
      </c>
      <c r="B14584" s="4" t="s">
        <v>44</v>
      </c>
      <c r="C14584" s="38" t="s">
        <v>8239</v>
      </c>
      <c r="D14584" s="18">
        <v>2023</v>
      </c>
      <c r="E14584" s="18" t="s">
        <v>0</v>
      </c>
      <c r="F14584" s="41">
        <v>1</v>
      </c>
      <c r="G14584" s="41">
        <v>15</v>
      </c>
      <c r="H14584" s="41">
        <v>48.84395</v>
      </c>
      <c r="I14584" s="221"/>
      <c r="J14584" s="221"/>
    </row>
    <row r="14585" spans="1:10" s="15" customFormat="1" ht="24" hidden="1" customHeight="1" outlineLevel="1" x14ac:dyDescent="0.25">
      <c r="A14585" s="18">
        <v>3713</v>
      </c>
      <c r="B14585" s="4" t="s">
        <v>44</v>
      </c>
      <c r="C14585" s="38" t="s">
        <v>8240</v>
      </c>
      <c r="D14585" s="18">
        <v>2023</v>
      </c>
      <c r="E14585" s="18" t="s">
        <v>0</v>
      </c>
      <c r="F14585" s="41">
        <v>1</v>
      </c>
      <c r="G14585" s="41">
        <v>15</v>
      </c>
      <c r="H14585" s="41">
        <v>53.546889999999998</v>
      </c>
      <c r="I14585" s="221"/>
      <c r="J14585" s="221"/>
    </row>
    <row r="14586" spans="1:10" s="15" customFormat="1" ht="24" hidden="1" customHeight="1" outlineLevel="1" x14ac:dyDescent="0.25">
      <c r="A14586" s="18">
        <v>3532</v>
      </c>
      <c r="B14586" s="4" t="s">
        <v>44</v>
      </c>
      <c r="C14586" s="38" t="s">
        <v>8241</v>
      </c>
      <c r="D14586" s="18">
        <v>2023</v>
      </c>
      <c r="E14586" s="18" t="s">
        <v>0</v>
      </c>
      <c r="F14586" s="41">
        <v>1</v>
      </c>
      <c r="G14586" s="41">
        <v>15</v>
      </c>
      <c r="H14586" s="41">
        <v>51.522840000000002</v>
      </c>
      <c r="I14586" s="221"/>
      <c r="J14586" s="221"/>
    </row>
    <row r="14587" spans="1:10" s="15" customFormat="1" ht="24" hidden="1" customHeight="1" outlineLevel="1" x14ac:dyDescent="0.25">
      <c r="A14587" s="18">
        <v>3721</v>
      </c>
      <c r="B14587" s="4" t="s">
        <v>44</v>
      </c>
      <c r="C14587" s="38" t="s">
        <v>8242</v>
      </c>
      <c r="D14587" s="18">
        <v>2023</v>
      </c>
      <c r="E14587" s="18" t="s">
        <v>0</v>
      </c>
      <c r="F14587" s="41">
        <v>1</v>
      </c>
      <c r="G14587" s="41">
        <v>15</v>
      </c>
      <c r="H14587" s="41">
        <v>55.129989999999999</v>
      </c>
      <c r="I14587" s="221"/>
      <c r="J14587" s="221"/>
    </row>
    <row r="14588" spans="1:10" s="15" customFormat="1" ht="24" hidden="1" customHeight="1" outlineLevel="1" x14ac:dyDescent="0.25">
      <c r="A14588" s="18">
        <v>1079</v>
      </c>
      <c r="B14588" s="4" t="s">
        <v>44</v>
      </c>
      <c r="C14588" s="38" t="s">
        <v>8244</v>
      </c>
      <c r="D14588" s="18">
        <v>2023</v>
      </c>
      <c r="E14588" s="18" t="s">
        <v>0</v>
      </c>
      <c r="F14588" s="41">
        <v>1</v>
      </c>
      <c r="G14588" s="41">
        <v>15</v>
      </c>
      <c r="H14588" s="41">
        <v>50.933</v>
      </c>
      <c r="I14588" s="221"/>
      <c r="J14588" s="221"/>
    </row>
    <row r="14589" spans="1:10" s="15" customFormat="1" ht="24" hidden="1" customHeight="1" outlineLevel="1" x14ac:dyDescent="0.25">
      <c r="A14589" s="18">
        <v>1109</v>
      </c>
      <c r="B14589" s="4" t="s">
        <v>44</v>
      </c>
      <c r="C14589" s="38" t="s">
        <v>8246</v>
      </c>
      <c r="D14589" s="18">
        <v>2023</v>
      </c>
      <c r="E14589" s="18" t="s">
        <v>0</v>
      </c>
      <c r="F14589" s="41">
        <v>1</v>
      </c>
      <c r="G14589" s="41">
        <v>15</v>
      </c>
      <c r="H14589" s="41">
        <v>47.066099999999999</v>
      </c>
      <c r="I14589" s="221"/>
      <c r="J14589" s="221"/>
    </row>
    <row r="14590" spans="1:10" s="15" customFormat="1" ht="24" hidden="1" customHeight="1" outlineLevel="1" x14ac:dyDescent="0.25">
      <c r="A14590" s="18">
        <v>3554</v>
      </c>
      <c r="B14590" s="4" t="s">
        <v>44</v>
      </c>
      <c r="C14590" s="38" t="s">
        <v>8247</v>
      </c>
      <c r="D14590" s="18">
        <v>2023</v>
      </c>
      <c r="E14590" s="18" t="s">
        <v>0</v>
      </c>
      <c r="F14590" s="41">
        <v>1</v>
      </c>
      <c r="G14590" s="41">
        <v>15</v>
      </c>
      <c r="H14590" s="41">
        <v>29.582899999999999</v>
      </c>
      <c r="I14590" s="221"/>
      <c r="J14590" s="221"/>
    </row>
    <row r="14591" spans="1:10" s="15" customFormat="1" ht="24" hidden="1" customHeight="1" outlineLevel="1" x14ac:dyDescent="0.25">
      <c r="A14591" s="18">
        <v>1157</v>
      </c>
      <c r="B14591" s="4" t="s">
        <v>44</v>
      </c>
      <c r="C14591" s="38" t="s">
        <v>8248</v>
      </c>
      <c r="D14591" s="18">
        <v>2023</v>
      </c>
      <c r="E14591" s="18" t="s">
        <v>0</v>
      </c>
      <c r="F14591" s="41">
        <v>1</v>
      </c>
      <c r="G14591" s="41">
        <v>15</v>
      </c>
      <c r="H14591" s="41">
        <v>51.159459999999996</v>
      </c>
      <c r="I14591" s="221"/>
      <c r="J14591" s="221"/>
    </row>
    <row r="14592" spans="1:10" s="15" customFormat="1" ht="24" hidden="1" customHeight="1" outlineLevel="1" x14ac:dyDescent="0.25">
      <c r="A14592" s="18">
        <v>965</v>
      </c>
      <c r="B14592" s="4" t="s">
        <v>44</v>
      </c>
      <c r="C14592" s="38" t="s">
        <v>8249</v>
      </c>
      <c r="D14592" s="18">
        <v>2023</v>
      </c>
      <c r="E14592" s="18" t="s">
        <v>0</v>
      </c>
      <c r="F14592" s="41">
        <v>1</v>
      </c>
      <c r="G14592" s="41">
        <v>15</v>
      </c>
      <c r="H14592" s="41">
        <v>47.357689999999998</v>
      </c>
      <c r="I14592" s="221"/>
      <c r="J14592" s="221"/>
    </row>
    <row r="14593" spans="1:10" s="15" customFormat="1" ht="24" hidden="1" customHeight="1" outlineLevel="1" x14ac:dyDescent="0.25">
      <c r="A14593" s="18">
        <v>1110</v>
      </c>
      <c r="B14593" s="4" t="s">
        <v>44</v>
      </c>
      <c r="C14593" s="38" t="s">
        <v>8250</v>
      </c>
      <c r="D14593" s="18">
        <v>2023</v>
      </c>
      <c r="E14593" s="18" t="s">
        <v>0</v>
      </c>
      <c r="F14593" s="41">
        <v>1</v>
      </c>
      <c r="G14593" s="41">
        <v>15</v>
      </c>
      <c r="H14593" s="41">
        <v>51.95758</v>
      </c>
      <c r="I14593" s="221"/>
      <c r="J14593" s="221"/>
    </row>
    <row r="14594" spans="1:10" s="15" customFormat="1" ht="24" hidden="1" customHeight="1" outlineLevel="1" x14ac:dyDescent="0.25">
      <c r="A14594" s="18">
        <v>3260</v>
      </c>
      <c r="B14594" s="4" t="s">
        <v>44</v>
      </c>
      <c r="C14594" s="38" t="s">
        <v>8255</v>
      </c>
      <c r="D14594" s="18">
        <v>2023</v>
      </c>
      <c r="E14594" s="18" t="s">
        <v>0</v>
      </c>
      <c r="F14594" s="41">
        <v>1</v>
      </c>
      <c r="G14594" s="41">
        <v>15</v>
      </c>
      <c r="H14594" s="41">
        <v>45.589169999999996</v>
      </c>
      <c r="I14594" s="221"/>
      <c r="J14594" s="221"/>
    </row>
    <row r="14595" spans="1:10" s="15" customFormat="1" ht="24" hidden="1" customHeight="1" outlineLevel="1" x14ac:dyDescent="0.25">
      <c r="A14595" s="18">
        <v>3257</v>
      </c>
      <c r="B14595" s="4" t="s">
        <v>44</v>
      </c>
      <c r="C14595" s="38" t="s">
        <v>8257</v>
      </c>
      <c r="D14595" s="18">
        <v>2023</v>
      </c>
      <c r="E14595" s="18" t="s">
        <v>0</v>
      </c>
      <c r="F14595" s="41">
        <v>1</v>
      </c>
      <c r="G14595" s="41">
        <v>15</v>
      </c>
      <c r="H14595" s="41">
        <v>50.118179999999995</v>
      </c>
      <c r="I14595" s="221"/>
      <c r="J14595" s="221"/>
    </row>
    <row r="14596" spans="1:10" s="15" customFormat="1" ht="24" hidden="1" customHeight="1" outlineLevel="1" x14ac:dyDescent="0.25">
      <c r="A14596" s="18">
        <v>591</v>
      </c>
      <c r="B14596" s="4" t="s">
        <v>44</v>
      </c>
      <c r="C14596" s="38" t="s">
        <v>8258</v>
      </c>
      <c r="D14596" s="18">
        <v>2023</v>
      </c>
      <c r="E14596" s="18" t="s">
        <v>0</v>
      </c>
      <c r="F14596" s="41">
        <v>1</v>
      </c>
      <c r="G14596" s="41">
        <v>10</v>
      </c>
      <c r="H14596" s="41">
        <v>61.001080000000002</v>
      </c>
      <c r="I14596" s="221"/>
      <c r="J14596" s="221"/>
    </row>
    <row r="14597" spans="1:10" s="15" customFormat="1" ht="24" hidden="1" customHeight="1" outlineLevel="1" x14ac:dyDescent="0.25">
      <c r="A14597" s="18">
        <v>1188</v>
      </c>
      <c r="B14597" s="4" t="s">
        <v>44</v>
      </c>
      <c r="C14597" s="38" t="s">
        <v>8259</v>
      </c>
      <c r="D14597" s="18">
        <v>2023</v>
      </c>
      <c r="E14597" s="18" t="s">
        <v>0</v>
      </c>
      <c r="F14597" s="41">
        <v>1</v>
      </c>
      <c r="G14597" s="41">
        <v>10</v>
      </c>
      <c r="H14597" s="41">
        <v>65.140199999999993</v>
      </c>
      <c r="I14597" s="221"/>
      <c r="J14597" s="221"/>
    </row>
    <row r="14598" spans="1:10" s="15" customFormat="1" ht="24" hidden="1" customHeight="1" outlineLevel="1" x14ac:dyDescent="0.25">
      <c r="A14598" s="18">
        <v>3271</v>
      </c>
      <c r="B14598" s="4" t="s">
        <v>44</v>
      </c>
      <c r="C14598" s="38" t="s">
        <v>8260</v>
      </c>
      <c r="D14598" s="18">
        <v>2023</v>
      </c>
      <c r="E14598" s="18" t="s">
        <v>0</v>
      </c>
      <c r="F14598" s="41">
        <v>1</v>
      </c>
      <c r="G14598" s="41">
        <v>15</v>
      </c>
      <c r="H14598" s="41">
        <v>59.952959999999997</v>
      </c>
      <c r="I14598" s="221"/>
      <c r="J14598" s="221"/>
    </row>
    <row r="14599" spans="1:10" s="15" customFormat="1" ht="24" hidden="1" customHeight="1" outlineLevel="1" x14ac:dyDescent="0.25">
      <c r="A14599" s="18">
        <v>1172</v>
      </c>
      <c r="B14599" s="4" t="s">
        <v>44</v>
      </c>
      <c r="C14599" s="38" t="s">
        <v>8261</v>
      </c>
      <c r="D14599" s="18">
        <v>2023</v>
      </c>
      <c r="E14599" s="18" t="s">
        <v>0</v>
      </c>
      <c r="F14599" s="41">
        <v>1</v>
      </c>
      <c r="G14599" s="41">
        <v>15</v>
      </c>
      <c r="H14599" s="41">
        <v>57.29101</v>
      </c>
      <c r="I14599" s="221"/>
      <c r="J14599" s="221"/>
    </row>
    <row r="14600" spans="1:10" s="15" customFormat="1" ht="24" hidden="1" customHeight="1" outlineLevel="1" x14ac:dyDescent="0.25">
      <c r="A14600" s="18">
        <v>922</v>
      </c>
      <c r="B14600" s="4" t="s">
        <v>44</v>
      </c>
      <c r="C14600" s="38" t="s">
        <v>8262</v>
      </c>
      <c r="D14600" s="18">
        <v>2023</v>
      </c>
      <c r="E14600" s="18" t="s">
        <v>0</v>
      </c>
      <c r="F14600" s="41">
        <v>1</v>
      </c>
      <c r="G14600" s="41">
        <v>10</v>
      </c>
      <c r="H14600" s="41">
        <v>61.794269999999997</v>
      </c>
      <c r="I14600" s="221"/>
      <c r="J14600" s="221"/>
    </row>
    <row r="14601" spans="1:10" s="15" customFormat="1" ht="24" hidden="1" customHeight="1" outlineLevel="1" x14ac:dyDescent="0.25">
      <c r="A14601" s="18">
        <v>3537</v>
      </c>
      <c r="B14601" s="4" t="s">
        <v>44</v>
      </c>
      <c r="C14601" s="38" t="s">
        <v>8263</v>
      </c>
      <c r="D14601" s="18">
        <v>2023</v>
      </c>
      <c r="E14601" s="18" t="s">
        <v>0</v>
      </c>
      <c r="F14601" s="41">
        <v>1</v>
      </c>
      <c r="G14601" s="41">
        <v>15</v>
      </c>
      <c r="H14601" s="41">
        <v>52.650269999999999</v>
      </c>
      <c r="I14601" s="221"/>
      <c r="J14601" s="221"/>
    </row>
    <row r="14602" spans="1:10" s="15" customFormat="1" ht="24" hidden="1" customHeight="1" outlineLevel="1" x14ac:dyDescent="0.25">
      <c r="A14602" s="18">
        <v>3918</v>
      </c>
      <c r="B14602" s="4" t="s">
        <v>44</v>
      </c>
      <c r="C14602" s="38" t="s">
        <v>8265</v>
      </c>
      <c r="D14602" s="18">
        <v>2023</v>
      </c>
      <c r="E14602" s="18" t="s">
        <v>0</v>
      </c>
      <c r="F14602" s="41">
        <v>1</v>
      </c>
      <c r="G14602" s="41">
        <v>10</v>
      </c>
      <c r="H14602" s="41">
        <v>59.879549999999995</v>
      </c>
      <c r="I14602" s="221"/>
      <c r="J14602" s="221"/>
    </row>
    <row r="14603" spans="1:10" s="15" customFormat="1" ht="24" hidden="1" customHeight="1" outlineLevel="1" x14ac:dyDescent="0.25">
      <c r="A14603" s="18">
        <v>4022</v>
      </c>
      <c r="B14603" s="4" t="s">
        <v>44</v>
      </c>
      <c r="C14603" s="38" t="s">
        <v>8266</v>
      </c>
      <c r="D14603" s="18">
        <v>2023</v>
      </c>
      <c r="E14603" s="18" t="s">
        <v>0</v>
      </c>
      <c r="F14603" s="41">
        <v>1</v>
      </c>
      <c r="G14603" s="41">
        <v>14.8</v>
      </c>
      <c r="H14603" s="41">
        <v>32.227560000000004</v>
      </c>
      <c r="I14603" s="221"/>
      <c r="J14603" s="221"/>
    </row>
    <row r="14604" spans="1:10" s="15" customFormat="1" ht="24" hidden="1" customHeight="1" outlineLevel="1" x14ac:dyDescent="0.25">
      <c r="A14604" s="18">
        <v>4017</v>
      </c>
      <c r="B14604" s="4" t="s">
        <v>44</v>
      </c>
      <c r="C14604" s="38" t="s">
        <v>8267</v>
      </c>
      <c r="D14604" s="18">
        <v>2023</v>
      </c>
      <c r="E14604" s="18" t="s">
        <v>0</v>
      </c>
      <c r="F14604" s="41">
        <v>1</v>
      </c>
      <c r="G14604" s="41">
        <v>14.7</v>
      </c>
      <c r="H14604" s="41">
        <v>61.52534</v>
      </c>
      <c r="I14604" s="221"/>
      <c r="J14604" s="221"/>
    </row>
    <row r="14605" spans="1:10" s="15" customFormat="1" ht="24" hidden="1" customHeight="1" outlineLevel="1" x14ac:dyDescent="0.25">
      <c r="A14605" s="18">
        <v>3205</v>
      </c>
      <c r="B14605" s="4" t="s">
        <v>44</v>
      </c>
      <c r="C14605" s="38" t="s">
        <v>8268</v>
      </c>
      <c r="D14605" s="18">
        <v>2023</v>
      </c>
      <c r="E14605" s="18" t="s">
        <v>0</v>
      </c>
      <c r="F14605" s="41">
        <v>1</v>
      </c>
      <c r="G14605" s="41">
        <v>15</v>
      </c>
      <c r="H14605" s="41">
        <v>84.362170000000006</v>
      </c>
      <c r="I14605" s="221"/>
      <c r="J14605" s="221"/>
    </row>
    <row r="14606" spans="1:10" s="15" customFormat="1" ht="24" hidden="1" customHeight="1" outlineLevel="1" x14ac:dyDescent="0.25">
      <c r="A14606" s="18">
        <v>1226</v>
      </c>
      <c r="B14606" s="4" t="s">
        <v>44</v>
      </c>
      <c r="C14606" s="38" t="s">
        <v>8269</v>
      </c>
      <c r="D14606" s="18">
        <v>2023</v>
      </c>
      <c r="E14606" s="18" t="s">
        <v>0</v>
      </c>
      <c r="F14606" s="41">
        <v>1</v>
      </c>
      <c r="G14606" s="41">
        <v>5</v>
      </c>
      <c r="H14606" s="41">
        <v>22.218170000000001</v>
      </c>
      <c r="I14606" s="221"/>
      <c r="J14606" s="221"/>
    </row>
    <row r="14607" spans="1:10" s="15" customFormat="1" ht="24" hidden="1" customHeight="1" outlineLevel="1" x14ac:dyDescent="0.25">
      <c r="A14607" s="18">
        <v>3749</v>
      </c>
      <c r="B14607" s="4" t="s">
        <v>44</v>
      </c>
      <c r="C14607" s="38" t="s">
        <v>8270</v>
      </c>
      <c r="D14607" s="18">
        <v>2023</v>
      </c>
      <c r="E14607" s="18" t="s">
        <v>0</v>
      </c>
      <c r="F14607" s="41">
        <v>1</v>
      </c>
      <c r="G14607" s="41">
        <v>15</v>
      </c>
      <c r="H14607" s="41">
        <v>51.800159999999998</v>
      </c>
      <c r="I14607" s="221"/>
      <c r="J14607" s="221"/>
    </row>
    <row r="14608" spans="1:10" s="15" customFormat="1" ht="24" hidden="1" customHeight="1" outlineLevel="1" x14ac:dyDescent="0.25">
      <c r="A14608" s="18">
        <v>3266</v>
      </c>
      <c r="B14608" s="4" t="s">
        <v>44</v>
      </c>
      <c r="C14608" s="38" t="s">
        <v>8271</v>
      </c>
      <c r="D14608" s="18">
        <v>2023</v>
      </c>
      <c r="E14608" s="18" t="s">
        <v>0</v>
      </c>
      <c r="F14608" s="41">
        <v>1</v>
      </c>
      <c r="G14608" s="41">
        <v>15</v>
      </c>
      <c r="H14608" s="41">
        <v>54.037969999999994</v>
      </c>
      <c r="I14608" s="221"/>
      <c r="J14608" s="221"/>
    </row>
    <row r="14609" spans="1:10" s="15" customFormat="1" ht="24" hidden="1" customHeight="1" outlineLevel="1" x14ac:dyDescent="0.25">
      <c r="A14609" s="18">
        <v>3256</v>
      </c>
      <c r="B14609" s="4" t="s">
        <v>44</v>
      </c>
      <c r="C14609" s="38" t="s">
        <v>8272</v>
      </c>
      <c r="D14609" s="18">
        <v>2023</v>
      </c>
      <c r="E14609" s="18" t="s">
        <v>0</v>
      </c>
      <c r="F14609" s="41">
        <v>1</v>
      </c>
      <c r="G14609" s="41">
        <v>15</v>
      </c>
      <c r="H14609" s="41">
        <v>53.505289999999995</v>
      </c>
      <c r="I14609" s="221"/>
      <c r="J14609" s="221"/>
    </row>
    <row r="14610" spans="1:10" s="15" customFormat="1" ht="24" hidden="1" customHeight="1" outlineLevel="1" x14ac:dyDescent="0.25">
      <c r="A14610" s="18">
        <v>455</v>
      </c>
      <c r="B14610" s="4" t="s">
        <v>44</v>
      </c>
      <c r="C14610" s="38" t="s">
        <v>8273</v>
      </c>
      <c r="D14610" s="18">
        <v>2023</v>
      </c>
      <c r="E14610" s="18" t="s">
        <v>0</v>
      </c>
      <c r="F14610" s="41">
        <v>1</v>
      </c>
      <c r="G14610" s="41">
        <v>11.5</v>
      </c>
      <c r="H14610" s="41">
        <v>51.145179999999996</v>
      </c>
      <c r="I14610" s="221"/>
      <c r="J14610" s="221"/>
    </row>
    <row r="14611" spans="1:10" s="15" customFormat="1" ht="24" hidden="1" customHeight="1" outlineLevel="1" x14ac:dyDescent="0.25">
      <c r="A14611" s="18">
        <v>711</v>
      </c>
      <c r="B14611" s="4" t="s">
        <v>44</v>
      </c>
      <c r="C14611" s="38" t="s">
        <v>8275</v>
      </c>
      <c r="D14611" s="18">
        <v>2023</v>
      </c>
      <c r="E14611" s="18" t="s">
        <v>0</v>
      </c>
      <c r="F14611" s="41">
        <v>1</v>
      </c>
      <c r="G14611" s="41">
        <v>10</v>
      </c>
      <c r="H14611" s="41">
        <v>104.22786000000001</v>
      </c>
      <c r="I14611" s="221"/>
      <c r="J14611" s="221"/>
    </row>
    <row r="14612" spans="1:10" s="15" customFormat="1" ht="24" hidden="1" customHeight="1" outlineLevel="1" x14ac:dyDescent="0.25">
      <c r="A14612" s="18">
        <v>3203</v>
      </c>
      <c r="B14612" s="4" t="s">
        <v>44</v>
      </c>
      <c r="C14612" s="38" t="s">
        <v>8276</v>
      </c>
      <c r="D14612" s="18">
        <v>2023</v>
      </c>
      <c r="E14612" s="18" t="s">
        <v>0</v>
      </c>
      <c r="F14612" s="41">
        <v>1</v>
      </c>
      <c r="G14612" s="41">
        <v>7.5</v>
      </c>
      <c r="H14612" s="41">
        <v>55.363</v>
      </c>
      <c r="I14612" s="221"/>
      <c r="J14612" s="221"/>
    </row>
    <row r="14613" spans="1:10" s="15" customFormat="1" ht="24" hidden="1" customHeight="1" outlineLevel="1" x14ac:dyDescent="0.25">
      <c r="A14613" s="18">
        <v>4030</v>
      </c>
      <c r="B14613" s="4" t="s">
        <v>44</v>
      </c>
      <c r="C14613" s="38" t="s">
        <v>8277</v>
      </c>
      <c r="D14613" s="18">
        <v>2023</v>
      </c>
      <c r="E14613" s="18" t="s">
        <v>0</v>
      </c>
      <c r="F14613" s="41">
        <v>1</v>
      </c>
      <c r="G14613" s="41">
        <v>30</v>
      </c>
      <c r="H14613" s="41">
        <v>53.08502</v>
      </c>
      <c r="I14613" s="221"/>
      <c r="J14613" s="221"/>
    </row>
    <row r="14614" spans="1:10" s="15" customFormat="1" ht="24" hidden="1" customHeight="1" outlineLevel="1" x14ac:dyDescent="0.25">
      <c r="A14614" s="18">
        <v>3275</v>
      </c>
      <c r="B14614" s="4" t="s">
        <v>44</v>
      </c>
      <c r="C14614" s="38" t="s">
        <v>8279</v>
      </c>
      <c r="D14614" s="18">
        <v>2023</v>
      </c>
      <c r="E14614" s="18" t="s">
        <v>0</v>
      </c>
      <c r="F14614" s="41">
        <v>1</v>
      </c>
      <c r="G14614" s="41">
        <v>15</v>
      </c>
      <c r="H14614" s="41">
        <v>48.268039999999999</v>
      </c>
      <c r="I14614" s="221"/>
      <c r="J14614" s="221"/>
    </row>
    <row r="14615" spans="1:10" s="15" customFormat="1" ht="24" hidden="1" customHeight="1" outlineLevel="1" x14ac:dyDescent="0.25">
      <c r="A14615" s="18">
        <v>3279</v>
      </c>
      <c r="B14615" s="4" t="s">
        <v>44</v>
      </c>
      <c r="C14615" s="38" t="s">
        <v>8280</v>
      </c>
      <c r="D14615" s="18">
        <v>2023</v>
      </c>
      <c r="E14615" s="18" t="s">
        <v>0</v>
      </c>
      <c r="F14615" s="41">
        <v>1</v>
      </c>
      <c r="G14615" s="41">
        <v>15</v>
      </c>
      <c r="H14615" s="41">
        <v>63.828350000000007</v>
      </c>
      <c r="I14615" s="221"/>
      <c r="J14615" s="221"/>
    </row>
    <row r="14616" spans="1:10" s="15" customFormat="1" ht="24" hidden="1" customHeight="1" outlineLevel="1" x14ac:dyDescent="0.25">
      <c r="A14616" s="18">
        <v>336</v>
      </c>
      <c r="B14616" s="4" t="s">
        <v>44</v>
      </c>
      <c r="C14616" s="38" t="s">
        <v>8282</v>
      </c>
      <c r="D14616" s="18">
        <v>2023</v>
      </c>
      <c r="E14616" s="18" t="s">
        <v>0</v>
      </c>
      <c r="F14616" s="41">
        <v>1</v>
      </c>
      <c r="G14616" s="41">
        <v>15</v>
      </c>
      <c r="H14616" s="41">
        <v>47.794049999999999</v>
      </c>
      <c r="I14616" s="221"/>
      <c r="J14616" s="221"/>
    </row>
    <row r="14617" spans="1:10" s="15" customFormat="1" ht="24" hidden="1" customHeight="1" outlineLevel="1" x14ac:dyDescent="0.25">
      <c r="A14617" s="18">
        <v>932</v>
      </c>
      <c r="B14617" s="4" t="s">
        <v>44</v>
      </c>
      <c r="C14617" s="38" t="s">
        <v>8283</v>
      </c>
      <c r="D14617" s="18">
        <v>2023</v>
      </c>
      <c r="E14617" s="18" t="s">
        <v>0</v>
      </c>
      <c r="F14617" s="41">
        <v>1</v>
      </c>
      <c r="G14617" s="41">
        <v>10</v>
      </c>
      <c r="H14617" s="41">
        <v>63.960890000000006</v>
      </c>
      <c r="I14617" s="221"/>
      <c r="J14617" s="221"/>
    </row>
    <row r="14618" spans="1:10" s="15" customFormat="1" ht="24" hidden="1" customHeight="1" outlineLevel="1" x14ac:dyDescent="0.25">
      <c r="A14618" s="18">
        <v>597</v>
      </c>
      <c r="B14618" s="4" t="s">
        <v>44</v>
      </c>
      <c r="C14618" s="38" t="s">
        <v>8284</v>
      </c>
      <c r="D14618" s="18">
        <v>2023</v>
      </c>
      <c r="E14618" s="18" t="s">
        <v>0</v>
      </c>
      <c r="F14618" s="41">
        <v>1</v>
      </c>
      <c r="G14618" s="41">
        <v>15</v>
      </c>
      <c r="H14618" s="41">
        <v>58.227880000000006</v>
      </c>
      <c r="I14618" s="221"/>
      <c r="J14618" s="221"/>
    </row>
    <row r="14619" spans="1:10" s="15" customFormat="1" ht="24" hidden="1" customHeight="1" outlineLevel="1" x14ac:dyDescent="0.25">
      <c r="A14619" s="18">
        <v>1120</v>
      </c>
      <c r="B14619" s="4" t="s">
        <v>44</v>
      </c>
      <c r="C14619" s="38" t="s">
        <v>8285</v>
      </c>
      <c r="D14619" s="18">
        <v>2023</v>
      </c>
      <c r="E14619" s="18" t="s">
        <v>0</v>
      </c>
      <c r="F14619" s="41">
        <v>1</v>
      </c>
      <c r="G14619" s="41">
        <v>15</v>
      </c>
      <c r="H14619" s="41">
        <v>58.881860000000003</v>
      </c>
      <c r="I14619" s="221"/>
      <c r="J14619" s="221"/>
    </row>
    <row r="14620" spans="1:10" s="15" customFormat="1" ht="24" hidden="1" customHeight="1" outlineLevel="1" x14ac:dyDescent="0.25">
      <c r="A14620" s="18">
        <v>4053</v>
      </c>
      <c r="B14620" s="4" t="s">
        <v>44</v>
      </c>
      <c r="C14620" s="38" t="s">
        <v>8286</v>
      </c>
      <c r="D14620" s="18">
        <v>2023</v>
      </c>
      <c r="E14620" s="18" t="s">
        <v>0</v>
      </c>
      <c r="F14620" s="41">
        <v>1</v>
      </c>
      <c r="G14620" s="41">
        <v>15</v>
      </c>
      <c r="H14620" s="41">
        <v>52.849309999999996</v>
      </c>
      <c r="I14620" s="221"/>
      <c r="J14620" s="221"/>
    </row>
    <row r="14621" spans="1:10" s="15" customFormat="1" ht="24" hidden="1" customHeight="1" outlineLevel="1" x14ac:dyDescent="0.25">
      <c r="A14621" s="18">
        <v>592</v>
      </c>
      <c r="B14621" s="4" t="s">
        <v>44</v>
      </c>
      <c r="C14621" s="38" t="s">
        <v>8287</v>
      </c>
      <c r="D14621" s="18">
        <v>2023</v>
      </c>
      <c r="E14621" s="18" t="s">
        <v>0</v>
      </c>
      <c r="F14621" s="41">
        <v>1</v>
      </c>
      <c r="G14621" s="41">
        <v>10</v>
      </c>
      <c r="H14621" s="41">
        <v>105.99287</v>
      </c>
      <c r="I14621" s="221"/>
      <c r="J14621" s="221"/>
    </row>
    <row r="14622" spans="1:10" s="15" customFormat="1" ht="24" hidden="1" customHeight="1" outlineLevel="1" x14ac:dyDescent="0.25">
      <c r="A14622" s="18">
        <v>3227</v>
      </c>
      <c r="B14622" s="4" t="s">
        <v>44</v>
      </c>
      <c r="C14622" s="38" t="s">
        <v>8288</v>
      </c>
      <c r="D14622" s="18">
        <v>2023</v>
      </c>
      <c r="E14622" s="18" t="s">
        <v>0</v>
      </c>
      <c r="F14622" s="41">
        <v>1</v>
      </c>
      <c r="G14622" s="41">
        <v>15</v>
      </c>
      <c r="H14622" s="41">
        <v>42.108199999999997</v>
      </c>
      <c r="I14622" s="221"/>
      <c r="J14622" s="221"/>
    </row>
    <row r="14623" spans="1:10" s="15" customFormat="1" ht="24" hidden="1" customHeight="1" outlineLevel="1" x14ac:dyDescent="0.25">
      <c r="A14623" s="18">
        <v>944</v>
      </c>
      <c r="B14623" s="4" t="s">
        <v>44</v>
      </c>
      <c r="C14623" s="38" t="s">
        <v>8289</v>
      </c>
      <c r="D14623" s="18">
        <v>2023</v>
      </c>
      <c r="E14623" s="18" t="s">
        <v>0</v>
      </c>
      <c r="F14623" s="41">
        <v>1</v>
      </c>
      <c r="G14623" s="41">
        <v>10</v>
      </c>
      <c r="H14623" s="41">
        <v>94.834580000000003</v>
      </c>
      <c r="I14623" s="221"/>
      <c r="J14623" s="221"/>
    </row>
    <row r="14624" spans="1:10" s="15" customFormat="1" ht="24" hidden="1" customHeight="1" outlineLevel="1" x14ac:dyDescent="0.25">
      <c r="A14624" s="18">
        <v>570</v>
      </c>
      <c r="B14624" s="4" t="s">
        <v>44</v>
      </c>
      <c r="C14624" s="38" t="s">
        <v>8291</v>
      </c>
      <c r="D14624" s="18">
        <v>2023</v>
      </c>
      <c r="E14624" s="18" t="s">
        <v>0</v>
      </c>
      <c r="F14624" s="41">
        <v>1</v>
      </c>
      <c r="G14624" s="41">
        <v>11.5</v>
      </c>
      <c r="H14624" s="41">
        <v>104.55237000000001</v>
      </c>
      <c r="I14624" s="221"/>
      <c r="J14624" s="221"/>
    </row>
    <row r="14625" spans="1:10" s="15" customFormat="1" ht="24" hidden="1" customHeight="1" outlineLevel="1" x14ac:dyDescent="0.25">
      <c r="A14625" s="18">
        <v>469</v>
      </c>
      <c r="B14625" s="4" t="s">
        <v>44</v>
      </c>
      <c r="C14625" s="38" t="s">
        <v>8292</v>
      </c>
      <c r="D14625" s="18">
        <v>2023</v>
      </c>
      <c r="E14625" s="18" t="s">
        <v>0</v>
      </c>
      <c r="F14625" s="41">
        <v>1</v>
      </c>
      <c r="G14625" s="41">
        <v>11.5</v>
      </c>
      <c r="H14625" s="41">
        <v>56.008670000000002</v>
      </c>
      <c r="I14625" s="221"/>
      <c r="J14625" s="221"/>
    </row>
    <row r="14626" spans="1:10" s="15" customFormat="1" ht="24" hidden="1" customHeight="1" outlineLevel="1" x14ac:dyDescent="0.25">
      <c r="A14626" s="18">
        <v>3289</v>
      </c>
      <c r="B14626" s="4" t="s">
        <v>44</v>
      </c>
      <c r="C14626" s="38" t="s">
        <v>8293</v>
      </c>
      <c r="D14626" s="18">
        <v>2023</v>
      </c>
      <c r="E14626" s="18" t="s">
        <v>0</v>
      </c>
      <c r="F14626" s="41">
        <v>1</v>
      </c>
      <c r="G14626" s="41">
        <v>15</v>
      </c>
      <c r="H14626" s="41">
        <v>52.053540000000005</v>
      </c>
      <c r="I14626" s="221"/>
      <c r="J14626" s="221"/>
    </row>
    <row r="14627" spans="1:10" s="15" customFormat="1" ht="24" hidden="1" customHeight="1" outlineLevel="1" x14ac:dyDescent="0.25">
      <c r="A14627" s="18">
        <v>4037</v>
      </c>
      <c r="B14627" s="4" t="s">
        <v>44</v>
      </c>
      <c r="C14627" s="38" t="s">
        <v>8294</v>
      </c>
      <c r="D14627" s="18">
        <v>2023</v>
      </c>
      <c r="E14627" s="18" t="s">
        <v>0</v>
      </c>
      <c r="F14627" s="41">
        <v>1</v>
      </c>
      <c r="G14627" s="41">
        <v>15</v>
      </c>
      <c r="H14627" s="41">
        <v>52.02272</v>
      </c>
      <c r="I14627" s="221"/>
      <c r="J14627" s="221"/>
    </row>
    <row r="14628" spans="1:10" s="15" customFormat="1" ht="24" hidden="1" customHeight="1" outlineLevel="1" x14ac:dyDescent="0.25">
      <c r="A14628" s="18">
        <v>2830</v>
      </c>
      <c r="B14628" s="4" t="s">
        <v>44</v>
      </c>
      <c r="C14628" s="38" t="s">
        <v>8295</v>
      </c>
      <c r="D14628" s="18">
        <v>2023</v>
      </c>
      <c r="E14628" s="18" t="s">
        <v>0</v>
      </c>
      <c r="F14628" s="41">
        <v>1</v>
      </c>
      <c r="G14628" s="41">
        <v>15</v>
      </c>
      <c r="H14628" s="41">
        <v>102.60774000000001</v>
      </c>
      <c r="I14628" s="221"/>
      <c r="J14628" s="221"/>
    </row>
    <row r="14629" spans="1:10" s="15" customFormat="1" ht="24" hidden="1" customHeight="1" outlineLevel="1" x14ac:dyDescent="0.25">
      <c r="A14629" s="18">
        <v>775</v>
      </c>
      <c r="B14629" s="4" t="s">
        <v>44</v>
      </c>
      <c r="C14629" s="38" t="s">
        <v>8296</v>
      </c>
      <c r="D14629" s="18">
        <v>2023</v>
      </c>
      <c r="E14629" s="18" t="s">
        <v>0</v>
      </c>
      <c r="F14629" s="41">
        <v>1</v>
      </c>
      <c r="G14629" s="41">
        <v>4</v>
      </c>
      <c r="H14629" s="41">
        <v>115.85638</v>
      </c>
      <c r="I14629" s="221"/>
      <c r="J14629" s="221"/>
    </row>
    <row r="14630" spans="1:10" s="15" customFormat="1" ht="24" hidden="1" customHeight="1" outlineLevel="1" x14ac:dyDescent="0.25">
      <c r="A14630" s="18">
        <v>699</v>
      </c>
      <c r="B14630" s="4" t="s">
        <v>44</v>
      </c>
      <c r="C14630" s="38" t="s">
        <v>8297</v>
      </c>
      <c r="D14630" s="18">
        <v>2023</v>
      </c>
      <c r="E14630" s="18" t="s">
        <v>0</v>
      </c>
      <c r="F14630" s="41">
        <v>1</v>
      </c>
      <c r="G14630" s="41">
        <v>15</v>
      </c>
      <c r="H14630" s="41">
        <v>49.493139999999997</v>
      </c>
      <c r="I14630" s="221"/>
      <c r="J14630" s="221"/>
    </row>
    <row r="14631" spans="1:10" s="15" customFormat="1" ht="24" hidden="1" customHeight="1" outlineLevel="1" x14ac:dyDescent="0.25">
      <c r="A14631" s="18">
        <v>1162</v>
      </c>
      <c r="B14631" s="4" t="s">
        <v>44</v>
      </c>
      <c r="C14631" s="38" t="s">
        <v>8298</v>
      </c>
      <c r="D14631" s="18">
        <v>2023</v>
      </c>
      <c r="E14631" s="18" t="s">
        <v>0</v>
      </c>
      <c r="F14631" s="41">
        <v>1</v>
      </c>
      <c r="G14631" s="41">
        <v>15</v>
      </c>
      <c r="H14631" s="41">
        <v>49.675190000000001</v>
      </c>
      <c r="I14631" s="221"/>
      <c r="J14631" s="221"/>
    </row>
    <row r="14632" spans="1:10" s="15" customFormat="1" ht="24" hidden="1" customHeight="1" outlineLevel="1" x14ac:dyDescent="0.25">
      <c r="A14632" s="18">
        <v>1091</v>
      </c>
      <c r="B14632" s="4" t="s">
        <v>44</v>
      </c>
      <c r="C14632" s="38" t="s">
        <v>8299</v>
      </c>
      <c r="D14632" s="18">
        <v>2023</v>
      </c>
      <c r="E14632" s="18" t="s">
        <v>0</v>
      </c>
      <c r="F14632" s="41">
        <v>1</v>
      </c>
      <c r="G14632" s="41">
        <v>15</v>
      </c>
      <c r="H14632" s="41">
        <v>71.157640000000001</v>
      </c>
      <c r="I14632" s="221"/>
      <c r="J14632" s="221"/>
    </row>
    <row r="14633" spans="1:10" s="15" customFormat="1" ht="24" hidden="1" customHeight="1" outlineLevel="1" x14ac:dyDescent="0.25">
      <c r="A14633" s="18">
        <v>794</v>
      </c>
      <c r="B14633" s="4" t="s">
        <v>44</v>
      </c>
      <c r="C14633" s="38" t="s">
        <v>8300</v>
      </c>
      <c r="D14633" s="18">
        <v>2023</v>
      </c>
      <c r="E14633" s="18" t="s">
        <v>0</v>
      </c>
      <c r="F14633" s="41">
        <v>1</v>
      </c>
      <c r="G14633" s="41">
        <v>15</v>
      </c>
      <c r="H14633" s="41">
        <v>50.639220000000002</v>
      </c>
      <c r="I14633" s="221"/>
      <c r="J14633" s="221"/>
    </row>
    <row r="14634" spans="1:10" s="15" customFormat="1" ht="24" hidden="1" customHeight="1" outlineLevel="1" x14ac:dyDescent="0.25">
      <c r="A14634" s="18">
        <v>4018</v>
      </c>
      <c r="B14634" s="4" t="s">
        <v>44</v>
      </c>
      <c r="C14634" s="38" t="s">
        <v>8301</v>
      </c>
      <c r="D14634" s="18">
        <v>2023</v>
      </c>
      <c r="E14634" s="18" t="s">
        <v>0</v>
      </c>
      <c r="F14634" s="41">
        <v>1</v>
      </c>
      <c r="G14634" s="41">
        <v>10</v>
      </c>
      <c r="H14634" s="41">
        <v>26.873370000000001</v>
      </c>
      <c r="I14634" s="221"/>
      <c r="J14634" s="221"/>
    </row>
    <row r="14635" spans="1:10" s="15" customFormat="1" ht="24" hidden="1" customHeight="1" outlineLevel="1" x14ac:dyDescent="0.25">
      <c r="A14635" s="18">
        <v>432</v>
      </c>
      <c r="B14635" s="4" t="s">
        <v>44</v>
      </c>
      <c r="C14635" s="38" t="s">
        <v>8302</v>
      </c>
      <c r="D14635" s="18">
        <v>2023</v>
      </c>
      <c r="E14635" s="18" t="s">
        <v>0</v>
      </c>
      <c r="F14635" s="41">
        <v>1</v>
      </c>
      <c r="G14635" s="41">
        <v>10</v>
      </c>
      <c r="H14635" s="41">
        <v>47.179899999999996</v>
      </c>
      <c r="I14635" s="221"/>
      <c r="J14635" s="221"/>
    </row>
    <row r="14636" spans="1:10" s="15" customFormat="1" ht="24" hidden="1" customHeight="1" outlineLevel="1" x14ac:dyDescent="0.25">
      <c r="A14636" s="18">
        <v>1311</v>
      </c>
      <c r="B14636" s="4" t="s">
        <v>44</v>
      </c>
      <c r="C14636" s="38" t="s">
        <v>8304</v>
      </c>
      <c r="D14636" s="18">
        <v>2023</v>
      </c>
      <c r="E14636" s="18" t="s">
        <v>0</v>
      </c>
      <c r="F14636" s="41">
        <v>1</v>
      </c>
      <c r="G14636" s="41">
        <v>5</v>
      </c>
      <c r="H14636" s="41">
        <v>47.570059999999998</v>
      </c>
      <c r="I14636" s="221"/>
      <c r="J14636" s="221"/>
    </row>
    <row r="14637" spans="1:10" s="15" customFormat="1" ht="24" hidden="1" customHeight="1" outlineLevel="1" x14ac:dyDescent="0.25">
      <c r="A14637" s="18">
        <v>1372</v>
      </c>
      <c r="B14637" s="4" t="s">
        <v>44</v>
      </c>
      <c r="C14637" s="38" t="s">
        <v>8305</v>
      </c>
      <c r="D14637" s="18">
        <v>2023</v>
      </c>
      <c r="E14637" s="18" t="s">
        <v>0</v>
      </c>
      <c r="F14637" s="41">
        <v>1</v>
      </c>
      <c r="G14637" s="41">
        <v>5</v>
      </c>
      <c r="H14637" s="41">
        <v>48.770510000000002</v>
      </c>
      <c r="I14637" s="221"/>
      <c r="J14637" s="221"/>
    </row>
    <row r="14638" spans="1:10" s="15" customFormat="1" ht="24" hidden="1" customHeight="1" outlineLevel="1" x14ac:dyDescent="0.25">
      <c r="A14638" s="18">
        <v>3290</v>
      </c>
      <c r="B14638" s="4" t="s">
        <v>44</v>
      </c>
      <c r="C14638" s="38" t="s">
        <v>8307</v>
      </c>
      <c r="D14638" s="18">
        <v>2023</v>
      </c>
      <c r="E14638" s="18" t="s">
        <v>0</v>
      </c>
      <c r="F14638" s="41">
        <v>1</v>
      </c>
      <c r="G14638" s="41">
        <v>15</v>
      </c>
      <c r="H14638" s="41">
        <v>58.880830000000003</v>
      </c>
      <c r="I14638" s="221"/>
      <c r="J14638" s="221"/>
    </row>
    <row r="14639" spans="1:10" s="15" customFormat="1" ht="24" hidden="1" customHeight="1" outlineLevel="1" x14ac:dyDescent="0.25">
      <c r="A14639" s="18">
        <v>4038</v>
      </c>
      <c r="B14639" s="4" t="s">
        <v>44</v>
      </c>
      <c r="C14639" s="38" t="s">
        <v>8308</v>
      </c>
      <c r="D14639" s="18">
        <v>2023</v>
      </c>
      <c r="E14639" s="18" t="s">
        <v>0</v>
      </c>
      <c r="F14639" s="41">
        <v>1</v>
      </c>
      <c r="G14639" s="41">
        <v>15</v>
      </c>
      <c r="H14639" s="41">
        <v>51.080130000000004</v>
      </c>
      <c r="I14639" s="221"/>
      <c r="J14639" s="221"/>
    </row>
    <row r="14640" spans="1:10" s="15" customFormat="1" ht="24" hidden="1" customHeight="1" outlineLevel="1" x14ac:dyDescent="0.25">
      <c r="A14640" s="18">
        <v>3292</v>
      </c>
      <c r="B14640" s="4" t="s">
        <v>44</v>
      </c>
      <c r="C14640" s="38" t="s">
        <v>8309</v>
      </c>
      <c r="D14640" s="18">
        <v>2023</v>
      </c>
      <c r="E14640" s="18" t="s">
        <v>0</v>
      </c>
      <c r="F14640" s="41">
        <v>1</v>
      </c>
      <c r="G14640" s="41">
        <v>15</v>
      </c>
      <c r="H14640" s="41">
        <v>67.146600000000007</v>
      </c>
      <c r="I14640" s="221"/>
      <c r="J14640" s="221"/>
    </row>
    <row r="14641" spans="1:10" s="15" customFormat="1" ht="24" hidden="1" customHeight="1" outlineLevel="1" x14ac:dyDescent="0.25">
      <c r="A14641" s="18">
        <v>4031</v>
      </c>
      <c r="B14641" s="4" t="s">
        <v>44</v>
      </c>
      <c r="C14641" s="38" t="s">
        <v>8310</v>
      </c>
      <c r="D14641" s="18">
        <v>2023</v>
      </c>
      <c r="E14641" s="18" t="s">
        <v>0</v>
      </c>
      <c r="F14641" s="41">
        <v>1</v>
      </c>
      <c r="G14641" s="41">
        <v>20</v>
      </c>
      <c r="H14641" s="41">
        <v>53.691719999999997</v>
      </c>
      <c r="I14641" s="221"/>
      <c r="J14641" s="221"/>
    </row>
    <row r="14642" spans="1:10" s="15" customFormat="1" ht="24" hidden="1" customHeight="1" outlineLevel="1" x14ac:dyDescent="0.25">
      <c r="A14642" s="18">
        <v>2844</v>
      </c>
      <c r="B14642" s="4" t="s">
        <v>44</v>
      </c>
      <c r="C14642" s="38" t="s">
        <v>8311</v>
      </c>
      <c r="D14642" s="18">
        <v>2023</v>
      </c>
      <c r="E14642" s="18" t="s">
        <v>0</v>
      </c>
      <c r="F14642" s="41">
        <v>1</v>
      </c>
      <c r="G14642" s="41">
        <v>15</v>
      </c>
      <c r="H14642" s="41">
        <v>60.517880000000005</v>
      </c>
      <c r="I14642" s="221"/>
      <c r="J14642" s="221"/>
    </row>
    <row r="14643" spans="1:10" s="15" customFormat="1" ht="24" hidden="1" customHeight="1" outlineLevel="1" x14ac:dyDescent="0.25">
      <c r="A14643" s="18">
        <v>1601</v>
      </c>
      <c r="B14643" s="4" t="s">
        <v>44</v>
      </c>
      <c r="C14643" s="38" t="s">
        <v>8312</v>
      </c>
      <c r="D14643" s="18">
        <v>2023</v>
      </c>
      <c r="E14643" s="18" t="s">
        <v>0</v>
      </c>
      <c r="F14643" s="41">
        <v>1</v>
      </c>
      <c r="G14643" s="41">
        <v>15</v>
      </c>
      <c r="H14643" s="41">
        <v>69.962050000000005</v>
      </c>
      <c r="I14643" s="221"/>
      <c r="J14643" s="221"/>
    </row>
    <row r="14644" spans="1:10" s="15" customFormat="1" ht="24" hidden="1" customHeight="1" outlineLevel="1" x14ac:dyDescent="0.25">
      <c r="A14644" s="18">
        <v>3105</v>
      </c>
      <c r="B14644" s="4" t="s">
        <v>44</v>
      </c>
      <c r="C14644" s="38" t="s">
        <v>8313</v>
      </c>
      <c r="D14644" s="18">
        <v>2023</v>
      </c>
      <c r="E14644" s="18" t="s">
        <v>0</v>
      </c>
      <c r="F14644" s="41">
        <v>1</v>
      </c>
      <c r="G14644" s="41">
        <v>35</v>
      </c>
      <c r="H14644" s="41">
        <v>48.019170000000003</v>
      </c>
      <c r="I14644" s="221"/>
      <c r="J14644" s="221"/>
    </row>
    <row r="14645" spans="1:10" s="15" customFormat="1" ht="24" hidden="1" customHeight="1" outlineLevel="1" x14ac:dyDescent="0.25">
      <c r="A14645" s="18">
        <v>3193</v>
      </c>
      <c r="B14645" s="4" t="s">
        <v>44</v>
      </c>
      <c r="C14645" s="38" t="s">
        <v>8315</v>
      </c>
      <c r="D14645" s="18">
        <v>2023</v>
      </c>
      <c r="E14645" s="18" t="s">
        <v>0</v>
      </c>
      <c r="F14645" s="41">
        <v>1</v>
      </c>
      <c r="G14645" s="41">
        <v>15</v>
      </c>
      <c r="H14645" s="41">
        <v>93.012510000000006</v>
      </c>
      <c r="I14645" s="221"/>
      <c r="J14645" s="221"/>
    </row>
    <row r="14646" spans="1:10" s="15" customFormat="1" ht="24" hidden="1" customHeight="1" outlineLevel="1" x14ac:dyDescent="0.25">
      <c r="A14646" s="18">
        <v>3251</v>
      </c>
      <c r="B14646" s="4" t="s">
        <v>44</v>
      </c>
      <c r="C14646" s="38" t="s">
        <v>8316</v>
      </c>
      <c r="D14646" s="18">
        <v>2023</v>
      </c>
      <c r="E14646" s="18" t="s">
        <v>0</v>
      </c>
      <c r="F14646" s="41">
        <v>1</v>
      </c>
      <c r="G14646" s="41">
        <v>15</v>
      </c>
      <c r="H14646" s="41">
        <v>51.07208</v>
      </c>
      <c r="I14646" s="221"/>
      <c r="J14646" s="221"/>
    </row>
    <row r="14647" spans="1:10" s="15" customFormat="1" ht="24" hidden="1" customHeight="1" outlineLevel="1" x14ac:dyDescent="0.25">
      <c r="A14647" s="18">
        <v>990</v>
      </c>
      <c r="B14647" s="4" t="s">
        <v>44</v>
      </c>
      <c r="C14647" s="38" t="s">
        <v>8317</v>
      </c>
      <c r="D14647" s="18">
        <v>2023</v>
      </c>
      <c r="E14647" s="18" t="s">
        <v>0</v>
      </c>
      <c r="F14647" s="41">
        <v>1</v>
      </c>
      <c r="G14647" s="41">
        <v>10</v>
      </c>
      <c r="H14647" s="41">
        <v>97.319450000000003</v>
      </c>
      <c r="I14647" s="221"/>
      <c r="J14647" s="221"/>
    </row>
    <row r="14648" spans="1:10" s="15" customFormat="1" ht="24" hidden="1" customHeight="1" outlineLevel="1" x14ac:dyDescent="0.25">
      <c r="A14648" s="18">
        <v>726</v>
      </c>
      <c r="B14648" s="4" t="s">
        <v>44</v>
      </c>
      <c r="C14648" s="38" t="s">
        <v>8318</v>
      </c>
      <c r="D14648" s="18">
        <v>2023</v>
      </c>
      <c r="E14648" s="18" t="s">
        <v>0</v>
      </c>
      <c r="F14648" s="41">
        <v>1</v>
      </c>
      <c r="G14648" s="41">
        <v>10</v>
      </c>
      <c r="H14648" s="41">
        <v>105.66169000000001</v>
      </c>
      <c r="I14648" s="221"/>
      <c r="J14648" s="221"/>
    </row>
    <row r="14649" spans="1:10" s="15" customFormat="1" ht="24" hidden="1" customHeight="1" outlineLevel="1" x14ac:dyDescent="0.25">
      <c r="A14649" s="18">
        <v>2863</v>
      </c>
      <c r="B14649" s="4" t="s">
        <v>44</v>
      </c>
      <c r="C14649" s="38" t="s">
        <v>8321</v>
      </c>
      <c r="D14649" s="18">
        <v>2023</v>
      </c>
      <c r="E14649" s="18" t="s">
        <v>0</v>
      </c>
      <c r="F14649" s="41">
        <v>1</v>
      </c>
      <c r="G14649" s="41">
        <v>15</v>
      </c>
      <c r="H14649" s="41">
        <v>51.865859999999998</v>
      </c>
      <c r="I14649" s="221"/>
      <c r="J14649" s="221"/>
    </row>
    <row r="14650" spans="1:10" s="15" customFormat="1" ht="24" hidden="1" customHeight="1" outlineLevel="1" x14ac:dyDescent="0.25">
      <c r="A14650" s="18">
        <v>3303</v>
      </c>
      <c r="B14650" s="4" t="s">
        <v>44</v>
      </c>
      <c r="C14650" s="38" t="s">
        <v>8322</v>
      </c>
      <c r="D14650" s="18">
        <v>2023</v>
      </c>
      <c r="E14650" s="18" t="s">
        <v>0</v>
      </c>
      <c r="F14650" s="41">
        <v>1</v>
      </c>
      <c r="G14650" s="41">
        <v>15</v>
      </c>
      <c r="H14650" s="41">
        <v>47.919509999999995</v>
      </c>
      <c r="I14650" s="221"/>
      <c r="J14650" s="221"/>
    </row>
    <row r="14651" spans="1:10" s="15" customFormat="1" ht="24" hidden="1" customHeight="1" outlineLevel="1" x14ac:dyDescent="0.25">
      <c r="A14651" s="18">
        <v>2846</v>
      </c>
      <c r="B14651" s="4" t="s">
        <v>44</v>
      </c>
      <c r="C14651" s="38" t="s">
        <v>8323</v>
      </c>
      <c r="D14651" s="18">
        <v>2023</v>
      </c>
      <c r="E14651" s="18" t="s">
        <v>0</v>
      </c>
      <c r="F14651" s="41">
        <v>1</v>
      </c>
      <c r="G14651" s="41">
        <v>15</v>
      </c>
      <c r="H14651" s="41">
        <v>49.782020000000003</v>
      </c>
      <c r="I14651" s="221"/>
      <c r="J14651" s="221"/>
    </row>
    <row r="14652" spans="1:10" s="15" customFormat="1" ht="24" hidden="1" customHeight="1" outlineLevel="1" x14ac:dyDescent="0.25">
      <c r="A14652" s="18">
        <v>1722</v>
      </c>
      <c r="B14652" s="4" t="s">
        <v>44</v>
      </c>
      <c r="C14652" s="38" t="s">
        <v>8325</v>
      </c>
      <c r="D14652" s="18">
        <v>2023</v>
      </c>
      <c r="E14652" s="18" t="s">
        <v>0</v>
      </c>
      <c r="F14652" s="41">
        <v>1</v>
      </c>
      <c r="G14652" s="41">
        <v>3</v>
      </c>
      <c r="H14652" s="41">
        <v>50.356989999999996</v>
      </c>
      <c r="I14652" s="221"/>
      <c r="J14652" s="221"/>
    </row>
    <row r="14653" spans="1:10" s="15" customFormat="1" ht="24" hidden="1" customHeight="1" outlineLevel="1" x14ac:dyDescent="0.25">
      <c r="A14653" s="18">
        <v>3306</v>
      </c>
      <c r="B14653" s="4" t="s">
        <v>44</v>
      </c>
      <c r="C14653" s="38" t="s">
        <v>8326</v>
      </c>
      <c r="D14653" s="18">
        <v>2023</v>
      </c>
      <c r="E14653" s="18" t="s">
        <v>0</v>
      </c>
      <c r="F14653" s="41">
        <v>1</v>
      </c>
      <c r="G14653" s="41">
        <v>15</v>
      </c>
      <c r="H14653" s="41">
        <v>49.916309999999996</v>
      </c>
      <c r="I14653" s="221"/>
      <c r="J14653" s="221"/>
    </row>
    <row r="14654" spans="1:10" s="15" customFormat="1" ht="24" hidden="1" customHeight="1" outlineLevel="1" x14ac:dyDescent="0.25">
      <c r="A14654" s="18">
        <v>1933</v>
      </c>
      <c r="B14654" s="4" t="s">
        <v>44</v>
      </c>
      <c r="C14654" s="38" t="s">
        <v>8327</v>
      </c>
      <c r="D14654" s="18">
        <v>2023</v>
      </c>
      <c r="E14654" s="18" t="s">
        <v>0</v>
      </c>
      <c r="F14654" s="41">
        <v>1</v>
      </c>
      <c r="G14654" s="41">
        <v>15</v>
      </c>
      <c r="H14654" s="41">
        <v>47.029000000000003</v>
      </c>
      <c r="I14654" s="221"/>
      <c r="J14654" s="221"/>
    </row>
    <row r="14655" spans="1:10" s="15" customFormat="1" ht="24" hidden="1" customHeight="1" outlineLevel="1" x14ac:dyDescent="0.25">
      <c r="A14655" s="18">
        <v>1711</v>
      </c>
      <c r="B14655" s="4" t="s">
        <v>44</v>
      </c>
      <c r="C14655" s="38" t="s">
        <v>8330</v>
      </c>
      <c r="D14655" s="18">
        <v>2023</v>
      </c>
      <c r="E14655" s="18" t="s">
        <v>0</v>
      </c>
      <c r="F14655" s="41">
        <v>1</v>
      </c>
      <c r="G14655" s="41">
        <v>15</v>
      </c>
      <c r="H14655" s="41">
        <v>46.376390000000001</v>
      </c>
      <c r="I14655" s="221"/>
      <c r="J14655" s="221"/>
    </row>
    <row r="14656" spans="1:10" s="15" customFormat="1" ht="24" hidden="1" customHeight="1" outlineLevel="1" x14ac:dyDescent="0.25">
      <c r="A14656" s="18">
        <v>1123</v>
      </c>
      <c r="B14656" s="4" t="s">
        <v>44</v>
      </c>
      <c r="C14656" s="38" t="s">
        <v>8331</v>
      </c>
      <c r="D14656" s="18">
        <v>2023</v>
      </c>
      <c r="E14656" s="18" t="s">
        <v>0</v>
      </c>
      <c r="F14656" s="41">
        <v>1</v>
      </c>
      <c r="G14656" s="41">
        <v>15</v>
      </c>
      <c r="H14656" s="41">
        <v>56.64284</v>
      </c>
      <c r="I14656" s="221"/>
      <c r="J14656" s="221"/>
    </row>
    <row r="14657" spans="1:10" s="15" customFormat="1" ht="24" hidden="1" customHeight="1" outlineLevel="1" x14ac:dyDescent="0.25">
      <c r="A14657" s="18">
        <v>814</v>
      </c>
      <c r="B14657" s="4" t="s">
        <v>44</v>
      </c>
      <c r="C14657" s="38" t="s">
        <v>8332</v>
      </c>
      <c r="D14657" s="18">
        <v>2023</v>
      </c>
      <c r="E14657" s="18" t="s">
        <v>0</v>
      </c>
      <c r="F14657" s="41">
        <v>1</v>
      </c>
      <c r="G14657" s="41">
        <v>15</v>
      </c>
      <c r="H14657" s="41">
        <v>53.18938</v>
      </c>
      <c r="I14657" s="221"/>
      <c r="J14657" s="221"/>
    </row>
    <row r="14658" spans="1:10" s="15" customFormat="1" ht="24" hidden="1" customHeight="1" outlineLevel="1" x14ac:dyDescent="0.25">
      <c r="A14658" s="18">
        <v>392</v>
      </c>
      <c r="B14658" s="4" t="s">
        <v>44</v>
      </c>
      <c r="C14658" s="38" t="s">
        <v>8333</v>
      </c>
      <c r="D14658" s="18">
        <v>2023</v>
      </c>
      <c r="E14658" s="18" t="s">
        <v>0</v>
      </c>
      <c r="F14658" s="41">
        <v>1</v>
      </c>
      <c r="G14658" s="41">
        <v>15</v>
      </c>
      <c r="H14658" s="41">
        <v>52.9681</v>
      </c>
      <c r="I14658" s="221"/>
      <c r="J14658" s="221"/>
    </row>
    <row r="14659" spans="1:10" s="15" customFormat="1" ht="24" hidden="1" customHeight="1" outlineLevel="1" x14ac:dyDescent="0.25">
      <c r="A14659" s="18">
        <v>442</v>
      </c>
      <c r="B14659" s="4" t="s">
        <v>44</v>
      </c>
      <c r="C14659" s="38" t="s">
        <v>8334</v>
      </c>
      <c r="D14659" s="18">
        <v>2023</v>
      </c>
      <c r="E14659" s="18" t="s">
        <v>0</v>
      </c>
      <c r="F14659" s="41">
        <v>1</v>
      </c>
      <c r="G14659" s="41">
        <v>15</v>
      </c>
      <c r="H14659" s="41">
        <v>66.414500000000004</v>
      </c>
      <c r="I14659" s="221"/>
      <c r="J14659" s="221"/>
    </row>
    <row r="14660" spans="1:10" s="15" customFormat="1" ht="24" hidden="1" customHeight="1" outlineLevel="1" x14ac:dyDescent="0.25">
      <c r="A14660" s="18">
        <v>698</v>
      </c>
      <c r="B14660" s="4" t="s">
        <v>44</v>
      </c>
      <c r="C14660" s="38" t="s">
        <v>8336</v>
      </c>
      <c r="D14660" s="18">
        <v>2023</v>
      </c>
      <c r="E14660" s="18" t="s">
        <v>0</v>
      </c>
      <c r="F14660" s="41">
        <v>1</v>
      </c>
      <c r="G14660" s="41">
        <v>12</v>
      </c>
      <c r="H14660" s="41">
        <v>43.418590000000002</v>
      </c>
      <c r="I14660" s="221"/>
      <c r="J14660" s="221"/>
    </row>
    <row r="14661" spans="1:10" s="15" customFormat="1" ht="24" hidden="1" customHeight="1" outlineLevel="1" x14ac:dyDescent="0.25">
      <c r="A14661" s="18">
        <v>2229</v>
      </c>
      <c r="B14661" s="4" t="s">
        <v>44</v>
      </c>
      <c r="C14661" s="38" t="s">
        <v>8339</v>
      </c>
      <c r="D14661" s="18">
        <v>2023</v>
      </c>
      <c r="E14661" s="18" t="s">
        <v>0</v>
      </c>
      <c r="F14661" s="41">
        <v>1</v>
      </c>
      <c r="G14661" s="41">
        <v>10</v>
      </c>
      <c r="H14661" s="41">
        <v>55.16057</v>
      </c>
      <c r="I14661" s="221"/>
      <c r="J14661" s="221"/>
    </row>
    <row r="14662" spans="1:10" s="15" customFormat="1" ht="24" hidden="1" customHeight="1" outlineLevel="1" x14ac:dyDescent="0.25">
      <c r="A14662" s="18">
        <v>2170</v>
      </c>
      <c r="B14662" s="4" t="s">
        <v>44</v>
      </c>
      <c r="C14662" s="38" t="s">
        <v>8341</v>
      </c>
      <c r="D14662" s="18">
        <v>2023</v>
      </c>
      <c r="E14662" s="18" t="s">
        <v>0</v>
      </c>
      <c r="F14662" s="41">
        <v>1</v>
      </c>
      <c r="G14662" s="41">
        <v>11</v>
      </c>
      <c r="H14662" s="41">
        <v>54.612279999999998</v>
      </c>
      <c r="I14662" s="221"/>
      <c r="J14662" s="221"/>
    </row>
    <row r="14663" spans="1:10" s="15" customFormat="1" ht="24" hidden="1" customHeight="1" outlineLevel="1" x14ac:dyDescent="0.25">
      <c r="A14663" s="18">
        <v>4093</v>
      </c>
      <c r="B14663" s="4" t="s">
        <v>44</v>
      </c>
      <c r="C14663" s="38" t="s">
        <v>8344</v>
      </c>
      <c r="D14663" s="18">
        <v>2023</v>
      </c>
      <c r="E14663" s="18" t="s">
        <v>0</v>
      </c>
      <c r="F14663" s="41">
        <v>1</v>
      </c>
      <c r="G14663" s="41">
        <v>45</v>
      </c>
      <c r="H14663" s="41">
        <v>68.426659999999998</v>
      </c>
      <c r="I14663" s="221"/>
      <c r="J14663" s="221"/>
    </row>
    <row r="14664" spans="1:10" s="15" customFormat="1" ht="24" hidden="1" customHeight="1" outlineLevel="1" x14ac:dyDescent="0.25">
      <c r="A14664" s="18">
        <v>4112</v>
      </c>
      <c r="B14664" s="4" t="s">
        <v>44</v>
      </c>
      <c r="C14664" s="38" t="s">
        <v>8345</v>
      </c>
      <c r="D14664" s="18">
        <v>2023</v>
      </c>
      <c r="E14664" s="18" t="s">
        <v>0</v>
      </c>
      <c r="F14664" s="41">
        <v>1</v>
      </c>
      <c r="G14664" s="41">
        <v>7.5</v>
      </c>
      <c r="H14664" s="41">
        <v>62.276850000000003</v>
      </c>
      <c r="I14664" s="221"/>
      <c r="J14664" s="221"/>
    </row>
    <row r="14665" spans="1:10" s="15" customFormat="1" ht="24" hidden="1" customHeight="1" outlineLevel="1" x14ac:dyDescent="0.25">
      <c r="A14665" s="18">
        <v>1004</v>
      </c>
      <c r="B14665" s="4" t="s">
        <v>44</v>
      </c>
      <c r="C14665" s="38" t="s">
        <v>8347</v>
      </c>
      <c r="D14665" s="18">
        <v>2023</v>
      </c>
      <c r="E14665" s="18" t="s">
        <v>0</v>
      </c>
      <c r="F14665" s="41">
        <v>1</v>
      </c>
      <c r="G14665" s="41">
        <v>15</v>
      </c>
      <c r="H14665" s="41">
        <v>71.64443</v>
      </c>
      <c r="I14665" s="221"/>
      <c r="J14665" s="221"/>
    </row>
    <row r="14666" spans="1:10" s="15" customFormat="1" ht="24" hidden="1" customHeight="1" outlineLevel="1" x14ac:dyDescent="0.25">
      <c r="A14666" s="18">
        <v>447</v>
      </c>
      <c r="B14666" s="4" t="s">
        <v>44</v>
      </c>
      <c r="C14666" s="38" t="s">
        <v>8348</v>
      </c>
      <c r="D14666" s="18">
        <v>2023</v>
      </c>
      <c r="E14666" s="18" t="s">
        <v>0</v>
      </c>
      <c r="F14666" s="41">
        <v>3</v>
      </c>
      <c r="G14666" s="41">
        <v>30</v>
      </c>
      <c r="H14666" s="41">
        <v>228.92594</v>
      </c>
      <c r="I14666" s="221"/>
      <c r="J14666" s="221"/>
    </row>
    <row r="14667" spans="1:10" s="15" customFormat="1" ht="24" hidden="1" customHeight="1" outlineLevel="1" x14ac:dyDescent="0.25">
      <c r="A14667" s="18">
        <v>2602</v>
      </c>
      <c r="B14667" s="4" t="s">
        <v>44</v>
      </c>
      <c r="C14667" s="38" t="s">
        <v>8349</v>
      </c>
      <c r="D14667" s="18">
        <v>2023</v>
      </c>
      <c r="E14667" s="18" t="s">
        <v>0</v>
      </c>
      <c r="F14667" s="41">
        <v>1</v>
      </c>
      <c r="G14667" s="41">
        <v>10</v>
      </c>
      <c r="H14667" s="41">
        <v>49.579680000000003</v>
      </c>
      <c r="I14667" s="221"/>
      <c r="J14667" s="221"/>
    </row>
    <row r="14668" spans="1:10" s="15" customFormat="1" ht="24" hidden="1" customHeight="1" outlineLevel="1" x14ac:dyDescent="0.25">
      <c r="A14668" s="18">
        <v>4136</v>
      </c>
      <c r="B14668" s="4" t="s">
        <v>44</v>
      </c>
      <c r="C14668" s="38" t="s">
        <v>8350</v>
      </c>
      <c r="D14668" s="18">
        <v>2023</v>
      </c>
      <c r="E14668" s="18" t="s">
        <v>0</v>
      </c>
      <c r="F14668" s="41">
        <v>1</v>
      </c>
      <c r="G14668" s="41">
        <v>15</v>
      </c>
      <c r="H14668" s="41">
        <v>53.401579999999996</v>
      </c>
      <c r="I14668" s="221"/>
      <c r="J14668" s="221"/>
    </row>
    <row r="14669" spans="1:10" s="15" customFormat="1" ht="24" hidden="1" customHeight="1" outlineLevel="1" x14ac:dyDescent="0.25">
      <c r="A14669" s="18">
        <v>2888</v>
      </c>
      <c r="B14669" s="4" t="s">
        <v>44</v>
      </c>
      <c r="C14669" s="38" t="s">
        <v>8354</v>
      </c>
      <c r="D14669" s="18">
        <v>2023</v>
      </c>
      <c r="E14669" s="18" t="s">
        <v>0</v>
      </c>
      <c r="F14669" s="41">
        <v>1</v>
      </c>
      <c r="G14669" s="41">
        <v>15</v>
      </c>
      <c r="H14669" s="41">
        <v>54.31344</v>
      </c>
      <c r="I14669" s="221"/>
      <c r="J14669" s="221"/>
    </row>
    <row r="14670" spans="1:10" s="15" customFormat="1" ht="24" hidden="1" customHeight="1" outlineLevel="1" x14ac:dyDescent="0.25">
      <c r="A14670" s="18">
        <v>1509</v>
      </c>
      <c r="B14670" s="4" t="s">
        <v>44</v>
      </c>
      <c r="C14670" s="38" t="s">
        <v>8357</v>
      </c>
      <c r="D14670" s="18">
        <v>2023</v>
      </c>
      <c r="E14670" s="18" t="s">
        <v>0</v>
      </c>
      <c r="F14670" s="41">
        <v>1</v>
      </c>
      <c r="G14670" s="41">
        <v>10</v>
      </c>
      <c r="H14670" s="41">
        <v>64.670529999999999</v>
      </c>
      <c r="I14670" s="221"/>
      <c r="J14670" s="221"/>
    </row>
    <row r="14671" spans="1:10" s="15" customFormat="1" ht="24" hidden="1" customHeight="1" outlineLevel="1" x14ac:dyDescent="0.25">
      <c r="A14671" s="18">
        <v>4177</v>
      </c>
      <c r="B14671" s="4" t="s">
        <v>44</v>
      </c>
      <c r="C14671" s="38" t="s">
        <v>8358</v>
      </c>
      <c r="D14671" s="18">
        <v>2023</v>
      </c>
      <c r="E14671" s="18" t="s">
        <v>0</v>
      </c>
      <c r="F14671" s="41">
        <v>1</v>
      </c>
      <c r="G14671" s="41">
        <v>7.5</v>
      </c>
      <c r="H14671" s="41">
        <v>50.110250000000001</v>
      </c>
      <c r="I14671" s="221"/>
      <c r="J14671" s="221"/>
    </row>
    <row r="14672" spans="1:10" s="15" customFormat="1" ht="24" hidden="1" customHeight="1" outlineLevel="1" x14ac:dyDescent="0.25">
      <c r="A14672" s="18">
        <v>418</v>
      </c>
      <c r="B14672" s="4" t="s">
        <v>44</v>
      </c>
      <c r="C14672" s="38" t="s">
        <v>8359</v>
      </c>
      <c r="D14672" s="18">
        <v>2023</v>
      </c>
      <c r="E14672" s="18" t="s">
        <v>0</v>
      </c>
      <c r="F14672" s="41">
        <v>1</v>
      </c>
      <c r="G14672" s="41">
        <v>15</v>
      </c>
      <c r="H14672" s="41">
        <v>82.579319999999996</v>
      </c>
      <c r="I14672" s="221"/>
      <c r="J14672" s="221"/>
    </row>
    <row r="14673" spans="1:10" s="15" customFormat="1" ht="24" hidden="1" customHeight="1" outlineLevel="1" x14ac:dyDescent="0.25">
      <c r="A14673" s="18">
        <v>3995</v>
      </c>
      <c r="B14673" s="4" t="s">
        <v>44</v>
      </c>
      <c r="C14673" s="38" t="s">
        <v>8362</v>
      </c>
      <c r="D14673" s="18">
        <v>2023</v>
      </c>
      <c r="E14673" s="18" t="s">
        <v>0</v>
      </c>
      <c r="F14673" s="41">
        <v>1</v>
      </c>
      <c r="G14673" s="41">
        <v>15</v>
      </c>
      <c r="H14673" s="41">
        <v>47.188559999999995</v>
      </c>
      <c r="I14673" s="221"/>
      <c r="J14673" s="221"/>
    </row>
    <row r="14674" spans="1:10" s="15" customFormat="1" ht="24" hidden="1" customHeight="1" outlineLevel="1" x14ac:dyDescent="0.25">
      <c r="A14674" s="18">
        <v>4032</v>
      </c>
      <c r="B14674" s="4" t="s">
        <v>44</v>
      </c>
      <c r="C14674" s="38" t="s">
        <v>8363</v>
      </c>
      <c r="D14674" s="18">
        <v>2023</v>
      </c>
      <c r="E14674" s="18" t="s">
        <v>0</v>
      </c>
      <c r="F14674" s="41">
        <v>1</v>
      </c>
      <c r="G14674" s="41">
        <v>15</v>
      </c>
      <c r="H14674" s="41">
        <v>75.060299999999998</v>
      </c>
      <c r="I14674" s="221"/>
      <c r="J14674" s="221"/>
    </row>
    <row r="14675" spans="1:10" s="15" customFormat="1" ht="24" hidden="1" customHeight="1" outlineLevel="1" x14ac:dyDescent="0.25">
      <c r="A14675" s="18">
        <v>3042</v>
      </c>
      <c r="B14675" s="4" t="s">
        <v>44</v>
      </c>
      <c r="C14675" s="38" t="s">
        <v>8364</v>
      </c>
      <c r="D14675" s="18">
        <v>2023</v>
      </c>
      <c r="E14675" s="18" t="s">
        <v>0</v>
      </c>
      <c r="F14675" s="41">
        <v>1</v>
      </c>
      <c r="G14675" s="41">
        <v>27</v>
      </c>
      <c r="H14675" s="41">
        <v>94.438659999999999</v>
      </c>
      <c r="I14675" s="221"/>
      <c r="J14675" s="221"/>
    </row>
    <row r="14676" spans="1:10" s="15" customFormat="1" ht="24" hidden="1" customHeight="1" outlineLevel="1" x14ac:dyDescent="0.25">
      <c r="A14676" s="18">
        <v>484</v>
      </c>
      <c r="B14676" s="4" t="s">
        <v>44</v>
      </c>
      <c r="C14676" s="38" t="s">
        <v>8365</v>
      </c>
      <c r="D14676" s="18">
        <v>2023</v>
      </c>
      <c r="E14676" s="18" t="s">
        <v>0</v>
      </c>
      <c r="F14676" s="41">
        <v>1</v>
      </c>
      <c r="G14676" s="41">
        <v>15</v>
      </c>
      <c r="H14676" s="41">
        <v>86.377650000000003</v>
      </c>
      <c r="I14676" s="221"/>
      <c r="J14676" s="221"/>
    </row>
    <row r="14677" spans="1:10" s="15" customFormat="1" ht="24" hidden="1" customHeight="1" outlineLevel="1" x14ac:dyDescent="0.25">
      <c r="A14677" s="18">
        <v>4025</v>
      </c>
      <c r="B14677" s="4" t="s">
        <v>44</v>
      </c>
      <c r="C14677" s="38" t="s">
        <v>8366</v>
      </c>
      <c r="D14677" s="18">
        <v>2023</v>
      </c>
      <c r="E14677" s="18" t="s">
        <v>0</v>
      </c>
      <c r="F14677" s="41">
        <v>5</v>
      </c>
      <c r="G14677" s="41">
        <v>50</v>
      </c>
      <c r="H14677" s="41">
        <v>434.10494</v>
      </c>
      <c r="I14677" s="221"/>
      <c r="J14677" s="221"/>
    </row>
    <row r="14678" spans="1:10" s="15" customFormat="1" ht="24" hidden="1" customHeight="1" outlineLevel="1" x14ac:dyDescent="0.25">
      <c r="A14678" s="18">
        <v>2825</v>
      </c>
      <c r="B14678" s="4" t="s">
        <v>44</v>
      </c>
      <c r="C14678" s="38" t="s">
        <v>8369</v>
      </c>
      <c r="D14678" s="18">
        <v>2023</v>
      </c>
      <c r="E14678" s="18" t="s">
        <v>0</v>
      </c>
      <c r="F14678" s="41">
        <v>1</v>
      </c>
      <c r="G14678" s="41">
        <v>15</v>
      </c>
      <c r="H14678" s="41">
        <v>48.060560000000002</v>
      </c>
      <c r="I14678" s="221"/>
      <c r="J14678" s="221"/>
    </row>
    <row r="14679" spans="1:10" s="15" customFormat="1" ht="24" hidden="1" customHeight="1" outlineLevel="1" x14ac:dyDescent="0.25">
      <c r="A14679" s="18">
        <v>3210</v>
      </c>
      <c r="B14679" s="4" t="s">
        <v>44</v>
      </c>
      <c r="C14679" s="38" t="s">
        <v>8370</v>
      </c>
      <c r="D14679" s="18">
        <v>2023</v>
      </c>
      <c r="E14679" s="18" t="s">
        <v>0</v>
      </c>
      <c r="F14679" s="41">
        <v>1</v>
      </c>
      <c r="G14679" s="41">
        <v>15</v>
      </c>
      <c r="H14679" s="41">
        <v>50.7791</v>
      </c>
      <c r="I14679" s="221"/>
      <c r="J14679" s="221"/>
    </row>
    <row r="14680" spans="1:10" s="15" customFormat="1" ht="24" hidden="1" customHeight="1" outlineLevel="1" x14ac:dyDescent="0.25">
      <c r="A14680" s="18">
        <v>274</v>
      </c>
      <c r="B14680" s="4" t="s">
        <v>44</v>
      </c>
      <c r="C14680" s="38" t="s">
        <v>8371</v>
      </c>
      <c r="D14680" s="18">
        <v>2023</v>
      </c>
      <c r="E14680" s="18" t="s">
        <v>0</v>
      </c>
      <c r="F14680" s="41">
        <v>1</v>
      </c>
      <c r="G14680" s="41">
        <v>85</v>
      </c>
      <c r="H14680" s="41">
        <v>35.928150000000002</v>
      </c>
      <c r="I14680" s="221"/>
      <c r="J14680" s="221"/>
    </row>
    <row r="14681" spans="1:10" s="15" customFormat="1" ht="24" hidden="1" customHeight="1" outlineLevel="1" x14ac:dyDescent="0.25">
      <c r="A14681" s="18">
        <v>901</v>
      </c>
      <c r="B14681" s="4" t="s">
        <v>44</v>
      </c>
      <c r="C14681" s="38" t="s">
        <v>8372</v>
      </c>
      <c r="D14681" s="18">
        <v>2023</v>
      </c>
      <c r="E14681" s="18" t="s">
        <v>0</v>
      </c>
      <c r="F14681" s="41">
        <v>1</v>
      </c>
      <c r="G14681" s="41">
        <v>15</v>
      </c>
      <c r="H14681" s="41">
        <v>47.555430000000001</v>
      </c>
      <c r="I14681" s="221"/>
      <c r="J14681" s="221"/>
    </row>
    <row r="14682" spans="1:10" s="15" customFormat="1" ht="24" hidden="1" customHeight="1" outlineLevel="1" x14ac:dyDescent="0.25">
      <c r="A14682" s="18">
        <v>4034</v>
      </c>
      <c r="B14682" s="4" t="s">
        <v>44</v>
      </c>
      <c r="C14682" s="38" t="s">
        <v>8373</v>
      </c>
      <c r="D14682" s="18">
        <v>2023</v>
      </c>
      <c r="E14682" s="18" t="s">
        <v>0</v>
      </c>
      <c r="F14682" s="41">
        <v>1</v>
      </c>
      <c r="G14682" s="41">
        <v>90</v>
      </c>
      <c r="H14682" s="41">
        <v>62.01538</v>
      </c>
      <c r="I14682" s="221"/>
      <c r="J14682" s="221"/>
    </row>
    <row r="14683" spans="1:10" s="15" customFormat="1" ht="24" hidden="1" customHeight="1" outlineLevel="1" x14ac:dyDescent="0.25">
      <c r="A14683" s="18">
        <v>376</v>
      </c>
      <c r="B14683" s="4" t="s">
        <v>44</v>
      </c>
      <c r="C14683" s="38" t="s">
        <v>8374</v>
      </c>
      <c r="D14683" s="18">
        <v>2023</v>
      </c>
      <c r="E14683" s="18" t="s">
        <v>0</v>
      </c>
      <c r="F14683" s="41">
        <v>1</v>
      </c>
      <c r="G14683" s="41">
        <v>15</v>
      </c>
      <c r="H14683" s="41">
        <v>59.115169999999999</v>
      </c>
      <c r="I14683" s="221"/>
      <c r="J14683" s="221"/>
    </row>
    <row r="14684" spans="1:10" s="15" customFormat="1" ht="24" hidden="1" customHeight="1" outlineLevel="1" x14ac:dyDescent="0.25">
      <c r="A14684" s="18">
        <v>3243</v>
      </c>
      <c r="B14684" s="4" t="s">
        <v>44</v>
      </c>
      <c r="C14684" s="38" t="s">
        <v>8376</v>
      </c>
      <c r="D14684" s="18">
        <v>2023</v>
      </c>
      <c r="E14684" s="18" t="s">
        <v>0</v>
      </c>
      <c r="F14684" s="41">
        <v>1</v>
      </c>
      <c r="G14684" s="41">
        <v>15</v>
      </c>
      <c r="H14684" s="41">
        <v>45.130290000000002</v>
      </c>
      <c r="I14684" s="221"/>
      <c r="J14684" s="221"/>
    </row>
    <row r="14685" spans="1:10" s="15" customFormat="1" ht="24" hidden="1" customHeight="1" outlineLevel="1" x14ac:dyDescent="0.25">
      <c r="A14685" s="18">
        <v>2818</v>
      </c>
      <c r="B14685" s="4" t="s">
        <v>44</v>
      </c>
      <c r="C14685" s="38" t="s">
        <v>9048</v>
      </c>
      <c r="D14685" s="18">
        <v>2023</v>
      </c>
      <c r="E14685" s="18" t="s">
        <v>0</v>
      </c>
      <c r="F14685" s="41">
        <v>29</v>
      </c>
      <c r="G14685" s="41">
        <v>240</v>
      </c>
      <c r="H14685" s="41">
        <v>1969.91571</v>
      </c>
      <c r="I14685" s="221"/>
      <c r="J14685" s="221"/>
    </row>
    <row r="14686" spans="1:10" s="15" customFormat="1" ht="24" hidden="1" customHeight="1" outlineLevel="1" x14ac:dyDescent="0.25">
      <c r="A14686" s="18">
        <v>4074</v>
      </c>
      <c r="B14686" s="4" t="s">
        <v>44</v>
      </c>
      <c r="C14686" s="38" t="s">
        <v>8377</v>
      </c>
      <c r="D14686" s="18">
        <v>2023</v>
      </c>
      <c r="E14686" s="18" t="s">
        <v>0</v>
      </c>
      <c r="F14686" s="41">
        <v>1</v>
      </c>
      <c r="G14686" s="41">
        <v>15</v>
      </c>
      <c r="H14686" s="41">
        <v>44.194860000000006</v>
      </c>
      <c r="I14686" s="221"/>
      <c r="J14686" s="221"/>
    </row>
    <row r="14687" spans="1:10" s="15" customFormat="1" ht="24" hidden="1" customHeight="1" outlineLevel="1" x14ac:dyDescent="0.25">
      <c r="A14687" s="18">
        <v>3230</v>
      </c>
      <c r="B14687" s="4" t="s">
        <v>44</v>
      </c>
      <c r="C14687" s="38" t="s">
        <v>8378</v>
      </c>
      <c r="D14687" s="18">
        <v>2023</v>
      </c>
      <c r="E14687" s="18" t="s">
        <v>0</v>
      </c>
      <c r="F14687" s="41">
        <v>1</v>
      </c>
      <c r="G14687" s="41">
        <v>15</v>
      </c>
      <c r="H14687" s="41">
        <v>45.071510000000004</v>
      </c>
      <c r="I14687" s="221"/>
      <c r="J14687" s="221"/>
    </row>
    <row r="14688" spans="1:10" s="15" customFormat="1" ht="24" hidden="1" customHeight="1" outlineLevel="1" x14ac:dyDescent="0.25">
      <c r="A14688" s="18">
        <v>3334</v>
      </c>
      <c r="B14688" s="4" t="s">
        <v>44</v>
      </c>
      <c r="C14688" s="38" t="s">
        <v>8379</v>
      </c>
      <c r="D14688" s="18">
        <v>2023</v>
      </c>
      <c r="E14688" s="18" t="s">
        <v>0</v>
      </c>
      <c r="F14688" s="41">
        <v>1</v>
      </c>
      <c r="G14688" s="41">
        <v>15</v>
      </c>
      <c r="H14688" s="41">
        <v>102.53717</v>
      </c>
      <c r="I14688" s="221"/>
      <c r="J14688" s="221"/>
    </row>
    <row r="14689" spans="1:10" s="15" customFormat="1" ht="24" hidden="1" customHeight="1" outlineLevel="1" x14ac:dyDescent="0.25">
      <c r="A14689" s="18">
        <v>3229</v>
      </c>
      <c r="B14689" s="4" t="s">
        <v>44</v>
      </c>
      <c r="C14689" s="38" t="s">
        <v>8380</v>
      </c>
      <c r="D14689" s="18">
        <v>2023</v>
      </c>
      <c r="E14689" s="18" t="s">
        <v>0</v>
      </c>
      <c r="F14689" s="41">
        <v>1</v>
      </c>
      <c r="G14689" s="151">
        <v>11.5</v>
      </c>
      <c r="H14689" s="41">
        <v>97.696130000000011</v>
      </c>
      <c r="I14689" s="221"/>
      <c r="J14689" s="221"/>
    </row>
    <row r="14690" spans="1:10" s="15" customFormat="1" ht="24" hidden="1" customHeight="1" outlineLevel="1" x14ac:dyDescent="0.25">
      <c r="A14690" s="18">
        <v>4189</v>
      </c>
      <c r="B14690" s="4" t="s">
        <v>44</v>
      </c>
      <c r="C14690" s="38" t="s">
        <v>8382</v>
      </c>
      <c r="D14690" s="18">
        <v>2023</v>
      </c>
      <c r="E14690" s="18" t="s">
        <v>0</v>
      </c>
      <c r="F14690" s="41">
        <v>1</v>
      </c>
      <c r="G14690" s="41">
        <v>15</v>
      </c>
      <c r="H14690" s="41">
        <v>67.708399999999997</v>
      </c>
      <c r="I14690" s="221"/>
      <c r="J14690" s="221"/>
    </row>
    <row r="14691" spans="1:10" s="15" customFormat="1" ht="24" hidden="1" customHeight="1" outlineLevel="1" x14ac:dyDescent="0.25">
      <c r="A14691" s="18">
        <v>3242</v>
      </c>
      <c r="B14691" s="4" t="s">
        <v>44</v>
      </c>
      <c r="C14691" s="38" t="s">
        <v>8383</v>
      </c>
      <c r="D14691" s="18">
        <v>2023</v>
      </c>
      <c r="E14691" s="18" t="s">
        <v>0</v>
      </c>
      <c r="F14691" s="41">
        <v>1</v>
      </c>
      <c r="G14691" s="41">
        <v>15</v>
      </c>
      <c r="H14691" s="41">
        <v>59.853810000000003</v>
      </c>
      <c r="I14691" s="221"/>
      <c r="J14691" s="221"/>
    </row>
    <row r="14692" spans="1:10" s="15" customFormat="1" ht="24" hidden="1" customHeight="1" outlineLevel="1" x14ac:dyDescent="0.25">
      <c r="A14692" s="18">
        <v>324</v>
      </c>
      <c r="B14692" s="4" t="s">
        <v>44</v>
      </c>
      <c r="C14692" s="38" t="s">
        <v>8384</v>
      </c>
      <c r="D14692" s="18">
        <v>2023</v>
      </c>
      <c r="E14692" s="18" t="s">
        <v>0</v>
      </c>
      <c r="F14692" s="41">
        <v>1</v>
      </c>
      <c r="G14692" s="41">
        <v>10</v>
      </c>
      <c r="H14692" s="41">
        <v>68.071200000000005</v>
      </c>
      <c r="I14692" s="221"/>
      <c r="J14692" s="221"/>
    </row>
    <row r="14693" spans="1:10" s="15" customFormat="1" ht="24" hidden="1" customHeight="1" outlineLevel="1" x14ac:dyDescent="0.25">
      <c r="A14693" s="18">
        <v>3195</v>
      </c>
      <c r="B14693" s="4" t="s">
        <v>44</v>
      </c>
      <c r="C14693" s="38" t="s">
        <v>9119</v>
      </c>
      <c r="D14693" s="18">
        <v>2023</v>
      </c>
      <c r="E14693" s="18" t="s">
        <v>0</v>
      </c>
      <c r="F14693" s="41">
        <v>1</v>
      </c>
      <c r="G14693" s="41">
        <v>15</v>
      </c>
      <c r="H14693" s="41">
        <v>129.96</v>
      </c>
      <c r="I14693" s="221"/>
      <c r="J14693" s="221"/>
    </row>
    <row r="14694" spans="1:10" s="15" customFormat="1" ht="24" hidden="1" customHeight="1" outlineLevel="1" x14ac:dyDescent="0.25">
      <c r="A14694" s="18">
        <v>453</v>
      </c>
      <c r="B14694" s="4" t="s">
        <v>44</v>
      </c>
      <c r="C14694" s="38" t="s">
        <v>12442</v>
      </c>
      <c r="D14694" s="18">
        <v>2023</v>
      </c>
      <c r="E14694" s="18" t="s">
        <v>0</v>
      </c>
      <c r="F14694" s="41">
        <v>1</v>
      </c>
      <c r="G14694" s="41">
        <v>15</v>
      </c>
      <c r="H14694" s="41">
        <v>46.908000000000001</v>
      </c>
      <c r="I14694" s="221"/>
      <c r="J14694" s="221"/>
    </row>
    <row r="14695" spans="1:10" s="15" customFormat="1" ht="24" hidden="1" customHeight="1" outlineLevel="1" x14ac:dyDescent="0.25">
      <c r="A14695" s="18">
        <v>1149</v>
      </c>
      <c r="B14695" s="4" t="s">
        <v>44</v>
      </c>
      <c r="C14695" s="38" t="s">
        <v>8385</v>
      </c>
      <c r="D14695" s="18">
        <v>2023</v>
      </c>
      <c r="E14695" s="18" t="s">
        <v>0</v>
      </c>
      <c r="F14695" s="41">
        <v>1</v>
      </c>
      <c r="G14695" s="41">
        <v>15</v>
      </c>
      <c r="H14695" s="41">
        <v>101.69199999999999</v>
      </c>
      <c r="I14695" s="221"/>
      <c r="J14695" s="221"/>
    </row>
    <row r="14696" spans="1:10" s="15" customFormat="1" ht="24" hidden="1" customHeight="1" outlineLevel="1" x14ac:dyDescent="0.25">
      <c r="A14696" s="18">
        <v>673</v>
      </c>
      <c r="B14696" s="4" t="s">
        <v>44</v>
      </c>
      <c r="C14696" s="38" t="s">
        <v>8387</v>
      </c>
      <c r="D14696" s="18">
        <v>2023</v>
      </c>
      <c r="E14696" s="18" t="s">
        <v>0</v>
      </c>
      <c r="F14696" s="41">
        <v>1</v>
      </c>
      <c r="G14696" s="41">
        <v>10</v>
      </c>
      <c r="H14696" s="41">
        <v>57.850999999999999</v>
      </c>
      <c r="I14696" s="221"/>
      <c r="J14696" s="221"/>
    </row>
    <row r="14697" spans="1:10" s="15" customFormat="1" ht="24" hidden="1" customHeight="1" outlineLevel="1" x14ac:dyDescent="0.25">
      <c r="A14697" s="18">
        <v>622</v>
      </c>
      <c r="B14697" s="4" t="s">
        <v>44</v>
      </c>
      <c r="C14697" s="38" t="s">
        <v>12443</v>
      </c>
      <c r="D14697" s="18">
        <v>2023</v>
      </c>
      <c r="E14697" s="18" t="s">
        <v>0</v>
      </c>
      <c r="F14697" s="41">
        <v>1</v>
      </c>
      <c r="G14697" s="41">
        <v>15</v>
      </c>
      <c r="H14697" s="41">
        <v>50.634</v>
      </c>
      <c r="I14697" s="221"/>
      <c r="J14697" s="221"/>
    </row>
    <row r="14698" spans="1:10" s="15" customFormat="1" ht="24" hidden="1" customHeight="1" outlineLevel="1" x14ac:dyDescent="0.25">
      <c r="A14698" s="18">
        <v>659</v>
      </c>
      <c r="B14698" s="4" t="s">
        <v>44</v>
      </c>
      <c r="C14698" s="38" t="s">
        <v>12444</v>
      </c>
      <c r="D14698" s="18">
        <v>2023</v>
      </c>
      <c r="E14698" s="18" t="s">
        <v>0</v>
      </c>
      <c r="F14698" s="41">
        <v>1</v>
      </c>
      <c r="G14698" s="41">
        <v>15</v>
      </c>
      <c r="H14698" s="41">
        <v>49.58</v>
      </c>
      <c r="I14698" s="221"/>
      <c r="J14698" s="221"/>
    </row>
    <row r="14699" spans="1:10" s="15" customFormat="1" ht="24" hidden="1" customHeight="1" outlineLevel="1" x14ac:dyDescent="0.25">
      <c r="A14699" s="18">
        <v>675</v>
      </c>
      <c r="B14699" s="4" t="s">
        <v>44</v>
      </c>
      <c r="C14699" s="38" t="s">
        <v>9121</v>
      </c>
      <c r="D14699" s="18">
        <v>2023</v>
      </c>
      <c r="E14699" s="18" t="s">
        <v>0</v>
      </c>
      <c r="F14699" s="41">
        <v>3</v>
      </c>
      <c r="G14699" s="41">
        <v>45</v>
      </c>
      <c r="H14699" s="41">
        <v>168.185</v>
      </c>
      <c r="I14699" s="221"/>
      <c r="J14699" s="221"/>
    </row>
    <row r="14700" spans="1:10" s="15" customFormat="1" ht="24" hidden="1" customHeight="1" outlineLevel="1" x14ac:dyDescent="0.25">
      <c r="A14700" s="18">
        <v>744</v>
      </c>
      <c r="B14700" s="4" t="s">
        <v>44</v>
      </c>
      <c r="C14700" s="38" t="s">
        <v>8388</v>
      </c>
      <c r="D14700" s="18">
        <v>2023</v>
      </c>
      <c r="E14700" s="18" t="s">
        <v>0</v>
      </c>
      <c r="F14700" s="41">
        <v>2</v>
      </c>
      <c r="G14700" s="41">
        <v>12</v>
      </c>
      <c r="H14700" s="41">
        <v>127.98099999999999</v>
      </c>
      <c r="I14700" s="221"/>
      <c r="J14700" s="221"/>
    </row>
    <row r="14701" spans="1:10" s="15" customFormat="1" ht="24" hidden="1" customHeight="1" outlineLevel="1" x14ac:dyDescent="0.25">
      <c r="A14701" s="18">
        <v>783</v>
      </c>
      <c r="B14701" s="4" t="s">
        <v>44</v>
      </c>
      <c r="C14701" s="38" t="s">
        <v>9122</v>
      </c>
      <c r="D14701" s="18">
        <v>2023</v>
      </c>
      <c r="E14701" s="18" t="s">
        <v>0</v>
      </c>
      <c r="F14701" s="41">
        <v>2</v>
      </c>
      <c r="G14701" s="41">
        <v>20</v>
      </c>
      <c r="H14701" s="41">
        <v>107.175</v>
      </c>
      <c r="I14701" s="221"/>
      <c r="J14701" s="221"/>
    </row>
    <row r="14702" spans="1:10" s="15" customFormat="1" ht="24" hidden="1" customHeight="1" outlineLevel="1" x14ac:dyDescent="0.25">
      <c r="A14702" s="18">
        <v>1037</v>
      </c>
      <c r="B14702" s="4" t="s">
        <v>44</v>
      </c>
      <c r="C14702" s="38" t="s">
        <v>8389</v>
      </c>
      <c r="D14702" s="18">
        <v>2023</v>
      </c>
      <c r="E14702" s="18" t="s">
        <v>0</v>
      </c>
      <c r="F14702" s="41">
        <v>1</v>
      </c>
      <c r="G14702" s="41">
        <v>15</v>
      </c>
      <c r="H14702" s="41">
        <v>59.936</v>
      </c>
      <c r="I14702" s="221"/>
      <c r="J14702" s="221"/>
    </row>
    <row r="14703" spans="1:10" s="15" customFormat="1" ht="24" hidden="1" customHeight="1" outlineLevel="1" x14ac:dyDescent="0.25">
      <c r="A14703" s="18">
        <v>1253</v>
      </c>
      <c r="B14703" s="4" t="s">
        <v>44</v>
      </c>
      <c r="C14703" s="38" t="s">
        <v>8390</v>
      </c>
      <c r="D14703" s="18">
        <v>2023</v>
      </c>
      <c r="E14703" s="18" t="s">
        <v>0</v>
      </c>
      <c r="F14703" s="41">
        <v>1</v>
      </c>
      <c r="G14703" s="41">
        <v>15</v>
      </c>
      <c r="H14703" s="41">
        <v>67.447999999999993</v>
      </c>
      <c r="I14703" s="221"/>
      <c r="J14703" s="221"/>
    </row>
    <row r="14704" spans="1:10" s="15" customFormat="1" ht="24" hidden="1" customHeight="1" outlineLevel="1" x14ac:dyDescent="0.25">
      <c r="A14704" s="18">
        <v>1381</v>
      </c>
      <c r="B14704" s="4" t="s">
        <v>44</v>
      </c>
      <c r="C14704" s="38" t="s">
        <v>8391</v>
      </c>
      <c r="D14704" s="18">
        <v>2023</v>
      </c>
      <c r="E14704" s="18" t="s">
        <v>0</v>
      </c>
      <c r="F14704" s="41">
        <v>1</v>
      </c>
      <c r="G14704" s="41">
        <v>6</v>
      </c>
      <c r="H14704" s="41">
        <v>61.192999999999998</v>
      </c>
      <c r="I14704" s="221"/>
      <c r="J14704" s="221"/>
    </row>
    <row r="14705" spans="1:10" s="15" customFormat="1" ht="24" hidden="1" customHeight="1" outlineLevel="1" x14ac:dyDescent="0.25">
      <c r="A14705" s="18">
        <v>1386</v>
      </c>
      <c r="B14705" s="4" t="s">
        <v>44</v>
      </c>
      <c r="C14705" s="38" t="s">
        <v>8392</v>
      </c>
      <c r="D14705" s="18">
        <v>2023</v>
      </c>
      <c r="E14705" s="18" t="s">
        <v>0</v>
      </c>
      <c r="F14705" s="41">
        <v>1</v>
      </c>
      <c r="G14705" s="41">
        <v>15</v>
      </c>
      <c r="H14705" s="41">
        <v>102.117</v>
      </c>
      <c r="I14705" s="221"/>
      <c r="J14705" s="221"/>
    </row>
    <row r="14706" spans="1:10" s="15" customFormat="1" ht="24" hidden="1" customHeight="1" outlineLevel="1" x14ac:dyDescent="0.25">
      <c r="A14706" s="18">
        <v>3283</v>
      </c>
      <c r="B14706" s="4" t="s">
        <v>44</v>
      </c>
      <c r="C14706" s="38" t="s">
        <v>8393</v>
      </c>
      <c r="D14706" s="18">
        <v>2023</v>
      </c>
      <c r="E14706" s="18" t="s">
        <v>0</v>
      </c>
      <c r="F14706" s="41">
        <v>1</v>
      </c>
      <c r="G14706" s="41">
        <v>9</v>
      </c>
      <c r="H14706" s="41">
        <v>74.864000000000004</v>
      </c>
      <c r="I14706" s="221"/>
      <c r="J14706" s="221"/>
    </row>
    <row r="14707" spans="1:10" s="15" customFormat="1" ht="24" hidden="1" customHeight="1" outlineLevel="1" x14ac:dyDescent="0.25">
      <c r="A14707" s="18">
        <v>4812</v>
      </c>
      <c r="B14707" s="4" t="s">
        <v>44</v>
      </c>
      <c r="C14707" s="38" t="s">
        <v>12445</v>
      </c>
      <c r="D14707" s="18">
        <v>2023</v>
      </c>
      <c r="E14707" s="18" t="s">
        <v>0</v>
      </c>
      <c r="F14707" s="41">
        <v>1</v>
      </c>
      <c r="G14707" s="41">
        <v>70</v>
      </c>
      <c r="H14707" s="41">
        <v>65.272000000000006</v>
      </c>
      <c r="I14707" s="221"/>
      <c r="J14707" s="221"/>
    </row>
    <row r="14708" spans="1:10" s="15" customFormat="1" ht="24" hidden="1" customHeight="1" outlineLevel="1" x14ac:dyDescent="0.25">
      <c r="A14708" s="18">
        <v>4813</v>
      </c>
      <c r="B14708" s="4" t="s">
        <v>44</v>
      </c>
      <c r="C14708" s="38" t="s">
        <v>12446</v>
      </c>
      <c r="D14708" s="18">
        <v>2023</v>
      </c>
      <c r="E14708" s="18" t="s">
        <v>0</v>
      </c>
      <c r="F14708" s="41">
        <v>1</v>
      </c>
      <c r="G14708" s="41">
        <v>15</v>
      </c>
      <c r="H14708" s="41">
        <v>38.255000000000003</v>
      </c>
      <c r="I14708" s="221"/>
      <c r="J14708" s="221"/>
    </row>
    <row r="14709" spans="1:10" s="15" customFormat="1" ht="24" hidden="1" customHeight="1" outlineLevel="1" x14ac:dyDescent="0.25">
      <c r="A14709" s="18">
        <v>4816</v>
      </c>
      <c r="B14709" s="4" t="s">
        <v>44</v>
      </c>
      <c r="C14709" s="38" t="s">
        <v>12447</v>
      </c>
      <c r="D14709" s="18">
        <v>2023</v>
      </c>
      <c r="E14709" s="18" t="s">
        <v>0</v>
      </c>
      <c r="F14709" s="41">
        <v>1</v>
      </c>
      <c r="G14709" s="41">
        <v>10</v>
      </c>
      <c r="H14709" s="41">
        <v>36.82</v>
      </c>
      <c r="I14709" s="221"/>
      <c r="J14709" s="221"/>
    </row>
    <row r="14710" spans="1:10" s="15" customFormat="1" ht="24" hidden="1" customHeight="1" outlineLevel="1" x14ac:dyDescent="0.25">
      <c r="A14710" s="18">
        <v>4817</v>
      </c>
      <c r="B14710" s="4" t="s">
        <v>44</v>
      </c>
      <c r="C14710" s="38" t="s">
        <v>12448</v>
      </c>
      <c r="D14710" s="18">
        <v>2023</v>
      </c>
      <c r="E14710" s="18" t="s">
        <v>0</v>
      </c>
      <c r="F14710" s="41">
        <v>1</v>
      </c>
      <c r="G14710" s="41">
        <v>15</v>
      </c>
      <c r="H14710" s="41">
        <v>40.115000000000002</v>
      </c>
      <c r="I14710" s="221"/>
      <c r="J14710" s="221"/>
    </row>
    <row r="14711" spans="1:10" s="15" customFormat="1" ht="24" hidden="1" customHeight="1" outlineLevel="1" x14ac:dyDescent="0.25">
      <c r="A14711" s="18">
        <v>4819</v>
      </c>
      <c r="B14711" s="4" t="s">
        <v>44</v>
      </c>
      <c r="C14711" s="38" t="s">
        <v>12449</v>
      </c>
      <c r="D14711" s="18">
        <v>2023</v>
      </c>
      <c r="E14711" s="18" t="s">
        <v>0</v>
      </c>
      <c r="F14711" s="41">
        <v>1</v>
      </c>
      <c r="G14711" s="41">
        <v>15</v>
      </c>
      <c r="H14711" s="41">
        <v>39.621000000000002</v>
      </c>
      <c r="I14711" s="221"/>
      <c r="J14711" s="221"/>
    </row>
    <row r="14712" spans="1:10" s="15" customFormat="1" ht="24" hidden="1" customHeight="1" outlineLevel="1" x14ac:dyDescent="0.25">
      <c r="A14712" s="18">
        <v>1630</v>
      </c>
      <c r="B14712" s="4" t="s">
        <v>44</v>
      </c>
      <c r="C14712" s="38" t="s">
        <v>8394</v>
      </c>
      <c r="D14712" s="18">
        <v>2023</v>
      </c>
      <c r="E14712" s="18" t="s">
        <v>0</v>
      </c>
      <c r="F14712" s="41">
        <v>1</v>
      </c>
      <c r="G14712" s="41">
        <v>15</v>
      </c>
      <c r="H14712" s="41">
        <v>49.673000000000002</v>
      </c>
      <c r="I14712" s="221"/>
      <c r="J14712" s="221"/>
    </row>
    <row r="14713" spans="1:10" s="15" customFormat="1" ht="24" hidden="1" customHeight="1" outlineLevel="1" x14ac:dyDescent="0.25">
      <c r="A14713" s="18">
        <v>4827</v>
      </c>
      <c r="B14713" s="4" t="s">
        <v>44</v>
      </c>
      <c r="C14713" s="38" t="s">
        <v>12450</v>
      </c>
      <c r="D14713" s="18">
        <v>2023</v>
      </c>
      <c r="E14713" s="18" t="s">
        <v>0</v>
      </c>
      <c r="F14713" s="41">
        <v>1</v>
      </c>
      <c r="G14713" s="41">
        <v>15</v>
      </c>
      <c r="H14713" s="41">
        <v>45.174999999999997</v>
      </c>
      <c r="I14713" s="221"/>
      <c r="J14713" s="221"/>
    </row>
    <row r="14714" spans="1:10" s="15" customFormat="1" ht="24" hidden="1" customHeight="1" outlineLevel="1" x14ac:dyDescent="0.25">
      <c r="A14714" s="18">
        <v>4825</v>
      </c>
      <c r="B14714" s="4" t="s">
        <v>44</v>
      </c>
      <c r="C14714" s="38" t="s">
        <v>8397</v>
      </c>
      <c r="D14714" s="18">
        <v>2023</v>
      </c>
      <c r="E14714" s="18" t="s">
        <v>0</v>
      </c>
      <c r="F14714" s="41">
        <v>1</v>
      </c>
      <c r="G14714" s="41">
        <v>7.5</v>
      </c>
      <c r="H14714" s="41">
        <v>83.584000000000003</v>
      </c>
      <c r="I14714" s="221"/>
      <c r="J14714" s="221"/>
    </row>
    <row r="14715" spans="1:10" s="15" customFormat="1" ht="24" hidden="1" customHeight="1" outlineLevel="1" x14ac:dyDescent="0.25">
      <c r="A14715" s="18">
        <v>2015</v>
      </c>
      <c r="B14715" s="4" t="s">
        <v>44</v>
      </c>
      <c r="C14715" s="38" t="s">
        <v>12451</v>
      </c>
      <c r="D14715" s="18">
        <v>2023</v>
      </c>
      <c r="E14715" s="18" t="s">
        <v>0</v>
      </c>
      <c r="F14715" s="41">
        <v>1</v>
      </c>
      <c r="G14715" s="41">
        <v>10</v>
      </c>
      <c r="H14715" s="41">
        <v>46.084000000000003</v>
      </c>
      <c r="I14715" s="221"/>
      <c r="J14715" s="221"/>
    </row>
    <row r="14716" spans="1:10" s="15" customFormat="1" ht="24" hidden="1" customHeight="1" outlineLevel="1" x14ac:dyDescent="0.25">
      <c r="A14716" s="18">
        <v>4829</v>
      </c>
      <c r="B14716" s="4" t="s">
        <v>44</v>
      </c>
      <c r="C14716" s="38" t="s">
        <v>12452</v>
      </c>
      <c r="D14716" s="18">
        <v>2023</v>
      </c>
      <c r="E14716" s="18" t="s">
        <v>0</v>
      </c>
      <c r="F14716" s="41">
        <v>1</v>
      </c>
      <c r="G14716" s="41">
        <v>15</v>
      </c>
      <c r="H14716" s="41">
        <v>46.084000000000003</v>
      </c>
      <c r="I14716" s="221"/>
      <c r="J14716" s="221"/>
    </row>
    <row r="14717" spans="1:10" s="15" customFormat="1" ht="24" hidden="1" customHeight="1" outlineLevel="1" x14ac:dyDescent="0.25">
      <c r="A14717" s="18">
        <v>4832</v>
      </c>
      <c r="B14717" s="4" t="s">
        <v>44</v>
      </c>
      <c r="C14717" s="38" t="s">
        <v>12453</v>
      </c>
      <c r="D14717" s="18">
        <v>2023</v>
      </c>
      <c r="E14717" s="18" t="s">
        <v>0</v>
      </c>
      <c r="F14717" s="41">
        <v>1</v>
      </c>
      <c r="G14717" s="41">
        <v>15</v>
      </c>
      <c r="H14717" s="41">
        <v>39.972000000000001</v>
      </c>
      <c r="I14717" s="221"/>
      <c r="J14717" s="221"/>
    </row>
    <row r="14718" spans="1:10" s="15" customFormat="1" ht="24" hidden="1" customHeight="1" outlineLevel="1" x14ac:dyDescent="0.25">
      <c r="A14718" s="18">
        <v>2862</v>
      </c>
      <c r="B14718" s="4" t="s">
        <v>44</v>
      </c>
      <c r="C14718" s="38" t="s">
        <v>8400</v>
      </c>
      <c r="D14718" s="18">
        <v>2023</v>
      </c>
      <c r="E14718" s="18" t="s">
        <v>0</v>
      </c>
      <c r="F14718" s="41">
        <v>1</v>
      </c>
      <c r="G14718" s="41">
        <v>15</v>
      </c>
      <c r="H14718" s="41">
        <v>54.685000000000002</v>
      </c>
      <c r="I14718" s="221"/>
      <c r="J14718" s="221"/>
    </row>
    <row r="14719" spans="1:10" s="15" customFormat="1" ht="24" hidden="1" customHeight="1" outlineLevel="1" x14ac:dyDescent="0.25">
      <c r="A14719" s="18">
        <v>4834</v>
      </c>
      <c r="B14719" s="4" t="s">
        <v>44</v>
      </c>
      <c r="C14719" s="38" t="s">
        <v>12454</v>
      </c>
      <c r="D14719" s="18">
        <v>2023</v>
      </c>
      <c r="E14719" s="18" t="s">
        <v>0</v>
      </c>
      <c r="F14719" s="41">
        <v>1</v>
      </c>
      <c r="G14719" s="41">
        <v>11.5</v>
      </c>
      <c r="H14719" s="41">
        <v>39.975999999999999</v>
      </c>
      <c r="I14719" s="221"/>
      <c r="J14719" s="221"/>
    </row>
    <row r="14720" spans="1:10" s="15" customFormat="1" ht="24" hidden="1" customHeight="1" outlineLevel="1" x14ac:dyDescent="0.25">
      <c r="A14720" s="18">
        <v>4835</v>
      </c>
      <c r="B14720" s="4" t="s">
        <v>44</v>
      </c>
      <c r="C14720" s="38" t="s">
        <v>12455</v>
      </c>
      <c r="D14720" s="18">
        <v>2023</v>
      </c>
      <c r="E14720" s="18" t="s">
        <v>0</v>
      </c>
      <c r="F14720" s="41">
        <v>1</v>
      </c>
      <c r="G14720" s="41">
        <v>15</v>
      </c>
      <c r="H14720" s="41">
        <v>36.936</v>
      </c>
      <c r="I14720" s="221"/>
      <c r="J14720" s="221"/>
    </row>
    <row r="14721" spans="1:10" s="15" customFormat="1" ht="24" hidden="1" customHeight="1" outlineLevel="1" x14ac:dyDescent="0.25">
      <c r="A14721" s="18">
        <v>4839</v>
      </c>
      <c r="B14721" s="4" t="s">
        <v>44</v>
      </c>
      <c r="C14721" s="38" t="s">
        <v>12456</v>
      </c>
      <c r="D14721" s="18">
        <v>2023</v>
      </c>
      <c r="E14721" s="18" t="s">
        <v>0</v>
      </c>
      <c r="F14721" s="41">
        <v>1</v>
      </c>
      <c r="G14721" s="41">
        <v>7.5</v>
      </c>
      <c r="H14721" s="41">
        <v>38.052</v>
      </c>
      <c r="I14721" s="221"/>
      <c r="J14721" s="221"/>
    </row>
    <row r="14722" spans="1:10" s="15" customFormat="1" ht="24" hidden="1" customHeight="1" outlineLevel="1" x14ac:dyDescent="0.25">
      <c r="A14722" s="18">
        <v>4840</v>
      </c>
      <c r="B14722" s="4" t="s">
        <v>44</v>
      </c>
      <c r="C14722" s="38" t="s">
        <v>12457</v>
      </c>
      <c r="D14722" s="18">
        <v>2023</v>
      </c>
      <c r="E14722" s="18" t="s">
        <v>0</v>
      </c>
      <c r="F14722" s="41">
        <v>1</v>
      </c>
      <c r="G14722" s="41">
        <v>15</v>
      </c>
      <c r="H14722" s="41">
        <v>36.584000000000003</v>
      </c>
      <c r="I14722" s="221"/>
      <c r="J14722" s="221"/>
    </row>
    <row r="14723" spans="1:10" s="15" customFormat="1" ht="24" hidden="1" customHeight="1" outlineLevel="1" x14ac:dyDescent="0.25">
      <c r="A14723" s="18">
        <v>3148</v>
      </c>
      <c r="B14723" s="4" t="s">
        <v>44</v>
      </c>
      <c r="C14723" s="38" t="s">
        <v>8401</v>
      </c>
      <c r="D14723" s="18">
        <v>2023</v>
      </c>
      <c r="E14723" s="18" t="s">
        <v>0</v>
      </c>
      <c r="F14723" s="41">
        <v>1</v>
      </c>
      <c r="G14723" s="41">
        <v>30</v>
      </c>
      <c r="H14723" s="41">
        <v>81.537999999999997</v>
      </c>
      <c r="I14723" s="221"/>
      <c r="J14723" s="221"/>
    </row>
    <row r="14724" spans="1:10" s="15" customFormat="1" ht="24" hidden="1" customHeight="1" outlineLevel="1" x14ac:dyDescent="0.25">
      <c r="A14724" s="18">
        <v>4841</v>
      </c>
      <c r="B14724" s="4" t="s">
        <v>44</v>
      </c>
      <c r="C14724" s="38" t="s">
        <v>12458</v>
      </c>
      <c r="D14724" s="18">
        <v>2023</v>
      </c>
      <c r="E14724" s="18" t="s">
        <v>0</v>
      </c>
      <c r="F14724" s="41">
        <v>1</v>
      </c>
      <c r="G14724" s="41">
        <v>45</v>
      </c>
      <c r="H14724" s="41">
        <v>36.210999999999999</v>
      </c>
      <c r="I14724" s="221"/>
      <c r="J14724" s="221"/>
    </row>
    <row r="14725" spans="1:10" s="15" customFormat="1" ht="24" hidden="1" customHeight="1" outlineLevel="1" x14ac:dyDescent="0.25">
      <c r="A14725" s="18">
        <v>4844</v>
      </c>
      <c r="B14725" s="4" t="s">
        <v>44</v>
      </c>
      <c r="C14725" s="38" t="s">
        <v>12459</v>
      </c>
      <c r="D14725" s="18">
        <v>2023</v>
      </c>
      <c r="E14725" s="18" t="s">
        <v>0</v>
      </c>
      <c r="F14725" s="41">
        <v>1</v>
      </c>
      <c r="G14725" s="41">
        <v>15</v>
      </c>
      <c r="H14725" s="41">
        <v>39.329000000000001</v>
      </c>
      <c r="I14725" s="221"/>
      <c r="J14725" s="221"/>
    </row>
    <row r="14726" spans="1:10" s="15" customFormat="1" ht="24" hidden="1" customHeight="1" outlineLevel="1" x14ac:dyDescent="0.25">
      <c r="A14726" s="18">
        <v>4846</v>
      </c>
      <c r="B14726" s="4" t="s">
        <v>44</v>
      </c>
      <c r="C14726" s="38" t="s">
        <v>8402</v>
      </c>
      <c r="D14726" s="18">
        <v>2023</v>
      </c>
      <c r="E14726" s="18" t="s">
        <v>0</v>
      </c>
      <c r="F14726" s="41">
        <v>1</v>
      </c>
      <c r="G14726" s="41">
        <v>15</v>
      </c>
      <c r="H14726" s="41">
        <v>83.727000000000004</v>
      </c>
      <c r="I14726" s="221"/>
      <c r="J14726" s="221"/>
    </row>
    <row r="14727" spans="1:10" s="15" customFormat="1" ht="24" hidden="1" customHeight="1" outlineLevel="1" x14ac:dyDescent="0.25">
      <c r="A14727" s="18">
        <v>2878</v>
      </c>
      <c r="B14727" s="4" t="s">
        <v>44</v>
      </c>
      <c r="C14727" s="38" t="s">
        <v>8403</v>
      </c>
      <c r="D14727" s="18">
        <v>2023</v>
      </c>
      <c r="E14727" s="18" t="s">
        <v>0</v>
      </c>
      <c r="F14727" s="41">
        <v>1</v>
      </c>
      <c r="G14727" s="41">
        <v>15</v>
      </c>
      <c r="H14727" s="41">
        <v>56.481999999999999</v>
      </c>
      <c r="I14727" s="221"/>
      <c r="J14727" s="221"/>
    </row>
    <row r="14728" spans="1:10" s="15" customFormat="1" ht="24" hidden="1" customHeight="1" outlineLevel="1" x14ac:dyDescent="0.25">
      <c r="A14728" s="18">
        <v>4848</v>
      </c>
      <c r="B14728" s="4" t="s">
        <v>44</v>
      </c>
      <c r="C14728" s="38" t="s">
        <v>12460</v>
      </c>
      <c r="D14728" s="18">
        <v>2023</v>
      </c>
      <c r="E14728" s="18" t="s">
        <v>0</v>
      </c>
      <c r="F14728" s="41">
        <v>1</v>
      </c>
      <c r="G14728" s="41">
        <v>15</v>
      </c>
      <c r="H14728" s="41">
        <v>47.320999999999998</v>
      </c>
      <c r="I14728" s="221"/>
      <c r="J14728" s="221"/>
    </row>
    <row r="14729" spans="1:10" s="15" customFormat="1" ht="24" hidden="1" customHeight="1" outlineLevel="1" x14ac:dyDescent="0.25">
      <c r="A14729" s="18">
        <v>4849</v>
      </c>
      <c r="B14729" s="4" t="s">
        <v>44</v>
      </c>
      <c r="C14729" s="38" t="s">
        <v>12461</v>
      </c>
      <c r="D14729" s="18">
        <v>2023</v>
      </c>
      <c r="E14729" s="18" t="s">
        <v>0</v>
      </c>
      <c r="F14729" s="41">
        <v>1</v>
      </c>
      <c r="G14729" s="41">
        <v>15</v>
      </c>
      <c r="H14729" s="41">
        <v>36.584000000000003</v>
      </c>
      <c r="I14729" s="221"/>
      <c r="J14729" s="221"/>
    </row>
    <row r="14730" spans="1:10" s="15" customFormat="1" ht="24" hidden="1" customHeight="1" outlineLevel="1" x14ac:dyDescent="0.25">
      <c r="A14730" s="18">
        <v>4852</v>
      </c>
      <c r="B14730" s="4" t="s">
        <v>44</v>
      </c>
      <c r="C14730" s="38" t="s">
        <v>12462</v>
      </c>
      <c r="D14730" s="18">
        <v>2023</v>
      </c>
      <c r="E14730" s="18" t="s">
        <v>0</v>
      </c>
      <c r="F14730" s="41">
        <v>1</v>
      </c>
      <c r="G14730" s="41">
        <v>15</v>
      </c>
      <c r="H14730" s="41">
        <v>35.223999999999997</v>
      </c>
      <c r="I14730" s="221"/>
      <c r="J14730" s="221"/>
    </row>
    <row r="14731" spans="1:10" s="15" customFormat="1" ht="24" hidden="1" customHeight="1" outlineLevel="1" x14ac:dyDescent="0.25">
      <c r="A14731" s="18">
        <v>4854</v>
      </c>
      <c r="B14731" s="4" t="s">
        <v>44</v>
      </c>
      <c r="C14731" s="38" t="s">
        <v>12463</v>
      </c>
      <c r="D14731" s="18">
        <v>2023</v>
      </c>
      <c r="E14731" s="18" t="s">
        <v>0</v>
      </c>
      <c r="F14731" s="41">
        <v>1</v>
      </c>
      <c r="G14731" s="41">
        <v>15</v>
      </c>
      <c r="H14731" s="41">
        <v>38.359000000000002</v>
      </c>
      <c r="I14731" s="221"/>
      <c r="J14731" s="221"/>
    </row>
    <row r="14732" spans="1:10" s="15" customFormat="1" ht="24" hidden="1" customHeight="1" outlineLevel="1" x14ac:dyDescent="0.25">
      <c r="A14732" s="18">
        <v>4855</v>
      </c>
      <c r="B14732" s="4" t="s">
        <v>44</v>
      </c>
      <c r="C14732" s="38" t="s">
        <v>12464</v>
      </c>
      <c r="D14732" s="18">
        <v>2023</v>
      </c>
      <c r="E14732" s="18" t="s">
        <v>0</v>
      </c>
      <c r="F14732" s="41">
        <v>1</v>
      </c>
      <c r="G14732" s="41">
        <v>7.5</v>
      </c>
      <c r="H14732" s="41">
        <v>36.174999999999997</v>
      </c>
      <c r="I14732" s="221"/>
      <c r="J14732" s="221"/>
    </row>
    <row r="14733" spans="1:10" s="15" customFormat="1" ht="24" hidden="1" customHeight="1" outlineLevel="1" x14ac:dyDescent="0.25">
      <c r="A14733" s="18">
        <v>4856</v>
      </c>
      <c r="B14733" s="4" t="s">
        <v>44</v>
      </c>
      <c r="C14733" s="38" t="s">
        <v>12465</v>
      </c>
      <c r="D14733" s="18">
        <v>2023</v>
      </c>
      <c r="E14733" s="18" t="s">
        <v>0</v>
      </c>
      <c r="F14733" s="41">
        <v>1</v>
      </c>
      <c r="G14733" s="41">
        <v>7.5</v>
      </c>
      <c r="H14733" s="41">
        <v>36.174999999999997</v>
      </c>
      <c r="I14733" s="221"/>
      <c r="J14733" s="221"/>
    </row>
    <row r="14734" spans="1:10" s="15" customFormat="1" ht="24" hidden="1" customHeight="1" outlineLevel="1" x14ac:dyDescent="0.25">
      <c r="A14734" s="18">
        <v>4857</v>
      </c>
      <c r="B14734" s="4" t="s">
        <v>44</v>
      </c>
      <c r="C14734" s="38" t="s">
        <v>12466</v>
      </c>
      <c r="D14734" s="18">
        <v>2023</v>
      </c>
      <c r="E14734" s="18" t="s">
        <v>0</v>
      </c>
      <c r="F14734" s="41">
        <v>1</v>
      </c>
      <c r="G14734" s="41">
        <v>7.5</v>
      </c>
      <c r="H14734" s="41">
        <v>36.174999999999997</v>
      </c>
      <c r="I14734" s="221"/>
      <c r="J14734" s="221"/>
    </row>
    <row r="14735" spans="1:10" s="15" customFormat="1" ht="24" hidden="1" customHeight="1" outlineLevel="1" x14ac:dyDescent="0.25">
      <c r="A14735" s="18">
        <v>4859</v>
      </c>
      <c r="B14735" s="4" t="s">
        <v>44</v>
      </c>
      <c r="C14735" s="38" t="s">
        <v>8404</v>
      </c>
      <c r="D14735" s="18">
        <v>2023</v>
      </c>
      <c r="E14735" s="18" t="s">
        <v>0</v>
      </c>
      <c r="F14735" s="41">
        <v>1</v>
      </c>
      <c r="G14735" s="41">
        <v>7.5</v>
      </c>
      <c r="H14735" s="41">
        <v>76.787000000000006</v>
      </c>
      <c r="I14735" s="221"/>
      <c r="J14735" s="221"/>
    </row>
    <row r="14736" spans="1:10" s="15" customFormat="1" ht="24" hidden="1" customHeight="1" outlineLevel="1" x14ac:dyDescent="0.25">
      <c r="A14736" s="18">
        <v>4860</v>
      </c>
      <c r="B14736" s="4" t="s">
        <v>44</v>
      </c>
      <c r="C14736" s="38" t="s">
        <v>8405</v>
      </c>
      <c r="D14736" s="18">
        <v>2023</v>
      </c>
      <c r="E14736" s="18" t="s">
        <v>0</v>
      </c>
      <c r="F14736" s="41">
        <v>1</v>
      </c>
      <c r="G14736" s="41">
        <v>7.5</v>
      </c>
      <c r="H14736" s="41">
        <v>73.534999999999997</v>
      </c>
      <c r="I14736" s="221"/>
      <c r="J14736" s="221"/>
    </row>
    <row r="14737" spans="1:10" s="15" customFormat="1" ht="24" hidden="1" customHeight="1" outlineLevel="1" x14ac:dyDescent="0.25">
      <c r="A14737" s="18">
        <v>2339</v>
      </c>
      <c r="B14737" s="4" t="s">
        <v>44</v>
      </c>
      <c r="C14737" s="38" t="s">
        <v>12467</v>
      </c>
      <c r="D14737" s="18">
        <v>2023</v>
      </c>
      <c r="E14737" s="18" t="s">
        <v>0</v>
      </c>
      <c r="F14737" s="41">
        <v>1</v>
      </c>
      <c r="G14737" s="41">
        <v>3</v>
      </c>
      <c r="H14737" s="41">
        <v>47.258000000000003</v>
      </c>
      <c r="I14737" s="221"/>
      <c r="J14737" s="221"/>
    </row>
    <row r="14738" spans="1:10" s="15" customFormat="1" ht="24" hidden="1" customHeight="1" outlineLevel="1" x14ac:dyDescent="0.25">
      <c r="A14738" s="18">
        <v>4863</v>
      </c>
      <c r="B14738" s="4" t="s">
        <v>44</v>
      </c>
      <c r="C14738" s="38" t="s">
        <v>12468</v>
      </c>
      <c r="D14738" s="18">
        <v>2023</v>
      </c>
      <c r="E14738" s="18" t="s">
        <v>0</v>
      </c>
      <c r="F14738" s="41">
        <v>1</v>
      </c>
      <c r="G14738" s="41">
        <v>15</v>
      </c>
      <c r="H14738" s="41">
        <v>36.207000000000001</v>
      </c>
      <c r="I14738" s="221"/>
      <c r="J14738" s="221"/>
    </row>
    <row r="14739" spans="1:10" s="15" customFormat="1" ht="24" hidden="1" customHeight="1" outlineLevel="1" x14ac:dyDescent="0.25">
      <c r="A14739" s="18">
        <v>4864</v>
      </c>
      <c r="B14739" s="4" t="s">
        <v>44</v>
      </c>
      <c r="C14739" s="38" t="s">
        <v>12469</v>
      </c>
      <c r="D14739" s="18">
        <v>2023</v>
      </c>
      <c r="E14739" s="18" t="s">
        <v>0</v>
      </c>
      <c r="F14739" s="41">
        <v>1</v>
      </c>
      <c r="G14739" s="41">
        <v>15</v>
      </c>
      <c r="H14739" s="41">
        <v>35.430999999999997</v>
      </c>
      <c r="I14739" s="221"/>
      <c r="J14739" s="221"/>
    </row>
    <row r="14740" spans="1:10" s="15" customFormat="1" ht="24" hidden="1" customHeight="1" outlineLevel="1" x14ac:dyDescent="0.25">
      <c r="A14740" s="18">
        <v>4865</v>
      </c>
      <c r="B14740" s="4" t="s">
        <v>44</v>
      </c>
      <c r="C14740" s="38" t="s">
        <v>12470</v>
      </c>
      <c r="D14740" s="18">
        <v>2023</v>
      </c>
      <c r="E14740" s="18" t="s">
        <v>0</v>
      </c>
      <c r="F14740" s="41">
        <v>1</v>
      </c>
      <c r="G14740" s="41">
        <v>10</v>
      </c>
      <c r="H14740" s="41">
        <v>51.31</v>
      </c>
      <c r="I14740" s="221"/>
      <c r="J14740" s="221"/>
    </row>
    <row r="14741" spans="1:10" s="15" customFormat="1" ht="24" hidden="1" customHeight="1" outlineLevel="1" x14ac:dyDescent="0.25">
      <c r="A14741" s="18">
        <v>4866</v>
      </c>
      <c r="B14741" s="4" t="s">
        <v>44</v>
      </c>
      <c r="C14741" s="38" t="s">
        <v>12471</v>
      </c>
      <c r="D14741" s="18">
        <v>2023</v>
      </c>
      <c r="E14741" s="18" t="s">
        <v>0</v>
      </c>
      <c r="F14741" s="41">
        <v>1</v>
      </c>
      <c r="G14741" s="41">
        <v>15</v>
      </c>
      <c r="H14741" s="41">
        <v>37.661000000000001</v>
      </c>
      <c r="I14741" s="221"/>
      <c r="J14741" s="221"/>
    </row>
    <row r="14742" spans="1:10" s="15" customFormat="1" ht="24" hidden="1" customHeight="1" outlineLevel="1" x14ac:dyDescent="0.25">
      <c r="A14742" s="18">
        <v>4867</v>
      </c>
      <c r="B14742" s="4" t="s">
        <v>44</v>
      </c>
      <c r="C14742" s="38" t="s">
        <v>12472</v>
      </c>
      <c r="D14742" s="18">
        <v>2023</v>
      </c>
      <c r="E14742" s="18" t="s">
        <v>0</v>
      </c>
      <c r="F14742" s="41">
        <v>1</v>
      </c>
      <c r="G14742" s="41">
        <v>15</v>
      </c>
      <c r="H14742" s="41">
        <v>20.946999999999999</v>
      </c>
      <c r="I14742" s="221"/>
      <c r="J14742" s="221"/>
    </row>
    <row r="14743" spans="1:10" s="15" customFormat="1" ht="24" hidden="1" customHeight="1" outlineLevel="1" x14ac:dyDescent="0.25">
      <c r="A14743" s="18">
        <v>2399</v>
      </c>
      <c r="B14743" s="4" t="s">
        <v>44</v>
      </c>
      <c r="C14743" s="38" t="s">
        <v>8406</v>
      </c>
      <c r="D14743" s="18">
        <v>2023</v>
      </c>
      <c r="E14743" s="18" t="s">
        <v>0</v>
      </c>
      <c r="F14743" s="41">
        <v>1</v>
      </c>
      <c r="G14743" s="41">
        <v>15</v>
      </c>
      <c r="H14743" s="41">
        <v>74.427999999999997</v>
      </c>
      <c r="I14743" s="221"/>
      <c r="J14743" s="221"/>
    </row>
    <row r="14744" spans="1:10" s="15" customFormat="1" ht="24" hidden="1" customHeight="1" outlineLevel="1" x14ac:dyDescent="0.25">
      <c r="A14744" s="18">
        <v>4870</v>
      </c>
      <c r="B14744" s="4" t="s">
        <v>44</v>
      </c>
      <c r="C14744" s="38" t="s">
        <v>12473</v>
      </c>
      <c r="D14744" s="18">
        <v>2023</v>
      </c>
      <c r="E14744" s="18" t="s">
        <v>0</v>
      </c>
      <c r="F14744" s="41">
        <v>1</v>
      </c>
      <c r="G14744" s="41">
        <v>15</v>
      </c>
      <c r="H14744" s="41">
        <v>37.53</v>
      </c>
      <c r="I14744" s="221"/>
      <c r="J14744" s="221"/>
    </row>
    <row r="14745" spans="1:10" s="15" customFormat="1" ht="24" hidden="1" customHeight="1" outlineLevel="1" x14ac:dyDescent="0.25">
      <c r="A14745" s="18">
        <v>4872</v>
      </c>
      <c r="B14745" s="4" t="s">
        <v>44</v>
      </c>
      <c r="C14745" s="38" t="s">
        <v>12474</v>
      </c>
      <c r="D14745" s="18">
        <v>2023</v>
      </c>
      <c r="E14745" s="18" t="s">
        <v>0</v>
      </c>
      <c r="F14745" s="41">
        <v>1</v>
      </c>
      <c r="G14745" s="41">
        <v>15</v>
      </c>
      <c r="H14745" s="41">
        <v>48.061</v>
      </c>
      <c r="I14745" s="221"/>
      <c r="J14745" s="221"/>
    </row>
    <row r="14746" spans="1:10" s="15" customFormat="1" ht="24" hidden="1" customHeight="1" outlineLevel="1" x14ac:dyDescent="0.25">
      <c r="A14746" s="18">
        <v>4874</v>
      </c>
      <c r="B14746" s="4" t="s">
        <v>44</v>
      </c>
      <c r="C14746" s="38" t="s">
        <v>12475</v>
      </c>
      <c r="D14746" s="18">
        <v>2023</v>
      </c>
      <c r="E14746" s="18" t="s">
        <v>0</v>
      </c>
      <c r="F14746" s="41">
        <v>1</v>
      </c>
      <c r="G14746" s="41">
        <v>15</v>
      </c>
      <c r="H14746" s="41">
        <v>42.213000000000001</v>
      </c>
      <c r="I14746" s="221"/>
      <c r="J14746" s="221"/>
    </row>
    <row r="14747" spans="1:10" s="15" customFormat="1" ht="24" hidden="1" customHeight="1" outlineLevel="1" x14ac:dyDescent="0.25">
      <c r="A14747" s="18">
        <v>4875</v>
      </c>
      <c r="B14747" s="4" t="s">
        <v>44</v>
      </c>
      <c r="C14747" s="38" t="s">
        <v>12476</v>
      </c>
      <c r="D14747" s="18">
        <v>2023</v>
      </c>
      <c r="E14747" s="18" t="s">
        <v>0</v>
      </c>
      <c r="F14747" s="41">
        <v>1</v>
      </c>
      <c r="G14747" s="41">
        <v>15</v>
      </c>
      <c r="H14747" s="41">
        <v>41.005000000000003</v>
      </c>
      <c r="I14747" s="221"/>
      <c r="J14747" s="221"/>
    </row>
    <row r="14748" spans="1:10" s="15" customFormat="1" ht="24" hidden="1" customHeight="1" outlineLevel="1" x14ac:dyDescent="0.25">
      <c r="A14748" s="18">
        <v>4877</v>
      </c>
      <c r="B14748" s="4" t="s">
        <v>44</v>
      </c>
      <c r="C14748" s="38" t="s">
        <v>12477</v>
      </c>
      <c r="D14748" s="18">
        <v>2023</v>
      </c>
      <c r="E14748" s="18" t="s">
        <v>0</v>
      </c>
      <c r="F14748" s="41">
        <v>1</v>
      </c>
      <c r="G14748" s="41">
        <v>15</v>
      </c>
      <c r="H14748" s="41">
        <v>40.799999999999997</v>
      </c>
      <c r="I14748" s="221"/>
      <c r="J14748" s="221"/>
    </row>
    <row r="14749" spans="1:10" s="15" customFormat="1" ht="24" hidden="1" customHeight="1" outlineLevel="1" x14ac:dyDescent="0.25">
      <c r="A14749" s="18">
        <v>4878</v>
      </c>
      <c r="B14749" s="4" t="s">
        <v>44</v>
      </c>
      <c r="C14749" s="38" t="s">
        <v>12478</v>
      </c>
      <c r="D14749" s="18">
        <v>2023</v>
      </c>
      <c r="E14749" s="18" t="s">
        <v>0</v>
      </c>
      <c r="F14749" s="41">
        <v>1</v>
      </c>
      <c r="G14749" s="41">
        <v>13</v>
      </c>
      <c r="H14749" s="41">
        <v>45.978999999999999</v>
      </c>
      <c r="I14749" s="221"/>
      <c r="J14749" s="221"/>
    </row>
    <row r="14750" spans="1:10" s="15" customFormat="1" ht="24" hidden="1" customHeight="1" outlineLevel="1" x14ac:dyDescent="0.25">
      <c r="A14750" s="18">
        <v>4879</v>
      </c>
      <c r="B14750" s="4" t="s">
        <v>44</v>
      </c>
      <c r="C14750" s="38" t="s">
        <v>12479</v>
      </c>
      <c r="D14750" s="18">
        <v>2023</v>
      </c>
      <c r="E14750" s="18" t="s">
        <v>0</v>
      </c>
      <c r="F14750" s="41">
        <v>1</v>
      </c>
      <c r="G14750" s="41">
        <v>15</v>
      </c>
      <c r="H14750" s="41">
        <v>40.799999999999997</v>
      </c>
      <c r="I14750" s="221"/>
      <c r="J14750" s="221"/>
    </row>
    <row r="14751" spans="1:10" s="15" customFormat="1" ht="24" hidden="1" customHeight="1" outlineLevel="1" x14ac:dyDescent="0.25">
      <c r="A14751" s="18">
        <v>4880</v>
      </c>
      <c r="B14751" s="4" t="s">
        <v>44</v>
      </c>
      <c r="C14751" s="38" t="s">
        <v>8407</v>
      </c>
      <c r="D14751" s="18">
        <v>2023</v>
      </c>
      <c r="E14751" s="18" t="s">
        <v>0</v>
      </c>
      <c r="F14751" s="41">
        <v>1</v>
      </c>
      <c r="G14751" s="41">
        <v>7.5</v>
      </c>
      <c r="H14751" s="41">
        <v>101.56100000000001</v>
      </c>
      <c r="I14751" s="221"/>
      <c r="J14751" s="221"/>
    </row>
    <row r="14752" spans="1:10" s="15" customFormat="1" ht="24" hidden="1" customHeight="1" outlineLevel="1" x14ac:dyDescent="0.25">
      <c r="A14752" s="18">
        <v>4881</v>
      </c>
      <c r="B14752" s="4" t="s">
        <v>44</v>
      </c>
      <c r="C14752" s="38" t="s">
        <v>12480</v>
      </c>
      <c r="D14752" s="18">
        <v>2023</v>
      </c>
      <c r="E14752" s="18" t="s">
        <v>0</v>
      </c>
      <c r="F14752" s="41">
        <v>1</v>
      </c>
      <c r="G14752" s="41">
        <v>7.5</v>
      </c>
      <c r="H14752" s="41">
        <v>50.404000000000003</v>
      </c>
      <c r="I14752" s="221"/>
      <c r="J14752" s="221"/>
    </row>
    <row r="14753" spans="1:10" s="15" customFormat="1" ht="24" hidden="1" customHeight="1" outlineLevel="1" x14ac:dyDescent="0.25">
      <c r="A14753" s="18">
        <v>4882</v>
      </c>
      <c r="B14753" s="4" t="s">
        <v>44</v>
      </c>
      <c r="C14753" s="38" t="s">
        <v>12481</v>
      </c>
      <c r="D14753" s="18">
        <v>2023</v>
      </c>
      <c r="E14753" s="18" t="s">
        <v>0</v>
      </c>
      <c r="F14753" s="41">
        <v>1</v>
      </c>
      <c r="G14753" s="41">
        <v>8.8000000000000007</v>
      </c>
      <c r="H14753" s="41">
        <v>39.058999999999997</v>
      </c>
      <c r="I14753" s="221"/>
      <c r="J14753" s="221"/>
    </row>
    <row r="14754" spans="1:10" s="15" customFormat="1" ht="24" hidden="1" customHeight="1" outlineLevel="1" x14ac:dyDescent="0.25">
      <c r="A14754" s="18">
        <v>4883</v>
      </c>
      <c r="B14754" s="4" t="s">
        <v>44</v>
      </c>
      <c r="C14754" s="38" t="s">
        <v>12482</v>
      </c>
      <c r="D14754" s="18">
        <v>2023</v>
      </c>
      <c r="E14754" s="18" t="s">
        <v>0</v>
      </c>
      <c r="F14754" s="41">
        <v>1</v>
      </c>
      <c r="G14754" s="41">
        <v>7</v>
      </c>
      <c r="H14754" s="41">
        <v>39.058999999999997</v>
      </c>
      <c r="I14754" s="221"/>
      <c r="J14754" s="221"/>
    </row>
    <row r="14755" spans="1:10" s="15" customFormat="1" ht="24" hidden="1" customHeight="1" outlineLevel="1" x14ac:dyDescent="0.25">
      <c r="A14755" s="18">
        <v>2652</v>
      </c>
      <c r="B14755" s="4" t="s">
        <v>44</v>
      </c>
      <c r="C14755" s="38" t="s">
        <v>12483</v>
      </c>
      <c r="D14755" s="18">
        <v>2023</v>
      </c>
      <c r="E14755" s="18" t="s">
        <v>0</v>
      </c>
      <c r="F14755" s="41">
        <v>1</v>
      </c>
      <c r="G14755" s="41">
        <v>15</v>
      </c>
      <c r="H14755" s="41">
        <v>41.917999999999999</v>
      </c>
      <c r="I14755" s="221"/>
      <c r="J14755" s="221"/>
    </row>
    <row r="14756" spans="1:10" s="15" customFormat="1" ht="24" hidden="1" customHeight="1" outlineLevel="1" x14ac:dyDescent="0.25">
      <c r="A14756" s="18">
        <v>4884</v>
      </c>
      <c r="B14756" s="4" t="s">
        <v>44</v>
      </c>
      <c r="C14756" s="38" t="s">
        <v>12484</v>
      </c>
      <c r="D14756" s="18">
        <v>2023</v>
      </c>
      <c r="E14756" s="18" t="s">
        <v>0</v>
      </c>
      <c r="F14756" s="41">
        <v>1</v>
      </c>
      <c r="G14756" s="41">
        <v>15</v>
      </c>
      <c r="H14756" s="41">
        <v>38.017000000000003</v>
      </c>
      <c r="I14756" s="221"/>
      <c r="J14756" s="221"/>
    </row>
    <row r="14757" spans="1:10" s="15" customFormat="1" ht="24" hidden="1" customHeight="1" outlineLevel="1" x14ac:dyDescent="0.25">
      <c r="A14757" s="18">
        <v>4887</v>
      </c>
      <c r="B14757" s="4" t="s">
        <v>44</v>
      </c>
      <c r="C14757" s="38" t="s">
        <v>12485</v>
      </c>
      <c r="D14757" s="18">
        <v>2023</v>
      </c>
      <c r="E14757" s="18" t="s">
        <v>0</v>
      </c>
      <c r="F14757" s="41">
        <v>1</v>
      </c>
      <c r="G14757" s="41">
        <v>15</v>
      </c>
      <c r="H14757" s="41">
        <v>38.42</v>
      </c>
      <c r="I14757" s="221"/>
      <c r="J14757" s="221"/>
    </row>
    <row r="14758" spans="1:10" s="15" customFormat="1" ht="24" hidden="1" customHeight="1" outlineLevel="1" x14ac:dyDescent="0.25">
      <c r="A14758" s="18">
        <v>4888</v>
      </c>
      <c r="B14758" s="4" t="s">
        <v>44</v>
      </c>
      <c r="C14758" s="38" t="s">
        <v>8408</v>
      </c>
      <c r="D14758" s="18">
        <v>2023</v>
      </c>
      <c r="E14758" s="18" t="s">
        <v>0</v>
      </c>
      <c r="F14758" s="41">
        <v>1</v>
      </c>
      <c r="G14758" s="41">
        <v>10</v>
      </c>
      <c r="H14758" s="41">
        <v>82.721000000000004</v>
      </c>
      <c r="I14758" s="221"/>
      <c r="J14758" s="221"/>
    </row>
    <row r="14759" spans="1:10" s="15" customFormat="1" ht="24" hidden="1" customHeight="1" outlineLevel="1" x14ac:dyDescent="0.25">
      <c r="A14759" s="18">
        <v>2675</v>
      </c>
      <c r="B14759" s="4" t="s">
        <v>44</v>
      </c>
      <c r="C14759" s="38" t="s">
        <v>12486</v>
      </c>
      <c r="D14759" s="18">
        <v>2023</v>
      </c>
      <c r="E14759" s="18" t="s">
        <v>0</v>
      </c>
      <c r="F14759" s="41">
        <v>1</v>
      </c>
      <c r="G14759" s="41">
        <v>8</v>
      </c>
      <c r="H14759" s="41">
        <v>44.789000000000001</v>
      </c>
      <c r="I14759" s="221"/>
      <c r="J14759" s="221"/>
    </row>
    <row r="14760" spans="1:10" s="15" customFormat="1" ht="24" hidden="1" customHeight="1" outlineLevel="1" x14ac:dyDescent="0.25">
      <c r="A14760" s="18">
        <v>4889</v>
      </c>
      <c r="B14760" s="4" t="s">
        <v>44</v>
      </c>
      <c r="C14760" s="38" t="s">
        <v>12487</v>
      </c>
      <c r="D14760" s="18">
        <v>2023</v>
      </c>
      <c r="E14760" s="18" t="s">
        <v>0</v>
      </c>
      <c r="F14760" s="41">
        <v>1</v>
      </c>
      <c r="G14760" s="41">
        <v>15</v>
      </c>
      <c r="H14760" s="41">
        <v>42.627000000000002</v>
      </c>
      <c r="I14760" s="221"/>
      <c r="J14760" s="221"/>
    </row>
    <row r="14761" spans="1:10" s="15" customFormat="1" ht="24" hidden="1" customHeight="1" outlineLevel="1" x14ac:dyDescent="0.25">
      <c r="A14761" s="18">
        <v>4890</v>
      </c>
      <c r="B14761" s="4" t="s">
        <v>44</v>
      </c>
      <c r="C14761" s="38" t="s">
        <v>12488</v>
      </c>
      <c r="D14761" s="18">
        <v>2023</v>
      </c>
      <c r="E14761" s="18" t="s">
        <v>0</v>
      </c>
      <c r="F14761" s="41">
        <v>1</v>
      </c>
      <c r="G14761" s="41">
        <v>31</v>
      </c>
      <c r="H14761" s="41">
        <v>39.307000000000002</v>
      </c>
      <c r="I14761" s="221"/>
      <c r="J14761" s="221"/>
    </row>
    <row r="14762" spans="1:10" s="15" customFormat="1" ht="24" hidden="1" customHeight="1" outlineLevel="1" x14ac:dyDescent="0.25">
      <c r="A14762" s="18">
        <v>4891</v>
      </c>
      <c r="B14762" s="4" t="s">
        <v>44</v>
      </c>
      <c r="C14762" s="38" t="s">
        <v>12489</v>
      </c>
      <c r="D14762" s="18">
        <v>2023</v>
      </c>
      <c r="E14762" s="18" t="s">
        <v>0</v>
      </c>
      <c r="F14762" s="41">
        <v>1</v>
      </c>
      <c r="G14762" s="41">
        <v>7.5</v>
      </c>
      <c r="H14762" s="41">
        <v>39.353999999999999</v>
      </c>
      <c r="I14762" s="221"/>
      <c r="J14762" s="221"/>
    </row>
    <row r="14763" spans="1:10" s="15" customFormat="1" ht="24" hidden="1" customHeight="1" outlineLevel="1" x14ac:dyDescent="0.25">
      <c r="A14763" s="18">
        <v>3333</v>
      </c>
      <c r="B14763" s="4" t="s">
        <v>44</v>
      </c>
      <c r="C14763" s="38" t="s">
        <v>8409</v>
      </c>
      <c r="D14763" s="18">
        <v>2023</v>
      </c>
      <c r="E14763" s="18" t="s">
        <v>0</v>
      </c>
      <c r="F14763" s="41">
        <v>1</v>
      </c>
      <c r="G14763" s="41">
        <v>15</v>
      </c>
      <c r="H14763" s="41">
        <v>90.56</v>
      </c>
      <c r="I14763" s="221"/>
      <c r="J14763" s="221"/>
    </row>
    <row r="14764" spans="1:10" s="15" customFormat="1" ht="24" hidden="1" customHeight="1" outlineLevel="1" x14ac:dyDescent="0.25">
      <c r="A14764" s="18">
        <v>4896</v>
      </c>
      <c r="B14764" s="4" t="s">
        <v>44</v>
      </c>
      <c r="C14764" s="38" t="s">
        <v>12490</v>
      </c>
      <c r="D14764" s="18">
        <v>2023</v>
      </c>
      <c r="E14764" s="18" t="s">
        <v>0</v>
      </c>
      <c r="F14764" s="41">
        <v>1</v>
      </c>
      <c r="G14764" s="41">
        <v>80</v>
      </c>
      <c r="H14764" s="41">
        <v>25.547000000000001</v>
      </c>
      <c r="I14764" s="221"/>
      <c r="J14764" s="221"/>
    </row>
    <row r="14765" spans="1:10" s="15" customFormat="1" ht="24" hidden="1" customHeight="1" outlineLevel="1" x14ac:dyDescent="0.25">
      <c r="A14765" s="18">
        <v>4902</v>
      </c>
      <c r="B14765" s="4" t="s">
        <v>44</v>
      </c>
      <c r="C14765" s="38" t="s">
        <v>12491</v>
      </c>
      <c r="D14765" s="18">
        <v>2023</v>
      </c>
      <c r="E14765" s="18" t="s">
        <v>0</v>
      </c>
      <c r="F14765" s="41">
        <v>1</v>
      </c>
      <c r="G14765" s="41">
        <v>7.5</v>
      </c>
      <c r="H14765" s="41">
        <v>41.192999999999998</v>
      </c>
      <c r="I14765" s="221"/>
      <c r="J14765" s="221"/>
    </row>
    <row r="14766" spans="1:10" s="15" customFormat="1" ht="24" hidden="1" customHeight="1" outlineLevel="1" x14ac:dyDescent="0.25">
      <c r="A14766" s="18">
        <v>4904</v>
      </c>
      <c r="B14766" s="4" t="s">
        <v>44</v>
      </c>
      <c r="C14766" s="38" t="s">
        <v>8410</v>
      </c>
      <c r="D14766" s="18">
        <v>2023</v>
      </c>
      <c r="E14766" s="18" t="s">
        <v>0</v>
      </c>
      <c r="F14766" s="41">
        <v>1</v>
      </c>
      <c r="G14766" s="41">
        <v>15</v>
      </c>
      <c r="H14766" s="41">
        <v>121.619</v>
      </c>
      <c r="I14766" s="221"/>
      <c r="J14766" s="221"/>
    </row>
    <row r="14767" spans="1:10" s="15" customFormat="1" ht="24" hidden="1" customHeight="1" outlineLevel="1" x14ac:dyDescent="0.25">
      <c r="A14767" s="18">
        <v>4909</v>
      </c>
      <c r="B14767" s="4" t="s">
        <v>44</v>
      </c>
      <c r="C14767" s="38" t="s">
        <v>12492</v>
      </c>
      <c r="D14767" s="18">
        <v>2023</v>
      </c>
      <c r="E14767" s="18" t="s">
        <v>0</v>
      </c>
      <c r="F14767" s="41">
        <v>1</v>
      </c>
      <c r="G14767" s="41">
        <v>15</v>
      </c>
      <c r="H14767" s="41">
        <v>42.628999999999998</v>
      </c>
      <c r="I14767" s="221"/>
      <c r="J14767" s="221"/>
    </row>
    <row r="14768" spans="1:10" s="15" customFormat="1" ht="24" hidden="1" customHeight="1" outlineLevel="1" x14ac:dyDescent="0.25">
      <c r="A14768" s="18">
        <v>4910</v>
      </c>
      <c r="B14768" s="4" t="s">
        <v>44</v>
      </c>
      <c r="C14768" s="38" t="s">
        <v>12493</v>
      </c>
      <c r="D14768" s="18">
        <v>2023</v>
      </c>
      <c r="E14768" s="18" t="s">
        <v>0</v>
      </c>
      <c r="F14768" s="41">
        <v>1</v>
      </c>
      <c r="G14768" s="41">
        <v>7.5</v>
      </c>
      <c r="H14768" s="41">
        <v>22.263000000000002</v>
      </c>
      <c r="I14768" s="221"/>
      <c r="J14768" s="221"/>
    </row>
    <row r="14769" spans="1:10" s="15" customFormat="1" ht="24" hidden="1" customHeight="1" outlineLevel="1" x14ac:dyDescent="0.25">
      <c r="A14769" s="18">
        <v>4912</v>
      </c>
      <c r="B14769" s="4" t="s">
        <v>44</v>
      </c>
      <c r="C14769" s="38" t="s">
        <v>12494</v>
      </c>
      <c r="D14769" s="18">
        <v>2023</v>
      </c>
      <c r="E14769" s="18" t="s">
        <v>0</v>
      </c>
      <c r="F14769" s="41">
        <v>1</v>
      </c>
      <c r="G14769" s="41">
        <v>10</v>
      </c>
      <c r="H14769" s="41">
        <v>43.554000000000002</v>
      </c>
      <c r="I14769" s="221"/>
      <c r="J14769" s="221"/>
    </row>
    <row r="14770" spans="1:10" s="15" customFormat="1" ht="24" hidden="1" customHeight="1" outlineLevel="1" x14ac:dyDescent="0.25">
      <c r="A14770" s="18">
        <v>2790</v>
      </c>
      <c r="B14770" s="4" t="s">
        <v>44</v>
      </c>
      <c r="C14770" s="38" t="s">
        <v>12495</v>
      </c>
      <c r="D14770" s="18">
        <v>2023</v>
      </c>
      <c r="E14770" s="18" t="s">
        <v>0</v>
      </c>
      <c r="F14770" s="41">
        <v>1</v>
      </c>
      <c r="G14770" s="41">
        <v>15</v>
      </c>
      <c r="H14770" s="41">
        <v>38.462000000000003</v>
      </c>
      <c r="I14770" s="221"/>
      <c r="J14770" s="221"/>
    </row>
    <row r="14771" spans="1:10" s="15" customFormat="1" ht="24" hidden="1" customHeight="1" outlineLevel="1" x14ac:dyDescent="0.25">
      <c r="A14771" s="18">
        <v>2802</v>
      </c>
      <c r="B14771" s="4" t="s">
        <v>44</v>
      </c>
      <c r="C14771" s="38" t="s">
        <v>12496</v>
      </c>
      <c r="D14771" s="18">
        <v>2023</v>
      </c>
      <c r="E14771" s="18" t="s">
        <v>0</v>
      </c>
      <c r="F14771" s="41">
        <v>1</v>
      </c>
      <c r="G14771" s="41">
        <v>10</v>
      </c>
      <c r="H14771" s="41">
        <v>40.399000000000001</v>
      </c>
      <c r="I14771" s="221"/>
      <c r="J14771" s="221"/>
    </row>
    <row r="14772" spans="1:10" s="15" customFormat="1" ht="24" hidden="1" customHeight="1" outlineLevel="1" x14ac:dyDescent="0.25">
      <c r="A14772" s="18">
        <v>4914</v>
      </c>
      <c r="B14772" s="4" t="s">
        <v>44</v>
      </c>
      <c r="C14772" s="38" t="s">
        <v>12497</v>
      </c>
      <c r="D14772" s="18">
        <v>2023</v>
      </c>
      <c r="E14772" s="18" t="s">
        <v>0</v>
      </c>
      <c r="F14772" s="41">
        <v>1</v>
      </c>
      <c r="G14772" s="41">
        <v>15</v>
      </c>
      <c r="H14772" s="41">
        <v>45.273000000000003</v>
      </c>
      <c r="I14772" s="221"/>
      <c r="J14772" s="221"/>
    </row>
    <row r="14773" spans="1:10" s="15" customFormat="1" ht="24" hidden="1" customHeight="1" outlineLevel="1" x14ac:dyDescent="0.25">
      <c r="A14773" s="18">
        <v>4915</v>
      </c>
      <c r="B14773" s="4" t="s">
        <v>44</v>
      </c>
      <c r="C14773" s="38" t="s">
        <v>12498</v>
      </c>
      <c r="D14773" s="18">
        <v>2023</v>
      </c>
      <c r="E14773" s="18" t="s">
        <v>0</v>
      </c>
      <c r="F14773" s="41">
        <v>1</v>
      </c>
      <c r="G14773" s="41">
        <v>10</v>
      </c>
      <c r="H14773" s="41">
        <v>45.274000000000001</v>
      </c>
      <c r="I14773" s="221"/>
      <c r="J14773" s="221"/>
    </row>
    <row r="14774" spans="1:10" s="15" customFormat="1" ht="24" hidden="1" customHeight="1" outlineLevel="1" x14ac:dyDescent="0.25">
      <c r="A14774" s="18">
        <v>4922</v>
      </c>
      <c r="B14774" s="4" t="s">
        <v>44</v>
      </c>
      <c r="C14774" s="38" t="s">
        <v>12499</v>
      </c>
      <c r="D14774" s="18">
        <v>2023</v>
      </c>
      <c r="E14774" s="18" t="s">
        <v>0</v>
      </c>
      <c r="F14774" s="41">
        <v>1</v>
      </c>
      <c r="G14774" s="41">
        <v>15</v>
      </c>
      <c r="H14774" s="41">
        <v>44.344000000000001</v>
      </c>
      <c r="I14774" s="221"/>
      <c r="J14774" s="221"/>
    </row>
    <row r="14775" spans="1:10" s="15" customFormat="1" ht="24" hidden="1" customHeight="1" outlineLevel="1" x14ac:dyDescent="0.25">
      <c r="A14775" s="18">
        <v>280</v>
      </c>
      <c r="B14775" s="4" t="s">
        <v>44</v>
      </c>
      <c r="C14775" s="38" t="s">
        <v>8411</v>
      </c>
      <c r="D14775" s="18">
        <v>2023</v>
      </c>
      <c r="E14775" s="18" t="s">
        <v>0</v>
      </c>
      <c r="F14775" s="41">
        <v>1</v>
      </c>
      <c r="G14775" s="41">
        <v>15</v>
      </c>
      <c r="H14775" s="41">
        <v>30.437799999999999</v>
      </c>
      <c r="I14775" s="221"/>
      <c r="J14775" s="221"/>
    </row>
    <row r="14776" spans="1:10" s="15" customFormat="1" ht="24" hidden="1" customHeight="1" outlineLevel="1" x14ac:dyDescent="0.25">
      <c r="A14776" s="18">
        <v>4277</v>
      </c>
      <c r="B14776" s="4" t="s">
        <v>44</v>
      </c>
      <c r="C14776" s="38" t="s">
        <v>12500</v>
      </c>
      <c r="D14776" s="18">
        <v>2023</v>
      </c>
      <c r="E14776" s="18" t="s">
        <v>0</v>
      </c>
      <c r="F14776" s="41">
        <v>1</v>
      </c>
      <c r="G14776" s="41">
        <v>9</v>
      </c>
      <c r="H14776" s="41">
        <v>35.631820000000005</v>
      </c>
      <c r="I14776" s="221"/>
      <c r="J14776" s="221"/>
    </row>
    <row r="14777" spans="1:10" s="15" customFormat="1" ht="24" hidden="1" customHeight="1" outlineLevel="1" x14ac:dyDescent="0.25">
      <c r="A14777" s="18">
        <v>4273</v>
      </c>
      <c r="B14777" s="4" t="s">
        <v>44</v>
      </c>
      <c r="C14777" s="38" t="s">
        <v>12501</v>
      </c>
      <c r="D14777" s="18">
        <v>2023</v>
      </c>
      <c r="E14777" s="18" t="s">
        <v>0</v>
      </c>
      <c r="F14777" s="41">
        <v>1</v>
      </c>
      <c r="G14777" s="41">
        <v>5</v>
      </c>
      <c r="H14777" s="41">
        <v>35.631770000000003</v>
      </c>
      <c r="I14777" s="221"/>
      <c r="J14777" s="221"/>
    </row>
    <row r="14778" spans="1:10" s="15" customFormat="1" ht="24" hidden="1" customHeight="1" outlineLevel="1" x14ac:dyDescent="0.25">
      <c r="A14778" s="18">
        <v>4272</v>
      </c>
      <c r="B14778" s="4" t="s">
        <v>44</v>
      </c>
      <c r="C14778" s="38" t="s">
        <v>12502</v>
      </c>
      <c r="D14778" s="18">
        <v>2023</v>
      </c>
      <c r="E14778" s="18" t="s">
        <v>0</v>
      </c>
      <c r="F14778" s="41">
        <v>1</v>
      </c>
      <c r="G14778" s="41">
        <v>4.9000000000000004</v>
      </c>
      <c r="H14778" s="41">
        <v>35.631790000000002</v>
      </c>
      <c r="I14778" s="221"/>
      <c r="J14778" s="221"/>
    </row>
    <row r="14779" spans="1:10" s="15" customFormat="1" ht="24" hidden="1" customHeight="1" outlineLevel="1" x14ac:dyDescent="0.25">
      <c r="A14779" s="18">
        <v>4273</v>
      </c>
      <c r="B14779" s="4" t="s">
        <v>44</v>
      </c>
      <c r="C14779" s="38" t="s">
        <v>12503</v>
      </c>
      <c r="D14779" s="18">
        <v>2023</v>
      </c>
      <c r="E14779" s="18" t="s">
        <v>0</v>
      </c>
      <c r="F14779" s="41">
        <v>1</v>
      </c>
      <c r="G14779" s="41">
        <v>2.4</v>
      </c>
      <c r="H14779" s="41">
        <v>35.631770000000003</v>
      </c>
      <c r="I14779" s="221"/>
      <c r="J14779" s="221"/>
    </row>
    <row r="14780" spans="1:10" s="15" customFormat="1" ht="24" hidden="1" customHeight="1" outlineLevel="1" x14ac:dyDescent="0.25">
      <c r="A14780" s="18">
        <v>4276</v>
      </c>
      <c r="B14780" s="4" t="s">
        <v>44</v>
      </c>
      <c r="C14780" s="38" t="s">
        <v>12504</v>
      </c>
      <c r="D14780" s="18">
        <v>2023</v>
      </c>
      <c r="E14780" s="18" t="s">
        <v>0</v>
      </c>
      <c r="F14780" s="41">
        <v>1</v>
      </c>
      <c r="G14780" s="41">
        <v>15</v>
      </c>
      <c r="H14780" s="41">
        <v>35.887220000000006</v>
      </c>
      <c r="I14780" s="221"/>
      <c r="J14780" s="221"/>
    </row>
    <row r="14781" spans="1:10" s="15" customFormat="1" ht="24" hidden="1" customHeight="1" outlineLevel="1" x14ac:dyDescent="0.25">
      <c r="A14781" s="18">
        <v>4276</v>
      </c>
      <c r="B14781" s="4" t="s">
        <v>44</v>
      </c>
      <c r="C14781" s="38" t="s">
        <v>12505</v>
      </c>
      <c r="D14781" s="18">
        <v>2023</v>
      </c>
      <c r="E14781" s="18" t="s">
        <v>0</v>
      </c>
      <c r="F14781" s="41">
        <v>1</v>
      </c>
      <c r="G14781" s="41">
        <v>15</v>
      </c>
      <c r="H14781" s="41">
        <v>35.887220000000006</v>
      </c>
      <c r="I14781" s="221"/>
      <c r="J14781" s="221"/>
    </row>
    <row r="14782" spans="1:10" s="15" customFormat="1" ht="24" hidden="1" customHeight="1" outlineLevel="1" x14ac:dyDescent="0.25">
      <c r="A14782" s="18">
        <v>4276</v>
      </c>
      <c r="B14782" s="4" t="s">
        <v>44</v>
      </c>
      <c r="C14782" s="38" t="s">
        <v>12506</v>
      </c>
      <c r="D14782" s="18">
        <v>2023</v>
      </c>
      <c r="E14782" s="18" t="s">
        <v>0</v>
      </c>
      <c r="F14782" s="41">
        <v>1</v>
      </c>
      <c r="G14782" s="41">
        <v>15</v>
      </c>
      <c r="H14782" s="41">
        <v>35.887220000000006</v>
      </c>
      <c r="I14782" s="221"/>
      <c r="J14782" s="221"/>
    </row>
    <row r="14783" spans="1:10" s="15" customFormat="1" ht="24" hidden="1" customHeight="1" outlineLevel="1" x14ac:dyDescent="0.25">
      <c r="A14783" s="18">
        <v>4271</v>
      </c>
      <c r="B14783" s="4" t="s">
        <v>44</v>
      </c>
      <c r="C14783" s="38" t="s">
        <v>12507</v>
      </c>
      <c r="D14783" s="18">
        <v>2023</v>
      </c>
      <c r="E14783" s="18" t="s">
        <v>0</v>
      </c>
      <c r="F14783" s="41">
        <v>1</v>
      </c>
      <c r="G14783" s="41">
        <v>9</v>
      </c>
      <c r="H14783" s="41">
        <v>41.752809999999997</v>
      </c>
      <c r="I14783" s="221"/>
      <c r="J14783" s="221"/>
    </row>
    <row r="14784" spans="1:10" s="15" customFormat="1" ht="24" hidden="1" customHeight="1" outlineLevel="1" x14ac:dyDescent="0.25">
      <c r="A14784" s="18">
        <v>412</v>
      </c>
      <c r="B14784" s="4" t="s">
        <v>44</v>
      </c>
      <c r="C14784" s="38" t="s">
        <v>8413</v>
      </c>
      <c r="D14784" s="18">
        <v>2023</v>
      </c>
      <c r="E14784" s="18" t="s">
        <v>0</v>
      </c>
      <c r="F14784" s="41">
        <v>1</v>
      </c>
      <c r="G14784" s="41">
        <v>15</v>
      </c>
      <c r="H14784" s="41">
        <v>50.940869999999997</v>
      </c>
      <c r="I14784" s="221"/>
      <c r="J14784" s="221"/>
    </row>
    <row r="14785" spans="1:10" s="15" customFormat="1" ht="24" hidden="1" customHeight="1" outlineLevel="1" x14ac:dyDescent="0.25">
      <c r="A14785" s="18">
        <v>1095</v>
      </c>
      <c r="B14785" s="4" t="s">
        <v>44</v>
      </c>
      <c r="C14785" s="38" t="s">
        <v>12508</v>
      </c>
      <c r="D14785" s="18">
        <v>2023</v>
      </c>
      <c r="E14785" s="18" t="s">
        <v>0</v>
      </c>
      <c r="F14785" s="41">
        <v>1</v>
      </c>
      <c r="G14785" s="41">
        <v>9</v>
      </c>
      <c r="H14785" s="41">
        <v>36.944929999999999</v>
      </c>
      <c r="I14785" s="221"/>
      <c r="J14785" s="221"/>
    </row>
    <row r="14786" spans="1:10" s="15" customFormat="1" ht="24" hidden="1" customHeight="1" outlineLevel="1" x14ac:dyDescent="0.25">
      <c r="A14786" s="18">
        <v>4279</v>
      </c>
      <c r="B14786" s="4" t="s">
        <v>44</v>
      </c>
      <c r="C14786" s="38" t="s">
        <v>12509</v>
      </c>
      <c r="D14786" s="18">
        <v>2023</v>
      </c>
      <c r="E14786" s="18" t="s">
        <v>0</v>
      </c>
      <c r="F14786" s="41">
        <v>1</v>
      </c>
      <c r="G14786" s="41">
        <v>15</v>
      </c>
      <c r="H14786" s="41">
        <v>36.666019999999996</v>
      </c>
      <c r="I14786" s="221"/>
      <c r="J14786" s="221"/>
    </row>
    <row r="14787" spans="1:10" s="15" customFormat="1" ht="24" hidden="1" customHeight="1" outlineLevel="1" x14ac:dyDescent="0.25">
      <c r="A14787" s="18">
        <v>930</v>
      </c>
      <c r="B14787" s="4" t="s">
        <v>44</v>
      </c>
      <c r="C14787" s="38" t="s">
        <v>8414</v>
      </c>
      <c r="D14787" s="18">
        <v>2023</v>
      </c>
      <c r="E14787" s="18" t="s">
        <v>0</v>
      </c>
      <c r="F14787" s="41">
        <v>1</v>
      </c>
      <c r="G14787" s="41">
        <v>15</v>
      </c>
      <c r="H14787" s="41">
        <v>46.296209999999995</v>
      </c>
      <c r="I14787" s="221"/>
      <c r="J14787" s="221"/>
    </row>
    <row r="14788" spans="1:10" s="15" customFormat="1" ht="24" hidden="1" customHeight="1" outlineLevel="1" x14ac:dyDescent="0.25">
      <c r="A14788" s="18">
        <v>402</v>
      </c>
      <c r="B14788" s="4" t="s">
        <v>44</v>
      </c>
      <c r="C14788" s="38" t="s">
        <v>8415</v>
      </c>
      <c r="D14788" s="18">
        <v>2023</v>
      </c>
      <c r="E14788" s="18" t="s">
        <v>0</v>
      </c>
      <c r="F14788" s="41">
        <v>1</v>
      </c>
      <c r="G14788" s="41">
        <v>15</v>
      </c>
      <c r="H14788" s="41">
        <v>48.210790000000003</v>
      </c>
      <c r="I14788" s="221"/>
      <c r="J14788" s="221"/>
    </row>
    <row r="14789" spans="1:10" s="15" customFormat="1" ht="24" hidden="1" customHeight="1" outlineLevel="1" x14ac:dyDescent="0.25">
      <c r="A14789" s="18">
        <v>3234</v>
      </c>
      <c r="B14789" s="4" t="s">
        <v>44</v>
      </c>
      <c r="C14789" s="38" t="s">
        <v>8416</v>
      </c>
      <c r="D14789" s="18">
        <v>2023</v>
      </c>
      <c r="E14789" s="18" t="s">
        <v>0</v>
      </c>
      <c r="F14789" s="41">
        <v>1</v>
      </c>
      <c r="G14789" s="41">
        <v>15</v>
      </c>
      <c r="H14789" s="41">
        <v>45.075450000000004</v>
      </c>
      <c r="I14789" s="221"/>
      <c r="J14789" s="221"/>
    </row>
    <row r="14790" spans="1:10" s="15" customFormat="1" ht="24" hidden="1" customHeight="1" outlineLevel="1" x14ac:dyDescent="0.25">
      <c r="A14790" s="18">
        <v>3343</v>
      </c>
      <c r="B14790" s="4" t="s">
        <v>44</v>
      </c>
      <c r="C14790" s="38" t="s">
        <v>9050</v>
      </c>
      <c r="D14790" s="18">
        <v>2023</v>
      </c>
      <c r="E14790" s="18" t="s">
        <v>0</v>
      </c>
      <c r="F14790" s="41">
        <v>2</v>
      </c>
      <c r="G14790" s="41">
        <v>150</v>
      </c>
      <c r="H14790" s="41">
        <v>122.36856999999999</v>
      </c>
      <c r="I14790" s="221"/>
      <c r="J14790" s="221"/>
    </row>
    <row r="14791" spans="1:10" s="15" customFormat="1" ht="24" hidden="1" customHeight="1" outlineLevel="1" x14ac:dyDescent="0.25">
      <c r="A14791" s="18">
        <v>821</v>
      </c>
      <c r="B14791" s="4" t="s">
        <v>44</v>
      </c>
      <c r="C14791" s="38" t="s">
        <v>8417</v>
      </c>
      <c r="D14791" s="18">
        <v>2023</v>
      </c>
      <c r="E14791" s="18" t="s">
        <v>0</v>
      </c>
      <c r="F14791" s="41">
        <v>1</v>
      </c>
      <c r="G14791" s="41">
        <v>15</v>
      </c>
      <c r="H14791" s="41">
        <v>54.930510000000005</v>
      </c>
      <c r="I14791" s="221"/>
      <c r="J14791" s="221"/>
    </row>
    <row r="14792" spans="1:10" s="15" customFormat="1" ht="24" hidden="1" customHeight="1" outlineLevel="1" x14ac:dyDescent="0.25">
      <c r="A14792" s="18">
        <v>809</v>
      </c>
      <c r="B14792" s="4" t="s">
        <v>44</v>
      </c>
      <c r="C14792" s="38" t="s">
        <v>8418</v>
      </c>
      <c r="D14792" s="18">
        <v>2023</v>
      </c>
      <c r="E14792" s="18" t="s">
        <v>0</v>
      </c>
      <c r="F14792" s="41">
        <v>1</v>
      </c>
      <c r="G14792" s="41">
        <v>15</v>
      </c>
      <c r="H14792" s="41">
        <v>55.780030000000004</v>
      </c>
      <c r="I14792" s="221"/>
      <c r="J14792" s="221"/>
    </row>
    <row r="14793" spans="1:10" s="15" customFormat="1" ht="24" hidden="1" customHeight="1" outlineLevel="1" x14ac:dyDescent="0.25">
      <c r="A14793" s="18">
        <v>3267</v>
      </c>
      <c r="B14793" s="4" t="s">
        <v>44</v>
      </c>
      <c r="C14793" s="38" t="s">
        <v>8419</v>
      </c>
      <c r="D14793" s="18">
        <v>2023</v>
      </c>
      <c r="E14793" s="18" t="s">
        <v>0</v>
      </c>
      <c r="F14793" s="41">
        <v>1</v>
      </c>
      <c r="G14793" s="151">
        <v>10.5</v>
      </c>
      <c r="H14793" s="41">
        <v>47.764490000000002</v>
      </c>
      <c r="I14793" s="221"/>
      <c r="J14793" s="221"/>
    </row>
    <row r="14794" spans="1:10" s="15" customFormat="1" ht="24" hidden="1" customHeight="1" outlineLevel="1" x14ac:dyDescent="0.25">
      <c r="A14794" s="18">
        <v>3035</v>
      </c>
      <c r="B14794" s="4" t="s">
        <v>44</v>
      </c>
      <c r="C14794" s="38" t="s">
        <v>9051</v>
      </c>
      <c r="D14794" s="18">
        <v>2023</v>
      </c>
      <c r="E14794" s="18" t="s">
        <v>0</v>
      </c>
      <c r="F14794" s="41">
        <v>2</v>
      </c>
      <c r="G14794" s="41">
        <v>120</v>
      </c>
      <c r="H14794" s="41">
        <v>159.23203000000001</v>
      </c>
      <c r="I14794" s="221"/>
      <c r="J14794" s="221"/>
    </row>
    <row r="14795" spans="1:10" s="15" customFormat="1" ht="24" hidden="1" customHeight="1" outlineLevel="1" x14ac:dyDescent="0.25">
      <c r="A14795" s="18">
        <v>3029</v>
      </c>
      <c r="B14795" s="4" t="s">
        <v>44</v>
      </c>
      <c r="C14795" s="38" t="s">
        <v>9052</v>
      </c>
      <c r="D14795" s="18">
        <v>2023</v>
      </c>
      <c r="E14795" s="18" t="s">
        <v>0</v>
      </c>
      <c r="F14795" s="41">
        <v>2</v>
      </c>
      <c r="G14795" s="41">
        <v>150</v>
      </c>
      <c r="H14795" s="41">
        <v>240.47942</v>
      </c>
      <c r="I14795" s="221"/>
      <c r="J14795" s="221"/>
    </row>
    <row r="14796" spans="1:10" s="15" customFormat="1" ht="24" hidden="1" customHeight="1" outlineLevel="1" x14ac:dyDescent="0.25">
      <c r="A14796" s="18">
        <v>3347</v>
      </c>
      <c r="B14796" s="4" t="s">
        <v>44</v>
      </c>
      <c r="C14796" s="38" t="s">
        <v>9053</v>
      </c>
      <c r="D14796" s="18">
        <v>2023</v>
      </c>
      <c r="E14796" s="18" t="s">
        <v>0</v>
      </c>
      <c r="F14796" s="41">
        <v>2</v>
      </c>
      <c r="G14796" s="41">
        <v>150</v>
      </c>
      <c r="H14796" s="41">
        <v>129.03137000000001</v>
      </c>
      <c r="I14796" s="221"/>
      <c r="J14796" s="221"/>
    </row>
    <row r="14797" spans="1:10" s="15" customFormat="1" ht="24" hidden="1" customHeight="1" outlineLevel="1" x14ac:dyDescent="0.25">
      <c r="A14797" s="18">
        <v>4287</v>
      </c>
      <c r="B14797" s="4" t="s">
        <v>44</v>
      </c>
      <c r="C14797" s="38" t="s">
        <v>12510</v>
      </c>
      <c r="D14797" s="18">
        <v>2023</v>
      </c>
      <c r="E14797" s="18" t="s">
        <v>0</v>
      </c>
      <c r="F14797" s="41">
        <v>1</v>
      </c>
      <c r="G14797" s="41">
        <v>15</v>
      </c>
      <c r="H14797" s="41">
        <v>38.055219999999998</v>
      </c>
      <c r="I14797" s="221"/>
      <c r="J14797" s="221"/>
    </row>
    <row r="14798" spans="1:10" s="15" customFormat="1" ht="24" hidden="1" customHeight="1" outlineLevel="1" x14ac:dyDescent="0.25">
      <c r="A14798" s="18">
        <v>539</v>
      </c>
      <c r="B14798" s="4" t="s">
        <v>44</v>
      </c>
      <c r="C14798" s="38" t="s">
        <v>8421</v>
      </c>
      <c r="D14798" s="18">
        <v>2023</v>
      </c>
      <c r="E14798" s="18" t="s">
        <v>0</v>
      </c>
      <c r="F14798" s="41">
        <v>1</v>
      </c>
      <c r="G14798" s="41">
        <v>15</v>
      </c>
      <c r="H14798" s="41">
        <v>54.132479999999994</v>
      </c>
      <c r="I14798" s="221"/>
      <c r="J14798" s="221"/>
    </row>
    <row r="14799" spans="1:10" s="15" customFormat="1" ht="24" hidden="1" customHeight="1" outlineLevel="1" x14ac:dyDescent="0.25">
      <c r="A14799" s="18">
        <v>4299</v>
      </c>
      <c r="B14799" s="4" t="s">
        <v>44</v>
      </c>
      <c r="C14799" s="38" t="s">
        <v>12511</v>
      </c>
      <c r="D14799" s="18">
        <v>2023</v>
      </c>
      <c r="E14799" s="18" t="s">
        <v>0</v>
      </c>
      <c r="F14799" s="41">
        <v>1</v>
      </c>
      <c r="G14799" s="41">
        <v>15</v>
      </c>
      <c r="H14799" s="41">
        <v>35.669919999999998</v>
      </c>
      <c r="I14799" s="221"/>
      <c r="J14799" s="221"/>
    </row>
    <row r="14800" spans="1:10" s="15" customFormat="1" ht="24" hidden="1" customHeight="1" outlineLevel="1" x14ac:dyDescent="0.25">
      <c r="A14800" s="18">
        <v>4301</v>
      </c>
      <c r="B14800" s="4" t="s">
        <v>44</v>
      </c>
      <c r="C14800" s="38" t="s">
        <v>12512</v>
      </c>
      <c r="D14800" s="18">
        <v>2023</v>
      </c>
      <c r="E14800" s="18" t="s">
        <v>0</v>
      </c>
      <c r="F14800" s="41">
        <v>1</v>
      </c>
      <c r="G14800" s="41">
        <v>9</v>
      </c>
      <c r="H14800" s="41">
        <v>35.178330000000003</v>
      </c>
      <c r="I14800" s="221"/>
      <c r="J14800" s="221"/>
    </row>
    <row r="14801" spans="1:10" s="15" customFormat="1" ht="24" hidden="1" customHeight="1" outlineLevel="1" x14ac:dyDescent="0.25">
      <c r="A14801" s="18">
        <v>3067</v>
      </c>
      <c r="B14801" s="4" t="s">
        <v>44</v>
      </c>
      <c r="C14801" s="38" t="s">
        <v>8422</v>
      </c>
      <c r="D14801" s="18">
        <v>2023</v>
      </c>
      <c r="E14801" s="18" t="s">
        <v>0</v>
      </c>
      <c r="F14801" s="41">
        <v>2</v>
      </c>
      <c r="G14801" s="41">
        <v>45</v>
      </c>
      <c r="H14801" s="41">
        <v>117.43787999999999</v>
      </c>
      <c r="I14801" s="221"/>
      <c r="J14801" s="221"/>
    </row>
    <row r="14802" spans="1:10" s="15" customFormat="1" ht="24" hidden="1" customHeight="1" outlineLevel="1" x14ac:dyDescent="0.25">
      <c r="A14802" s="18">
        <v>3050</v>
      </c>
      <c r="B14802" s="4" t="s">
        <v>44</v>
      </c>
      <c r="C14802" s="38" t="s">
        <v>9054</v>
      </c>
      <c r="D14802" s="18">
        <v>2023</v>
      </c>
      <c r="E14802" s="18" t="s">
        <v>0</v>
      </c>
      <c r="F14802" s="41">
        <v>2</v>
      </c>
      <c r="G14802" s="41">
        <v>150</v>
      </c>
      <c r="H14802" s="41">
        <v>305.72977000000003</v>
      </c>
      <c r="I14802" s="221"/>
      <c r="J14802" s="221"/>
    </row>
    <row r="14803" spans="1:10" s="15" customFormat="1" ht="24" hidden="1" customHeight="1" outlineLevel="1" x14ac:dyDescent="0.25">
      <c r="A14803" s="18">
        <v>985</v>
      </c>
      <c r="B14803" s="4" t="s">
        <v>44</v>
      </c>
      <c r="C14803" s="38" t="s">
        <v>8423</v>
      </c>
      <c r="D14803" s="18">
        <v>2023</v>
      </c>
      <c r="E14803" s="18" t="s">
        <v>0</v>
      </c>
      <c r="F14803" s="41">
        <v>1</v>
      </c>
      <c r="G14803" s="41">
        <v>9</v>
      </c>
      <c r="H14803" s="41">
        <v>41.740259999999999</v>
      </c>
      <c r="I14803" s="221"/>
      <c r="J14803" s="221"/>
    </row>
    <row r="14804" spans="1:10" s="15" customFormat="1" ht="24" hidden="1" customHeight="1" outlineLevel="1" x14ac:dyDescent="0.25">
      <c r="A14804" s="18">
        <v>1225</v>
      </c>
      <c r="B14804" s="4" t="s">
        <v>44</v>
      </c>
      <c r="C14804" s="38" t="s">
        <v>8424</v>
      </c>
      <c r="D14804" s="18">
        <v>2023</v>
      </c>
      <c r="E14804" s="18" t="s">
        <v>0</v>
      </c>
      <c r="F14804" s="41">
        <v>1</v>
      </c>
      <c r="G14804" s="41">
        <v>9</v>
      </c>
      <c r="H14804" s="41">
        <v>52.19032</v>
      </c>
      <c r="I14804" s="221"/>
      <c r="J14804" s="221"/>
    </row>
    <row r="14805" spans="1:10" s="15" customFormat="1" ht="24" hidden="1" customHeight="1" outlineLevel="1" x14ac:dyDescent="0.25">
      <c r="A14805" s="18">
        <v>1184</v>
      </c>
      <c r="B14805" s="4" t="s">
        <v>44</v>
      </c>
      <c r="C14805" s="38" t="s">
        <v>8425</v>
      </c>
      <c r="D14805" s="18">
        <v>2023</v>
      </c>
      <c r="E14805" s="18" t="s">
        <v>0</v>
      </c>
      <c r="F14805" s="41">
        <v>1</v>
      </c>
      <c r="G14805" s="41">
        <v>6</v>
      </c>
      <c r="H14805" s="41">
        <v>17.56399</v>
      </c>
      <c r="I14805" s="221"/>
      <c r="J14805" s="221"/>
    </row>
    <row r="14806" spans="1:10" s="15" customFormat="1" ht="24" hidden="1" customHeight="1" outlineLevel="1" x14ac:dyDescent="0.25">
      <c r="A14806" s="18">
        <v>3080</v>
      </c>
      <c r="B14806" s="4" t="s">
        <v>44</v>
      </c>
      <c r="C14806" s="38" t="s">
        <v>9055</v>
      </c>
      <c r="D14806" s="18">
        <v>2023</v>
      </c>
      <c r="E14806" s="18" t="s">
        <v>0</v>
      </c>
      <c r="F14806" s="41">
        <v>2</v>
      </c>
      <c r="G14806" s="41">
        <v>130</v>
      </c>
      <c r="H14806" s="41">
        <v>156.02789999999999</v>
      </c>
      <c r="I14806" s="221"/>
      <c r="J14806" s="221"/>
    </row>
    <row r="14807" spans="1:10" s="15" customFormat="1" ht="24" hidden="1" customHeight="1" outlineLevel="1" x14ac:dyDescent="0.25">
      <c r="A14807" s="18">
        <v>1014</v>
      </c>
      <c r="B14807" s="4" t="s">
        <v>44</v>
      </c>
      <c r="C14807" s="38" t="s">
        <v>8426</v>
      </c>
      <c r="D14807" s="18">
        <v>2023</v>
      </c>
      <c r="E14807" s="18" t="s">
        <v>0</v>
      </c>
      <c r="F14807" s="41">
        <v>1</v>
      </c>
      <c r="G14807" s="41">
        <v>15</v>
      </c>
      <c r="H14807" s="41">
        <v>41.849119999999999</v>
      </c>
      <c r="I14807" s="221"/>
      <c r="J14807" s="221"/>
    </row>
    <row r="14808" spans="1:10" s="15" customFormat="1" ht="24" hidden="1" customHeight="1" outlineLevel="1" x14ac:dyDescent="0.25">
      <c r="A14808" s="18">
        <v>4238</v>
      </c>
      <c r="B14808" s="4" t="s">
        <v>44</v>
      </c>
      <c r="C14808" s="38" t="s">
        <v>8427</v>
      </c>
      <c r="D14808" s="18">
        <v>2023</v>
      </c>
      <c r="E14808" s="18" t="s">
        <v>0</v>
      </c>
      <c r="F14808" s="41">
        <v>2</v>
      </c>
      <c r="G14808" s="41">
        <v>15</v>
      </c>
      <c r="H14808" s="41">
        <v>99.518169999999998</v>
      </c>
      <c r="I14808" s="221"/>
      <c r="J14808" s="221"/>
    </row>
    <row r="14809" spans="1:10" s="15" customFormat="1" ht="24" hidden="1" customHeight="1" outlineLevel="1" x14ac:dyDescent="0.25">
      <c r="A14809" s="18">
        <v>989</v>
      </c>
      <c r="B14809" s="4" t="s">
        <v>44</v>
      </c>
      <c r="C14809" s="38" t="s">
        <v>8428</v>
      </c>
      <c r="D14809" s="18">
        <v>2023</v>
      </c>
      <c r="E14809" s="18" t="s">
        <v>0</v>
      </c>
      <c r="F14809" s="41">
        <v>1</v>
      </c>
      <c r="G14809" s="41">
        <v>15</v>
      </c>
      <c r="H14809" s="41">
        <v>51.045079999999999</v>
      </c>
      <c r="I14809" s="221"/>
      <c r="J14809" s="221"/>
    </row>
    <row r="14810" spans="1:10" s="15" customFormat="1" ht="24" hidden="1" customHeight="1" outlineLevel="1" x14ac:dyDescent="0.25">
      <c r="A14810" s="18">
        <v>4255</v>
      </c>
      <c r="B14810" s="4" t="s">
        <v>44</v>
      </c>
      <c r="C14810" s="38" t="s">
        <v>8429</v>
      </c>
      <c r="D14810" s="18">
        <v>2023</v>
      </c>
      <c r="E14810" s="18" t="s">
        <v>0</v>
      </c>
      <c r="F14810" s="41">
        <v>1</v>
      </c>
      <c r="G14810" s="41">
        <v>7.5</v>
      </c>
      <c r="H14810" s="41">
        <v>51.396860000000004</v>
      </c>
      <c r="I14810" s="221"/>
      <c r="J14810" s="221"/>
    </row>
    <row r="14811" spans="1:10" s="15" customFormat="1" ht="24" hidden="1" customHeight="1" outlineLevel="1" x14ac:dyDescent="0.25">
      <c r="A14811" s="18">
        <v>4239</v>
      </c>
      <c r="B14811" s="4" t="s">
        <v>44</v>
      </c>
      <c r="C14811" s="38" t="s">
        <v>9056</v>
      </c>
      <c r="D14811" s="18">
        <v>2023</v>
      </c>
      <c r="E14811" s="18" t="s">
        <v>0</v>
      </c>
      <c r="F14811" s="41">
        <v>2</v>
      </c>
      <c r="G14811" s="41">
        <v>150</v>
      </c>
      <c r="H14811" s="41">
        <v>298.68649000000005</v>
      </c>
      <c r="I14811" s="221"/>
      <c r="J14811" s="221"/>
    </row>
    <row r="14812" spans="1:10" s="15" customFormat="1" ht="24" hidden="1" customHeight="1" outlineLevel="1" x14ac:dyDescent="0.25">
      <c r="A14812" s="18">
        <v>1524</v>
      </c>
      <c r="B14812" s="4" t="s">
        <v>44</v>
      </c>
      <c r="C14812" s="38" t="s">
        <v>12513</v>
      </c>
      <c r="D14812" s="18">
        <v>2023</v>
      </c>
      <c r="E14812" s="18" t="s">
        <v>0</v>
      </c>
      <c r="F14812" s="41">
        <v>1</v>
      </c>
      <c r="G14812" s="41">
        <v>2</v>
      </c>
      <c r="H14812" s="41">
        <v>35.127779999999994</v>
      </c>
      <c r="I14812" s="221"/>
      <c r="J14812" s="221"/>
    </row>
    <row r="14813" spans="1:10" s="15" customFormat="1" ht="24" hidden="1" customHeight="1" outlineLevel="1" x14ac:dyDescent="0.25">
      <c r="A14813" s="18">
        <v>1505</v>
      </c>
      <c r="B14813" s="4" t="s">
        <v>44</v>
      </c>
      <c r="C14813" s="38" t="s">
        <v>12514</v>
      </c>
      <c r="D14813" s="18">
        <v>2023</v>
      </c>
      <c r="E14813" s="18" t="s">
        <v>0</v>
      </c>
      <c r="F14813" s="41">
        <v>1</v>
      </c>
      <c r="G14813" s="41">
        <v>6</v>
      </c>
      <c r="H14813" s="41">
        <v>35.127769999999998</v>
      </c>
      <c r="I14813" s="221"/>
      <c r="J14813" s="221"/>
    </row>
    <row r="14814" spans="1:10" s="15" customFormat="1" ht="24" hidden="1" customHeight="1" outlineLevel="1" x14ac:dyDescent="0.25">
      <c r="A14814" s="18">
        <v>1524</v>
      </c>
      <c r="B14814" s="4" t="s">
        <v>44</v>
      </c>
      <c r="C14814" s="38" t="s">
        <v>12515</v>
      </c>
      <c r="D14814" s="18">
        <v>2023</v>
      </c>
      <c r="E14814" s="18" t="s">
        <v>0</v>
      </c>
      <c r="F14814" s="41">
        <v>1</v>
      </c>
      <c r="G14814" s="41">
        <v>2</v>
      </c>
      <c r="H14814" s="41">
        <v>35.127779999999994</v>
      </c>
      <c r="I14814" s="221"/>
      <c r="J14814" s="221"/>
    </row>
    <row r="14815" spans="1:10" s="15" customFormat="1" ht="24" hidden="1" customHeight="1" outlineLevel="1" x14ac:dyDescent="0.25">
      <c r="A14815" s="18">
        <v>4310</v>
      </c>
      <c r="B14815" s="4" t="s">
        <v>44</v>
      </c>
      <c r="C14815" s="38" t="s">
        <v>12516</v>
      </c>
      <c r="D14815" s="18">
        <v>2023</v>
      </c>
      <c r="E14815" s="18" t="s">
        <v>0</v>
      </c>
      <c r="F14815" s="41">
        <v>1</v>
      </c>
      <c r="G14815" s="41">
        <v>15</v>
      </c>
      <c r="H14815" s="41">
        <v>35.302070000000001</v>
      </c>
      <c r="I14815" s="221"/>
      <c r="J14815" s="221"/>
    </row>
    <row r="14816" spans="1:10" s="15" customFormat="1" ht="24" hidden="1" customHeight="1" outlineLevel="1" x14ac:dyDescent="0.25">
      <c r="A14816" s="18">
        <v>1637</v>
      </c>
      <c r="B14816" s="4" t="s">
        <v>44</v>
      </c>
      <c r="C14816" s="38" t="s">
        <v>12517</v>
      </c>
      <c r="D14816" s="18">
        <v>2023</v>
      </c>
      <c r="E14816" s="18" t="s">
        <v>0</v>
      </c>
      <c r="F14816" s="41">
        <v>1</v>
      </c>
      <c r="G14816" s="41">
        <v>4</v>
      </c>
      <c r="H14816" s="41">
        <v>35.12753</v>
      </c>
      <c r="I14816" s="221"/>
      <c r="J14816" s="221"/>
    </row>
    <row r="14817" spans="1:10" s="15" customFormat="1" ht="24" hidden="1" customHeight="1" outlineLevel="1" x14ac:dyDescent="0.25">
      <c r="A14817" s="18">
        <v>4253</v>
      </c>
      <c r="B14817" s="4" t="s">
        <v>44</v>
      </c>
      <c r="C14817" s="38" t="s">
        <v>8430</v>
      </c>
      <c r="D14817" s="18">
        <v>2023</v>
      </c>
      <c r="E14817" s="18" t="s">
        <v>0</v>
      </c>
      <c r="F14817" s="41">
        <v>1</v>
      </c>
      <c r="G14817" s="41">
        <v>7.5</v>
      </c>
      <c r="H14817" s="41">
        <v>48.747400000000006</v>
      </c>
      <c r="I14817" s="221"/>
      <c r="J14817" s="221"/>
    </row>
    <row r="14818" spans="1:10" s="15" customFormat="1" ht="24" hidden="1" customHeight="1" outlineLevel="1" x14ac:dyDescent="0.25">
      <c r="A14818" s="18">
        <v>878</v>
      </c>
      <c r="B14818" s="4" t="s">
        <v>44</v>
      </c>
      <c r="C14818" s="38" t="s">
        <v>8432</v>
      </c>
      <c r="D14818" s="18">
        <v>2023</v>
      </c>
      <c r="E14818" s="18" t="s">
        <v>0</v>
      </c>
      <c r="F14818" s="41">
        <v>1</v>
      </c>
      <c r="G14818" s="41">
        <v>9</v>
      </c>
      <c r="H14818" s="41">
        <v>46.044370000000001</v>
      </c>
      <c r="I14818" s="221"/>
      <c r="J14818" s="221"/>
    </row>
    <row r="14819" spans="1:10" s="15" customFormat="1" ht="24" hidden="1" customHeight="1" outlineLevel="1" x14ac:dyDescent="0.25">
      <c r="A14819" s="18">
        <v>4316</v>
      </c>
      <c r="B14819" s="4" t="s">
        <v>44</v>
      </c>
      <c r="C14819" s="38" t="s">
        <v>12518</v>
      </c>
      <c r="D14819" s="18">
        <v>2023</v>
      </c>
      <c r="E14819" s="18" t="s">
        <v>0</v>
      </c>
      <c r="F14819" s="41">
        <v>1</v>
      </c>
      <c r="G14819" s="41">
        <v>9</v>
      </c>
      <c r="H14819" s="41">
        <v>34.868259999999999</v>
      </c>
      <c r="I14819" s="221"/>
      <c r="J14819" s="221"/>
    </row>
    <row r="14820" spans="1:10" s="15" customFormat="1" ht="24" hidden="1" customHeight="1" outlineLevel="1" x14ac:dyDescent="0.25">
      <c r="A14820" s="18">
        <v>4319</v>
      </c>
      <c r="B14820" s="4" t="s">
        <v>44</v>
      </c>
      <c r="C14820" s="38" t="s">
        <v>12519</v>
      </c>
      <c r="D14820" s="18">
        <v>2023</v>
      </c>
      <c r="E14820" s="18" t="s">
        <v>0</v>
      </c>
      <c r="F14820" s="41">
        <v>1</v>
      </c>
      <c r="G14820" s="41">
        <v>35</v>
      </c>
      <c r="H14820" s="41">
        <v>36.965699999999998</v>
      </c>
      <c r="I14820" s="221"/>
      <c r="J14820" s="221"/>
    </row>
    <row r="14821" spans="1:10" s="15" customFormat="1" ht="24" hidden="1" customHeight="1" outlineLevel="1" x14ac:dyDescent="0.25">
      <c r="A14821" s="18">
        <v>4320</v>
      </c>
      <c r="B14821" s="4" t="s">
        <v>44</v>
      </c>
      <c r="C14821" s="38" t="s">
        <v>12520</v>
      </c>
      <c r="D14821" s="18">
        <v>2023</v>
      </c>
      <c r="E14821" s="18" t="s">
        <v>0</v>
      </c>
      <c r="F14821" s="41">
        <v>1</v>
      </c>
      <c r="G14821" s="41">
        <v>15</v>
      </c>
      <c r="H14821" s="41">
        <v>36.965739999999997</v>
      </c>
      <c r="I14821" s="221"/>
      <c r="J14821" s="221"/>
    </row>
    <row r="14822" spans="1:10" s="15" customFormat="1" ht="24" hidden="1" customHeight="1" outlineLevel="1" x14ac:dyDescent="0.25">
      <c r="A14822" s="18">
        <v>4321</v>
      </c>
      <c r="B14822" s="4" t="s">
        <v>44</v>
      </c>
      <c r="C14822" s="38" t="s">
        <v>12521</v>
      </c>
      <c r="D14822" s="18">
        <v>2023</v>
      </c>
      <c r="E14822" s="18" t="s">
        <v>0</v>
      </c>
      <c r="F14822" s="41">
        <v>1</v>
      </c>
      <c r="G14822" s="41">
        <v>9</v>
      </c>
      <c r="H14822" s="41">
        <v>36.965760000000003</v>
      </c>
      <c r="I14822" s="221"/>
      <c r="J14822" s="221"/>
    </row>
    <row r="14823" spans="1:10" s="15" customFormat="1" ht="24" hidden="1" customHeight="1" outlineLevel="1" x14ac:dyDescent="0.25">
      <c r="A14823" s="18">
        <v>982</v>
      </c>
      <c r="B14823" s="4" t="s">
        <v>44</v>
      </c>
      <c r="C14823" s="38" t="s">
        <v>8435</v>
      </c>
      <c r="D14823" s="18">
        <v>2023</v>
      </c>
      <c r="E14823" s="18" t="s">
        <v>0</v>
      </c>
      <c r="F14823" s="41">
        <v>1</v>
      </c>
      <c r="G14823" s="41">
        <v>15</v>
      </c>
      <c r="H14823" s="41">
        <v>69.48639</v>
      </c>
      <c r="I14823" s="221"/>
      <c r="J14823" s="221"/>
    </row>
    <row r="14824" spans="1:10" s="15" customFormat="1" ht="24" hidden="1" customHeight="1" outlineLevel="1" x14ac:dyDescent="0.25">
      <c r="A14824" s="18">
        <v>3093</v>
      </c>
      <c r="B14824" s="4" t="s">
        <v>44</v>
      </c>
      <c r="C14824" s="38" t="s">
        <v>9222</v>
      </c>
      <c r="D14824" s="18">
        <v>2023</v>
      </c>
      <c r="E14824" s="18" t="s">
        <v>0</v>
      </c>
      <c r="F14824" s="41">
        <v>2</v>
      </c>
      <c r="G14824" s="41">
        <v>150</v>
      </c>
      <c r="H14824" s="41">
        <v>169.15860999999998</v>
      </c>
      <c r="I14824" s="221"/>
      <c r="J14824" s="221"/>
    </row>
    <row r="14825" spans="1:10" s="15" customFormat="1" ht="24" hidden="1" customHeight="1" outlineLevel="1" x14ac:dyDescent="0.25">
      <c r="A14825" s="18">
        <v>3087</v>
      </c>
      <c r="B14825" s="4" t="s">
        <v>44</v>
      </c>
      <c r="C14825" s="38" t="s">
        <v>9057</v>
      </c>
      <c r="D14825" s="18">
        <v>2023</v>
      </c>
      <c r="E14825" s="18" t="s">
        <v>0</v>
      </c>
      <c r="F14825" s="41">
        <v>2</v>
      </c>
      <c r="G14825" s="41">
        <v>150</v>
      </c>
      <c r="H14825" s="41">
        <v>330.30939000000001</v>
      </c>
      <c r="I14825" s="221"/>
      <c r="J14825" s="221"/>
    </row>
    <row r="14826" spans="1:10" s="15" customFormat="1" ht="24" hidden="1" customHeight="1" outlineLevel="1" x14ac:dyDescent="0.25">
      <c r="A14826" s="18">
        <v>411</v>
      </c>
      <c r="B14826" s="4" t="s">
        <v>44</v>
      </c>
      <c r="C14826" s="38" t="s">
        <v>8436</v>
      </c>
      <c r="D14826" s="18">
        <v>2023</v>
      </c>
      <c r="E14826" s="18" t="s">
        <v>0</v>
      </c>
      <c r="F14826" s="41">
        <v>1</v>
      </c>
      <c r="G14826" s="41">
        <v>15</v>
      </c>
      <c r="H14826" s="41">
        <v>50.528399999999998</v>
      </c>
      <c r="I14826" s="221"/>
      <c r="J14826" s="221"/>
    </row>
    <row r="14827" spans="1:10" s="15" customFormat="1" ht="24" hidden="1" customHeight="1" outlineLevel="1" x14ac:dyDescent="0.25">
      <c r="A14827" s="18">
        <v>4248</v>
      </c>
      <c r="B14827" s="4" t="s">
        <v>44</v>
      </c>
      <c r="C14827" s="38" t="s">
        <v>8437</v>
      </c>
      <c r="D14827" s="18">
        <v>2023</v>
      </c>
      <c r="E14827" s="18" t="s">
        <v>0</v>
      </c>
      <c r="F14827" s="41">
        <v>1</v>
      </c>
      <c r="G14827" s="41">
        <v>30</v>
      </c>
      <c r="H14827" s="41">
        <v>60.533610000000003</v>
      </c>
      <c r="I14827" s="221"/>
      <c r="J14827" s="221"/>
    </row>
    <row r="14828" spans="1:10" s="15" customFormat="1" ht="24" hidden="1" customHeight="1" outlineLevel="1" x14ac:dyDescent="0.25">
      <c r="A14828" s="18">
        <v>351</v>
      </c>
      <c r="B14828" s="4" t="s">
        <v>44</v>
      </c>
      <c r="C14828" s="38" t="s">
        <v>8438</v>
      </c>
      <c r="D14828" s="18">
        <v>2023</v>
      </c>
      <c r="E14828" s="18" t="s">
        <v>0</v>
      </c>
      <c r="F14828" s="41">
        <v>1</v>
      </c>
      <c r="G14828" s="41">
        <v>15</v>
      </c>
      <c r="H14828" s="41">
        <v>58.181100000000001</v>
      </c>
      <c r="I14828" s="221"/>
      <c r="J14828" s="221"/>
    </row>
    <row r="14829" spans="1:10" s="15" customFormat="1" ht="24" hidden="1" customHeight="1" outlineLevel="1" x14ac:dyDescent="0.25">
      <c r="A14829" s="18">
        <v>415</v>
      </c>
      <c r="B14829" s="4" t="s">
        <v>44</v>
      </c>
      <c r="C14829" s="38" t="s">
        <v>8439</v>
      </c>
      <c r="D14829" s="18">
        <v>2023</v>
      </c>
      <c r="E14829" s="18" t="s">
        <v>0</v>
      </c>
      <c r="F14829" s="41">
        <v>1</v>
      </c>
      <c r="G14829" s="41">
        <v>15</v>
      </c>
      <c r="H14829" s="41">
        <v>63.354410000000001</v>
      </c>
      <c r="I14829" s="221"/>
      <c r="J14829" s="221"/>
    </row>
    <row r="14830" spans="1:10" s="15" customFormat="1" ht="24" hidden="1" customHeight="1" outlineLevel="1" x14ac:dyDescent="0.25">
      <c r="A14830" s="18">
        <v>4250</v>
      </c>
      <c r="B14830" s="4" t="s">
        <v>44</v>
      </c>
      <c r="C14830" s="38" t="s">
        <v>8440</v>
      </c>
      <c r="D14830" s="18">
        <v>2023</v>
      </c>
      <c r="E14830" s="18" t="s">
        <v>0</v>
      </c>
      <c r="F14830" s="41">
        <v>1</v>
      </c>
      <c r="G14830" s="41">
        <v>15</v>
      </c>
      <c r="H14830" s="41">
        <v>48.064389999999996</v>
      </c>
      <c r="I14830" s="221"/>
      <c r="J14830" s="221"/>
    </row>
    <row r="14831" spans="1:10" s="15" customFormat="1" ht="24" hidden="1" customHeight="1" outlineLevel="1" x14ac:dyDescent="0.25">
      <c r="A14831" s="18">
        <v>4249</v>
      </c>
      <c r="B14831" s="4" t="s">
        <v>44</v>
      </c>
      <c r="C14831" s="38" t="s">
        <v>8441</v>
      </c>
      <c r="D14831" s="18">
        <v>2023</v>
      </c>
      <c r="E14831" s="18" t="s">
        <v>0</v>
      </c>
      <c r="F14831" s="41">
        <v>1</v>
      </c>
      <c r="G14831" s="41">
        <v>15</v>
      </c>
      <c r="H14831" s="41">
        <v>50.984750000000005</v>
      </c>
      <c r="I14831" s="221"/>
      <c r="J14831" s="221"/>
    </row>
    <row r="14832" spans="1:10" s="15" customFormat="1" ht="24" hidden="1" customHeight="1" outlineLevel="1" x14ac:dyDescent="0.25">
      <c r="A14832" s="18">
        <v>4322</v>
      </c>
      <c r="B14832" s="4" t="s">
        <v>44</v>
      </c>
      <c r="C14832" s="38" t="s">
        <v>12522</v>
      </c>
      <c r="D14832" s="18">
        <v>2023</v>
      </c>
      <c r="E14832" s="18" t="s">
        <v>0</v>
      </c>
      <c r="F14832" s="41">
        <v>1</v>
      </c>
      <c r="G14832" s="41">
        <v>5</v>
      </c>
      <c r="H14832" s="41">
        <v>34.459029999999998</v>
      </c>
      <c r="I14832" s="221"/>
      <c r="J14832" s="221"/>
    </row>
    <row r="14833" spans="1:10" s="15" customFormat="1" ht="24" hidden="1" customHeight="1" outlineLevel="1" x14ac:dyDescent="0.25">
      <c r="A14833" s="18">
        <v>4323</v>
      </c>
      <c r="B14833" s="4" t="s">
        <v>44</v>
      </c>
      <c r="C14833" s="38" t="s">
        <v>12523</v>
      </c>
      <c r="D14833" s="18">
        <v>2023</v>
      </c>
      <c r="E14833" s="18" t="s">
        <v>0</v>
      </c>
      <c r="F14833" s="41">
        <v>1</v>
      </c>
      <c r="G14833" s="151">
        <v>7.5</v>
      </c>
      <c r="H14833" s="41">
        <v>34.56324</v>
      </c>
      <c r="I14833" s="221"/>
      <c r="J14833" s="221"/>
    </row>
    <row r="14834" spans="1:10" s="15" customFormat="1" ht="24" hidden="1" customHeight="1" outlineLevel="1" x14ac:dyDescent="0.25">
      <c r="A14834" s="18">
        <v>4323</v>
      </c>
      <c r="B14834" s="4" t="s">
        <v>44</v>
      </c>
      <c r="C14834" s="38" t="s">
        <v>12524</v>
      </c>
      <c r="D14834" s="18">
        <v>2023</v>
      </c>
      <c r="E14834" s="18" t="s">
        <v>0</v>
      </c>
      <c r="F14834" s="41">
        <v>1</v>
      </c>
      <c r="G14834" s="151">
        <v>7.5</v>
      </c>
      <c r="H14834" s="41">
        <v>34.56324</v>
      </c>
      <c r="I14834" s="221"/>
      <c r="J14834" s="221"/>
    </row>
    <row r="14835" spans="1:10" s="15" customFormat="1" ht="24" hidden="1" customHeight="1" outlineLevel="1" x14ac:dyDescent="0.25">
      <c r="A14835" s="18">
        <v>1985</v>
      </c>
      <c r="B14835" s="4" t="s">
        <v>44</v>
      </c>
      <c r="C14835" s="38" t="s">
        <v>12525</v>
      </c>
      <c r="D14835" s="18">
        <v>2023</v>
      </c>
      <c r="E14835" s="18" t="s">
        <v>0</v>
      </c>
      <c r="F14835" s="41">
        <v>1</v>
      </c>
      <c r="G14835" s="41">
        <v>9</v>
      </c>
      <c r="H14835" s="41">
        <v>34.991139999999994</v>
      </c>
      <c r="I14835" s="221"/>
      <c r="J14835" s="221"/>
    </row>
    <row r="14836" spans="1:10" s="15" customFormat="1" ht="24" hidden="1" customHeight="1" outlineLevel="1" x14ac:dyDescent="0.25">
      <c r="A14836" s="18">
        <v>2110</v>
      </c>
      <c r="B14836" s="4" t="s">
        <v>44</v>
      </c>
      <c r="C14836" s="38" t="s">
        <v>12526</v>
      </c>
      <c r="D14836" s="18">
        <v>2023</v>
      </c>
      <c r="E14836" s="18" t="s">
        <v>0</v>
      </c>
      <c r="F14836" s="41">
        <v>1</v>
      </c>
      <c r="G14836" s="41">
        <v>9</v>
      </c>
      <c r="H14836" s="41">
        <v>34.991170000000004</v>
      </c>
      <c r="I14836" s="221"/>
      <c r="J14836" s="221"/>
    </row>
    <row r="14837" spans="1:10" s="15" customFormat="1" ht="24" hidden="1" customHeight="1" outlineLevel="1" x14ac:dyDescent="0.25">
      <c r="A14837" s="18">
        <v>4331</v>
      </c>
      <c r="B14837" s="4" t="s">
        <v>44</v>
      </c>
      <c r="C14837" s="38" t="s">
        <v>12527</v>
      </c>
      <c r="D14837" s="18">
        <v>2023</v>
      </c>
      <c r="E14837" s="18" t="s">
        <v>0</v>
      </c>
      <c r="F14837" s="41">
        <v>1</v>
      </c>
      <c r="G14837" s="41">
        <v>30</v>
      </c>
      <c r="H14837" s="41">
        <v>34.991160000000001</v>
      </c>
      <c r="I14837" s="221"/>
      <c r="J14837" s="221"/>
    </row>
    <row r="14838" spans="1:10" s="15" customFormat="1" ht="24" hidden="1" customHeight="1" outlineLevel="1" x14ac:dyDescent="0.25">
      <c r="A14838" s="18">
        <v>4332</v>
      </c>
      <c r="B14838" s="4" t="s">
        <v>44</v>
      </c>
      <c r="C14838" s="38" t="s">
        <v>12528</v>
      </c>
      <c r="D14838" s="18">
        <v>2023</v>
      </c>
      <c r="E14838" s="18" t="s">
        <v>0</v>
      </c>
      <c r="F14838" s="41">
        <v>1</v>
      </c>
      <c r="G14838" s="41">
        <v>144</v>
      </c>
      <c r="H14838" s="41">
        <v>97.577059999999989</v>
      </c>
      <c r="I14838" s="221"/>
      <c r="J14838" s="221"/>
    </row>
    <row r="14839" spans="1:10" s="15" customFormat="1" ht="24" hidden="1" customHeight="1" outlineLevel="1" x14ac:dyDescent="0.25">
      <c r="A14839" s="18">
        <v>4252</v>
      </c>
      <c r="B14839" s="4" t="s">
        <v>44</v>
      </c>
      <c r="C14839" s="38" t="s">
        <v>8444</v>
      </c>
      <c r="D14839" s="18">
        <v>2023</v>
      </c>
      <c r="E14839" s="18" t="s">
        <v>0</v>
      </c>
      <c r="F14839" s="41">
        <v>1</v>
      </c>
      <c r="G14839" s="41">
        <v>15</v>
      </c>
      <c r="H14839" s="41">
        <v>48.555569999999996</v>
      </c>
      <c r="I14839" s="221"/>
      <c r="J14839" s="221"/>
    </row>
    <row r="14840" spans="1:10" s="15" customFormat="1" ht="24" hidden="1" customHeight="1" outlineLevel="1" x14ac:dyDescent="0.25">
      <c r="A14840" s="18">
        <v>4333</v>
      </c>
      <c r="B14840" s="4" t="s">
        <v>44</v>
      </c>
      <c r="C14840" s="38" t="s">
        <v>12529</v>
      </c>
      <c r="D14840" s="18">
        <v>2023</v>
      </c>
      <c r="E14840" s="18" t="s">
        <v>0</v>
      </c>
      <c r="F14840" s="41">
        <v>1</v>
      </c>
      <c r="G14840" s="151">
        <v>14.5</v>
      </c>
      <c r="H14840" s="41">
        <v>35.59046</v>
      </c>
      <c r="I14840" s="221"/>
      <c r="J14840" s="221"/>
    </row>
    <row r="14841" spans="1:10" s="15" customFormat="1" ht="24" hidden="1" customHeight="1" outlineLevel="1" x14ac:dyDescent="0.25">
      <c r="A14841" s="18">
        <v>4334</v>
      </c>
      <c r="B14841" s="4" t="s">
        <v>44</v>
      </c>
      <c r="C14841" s="38" t="s">
        <v>12530</v>
      </c>
      <c r="D14841" s="18">
        <v>2023</v>
      </c>
      <c r="E14841" s="18" t="s">
        <v>0</v>
      </c>
      <c r="F14841" s="41">
        <v>1</v>
      </c>
      <c r="G14841" s="41">
        <v>7</v>
      </c>
      <c r="H14841" s="41">
        <v>38.204429999999995</v>
      </c>
      <c r="I14841" s="221"/>
      <c r="J14841" s="221"/>
    </row>
    <row r="14842" spans="1:10" s="15" customFormat="1" ht="24" hidden="1" customHeight="1" outlineLevel="1" x14ac:dyDescent="0.25">
      <c r="A14842" s="18">
        <v>4335</v>
      </c>
      <c r="B14842" s="4" t="s">
        <v>44</v>
      </c>
      <c r="C14842" s="38" t="s">
        <v>12531</v>
      </c>
      <c r="D14842" s="18">
        <v>2023</v>
      </c>
      <c r="E14842" s="18" t="s">
        <v>0</v>
      </c>
      <c r="F14842" s="41">
        <v>1</v>
      </c>
      <c r="G14842" s="41">
        <v>100</v>
      </c>
      <c r="H14842" s="41">
        <v>38.162739999999999</v>
      </c>
      <c r="I14842" s="221"/>
      <c r="J14842" s="221"/>
    </row>
    <row r="14843" spans="1:10" s="15" customFormat="1" ht="24" hidden="1" customHeight="1" outlineLevel="1" x14ac:dyDescent="0.25">
      <c r="A14843" s="18">
        <v>585</v>
      </c>
      <c r="B14843" s="4" t="s">
        <v>44</v>
      </c>
      <c r="C14843" s="38" t="s">
        <v>8445</v>
      </c>
      <c r="D14843" s="18">
        <v>2023</v>
      </c>
      <c r="E14843" s="18" t="s">
        <v>0</v>
      </c>
      <c r="F14843" s="41">
        <v>1</v>
      </c>
      <c r="G14843" s="41">
        <v>15</v>
      </c>
      <c r="H14843" s="41">
        <v>48.949189999999994</v>
      </c>
      <c r="I14843" s="221"/>
      <c r="J14843" s="221"/>
    </row>
    <row r="14844" spans="1:10" s="15" customFormat="1" ht="24" hidden="1" customHeight="1" outlineLevel="1" x14ac:dyDescent="0.25">
      <c r="A14844" s="18">
        <v>3206</v>
      </c>
      <c r="B14844" s="4" t="s">
        <v>44</v>
      </c>
      <c r="C14844" s="38" t="s">
        <v>8446</v>
      </c>
      <c r="D14844" s="18">
        <v>2023</v>
      </c>
      <c r="E14844" s="18" t="s">
        <v>0</v>
      </c>
      <c r="F14844" s="41">
        <v>1</v>
      </c>
      <c r="G14844" s="41">
        <v>15</v>
      </c>
      <c r="H14844" s="41">
        <v>49.003489999999999</v>
      </c>
      <c r="I14844" s="221"/>
      <c r="J14844" s="221"/>
    </row>
    <row r="14845" spans="1:10" s="15" customFormat="1" ht="24" hidden="1" customHeight="1" outlineLevel="1" x14ac:dyDescent="0.25">
      <c r="A14845" s="18">
        <v>1452</v>
      </c>
      <c r="B14845" s="4" t="s">
        <v>44</v>
      </c>
      <c r="C14845" s="38" t="s">
        <v>8448</v>
      </c>
      <c r="D14845" s="18">
        <v>2023</v>
      </c>
      <c r="E14845" s="18" t="s">
        <v>0</v>
      </c>
      <c r="F14845" s="41">
        <v>1</v>
      </c>
      <c r="G14845" s="41">
        <v>15</v>
      </c>
      <c r="H14845" s="41">
        <v>53.674279999999996</v>
      </c>
      <c r="I14845" s="221"/>
      <c r="J14845" s="221"/>
    </row>
    <row r="14846" spans="1:10" s="15" customFormat="1" ht="24" hidden="1" customHeight="1" outlineLevel="1" x14ac:dyDescent="0.25">
      <c r="A14846" s="18">
        <v>1785</v>
      </c>
      <c r="B14846" s="4" t="s">
        <v>44</v>
      </c>
      <c r="C14846" s="38" t="s">
        <v>8449</v>
      </c>
      <c r="D14846" s="18">
        <v>2023</v>
      </c>
      <c r="E14846" s="18" t="s">
        <v>0</v>
      </c>
      <c r="F14846" s="41">
        <v>1</v>
      </c>
      <c r="G14846" s="41">
        <v>15</v>
      </c>
      <c r="H14846" s="41">
        <v>55.758240000000001</v>
      </c>
      <c r="I14846" s="221"/>
      <c r="J14846" s="221"/>
    </row>
    <row r="14847" spans="1:10" s="15" customFormat="1" ht="24" hidden="1" customHeight="1" outlineLevel="1" x14ac:dyDescent="0.25">
      <c r="A14847" s="18">
        <v>438</v>
      </c>
      <c r="B14847" s="4" t="s">
        <v>44</v>
      </c>
      <c r="C14847" s="38" t="s">
        <v>8450</v>
      </c>
      <c r="D14847" s="18">
        <v>2023</v>
      </c>
      <c r="E14847" s="18" t="s">
        <v>0</v>
      </c>
      <c r="F14847" s="41">
        <v>1</v>
      </c>
      <c r="G14847" s="41">
        <v>15</v>
      </c>
      <c r="H14847" s="41">
        <v>48.262230000000002</v>
      </c>
      <c r="I14847" s="221"/>
      <c r="J14847" s="221"/>
    </row>
    <row r="14848" spans="1:10" s="15" customFormat="1" ht="24" hidden="1" customHeight="1" outlineLevel="1" x14ac:dyDescent="0.25">
      <c r="A14848" s="18">
        <v>4336</v>
      </c>
      <c r="B14848" s="4" t="s">
        <v>44</v>
      </c>
      <c r="C14848" s="38" t="s">
        <v>12532</v>
      </c>
      <c r="D14848" s="18">
        <v>2023</v>
      </c>
      <c r="E14848" s="18" t="s">
        <v>0</v>
      </c>
      <c r="F14848" s="41">
        <v>1</v>
      </c>
      <c r="G14848" s="41">
        <v>15</v>
      </c>
      <c r="H14848" s="41">
        <v>35.208770000000001</v>
      </c>
      <c r="I14848" s="221"/>
      <c r="J14848" s="221"/>
    </row>
    <row r="14849" spans="1:10" s="15" customFormat="1" ht="24" hidden="1" customHeight="1" outlineLevel="1" x14ac:dyDescent="0.25">
      <c r="A14849" s="18">
        <v>1657</v>
      </c>
      <c r="B14849" s="4" t="s">
        <v>44</v>
      </c>
      <c r="C14849" s="38" t="s">
        <v>12533</v>
      </c>
      <c r="D14849" s="18">
        <v>2023</v>
      </c>
      <c r="E14849" s="18" t="s">
        <v>0</v>
      </c>
      <c r="F14849" s="41">
        <v>1</v>
      </c>
      <c r="G14849" s="41">
        <v>9</v>
      </c>
      <c r="H14849" s="41">
        <v>39.219670000000001</v>
      </c>
      <c r="I14849" s="221"/>
      <c r="J14849" s="221"/>
    </row>
    <row r="14850" spans="1:10" s="15" customFormat="1" ht="24" hidden="1" customHeight="1" outlineLevel="1" x14ac:dyDescent="0.25">
      <c r="A14850" s="18">
        <v>1623</v>
      </c>
      <c r="B14850" s="4" t="s">
        <v>44</v>
      </c>
      <c r="C14850" s="38" t="s">
        <v>12534</v>
      </c>
      <c r="D14850" s="18">
        <v>2023</v>
      </c>
      <c r="E14850" s="18" t="s">
        <v>0</v>
      </c>
      <c r="F14850" s="41">
        <v>1</v>
      </c>
      <c r="G14850" s="41">
        <v>9</v>
      </c>
      <c r="H14850" s="41">
        <v>35.86909</v>
      </c>
      <c r="I14850" s="221"/>
      <c r="J14850" s="221"/>
    </row>
    <row r="14851" spans="1:10" s="15" customFormat="1" ht="24" hidden="1" customHeight="1" outlineLevel="1" x14ac:dyDescent="0.25">
      <c r="A14851" s="18">
        <v>4338</v>
      </c>
      <c r="B14851" s="4" t="s">
        <v>44</v>
      </c>
      <c r="C14851" s="38" t="s">
        <v>12535</v>
      </c>
      <c r="D14851" s="18">
        <v>2023</v>
      </c>
      <c r="E14851" s="18" t="s">
        <v>0</v>
      </c>
      <c r="F14851" s="41">
        <v>1</v>
      </c>
      <c r="G14851" s="41">
        <v>13</v>
      </c>
      <c r="H14851" s="41">
        <v>35.649340000000002</v>
      </c>
      <c r="I14851" s="221"/>
      <c r="J14851" s="221"/>
    </row>
    <row r="14852" spans="1:10" s="15" customFormat="1" ht="24" hidden="1" customHeight="1" outlineLevel="1" x14ac:dyDescent="0.25">
      <c r="A14852" s="18">
        <v>4339</v>
      </c>
      <c r="B14852" s="4" t="s">
        <v>44</v>
      </c>
      <c r="C14852" s="38" t="s">
        <v>12536</v>
      </c>
      <c r="D14852" s="18">
        <v>2023</v>
      </c>
      <c r="E14852" s="18" t="s">
        <v>0</v>
      </c>
      <c r="F14852" s="41">
        <v>1</v>
      </c>
      <c r="G14852" s="41">
        <v>13.5</v>
      </c>
      <c r="H14852" s="41">
        <v>35.649329999999999</v>
      </c>
      <c r="I14852" s="221"/>
      <c r="J14852" s="221"/>
    </row>
    <row r="14853" spans="1:10" s="15" customFormat="1" ht="24" hidden="1" customHeight="1" outlineLevel="1" x14ac:dyDescent="0.25">
      <c r="A14853" s="18">
        <v>4244</v>
      </c>
      <c r="B14853" s="4" t="s">
        <v>44</v>
      </c>
      <c r="C14853" s="38" t="s">
        <v>8452</v>
      </c>
      <c r="D14853" s="18">
        <v>2023</v>
      </c>
      <c r="E14853" s="18" t="s">
        <v>0</v>
      </c>
      <c r="F14853" s="41">
        <v>1</v>
      </c>
      <c r="G14853" s="41">
        <v>15</v>
      </c>
      <c r="H14853" s="41">
        <v>53.679230000000004</v>
      </c>
      <c r="I14853" s="221"/>
      <c r="J14853" s="221"/>
    </row>
    <row r="14854" spans="1:10" s="15" customFormat="1" ht="24" hidden="1" customHeight="1" outlineLevel="1" x14ac:dyDescent="0.25">
      <c r="A14854" s="18">
        <v>4349</v>
      </c>
      <c r="B14854" s="4" t="s">
        <v>44</v>
      </c>
      <c r="C14854" s="38" t="s">
        <v>12537</v>
      </c>
      <c r="D14854" s="18">
        <v>2023</v>
      </c>
      <c r="E14854" s="18" t="s">
        <v>0</v>
      </c>
      <c r="F14854" s="41">
        <v>1</v>
      </c>
      <c r="G14854" s="41">
        <v>15</v>
      </c>
      <c r="H14854" s="41">
        <v>37.06785</v>
      </c>
      <c r="I14854" s="221"/>
      <c r="J14854" s="221"/>
    </row>
    <row r="14855" spans="1:10" s="15" customFormat="1" ht="24" hidden="1" customHeight="1" outlineLevel="1" x14ac:dyDescent="0.25">
      <c r="A14855" s="18">
        <v>4350</v>
      </c>
      <c r="B14855" s="4" t="s">
        <v>44</v>
      </c>
      <c r="C14855" s="38" t="s">
        <v>12538</v>
      </c>
      <c r="D14855" s="18">
        <v>2023</v>
      </c>
      <c r="E14855" s="18" t="s">
        <v>0</v>
      </c>
      <c r="F14855" s="41">
        <v>1</v>
      </c>
      <c r="G14855" s="41">
        <v>15</v>
      </c>
      <c r="H14855" s="41">
        <v>36.832049999999995</v>
      </c>
      <c r="I14855" s="221"/>
      <c r="J14855" s="221"/>
    </row>
    <row r="14856" spans="1:10" s="15" customFormat="1" ht="24" hidden="1" customHeight="1" outlineLevel="1" x14ac:dyDescent="0.25">
      <c r="A14856" s="18">
        <v>4351</v>
      </c>
      <c r="B14856" s="4" t="s">
        <v>44</v>
      </c>
      <c r="C14856" s="38" t="s">
        <v>12539</v>
      </c>
      <c r="D14856" s="18">
        <v>2023</v>
      </c>
      <c r="E14856" s="18" t="s">
        <v>0</v>
      </c>
      <c r="F14856" s="41">
        <v>1</v>
      </c>
      <c r="G14856" s="41">
        <v>15</v>
      </c>
      <c r="H14856" s="41">
        <v>37.067839999999997</v>
      </c>
      <c r="I14856" s="221"/>
      <c r="J14856" s="221"/>
    </row>
    <row r="14857" spans="1:10" s="15" customFormat="1" ht="24" hidden="1" customHeight="1" outlineLevel="1" x14ac:dyDescent="0.25">
      <c r="A14857" s="18">
        <v>4352</v>
      </c>
      <c r="B14857" s="4" t="s">
        <v>44</v>
      </c>
      <c r="C14857" s="38" t="s">
        <v>12540</v>
      </c>
      <c r="D14857" s="18">
        <v>2023</v>
      </c>
      <c r="E14857" s="18" t="s">
        <v>0</v>
      </c>
      <c r="F14857" s="41">
        <v>1</v>
      </c>
      <c r="G14857" s="41">
        <v>651</v>
      </c>
      <c r="H14857" s="41">
        <v>468.85242999999997</v>
      </c>
      <c r="I14857" s="221"/>
      <c r="J14857" s="221"/>
    </row>
    <row r="14858" spans="1:10" s="15" customFormat="1" ht="24" hidden="1" customHeight="1" outlineLevel="1" x14ac:dyDescent="0.25">
      <c r="A14858" s="18">
        <v>4353</v>
      </c>
      <c r="B14858" s="4" t="s">
        <v>44</v>
      </c>
      <c r="C14858" s="38" t="s">
        <v>12541</v>
      </c>
      <c r="D14858" s="18">
        <v>2023</v>
      </c>
      <c r="E14858" s="18" t="s">
        <v>0</v>
      </c>
      <c r="F14858" s="41">
        <v>1</v>
      </c>
      <c r="G14858" s="41">
        <v>500</v>
      </c>
      <c r="H14858" s="41">
        <v>468.85239000000001</v>
      </c>
      <c r="I14858" s="221"/>
      <c r="J14858" s="221"/>
    </row>
    <row r="14859" spans="1:10" s="15" customFormat="1" ht="24" hidden="1" customHeight="1" outlineLevel="1" x14ac:dyDescent="0.25">
      <c r="A14859" s="18">
        <v>4354</v>
      </c>
      <c r="B14859" s="4" t="s">
        <v>44</v>
      </c>
      <c r="C14859" s="38" t="s">
        <v>12542</v>
      </c>
      <c r="D14859" s="18">
        <v>2023</v>
      </c>
      <c r="E14859" s="18" t="s">
        <v>0</v>
      </c>
      <c r="F14859" s="41">
        <v>1</v>
      </c>
      <c r="G14859" s="41">
        <v>15</v>
      </c>
      <c r="H14859" s="41">
        <v>36.832149999999999</v>
      </c>
      <c r="I14859" s="221"/>
      <c r="J14859" s="221"/>
    </row>
    <row r="14860" spans="1:10" s="15" customFormat="1" ht="24" hidden="1" customHeight="1" outlineLevel="1" x14ac:dyDescent="0.25">
      <c r="A14860" s="18">
        <v>4355</v>
      </c>
      <c r="B14860" s="4" t="s">
        <v>44</v>
      </c>
      <c r="C14860" s="38" t="s">
        <v>12543</v>
      </c>
      <c r="D14860" s="18">
        <v>2023</v>
      </c>
      <c r="E14860" s="18" t="s">
        <v>0</v>
      </c>
      <c r="F14860" s="41">
        <v>1</v>
      </c>
      <c r="G14860" s="41">
        <v>15</v>
      </c>
      <c r="H14860" s="41">
        <v>37.067979999999999</v>
      </c>
      <c r="I14860" s="221"/>
      <c r="J14860" s="221"/>
    </row>
    <row r="14861" spans="1:10" s="15" customFormat="1" ht="24" hidden="1" customHeight="1" outlineLevel="1" x14ac:dyDescent="0.25">
      <c r="A14861" s="18">
        <v>4355</v>
      </c>
      <c r="B14861" s="4" t="s">
        <v>44</v>
      </c>
      <c r="C14861" s="38" t="s">
        <v>12544</v>
      </c>
      <c r="D14861" s="18">
        <v>2023</v>
      </c>
      <c r="E14861" s="18" t="s">
        <v>0</v>
      </c>
      <c r="F14861" s="41">
        <v>1</v>
      </c>
      <c r="G14861" s="41">
        <v>15</v>
      </c>
      <c r="H14861" s="41">
        <v>37.067979999999999</v>
      </c>
      <c r="I14861" s="221"/>
      <c r="J14861" s="221"/>
    </row>
    <row r="14862" spans="1:10" s="15" customFormat="1" ht="24" hidden="1" customHeight="1" outlineLevel="1" x14ac:dyDescent="0.25">
      <c r="A14862" s="18">
        <v>3341</v>
      </c>
      <c r="B14862" s="4" t="s">
        <v>44</v>
      </c>
      <c r="C14862" s="38" t="s">
        <v>9058</v>
      </c>
      <c r="D14862" s="18">
        <v>2023</v>
      </c>
      <c r="E14862" s="18" t="s">
        <v>0</v>
      </c>
      <c r="F14862" s="41">
        <v>2</v>
      </c>
      <c r="G14862" s="41">
        <v>100</v>
      </c>
      <c r="H14862" s="41">
        <v>345.87326999999999</v>
      </c>
      <c r="I14862" s="221"/>
      <c r="J14862" s="221"/>
    </row>
    <row r="14863" spans="1:10" s="15" customFormat="1" ht="24" hidden="1" customHeight="1" outlineLevel="1" x14ac:dyDescent="0.25">
      <c r="A14863" s="18">
        <v>980</v>
      </c>
      <c r="B14863" s="4" t="s">
        <v>44</v>
      </c>
      <c r="C14863" s="38" t="s">
        <v>8454</v>
      </c>
      <c r="D14863" s="18">
        <v>2023</v>
      </c>
      <c r="E14863" s="18" t="s">
        <v>0</v>
      </c>
      <c r="F14863" s="41">
        <v>1</v>
      </c>
      <c r="G14863" s="41">
        <v>15</v>
      </c>
      <c r="H14863" s="41">
        <v>53.174810000000001</v>
      </c>
      <c r="I14863" s="221"/>
      <c r="J14863" s="221"/>
    </row>
    <row r="14864" spans="1:10" s="15" customFormat="1" ht="24" hidden="1" customHeight="1" outlineLevel="1" x14ac:dyDescent="0.25">
      <c r="A14864" s="18">
        <v>1786</v>
      </c>
      <c r="B14864" s="4" t="s">
        <v>44</v>
      </c>
      <c r="C14864" s="38" t="s">
        <v>8457</v>
      </c>
      <c r="D14864" s="18">
        <v>2023</v>
      </c>
      <c r="E14864" s="18" t="s">
        <v>0</v>
      </c>
      <c r="F14864" s="41">
        <v>1</v>
      </c>
      <c r="G14864" s="41">
        <v>15</v>
      </c>
      <c r="H14864" s="41">
        <v>51.408819999999999</v>
      </c>
      <c r="I14864" s="221"/>
      <c r="J14864" s="221"/>
    </row>
    <row r="14865" spans="1:10" s="15" customFormat="1" ht="24" hidden="1" customHeight="1" outlineLevel="1" x14ac:dyDescent="0.25">
      <c r="A14865" s="18">
        <v>2852</v>
      </c>
      <c r="B14865" s="4" t="s">
        <v>44</v>
      </c>
      <c r="C14865" s="38" t="s">
        <v>8458</v>
      </c>
      <c r="D14865" s="18">
        <v>2023</v>
      </c>
      <c r="E14865" s="18" t="s">
        <v>0</v>
      </c>
      <c r="F14865" s="41">
        <v>1</v>
      </c>
      <c r="G14865" s="41">
        <v>15</v>
      </c>
      <c r="H14865" s="41">
        <v>47.177249999999994</v>
      </c>
      <c r="I14865" s="221"/>
      <c r="J14865" s="221"/>
    </row>
    <row r="14866" spans="1:10" s="15" customFormat="1" ht="24" hidden="1" customHeight="1" outlineLevel="1" x14ac:dyDescent="0.25">
      <c r="A14866" s="18">
        <v>590</v>
      </c>
      <c r="B14866" s="4" t="s">
        <v>44</v>
      </c>
      <c r="C14866" s="38" t="s">
        <v>8459</v>
      </c>
      <c r="D14866" s="18">
        <v>2023</v>
      </c>
      <c r="E14866" s="18" t="s">
        <v>0</v>
      </c>
      <c r="F14866" s="41">
        <v>1</v>
      </c>
      <c r="G14866" s="41">
        <v>15</v>
      </c>
      <c r="H14866" s="41">
        <v>54.730910000000002</v>
      </c>
      <c r="I14866" s="221"/>
      <c r="J14866" s="221"/>
    </row>
    <row r="14867" spans="1:10" s="15" customFormat="1" ht="24" hidden="1" customHeight="1" outlineLevel="1" x14ac:dyDescent="0.25">
      <c r="A14867" s="18">
        <v>4361</v>
      </c>
      <c r="B14867" s="4" t="s">
        <v>44</v>
      </c>
      <c r="C14867" s="38" t="s">
        <v>12545</v>
      </c>
      <c r="D14867" s="18">
        <v>2023</v>
      </c>
      <c r="E14867" s="18" t="s">
        <v>0</v>
      </c>
      <c r="F14867" s="41">
        <v>1</v>
      </c>
      <c r="G14867" s="41">
        <v>15</v>
      </c>
      <c r="H14867" s="41">
        <v>36.458539999999999</v>
      </c>
      <c r="I14867" s="221"/>
      <c r="J14867" s="221"/>
    </row>
    <row r="14868" spans="1:10" s="15" customFormat="1" ht="24" hidden="1" customHeight="1" outlineLevel="1" x14ac:dyDescent="0.25">
      <c r="A14868" s="18">
        <v>4362</v>
      </c>
      <c r="B14868" s="4" t="s">
        <v>44</v>
      </c>
      <c r="C14868" s="38" t="s">
        <v>12546</v>
      </c>
      <c r="D14868" s="18">
        <v>2023</v>
      </c>
      <c r="E14868" s="18" t="s">
        <v>0</v>
      </c>
      <c r="F14868" s="41">
        <v>1</v>
      </c>
      <c r="G14868" s="41">
        <v>80</v>
      </c>
      <c r="H14868" s="41">
        <v>41.917870000000001</v>
      </c>
      <c r="I14868" s="221"/>
      <c r="J14868" s="221"/>
    </row>
    <row r="14869" spans="1:10" s="15" customFormat="1" ht="24" hidden="1" customHeight="1" outlineLevel="1" x14ac:dyDescent="0.25">
      <c r="A14869" s="18">
        <v>1912</v>
      </c>
      <c r="B14869" s="4" t="s">
        <v>44</v>
      </c>
      <c r="C14869" s="38" t="s">
        <v>12547</v>
      </c>
      <c r="D14869" s="18">
        <v>2023</v>
      </c>
      <c r="E14869" s="18" t="s">
        <v>0</v>
      </c>
      <c r="F14869" s="41">
        <v>1</v>
      </c>
      <c r="G14869" s="41">
        <v>9</v>
      </c>
      <c r="H14869" s="41">
        <v>36.675270000000005</v>
      </c>
      <c r="I14869" s="221"/>
      <c r="J14869" s="221"/>
    </row>
    <row r="14870" spans="1:10" s="15" customFormat="1" ht="24" hidden="1" customHeight="1" outlineLevel="1" x14ac:dyDescent="0.25">
      <c r="A14870" s="18">
        <v>4364</v>
      </c>
      <c r="B14870" s="4" t="s">
        <v>44</v>
      </c>
      <c r="C14870" s="38" t="s">
        <v>12548</v>
      </c>
      <c r="D14870" s="18">
        <v>2023</v>
      </c>
      <c r="E14870" s="18" t="s">
        <v>0</v>
      </c>
      <c r="F14870" s="41">
        <v>1</v>
      </c>
      <c r="G14870" s="41">
        <v>15</v>
      </c>
      <c r="H14870" s="41">
        <v>40.233840000000001</v>
      </c>
      <c r="I14870" s="221"/>
      <c r="J14870" s="221"/>
    </row>
    <row r="14871" spans="1:10" s="15" customFormat="1" ht="24" hidden="1" customHeight="1" outlineLevel="1" x14ac:dyDescent="0.25">
      <c r="A14871" s="18">
        <v>4365</v>
      </c>
      <c r="B14871" s="4" t="s">
        <v>44</v>
      </c>
      <c r="C14871" s="38" t="s">
        <v>12549</v>
      </c>
      <c r="D14871" s="18">
        <v>2023</v>
      </c>
      <c r="E14871" s="18" t="s">
        <v>0</v>
      </c>
      <c r="F14871" s="41">
        <v>1</v>
      </c>
      <c r="G14871" s="41">
        <v>15</v>
      </c>
      <c r="H14871" s="41">
        <v>38.598229999999994</v>
      </c>
      <c r="I14871" s="221"/>
      <c r="J14871" s="221"/>
    </row>
    <row r="14872" spans="1:10" s="15" customFormat="1" ht="24" hidden="1" customHeight="1" outlineLevel="1" x14ac:dyDescent="0.25">
      <c r="A14872" s="18">
        <v>4366</v>
      </c>
      <c r="B14872" s="4" t="s">
        <v>44</v>
      </c>
      <c r="C14872" s="38" t="s">
        <v>12550</v>
      </c>
      <c r="D14872" s="18">
        <v>2023</v>
      </c>
      <c r="E14872" s="18" t="s">
        <v>0</v>
      </c>
      <c r="F14872" s="41">
        <v>1</v>
      </c>
      <c r="G14872" s="41">
        <v>15</v>
      </c>
      <c r="H14872" s="41">
        <v>38.416539999999998</v>
      </c>
      <c r="I14872" s="221"/>
      <c r="J14872" s="221"/>
    </row>
    <row r="14873" spans="1:10" s="15" customFormat="1" ht="24" hidden="1" customHeight="1" outlineLevel="1" x14ac:dyDescent="0.25">
      <c r="A14873" s="18">
        <v>2453</v>
      </c>
      <c r="B14873" s="4" t="s">
        <v>44</v>
      </c>
      <c r="C14873" s="38" t="s">
        <v>12551</v>
      </c>
      <c r="D14873" s="18">
        <v>2023</v>
      </c>
      <c r="E14873" s="18" t="s">
        <v>0</v>
      </c>
      <c r="F14873" s="41">
        <v>1</v>
      </c>
      <c r="G14873" s="41">
        <v>9</v>
      </c>
      <c r="H14873" s="41">
        <v>36.469429999999996</v>
      </c>
      <c r="I14873" s="221"/>
      <c r="J14873" s="221"/>
    </row>
    <row r="14874" spans="1:10" s="15" customFormat="1" ht="24" hidden="1" customHeight="1" outlineLevel="1" x14ac:dyDescent="0.25">
      <c r="A14874" s="18">
        <v>4368</v>
      </c>
      <c r="B14874" s="4" t="s">
        <v>44</v>
      </c>
      <c r="C14874" s="38" t="s">
        <v>12552</v>
      </c>
      <c r="D14874" s="18">
        <v>2023</v>
      </c>
      <c r="E14874" s="18" t="s">
        <v>0</v>
      </c>
      <c r="F14874" s="41">
        <v>1</v>
      </c>
      <c r="G14874" s="41">
        <v>15</v>
      </c>
      <c r="H14874" s="41">
        <v>36.470179999999999</v>
      </c>
      <c r="I14874" s="221"/>
      <c r="J14874" s="221"/>
    </row>
    <row r="14875" spans="1:10" s="15" customFormat="1" ht="24" hidden="1" customHeight="1" outlineLevel="1" x14ac:dyDescent="0.25">
      <c r="A14875" s="18">
        <v>4369</v>
      </c>
      <c r="B14875" s="4" t="s">
        <v>44</v>
      </c>
      <c r="C14875" s="38" t="s">
        <v>12553</v>
      </c>
      <c r="D14875" s="18">
        <v>2023</v>
      </c>
      <c r="E14875" s="18" t="s">
        <v>0</v>
      </c>
      <c r="F14875" s="41">
        <v>1</v>
      </c>
      <c r="G14875" s="41">
        <v>5</v>
      </c>
      <c r="H14875" s="41">
        <v>36.470190000000002</v>
      </c>
      <c r="I14875" s="221"/>
      <c r="J14875" s="221"/>
    </row>
    <row r="14876" spans="1:10" s="15" customFormat="1" ht="24" hidden="1" customHeight="1" outlineLevel="1" x14ac:dyDescent="0.25">
      <c r="A14876" s="18">
        <v>4256</v>
      </c>
      <c r="B14876" s="4" t="s">
        <v>44</v>
      </c>
      <c r="C14876" s="38" t="s">
        <v>8461</v>
      </c>
      <c r="D14876" s="18">
        <v>2023</v>
      </c>
      <c r="E14876" s="18" t="s">
        <v>0</v>
      </c>
      <c r="F14876" s="41">
        <v>1</v>
      </c>
      <c r="G14876" s="41">
        <v>15</v>
      </c>
      <c r="H14876" s="41">
        <v>46.714569999999995</v>
      </c>
      <c r="I14876" s="221"/>
      <c r="J14876" s="221"/>
    </row>
    <row r="14877" spans="1:10" s="15" customFormat="1" ht="24" hidden="1" customHeight="1" outlineLevel="1" x14ac:dyDescent="0.25">
      <c r="A14877" s="18">
        <v>2035</v>
      </c>
      <c r="B14877" s="4" t="s">
        <v>44</v>
      </c>
      <c r="C14877" s="38" t="s">
        <v>12554</v>
      </c>
      <c r="D14877" s="18">
        <v>2023</v>
      </c>
      <c r="E14877" s="18" t="s">
        <v>0</v>
      </c>
      <c r="F14877" s="41">
        <v>1</v>
      </c>
      <c r="G14877" s="41">
        <v>15</v>
      </c>
      <c r="H14877" s="41">
        <v>36.909799999999997</v>
      </c>
      <c r="I14877" s="221"/>
      <c r="J14877" s="221"/>
    </row>
    <row r="14878" spans="1:10" s="15" customFormat="1" ht="24" hidden="1" customHeight="1" outlineLevel="1" x14ac:dyDescent="0.25">
      <c r="A14878" s="18">
        <v>4370</v>
      </c>
      <c r="B14878" s="4" t="s">
        <v>44</v>
      </c>
      <c r="C14878" s="38" t="s">
        <v>12555</v>
      </c>
      <c r="D14878" s="18">
        <v>2023</v>
      </c>
      <c r="E14878" s="18" t="s">
        <v>0</v>
      </c>
      <c r="F14878" s="41">
        <v>1</v>
      </c>
      <c r="G14878" s="41">
        <v>7.5</v>
      </c>
      <c r="H14878" s="41">
        <v>35.957259999999998</v>
      </c>
      <c r="I14878" s="221"/>
      <c r="J14878" s="221"/>
    </row>
    <row r="14879" spans="1:10" s="15" customFormat="1" ht="24" hidden="1" customHeight="1" outlineLevel="1" x14ac:dyDescent="0.25">
      <c r="A14879" s="18">
        <v>4371</v>
      </c>
      <c r="B14879" s="4" t="s">
        <v>44</v>
      </c>
      <c r="C14879" s="38" t="s">
        <v>12556</v>
      </c>
      <c r="D14879" s="18">
        <v>2023</v>
      </c>
      <c r="E14879" s="18" t="s">
        <v>0</v>
      </c>
      <c r="F14879" s="41">
        <v>1</v>
      </c>
      <c r="G14879" s="41">
        <v>10</v>
      </c>
      <c r="H14879" s="41">
        <v>36.908200000000001</v>
      </c>
      <c r="I14879" s="221"/>
      <c r="J14879" s="221"/>
    </row>
    <row r="14880" spans="1:10" s="15" customFormat="1" ht="24" hidden="1" customHeight="1" outlineLevel="1" x14ac:dyDescent="0.25">
      <c r="A14880" s="18">
        <v>4258</v>
      </c>
      <c r="B14880" s="4" t="s">
        <v>44</v>
      </c>
      <c r="C14880" s="38" t="s">
        <v>8463</v>
      </c>
      <c r="D14880" s="18">
        <v>2023</v>
      </c>
      <c r="E14880" s="18" t="s">
        <v>0</v>
      </c>
      <c r="F14880" s="41">
        <v>1</v>
      </c>
      <c r="G14880" s="41">
        <v>7.5</v>
      </c>
      <c r="H14880" s="41">
        <v>44.953399999999995</v>
      </c>
      <c r="I14880" s="221"/>
      <c r="J14880" s="221"/>
    </row>
    <row r="14881" spans="1:10" s="15" customFormat="1" ht="24" hidden="1" customHeight="1" outlineLevel="1" x14ac:dyDescent="0.25">
      <c r="A14881" s="18">
        <v>1718</v>
      </c>
      <c r="B14881" s="4" t="s">
        <v>44</v>
      </c>
      <c r="C14881" s="38" t="s">
        <v>8465</v>
      </c>
      <c r="D14881" s="18">
        <v>2023</v>
      </c>
      <c r="E14881" s="18" t="s">
        <v>0</v>
      </c>
      <c r="F14881" s="41">
        <v>1</v>
      </c>
      <c r="G14881" s="41">
        <v>15</v>
      </c>
      <c r="H14881" s="41">
        <v>81.98039</v>
      </c>
      <c r="I14881" s="221"/>
      <c r="J14881" s="221"/>
    </row>
    <row r="14882" spans="1:10" s="15" customFormat="1" ht="24" hidden="1" customHeight="1" outlineLevel="1" x14ac:dyDescent="0.25">
      <c r="A14882" s="18">
        <v>3141</v>
      </c>
      <c r="B14882" s="4" t="s">
        <v>44</v>
      </c>
      <c r="C14882" s="38" t="s">
        <v>8466</v>
      </c>
      <c r="D14882" s="18">
        <v>2023</v>
      </c>
      <c r="E14882" s="18" t="s">
        <v>0</v>
      </c>
      <c r="F14882" s="41">
        <v>2</v>
      </c>
      <c r="G14882" s="41">
        <v>100</v>
      </c>
      <c r="H14882" s="41">
        <v>176.60434999999998</v>
      </c>
      <c r="I14882" s="221"/>
      <c r="J14882" s="221"/>
    </row>
    <row r="14883" spans="1:10" s="15" customFormat="1" ht="24" hidden="1" customHeight="1" outlineLevel="1" x14ac:dyDescent="0.25">
      <c r="A14883" s="18">
        <v>4240</v>
      </c>
      <c r="B14883" s="4" t="s">
        <v>44</v>
      </c>
      <c r="C14883" s="38" t="s">
        <v>9059</v>
      </c>
      <c r="D14883" s="18">
        <v>2023</v>
      </c>
      <c r="E14883" s="18" t="s">
        <v>0</v>
      </c>
      <c r="F14883" s="41">
        <v>2</v>
      </c>
      <c r="G14883" s="41">
        <v>150</v>
      </c>
      <c r="H14883" s="41">
        <v>344.13527999999997</v>
      </c>
      <c r="I14883" s="221"/>
      <c r="J14883" s="221"/>
    </row>
    <row r="14884" spans="1:10" s="15" customFormat="1" ht="24" hidden="1" customHeight="1" outlineLevel="1" x14ac:dyDescent="0.25">
      <c r="A14884" s="18">
        <v>4260</v>
      </c>
      <c r="B14884" s="4" t="s">
        <v>44</v>
      </c>
      <c r="C14884" s="38" t="s">
        <v>8467</v>
      </c>
      <c r="D14884" s="18">
        <v>2023</v>
      </c>
      <c r="E14884" s="18" t="s">
        <v>0</v>
      </c>
      <c r="F14884" s="41">
        <v>1</v>
      </c>
      <c r="G14884" s="41">
        <v>15</v>
      </c>
      <c r="H14884" s="41">
        <v>52.694110000000002</v>
      </c>
      <c r="I14884" s="221"/>
      <c r="J14884" s="221"/>
    </row>
    <row r="14885" spans="1:10" s="15" customFormat="1" ht="24" hidden="1" customHeight="1" outlineLevel="1" x14ac:dyDescent="0.25">
      <c r="A14885" s="18">
        <v>2827</v>
      </c>
      <c r="B14885" s="4" t="s">
        <v>44</v>
      </c>
      <c r="C14885" s="38" t="s">
        <v>8469</v>
      </c>
      <c r="D14885" s="18">
        <v>2023</v>
      </c>
      <c r="E14885" s="18" t="s">
        <v>0</v>
      </c>
      <c r="F14885" s="41">
        <v>1</v>
      </c>
      <c r="G14885" s="41">
        <v>15</v>
      </c>
      <c r="H14885" s="41">
        <v>44.609479999999998</v>
      </c>
      <c r="I14885" s="221"/>
      <c r="J14885" s="221"/>
    </row>
    <row r="14886" spans="1:10" s="15" customFormat="1" ht="24" hidden="1" customHeight="1" outlineLevel="1" x14ac:dyDescent="0.25">
      <c r="A14886" s="18">
        <v>4243</v>
      </c>
      <c r="B14886" s="4" t="s">
        <v>44</v>
      </c>
      <c r="C14886" s="38" t="s">
        <v>8470</v>
      </c>
      <c r="D14886" s="18">
        <v>2023</v>
      </c>
      <c r="E14886" s="18" t="s">
        <v>0</v>
      </c>
      <c r="F14886" s="41">
        <v>1</v>
      </c>
      <c r="G14886" s="41">
        <v>15</v>
      </c>
      <c r="H14886" s="41">
        <v>53.883649999999996</v>
      </c>
      <c r="I14886" s="221"/>
      <c r="J14886" s="221"/>
    </row>
    <row r="14887" spans="1:10" s="15" customFormat="1" ht="24" hidden="1" customHeight="1" outlineLevel="1" x14ac:dyDescent="0.25">
      <c r="A14887" s="18">
        <v>2314</v>
      </c>
      <c r="B14887" s="4" t="s">
        <v>44</v>
      </c>
      <c r="C14887" s="38" t="s">
        <v>12557</v>
      </c>
      <c r="D14887" s="18">
        <v>2023</v>
      </c>
      <c r="E14887" s="18" t="s">
        <v>0</v>
      </c>
      <c r="F14887" s="41">
        <v>1</v>
      </c>
      <c r="G14887" s="41">
        <v>9</v>
      </c>
      <c r="H14887" s="41">
        <v>35.411580000000001</v>
      </c>
      <c r="I14887" s="221"/>
      <c r="J14887" s="221"/>
    </row>
    <row r="14888" spans="1:10" s="15" customFormat="1" ht="24" hidden="1" customHeight="1" outlineLevel="1" x14ac:dyDescent="0.25">
      <c r="A14888" s="18">
        <v>2140</v>
      </c>
      <c r="B14888" s="4" t="s">
        <v>44</v>
      </c>
      <c r="C14888" s="38" t="s">
        <v>12558</v>
      </c>
      <c r="D14888" s="18">
        <v>2023</v>
      </c>
      <c r="E14888" s="18" t="s">
        <v>0</v>
      </c>
      <c r="F14888" s="41">
        <v>1</v>
      </c>
      <c r="G14888" s="41">
        <v>10</v>
      </c>
      <c r="H14888" s="41">
        <v>35.411589999999997</v>
      </c>
      <c r="I14888" s="221"/>
      <c r="J14888" s="221"/>
    </row>
    <row r="14889" spans="1:10" s="15" customFormat="1" ht="24" hidden="1" customHeight="1" outlineLevel="1" x14ac:dyDescent="0.25">
      <c r="A14889" s="18">
        <v>4372</v>
      </c>
      <c r="B14889" s="4" t="s">
        <v>44</v>
      </c>
      <c r="C14889" s="38" t="s">
        <v>12559</v>
      </c>
      <c r="D14889" s="18">
        <v>2023</v>
      </c>
      <c r="E14889" s="18" t="s">
        <v>0</v>
      </c>
      <c r="F14889" s="41">
        <v>1</v>
      </c>
      <c r="G14889" s="41">
        <v>15</v>
      </c>
      <c r="H14889" s="41">
        <v>35.411570000000005</v>
      </c>
      <c r="I14889" s="221"/>
      <c r="J14889" s="221"/>
    </row>
    <row r="14890" spans="1:10" s="15" customFormat="1" ht="24" hidden="1" customHeight="1" outlineLevel="1" x14ac:dyDescent="0.25">
      <c r="A14890" s="18">
        <v>2104</v>
      </c>
      <c r="B14890" s="4" t="s">
        <v>44</v>
      </c>
      <c r="C14890" s="38" t="s">
        <v>12560</v>
      </c>
      <c r="D14890" s="18">
        <v>2023</v>
      </c>
      <c r="E14890" s="18" t="s">
        <v>0</v>
      </c>
      <c r="F14890" s="41">
        <v>1</v>
      </c>
      <c r="G14890" s="41">
        <v>4</v>
      </c>
      <c r="H14890" s="41">
        <v>35.068480000000001</v>
      </c>
      <c r="I14890" s="221"/>
      <c r="J14890" s="221"/>
    </row>
    <row r="14891" spans="1:10" s="15" customFormat="1" ht="24" hidden="1" customHeight="1" outlineLevel="1" x14ac:dyDescent="0.25">
      <c r="A14891" s="18">
        <v>4376</v>
      </c>
      <c r="B14891" s="4" t="s">
        <v>44</v>
      </c>
      <c r="C14891" s="38" t="s">
        <v>12561</v>
      </c>
      <c r="D14891" s="18">
        <v>2023</v>
      </c>
      <c r="E14891" s="18" t="s">
        <v>0</v>
      </c>
      <c r="F14891" s="41">
        <v>1</v>
      </c>
      <c r="G14891" s="41">
        <v>15</v>
      </c>
      <c r="H14891" s="41">
        <v>36.040089999999999</v>
      </c>
      <c r="I14891" s="221"/>
      <c r="J14891" s="221"/>
    </row>
    <row r="14892" spans="1:10" s="15" customFormat="1" ht="24" hidden="1" customHeight="1" outlineLevel="1" x14ac:dyDescent="0.25">
      <c r="A14892" s="18">
        <v>4379</v>
      </c>
      <c r="B14892" s="4" t="s">
        <v>44</v>
      </c>
      <c r="C14892" s="38" t="s">
        <v>12562</v>
      </c>
      <c r="D14892" s="18">
        <v>2023</v>
      </c>
      <c r="E14892" s="18" t="s">
        <v>0</v>
      </c>
      <c r="F14892" s="41">
        <v>1</v>
      </c>
      <c r="G14892" s="41">
        <v>5</v>
      </c>
      <c r="H14892" s="41">
        <v>43.329970000000003</v>
      </c>
      <c r="I14892" s="221"/>
      <c r="J14892" s="221"/>
    </row>
    <row r="14893" spans="1:10" s="15" customFormat="1" ht="24" hidden="1" customHeight="1" outlineLevel="1" x14ac:dyDescent="0.25">
      <c r="A14893" s="18">
        <v>4383</v>
      </c>
      <c r="B14893" s="4" t="s">
        <v>44</v>
      </c>
      <c r="C14893" s="38" t="s">
        <v>12563</v>
      </c>
      <c r="D14893" s="18">
        <v>2023</v>
      </c>
      <c r="E14893" s="18" t="s">
        <v>0</v>
      </c>
      <c r="F14893" s="41">
        <v>1</v>
      </c>
      <c r="G14893" s="41">
        <v>15</v>
      </c>
      <c r="H14893" s="41">
        <v>37.934330000000003</v>
      </c>
      <c r="I14893" s="221"/>
      <c r="J14893" s="221"/>
    </row>
    <row r="14894" spans="1:10" s="15" customFormat="1" ht="24" hidden="1" customHeight="1" outlineLevel="1" x14ac:dyDescent="0.25">
      <c r="A14894" s="18">
        <v>2090</v>
      </c>
      <c r="B14894" s="4" t="s">
        <v>44</v>
      </c>
      <c r="C14894" s="38" t="s">
        <v>12564</v>
      </c>
      <c r="D14894" s="18">
        <v>2023</v>
      </c>
      <c r="E14894" s="18" t="s">
        <v>0</v>
      </c>
      <c r="F14894" s="41">
        <v>1</v>
      </c>
      <c r="G14894" s="41">
        <v>5</v>
      </c>
      <c r="H14894" s="41">
        <v>36.000989999999994</v>
      </c>
      <c r="I14894" s="221"/>
      <c r="J14894" s="221"/>
    </row>
    <row r="14895" spans="1:10" s="15" customFormat="1" ht="24" hidden="1" customHeight="1" outlineLevel="1" x14ac:dyDescent="0.25">
      <c r="A14895" s="18">
        <v>4261</v>
      </c>
      <c r="B14895" s="4" t="s">
        <v>44</v>
      </c>
      <c r="C14895" s="38" t="s">
        <v>8473</v>
      </c>
      <c r="D14895" s="18">
        <v>2023</v>
      </c>
      <c r="E14895" s="18" t="s">
        <v>0</v>
      </c>
      <c r="F14895" s="41">
        <v>1</v>
      </c>
      <c r="G14895" s="41">
        <v>14</v>
      </c>
      <c r="H14895" s="41">
        <v>52.750900000000001</v>
      </c>
      <c r="I14895" s="221"/>
      <c r="J14895" s="221"/>
    </row>
    <row r="14896" spans="1:10" s="15" customFormat="1" ht="24" hidden="1" customHeight="1" outlineLevel="1" x14ac:dyDescent="0.25">
      <c r="A14896" s="18">
        <v>4241</v>
      </c>
      <c r="B14896" s="4" t="s">
        <v>44</v>
      </c>
      <c r="C14896" s="38" t="s">
        <v>9061</v>
      </c>
      <c r="D14896" s="18">
        <v>2023</v>
      </c>
      <c r="E14896" s="18" t="s">
        <v>0</v>
      </c>
      <c r="F14896" s="41">
        <v>2</v>
      </c>
      <c r="G14896" s="41">
        <v>150</v>
      </c>
      <c r="H14896" s="41">
        <v>169.99359000000001</v>
      </c>
      <c r="I14896" s="221"/>
      <c r="J14896" s="221"/>
    </row>
    <row r="14897" spans="1:10" s="15" customFormat="1" ht="24" hidden="1" customHeight="1" outlineLevel="1" x14ac:dyDescent="0.25">
      <c r="A14897" s="18">
        <v>3319</v>
      </c>
      <c r="B14897" s="4" t="s">
        <v>44</v>
      </c>
      <c r="C14897" s="38" t="s">
        <v>8474</v>
      </c>
      <c r="D14897" s="18">
        <v>2023</v>
      </c>
      <c r="E14897" s="18" t="s">
        <v>0</v>
      </c>
      <c r="F14897" s="41">
        <v>1</v>
      </c>
      <c r="G14897" s="41">
        <v>15</v>
      </c>
      <c r="H14897" s="41">
        <v>51.083999999999996</v>
      </c>
      <c r="I14897" s="221"/>
      <c r="J14897" s="221"/>
    </row>
    <row r="14898" spans="1:10" s="15" customFormat="1" ht="24" hidden="1" customHeight="1" outlineLevel="1" x14ac:dyDescent="0.25">
      <c r="A14898" s="18">
        <v>3135</v>
      </c>
      <c r="B14898" s="4" t="s">
        <v>44</v>
      </c>
      <c r="C14898" s="38" t="s">
        <v>8475</v>
      </c>
      <c r="D14898" s="18">
        <v>2023</v>
      </c>
      <c r="E14898" s="18" t="s">
        <v>0</v>
      </c>
      <c r="F14898" s="41">
        <v>2</v>
      </c>
      <c r="G14898" s="41">
        <v>50</v>
      </c>
      <c r="H14898" s="41">
        <v>95.117450000000005</v>
      </c>
      <c r="I14898" s="221"/>
      <c r="J14898" s="221"/>
    </row>
    <row r="14899" spans="1:10" s="15" customFormat="1" ht="24" hidden="1" customHeight="1" outlineLevel="1" x14ac:dyDescent="0.25">
      <c r="A14899" s="18">
        <v>2133</v>
      </c>
      <c r="B14899" s="4" t="s">
        <v>44</v>
      </c>
      <c r="C14899" s="38" t="s">
        <v>8476</v>
      </c>
      <c r="D14899" s="18">
        <v>2023</v>
      </c>
      <c r="E14899" s="18" t="s">
        <v>0</v>
      </c>
      <c r="F14899" s="41">
        <v>2</v>
      </c>
      <c r="G14899" s="41">
        <v>18</v>
      </c>
      <c r="H14899" s="41">
        <v>94.406229999999994</v>
      </c>
      <c r="I14899" s="221"/>
      <c r="J14899" s="221"/>
    </row>
    <row r="14900" spans="1:10" s="15" customFormat="1" ht="24" hidden="1" customHeight="1" outlineLevel="1" x14ac:dyDescent="0.25">
      <c r="A14900" s="18">
        <v>3231</v>
      </c>
      <c r="B14900" s="4" t="s">
        <v>44</v>
      </c>
      <c r="C14900" s="38" t="s">
        <v>8478</v>
      </c>
      <c r="D14900" s="18">
        <v>2023</v>
      </c>
      <c r="E14900" s="18" t="s">
        <v>0</v>
      </c>
      <c r="F14900" s="41">
        <v>2</v>
      </c>
      <c r="G14900" s="41">
        <v>13</v>
      </c>
      <c r="H14900" s="41">
        <v>78.476299999999995</v>
      </c>
      <c r="I14900" s="221"/>
      <c r="J14900" s="221"/>
    </row>
    <row r="14901" spans="1:10" s="15" customFormat="1" ht="24" hidden="1" customHeight="1" outlineLevel="1" x14ac:dyDescent="0.25">
      <c r="A14901" s="18">
        <v>409</v>
      </c>
      <c r="B14901" s="4" t="s">
        <v>44</v>
      </c>
      <c r="C14901" s="38" t="s">
        <v>8479</v>
      </c>
      <c r="D14901" s="18">
        <v>2023</v>
      </c>
      <c r="E14901" s="18" t="s">
        <v>0</v>
      </c>
      <c r="F14901" s="41">
        <v>1</v>
      </c>
      <c r="G14901" s="41">
        <v>15</v>
      </c>
      <c r="H14901" s="41">
        <v>50.570039999999999</v>
      </c>
      <c r="I14901" s="221"/>
      <c r="J14901" s="221"/>
    </row>
    <row r="14902" spans="1:10" s="15" customFormat="1" ht="24" hidden="1" customHeight="1" outlineLevel="1" x14ac:dyDescent="0.25">
      <c r="A14902" s="18">
        <v>2144</v>
      </c>
      <c r="B14902" s="4" t="s">
        <v>44</v>
      </c>
      <c r="C14902" s="38" t="s">
        <v>12565</v>
      </c>
      <c r="D14902" s="18">
        <v>2023</v>
      </c>
      <c r="E14902" s="18" t="s">
        <v>0</v>
      </c>
      <c r="F14902" s="41">
        <v>1</v>
      </c>
      <c r="G14902" s="41">
        <v>15</v>
      </c>
      <c r="H14902" s="41">
        <v>36.148520000000005</v>
      </c>
      <c r="I14902" s="221"/>
      <c r="J14902" s="221"/>
    </row>
    <row r="14903" spans="1:10" s="15" customFormat="1" ht="24" hidden="1" customHeight="1" outlineLevel="1" x14ac:dyDescent="0.25">
      <c r="A14903" s="18">
        <v>2291</v>
      </c>
      <c r="B14903" s="4" t="s">
        <v>44</v>
      </c>
      <c r="C14903" s="38" t="s">
        <v>8481</v>
      </c>
      <c r="D14903" s="18">
        <v>2023</v>
      </c>
      <c r="E14903" s="18" t="s">
        <v>0</v>
      </c>
      <c r="F14903" s="41">
        <v>1</v>
      </c>
      <c r="G14903" s="41">
        <v>10</v>
      </c>
      <c r="H14903" s="41">
        <v>48.11748</v>
      </c>
      <c r="I14903" s="221"/>
      <c r="J14903" s="221"/>
    </row>
    <row r="14904" spans="1:10" s="15" customFormat="1" ht="24" hidden="1" customHeight="1" outlineLevel="1" x14ac:dyDescent="0.25">
      <c r="A14904" s="18">
        <v>2673</v>
      </c>
      <c r="B14904" s="4" t="s">
        <v>44</v>
      </c>
      <c r="C14904" s="38" t="s">
        <v>12566</v>
      </c>
      <c r="D14904" s="18">
        <v>2023</v>
      </c>
      <c r="E14904" s="18" t="s">
        <v>0</v>
      </c>
      <c r="F14904" s="41">
        <v>1</v>
      </c>
      <c r="G14904" s="41">
        <v>6</v>
      </c>
      <c r="H14904" s="41">
        <v>35.729559999999999</v>
      </c>
      <c r="I14904" s="221"/>
      <c r="J14904" s="221"/>
    </row>
    <row r="14905" spans="1:10" s="15" customFormat="1" ht="24" hidden="1" customHeight="1" outlineLevel="1" x14ac:dyDescent="0.25">
      <c r="A14905" s="18">
        <v>2600</v>
      </c>
      <c r="B14905" s="4" t="s">
        <v>44</v>
      </c>
      <c r="C14905" s="38" t="s">
        <v>12567</v>
      </c>
      <c r="D14905" s="18">
        <v>2023</v>
      </c>
      <c r="E14905" s="18" t="s">
        <v>0</v>
      </c>
      <c r="F14905" s="41">
        <v>1</v>
      </c>
      <c r="G14905" s="41">
        <v>5</v>
      </c>
      <c r="H14905" s="41">
        <v>36.31973</v>
      </c>
      <c r="I14905" s="221"/>
      <c r="J14905" s="221"/>
    </row>
    <row r="14906" spans="1:10" s="15" customFormat="1" ht="24" hidden="1" customHeight="1" outlineLevel="1" x14ac:dyDescent="0.25">
      <c r="A14906" s="18">
        <v>2600</v>
      </c>
      <c r="B14906" s="4" t="s">
        <v>44</v>
      </c>
      <c r="C14906" s="38" t="s">
        <v>12568</v>
      </c>
      <c r="D14906" s="18">
        <v>2023</v>
      </c>
      <c r="E14906" s="18" t="s">
        <v>0</v>
      </c>
      <c r="F14906" s="41">
        <v>1</v>
      </c>
      <c r="G14906" s="41">
        <v>5</v>
      </c>
      <c r="H14906" s="41">
        <v>36.31973</v>
      </c>
      <c r="I14906" s="221"/>
      <c r="J14906" s="221"/>
    </row>
    <row r="14907" spans="1:10" s="15" customFormat="1" ht="24" hidden="1" customHeight="1" outlineLevel="1" x14ac:dyDescent="0.25">
      <c r="A14907" s="18">
        <v>4251</v>
      </c>
      <c r="B14907" s="4" t="s">
        <v>44</v>
      </c>
      <c r="C14907" s="38" t="s">
        <v>8482</v>
      </c>
      <c r="D14907" s="18">
        <v>2023</v>
      </c>
      <c r="E14907" s="18" t="s">
        <v>0</v>
      </c>
      <c r="F14907" s="41">
        <v>1</v>
      </c>
      <c r="G14907" s="41">
        <v>15</v>
      </c>
      <c r="H14907" s="41">
        <v>50.483269999999997</v>
      </c>
      <c r="I14907" s="221"/>
      <c r="J14907" s="221"/>
    </row>
    <row r="14908" spans="1:10" s="15" customFormat="1" ht="24" hidden="1" customHeight="1" outlineLevel="1" x14ac:dyDescent="0.25">
      <c r="A14908" s="18">
        <v>2441</v>
      </c>
      <c r="B14908" s="4" t="s">
        <v>44</v>
      </c>
      <c r="C14908" s="38" t="s">
        <v>8483</v>
      </c>
      <c r="D14908" s="18">
        <v>2023</v>
      </c>
      <c r="E14908" s="18" t="s">
        <v>0</v>
      </c>
      <c r="F14908" s="41">
        <v>1</v>
      </c>
      <c r="G14908" s="41">
        <v>10</v>
      </c>
      <c r="H14908" s="41">
        <v>49.014400000000002</v>
      </c>
      <c r="I14908" s="221"/>
      <c r="J14908" s="221"/>
    </row>
    <row r="14909" spans="1:10" s="15" customFormat="1" ht="24" hidden="1" customHeight="1" outlineLevel="1" x14ac:dyDescent="0.25">
      <c r="A14909" s="18">
        <v>4388</v>
      </c>
      <c r="B14909" s="4" t="s">
        <v>44</v>
      </c>
      <c r="C14909" s="38" t="s">
        <v>12569</v>
      </c>
      <c r="D14909" s="18">
        <v>2023</v>
      </c>
      <c r="E14909" s="18" t="s">
        <v>0</v>
      </c>
      <c r="F14909" s="41">
        <v>1</v>
      </c>
      <c r="G14909" s="41">
        <v>15</v>
      </c>
      <c r="H14909" s="41">
        <v>36.100100000000005</v>
      </c>
      <c r="I14909" s="221"/>
      <c r="J14909" s="221"/>
    </row>
    <row r="14910" spans="1:10" s="15" customFormat="1" ht="24" hidden="1" customHeight="1" outlineLevel="1" x14ac:dyDescent="0.25">
      <c r="A14910" s="18">
        <v>2716</v>
      </c>
      <c r="B14910" s="4" t="s">
        <v>44</v>
      </c>
      <c r="C14910" s="38" t="s">
        <v>12570</v>
      </c>
      <c r="D14910" s="18">
        <v>2023</v>
      </c>
      <c r="E14910" s="18" t="s">
        <v>0</v>
      </c>
      <c r="F14910" s="41">
        <v>1</v>
      </c>
      <c r="G14910" s="41">
        <v>9</v>
      </c>
      <c r="H14910" s="41">
        <v>36.098590000000002</v>
      </c>
      <c r="I14910" s="221"/>
      <c r="J14910" s="221"/>
    </row>
    <row r="14911" spans="1:10" s="15" customFormat="1" ht="24" hidden="1" customHeight="1" outlineLevel="1" x14ac:dyDescent="0.25">
      <c r="A14911" s="18">
        <v>4388</v>
      </c>
      <c r="B14911" s="4" t="s">
        <v>44</v>
      </c>
      <c r="C14911" s="38" t="s">
        <v>12571</v>
      </c>
      <c r="D14911" s="18">
        <v>2023</v>
      </c>
      <c r="E14911" s="18" t="s">
        <v>0</v>
      </c>
      <c r="F14911" s="41">
        <v>1</v>
      </c>
      <c r="G14911" s="41">
        <v>5.74</v>
      </c>
      <c r="H14911" s="41">
        <v>36.100100000000005</v>
      </c>
      <c r="I14911" s="221"/>
      <c r="J14911" s="221"/>
    </row>
    <row r="14912" spans="1:10" s="15" customFormat="1" ht="24" hidden="1" customHeight="1" outlineLevel="1" x14ac:dyDescent="0.25">
      <c r="A14912" s="18">
        <v>4392</v>
      </c>
      <c r="B14912" s="4" t="s">
        <v>44</v>
      </c>
      <c r="C14912" s="38" t="s">
        <v>12572</v>
      </c>
      <c r="D14912" s="18">
        <v>2023</v>
      </c>
      <c r="E14912" s="18" t="s">
        <v>0</v>
      </c>
      <c r="F14912" s="41">
        <v>1</v>
      </c>
      <c r="G14912" s="41">
        <v>15</v>
      </c>
      <c r="H14912" s="41">
        <v>36.031860000000002</v>
      </c>
      <c r="I14912" s="221"/>
      <c r="J14912" s="221"/>
    </row>
    <row r="14913" spans="1:10" s="15" customFormat="1" ht="24" hidden="1" customHeight="1" outlineLevel="1" x14ac:dyDescent="0.25">
      <c r="A14913" s="18">
        <v>3149</v>
      </c>
      <c r="B14913" s="4" t="s">
        <v>44</v>
      </c>
      <c r="C14913" s="38" t="s">
        <v>9062</v>
      </c>
      <c r="D14913" s="18">
        <v>2023</v>
      </c>
      <c r="E14913" s="18" t="s">
        <v>0</v>
      </c>
      <c r="F14913" s="41">
        <v>2</v>
      </c>
      <c r="G14913" s="41">
        <v>100</v>
      </c>
      <c r="H14913" s="41">
        <v>342.28992000000005</v>
      </c>
      <c r="I14913" s="221"/>
      <c r="J14913" s="221"/>
    </row>
    <row r="14914" spans="1:10" s="15" customFormat="1" ht="24" hidden="1" customHeight="1" outlineLevel="1" x14ac:dyDescent="0.25">
      <c r="A14914" s="18">
        <v>2894</v>
      </c>
      <c r="B14914" s="4" t="s">
        <v>44</v>
      </c>
      <c r="C14914" s="38" t="s">
        <v>8484</v>
      </c>
      <c r="D14914" s="18">
        <v>2023</v>
      </c>
      <c r="E14914" s="18" t="s">
        <v>0</v>
      </c>
      <c r="F14914" s="41">
        <v>1</v>
      </c>
      <c r="G14914" s="41">
        <v>15</v>
      </c>
      <c r="H14914" s="41">
        <v>55.036920000000002</v>
      </c>
      <c r="I14914" s="221"/>
      <c r="J14914" s="221"/>
    </row>
    <row r="14915" spans="1:10" s="15" customFormat="1" ht="24" hidden="1" customHeight="1" outlineLevel="1" x14ac:dyDescent="0.25">
      <c r="A14915" s="18">
        <v>2298</v>
      </c>
      <c r="B14915" s="4" t="s">
        <v>44</v>
      </c>
      <c r="C14915" s="38" t="s">
        <v>8485</v>
      </c>
      <c r="D14915" s="18">
        <v>2023</v>
      </c>
      <c r="E14915" s="18" t="s">
        <v>0</v>
      </c>
      <c r="F14915" s="41">
        <v>1</v>
      </c>
      <c r="G14915" s="41">
        <v>3</v>
      </c>
      <c r="H14915" s="41">
        <v>43.633099999999999</v>
      </c>
      <c r="I14915" s="221"/>
      <c r="J14915" s="221"/>
    </row>
    <row r="14916" spans="1:10" s="15" customFormat="1" ht="24" hidden="1" customHeight="1" outlineLevel="1" x14ac:dyDescent="0.25">
      <c r="A14916" s="18">
        <v>2283</v>
      </c>
      <c r="B14916" s="4" t="s">
        <v>44</v>
      </c>
      <c r="C14916" s="38" t="s">
        <v>8486</v>
      </c>
      <c r="D14916" s="18">
        <v>2023</v>
      </c>
      <c r="E14916" s="18" t="s">
        <v>0</v>
      </c>
      <c r="F14916" s="41">
        <v>2</v>
      </c>
      <c r="G14916" s="41">
        <v>6</v>
      </c>
      <c r="H14916" s="41">
        <v>87.944640000000007</v>
      </c>
      <c r="I14916" s="221"/>
      <c r="J14916" s="221"/>
    </row>
    <row r="14917" spans="1:10" s="15" customFormat="1" ht="24" hidden="1" customHeight="1" outlineLevel="1" x14ac:dyDescent="0.25">
      <c r="A14917" s="18">
        <v>4393</v>
      </c>
      <c r="B14917" s="4" t="s">
        <v>44</v>
      </c>
      <c r="C14917" s="38" t="s">
        <v>12573</v>
      </c>
      <c r="D14917" s="18">
        <v>2023</v>
      </c>
      <c r="E14917" s="18" t="s">
        <v>0</v>
      </c>
      <c r="F14917" s="41">
        <v>1</v>
      </c>
      <c r="G14917" s="41">
        <v>5</v>
      </c>
      <c r="H14917" s="41">
        <v>484.54424</v>
      </c>
      <c r="I14917" s="221"/>
      <c r="J14917" s="221"/>
    </row>
    <row r="14918" spans="1:10" s="15" customFormat="1" ht="24" hidden="1" customHeight="1" outlineLevel="1" x14ac:dyDescent="0.25">
      <c r="A14918" s="18">
        <v>4394</v>
      </c>
      <c r="B14918" s="4" t="s">
        <v>44</v>
      </c>
      <c r="C14918" s="38" t="s">
        <v>12574</v>
      </c>
      <c r="D14918" s="18">
        <v>2023</v>
      </c>
      <c r="E14918" s="18" t="s">
        <v>0</v>
      </c>
      <c r="F14918" s="41">
        <v>1</v>
      </c>
      <c r="G14918" s="41">
        <v>15</v>
      </c>
      <c r="H14918" s="41">
        <v>37.79674</v>
      </c>
      <c r="I14918" s="221"/>
      <c r="J14918" s="221"/>
    </row>
    <row r="14919" spans="1:10" s="15" customFormat="1" ht="24" hidden="1" customHeight="1" outlineLevel="1" x14ac:dyDescent="0.25">
      <c r="A14919" s="18">
        <v>4395</v>
      </c>
      <c r="B14919" s="4" t="s">
        <v>44</v>
      </c>
      <c r="C14919" s="38" t="s">
        <v>12575</v>
      </c>
      <c r="D14919" s="18">
        <v>2023</v>
      </c>
      <c r="E14919" s="18" t="s">
        <v>0</v>
      </c>
      <c r="F14919" s="41">
        <v>1</v>
      </c>
      <c r="G14919" s="41">
        <v>134</v>
      </c>
      <c r="H14919" s="41">
        <v>459.88087000000002</v>
      </c>
      <c r="I14919" s="221"/>
      <c r="J14919" s="221"/>
    </row>
    <row r="14920" spans="1:10" s="15" customFormat="1" ht="24" hidden="1" customHeight="1" outlineLevel="1" x14ac:dyDescent="0.25">
      <c r="A14920" s="18">
        <v>4236</v>
      </c>
      <c r="B14920" s="4" t="s">
        <v>44</v>
      </c>
      <c r="C14920" s="38" t="s">
        <v>9131</v>
      </c>
      <c r="D14920" s="18">
        <v>2023</v>
      </c>
      <c r="E14920" s="18" t="s">
        <v>0</v>
      </c>
      <c r="F14920" s="41">
        <v>1</v>
      </c>
      <c r="G14920" s="41">
        <v>135</v>
      </c>
      <c r="H14920" s="41">
        <v>72.358400000000003</v>
      </c>
      <c r="I14920" s="221"/>
      <c r="J14920" s="221"/>
    </row>
    <row r="14921" spans="1:10" s="15" customFormat="1" ht="24" hidden="1" customHeight="1" outlineLevel="1" x14ac:dyDescent="0.25">
      <c r="A14921" s="18">
        <v>4400</v>
      </c>
      <c r="B14921" s="4" t="s">
        <v>44</v>
      </c>
      <c r="C14921" s="38" t="s">
        <v>12576</v>
      </c>
      <c r="D14921" s="18">
        <v>2023</v>
      </c>
      <c r="E14921" s="18" t="s">
        <v>0</v>
      </c>
      <c r="F14921" s="41">
        <v>1</v>
      </c>
      <c r="G14921" s="41">
        <v>15</v>
      </c>
      <c r="H14921" s="41">
        <v>44.141470000000005</v>
      </c>
      <c r="I14921" s="221"/>
      <c r="J14921" s="221"/>
    </row>
    <row r="14922" spans="1:10" s="15" customFormat="1" ht="24" hidden="1" customHeight="1" outlineLevel="1" x14ac:dyDescent="0.25">
      <c r="A14922" s="18">
        <v>4404</v>
      </c>
      <c r="B14922" s="4" t="s">
        <v>44</v>
      </c>
      <c r="C14922" s="38" t="s">
        <v>12577</v>
      </c>
      <c r="D14922" s="18">
        <v>2023</v>
      </c>
      <c r="E14922" s="18" t="s">
        <v>0</v>
      </c>
      <c r="F14922" s="41">
        <v>1</v>
      </c>
      <c r="G14922" s="41">
        <v>15</v>
      </c>
      <c r="H14922" s="41">
        <v>38.100120000000004</v>
      </c>
      <c r="I14922" s="221"/>
      <c r="J14922" s="221"/>
    </row>
    <row r="14923" spans="1:10" s="15" customFormat="1" ht="24" hidden="1" customHeight="1" outlineLevel="1" x14ac:dyDescent="0.25">
      <c r="A14923" s="18">
        <v>3320</v>
      </c>
      <c r="B14923" s="4" t="s">
        <v>44</v>
      </c>
      <c r="C14923" s="38" t="s">
        <v>8487</v>
      </c>
      <c r="D14923" s="18">
        <v>2023</v>
      </c>
      <c r="E14923" s="18" t="s">
        <v>0</v>
      </c>
      <c r="F14923" s="41">
        <v>1</v>
      </c>
      <c r="G14923" s="41">
        <v>8</v>
      </c>
      <c r="H14923" s="41">
        <v>39.049819999999997</v>
      </c>
      <c r="I14923" s="221"/>
      <c r="J14923" s="221"/>
    </row>
    <row r="14924" spans="1:10" s="15" customFormat="1" ht="24" hidden="1" customHeight="1" outlineLevel="1" x14ac:dyDescent="0.25">
      <c r="A14924" s="18">
        <v>2900</v>
      </c>
      <c r="B14924" s="4" t="s">
        <v>44</v>
      </c>
      <c r="C14924" s="38" t="s">
        <v>8488</v>
      </c>
      <c r="D14924" s="18">
        <v>2023</v>
      </c>
      <c r="E14924" s="18" t="s">
        <v>0</v>
      </c>
      <c r="F14924" s="41">
        <v>1</v>
      </c>
      <c r="G14924" s="41">
        <v>15</v>
      </c>
      <c r="H14924" s="41">
        <v>85.248630000000006</v>
      </c>
      <c r="I14924" s="221"/>
      <c r="J14924" s="221"/>
    </row>
    <row r="14925" spans="1:10" s="15" customFormat="1" ht="24" hidden="1" customHeight="1" outlineLevel="1" x14ac:dyDescent="0.25">
      <c r="A14925" s="18">
        <v>4262</v>
      </c>
      <c r="B14925" s="4" t="s">
        <v>44</v>
      </c>
      <c r="C14925" s="38" t="s">
        <v>8489</v>
      </c>
      <c r="D14925" s="18">
        <v>2023</v>
      </c>
      <c r="E14925" s="18" t="s">
        <v>0</v>
      </c>
      <c r="F14925" s="41">
        <v>1</v>
      </c>
      <c r="G14925" s="41">
        <v>15</v>
      </c>
      <c r="H14925" s="41">
        <v>72.615210000000005</v>
      </c>
      <c r="I14925" s="221"/>
      <c r="J14925" s="221"/>
    </row>
    <row r="14926" spans="1:10" s="15" customFormat="1" ht="24" hidden="1" customHeight="1" outlineLevel="1" x14ac:dyDescent="0.25">
      <c r="A14926" s="18">
        <v>4263</v>
      </c>
      <c r="B14926" s="4" t="s">
        <v>44</v>
      </c>
      <c r="C14926" s="38" t="s">
        <v>8490</v>
      </c>
      <c r="D14926" s="18">
        <v>2023</v>
      </c>
      <c r="E14926" s="18" t="s">
        <v>0</v>
      </c>
      <c r="F14926" s="41">
        <v>1</v>
      </c>
      <c r="G14926" s="41">
        <v>7.5</v>
      </c>
      <c r="H14926" s="41">
        <v>59.118499999999997</v>
      </c>
      <c r="I14926" s="221"/>
      <c r="J14926" s="221"/>
    </row>
    <row r="14927" spans="1:10" s="15" customFormat="1" ht="24" hidden="1" customHeight="1" outlineLevel="1" x14ac:dyDescent="0.25">
      <c r="A14927" s="18">
        <v>4242</v>
      </c>
      <c r="B14927" s="4" t="s">
        <v>44</v>
      </c>
      <c r="C14927" s="38" t="s">
        <v>9063</v>
      </c>
      <c r="D14927" s="18">
        <v>2023</v>
      </c>
      <c r="E14927" s="18" t="s">
        <v>0</v>
      </c>
      <c r="F14927" s="41">
        <v>2</v>
      </c>
      <c r="G14927" s="41">
        <v>181</v>
      </c>
      <c r="H14927" s="41">
        <v>151.15226000000001</v>
      </c>
      <c r="I14927" s="221"/>
      <c r="J14927" s="221"/>
    </row>
    <row r="14928" spans="1:10" s="15" customFormat="1" ht="24" hidden="1" customHeight="1" outlineLevel="1" x14ac:dyDescent="0.25">
      <c r="A14928" s="18">
        <v>4406</v>
      </c>
      <c r="B14928" s="4" t="s">
        <v>44</v>
      </c>
      <c r="C14928" s="38" t="s">
        <v>12578</v>
      </c>
      <c r="D14928" s="18">
        <v>2023</v>
      </c>
      <c r="E14928" s="18" t="s">
        <v>0</v>
      </c>
      <c r="F14928" s="41">
        <v>1</v>
      </c>
      <c r="G14928" s="41">
        <v>15</v>
      </c>
      <c r="H14928" s="41">
        <v>35.647280000000002</v>
      </c>
      <c r="I14928" s="221"/>
      <c r="J14928" s="221"/>
    </row>
    <row r="14929" spans="1:10" s="15" customFormat="1" ht="24" hidden="1" customHeight="1" outlineLevel="1" x14ac:dyDescent="0.25">
      <c r="A14929" s="18">
        <v>2443</v>
      </c>
      <c r="B14929" s="4" t="s">
        <v>44</v>
      </c>
      <c r="C14929" s="38" t="s">
        <v>8493</v>
      </c>
      <c r="D14929" s="18">
        <v>2023</v>
      </c>
      <c r="E14929" s="18" t="s">
        <v>0</v>
      </c>
      <c r="F14929" s="41">
        <v>1</v>
      </c>
      <c r="G14929" s="41">
        <v>9</v>
      </c>
      <c r="H14929" s="41">
        <v>49.203579999999995</v>
      </c>
      <c r="I14929" s="221"/>
      <c r="J14929" s="221"/>
    </row>
    <row r="14930" spans="1:10" s="15" customFormat="1" ht="24" hidden="1" customHeight="1" outlineLevel="1" x14ac:dyDescent="0.25">
      <c r="A14930" s="18">
        <v>4407</v>
      </c>
      <c r="B14930" s="4" t="s">
        <v>44</v>
      </c>
      <c r="C14930" s="38" t="s">
        <v>12579</v>
      </c>
      <c r="D14930" s="18">
        <v>2023</v>
      </c>
      <c r="E14930" s="18" t="s">
        <v>0</v>
      </c>
      <c r="F14930" s="41">
        <v>1</v>
      </c>
      <c r="G14930" s="41">
        <v>10</v>
      </c>
      <c r="H14930" s="41">
        <v>37.014310000000002</v>
      </c>
      <c r="I14930" s="221"/>
      <c r="J14930" s="221"/>
    </row>
    <row r="14931" spans="1:10" s="15" customFormat="1" ht="24" hidden="1" customHeight="1" outlineLevel="1" x14ac:dyDescent="0.25">
      <c r="A14931" s="18">
        <v>2638</v>
      </c>
      <c r="B14931" s="4" t="s">
        <v>44</v>
      </c>
      <c r="C14931" s="38" t="s">
        <v>12580</v>
      </c>
      <c r="D14931" s="18">
        <v>2023</v>
      </c>
      <c r="E14931" s="18" t="s">
        <v>0</v>
      </c>
      <c r="F14931" s="41">
        <v>1</v>
      </c>
      <c r="G14931" s="41">
        <v>9</v>
      </c>
      <c r="H14931" s="41">
        <v>36.502839999999999</v>
      </c>
      <c r="I14931" s="221"/>
      <c r="J14931" s="221"/>
    </row>
    <row r="14932" spans="1:10" s="15" customFormat="1" ht="24" hidden="1" customHeight="1" outlineLevel="1" x14ac:dyDescent="0.25">
      <c r="A14932" s="18">
        <v>2664</v>
      </c>
      <c r="B14932" s="4" t="s">
        <v>44</v>
      </c>
      <c r="C14932" s="38" t="s">
        <v>12581</v>
      </c>
      <c r="D14932" s="18">
        <v>2023</v>
      </c>
      <c r="E14932" s="18" t="s">
        <v>0</v>
      </c>
      <c r="F14932" s="41">
        <v>1</v>
      </c>
      <c r="G14932" s="41">
        <v>9</v>
      </c>
      <c r="H14932" s="41">
        <v>35.531100000000002</v>
      </c>
      <c r="I14932" s="221"/>
      <c r="J14932" s="221"/>
    </row>
    <row r="14933" spans="1:10" s="15" customFormat="1" ht="24" hidden="1" customHeight="1" outlineLevel="1" x14ac:dyDescent="0.25">
      <c r="A14933" s="18">
        <v>2707</v>
      </c>
      <c r="B14933" s="4" t="s">
        <v>44</v>
      </c>
      <c r="C14933" s="38" t="s">
        <v>12582</v>
      </c>
      <c r="D14933" s="18">
        <v>2023</v>
      </c>
      <c r="E14933" s="18" t="s">
        <v>0</v>
      </c>
      <c r="F14933" s="41">
        <v>1</v>
      </c>
      <c r="G14933" s="41">
        <v>1</v>
      </c>
      <c r="H14933" s="41">
        <v>35.531109999999998</v>
      </c>
      <c r="I14933" s="221"/>
      <c r="J14933" s="221"/>
    </row>
    <row r="14934" spans="1:10" s="15" customFormat="1" ht="24" hidden="1" customHeight="1" outlineLevel="1" x14ac:dyDescent="0.25">
      <c r="A14934" s="18">
        <v>2664</v>
      </c>
      <c r="B14934" s="4" t="s">
        <v>44</v>
      </c>
      <c r="C14934" s="38" t="s">
        <v>12583</v>
      </c>
      <c r="D14934" s="18">
        <v>2023</v>
      </c>
      <c r="E14934" s="18" t="s">
        <v>0</v>
      </c>
      <c r="F14934" s="41">
        <v>1</v>
      </c>
      <c r="G14934" s="41">
        <v>9</v>
      </c>
      <c r="H14934" s="41">
        <v>35.531100000000002</v>
      </c>
      <c r="I14934" s="221"/>
      <c r="J14934" s="221"/>
    </row>
    <row r="14935" spans="1:10" s="15" customFormat="1" ht="24" hidden="1" customHeight="1" outlineLevel="1" x14ac:dyDescent="0.25">
      <c r="A14935" s="18">
        <v>4247</v>
      </c>
      <c r="B14935" s="4" t="s">
        <v>44</v>
      </c>
      <c r="C14935" s="38" t="s">
        <v>8494</v>
      </c>
      <c r="D14935" s="18">
        <v>2023</v>
      </c>
      <c r="E14935" s="18" t="s">
        <v>0</v>
      </c>
      <c r="F14935" s="41">
        <v>1</v>
      </c>
      <c r="G14935" s="41">
        <v>15</v>
      </c>
      <c r="H14935" s="41">
        <v>45.374739999999996</v>
      </c>
      <c r="I14935" s="221"/>
      <c r="J14935" s="221"/>
    </row>
    <row r="14936" spans="1:10" s="15" customFormat="1" ht="24" hidden="1" customHeight="1" outlineLevel="1" x14ac:dyDescent="0.25">
      <c r="A14936" s="18">
        <v>4246</v>
      </c>
      <c r="B14936" s="4" t="s">
        <v>44</v>
      </c>
      <c r="C14936" s="38" t="s">
        <v>8495</v>
      </c>
      <c r="D14936" s="18">
        <v>2023</v>
      </c>
      <c r="E14936" s="18" t="s">
        <v>0</v>
      </c>
      <c r="F14936" s="41">
        <v>1</v>
      </c>
      <c r="G14936" s="41">
        <v>15</v>
      </c>
      <c r="H14936" s="41">
        <v>45.953420000000001</v>
      </c>
      <c r="I14936" s="221"/>
      <c r="J14936" s="221"/>
    </row>
    <row r="14937" spans="1:10" s="15" customFormat="1" ht="24" hidden="1" customHeight="1" outlineLevel="1" x14ac:dyDescent="0.25">
      <c r="A14937" s="18">
        <v>4245</v>
      </c>
      <c r="B14937" s="4" t="s">
        <v>44</v>
      </c>
      <c r="C14937" s="38" t="s">
        <v>8496</v>
      </c>
      <c r="D14937" s="18">
        <v>2023</v>
      </c>
      <c r="E14937" s="18" t="s">
        <v>0</v>
      </c>
      <c r="F14937" s="41">
        <v>1</v>
      </c>
      <c r="G14937" s="41">
        <v>15</v>
      </c>
      <c r="H14937" s="41">
        <v>49.512840000000004</v>
      </c>
      <c r="I14937" s="221"/>
      <c r="J14937" s="221"/>
    </row>
    <row r="14938" spans="1:10" s="15" customFormat="1" ht="24" hidden="1" customHeight="1" outlineLevel="1" x14ac:dyDescent="0.25">
      <c r="A14938" s="18">
        <v>4264</v>
      </c>
      <c r="B14938" s="4" t="s">
        <v>44</v>
      </c>
      <c r="C14938" s="38" t="s">
        <v>8498</v>
      </c>
      <c r="D14938" s="18">
        <v>2023</v>
      </c>
      <c r="E14938" s="18" t="s">
        <v>0</v>
      </c>
      <c r="F14938" s="41">
        <v>1</v>
      </c>
      <c r="G14938" s="41">
        <v>50</v>
      </c>
      <c r="H14938" s="41">
        <v>120.05198</v>
      </c>
      <c r="I14938" s="221"/>
      <c r="J14938" s="221"/>
    </row>
    <row r="14939" spans="1:10" s="15" customFormat="1" ht="24" hidden="1" customHeight="1" outlineLevel="1" x14ac:dyDescent="0.25">
      <c r="A14939" s="18">
        <v>4265</v>
      </c>
      <c r="B14939" s="4" t="s">
        <v>44</v>
      </c>
      <c r="C14939" s="38" t="s">
        <v>8499</v>
      </c>
      <c r="D14939" s="18">
        <v>2023</v>
      </c>
      <c r="E14939" s="18" t="s">
        <v>0</v>
      </c>
      <c r="F14939" s="41">
        <v>1</v>
      </c>
      <c r="G14939" s="41">
        <v>10</v>
      </c>
      <c r="H14939" s="41">
        <v>52.235910000000004</v>
      </c>
      <c r="I14939" s="221"/>
      <c r="J14939" s="221"/>
    </row>
    <row r="14940" spans="1:10" s="15" customFormat="1" ht="24" hidden="1" customHeight="1" outlineLevel="1" x14ac:dyDescent="0.25">
      <c r="A14940" s="18">
        <v>4266</v>
      </c>
      <c r="B14940" s="4" t="s">
        <v>44</v>
      </c>
      <c r="C14940" s="38" t="s">
        <v>8500</v>
      </c>
      <c r="D14940" s="18">
        <v>2023</v>
      </c>
      <c r="E14940" s="18" t="s">
        <v>0</v>
      </c>
      <c r="F14940" s="41">
        <v>1</v>
      </c>
      <c r="G14940" s="41">
        <v>5</v>
      </c>
      <c r="H14940" s="41">
        <v>59.009340000000002</v>
      </c>
      <c r="I14940" s="221"/>
      <c r="J14940" s="221"/>
    </row>
    <row r="14941" spans="1:10" s="15" customFormat="1" ht="24" hidden="1" customHeight="1" outlineLevel="1" x14ac:dyDescent="0.25">
      <c r="A14941" s="18">
        <v>4583</v>
      </c>
      <c r="B14941" s="4" t="s">
        <v>44</v>
      </c>
      <c r="C14941" s="38" t="s">
        <v>12584</v>
      </c>
      <c r="D14941" s="18">
        <v>2023</v>
      </c>
      <c r="E14941" s="18" t="s">
        <v>0</v>
      </c>
      <c r="F14941" s="41">
        <v>1</v>
      </c>
      <c r="G14941" s="41">
        <v>15</v>
      </c>
      <c r="H14941" s="41">
        <v>52.954800000000006</v>
      </c>
      <c r="I14941" s="221"/>
      <c r="J14941" s="221"/>
    </row>
    <row r="14942" spans="1:10" s="15" customFormat="1" ht="24" hidden="1" customHeight="1" outlineLevel="1" x14ac:dyDescent="0.25">
      <c r="A14942" s="18">
        <v>4592</v>
      </c>
      <c r="B14942" s="4" t="s">
        <v>44</v>
      </c>
      <c r="C14942" s="38" t="s">
        <v>12585</v>
      </c>
      <c r="D14942" s="18">
        <v>2023</v>
      </c>
      <c r="E14942" s="18" t="s">
        <v>0</v>
      </c>
      <c r="F14942" s="41">
        <v>1</v>
      </c>
      <c r="G14942" s="41">
        <v>15</v>
      </c>
      <c r="H14942" s="41">
        <v>43.888999999999996</v>
      </c>
      <c r="I14942" s="221"/>
      <c r="J14942" s="221"/>
    </row>
    <row r="14943" spans="1:10" s="15" customFormat="1" ht="24" hidden="1" customHeight="1" outlineLevel="1" x14ac:dyDescent="0.25">
      <c r="A14943" s="18">
        <v>4593</v>
      </c>
      <c r="B14943" s="4" t="s">
        <v>44</v>
      </c>
      <c r="C14943" s="38" t="s">
        <v>12586</v>
      </c>
      <c r="D14943" s="18">
        <v>2023</v>
      </c>
      <c r="E14943" s="18" t="s">
        <v>0</v>
      </c>
      <c r="F14943" s="41">
        <v>1</v>
      </c>
      <c r="G14943" s="41">
        <v>50</v>
      </c>
      <c r="H14943" s="41">
        <v>43.888999999999996</v>
      </c>
      <c r="I14943" s="221"/>
      <c r="J14943" s="221"/>
    </row>
    <row r="14944" spans="1:10" s="15" customFormat="1" ht="24" hidden="1" customHeight="1" outlineLevel="1" x14ac:dyDescent="0.25">
      <c r="A14944" s="18">
        <v>440</v>
      </c>
      <c r="B14944" s="4" t="s">
        <v>44</v>
      </c>
      <c r="C14944" s="38" t="s">
        <v>12587</v>
      </c>
      <c r="D14944" s="18">
        <v>2023</v>
      </c>
      <c r="E14944" s="18" t="s">
        <v>0</v>
      </c>
      <c r="F14944" s="41">
        <v>1</v>
      </c>
      <c r="G14944" s="41">
        <v>15</v>
      </c>
      <c r="H14944" s="41">
        <v>46.476000000000006</v>
      </c>
      <c r="I14944" s="221"/>
      <c r="J14944" s="221"/>
    </row>
    <row r="14945" spans="1:10" s="15" customFormat="1" ht="24" hidden="1" customHeight="1" outlineLevel="1" x14ac:dyDescent="0.25">
      <c r="A14945" s="18">
        <v>3903</v>
      </c>
      <c r="B14945" s="4" t="s">
        <v>44</v>
      </c>
      <c r="C14945" s="38" t="s">
        <v>12588</v>
      </c>
      <c r="D14945" s="18">
        <v>2023</v>
      </c>
      <c r="E14945" s="18" t="s">
        <v>0</v>
      </c>
      <c r="F14945" s="41">
        <v>1</v>
      </c>
      <c r="G14945" s="41">
        <v>15</v>
      </c>
      <c r="H14945" s="41">
        <v>46.649000000000001</v>
      </c>
      <c r="I14945" s="221"/>
      <c r="J14945" s="221"/>
    </row>
    <row r="14946" spans="1:10" s="15" customFormat="1" ht="24" hidden="1" customHeight="1" outlineLevel="1" x14ac:dyDescent="0.25">
      <c r="A14946" s="18">
        <v>4624</v>
      </c>
      <c r="B14946" s="4" t="s">
        <v>44</v>
      </c>
      <c r="C14946" s="38" t="s">
        <v>12589</v>
      </c>
      <c r="D14946" s="18">
        <v>2023</v>
      </c>
      <c r="E14946" s="18" t="s">
        <v>0</v>
      </c>
      <c r="F14946" s="41">
        <v>1</v>
      </c>
      <c r="G14946" s="41">
        <v>14</v>
      </c>
      <c r="H14946" s="41">
        <v>46.707999999999998</v>
      </c>
      <c r="I14946" s="221"/>
      <c r="J14946" s="221"/>
    </row>
    <row r="14947" spans="1:10" s="15" customFormat="1" ht="24" hidden="1" customHeight="1" outlineLevel="1" x14ac:dyDescent="0.25">
      <c r="A14947" s="18">
        <v>3778</v>
      </c>
      <c r="B14947" s="4" t="s">
        <v>44</v>
      </c>
      <c r="C14947" s="38" t="s">
        <v>12590</v>
      </c>
      <c r="D14947" s="18">
        <v>2023</v>
      </c>
      <c r="E14947" s="18" t="s">
        <v>0</v>
      </c>
      <c r="F14947" s="41">
        <v>1</v>
      </c>
      <c r="G14947" s="41">
        <v>15</v>
      </c>
      <c r="H14947" s="41">
        <v>47.381</v>
      </c>
      <c r="I14947" s="221"/>
      <c r="J14947" s="221"/>
    </row>
    <row r="14948" spans="1:10" s="15" customFormat="1" ht="24" hidden="1" customHeight="1" outlineLevel="1" x14ac:dyDescent="0.25">
      <c r="A14948" s="18">
        <v>4649</v>
      </c>
      <c r="B14948" s="4" t="s">
        <v>44</v>
      </c>
      <c r="C14948" s="38" t="s">
        <v>12591</v>
      </c>
      <c r="D14948" s="18">
        <v>2023</v>
      </c>
      <c r="E14948" s="18" t="s">
        <v>0</v>
      </c>
      <c r="F14948" s="41">
        <v>1</v>
      </c>
      <c r="G14948" s="41">
        <v>15</v>
      </c>
      <c r="H14948" s="41">
        <v>38.979500000000002</v>
      </c>
      <c r="I14948" s="221"/>
      <c r="J14948" s="221"/>
    </row>
    <row r="14949" spans="1:10" s="15" customFormat="1" ht="24" hidden="1" customHeight="1" outlineLevel="1" x14ac:dyDescent="0.25">
      <c r="A14949" s="18">
        <v>3447</v>
      </c>
      <c r="B14949" s="4" t="s">
        <v>44</v>
      </c>
      <c r="C14949" s="38" t="s">
        <v>12592</v>
      </c>
      <c r="D14949" s="18">
        <v>2023</v>
      </c>
      <c r="E14949" s="18" t="s">
        <v>0</v>
      </c>
      <c r="F14949" s="41">
        <v>1</v>
      </c>
      <c r="G14949" s="41">
        <v>15</v>
      </c>
      <c r="H14949" s="41">
        <v>39.277000000000001</v>
      </c>
      <c r="I14949" s="221"/>
      <c r="J14949" s="221"/>
    </row>
    <row r="14950" spans="1:10" s="15" customFormat="1" ht="24" hidden="1" customHeight="1" outlineLevel="1" x14ac:dyDescent="0.25">
      <c r="A14950" s="18">
        <v>3729</v>
      </c>
      <c r="B14950" s="4" t="s">
        <v>44</v>
      </c>
      <c r="C14950" s="38" t="s">
        <v>12593</v>
      </c>
      <c r="D14950" s="18">
        <v>2023</v>
      </c>
      <c r="E14950" s="18" t="s">
        <v>0</v>
      </c>
      <c r="F14950" s="41">
        <v>1</v>
      </c>
      <c r="G14950" s="41">
        <v>15</v>
      </c>
      <c r="H14950" s="41">
        <v>38.979500000000002</v>
      </c>
      <c r="I14950" s="221"/>
      <c r="J14950" s="221"/>
    </row>
    <row r="14951" spans="1:10" s="15" customFormat="1" ht="24" hidden="1" customHeight="1" outlineLevel="1" x14ac:dyDescent="0.25">
      <c r="A14951" s="18">
        <v>4655</v>
      </c>
      <c r="B14951" s="4" t="s">
        <v>44</v>
      </c>
      <c r="C14951" s="38" t="s">
        <v>12594</v>
      </c>
      <c r="D14951" s="18">
        <v>2023</v>
      </c>
      <c r="E14951" s="18" t="s">
        <v>0</v>
      </c>
      <c r="F14951" s="41">
        <v>1</v>
      </c>
      <c r="G14951" s="41">
        <v>10</v>
      </c>
      <c r="H14951" s="41">
        <v>39.148000000000003</v>
      </c>
      <c r="I14951" s="221"/>
      <c r="J14951" s="221"/>
    </row>
    <row r="14952" spans="1:10" s="15" customFormat="1" ht="24" hidden="1" customHeight="1" outlineLevel="1" x14ac:dyDescent="0.25">
      <c r="A14952" s="18">
        <v>4657</v>
      </c>
      <c r="B14952" s="4" t="s">
        <v>44</v>
      </c>
      <c r="C14952" s="38" t="s">
        <v>12595</v>
      </c>
      <c r="D14952" s="18">
        <v>2023</v>
      </c>
      <c r="E14952" s="18" t="s">
        <v>0</v>
      </c>
      <c r="F14952" s="41">
        <v>1</v>
      </c>
      <c r="G14952" s="41">
        <v>15</v>
      </c>
      <c r="H14952" s="41">
        <v>39.347000000000001</v>
      </c>
      <c r="I14952" s="221"/>
      <c r="J14952" s="221"/>
    </row>
    <row r="14953" spans="1:10" s="15" customFormat="1" ht="24" hidden="1" customHeight="1" outlineLevel="1" x14ac:dyDescent="0.25">
      <c r="A14953" s="18">
        <v>3892</v>
      </c>
      <c r="B14953" s="4" t="s">
        <v>44</v>
      </c>
      <c r="C14953" s="38" t="s">
        <v>12596</v>
      </c>
      <c r="D14953" s="18">
        <v>2023</v>
      </c>
      <c r="E14953" s="18" t="s">
        <v>0</v>
      </c>
      <c r="F14953" s="41">
        <v>1</v>
      </c>
      <c r="G14953" s="41">
        <v>12</v>
      </c>
      <c r="H14953" s="41">
        <v>47.042000000000002</v>
      </c>
      <c r="I14953" s="221"/>
      <c r="J14953" s="221"/>
    </row>
    <row r="14954" spans="1:10" s="15" customFormat="1" ht="24" hidden="1" customHeight="1" outlineLevel="1" x14ac:dyDescent="0.25">
      <c r="A14954" s="18">
        <v>4651</v>
      </c>
      <c r="B14954" s="4" t="s">
        <v>44</v>
      </c>
      <c r="C14954" s="38" t="s">
        <v>12597</v>
      </c>
      <c r="D14954" s="18">
        <v>2023</v>
      </c>
      <c r="E14954" s="18" t="s">
        <v>0</v>
      </c>
      <c r="F14954" s="41">
        <v>1</v>
      </c>
      <c r="G14954" s="41">
        <v>7.5</v>
      </c>
      <c r="H14954" s="41">
        <v>38.813000000000002</v>
      </c>
      <c r="I14954" s="221"/>
      <c r="J14954" s="221"/>
    </row>
    <row r="14955" spans="1:10" s="15" customFormat="1" ht="24" hidden="1" customHeight="1" outlineLevel="1" x14ac:dyDescent="0.25">
      <c r="A14955" s="18">
        <v>4656</v>
      </c>
      <c r="B14955" s="4" t="s">
        <v>44</v>
      </c>
      <c r="C14955" s="38" t="s">
        <v>12598</v>
      </c>
      <c r="D14955" s="18">
        <v>2023</v>
      </c>
      <c r="E14955" s="18" t="s">
        <v>0</v>
      </c>
      <c r="F14955" s="41">
        <v>1</v>
      </c>
      <c r="G14955" s="41">
        <v>15</v>
      </c>
      <c r="H14955" s="41">
        <v>38.143999999999998</v>
      </c>
      <c r="I14955" s="221"/>
      <c r="J14955" s="221"/>
    </row>
    <row r="14956" spans="1:10" s="15" customFormat="1" ht="24" hidden="1" customHeight="1" outlineLevel="1" x14ac:dyDescent="0.25">
      <c r="A14956" s="18">
        <v>4659</v>
      </c>
      <c r="B14956" s="4" t="s">
        <v>44</v>
      </c>
      <c r="C14956" s="38" t="s">
        <v>12599</v>
      </c>
      <c r="D14956" s="18">
        <v>2023</v>
      </c>
      <c r="E14956" s="18" t="s">
        <v>0</v>
      </c>
      <c r="F14956" s="41">
        <v>1</v>
      </c>
      <c r="G14956" s="41">
        <v>13.2</v>
      </c>
      <c r="H14956" s="41">
        <v>36.789000000000001</v>
      </c>
      <c r="I14956" s="221"/>
      <c r="J14956" s="221"/>
    </row>
    <row r="14957" spans="1:10" s="15" customFormat="1" ht="24" hidden="1" customHeight="1" outlineLevel="1" x14ac:dyDescent="0.25">
      <c r="A14957" s="18">
        <v>1324</v>
      </c>
      <c r="B14957" s="4" t="s">
        <v>44</v>
      </c>
      <c r="C14957" s="38" t="s">
        <v>12600</v>
      </c>
      <c r="D14957" s="18">
        <v>2023</v>
      </c>
      <c r="E14957" s="18" t="s">
        <v>0</v>
      </c>
      <c r="F14957" s="41">
        <v>1</v>
      </c>
      <c r="G14957" s="41">
        <v>5</v>
      </c>
      <c r="H14957" s="41">
        <v>47.054000000000002</v>
      </c>
      <c r="I14957" s="221"/>
      <c r="J14957" s="221"/>
    </row>
    <row r="14958" spans="1:10" s="15" customFormat="1" ht="24" hidden="1" customHeight="1" outlineLevel="1" x14ac:dyDescent="0.25">
      <c r="A14958" s="18">
        <v>4629</v>
      </c>
      <c r="B14958" s="4" t="s">
        <v>44</v>
      </c>
      <c r="C14958" s="38" t="s">
        <v>12601</v>
      </c>
      <c r="D14958" s="18">
        <v>2023</v>
      </c>
      <c r="E14958" s="18" t="s">
        <v>0</v>
      </c>
      <c r="F14958" s="41">
        <v>1</v>
      </c>
      <c r="G14958" s="41">
        <v>14</v>
      </c>
      <c r="H14958" s="41">
        <v>43.068000000000005</v>
      </c>
      <c r="I14958" s="221"/>
      <c r="J14958" s="221"/>
    </row>
    <row r="14959" spans="1:10" s="15" customFormat="1" ht="24" hidden="1" customHeight="1" outlineLevel="1" x14ac:dyDescent="0.25">
      <c r="A14959" s="18">
        <v>4631</v>
      </c>
      <c r="B14959" s="4" t="s">
        <v>44</v>
      </c>
      <c r="C14959" s="38" t="s">
        <v>12602</v>
      </c>
      <c r="D14959" s="18">
        <v>2023</v>
      </c>
      <c r="E14959" s="18" t="s">
        <v>0</v>
      </c>
      <c r="F14959" s="41">
        <v>1</v>
      </c>
      <c r="G14959" s="41">
        <v>14</v>
      </c>
      <c r="H14959" s="41">
        <v>47.567</v>
      </c>
      <c r="I14959" s="221"/>
      <c r="J14959" s="221"/>
    </row>
    <row r="14960" spans="1:10" s="15" customFormat="1" ht="24" hidden="1" customHeight="1" outlineLevel="1" x14ac:dyDescent="0.25">
      <c r="A14960" s="18">
        <v>4632</v>
      </c>
      <c r="B14960" s="4" t="s">
        <v>44</v>
      </c>
      <c r="C14960" s="38" t="s">
        <v>12603</v>
      </c>
      <c r="D14960" s="18">
        <v>2023</v>
      </c>
      <c r="E14960" s="18" t="s">
        <v>0</v>
      </c>
      <c r="F14960" s="41">
        <v>1</v>
      </c>
      <c r="G14960" s="41">
        <v>14</v>
      </c>
      <c r="H14960" s="41">
        <v>43.068000000000005</v>
      </c>
      <c r="I14960" s="221"/>
      <c r="J14960" s="221"/>
    </row>
    <row r="14961" spans="1:10" s="15" customFormat="1" ht="24" hidden="1" customHeight="1" outlineLevel="1" x14ac:dyDescent="0.25">
      <c r="A14961" s="18">
        <v>4633</v>
      </c>
      <c r="B14961" s="4" t="s">
        <v>44</v>
      </c>
      <c r="C14961" s="38" t="s">
        <v>12604</v>
      </c>
      <c r="D14961" s="18">
        <v>2023</v>
      </c>
      <c r="E14961" s="18" t="s">
        <v>0</v>
      </c>
      <c r="F14961" s="41">
        <v>1</v>
      </c>
      <c r="G14961" s="41">
        <v>14</v>
      </c>
      <c r="H14961" s="41">
        <v>43.554000000000002</v>
      </c>
      <c r="I14961" s="221"/>
      <c r="J14961" s="221"/>
    </row>
    <row r="14962" spans="1:10" s="15" customFormat="1" ht="24" hidden="1" customHeight="1" outlineLevel="1" x14ac:dyDescent="0.25">
      <c r="A14962" s="18">
        <v>4634</v>
      </c>
      <c r="B14962" s="4" t="s">
        <v>44</v>
      </c>
      <c r="C14962" s="38" t="s">
        <v>12605</v>
      </c>
      <c r="D14962" s="18">
        <v>2023</v>
      </c>
      <c r="E14962" s="18" t="s">
        <v>0</v>
      </c>
      <c r="F14962" s="41">
        <v>1</v>
      </c>
      <c r="G14962" s="41">
        <v>14</v>
      </c>
      <c r="H14962" s="41">
        <v>47.701000000000001</v>
      </c>
      <c r="I14962" s="221"/>
      <c r="J14962" s="221"/>
    </row>
    <row r="14963" spans="1:10" s="15" customFormat="1" ht="24" hidden="1" customHeight="1" outlineLevel="1" x14ac:dyDescent="0.25">
      <c r="A14963" s="18">
        <v>4650</v>
      </c>
      <c r="B14963" s="4" t="s">
        <v>44</v>
      </c>
      <c r="C14963" s="38" t="s">
        <v>12606</v>
      </c>
      <c r="D14963" s="18">
        <v>2023</v>
      </c>
      <c r="E14963" s="18" t="s">
        <v>0</v>
      </c>
      <c r="F14963" s="41">
        <v>1</v>
      </c>
      <c r="G14963" s="41">
        <v>10</v>
      </c>
      <c r="H14963" s="41">
        <v>38.947000000000003</v>
      </c>
      <c r="I14963" s="221"/>
      <c r="J14963" s="221"/>
    </row>
    <row r="14964" spans="1:10" s="15" customFormat="1" ht="24" hidden="1" customHeight="1" outlineLevel="1" x14ac:dyDescent="0.25">
      <c r="A14964" s="18">
        <v>3528</v>
      </c>
      <c r="B14964" s="4" t="s">
        <v>44</v>
      </c>
      <c r="C14964" s="38" t="s">
        <v>12607</v>
      </c>
      <c r="D14964" s="18">
        <v>2023</v>
      </c>
      <c r="E14964" s="18" t="s">
        <v>0</v>
      </c>
      <c r="F14964" s="41">
        <v>1</v>
      </c>
      <c r="G14964" s="41">
        <v>10</v>
      </c>
      <c r="H14964" s="41">
        <v>39.433999999999997</v>
      </c>
      <c r="I14964" s="221"/>
      <c r="J14964" s="221"/>
    </row>
    <row r="14965" spans="1:10" s="15" customFormat="1" ht="24" hidden="1" customHeight="1" outlineLevel="1" x14ac:dyDescent="0.25">
      <c r="A14965" s="18">
        <v>3809</v>
      </c>
      <c r="B14965" s="4" t="s">
        <v>44</v>
      </c>
      <c r="C14965" s="38" t="s">
        <v>12608</v>
      </c>
      <c r="D14965" s="18">
        <v>2023</v>
      </c>
      <c r="E14965" s="18" t="s">
        <v>0</v>
      </c>
      <c r="F14965" s="41">
        <v>1</v>
      </c>
      <c r="G14965" s="151">
        <v>11.8</v>
      </c>
      <c r="H14965" s="41">
        <v>38.947000000000003</v>
      </c>
      <c r="I14965" s="221"/>
      <c r="J14965" s="221"/>
    </row>
    <row r="14966" spans="1:10" s="15" customFormat="1" ht="24" hidden="1" customHeight="1" outlineLevel="1" x14ac:dyDescent="0.25">
      <c r="A14966" s="18">
        <v>3833</v>
      </c>
      <c r="B14966" s="4" t="s">
        <v>44</v>
      </c>
      <c r="C14966" s="38" t="s">
        <v>12609</v>
      </c>
      <c r="D14966" s="18">
        <v>2023</v>
      </c>
      <c r="E14966" s="18" t="s">
        <v>0</v>
      </c>
      <c r="F14966" s="41">
        <v>1</v>
      </c>
      <c r="G14966" s="41">
        <v>15</v>
      </c>
      <c r="H14966" s="41">
        <v>39.433</v>
      </c>
      <c r="I14966" s="221"/>
      <c r="J14966" s="221"/>
    </row>
    <row r="14967" spans="1:10" s="15" customFormat="1" ht="24" hidden="1" customHeight="1" outlineLevel="1" x14ac:dyDescent="0.25">
      <c r="A14967" s="18">
        <v>3758</v>
      </c>
      <c r="B14967" s="4" t="s">
        <v>44</v>
      </c>
      <c r="C14967" s="38" t="s">
        <v>12610</v>
      </c>
      <c r="D14967" s="18">
        <v>2023</v>
      </c>
      <c r="E14967" s="18" t="s">
        <v>0</v>
      </c>
      <c r="F14967" s="41">
        <v>1</v>
      </c>
      <c r="G14967" s="41">
        <v>10</v>
      </c>
      <c r="H14967" s="41">
        <v>38.947000000000003</v>
      </c>
      <c r="I14967" s="221"/>
      <c r="J14967" s="221"/>
    </row>
    <row r="14968" spans="1:10" s="15" customFormat="1" ht="24" hidden="1" customHeight="1" outlineLevel="1" x14ac:dyDescent="0.25">
      <c r="A14968" s="18">
        <v>3529</v>
      </c>
      <c r="B14968" s="4" t="s">
        <v>44</v>
      </c>
      <c r="C14968" s="38" t="s">
        <v>12611</v>
      </c>
      <c r="D14968" s="18">
        <v>2023</v>
      </c>
      <c r="E14968" s="18" t="s">
        <v>0</v>
      </c>
      <c r="F14968" s="41">
        <v>1</v>
      </c>
      <c r="G14968" s="41">
        <v>15</v>
      </c>
      <c r="H14968" s="41">
        <v>38.947000000000003</v>
      </c>
      <c r="I14968" s="221"/>
      <c r="J14968" s="221"/>
    </row>
    <row r="14969" spans="1:10" s="15" customFormat="1" ht="24" hidden="1" customHeight="1" outlineLevel="1" x14ac:dyDescent="0.25">
      <c r="A14969" s="18">
        <v>916</v>
      </c>
      <c r="B14969" s="4" t="s">
        <v>44</v>
      </c>
      <c r="C14969" s="38" t="s">
        <v>12612</v>
      </c>
      <c r="D14969" s="18">
        <v>2023</v>
      </c>
      <c r="E14969" s="18" t="s">
        <v>0</v>
      </c>
      <c r="F14969" s="41">
        <v>1</v>
      </c>
      <c r="G14969" s="41">
        <v>15</v>
      </c>
      <c r="H14969" s="41">
        <v>43.052</v>
      </c>
      <c r="I14969" s="221"/>
      <c r="J14969" s="221"/>
    </row>
    <row r="14970" spans="1:10" s="15" customFormat="1" ht="24" hidden="1" customHeight="1" outlineLevel="1" x14ac:dyDescent="0.25">
      <c r="A14970" s="18">
        <v>967</v>
      </c>
      <c r="B14970" s="4" t="s">
        <v>44</v>
      </c>
      <c r="C14970" s="38" t="s">
        <v>12613</v>
      </c>
      <c r="D14970" s="18">
        <v>2023</v>
      </c>
      <c r="E14970" s="18" t="s">
        <v>0</v>
      </c>
      <c r="F14970" s="41">
        <v>1</v>
      </c>
      <c r="G14970" s="41">
        <v>15</v>
      </c>
      <c r="H14970" s="41">
        <v>38.582999999999998</v>
      </c>
      <c r="I14970" s="221"/>
      <c r="J14970" s="221"/>
    </row>
    <row r="14971" spans="1:10" s="15" customFormat="1" ht="24" hidden="1" customHeight="1" outlineLevel="1" x14ac:dyDescent="0.25">
      <c r="A14971" s="18">
        <v>3875</v>
      </c>
      <c r="B14971" s="4" t="s">
        <v>44</v>
      </c>
      <c r="C14971" s="38" t="s">
        <v>12614</v>
      </c>
      <c r="D14971" s="18">
        <v>2023</v>
      </c>
      <c r="E14971" s="18" t="s">
        <v>0</v>
      </c>
      <c r="F14971" s="41">
        <v>1</v>
      </c>
      <c r="G14971" s="41">
        <v>15</v>
      </c>
      <c r="H14971" s="41">
        <v>43.741</v>
      </c>
      <c r="I14971" s="221"/>
      <c r="J14971" s="221"/>
    </row>
    <row r="14972" spans="1:10" s="15" customFormat="1" ht="24" hidden="1" customHeight="1" outlineLevel="1" x14ac:dyDescent="0.25">
      <c r="A14972" s="18">
        <v>3519</v>
      </c>
      <c r="B14972" s="4" t="s">
        <v>44</v>
      </c>
      <c r="C14972" s="38" t="s">
        <v>12615</v>
      </c>
      <c r="D14972" s="18">
        <v>2023</v>
      </c>
      <c r="E14972" s="18" t="s">
        <v>0</v>
      </c>
      <c r="F14972" s="41">
        <v>1</v>
      </c>
      <c r="G14972" s="41">
        <v>15</v>
      </c>
      <c r="H14972" s="41">
        <v>38.945999999999998</v>
      </c>
      <c r="I14972" s="221"/>
      <c r="J14972" s="221"/>
    </row>
    <row r="14973" spans="1:10" s="15" customFormat="1" ht="24" hidden="1" customHeight="1" outlineLevel="1" x14ac:dyDescent="0.25">
      <c r="A14973" s="18">
        <v>4646</v>
      </c>
      <c r="B14973" s="4" t="s">
        <v>44</v>
      </c>
      <c r="C14973" s="38" t="s">
        <v>12616</v>
      </c>
      <c r="D14973" s="18">
        <v>2023</v>
      </c>
      <c r="E14973" s="18" t="s">
        <v>0</v>
      </c>
      <c r="F14973" s="41">
        <v>1</v>
      </c>
      <c r="G14973" s="41">
        <v>15</v>
      </c>
      <c r="H14973" s="41">
        <v>38.945999999999998</v>
      </c>
      <c r="I14973" s="221"/>
      <c r="J14973" s="221"/>
    </row>
    <row r="14974" spans="1:10" s="15" customFormat="1" ht="24" hidden="1" customHeight="1" outlineLevel="1" x14ac:dyDescent="0.25">
      <c r="A14974" s="18">
        <v>4647</v>
      </c>
      <c r="B14974" s="4" t="s">
        <v>44</v>
      </c>
      <c r="C14974" s="38" t="s">
        <v>12617</v>
      </c>
      <c r="D14974" s="18">
        <v>2023</v>
      </c>
      <c r="E14974" s="18" t="s">
        <v>0</v>
      </c>
      <c r="F14974" s="41">
        <v>1</v>
      </c>
      <c r="G14974" s="41">
        <v>15</v>
      </c>
      <c r="H14974" s="41">
        <v>38.610999999999997</v>
      </c>
      <c r="I14974" s="221"/>
      <c r="J14974" s="221"/>
    </row>
    <row r="14975" spans="1:10" s="15" customFormat="1" ht="24" hidden="1" customHeight="1" outlineLevel="1" x14ac:dyDescent="0.25">
      <c r="A14975" s="18">
        <v>3518</v>
      </c>
      <c r="B14975" s="4" t="s">
        <v>44</v>
      </c>
      <c r="C14975" s="38" t="s">
        <v>12618</v>
      </c>
      <c r="D14975" s="18">
        <v>2023</v>
      </c>
      <c r="E14975" s="18" t="s">
        <v>0</v>
      </c>
      <c r="F14975" s="41">
        <v>1</v>
      </c>
      <c r="G14975" s="41">
        <v>15</v>
      </c>
      <c r="H14975" s="41">
        <v>38.945999999999998</v>
      </c>
      <c r="I14975" s="221"/>
      <c r="J14975" s="221"/>
    </row>
    <row r="14976" spans="1:10" s="15" customFormat="1" ht="24" hidden="1" customHeight="1" outlineLevel="1" x14ac:dyDescent="0.25">
      <c r="A14976" s="18">
        <v>3520</v>
      </c>
      <c r="B14976" s="4" t="s">
        <v>44</v>
      </c>
      <c r="C14976" s="38" t="s">
        <v>12619</v>
      </c>
      <c r="D14976" s="18">
        <v>2023</v>
      </c>
      <c r="E14976" s="18" t="s">
        <v>0</v>
      </c>
      <c r="F14976" s="41">
        <v>1</v>
      </c>
      <c r="G14976" s="41">
        <v>12</v>
      </c>
      <c r="H14976" s="41">
        <v>55.061999999999998</v>
      </c>
      <c r="I14976" s="221"/>
      <c r="J14976" s="221"/>
    </row>
    <row r="14977" spans="1:10" s="15" customFormat="1" ht="24" hidden="1" customHeight="1" outlineLevel="1" x14ac:dyDescent="0.25">
      <c r="A14977" s="18">
        <v>4648</v>
      </c>
      <c r="B14977" s="4" t="s">
        <v>44</v>
      </c>
      <c r="C14977" s="38" t="s">
        <v>12620</v>
      </c>
      <c r="D14977" s="18">
        <v>2023</v>
      </c>
      <c r="E14977" s="18" t="s">
        <v>0</v>
      </c>
      <c r="F14977" s="41">
        <v>1</v>
      </c>
      <c r="G14977" s="41">
        <v>15</v>
      </c>
      <c r="H14977" s="41">
        <v>38.945999999999998</v>
      </c>
      <c r="I14977" s="221"/>
      <c r="J14977" s="221"/>
    </row>
    <row r="14978" spans="1:10" s="15" customFormat="1" ht="24" hidden="1" customHeight="1" outlineLevel="1" x14ac:dyDescent="0.25">
      <c r="A14978" s="18">
        <v>4652</v>
      </c>
      <c r="B14978" s="4" t="s">
        <v>44</v>
      </c>
      <c r="C14978" s="38" t="s">
        <v>12621</v>
      </c>
      <c r="D14978" s="18">
        <v>2023</v>
      </c>
      <c r="E14978" s="18" t="s">
        <v>0</v>
      </c>
      <c r="F14978" s="41">
        <v>1</v>
      </c>
      <c r="G14978" s="41">
        <v>10</v>
      </c>
      <c r="H14978" s="41">
        <v>38.610999999999997</v>
      </c>
      <c r="I14978" s="221"/>
      <c r="J14978" s="221"/>
    </row>
    <row r="14979" spans="1:10" s="15" customFormat="1" ht="24" hidden="1" customHeight="1" outlineLevel="1" x14ac:dyDescent="0.25">
      <c r="A14979" s="18">
        <v>4664</v>
      </c>
      <c r="B14979" s="4" t="s">
        <v>44</v>
      </c>
      <c r="C14979" s="38" t="s">
        <v>12622</v>
      </c>
      <c r="D14979" s="18">
        <v>2023</v>
      </c>
      <c r="E14979" s="18" t="s">
        <v>0</v>
      </c>
      <c r="F14979" s="41">
        <v>1</v>
      </c>
      <c r="G14979" s="41">
        <v>45</v>
      </c>
      <c r="H14979" s="41">
        <v>39.079650000000001</v>
      </c>
      <c r="I14979" s="221"/>
      <c r="J14979" s="221"/>
    </row>
    <row r="14980" spans="1:10" s="15" customFormat="1" ht="24" hidden="1" customHeight="1" outlineLevel="1" x14ac:dyDescent="0.25">
      <c r="A14980" s="18">
        <v>3891</v>
      </c>
      <c r="B14980" s="4" t="s">
        <v>44</v>
      </c>
      <c r="C14980" s="38" t="s">
        <v>12623</v>
      </c>
      <c r="D14980" s="18">
        <v>2023</v>
      </c>
      <c r="E14980" s="18" t="s">
        <v>0</v>
      </c>
      <c r="F14980" s="41">
        <v>1</v>
      </c>
      <c r="G14980" s="41">
        <v>12</v>
      </c>
      <c r="H14980" s="41">
        <v>48.341000000000001</v>
      </c>
      <c r="I14980" s="221"/>
      <c r="J14980" s="221"/>
    </row>
    <row r="14981" spans="1:10" s="15" customFormat="1" ht="24" hidden="1" customHeight="1" outlineLevel="1" x14ac:dyDescent="0.25">
      <c r="A14981" s="18">
        <v>3899</v>
      </c>
      <c r="B14981" s="4" t="s">
        <v>44</v>
      </c>
      <c r="C14981" s="38" t="s">
        <v>12624</v>
      </c>
      <c r="D14981" s="18">
        <v>2023</v>
      </c>
      <c r="E14981" s="18" t="s">
        <v>0</v>
      </c>
      <c r="F14981" s="41">
        <v>1</v>
      </c>
      <c r="G14981" s="41">
        <v>15</v>
      </c>
      <c r="H14981" s="41">
        <v>46.005539999999996</v>
      </c>
      <c r="I14981" s="221"/>
      <c r="J14981" s="221"/>
    </row>
    <row r="14982" spans="1:10" s="15" customFormat="1" ht="24" hidden="1" customHeight="1" outlineLevel="1" x14ac:dyDescent="0.25">
      <c r="A14982" s="18">
        <v>4643</v>
      </c>
      <c r="B14982" s="4" t="s">
        <v>44</v>
      </c>
      <c r="C14982" s="38" t="s">
        <v>12625</v>
      </c>
      <c r="D14982" s="18">
        <v>2023</v>
      </c>
      <c r="E14982" s="18" t="s">
        <v>0</v>
      </c>
      <c r="F14982" s="41">
        <v>1</v>
      </c>
      <c r="G14982" s="41">
        <v>5</v>
      </c>
      <c r="H14982" s="41">
        <v>43.037999999999997</v>
      </c>
      <c r="I14982" s="221"/>
      <c r="J14982" s="221"/>
    </row>
    <row r="14983" spans="1:10" s="15" customFormat="1" ht="24" hidden="1" customHeight="1" outlineLevel="1" x14ac:dyDescent="0.25">
      <c r="A14983" s="18">
        <v>3710</v>
      </c>
      <c r="B14983" s="4" t="s">
        <v>44</v>
      </c>
      <c r="C14983" s="38" t="s">
        <v>12626</v>
      </c>
      <c r="D14983" s="18">
        <v>2023</v>
      </c>
      <c r="E14983" s="18" t="s">
        <v>0</v>
      </c>
      <c r="F14983" s="41">
        <v>1</v>
      </c>
      <c r="G14983" s="41">
        <v>10</v>
      </c>
      <c r="H14983" s="41">
        <v>40.933</v>
      </c>
      <c r="I14983" s="221"/>
      <c r="J14983" s="221"/>
    </row>
    <row r="14984" spans="1:10" s="15" customFormat="1" ht="24" hidden="1" customHeight="1" outlineLevel="1" x14ac:dyDescent="0.25">
      <c r="A14984" s="18">
        <v>3522</v>
      </c>
      <c r="B14984" s="4" t="s">
        <v>44</v>
      </c>
      <c r="C14984" s="38" t="s">
        <v>12627</v>
      </c>
      <c r="D14984" s="18">
        <v>2023</v>
      </c>
      <c r="E14984" s="18" t="s">
        <v>0</v>
      </c>
      <c r="F14984" s="41">
        <v>1</v>
      </c>
      <c r="G14984" s="41">
        <v>10</v>
      </c>
      <c r="H14984" s="41">
        <v>40.978999999999999</v>
      </c>
      <c r="I14984" s="221"/>
      <c r="J14984" s="221"/>
    </row>
    <row r="14985" spans="1:10" s="15" customFormat="1" ht="24" hidden="1" customHeight="1" outlineLevel="1" x14ac:dyDescent="0.25">
      <c r="A14985" s="18">
        <v>4653</v>
      </c>
      <c r="B14985" s="4" t="s">
        <v>44</v>
      </c>
      <c r="C14985" s="38" t="s">
        <v>12628</v>
      </c>
      <c r="D14985" s="18">
        <v>2023</v>
      </c>
      <c r="E14985" s="18" t="s">
        <v>0</v>
      </c>
      <c r="F14985" s="41">
        <v>1</v>
      </c>
      <c r="G14985" s="41">
        <v>10</v>
      </c>
      <c r="H14985" s="41">
        <v>39.863</v>
      </c>
      <c r="I14985" s="221"/>
      <c r="J14985" s="221"/>
    </row>
    <row r="14986" spans="1:10" s="15" customFormat="1" ht="24" hidden="1" customHeight="1" outlineLevel="1" x14ac:dyDescent="0.25">
      <c r="A14986" s="18">
        <v>3523</v>
      </c>
      <c r="B14986" s="4" t="s">
        <v>44</v>
      </c>
      <c r="C14986" s="38" t="s">
        <v>12629</v>
      </c>
      <c r="D14986" s="18">
        <v>2023</v>
      </c>
      <c r="E14986" s="18" t="s">
        <v>0</v>
      </c>
      <c r="F14986" s="41">
        <v>1</v>
      </c>
      <c r="G14986" s="41">
        <v>10</v>
      </c>
      <c r="H14986" s="41">
        <v>40.953000000000003</v>
      </c>
      <c r="I14986" s="221"/>
      <c r="J14986" s="221"/>
    </row>
    <row r="14987" spans="1:10" s="15" customFormat="1" ht="24" hidden="1" customHeight="1" outlineLevel="1" x14ac:dyDescent="0.25">
      <c r="A14987" s="18">
        <v>607</v>
      </c>
      <c r="B14987" s="4" t="s">
        <v>44</v>
      </c>
      <c r="C14987" s="38" t="s">
        <v>12630</v>
      </c>
      <c r="D14987" s="18">
        <v>2023</v>
      </c>
      <c r="E14987" s="18" t="s">
        <v>0</v>
      </c>
      <c r="F14987" s="41">
        <v>1</v>
      </c>
      <c r="G14987" s="41">
        <v>15</v>
      </c>
      <c r="H14987" s="41">
        <v>47.126000000000005</v>
      </c>
      <c r="I14987" s="221"/>
      <c r="J14987" s="221"/>
    </row>
    <row r="14988" spans="1:10" s="15" customFormat="1" ht="24" hidden="1" customHeight="1" outlineLevel="1" x14ac:dyDescent="0.25">
      <c r="A14988" s="18">
        <v>3358</v>
      </c>
      <c r="B14988" s="4" t="s">
        <v>44</v>
      </c>
      <c r="C14988" s="38" t="s">
        <v>9243</v>
      </c>
      <c r="D14988" s="18">
        <v>2023</v>
      </c>
      <c r="E14988" s="18" t="s">
        <v>0</v>
      </c>
      <c r="F14988" s="41">
        <v>1</v>
      </c>
      <c r="G14988" s="41">
        <v>15</v>
      </c>
      <c r="H14988" s="41">
        <v>76.003</v>
      </c>
      <c r="I14988" s="221"/>
      <c r="J14988" s="221"/>
    </row>
    <row r="14989" spans="1:10" s="15" customFormat="1" ht="24" hidden="1" customHeight="1" outlineLevel="1" x14ac:dyDescent="0.25">
      <c r="A14989" s="18">
        <v>800</v>
      </c>
      <c r="B14989" s="4" t="s">
        <v>44</v>
      </c>
      <c r="C14989" s="38" t="s">
        <v>9244</v>
      </c>
      <c r="D14989" s="18">
        <v>2023</v>
      </c>
      <c r="E14989" s="18" t="s">
        <v>0</v>
      </c>
      <c r="F14989" s="41">
        <v>1</v>
      </c>
      <c r="G14989" s="41">
        <v>15</v>
      </c>
      <c r="H14989" s="41">
        <v>88.8476</v>
      </c>
      <c r="I14989" s="221"/>
      <c r="J14989" s="221"/>
    </row>
    <row r="14990" spans="1:10" s="15" customFormat="1" ht="24" hidden="1" customHeight="1" outlineLevel="1" x14ac:dyDescent="0.25">
      <c r="A14990" s="18">
        <v>3660</v>
      </c>
      <c r="B14990" s="4" t="s">
        <v>44</v>
      </c>
      <c r="C14990" s="38" t="s">
        <v>9245</v>
      </c>
      <c r="D14990" s="18">
        <v>2023</v>
      </c>
      <c r="E14990" s="18" t="s">
        <v>0</v>
      </c>
      <c r="F14990" s="41">
        <v>1</v>
      </c>
      <c r="G14990" s="41">
        <v>15</v>
      </c>
      <c r="H14990" s="41">
        <v>79.352000000000004</v>
      </c>
      <c r="I14990" s="221"/>
      <c r="J14990" s="221"/>
    </row>
    <row r="14991" spans="1:10" s="15" customFormat="1" ht="24" hidden="1" customHeight="1" outlineLevel="1" x14ac:dyDescent="0.25">
      <c r="A14991" s="18">
        <v>4666</v>
      </c>
      <c r="B14991" s="4" t="s">
        <v>44</v>
      </c>
      <c r="C14991" s="38" t="s">
        <v>12631</v>
      </c>
      <c r="D14991" s="18">
        <v>2023</v>
      </c>
      <c r="E14991" s="18" t="s">
        <v>0</v>
      </c>
      <c r="F14991" s="41">
        <v>1</v>
      </c>
      <c r="G14991" s="41">
        <v>10</v>
      </c>
      <c r="H14991" s="41">
        <v>39.045000000000002</v>
      </c>
      <c r="I14991" s="221"/>
      <c r="J14991" s="221"/>
    </row>
    <row r="14992" spans="1:10" s="15" customFormat="1" ht="24" hidden="1" customHeight="1" outlineLevel="1" x14ac:dyDescent="0.25">
      <c r="A14992" s="18">
        <v>1318</v>
      </c>
      <c r="B14992" s="4" t="s">
        <v>44</v>
      </c>
      <c r="C14992" s="38" t="s">
        <v>12632</v>
      </c>
      <c r="D14992" s="18">
        <v>2023</v>
      </c>
      <c r="E14992" s="18" t="s">
        <v>0</v>
      </c>
      <c r="F14992" s="41">
        <v>1</v>
      </c>
      <c r="G14992" s="41">
        <v>3</v>
      </c>
      <c r="H14992" s="41">
        <v>40.722999999999999</v>
      </c>
      <c r="I14992" s="221"/>
      <c r="J14992" s="221"/>
    </row>
    <row r="14993" spans="1:10" s="15" customFormat="1" ht="24" hidden="1" customHeight="1" outlineLevel="1" x14ac:dyDescent="0.25">
      <c r="A14993" s="18">
        <v>4658</v>
      </c>
      <c r="B14993" s="4" t="s">
        <v>44</v>
      </c>
      <c r="C14993" s="38" t="s">
        <v>12633</v>
      </c>
      <c r="D14993" s="18">
        <v>2023</v>
      </c>
      <c r="E14993" s="18" t="s">
        <v>0</v>
      </c>
      <c r="F14993" s="41">
        <v>1</v>
      </c>
      <c r="G14993" s="41">
        <v>10</v>
      </c>
      <c r="H14993" s="41">
        <v>40.722999999999999</v>
      </c>
      <c r="I14993" s="221"/>
      <c r="J14993" s="221"/>
    </row>
    <row r="14994" spans="1:10" s="15" customFormat="1" ht="24" hidden="1" customHeight="1" outlineLevel="1" x14ac:dyDescent="0.25">
      <c r="A14994" s="18">
        <v>4665</v>
      </c>
      <c r="B14994" s="4" t="s">
        <v>44</v>
      </c>
      <c r="C14994" s="38" t="s">
        <v>12634</v>
      </c>
      <c r="D14994" s="18">
        <v>2023</v>
      </c>
      <c r="E14994" s="18" t="s">
        <v>0</v>
      </c>
      <c r="F14994" s="41">
        <v>1</v>
      </c>
      <c r="G14994" s="41">
        <v>15</v>
      </c>
      <c r="H14994" s="41">
        <v>64.742999999999995</v>
      </c>
      <c r="I14994" s="221"/>
      <c r="J14994" s="221"/>
    </row>
    <row r="14995" spans="1:10" s="15" customFormat="1" ht="24" hidden="1" customHeight="1" outlineLevel="1" x14ac:dyDescent="0.25">
      <c r="A14995" s="18">
        <v>3893</v>
      </c>
      <c r="B14995" s="4" t="s">
        <v>44</v>
      </c>
      <c r="C14995" s="38" t="s">
        <v>9246</v>
      </c>
      <c r="D14995" s="18">
        <v>2023</v>
      </c>
      <c r="E14995" s="18" t="s">
        <v>0</v>
      </c>
      <c r="F14995" s="41">
        <v>1</v>
      </c>
      <c r="G14995" s="41">
        <v>10</v>
      </c>
      <c r="H14995" s="41">
        <v>68.340999999999994</v>
      </c>
      <c r="I14995" s="221"/>
      <c r="J14995" s="221"/>
    </row>
    <row r="14996" spans="1:10" s="15" customFormat="1" ht="24" hidden="1" customHeight="1" outlineLevel="1" x14ac:dyDescent="0.25">
      <c r="A14996" s="18">
        <v>1293</v>
      </c>
      <c r="B14996" s="4" t="s">
        <v>44</v>
      </c>
      <c r="C14996" s="38" t="s">
        <v>12635</v>
      </c>
      <c r="D14996" s="18">
        <v>2023</v>
      </c>
      <c r="E14996" s="18" t="s">
        <v>0</v>
      </c>
      <c r="F14996" s="41">
        <v>1</v>
      </c>
      <c r="G14996" s="41">
        <v>3</v>
      </c>
      <c r="H14996" s="41">
        <v>41.287999999999997</v>
      </c>
      <c r="I14996" s="221"/>
      <c r="J14996" s="221"/>
    </row>
    <row r="14997" spans="1:10" s="15" customFormat="1" ht="24" hidden="1" customHeight="1" outlineLevel="1" x14ac:dyDescent="0.25">
      <c r="A14997" s="18">
        <v>674</v>
      </c>
      <c r="B14997" s="4" t="s">
        <v>44</v>
      </c>
      <c r="C14997" s="38" t="s">
        <v>12636</v>
      </c>
      <c r="D14997" s="18">
        <v>2023</v>
      </c>
      <c r="E14997" s="18" t="s">
        <v>0</v>
      </c>
      <c r="F14997" s="41">
        <v>1</v>
      </c>
      <c r="G14997" s="41">
        <v>15</v>
      </c>
      <c r="H14997" s="41">
        <v>42.298000000000002</v>
      </c>
      <c r="I14997" s="221"/>
      <c r="J14997" s="221"/>
    </row>
    <row r="14998" spans="1:10" s="15" customFormat="1" ht="24" hidden="1" customHeight="1" outlineLevel="1" x14ac:dyDescent="0.25">
      <c r="A14998" s="18">
        <v>1284</v>
      </c>
      <c r="B14998" s="4" t="s">
        <v>44</v>
      </c>
      <c r="C14998" s="38" t="s">
        <v>12637</v>
      </c>
      <c r="D14998" s="18">
        <v>2023</v>
      </c>
      <c r="E14998" s="18" t="s">
        <v>0</v>
      </c>
      <c r="F14998" s="41">
        <v>1</v>
      </c>
      <c r="G14998" s="41">
        <v>5</v>
      </c>
      <c r="H14998" s="41">
        <v>41.098999999999997</v>
      </c>
      <c r="I14998" s="221"/>
      <c r="J14998" s="221"/>
    </row>
    <row r="14999" spans="1:10" s="15" customFormat="1" ht="24" hidden="1" customHeight="1" outlineLevel="1" x14ac:dyDescent="0.25">
      <c r="A14999" s="18">
        <v>4667</v>
      </c>
      <c r="B14999" s="4" t="s">
        <v>44</v>
      </c>
      <c r="C14999" s="38" t="s">
        <v>12638</v>
      </c>
      <c r="D14999" s="18">
        <v>2023</v>
      </c>
      <c r="E14999" s="18" t="s">
        <v>0</v>
      </c>
      <c r="F14999" s="41">
        <v>1</v>
      </c>
      <c r="G14999" s="41">
        <v>10</v>
      </c>
      <c r="H14999" s="41">
        <v>41.098999999999997</v>
      </c>
      <c r="I14999" s="221"/>
      <c r="J14999" s="221"/>
    </row>
    <row r="15000" spans="1:10" s="15" customFormat="1" ht="24" hidden="1" customHeight="1" outlineLevel="1" x14ac:dyDescent="0.25">
      <c r="A15000" s="18">
        <v>903</v>
      </c>
      <c r="B15000" s="4" t="s">
        <v>44</v>
      </c>
      <c r="C15000" s="38" t="s">
        <v>9247</v>
      </c>
      <c r="D15000" s="18">
        <v>2023</v>
      </c>
      <c r="E15000" s="18" t="s">
        <v>0</v>
      </c>
      <c r="F15000" s="41">
        <v>1</v>
      </c>
      <c r="G15000" s="41">
        <v>10</v>
      </c>
      <c r="H15000" s="41">
        <v>111.071</v>
      </c>
      <c r="I15000" s="221"/>
      <c r="J15000" s="221"/>
    </row>
    <row r="15001" spans="1:10" s="15" customFormat="1" ht="24" hidden="1" customHeight="1" outlineLevel="1" x14ac:dyDescent="0.25">
      <c r="A15001" s="18">
        <v>3272</v>
      </c>
      <c r="B15001" s="4" t="s">
        <v>44</v>
      </c>
      <c r="C15001" s="38" t="s">
        <v>9248</v>
      </c>
      <c r="D15001" s="18">
        <v>2023</v>
      </c>
      <c r="E15001" s="18" t="s">
        <v>0</v>
      </c>
      <c r="F15001" s="41">
        <v>1</v>
      </c>
      <c r="G15001" s="41">
        <v>7.5</v>
      </c>
      <c r="H15001" s="41">
        <v>118.565</v>
      </c>
      <c r="I15001" s="221"/>
      <c r="J15001" s="221"/>
    </row>
    <row r="15002" spans="1:10" s="15" customFormat="1" ht="24" hidden="1" customHeight="1" outlineLevel="1" x14ac:dyDescent="0.25">
      <c r="A15002" s="18">
        <v>806</v>
      </c>
      <c r="B15002" s="4" t="s">
        <v>44</v>
      </c>
      <c r="C15002" s="38" t="s">
        <v>9249</v>
      </c>
      <c r="D15002" s="18">
        <v>2023</v>
      </c>
      <c r="E15002" s="18" t="s">
        <v>0</v>
      </c>
      <c r="F15002" s="41">
        <v>2</v>
      </c>
      <c r="G15002" s="41">
        <v>30</v>
      </c>
      <c r="H15002" s="41">
        <v>217.05099999999999</v>
      </c>
      <c r="I15002" s="221"/>
      <c r="J15002" s="221"/>
    </row>
    <row r="15003" spans="1:10" s="15" customFormat="1" ht="24" hidden="1" customHeight="1" outlineLevel="1" x14ac:dyDescent="0.25">
      <c r="A15003" s="18">
        <v>3900</v>
      </c>
      <c r="B15003" s="4" t="s">
        <v>44</v>
      </c>
      <c r="C15003" s="38" t="s">
        <v>9253</v>
      </c>
      <c r="D15003" s="18">
        <v>2023</v>
      </c>
      <c r="E15003" s="18" t="s">
        <v>0</v>
      </c>
      <c r="F15003" s="41">
        <v>1</v>
      </c>
      <c r="G15003" s="41">
        <v>7.5</v>
      </c>
      <c r="H15003" s="41">
        <v>62.97</v>
      </c>
      <c r="I15003" s="221"/>
      <c r="J15003" s="221"/>
    </row>
    <row r="15004" spans="1:10" s="15" customFormat="1" ht="24" hidden="1" customHeight="1" outlineLevel="1" x14ac:dyDescent="0.25">
      <c r="A15004" s="18">
        <v>587</v>
      </c>
      <c r="B15004" s="4" t="s">
        <v>44</v>
      </c>
      <c r="C15004" s="38" t="s">
        <v>9255</v>
      </c>
      <c r="D15004" s="18">
        <v>2023</v>
      </c>
      <c r="E15004" s="18" t="s">
        <v>0</v>
      </c>
      <c r="F15004" s="41">
        <v>1</v>
      </c>
      <c r="G15004" s="41">
        <v>15</v>
      </c>
      <c r="H15004" s="41">
        <v>112.80900000000001</v>
      </c>
      <c r="I15004" s="221"/>
      <c r="J15004" s="221"/>
    </row>
    <row r="15005" spans="1:10" s="15" customFormat="1" ht="24" hidden="1" customHeight="1" outlineLevel="1" x14ac:dyDescent="0.25">
      <c r="A15005" s="18">
        <v>3061</v>
      </c>
      <c r="B15005" s="4" t="s">
        <v>44</v>
      </c>
      <c r="C15005" s="38" t="s">
        <v>9337</v>
      </c>
      <c r="D15005" s="18">
        <v>2023</v>
      </c>
      <c r="E15005" s="18" t="s">
        <v>0</v>
      </c>
      <c r="F15005" s="41">
        <v>2</v>
      </c>
      <c r="G15005" s="41">
        <v>80</v>
      </c>
      <c r="H15005" s="41">
        <v>234.12100000000001</v>
      </c>
      <c r="I15005" s="221"/>
      <c r="J15005" s="221"/>
    </row>
    <row r="15006" spans="1:10" s="15" customFormat="1" ht="24" hidden="1" customHeight="1" outlineLevel="1" x14ac:dyDescent="0.25">
      <c r="A15006" s="18">
        <v>461</v>
      </c>
      <c r="B15006" s="4" t="s">
        <v>44</v>
      </c>
      <c r="C15006" s="38" t="s">
        <v>9223</v>
      </c>
      <c r="D15006" s="18">
        <v>2023</v>
      </c>
      <c r="E15006" s="18" t="s">
        <v>0</v>
      </c>
      <c r="F15006" s="41">
        <v>3</v>
      </c>
      <c r="G15006" s="41">
        <v>81</v>
      </c>
      <c r="H15006" s="41">
        <v>316.39600000000002</v>
      </c>
      <c r="I15006" s="221"/>
      <c r="J15006" s="221"/>
    </row>
    <row r="15007" spans="1:10" s="15" customFormat="1" ht="24" hidden="1" customHeight="1" outlineLevel="1" x14ac:dyDescent="0.25">
      <c r="A15007" s="18">
        <v>927</v>
      </c>
      <c r="B15007" s="4" t="s">
        <v>44</v>
      </c>
      <c r="C15007" s="38" t="s">
        <v>9256</v>
      </c>
      <c r="D15007" s="18">
        <v>2023</v>
      </c>
      <c r="E15007" s="18" t="s">
        <v>0</v>
      </c>
      <c r="F15007" s="41">
        <v>1</v>
      </c>
      <c r="G15007" s="41">
        <v>10</v>
      </c>
      <c r="H15007" s="41">
        <v>103.685</v>
      </c>
      <c r="I15007" s="221"/>
      <c r="J15007" s="221"/>
    </row>
    <row r="15008" spans="1:10" s="15" customFormat="1" ht="24" hidden="1" customHeight="1" outlineLevel="1" x14ac:dyDescent="0.25">
      <c r="A15008" s="18">
        <v>452</v>
      </c>
      <c r="B15008" s="4" t="s">
        <v>44</v>
      </c>
      <c r="C15008" s="38" t="s">
        <v>9258</v>
      </c>
      <c r="D15008" s="18">
        <v>2023</v>
      </c>
      <c r="E15008" s="18" t="s">
        <v>0</v>
      </c>
      <c r="F15008" s="41">
        <v>1</v>
      </c>
      <c r="G15008" s="41">
        <v>10</v>
      </c>
      <c r="H15008" s="41">
        <v>70.333000000000013</v>
      </c>
      <c r="I15008" s="221"/>
      <c r="J15008" s="221"/>
    </row>
    <row r="15009" spans="1:10" s="15" customFormat="1" ht="24" hidden="1" customHeight="1" outlineLevel="1" x14ac:dyDescent="0.25">
      <c r="A15009" s="18">
        <v>920</v>
      </c>
      <c r="B15009" s="4" t="s">
        <v>44</v>
      </c>
      <c r="C15009" s="38" t="s">
        <v>9259</v>
      </c>
      <c r="D15009" s="18">
        <v>2023</v>
      </c>
      <c r="E15009" s="18" t="s">
        <v>0</v>
      </c>
      <c r="F15009" s="41">
        <v>1</v>
      </c>
      <c r="G15009" s="41">
        <v>10</v>
      </c>
      <c r="H15009" s="41">
        <v>103.47499999999999</v>
      </c>
      <c r="I15009" s="221"/>
      <c r="J15009" s="221"/>
    </row>
    <row r="15010" spans="1:10" s="15" customFormat="1" ht="24" hidden="1" customHeight="1" outlineLevel="1" x14ac:dyDescent="0.25">
      <c r="A15010" s="18">
        <v>4673</v>
      </c>
      <c r="B15010" s="4" t="s">
        <v>44</v>
      </c>
      <c r="C15010" s="38" t="s">
        <v>12639</v>
      </c>
      <c r="D15010" s="18">
        <v>2023</v>
      </c>
      <c r="E15010" s="18" t="s">
        <v>0</v>
      </c>
      <c r="F15010" s="41">
        <v>1</v>
      </c>
      <c r="G15010" s="41">
        <v>70</v>
      </c>
      <c r="H15010" s="41">
        <v>28.039000000000001</v>
      </c>
      <c r="I15010" s="221"/>
      <c r="J15010" s="221"/>
    </row>
    <row r="15011" spans="1:10" s="15" customFormat="1" ht="24" hidden="1" customHeight="1" outlineLevel="1" x14ac:dyDescent="0.25">
      <c r="A15011" s="18">
        <v>4679</v>
      </c>
      <c r="B15011" s="4" t="s">
        <v>44</v>
      </c>
      <c r="C15011" s="38" t="s">
        <v>12640</v>
      </c>
      <c r="D15011" s="18">
        <v>2023</v>
      </c>
      <c r="E15011" s="18" t="s">
        <v>0</v>
      </c>
      <c r="F15011" s="41">
        <v>1</v>
      </c>
      <c r="G15011" s="41">
        <v>15</v>
      </c>
      <c r="H15011" s="41">
        <v>47.305999999999997</v>
      </c>
      <c r="I15011" s="221"/>
      <c r="J15011" s="221"/>
    </row>
    <row r="15012" spans="1:10" s="15" customFormat="1" ht="24" hidden="1" customHeight="1" outlineLevel="1" x14ac:dyDescent="0.25">
      <c r="A15012" s="18">
        <v>4680</v>
      </c>
      <c r="B15012" s="4" t="s">
        <v>44</v>
      </c>
      <c r="C15012" s="38" t="s">
        <v>12641</v>
      </c>
      <c r="D15012" s="18">
        <v>2023</v>
      </c>
      <c r="E15012" s="18" t="s">
        <v>0</v>
      </c>
      <c r="F15012" s="41">
        <v>1</v>
      </c>
      <c r="G15012" s="41">
        <v>12</v>
      </c>
      <c r="H15012" s="41">
        <v>41.488</v>
      </c>
      <c r="I15012" s="221"/>
      <c r="J15012" s="221"/>
    </row>
    <row r="15013" spans="1:10" s="15" customFormat="1" ht="24" hidden="1" customHeight="1" outlineLevel="1" x14ac:dyDescent="0.25">
      <c r="A15013" s="18">
        <v>4681</v>
      </c>
      <c r="B15013" s="4" t="s">
        <v>44</v>
      </c>
      <c r="C15013" s="38" t="s">
        <v>12642</v>
      </c>
      <c r="D15013" s="18">
        <v>2023</v>
      </c>
      <c r="E15013" s="18" t="s">
        <v>0</v>
      </c>
      <c r="F15013" s="41">
        <v>1</v>
      </c>
      <c r="G15013" s="41">
        <v>15</v>
      </c>
      <c r="H15013" s="41">
        <v>41.999000000000002</v>
      </c>
      <c r="I15013" s="221"/>
      <c r="J15013" s="221"/>
    </row>
    <row r="15014" spans="1:10" s="15" customFormat="1" ht="24" hidden="1" customHeight="1" outlineLevel="1" x14ac:dyDescent="0.25">
      <c r="A15014" s="18">
        <v>4682</v>
      </c>
      <c r="B15014" s="4" t="s">
        <v>44</v>
      </c>
      <c r="C15014" s="38" t="s">
        <v>12643</v>
      </c>
      <c r="D15014" s="18">
        <v>2023</v>
      </c>
      <c r="E15014" s="18" t="s">
        <v>0</v>
      </c>
      <c r="F15014" s="41">
        <v>1</v>
      </c>
      <c r="G15014" s="41">
        <v>10</v>
      </c>
      <c r="H15014" s="41">
        <v>39.447000000000003</v>
      </c>
      <c r="I15014" s="221"/>
      <c r="J15014" s="221"/>
    </row>
    <row r="15015" spans="1:10" s="15" customFormat="1" ht="24" hidden="1" customHeight="1" outlineLevel="1" x14ac:dyDescent="0.25">
      <c r="A15015" s="18">
        <v>1763</v>
      </c>
      <c r="B15015" s="4" t="s">
        <v>44</v>
      </c>
      <c r="C15015" s="38" t="s">
        <v>12644</v>
      </c>
      <c r="D15015" s="18">
        <v>2023</v>
      </c>
      <c r="E15015" s="18" t="s">
        <v>0</v>
      </c>
      <c r="F15015" s="41">
        <v>1</v>
      </c>
      <c r="G15015" s="41">
        <v>9</v>
      </c>
      <c r="H15015" s="41">
        <v>51.947000000000003</v>
      </c>
      <c r="I15015" s="221"/>
      <c r="J15015" s="221"/>
    </row>
    <row r="15016" spans="1:10" s="15" customFormat="1" ht="24" hidden="1" customHeight="1" outlineLevel="1" x14ac:dyDescent="0.25">
      <c r="A15016" s="18">
        <v>3730</v>
      </c>
      <c r="B15016" s="4" t="s">
        <v>44</v>
      </c>
      <c r="C15016" s="38" t="s">
        <v>12645</v>
      </c>
      <c r="D15016" s="18">
        <v>2023</v>
      </c>
      <c r="E15016" s="18" t="s">
        <v>0</v>
      </c>
      <c r="F15016" s="41">
        <v>1</v>
      </c>
      <c r="G15016" s="41">
        <v>15</v>
      </c>
      <c r="H15016" s="41">
        <v>42.228000000000002</v>
      </c>
      <c r="I15016" s="221"/>
      <c r="J15016" s="221"/>
    </row>
    <row r="15017" spans="1:10" s="15" customFormat="1" ht="24" hidden="1" customHeight="1" outlineLevel="1" x14ac:dyDescent="0.25">
      <c r="A15017" s="18">
        <v>4676</v>
      </c>
      <c r="B15017" s="4" t="s">
        <v>44</v>
      </c>
      <c r="C15017" s="38" t="s">
        <v>12646</v>
      </c>
      <c r="D15017" s="18">
        <v>2023</v>
      </c>
      <c r="E15017" s="18" t="s">
        <v>0</v>
      </c>
      <c r="F15017" s="41">
        <v>1</v>
      </c>
      <c r="G15017" s="41">
        <v>11.55</v>
      </c>
      <c r="H15017" s="41">
        <v>47.578000000000003</v>
      </c>
      <c r="I15017" s="221"/>
      <c r="J15017" s="221"/>
    </row>
    <row r="15018" spans="1:10" s="15" customFormat="1" ht="24" hidden="1" customHeight="1" outlineLevel="1" x14ac:dyDescent="0.25">
      <c r="A15018" s="18">
        <v>4677</v>
      </c>
      <c r="B15018" s="4" t="s">
        <v>44</v>
      </c>
      <c r="C15018" s="38" t="s">
        <v>12647</v>
      </c>
      <c r="D15018" s="18">
        <v>2023</v>
      </c>
      <c r="E15018" s="18" t="s">
        <v>0</v>
      </c>
      <c r="F15018" s="41">
        <v>1</v>
      </c>
      <c r="G15018" s="41">
        <v>11.55</v>
      </c>
      <c r="H15018" s="41">
        <v>40.234999999999999</v>
      </c>
      <c r="I15018" s="221"/>
      <c r="J15018" s="221"/>
    </row>
    <row r="15019" spans="1:10" s="15" customFormat="1" ht="24" hidden="1" customHeight="1" outlineLevel="1" x14ac:dyDescent="0.25">
      <c r="A15019" s="18">
        <v>4678</v>
      </c>
      <c r="B15019" s="4" t="s">
        <v>44</v>
      </c>
      <c r="C15019" s="38" t="s">
        <v>12648</v>
      </c>
      <c r="D15019" s="18">
        <v>2023</v>
      </c>
      <c r="E15019" s="18" t="s">
        <v>0</v>
      </c>
      <c r="F15019" s="41">
        <v>1</v>
      </c>
      <c r="G15019" s="41">
        <v>11.55</v>
      </c>
      <c r="H15019" s="41">
        <v>39.561</v>
      </c>
      <c r="I15019" s="221"/>
      <c r="J15019" s="221"/>
    </row>
    <row r="15020" spans="1:10" s="15" customFormat="1" ht="24" hidden="1" customHeight="1" outlineLevel="1" x14ac:dyDescent="0.25">
      <c r="A15020" s="18">
        <v>4683</v>
      </c>
      <c r="B15020" s="4" t="s">
        <v>44</v>
      </c>
      <c r="C15020" s="38" t="s">
        <v>12649</v>
      </c>
      <c r="D15020" s="18">
        <v>2023</v>
      </c>
      <c r="E15020" s="18" t="s">
        <v>0</v>
      </c>
      <c r="F15020" s="41">
        <v>1</v>
      </c>
      <c r="G15020" s="41">
        <v>20</v>
      </c>
      <c r="H15020" s="41">
        <v>48.054000000000002</v>
      </c>
      <c r="I15020" s="221"/>
      <c r="J15020" s="221"/>
    </row>
    <row r="15021" spans="1:10" s="15" customFormat="1" ht="24" hidden="1" customHeight="1" outlineLevel="1" x14ac:dyDescent="0.25">
      <c r="A15021" s="18">
        <v>4588</v>
      </c>
      <c r="B15021" s="4" t="s">
        <v>44</v>
      </c>
      <c r="C15021" s="38" t="s">
        <v>12650</v>
      </c>
      <c r="D15021" s="18">
        <v>2023</v>
      </c>
      <c r="E15021" s="18" t="s">
        <v>0</v>
      </c>
      <c r="F15021" s="41">
        <v>1</v>
      </c>
      <c r="G15021" s="41">
        <v>15</v>
      </c>
      <c r="H15021" s="41">
        <v>45.400999999999996</v>
      </c>
      <c r="I15021" s="221"/>
      <c r="J15021" s="221"/>
    </row>
    <row r="15022" spans="1:10" s="15" customFormat="1" ht="24" hidden="1" customHeight="1" outlineLevel="1" x14ac:dyDescent="0.25">
      <c r="A15022" s="18">
        <v>4589</v>
      </c>
      <c r="B15022" s="4" t="s">
        <v>44</v>
      </c>
      <c r="C15022" s="38" t="s">
        <v>12651</v>
      </c>
      <c r="D15022" s="18">
        <v>2023</v>
      </c>
      <c r="E15022" s="18" t="s">
        <v>0</v>
      </c>
      <c r="F15022" s="41">
        <v>1</v>
      </c>
      <c r="G15022" s="41">
        <v>15</v>
      </c>
      <c r="H15022" s="41">
        <v>45.421000000000006</v>
      </c>
      <c r="I15022" s="221"/>
      <c r="J15022" s="221"/>
    </row>
    <row r="15023" spans="1:10" s="15" customFormat="1" ht="24" hidden="1" customHeight="1" outlineLevel="1" x14ac:dyDescent="0.25">
      <c r="A15023" s="18">
        <v>3994</v>
      </c>
      <c r="B15023" s="4" t="s">
        <v>44</v>
      </c>
      <c r="C15023" s="38" t="s">
        <v>12652</v>
      </c>
      <c r="D15023" s="18">
        <v>2023</v>
      </c>
      <c r="E15023" s="18" t="s">
        <v>0</v>
      </c>
      <c r="F15023" s="41">
        <v>1</v>
      </c>
      <c r="G15023" s="41">
        <v>15</v>
      </c>
      <c r="H15023" s="41">
        <v>43.914999999999999</v>
      </c>
      <c r="I15023" s="221"/>
      <c r="J15023" s="221"/>
    </row>
    <row r="15024" spans="1:10" s="15" customFormat="1" ht="24" hidden="1" customHeight="1" outlineLevel="1" x14ac:dyDescent="0.25">
      <c r="A15024" s="18">
        <v>4590</v>
      </c>
      <c r="B15024" s="4" t="s">
        <v>44</v>
      </c>
      <c r="C15024" s="38" t="s">
        <v>12653</v>
      </c>
      <c r="D15024" s="18">
        <v>2023</v>
      </c>
      <c r="E15024" s="18" t="s">
        <v>0</v>
      </c>
      <c r="F15024" s="41">
        <v>1</v>
      </c>
      <c r="G15024" s="41">
        <v>10</v>
      </c>
      <c r="H15024" s="41">
        <v>43.652999999999999</v>
      </c>
      <c r="I15024" s="221"/>
      <c r="J15024" s="221"/>
    </row>
    <row r="15025" spans="1:10" s="15" customFormat="1" ht="24" hidden="1" customHeight="1" outlineLevel="1" x14ac:dyDescent="0.25">
      <c r="A15025" s="18">
        <v>4591</v>
      </c>
      <c r="B15025" s="4" t="s">
        <v>44</v>
      </c>
      <c r="C15025" s="38" t="s">
        <v>12654</v>
      </c>
      <c r="D15025" s="18">
        <v>2023</v>
      </c>
      <c r="E15025" s="18" t="s">
        <v>0</v>
      </c>
      <c r="F15025" s="41">
        <v>1</v>
      </c>
      <c r="G15025" s="41">
        <v>15</v>
      </c>
      <c r="H15025" s="41">
        <v>44.64</v>
      </c>
      <c r="I15025" s="221"/>
      <c r="J15025" s="221"/>
    </row>
    <row r="15026" spans="1:10" s="15" customFormat="1" ht="24" hidden="1" customHeight="1" outlineLevel="1" x14ac:dyDescent="0.25">
      <c r="A15026" s="18">
        <v>4594</v>
      </c>
      <c r="B15026" s="4" t="s">
        <v>44</v>
      </c>
      <c r="C15026" s="38" t="s">
        <v>12655</v>
      </c>
      <c r="D15026" s="18">
        <v>2023</v>
      </c>
      <c r="E15026" s="18" t="s">
        <v>0</v>
      </c>
      <c r="F15026" s="41">
        <v>1</v>
      </c>
      <c r="G15026" s="41">
        <v>15</v>
      </c>
      <c r="H15026" s="41">
        <v>45.400999999999996</v>
      </c>
      <c r="I15026" s="221"/>
      <c r="J15026" s="221"/>
    </row>
    <row r="15027" spans="1:10" s="15" customFormat="1" ht="24" hidden="1" customHeight="1" outlineLevel="1" x14ac:dyDescent="0.25">
      <c r="A15027" s="18">
        <v>4595</v>
      </c>
      <c r="B15027" s="4" t="s">
        <v>44</v>
      </c>
      <c r="C15027" s="38" t="s">
        <v>12656</v>
      </c>
      <c r="D15027" s="18">
        <v>2023</v>
      </c>
      <c r="E15027" s="18" t="s">
        <v>0</v>
      </c>
      <c r="F15027" s="41">
        <v>8</v>
      </c>
      <c r="G15027" s="41">
        <v>120</v>
      </c>
      <c r="H15027" s="41">
        <v>315.92399999999998</v>
      </c>
      <c r="I15027" s="221"/>
      <c r="J15027" s="221"/>
    </row>
    <row r="15028" spans="1:10" s="15" customFormat="1" ht="24" hidden="1" customHeight="1" outlineLevel="1" x14ac:dyDescent="0.25">
      <c r="A15028" s="18">
        <v>4596</v>
      </c>
      <c r="B15028" s="4" t="s">
        <v>44</v>
      </c>
      <c r="C15028" s="38" t="s">
        <v>12657</v>
      </c>
      <c r="D15028" s="18">
        <v>2023</v>
      </c>
      <c r="E15028" s="18" t="s">
        <v>0</v>
      </c>
      <c r="F15028" s="41">
        <v>1</v>
      </c>
      <c r="G15028" s="41">
        <v>15</v>
      </c>
      <c r="H15028" s="41">
        <v>45.400999999999996</v>
      </c>
      <c r="I15028" s="221"/>
      <c r="J15028" s="221"/>
    </row>
    <row r="15029" spans="1:10" s="15" customFormat="1" ht="24" hidden="1" customHeight="1" outlineLevel="1" x14ac:dyDescent="0.25">
      <c r="A15029" s="18">
        <v>4597</v>
      </c>
      <c r="B15029" s="4" t="s">
        <v>44</v>
      </c>
      <c r="C15029" s="38" t="s">
        <v>12658</v>
      </c>
      <c r="D15029" s="18">
        <v>2023</v>
      </c>
      <c r="E15029" s="18" t="s">
        <v>0</v>
      </c>
      <c r="F15029" s="41">
        <v>1</v>
      </c>
      <c r="G15029" s="41">
        <v>15</v>
      </c>
      <c r="H15029" s="41">
        <v>45.400999999999996</v>
      </c>
      <c r="I15029" s="221"/>
      <c r="J15029" s="221"/>
    </row>
    <row r="15030" spans="1:10" s="15" customFormat="1" ht="24" hidden="1" customHeight="1" outlineLevel="1" x14ac:dyDescent="0.25">
      <c r="A15030" s="18">
        <v>4598</v>
      </c>
      <c r="B15030" s="4" t="s">
        <v>44</v>
      </c>
      <c r="C15030" s="38" t="s">
        <v>12659</v>
      </c>
      <c r="D15030" s="18">
        <v>2023</v>
      </c>
      <c r="E15030" s="18" t="s">
        <v>0</v>
      </c>
      <c r="F15030" s="41">
        <v>1</v>
      </c>
      <c r="G15030" s="41">
        <v>15</v>
      </c>
      <c r="H15030" s="41">
        <v>44.276999999999994</v>
      </c>
      <c r="I15030" s="221"/>
      <c r="J15030" s="221"/>
    </row>
    <row r="15031" spans="1:10" s="15" customFormat="1" ht="24" hidden="1" customHeight="1" outlineLevel="1" x14ac:dyDescent="0.25">
      <c r="A15031" s="18">
        <v>4599</v>
      </c>
      <c r="B15031" s="4" t="s">
        <v>44</v>
      </c>
      <c r="C15031" s="38" t="s">
        <v>12660</v>
      </c>
      <c r="D15031" s="18">
        <v>2023</v>
      </c>
      <c r="E15031" s="18" t="s">
        <v>0</v>
      </c>
      <c r="F15031" s="41">
        <v>1</v>
      </c>
      <c r="G15031" s="41">
        <v>15</v>
      </c>
      <c r="H15031" s="41">
        <v>47.872</v>
      </c>
      <c r="I15031" s="221"/>
      <c r="J15031" s="221"/>
    </row>
    <row r="15032" spans="1:10" s="15" customFormat="1" ht="24" hidden="1" customHeight="1" outlineLevel="1" x14ac:dyDescent="0.25">
      <c r="A15032" s="18">
        <v>4600</v>
      </c>
      <c r="B15032" s="4" t="s">
        <v>44</v>
      </c>
      <c r="C15032" s="38" t="s">
        <v>12661</v>
      </c>
      <c r="D15032" s="18">
        <v>2023</v>
      </c>
      <c r="E15032" s="18" t="s">
        <v>0</v>
      </c>
      <c r="F15032" s="41">
        <v>1</v>
      </c>
      <c r="G15032" s="41">
        <v>15</v>
      </c>
      <c r="H15032" s="41">
        <v>46.064</v>
      </c>
      <c r="I15032" s="221"/>
      <c r="J15032" s="221"/>
    </row>
    <row r="15033" spans="1:10" s="15" customFormat="1" ht="24" hidden="1" customHeight="1" outlineLevel="1" x14ac:dyDescent="0.25">
      <c r="A15033" s="18">
        <v>4601</v>
      </c>
      <c r="B15033" s="4" t="s">
        <v>44</v>
      </c>
      <c r="C15033" s="38" t="s">
        <v>12662</v>
      </c>
      <c r="D15033" s="18">
        <v>2023</v>
      </c>
      <c r="E15033" s="18" t="s">
        <v>0</v>
      </c>
      <c r="F15033" s="41">
        <v>1</v>
      </c>
      <c r="G15033" s="41">
        <v>15</v>
      </c>
      <c r="H15033" s="41">
        <v>45.838999999999999</v>
      </c>
      <c r="I15033" s="221"/>
      <c r="J15033" s="221"/>
    </row>
    <row r="15034" spans="1:10" s="15" customFormat="1" ht="24" hidden="1" customHeight="1" outlineLevel="1" x14ac:dyDescent="0.25">
      <c r="A15034" s="18">
        <v>4602</v>
      </c>
      <c r="B15034" s="4" t="s">
        <v>44</v>
      </c>
      <c r="C15034" s="38" t="s">
        <v>12663</v>
      </c>
      <c r="D15034" s="18">
        <v>2023</v>
      </c>
      <c r="E15034" s="18" t="s">
        <v>0</v>
      </c>
      <c r="F15034" s="41">
        <v>1</v>
      </c>
      <c r="G15034" s="41">
        <v>15</v>
      </c>
      <c r="H15034" s="41">
        <v>46.650999999999996</v>
      </c>
      <c r="I15034" s="221"/>
      <c r="J15034" s="221"/>
    </row>
    <row r="15035" spans="1:10" s="15" customFormat="1" ht="24" hidden="1" customHeight="1" outlineLevel="1" x14ac:dyDescent="0.25">
      <c r="A15035" s="18">
        <v>4603</v>
      </c>
      <c r="B15035" s="4" t="s">
        <v>44</v>
      </c>
      <c r="C15035" s="38" t="s">
        <v>12664</v>
      </c>
      <c r="D15035" s="18">
        <v>2023</v>
      </c>
      <c r="E15035" s="18" t="s">
        <v>0</v>
      </c>
      <c r="F15035" s="41">
        <v>1</v>
      </c>
      <c r="G15035" s="41">
        <v>15</v>
      </c>
      <c r="H15035" s="41">
        <v>46.650999999999996</v>
      </c>
      <c r="I15035" s="221"/>
      <c r="J15035" s="221"/>
    </row>
    <row r="15036" spans="1:10" s="15" customFormat="1" ht="24" hidden="1" customHeight="1" outlineLevel="1" x14ac:dyDescent="0.25">
      <c r="A15036" s="18">
        <v>4604</v>
      </c>
      <c r="B15036" s="4" t="s">
        <v>44</v>
      </c>
      <c r="C15036" s="38" t="s">
        <v>12665</v>
      </c>
      <c r="D15036" s="18">
        <v>2023</v>
      </c>
      <c r="E15036" s="18" t="s">
        <v>0</v>
      </c>
      <c r="F15036" s="41">
        <v>1</v>
      </c>
      <c r="G15036" s="41">
        <v>15</v>
      </c>
      <c r="H15036" s="41">
        <v>46.650999999999996</v>
      </c>
      <c r="I15036" s="221"/>
      <c r="J15036" s="221"/>
    </row>
    <row r="15037" spans="1:10" s="15" customFormat="1" ht="24" hidden="1" customHeight="1" outlineLevel="1" x14ac:dyDescent="0.25">
      <c r="A15037" s="18">
        <v>4605</v>
      </c>
      <c r="B15037" s="4" t="s">
        <v>44</v>
      </c>
      <c r="C15037" s="38" t="s">
        <v>12666</v>
      </c>
      <c r="D15037" s="18">
        <v>2023</v>
      </c>
      <c r="E15037" s="18" t="s">
        <v>0</v>
      </c>
      <c r="F15037" s="41">
        <v>1</v>
      </c>
      <c r="G15037" s="41">
        <v>15</v>
      </c>
      <c r="H15037" s="41">
        <v>46.650999999999996</v>
      </c>
      <c r="I15037" s="221"/>
      <c r="J15037" s="221"/>
    </row>
    <row r="15038" spans="1:10" s="15" customFormat="1" ht="24" hidden="1" customHeight="1" outlineLevel="1" x14ac:dyDescent="0.25">
      <c r="A15038" s="18">
        <v>4606</v>
      </c>
      <c r="B15038" s="4" t="s">
        <v>44</v>
      </c>
      <c r="C15038" s="38" t="s">
        <v>12667</v>
      </c>
      <c r="D15038" s="18">
        <v>2023</v>
      </c>
      <c r="E15038" s="18" t="s">
        <v>0</v>
      </c>
      <c r="F15038" s="41">
        <v>1</v>
      </c>
      <c r="G15038" s="41">
        <v>15</v>
      </c>
      <c r="H15038" s="41">
        <v>46.650999999999996</v>
      </c>
      <c r="I15038" s="221"/>
      <c r="J15038" s="221"/>
    </row>
    <row r="15039" spans="1:10" s="15" customFormat="1" ht="24" hidden="1" customHeight="1" outlineLevel="1" x14ac:dyDescent="0.25">
      <c r="A15039" s="18">
        <v>4607</v>
      </c>
      <c r="B15039" s="4" t="s">
        <v>44</v>
      </c>
      <c r="C15039" s="38" t="s">
        <v>12668</v>
      </c>
      <c r="D15039" s="18">
        <v>2023</v>
      </c>
      <c r="E15039" s="18" t="s">
        <v>0</v>
      </c>
      <c r="F15039" s="41">
        <v>1</v>
      </c>
      <c r="G15039" s="41">
        <v>15</v>
      </c>
      <c r="H15039" s="41">
        <v>46.650999999999996</v>
      </c>
      <c r="I15039" s="221"/>
      <c r="J15039" s="221"/>
    </row>
    <row r="15040" spans="1:10" s="15" customFormat="1" ht="24" hidden="1" customHeight="1" outlineLevel="1" x14ac:dyDescent="0.25">
      <c r="A15040" s="18">
        <v>4608</v>
      </c>
      <c r="B15040" s="4" t="s">
        <v>44</v>
      </c>
      <c r="C15040" s="38" t="s">
        <v>12669</v>
      </c>
      <c r="D15040" s="18">
        <v>2023</v>
      </c>
      <c r="E15040" s="18" t="s">
        <v>0</v>
      </c>
      <c r="F15040" s="41">
        <v>1</v>
      </c>
      <c r="G15040" s="41">
        <v>15</v>
      </c>
      <c r="H15040" s="41">
        <v>46.650999999999996</v>
      </c>
      <c r="I15040" s="221"/>
      <c r="J15040" s="221"/>
    </row>
    <row r="15041" spans="1:10" s="15" customFormat="1" ht="24" hidden="1" customHeight="1" outlineLevel="1" x14ac:dyDescent="0.25">
      <c r="A15041" s="18">
        <v>4609</v>
      </c>
      <c r="B15041" s="4" t="s">
        <v>44</v>
      </c>
      <c r="C15041" s="38" t="s">
        <v>12670</v>
      </c>
      <c r="D15041" s="18">
        <v>2023</v>
      </c>
      <c r="E15041" s="18" t="s">
        <v>0</v>
      </c>
      <c r="F15041" s="41">
        <v>1</v>
      </c>
      <c r="G15041" s="41">
        <v>15</v>
      </c>
      <c r="H15041" s="41">
        <v>46.542000000000002</v>
      </c>
      <c r="I15041" s="221"/>
      <c r="J15041" s="221"/>
    </row>
    <row r="15042" spans="1:10" s="15" customFormat="1" ht="24" hidden="1" customHeight="1" outlineLevel="1" x14ac:dyDescent="0.25">
      <c r="A15042" s="18">
        <v>4610</v>
      </c>
      <c r="B15042" s="4" t="s">
        <v>44</v>
      </c>
      <c r="C15042" s="38" t="s">
        <v>12671</v>
      </c>
      <c r="D15042" s="18">
        <v>2023</v>
      </c>
      <c r="E15042" s="18" t="s">
        <v>0</v>
      </c>
      <c r="F15042" s="41">
        <v>1</v>
      </c>
      <c r="G15042" s="41">
        <v>15</v>
      </c>
      <c r="H15042" s="41">
        <v>46.650999999999996</v>
      </c>
      <c r="I15042" s="221"/>
      <c r="J15042" s="221"/>
    </row>
    <row r="15043" spans="1:10" s="15" customFormat="1" ht="24" hidden="1" customHeight="1" outlineLevel="1" x14ac:dyDescent="0.25">
      <c r="A15043" s="18">
        <v>4611</v>
      </c>
      <c r="B15043" s="4" t="s">
        <v>44</v>
      </c>
      <c r="C15043" s="38" t="s">
        <v>12672</v>
      </c>
      <c r="D15043" s="18">
        <v>2023</v>
      </c>
      <c r="E15043" s="18" t="s">
        <v>0</v>
      </c>
      <c r="F15043" s="41">
        <v>1</v>
      </c>
      <c r="G15043" s="41">
        <v>15</v>
      </c>
      <c r="H15043" s="41">
        <v>46.650999999999996</v>
      </c>
      <c r="I15043" s="221"/>
      <c r="J15043" s="221"/>
    </row>
    <row r="15044" spans="1:10" s="15" customFormat="1" ht="24" hidden="1" customHeight="1" outlineLevel="1" x14ac:dyDescent="0.25">
      <c r="A15044" s="18">
        <v>4612</v>
      </c>
      <c r="B15044" s="4" t="s">
        <v>44</v>
      </c>
      <c r="C15044" s="38" t="s">
        <v>12673</v>
      </c>
      <c r="D15044" s="18">
        <v>2023</v>
      </c>
      <c r="E15044" s="18" t="s">
        <v>0</v>
      </c>
      <c r="F15044" s="41">
        <v>1</v>
      </c>
      <c r="G15044" s="41">
        <v>50</v>
      </c>
      <c r="H15044" s="41">
        <v>48</v>
      </c>
      <c r="I15044" s="221"/>
      <c r="J15044" s="221"/>
    </row>
    <row r="15045" spans="1:10" s="15" customFormat="1" ht="24" hidden="1" customHeight="1" outlineLevel="1" x14ac:dyDescent="0.25">
      <c r="A15045" s="18">
        <v>3964</v>
      </c>
      <c r="B15045" s="4" t="s">
        <v>44</v>
      </c>
      <c r="C15045" s="38" t="s">
        <v>12674</v>
      </c>
      <c r="D15045" s="18">
        <v>2023</v>
      </c>
      <c r="E15045" s="18" t="s">
        <v>0</v>
      </c>
      <c r="F15045" s="41">
        <v>1</v>
      </c>
      <c r="G15045" s="41">
        <v>15</v>
      </c>
      <c r="H15045" s="41">
        <v>46.695999999999998</v>
      </c>
      <c r="I15045" s="221"/>
      <c r="J15045" s="221"/>
    </row>
    <row r="15046" spans="1:10" s="15" customFormat="1" ht="24" hidden="1" customHeight="1" outlineLevel="1" x14ac:dyDescent="0.25">
      <c r="A15046" s="18">
        <v>3925</v>
      </c>
      <c r="B15046" s="4" t="s">
        <v>44</v>
      </c>
      <c r="C15046" s="38" t="s">
        <v>12675</v>
      </c>
      <c r="D15046" s="18">
        <v>2023</v>
      </c>
      <c r="E15046" s="18" t="s">
        <v>0</v>
      </c>
      <c r="F15046" s="41">
        <v>1</v>
      </c>
      <c r="G15046" s="41">
        <v>15</v>
      </c>
      <c r="H15046" s="41">
        <v>47.169000000000004</v>
      </c>
      <c r="I15046" s="221"/>
      <c r="J15046" s="221"/>
    </row>
    <row r="15047" spans="1:10" s="15" customFormat="1" ht="24" hidden="1" customHeight="1" outlineLevel="1" x14ac:dyDescent="0.25">
      <c r="A15047" s="18">
        <v>3926</v>
      </c>
      <c r="B15047" s="4" t="s">
        <v>44</v>
      </c>
      <c r="C15047" s="38" t="s">
        <v>12676</v>
      </c>
      <c r="D15047" s="18">
        <v>2023</v>
      </c>
      <c r="E15047" s="18" t="s">
        <v>0</v>
      </c>
      <c r="F15047" s="41">
        <v>1</v>
      </c>
      <c r="G15047" s="41">
        <v>15</v>
      </c>
      <c r="H15047" s="41">
        <v>46.945</v>
      </c>
      <c r="I15047" s="221"/>
      <c r="J15047" s="221"/>
    </row>
    <row r="15048" spans="1:10" s="15" customFormat="1" ht="24" hidden="1" customHeight="1" outlineLevel="1" x14ac:dyDescent="0.25">
      <c r="A15048" s="18">
        <v>3904</v>
      </c>
      <c r="B15048" s="4" t="s">
        <v>44</v>
      </c>
      <c r="C15048" s="38" t="s">
        <v>12677</v>
      </c>
      <c r="D15048" s="18">
        <v>2023</v>
      </c>
      <c r="E15048" s="18" t="s">
        <v>0</v>
      </c>
      <c r="F15048" s="41">
        <v>1</v>
      </c>
      <c r="G15048" s="41">
        <v>10</v>
      </c>
      <c r="H15048" s="41">
        <v>47.126000000000005</v>
      </c>
      <c r="I15048" s="221"/>
      <c r="J15048" s="221"/>
    </row>
    <row r="15049" spans="1:10" s="15" customFormat="1" ht="24" hidden="1" customHeight="1" outlineLevel="1" x14ac:dyDescent="0.25">
      <c r="A15049" s="18">
        <v>3866</v>
      </c>
      <c r="B15049" s="4" t="s">
        <v>44</v>
      </c>
      <c r="C15049" s="38" t="s">
        <v>12678</v>
      </c>
      <c r="D15049" s="18">
        <v>2023</v>
      </c>
      <c r="E15049" s="18" t="s">
        <v>0</v>
      </c>
      <c r="F15049" s="41">
        <v>1</v>
      </c>
      <c r="G15049" s="41">
        <v>15</v>
      </c>
      <c r="H15049" s="41">
        <v>47.605000000000004</v>
      </c>
      <c r="I15049" s="221"/>
      <c r="J15049" s="221"/>
    </row>
    <row r="15050" spans="1:10" s="15" customFormat="1" ht="24" hidden="1" customHeight="1" outlineLevel="1" x14ac:dyDescent="0.25">
      <c r="A15050" s="18">
        <v>3785</v>
      </c>
      <c r="B15050" s="4" t="s">
        <v>44</v>
      </c>
      <c r="C15050" s="38" t="s">
        <v>12679</v>
      </c>
      <c r="D15050" s="18">
        <v>2023</v>
      </c>
      <c r="E15050" s="18" t="s">
        <v>0</v>
      </c>
      <c r="F15050" s="41">
        <v>1</v>
      </c>
      <c r="G15050" s="41">
        <v>15</v>
      </c>
      <c r="H15050" s="41">
        <v>47.605000000000004</v>
      </c>
      <c r="I15050" s="221"/>
      <c r="J15050" s="221"/>
    </row>
    <row r="15051" spans="1:10" s="15" customFormat="1" ht="24" hidden="1" customHeight="1" outlineLevel="1" x14ac:dyDescent="0.25">
      <c r="A15051" s="18">
        <v>4635</v>
      </c>
      <c r="B15051" s="4" t="s">
        <v>44</v>
      </c>
      <c r="C15051" s="38" t="s">
        <v>12680</v>
      </c>
      <c r="D15051" s="18">
        <v>2023</v>
      </c>
      <c r="E15051" s="18" t="s">
        <v>0</v>
      </c>
      <c r="F15051" s="41">
        <v>1</v>
      </c>
      <c r="G15051" s="41">
        <v>30</v>
      </c>
      <c r="H15051" s="41">
        <v>47.600999999999999</v>
      </c>
      <c r="I15051" s="221"/>
      <c r="J15051" s="221"/>
    </row>
    <row r="15052" spans="1:10" s="15" customFormat="1" ht="24" hidden="1" customHeight="1" outlineLevel="1" x14ac:dyDescent="0.25">
      <c r="A15052" s="18">
        <v>4661</v>
      </c>
      <c r="B15052" s="4" t="s">
        <v>44</v>
      </c>
      <c r="C15052" s="38" t="s">
        <v>9260</v>
      </c>
      <c r="D15052" s="18">
        <v>2023</v>
      </c>
      <c r="E15052" s="18" t="s">
        <v>0</v>
      </c>
      <c r="F15052" s="41">
        <v>1</v>
      </c>
      <c r="G15052" s="41">
        <v>15</v>
      </c>
      <c r="H15052" s="41">
        <v>68.350999999999999</v>
      </c>
      <c r="I15052" s="221"/>
      <c r="J15052" s="221"/>
    </row>
    <row r="15053" spans="1:10" s="15" customFormat="1" ht="24" hidden="1" customHeight="1" outlineLevel="1" x14ac:dyDescent="0.25">
      <c r="A15053" s="18">
        <v>904</v>
      </c>
      <c r="B15053" s="4" t="s">
        <v>44</v>
      </c>
      <c r="C15053" s="38" t="s">
        <v>9261</v>
      </c>
      <c r="D15053" s="18">
        <v>2023</v>
      </c>
      <c r="E15053" s="18" t="s">
        <v>0</v>
      </c>
      <c r="F15053" s="41">
        <v>1</v>
      </c>
      <c r="G15053" s="41">
        <v>15</v>
      </c>
      <c r="H15053" s="41">
        <v>128.70000000000002</v>
      </c>
      <c r="I15053" s="221"/>
      <c r="J15053" s="221"/>
    </row>
    <row r="15054" spans="1:10" s="15" customFormat="1" ht="24" hidden="1" customHeight="1" outlineLevel="1" x14ac:dyDescent="0.25">
      <c r="A15054" s="18">
        <v>3235</v>
      </c>
      <c r="B15054" s="4" t="s">
        <v>44</v>
      </c>
      <c r="C15054" s="38" t="s">
        <v>9225</v>
      </c>
      <c r="D15054" s="18">
        <v>2023</v>
      </c>
      <c r="E15054" s="18" t="s">
        <v>0</v>
      </c>
      <c r="F15054" s="41">
        <v>1</v>
      </c>
      <c r="G15054" s="41">
        <v>15</v>
      </c>
      <c r="H15054" s="41">
        <v>79.655000000000001</v>
      </c>
      <c r="I15054" s="221"/>
      <c r="J15054" s="221"/>
    </row>
    <row r="15055" spans="1:10" s="15" customFormat="1" ht="24" hidden="1" customHeight="1" outlineLevel="1" x14ac:dyDescent="0.25">
      <c r="A15055" s="18">
        <v>691</v>
      </c>
      <c r="B15055" s="4" t="s">
        <v>44</v>
      </c>
      <c r="C15055" s="38" t="s">
        <v>9262</v>
      </c>
      <c r="D15055" s="18">
        <v>2023</v>
      </c>
      <c r="E15055" s="18" t="s">
        <v>0</v>
      </c>
      <c r="F15055" s="41">
        <v>1</v>
      </c>
      <c r="G15055" s="41">
        <v>15</v>
      </c>
      <c r="H15055" s="41">
        <v>108.90700000000001</v>
      </c>
      <c r="I15055" s="221"/>
      <c r="J15055" s="221"/>
    </row>
    <row r="15056" spans="1:10" s="15" customFormat="1" ht="24" hidden="1" customHeight="1" outlineLevel="1" x14ac:dyDescent="0.25">
      <c r="A15056" s="18">
        <v>1702</v>
      </c>
      <c r="B15056" s="4" t="s">
        <v>44</v>
      </c>
      <c r="C15056" s="38" t="s">
        <v>12681</v>
      </c>
      <c r="D15056" s="18">
        <v>2023</v>
      </c>
      <c r="E15056" s="18" t="s">
        <v>0</v>
      </c>
      <c r="F15056" s="41">
        <v>1</v>
      </c>
      <c r="G15056" s="41">
        <v>15</v>
      </c>
      <c r="H15056" s="41">
        <v>37.838999999999999</v>
      </c>
      <c r="I15056" s="221"/>
      <c r="J15056" s="221"/>
    </row>
    <row r="15057" spans="1:10" s="15" customFormat="1" ht="24" hidden="1" customHeight="1" outlineLevel="1" x14ac:dyDescent="0.25">
      <c r="A15057" s="18">
        <v>1296</v>
      </c>
      <c r="B15057" s="4" t="s">
        <v>44</v>
      </c>
      <c r="C15057" s="38" t="s">
        <v>12682</v>
      </c>
      <c r="D15057" s="18">
        <v>2023</v>
      </c>
      <c r="E15057" s="18" t="s">
        <v>0</v>
      </c>
      <c r="F15057" s="41">
        <v>1</v>
      </c>
      <c r="G15057" s="41">
        <v>10</v>
      </c>
      <c r="H15057" s="41">
        <v>38.999000000000002</v>
      </c>
      <c r="I15057" s="221"/>
      <c r="J15057" s="221"/>
    </row>
    <row r="15058" spans="1:10" s="15" customFormat="1" ht="24" hidden="1" customHeight="1" outlineLevel="1" x14ac:dyDescent="0.25">
      <c r="A15058" s="18">
        <v>4690</v>
      </c>
      <c r="B15058" s="4" t="s">
        <v>44</v>
      </c>
      <c r="C15058" s="38" t="s">
        <v>12683</v>
      </c>
      <c r="D15058" s="18">
        <v>2023</v>
      </c>
      <c r="E15058" s="18" t="s">
        <v>0</v>
      </c>
      <c r="F15058" s="41">
        <v>1</v>
      </c>
      <c r="G15058" s="41">
        <v>15</v>
      </c>
      <c r="H15058" s="41">
        <v>38.999000000000002</v>
      </c>
      <c r="I15058" s="221"/>
      <c r="J15058" s="221"/>
    </row>
    <row r="15059" spans="1:10" s="15" customFormat="1" ht="24" hidden="1" customHeight="1" outlineLevel="1" x14ac:dyDescent="0.25">
      <c r="A15059" s="18">
        <v>4581</v>
      </c>
      <c r="B15059" s="4" t="s">
        <v>44</v>
      </c>
      <c r="C15059" s="38" t="s">
        <v>12684</v>
      </c>
      <c r="D15059" s="18">
        <v>2023</v>
      </c>
      <c r="E15059" s="18" t="s">
        <v>0</v>
      </c>
      <c r="F15059" s="41">
        <v>1</v>
      </c>
      <c r="G15059" s="41">
        <v>15</v>
      </c>
      <c r="H15059" s="41">
        <v>53.559000000000005</v>
      </c>
      <c r="I15059" s="221"/>
      <c r="J15059" s="221"/>
    </row>
    <row r="15060" spans="1:10" s="15" customFormat="1" ht="24" hidden="1" customHeight="1" outlineLevel="1" x14ac:dyDescent="0.25">
      <c r="A15060" s="18">
        <v>3945</v>
      </c>
      <c r="B15060" s="4" t="s">
        <v>44</v>
      </c>
      <c r="C15060" s="38" t="s">
        <v>12685</v>
      </c>
      <c r="D15060" s="18">
        <v>2023</v>
      </c>
      <c r="E15060" s="18" t="s">
        <v>0</v>
      </c>
      <c r="F15060" s="41">
        <v>1</v>
      </c>
      <c r="G15060" s="41">
        <v>12</v>
      </c>
      <c r="H15060" s="41">
        <v>47.324999999999996</v>
      </c>
      <c r="I15060" s="221"/>
      <c r="J15060" s="221"/>
    </row>
    <row r="15061" spans="1:10" s="15" customFormat="1" ht="24" hidden="1" customHeight="1" outlineLevel="1" x14ac:dyDescent="0.25">
      <c r="A15061" s="18">
        <v>3933</v>
      </c>
      <c r="B15061" s="4" t="s">
        <v>44</v>
      </c>
      <c r="C15061" s="38" t="s">
        <v>12686</v>
      </c>
      <c r="D15061" s="18">
        <v>2023</v>
      </c>
      <c r="E15061" s="18" t="s">
        <v>0</v>
      </c>
      <c r="F15061" s="41">
        <v>1</v>
      </c>
      <c r="G15061" s="41">
        <v>12</v>
      </c>
      <c r="H15061" s="41">
        <v>48.47</v>
      </c>
      <c r="I15061" s="221"/>
      <c r="J15061" s="221"/>
    </row>
    <row r="15062" spans="1:10" s="15" customFormat="1" ht="24" hidden="1" customHeight="1" outlineLevel="1" x14ac:dyDescent="0.25">
      <c r="A15062" s="18">
        <v>3901</v>
      </c>
      <c r="B15062" s="4" t="s">
        <v>44</v>
      </c>
      <c r="C15062" s="38" t="s">
        <v>12687</v>
      </c>
      <c r="D15062" s="18">
        <v>2023</v>
      </c>
      <c r="E15062" s="18" t="s">
        <v>0</v>
      </c>
      <c r="F15062" s="41">
        <v>1</v>
      </c>
      <c r="G15062" s="41">
        <v>12</v>
      </c>
      <c r="H15062" s="41">
        <v>48.497</v>
      </c>
      <c r="I15062" s="221"/>
      <c r="J15062" s="221"/>
    </row>
    <row r="15063" spans="1:10" s="15" customFormat="1" ht="24" hidden="1" customHeight="1" outlineLevel="1" x14ac:dyDescent="0.25">
      <c r="A15063" s="18">
        <v>3895</v>
      </c>
      <c r="B15063" s="4" t="s">
        <v>44</v>
      </c>
      <c r="C15063" s="38" t="s">
        <v>12688</v>
      </c>
      <c r="D15063" s="18">
        <v>2023</v>
      </c>
      <c r="E15063" s="18" t="s">
        <v>0</v>
      </c>
      <c r="F15063" s="41">
        <v>1</v>
      </c>
      <c r="G15063" s="41">
        <v>12</v>
      </c>
      <c r="H15063" s="41">
        <v>49.241</v>
      </c>
      <c r="I15063" s="221"/>
      <c r="J15063" s="221"/>
    </row>
    <row r="15064" spans="1:10" s="15" customFormat="1" ht="24" hidden="1" customHeight="1" outlineLevel="1" x14ac:dyDescent="0.25">
      <c r="A15064" s="18">
        <v>3885</v>
      </c>
      <c r="B15064" s="4" t="s">
        <v>44</v>
      </c>
      <c r="C15064" s="38" t="s">
        <v>12689</v>
      </c>
      <c r="D15064" s="18">
        <v>2023</v>
      </c>
      <c r="E15064" s="18" t="s">
        <v>0</v>
      </c>
      <c r="F15064" s="41">
        <v>1</v>
      </c>
      <c r="G15064" s="41">
        <v>7</v>
      </c>
      <c r="H15064" s="41">
        <v>48.905999999999999</v>
      </c>
      <c r="I15064" s="221"/>
      <c r="J15064" s="221"/>
    </row>
    <row r="15065" spans="1:10" s="15" customFormat="1" ht="24" hidden="1" customHeight="1" outlineLevel="1" x14ac:dyDescent="0.25">
      <c r="A15065" s="18">
        <v>3880</v>
      </c>
      <c r="B15065" s="4" t="s">
        <v>44</v>
      </c>
      <c r="C15065" s="38" t="s">
        <v>12690</v>
      </c>
      <c r="D15065" s="18">
        <v>2023</v>
      </c>
      <c r="E15065" s="18" t="s">
        <v>0</v>
      </c>
      <c r="F15065" s="41">
        <v>1</v>
      </c>
      <c r="G15065" s="41">
        <v>15</v>
      </c>
      <c r="H15065" s="41">
        <v>48.932000000000002</v>
      </c>
      <c r="I15065" s="221"/>
      <c r="J15065" s="221"/>
    </row>
    <row r="15066" spans="1:10" s="15" customFormat="1" ht="24" hidden="1" customHeight="1" outlineLevel="1" x14ac:dyDescent="0.25">
      <c r="A15066" s="18">
        <v>961</v>
      </c>
      <c r="B15066" s="4" t="s">
        <v>44</v>
      </c>
      <c r="C15066" s="38" t="s">
        <v>9263</v>
      </c>
      <c r="D15066" s="18">
        <v>2023</v>
      </c>
      <c r="E15066" s="18" t="s">
        <v>0</v>
      </c>
      <c r="F15066" s="41">
        <v>1</v>
      </c>
      <c r="G15066" s="41">
        <v>15</v>
      </c>
      <c r="H15066" s="41">
        <v>107.98399999999999</v>
      </c>
      <c r="I15066" s="221"/>
      <c r="J15066" s="221"/>
    </row>
    <row r="15067" spans="1:10" s="15" customFormat="1" ht="24" hidden="1" customHeight="1" outlineLevel="1" x14ac:dyDescent="0.25">
      <c r="A15067" s="18">
        <v>1280</v>
      </c>
      <c r="B15067" s="4" t="s">
        <v>44</v>
      </c>
      <c r="C15067" s="38" t="s">
        <v>9264</v>
      </c>
      <c r="D15067" s="18">
        <v>2023</v>
      </c>
      <c r="E15067" s="18" t="s">
        <v>0</v>
      </c>
      <c r="F15067" s="41">
        <v>1</v>
      </c>
      <c r="G15067" s="41">
        <v>5</v>
      </c>
      <c r="H15067" s="41">
        <v>116.09899999999999</v>
      </c>
      <c r="I15067" s="221"/>
      <c r="J15067" s="221"/>
    </row>
    <row r="15068" spans="1:10" s="15" customFormat="1" ht="24" hidden="1" customHeight="1" outlineLevel="1" x14ac:dyDescent="0.25">
      <c r="A15068" s="18">
        <v>3265</v>
      </c>
      <c r="B15068" s="4" t="s">
        <v>44</v>
      </c>
      <c r="C15068" s="38" t="s">
        <v>9265</v>
      </c>
      <c r="D15068" s="18">
        <v>2023</v>
      </c>
      <c r="E15068" s="18" t="s">
        <v>0</v>
      </c>
      <c r="F15068" s="41">
        <v>3</v>
      </c>
      <c r="G15068" s="41">
        <v>45</v>
      </c>
      <c r="H15068" s="41">
        <v>331.59800000000001</v>
      </c>
      <c r="I15068" s="221"/>
      <c r="J15068" s="221"/>
    </row>
    <row r="15069" spans="1:10" s="15" customFormat="1" ht="24" hidden="1" customHeight="1" outlineLevel="1" x14ac:dyDescent="0.25">
      <c r="A15069" s="18">
        <v>4698</v>
      </c>
      <c r="B15069" s="4" t="s">
        <v>44</v>
      </c>
      <c r="C15069" s="38" t="s">
        <v>12691</v>
      </c>
      <c r="D15069" s="18">
        <v>2023</v>
      </c>
      <c r="E15069" s="18" t="s">
        <v>0</v>
      </c>
      <c r="F15069" s="41">
        <v>1</v>
      </c>
      <c r="G15069" s="41">
        <v>10</v>
      </c>
      <c r="H15069" s="41">
        <v>37.436</v>
      </c>
      <c r="I15069" s="221"/>
      <c r="J15069" s="221"/>
    </row>
    <row r="15070" spans="1:10" s="15" customFormat="1" ht="24" hidden="1" customHeight="1" outlineLevel="1" x14ac:dyDescent="0.25">
      <c r="A15070" s="18">
        <v>4699</v>
      </c>
      <c r="B15070" s="4" t="s">
        <v>44</v>
      </c>
      <c r="C15070" s="38" t="s">
        <v>12692</v>
      </c>
      <c r="D15070" s="18">
        <v>2023</v>
      </c>
      <c r="E15070" s="18" t="s">
        <v>0</v>
      </c>
      <c r="F15070" s="41">
        <v>1</v>
      </c>
      <c r="G15070" s="41">
        <v>15</v>
      </c>
      <c r="H15070" s="41">
        <v>37.396999999999998</v>
      </c>
      <c r="I15070" s="221"/>
      <c r="J15070" s="221"/>
    </row>
    <row r="15071" spans="1:10" s="15" customFormat="1" ht="24" hidden="1" customHeight="1" outlineLevel="1" x14ac:dyDescent="0.25">
      <c r="A15071" s="18">
        <v>1797</v>
      </c>
      <c r="B15071" s="4" t="s">
        <v>44</v>
      </c>
      <c r="C15071" s="38" t="s">
        <v>12693</v>
      </c>
      <c r="D15071" s="18">
        <v>2023</v>
      </c>
      <c r="E15071" s="18" t="s">
        <v>0</v>
      </c>
      <c r="F15071" s="41">
        <v>1</v>
      </c>
      <c r="G15071" s="41">
        <v>7</v>
      </c>
      <c r="H15071" s="41">
        <v>37.731000000000002</v>
      </c>
      <c r="I15071" s="221"/>
      <c r="J15071" s="221"/>
    </row>
    <row r="15072" spans="1:10" s="15" customFormat="1" ht="24" hidden="1" customHeight="1" outlineLevel="1" x14ac:dyDescent="0.25">
      <c r="A15072" s="18">
        <v>1607</v>
      </c>
      <c r="B15072" s="4" t="s">
        <v>44</v>
      </c>
      <c r="C15072" s="38" t="s">
        <v>12694</v>
      </c>
      <c r="D15072" s="18">
        <v>2023</v>
      </c>
      <c r="E15072" s="18" t="s">
        <v>0</v>
      </c>
      <c r="F15072" s="41">
        <v>1</v>
      </c>
      <c r="G15072" s="41">
        <v>15</v>
      </c>
      <c r="H15072" s="41">
        <v>38.364000000000004</v>
      </c>
      <c r="I15072" s="221"/>
      <c r="J15072" s="221"/>
    </row>
    <row r="15073" spans="1:10" s="15" customFormat="1" ht="24" hidden="1" customHeight="1" outlineLevel="1" x14ac:dyDescent="0.25">
      <c r="A15073" s="18">
        <v>4617</v>
      </c>
      <c r="B15073" s="4" t="s">
        <v>44</v>
      </c>
      <c r="C15073" s="38" t="s">
        <v>9266</v>
      </c>
      <c r="D15073" s="18">
        <v>2023</v>
      </c>
      <c r="E15073" s="18" t="s">
        <v>0</v>
      </c>
      <c r="F15073" s="41">
        <v>1</v>
      </c>
      <c r="G15073" s="41">
        <v>15</v>
      </c>
      <c r="H15073" s="41">
        <v>59.277999999999999</v>
      </c>
      <c r="I15073" s="221"/>
      <c r="J15073" s="221"/>
    </row>
    <row r="15074" spans="1:10" s="15" customFormat="1" ht="24" hidden="1" customHeight="1" outlineLevel="1" x14ac:dyDescent="0.25">
      <c r="A15074" s="18">
        <v>500</v>
      </c>
      <c r="B15074" s="4" t="s">
        <v>44</v>
      </c>
      <c r="C15074" s="38" t="s">
        <v>9267</v>
      </c>
      <c r="D15074" s="18">
        <v>2023</v>
      </c>
      <c r="E15074" s="18" t="s">
        <v>0</v>
      </c>
      <c r="F15074" s="41">
        <v>1</v>
      </c>
      <c r="G15074" s="41">
        <v>10</v>
      </c>
      <c r="H15074" s="41">
        <v>84.810999999999993</v>
      </c>
      <c r="I15074" s="221"/>
      <c r="J15074" s="221"/>
    </row>
    <row r="15075" spans="1:10" s="15" customFormat="1" ht="24" hidden="1" customHeight="1" outlineLevel="1" x14ac:dyDescent="0.25">
      <c r="A15075" s="18">
        <v>518</v>
      </c>
      <c r="B15075" s="4" t="s">
        <v>44</v>
      </c>
      <c r="C15075" s="38" t="s">
        <v>9268</v>
      </c>
      <c r="D15075" s="18">
        <v>2023</v>
      </c>
      <c r="E15075" s="18" t="s">
        <v>0</v>
      </c>
      <c r="F15075" s="41">
        <v>1</v>
      </c>
      <c r="G15075" s="41">
        <v>15</v>
      </c>
      <c r="H15075" s="41">
        <v>99.543999999999997</v>
      </c>
      <c r="I15075" s="221"/>
      <c r="J15075" s="221"/>
    </row>
    <row r="15076" spans="1:10" s="15" customFormat="1" ht="24" hidden="1" customHeight="1" outlineLevel="1" x14ac:dyDescent="0.25">
      <c r="A15076" s="18">
        <v>643</v>
      </c>
      <c r="B15076" s="4" t="s">
        <v>44</v>
      </c>
      <c r="C15076" s="38" t="s">
        <v>9269</v>
      </c>
      <c r="D15076" s="18">
        <v>2023</v>
      </c>
      <c r="E15076" s="18" t="s">
        <v>0</v>
      </c>
      <c r="F15076" s="41">
        <v>1</v>
      </c>
      <c r="G15076" s="41">
        <v>15</v>
      </c>
      <c r="H15076" s="41">
        <v>90.08</v>
      </c>
      <c r="I15076" s="221"/>
      <c r="J15076" s="221"/>
    </row>
    <row r="15077" spans="1:10" s="15" customFormat="1" ht="24" hidden="1" customHeight="1" outlineLevel="1" x14ac:dyDescent="0.25">
      <c r="A15077" s="18">
        <v>4688</v>
      </c>
      <c r="B15077" s="4" t="s">
        <v>44</v>
      </c>
      <c r="C15077" s="38" t="s">
        <v>12695</v>
      </c>
      <c r="D15077" s="18">
        <v>2023</v>
      </c>
      <c r="E15077" s="18" t="s">
        <v>0</v>
      </c>
      <c r="F15077" s="41">
        <v>1</v>
      </c>
      <c r="G15077" s="41">
        <v>11.12</v>
      </c>
      <c r="H15077" s="41">
        <v>44.231999999999999</v>
      </c>
      <c r="I15077" s="221"/>
      <c r="J15077" s="221"/>
    </row>
    <row r="15078" spans="1:10" s="15" customFormat="1" ht="24" hidden="1" customHeight="1" outlineLevel="1" x14ac:dyDescent="0.25">
      <c r="A15078" s="18">
        <v>4689</v>
      </c>
      <c r="B15078" s="4" t="s">
        <v>44</v>
      </c>
      <c r="C15078" s="38" t="s">
        <v>12696</v>
      </c>
      <c r="D15078" s="18">
        <v>2023</v>
      </c>
      <c r="E15078" s="18" t="s">
        <v>0</v>
      </c>
      <c r="F15078" s="41">
        <v>1</v>
      </c>
      <c r="G15078" s="41">
        <v>10</v>
      </c>
      <c r="H15078" s="41">
        <v>44.231999999999999</v>
      </c>
      <c r="I15078" s="221"/>
      <c r="J15078" s="221"/>
    </row>
    <row r="15079" spans="1:10" s="15" customFormat="1" ht="24" hidden="1" customHeight="1" outlineLevel="1" x14ac:dyDescent="0.25">
      <c r="A15079" s="18">
        <v>4636</v>
      </c>
      <c r="B15079" s="4" t="s">
        <v>44</v>
      </c>
      <c r="C15079" s="38" t="s">
        <v>12697</v>
      </c>
      <c r="D15079" s="18">
        <v>2023</v>
      </c>
      <c r="E15079" s="18" t="s">
        <v>0</v>
      </c>
      <c r="F15079" s="41">
        <v>1</v>
      </c>
      <c r="G15079" s="41">
        <v>14.5</v>
      </c>
      <c r="H15079" s="41">
        <v>46.343000000000004</v>
      </c>
      <c r="I15079" s="221"/>
      <c r="J15079" s="221"/>
    </row>
    <row r="15080" spans="1:10" s="15" customFormat="1" ht="24" hidden="1" customHeight="1" outlineLevel="1" x14ac:dyDescent="0.25">
      <c r="A15080" s="18">
        <v>3837</v>
      </c>
      <c r="B15080" s="4" t="s">
        <v>44</v>
      </c>
      <c r="C15080" s="38" t="s">
        <v>9270</v>
      </c>
      <c r="D15080" s="18">
        <v>2023</v>
      </c>
      <c r="E15080" s="18" t="s">
        <v>0</v>
      </c>
      <c r="F15080" s="41">
        <v>1</v>
      </c>
      <c r="G15080" s="41">
        <v>15</v>
      </c>
      <c r="H15080" s="41">
        <v>71.543999999999997</v>
      </c>
      <c r="I15080" s="221"/>
      <c r="J15080" s="221"/>
    </row>
    <row r="15081" spans="1:10" s="15" customFormat="1" ht="24" hidden="1" customHeight="1" outlineLevel="1" x14ac:dyDescent="0.25">
      <c r="A15081" s="18">
        <v>3846</v>
      </c>
      <c r="B15081" s="4" t="s">
        <v>44</v>
      </c>
      <c r="C15081" s="38" t="s">
        <v>9271</v>
      </c>
      <c r="D15081" s="18">
        <v>2023</v>
      </c>
      <c r="E15081" s="18" t="s">
        <v>0</v>
      </c>
      <c r="F15081" s="41">
        <v>1</v>
      </c>
      <c r="G15081" s="41">
        <v>15</v>
      </c>
      <c r="H15081" s="41">
        <v>79.61</v>
      </c>
      <c r="I15081" s="221"/>
      <c r="J15081" s="221"/>
    </row>
    <row r="15082" spans="1:10" s="15" customFormat="1" ht="24" hidden="1" customHeight="1" outlineLevel="1" x14ac:dyDescent="0.25">
      <c r="A15082" s="18">
        <v>1659</v>
      </c>
      <c r="B15082" s="4" t="s">
        <v>44</v>
      </c>
      <c r="C15082" s="38" t="s">
        <v>12698</v>
      </c>
      <c r="D15082" s="18">
        <v>2023</v>
      </c>
      <c r="E15082" s="18" t="s">
        <v>0</v>
      </c>
      <c r="F15082" s="41">
        <v>1</v>
      </c>
      <c r="G15082" s="41">
        <v>5</v>
      </c>
      <c r="H15082" s="41">
        <v>38.390999999999998</v>
      </c>
      <c r="I15082" s="221"/>
      <c r="J15082" s="221"/>
    </row>
    <row r="15083" spans="1:10" s="15" customFormat="1" ht="24" hidden="1" customHeight="1" outlineLevel="1" x14ac:dyDescent="0.25">
      <c r="A15083" s="18">
        <v>3836</v>
      </c>
      <c r="B15083" s="4" t="s">
        <v>44</v>
      </c>
      <c r="C15083" s="38" t="s">
        <v>12699</v>
      </c>
      <c r="D15083" s="18">
        <v>2023</v>
      </c>
      <c r="E15083" s="18" t="s">
        <v>0</v>
      </c>
      <c r="F15083" s="41">
        <v>1</v>
      </c>
      <c r="G15083" s="41">
        <v>10</v>
      </c>
      <c r="H15083" s="41">
        <v>39.613</v>
      </c>
      <c r="I15083" s="221"/>
      <c r="J15083" s="221"/>
    </row>
    <row r="15084" spans="1:10" s="15" customFormat="1" ht="24" hidden="1" customHeight="1" outlineLevel="1" x14ac:dyDescent="0.25">
      <c r="A15084" s="18">
        <v>4702</v>
      </c>
      <c r="B15084" s="4" t="s">
        <v>44</v>
      </c>
      <c r="C15084" s="38" t="s">
        <v>12700</v>
      </c>
      <c r="D15084" s="18">
        <v>2023</v>
      </c>
      <c r="E15084" s="18" t="s">
        <v>0</v>
      </c>
      <c r="F15084" s="41">
        <v>1</v>
      </c>
      <c r="G15084" s="41">
        <v>15</v>
      </c>
      <c r="H15084" s="41">
        <v>38.635000000000005</v>
      </c>
      <c r="I15084" s="221"/>
      <c r="J15084" s="221"/>
    </row>
    <row r="15085" spans="1:10" s="15" customFormat="1" ht="24" hidden="1" customHeight="1" outlineLevel="1" x14ac:dyDescent="0.25">
      <c r="A15085" s="18">
        <v>931</v>
      </c>
      <c r="B15085" s="4" t="s">
        <v>44</v>
      </c>
      <c r="C15085" s="38" t="s">
        <v>9272</v>
      </c>
      <c r="D15085" s="18">
        <v>2023</v>
      </c>
      <c r="E15085" s="18" t="s">
        <v>0</v>
      </c>
      <c r="F15085" s="41">
        <v>1</v>
      </c>
      <c r="G15085" s="41">
        <v>10</v>
      </c>
      <c r="H15085" s="41">
        <v>90.754000000000005</v>
      </c>
      <c r="I15085" s="221"/>
      <c r="J15085" s="221"/>
    </row>
    <row r="15086" spans="1:10" s="15" customFormat="1" ht="24" hidden="1" customHeight="1" outlineLevel="1" x14ac:dyDescent="0.25">
      <c r="A15086" s="18">
        <v>838</v>
      </c>
      <c r="B15086" s="4" t="s">
        <v>44</v>
      </c>
      <c r="C15086" s="38" t="s">
        <v>9273</v>
      </c>
      <c r="D15086" s="18">
        <v>2023</v>
      </c>
      <c r="E15086" s="18" t="s">
        <v>0</v>
      </c>
      <c r="F15086" s="41">
        <v>1</v>
      </c>
      <c r="G15086" s="41">
        <v>10</v>
      </c>
      <c r="H15086" s="41">
        <v>80.316999999999993</v>
      </c>
      <c r="I15086" s="221"/>
      <c r="J15086" s="221"/>
    </row>
    <row r="15087" spans="1:10" s="15" customFormat="1" ht="24" hidden="1" customHeight="1" outlineLevel="1" x14ac:dyDescent="0.25">
      <c r="A15087" s="18">
        <v>3860</v>
      </c>
      <c r="B15087" s="4" t="s">
        <v>44</v>
      </c>
      <c r="C15087" s="38" t="s">
        <v>12701</v>
      </c>
      <c r="D15087" s="18">
        <v>2023</v>
      </c>
      <c r="E15087" s="18" t="s">
        <v>0</v>
      </c>
      <c r="F15087" s="41">
        <v>1</v>
      </c>
      <c r="G15087" s="41">
        <v>15</v>
      </c>
      <c r="H15087" s="41">
        <v>51.823</v>
      </c>
      <c r="I15087" s="221"/>
      <c r="J15087" s="221"/>
    </row>
    <row r="15088" spans="1:10" s="15" customFormat="1" ht="24" hidden="1" customHeight="1" outlineLevel="1" x14ac:dyDescent="0.25">
      <c r="A15088" s="18">
        <v>1746</v>
      </c>
      <c r="B15088" s="4" t="s">
        <v>44</v>
      </c>
      <c r="C15088" s="38" t="s">
        <v>12702</v>
      </c>
      <c r="D15088" s="18">
        <v>2023</v>
      </c>
      <c r="E15088" s="18" t="s">
        <v>0</v>
      </c>
      <c r="F15088" s="41">
        <v>1</v>
      </c>
      <c r="G15088" s="41">
        <v>5</v>
      </c>
      <c r="H15088" s="41">
        <v>40.064</v>
      </c>
      <c r="I15088" s="221"/>
      <c r="J15088" s="221"/>
    </row>
    <row r="15089" spans="1:10" s="15" customFormat="1" ht="24" hidden="1" customHeight="1" outlineLevel="1" x14ac:dyDescent="0.25">
      <c r="A15089" s="18">
        <v>4692</v>
      </c>
      <c r="B15089" s="4" t="s">
        <v>44</v>
      </c>
      <c r="C15089" s="38" t="s">
        <v>12703</v>
      </c>
      <c r="D15089" s="18">
        <v>2023</v>
      </c>
      <c r="E15089" s="18" t="s">
        <v>0</v>
      </c>
      <c r="F15089" s="41">
        <v>1</v>
      </c>
      <c r="G15089" s="41">
        <v>5</v>
      </c>
      <c r="H15089" s="41">
        <v>39.446000000000005</v>
      </c>
      <c r="I15089" s="221"/>
      <c r="J15089" s="221"/>
    </row>
    <row r="15090" spans="1:10" s="15" customFormat="1" ht="24" hidden="1" customHeight="1" outlineLevel="1" x14ac:dyDescent="0.25">
      <c r="A15090" s="18">
        <v>4693</v>
      </c>
      <c r="B15090" s="4" t="s">
        <v>44</v>
      </c>
      <c r="C15090" s="38" t="s">
        <v>12704</v>
      </c>
      <c r="D15090" s="18">
        <v>2023</v>
      </c>
      <c r="E15090" s="18" t="s">
        <v>0</v>
      </c>
      <c r="F15090" s="41">
        <v>1</v>
      </c>
      <c r="G15090" s="41">
        <v>15</v>
      </c>
      <c r="H15090" s="41">
        <v>40.256999999999998</v>
      </c>
      <c r="I15090" s="221"/>
      <c r="J15090" s="221"/>
    </row>
    <row r="15091" spans="1:10" s="15" customFormat="1" ht="24" hidden="1" customHeight="1" outlineLevel="1" x14ac:dyDescent="0.25">
      <c r="A15091" s="18">
        <v>3991</v>
      </c>
      <c r="B15091" s="4" t="s">
        <v>44</v>
      </c>
      <c r="C15091" s="38" t="s">
        <v>12705</v>
      </c>
      <c r="D15091" s="18">
        <v>2023</v>
      </c>
      <c r="E15091" s="18" t="s">
        <v>0</v>
      </c>
      <c r="F15091" s="41">
        <v>1</v>
      </c>
      <c r="G15091" s="41">
        <v>10</v>
      </c>
      <c r="H15091" s="41">
        <v>45.881</v>
      </c>
      <c r="I15091" s="221"/>
      <c r="J15091" s="221"/>
    </row>
    <row r="15092" spans="1:10" s="15" customFormat="1" ht="24" hidden="1" customHeight="1" outlineLevel="1" x14ac:dyDescent="0.25">
      <c r="A15092" s="18">
        <v>4001</v>
      </c>
      <c r="B15092" s="4" t="s">
        <v>44</v>
      </c>
      <c r="C15092" s="38" t="s">
        <v>12706</v>
      </c>
      <c r="D15092" s="18">
        <v>2023</v>
      </c>
      <c r="E15092" s="18" t="s">
        <v>0</v>
      </c>
      <c r="F15092" s="41">
        <v>1</v>
      </c>
      <c r="G15092" s="41">
        <v>10</v>
      </c>
      <c r="H15092" s="41">
        <v>46.462999999999994</v>
      </c>
      <c r="I15092" s="221"/>
      <c r="J15092" s="221"/>
    </row>
    <row r="15093" spans="1:10" s="15" customFormat="1" ht="24" hidden="1" customHeight="1" outlineLevel="1" x14ac:dyDescent="0.25">
      <c r="A15093" s="18">
        <v>3999</v>
      </c>
      <c r="B15093" s="4" t="s">
        <v>44</v>
      </c>
      <c r="C15093" s="38" t="s">
        <v>12707</v>
      </c>
      <c r="D15093" s="18">
        <v>2023</v>
      </c>
      <c r="E15093" s="18" t="s">
        <v>0</v>
      </c>
      <c r="F15093" s="41">
        <v>1</v>
      </c>
      <c r="G15093" s="41">
        <v>15</v>
      </c>
      <c r="H15093" s="41">
        <v>44.824000000000005</v>
      </c>
      <c r="I15093" s="221"/>
      <c r="J15093" s="221"/>
    </row>
    <row r="15094" spans="1:10" s="15" customFormat="1" ht="24" hidden="1" customHeight="1" outlineLevel="1" x14ac:dyDescent="0.25">
      <c r="A15094" s="18">
        <v>3980</v>
      </c>
      <c r="B15094" s="4" t="s">
        <v>44</v>
      </c>
      <c r="C15094" s="38" t="s">
        <v>9274</v>
      </c>
      <c r="D15094" s="18">
        <v>2023</v>
      </c>
      <c r="E15094" s="18" t="s">
        <v>0</v>
      </c>
      <c r="F15094" s="41">
        <v>1</v>
      </c>
      <c r="G15094" s="41">
        <v>15</v>
      </c>
      <c r="H15094" s="41">
        <v>66.212999999999994</v>
      </c>
      <c r="I15094" s="221"/>
      <c r="J15094" s="221"/>
    </row>
    <row r="15095" spans="1:10" s="15" customFormat="1" ht="24" hidden="1" customHeight="1" outlineLevel="1" x14ac:dyDescent="0.25">
      <c r="A15095" s="18">
        <v>4625</v>
      </c>
      <c r="B15095" s="4" t="s">
        <v>44</v>
      </c>
      <c r="C15095" s="38" t="s">
        <v>12708</v>
      </c>
      <c r="D15095" s="18">
        <v>2023</v>
      </c>
      <c r="E15095" s="18" t="s">
        <v>0</v>
      </c>
      <c r="F15095" s="41">
        <v>1</v>
      </c>
      <c r="G15095" s="41">
        <v>14</v>
      </c>
      <c r="H15095" s="41">
        <v>44.737000000000002</v>
      </c>
      <c r="I15095" s="221"/>
      <c r="J15095" s="221"/>
    </row>
    <row r="15096" spans="1:10" s="15" customFormat="1" ht="24" hidden="1" customHeight="1" outlineLevel="1" x14ac:dyDescent="0.25">
      <c r="A15096" s="18">
        <v>4626</v>
      </c>
      <c r="B15096" s="4" t="s">
        <v>44</v>
      </c>
      <c r="C15096" s="38" t="s">
        <v>12709</v>
      </c>
      <c r="D15096" s="18">
        <v>2023</v>
      </c>
      <c r="E15096" s="18" t="s">
        <v>0</v>
      </c>
      <c r="F15096" s="41">
        <v>1</v>
      </c>
      <c r="G15096" s="41">
        <v>14</v>
      </c>
      <c r="H15096" s="41">
        <v>44.737000000000002</v>
      </c>
      <c r="I15096" s="221"/>
      <c r="J15096" s="221"/>
    </row>
    <row r="15097" spans="1:10" s="15" customFormat="1" ht="24" hidden="1" customHeight="1" outlineLevel="1" x14ac:dyDescent="0.25">
      <c r="A15097" s="18">
        <v>4627</v>
      </c>
      <c r="B15097" s="4" t="s">
        <v>44</v>
      </c>
      <c r="C15097" s="38" t="s">
        <v>12710</v>
      </c>
      <c r="D15097" s="18">
        <v>2023</v>
      </c>
      <c r="E15097" s="18" t="s">
        <v>0</v>
      </c>
      <c r="F15097" s="41">
        <v>1</v>
      </c>
      <c r="G15097" s="41">
        <v>14</v>
      </c>
      <c r="H15097" s="41">
        <v>45.771000000000001</v>
      </c>
      <c r="I15097" s="221"/>
      <c r="J15097" s="221"/>
    </row>
    <row r="15098" spans="1:10" s="15" customFormat="1" ht="24" hidden="1" customHeight="1" outlineLevel="1" x14ac:dyDescent="0.25">
      <c r="A15098" s="18">
        <v>4628</v>
      </c>
      <c r="B15098" s="4" t="s">
        <v>44</v>
      </c>
      <c r="C15098" s="38" t="s">
        <v>12711</v>
      </c>
      <c r="D15098" s="18">
        <v>2023</v>
      </c>
      <c r="E15098" s="18" t="s">
        <v>0</v>
      </c>
      <c r="F15098" s="41">
        <v>1</v>
      </c>
      <c r="G15098" s="41">
        <v>14</v>
      </c>
      <c r="H15098" s="41">
        <v>45.771000000000001</v>
      </c>
      <c r="I15098" s="221"/>
      <c r="J15098" s="221"/>
    </row>
    <row r="15099" spans="1:10" s="15" customFormat="1" ht="24" hidden="1" customHeight="1" outlineLevel="1" x14ac:dyDescent="0.25">
      <c r="A15099" s="18">
        <v>730</v>
      </c>
      <c r="B15099" s="4" t="s">
        <v>44</v>
      </c>
      <c r="C15099" s="38" t="s">
        <v>9275</v>
      </c>
      <c r="D15099" s="18">
        <v>2023</v>
      </c>
      <c r="E15099" s="18" t="s">
        <v>0</v>
      </c>
      <c r="F15099" s="41">
        <v>1</v>
      </c>
      <c r="G15099" s="41">
        <v>15</v>
      </c>
      <c r="H15099" s="41">
        <v>135.56</v>
      </c>
      <c r="I15099" s="221"/>
      <c r="J15099" s="221"/>
    </row>
    <row r="15100" spans="1:10" s="15" customFormat="1" ht="24" hidden="1" customHeight="1" outlineLevel="1" x14ac:dyDescent="0.25">
      <c r="A15100" s="18">
        <v>4691</v>
      </c>
      <c r="B15100" s="4" t="s">
        <v>44</v>
      </c>
      <c r="C15100" s="38" t="s">
        <v>12712</v>
      </c>
      <c r="D15100" s="18">
        <v>2023</v>
      </c>
      <c r="E15100" s="18" t="s">
        <v>0</v>
      </c>
      <c r="F15100" s="41">
        <v>1</v>
      </c>
      <c r="G15100" s="41">
        <v>15</v>
      </c>
      <c r="H15100" s="41">
        <v>38.644999999999996</v>
      </c>
      <c r="I15100" s="221"/>
      <c r="J15100" s="221"/>
    </row>
    <row r="15101" spans="1:10" s="15" customFormat="1" ht="24" hidden="1" customHeight="1" outlineLevel="1" x14ac:dyDescent="0.25">
      <c r="A15101" s="18">
        <v>420</v>
      </c>
      <c r="B15101" s="4" t="s">
        <v>44</v>
      </c>
      <c r="C15101" s="38" t="s">
        <v>9276</v>
      </c>
      <c r="D15101" s="18">
        <v>2023</v>
      </c>
      <c r="E15101" s="18" t="s">
        <v>0</v>
      </c>
      <c r="F15101" s="41">
        <v>1</v>
      </c>
      <c r="G15101" s="41">
        <v>15</v>
      </c>
      <c r="H15101" s="41">
        <v>82.091999999999999</v>
      </c>
      <c r="I15101" s="221"/>
      <c r="J15101" s="221"/>
    </row>
    <row r="15102" spans="1:10" s="15" customFormat="1" ht="24" hidden="1" customHeight="1" outlineLevel="1" x14ac:dyDescent="0.25">
      <c r="A15102" s="18">
        <v>437</v>
      </c>
      <c r="B15102" s="4" t="s">
        <v>44</v>
      </c>
      <c r="C15102" s="38" t="s">
        <v>9277</v>
      </c>
      <c r="D15102" s="18">
        <v>2023</v>
      </c>
      <c r="E15102" s="18" t="s">
        <v>0</v>
      </c>
      <c r="F15102" s="41">
        <v>1</v>
      </c>
      <c r="G15102" s="41">
        <v>10</v>
      </c>
      <c r="H15102" s="41">
        <v>51.579000000000001</v>
      </c>
      <c r="I15102" s="221"/>
      <c r="J15102" s="221"/>
    </row>
    <row r="15103" spans="1:10" s="15" customFormat="1" ht="24" hidden="1" customHeight="1" outlineLevel="1" x14ac:dyDescent="0.25">
      <c r="A15103" s="18">
        <v>1140</v>
      </c>
      <c r="B15103" s="4" t="s">
        <v>44</v>
      </c>
      <c r="C15103" s="38" t="s">
        <v>9278</v>
      </c>
      <c r="D15103" s="18">
        <v>2023</v>
      </c>
      <c r="E15103" s="18" t="s">
        <v>0</v>
      </c>
      <c r="F15103" s="41">
        <v>1</v>
      </c>
      <c r="G15103" s="41">
        <v>15</v>
      </c>
      <c r="H15103" s="41">
        <v>79.265000000000001</v>
      </c>
      <c r="I15103" s="221"/>
      <c r="J15103" s="221"/>
    </row>
    <row r="15104" spans="1:10" s="15" customFormat="1" ht="24" hidden="1" customHeight="1" outlineLevel="1" x14ac:dyDescent="0.25">
      <c r="A15104" s="18">
        <v>4695</v>
      </c>
      <c r="B15104" s="4" t="s">
        <v>44</v>
      </c>
      <c r="C15104" s="38" t="s">
        <v>12713</v>
      </c>
      <c r="D15104" s="18">
        <v>2023</v>
      </c>
      <c r="E15104" s="18" t="s">
        <v>0</v>
      </c>
      <c r="F15104" s="41">
        <v>1</v>
      </c>
      <c r="G15104" s="41">
        <v>15</v>
      </c>
      <c r="H15104" s="41">
        <v>39.72</v>
      </c>
      <c r="I15104" s="221"/>
      <c r="J15104" s="221"/>
    </row>
    <row r="15105" spans="1:10" s="15" customFormat="1" ht="24" hidden="1" customHeight="1" outlineLevel="1" x14ac:dyDescent="0.25">
      <c r="A15105" s="18">
        <v>4697</v>
      </c>
      <c r="B15105" s="4" t="s">
        <v>44</v>
      </c>
      <c r="C15105" s="38" t="s">
        <v>12714</v>
      </c>
      <c r="D15105" s="18">
        <v>2023</v>
      </c>
      <c r="E15105" s="18" t="s">
        <v>0</v>
      </c>
      <c r="F15105" s="41">
        <v>1</v>
      </c>
      <c r="G15105" s="41">
        <v>14</v>
      </c>
      <c r="H15105" s="41">
        <v>39.72</v>
      </c>
      <c r="I15105" s="221"/>
      <c r="J15105" s="221"/>
    </row>
    <row r="15106" spans="1:10" s="15" customFormat="1" ht="24" hidden="1" customHeight="1" outlineLevel="1" x14ac:dyDescent="0.25">
      <c r="A15106" s="18">
        <v>4660</v>
      </c>
      <c r="B15106" s="4" t="s">
        <v>44</v>
      </c>
      <c r="C15106" s="38" t="s">
        <v>9279</v>
      </c>
      <c r="D15106" s="18">
        <v>2023</v>
      </c>
      <c r="E15106" s="18" t="s">
        <v>0</v>
      </c>
      <c r="F15106" s="41">
        <v>1</v>
      </c>
      <c r="G15106" s="41">
        <v>15</v>
      </c>
      <c r="H15106" s="41">
        <v>74.929000000000002</v>
      </c>
      <c r="I15106" s="221"/>
      <c r="J15106" s="221"/>
    </row>
    <row r="15107" spans="1:10" s="15" customFormat="1" ht="24" hidden="1" customHeight="1" outlineLevel="1" x14ac:dyDescent="0.25">
      <c r="A15107" s="18">
        <v>4706</v>
      </c>
      <c r="B15107" s="4" t="s">
        <v>44</v>
      </c>
      <c r="C15107" s="38" t="s">
        <v>9339</v>
      </c>
      <c r="D15107" s="18">
        <v>2023</v>
      </c>
      <c r="E15107" s="18" t="s">
        <v>0</v>
      </c>
      <c r="F15107" s="41">
        <v>1</v>
      </c>
      <c r="G15107" s="41">
        <v>150</v>
      </c>
      <c r="H15107" s="41">
        <v>161.89000000000001</v>
      </c>
      <c r="I15107" s="221"/>
      <c r="J15107" s="221"/>
    </row>
    <row r="15108" spans="1:10" s="15" customFormat="1" ht="24" hidden="1" customHeight="1" outlineLevel="1" x14ac:dyDescent="0.25">
      <c r="A15108" s="18">
        <v>1892</v>
      </c>
      <c r="B15108" s="4" t="s">
        <v>44</v>
      </c>
      <c r="C15108" s="38" t="s">
        <v>12715</v>
      </c>
      <c r="D15108" s="18">
        <v>2023</v>
      </c>
      <c r="E15108" s="18" t="s">
        <v>0</v>
      </c>
      <c r="F15108" s="41">
        <v>1</v>
      </c>
      <c r="G15108" s="41">
        <v>15</v>
      </c>
      <c r="H15108" s="41">
        <v>39.207000000000001</v>
      </c>
      <c r="I15108" s="221"/>
      <c r="J15108" s="221"/>
    </row>
    <row r="15109" spans="1:10" s="15" customFormat="1" ht="24" hidden="1" customHeight="1" outlineLevel="1" x14ac:dyDescent="0.25">
      <c r="A15109" s="18">
        <v>1724</v>
      </c>
      <c r="B15109" s="4" t="s">
        <v>44</v>
      </c>
      <c r="C15109" s="38" t="s">
        <v>12716</v>
      </c>
      <c r="D15109" s="18">
        <v>2023</v>
      </c>
      <c r="E15109" s="18" t="s">
        <v>0</v>
      </c>
      <c r="F15109" s="41">
        <v>1</v>
      </c>
      <c r="G15109" s="41">
        <v>15</v>
      </c>
      <c r="H15109" s="41">
        <v>38.140999999999998</v>
      </c>
      <c r="I15109" s="221"/>
      <c r="J15109" s="221"/>
    </row>
    <row r="15110" spans="1:10" s="15" customFormat="1" ht="24" hidden="1" customHeight="1" outlineLevel="1" x14ac:dyDescent="0.25">
      <c r="A15110" s="18">
        <v>4713</v>
      </c>
      <c r="B15110" s="4" t="s">
        <v>44</v>
      </c>
      <c r="C15110" s="38" t="s">
        <v>12717</v>
      </c>
      <c r="D15110" s="18">
        <v>2023</v>
      </c>
      <c r="E15110" s="18" t="s">
        <v>0</v>
      </c>
      <c r="F15110" s="41">
        <v>1</v>
      </c>
      <c r="G15110" s="41">
        <v>15</v>
      </c>
      <c r="H15110" s="41">
        <v>38.140999999999998</v>
      </c>
      <c r="I15110" s="221"/>
      <c r="J15110" s="221"/>
    </row>
    <row r="15111" spans="1:10" s="15" customFormat="1" ht="24" hidden="1" customHeight="1" outlineLevel="1" x14ac:dyDescent="0.25">
      <c r="A15111" s="18">
        <v>3183</v>
      </c>
      <c r="B15111" s="4" t="s">
        <v>44</v>
      </c>
      <c r="C15111" s="38" t="s">
        <v>9281</v>
      </c>
      <c r="D15111" s="18">
        <v>2023</v>
      </c>
      <c r="E15111" s="18" t="s">
        <v>0</v>
      </c>
      <c r="F15111" s="41">
        <v>1</v>
      </c>
      <c r="G15111" s="41">
        <v>15</v>
      </c>
      <c r="H15111" s="41">
        <v>125.033</v>
      </c>
      <c r="I15111" s="221"/>
      <c r="J15111" s="221"/>
    </row>
    <row r="15112" spans="1:10" s="15" customFormat="1" ht="24" hidden="1" customHeight="1" outlineLevel="1" x14ac:dyDescent="0.25">
      <c r="A15112" s="18">
        <v>3943</v>
      </c>
      <c r="B15112" s="4" t="s">
        <v>44</v>
      </c>
      <c r="C15112" s="38" t="s">
        <v>9282</v>
      </c>
      <c r="D15112" s="18">
        <v>2023</v>
      </c>
      <c r="E15112" s="18" t="s">
        <v>0</v>
      </c>
      <c r="F15112" s="41">
        <v>1</v>
      </c>
      <c r="G15112" s="41">
        <v>12</v>
      </c>
      <c r="H15112" s="41">
        <v>77.141999999999996</v>
      </c>
      <c r="I15112" s="221"/>
      <c r="J15112" s="221"/>
    </row>
    <row r="15113" spans="1:10" s="15" customFormat="1" ht="24" hidden="1" customHeight="1" outlineLevel="1" x14ac:dyDescent="0.25">
      <c r="A15113" s="18">
        <v>3268</v>
      </c>
      <c r="B15113" s="4" t="s">
        <v>44</v>
      </c>
      <c r="C15113" s="38" t="s">
        <v>9283</v>
      </c>
      <c r="D15113" s="18">
        <v>2023</v>
      </c>
      <c r="E15113" s="18" t="s">
        <v>0</v>
      </c>
      <c r="F15113" s="41">
        <v>1</v>
      </c>
      <c r="G15113" s="41">
        <v>7.5</v>
      </c>
      <c r="H15113" s="41">
        <v>81.363</v>
      </c>
      <c r="I15113" s="221"/>
      <c r="J15113" s="221"/>
    </row>
    <row r="15114" spans="1:10" s="15" customFormat="1" ht="24" hidden="1" customHeight="1" outlineLevel="1" x14ac:dyDescent="0.25">
      <c r="A15114" s="18">
        <v>3259</v>
      </c>
      <c r="B15114" s="4" t="s">
        <v>44</v>
      </c>
      <c r="C15114" s="38" t="s">
        <v>9284</v>
      </c>
      <c r="D15114" s="18">
        <v>2023</v>
      </c>
      <c r="E15114" s="18" t="s">
        <v>0</v>
      </c>
      <c r="F15114" s="41">
        <v>1</v>
      </c>
      <c r="G15114" s="41">
        <v>7.5</v>
      </c>
      <c r="H15114" s="41">
        <v>78.673999999999992</v>
      </c>
      <c r="I15114" s="221"/>
      <c r="J15114" s="221"/>
    </row>
    <row r="15115" spans="1:10" s="15" customFormat="1" ht="24" hidden="1" customHeight="1" outlineLevel="1" x14ac:dyDescent="0.25">
      <c r="A15115" s="18">
        <v>1298</v>
      </c>
      <c r="B15115" s="4" t="s">
        <v>44</v>
      </c>
      <c r="C15115" s="38" t="s">
        <v>9285</v>
      </c>
      <c r="D15115" s="18">
        <v>2023</v>
      </c>
      <c r="E15115" s="18" t="s">
        <v>0</v>
      </c>
      <c r="F15115" s="41">
        <v>1</v>
      </c>
      <c r="G15115" s="41">
        <v>15</v>
      </c>
      <c r="H15115" s="41">
        <v>76.415999999999997</v>
      </c>
      <c r="I15115" s="221"/>
      <c r="J15115" s="221"/>
    </row>
    <row r="15116" spans="1:10" s="15" customFormat="1" ht="24" hidden="1" customHeight="1" outlineLevel="1" x14ac:dyDescent="0.25">
      <c r="A15116" s="18">
        <v>1307</v>
      </c>
      <c r="B15116" s="4" t="s">
        <v>44</v>
      </c>
      <c r="C15116" s="38" t="s">
        <v>9286</v>
      </c>
      <c r="D15116" s="18">
        <v>2023</v>
      </c>
      <c r="E15116" s="18" t="s">
        <v>0</v>
      </c>
      <c r="F15116" s="41">
        <v>1</v>
      </c>
      <c r="G15116" s="41">
        <v>15</v>
      </c>
      <c r="H15116" s="41">
        <v>71.525000000000006</v>
      </c>
      <c r="I15116" s="221"/>
      <c r="J15116" s="221"/>
    </row>
    <row r="15117" spans="1:10" s="15" customFormat="1" ht="24" hidden="1" customHeight="1" outlineLevel="1" x14ac:dyDescent="0.25">
      <c r="A15117" s="18">
        <v>4707</v>
      </c>
      <c r="B15117" s="4" t="s">
        <v>44</v>
      </c>
      <c r="C15117" s="38" t="s">
        <v>12718</v>
      </c>
      <c r="D15117" s="18">
        <v>2023</v>
      </c>
      <c r="E15117" s="18" t="s">
        <v>0</v>
      </c>
      <c r="F15117" s="41">
        <v>1</v>
      </c>
      <c r="G15117" s="41">
        <v>15</v>
      </c>
      <c r="H15117" s="41">
        <v>38.441000000000003</v>
      </c>
      <c r="I15117" s="221"/>
      <c r="J15117" s="221"/>
    </row>
    <row r="15118" spans="1:10" s="15" customFormat="1" ht="24" hidden="1" customHeight="1" outlineLevel="1" x14ac:dyDescent="0.25">
      <c r="A15118" s="18">
        <v>4708</v>
      </c>
      <c r="B15118" s="4" t="s">
        <v>44</v>
      </c>
      <c r="C15118" s="38" t="s">
        <v>12719</v>
      </c>
      <c r="D15118" s="18">
        <v>2023</v>
      </c>
      <c r="E15118" s="18" t="s">
        <v>0</v>
      </c>
      <c r="F15118" s="41">
        <v>1</v>
      </c>
      <c r="G15118" s="41">
        <v>12</v>
      </c>
      <c r="H15118" s="41">
        <v>38.455999999999996</v>
      </c>
      <c r="I15118" s="221"/>
      <c r="J15118" s="221"/>
    </row>
    <row r="15119" spans="1:10" s="15" customFormat="1" ht="24" hidden="1" customHeight="1" outlineLevel="1" x14ac:dyDescent="0.25">
      <c r="A15119" s="18">
        <v>4709</v>
      </c>
      <c r="B15119" s="4" t="s">
        <v>44</v>
      </c>
      <c r="C15119" s="38" t="s">
        <v>12720</v>
      </c>
      <c r="D15119" s="18">
        <v>2023</v>
      </c>
      <c r="E15119" s="18" t="s">
        <v>0</v>
      </c>
      <c r="F15119" s="41">
        <v>1</v>
      </c>
      <c r="G15119" s="41">
        <v>15</v>
      </c>
      <c r="H15119" s="41">
        <v>38.459000000000003</v>
      </c>
      <c r="I15119" s="221"/>
      <c r="J15119" s="221"/>
    </row>
    <row r="15120" spans="1:10" s="15" customFormat="1" ht="24" hidden="1" customHeight="1" outlineLevel="1" x14ac:dyDescent="0.25">
      <c r="A15120" s="18">
        <v>1018</v>
      </c>
      <c r="B15120" s="4" t="s">
        <v>44</v>
      </c>
      <c r="C15120" s="38" t="s">
        <v>9287</v>
      </c>
      <c r="D15120" s="18">
        <v>2023</v>
      </c>
      <c r="E15120" s="18" t="s">
        <v>0</v>
      </c>
      <c r="F15120" s="41">
        <v>1</v>
      </c>
      <c r="G15120" s="41">
        <v>14</v>
      </c>
      <c r="H15120" s="41">
        <v>94.436000000000007</v>
      </c>
      <c r="I15120" s="221"/>
      <c r="J15120" s="221"/>
    </row>
    <row r="15121" spans="1:10" s="15" customFormat="1" ht="24" hidden="1" customHeight="1" outlineLevel="1" x14ac:dyDescent="0.25">
      <c r="A15121" s="18">
        <v>3264</v>
      </c>
      <c r="B15121" s="4" t="s">
        <v>44</v>
      </c>
      <c r="C15121" s="38" t="s">
        <v>9288</v>
      </c>
      <c r="D15121" s="18">
        <v>2023</v>
      </c>
      <c r="E15121" s="18" t="s">
        <v>0</v>
      </c>
      <c r="F15121" s="41">
        <v>1</v>
      </c>
      <c r="G15121" s="41">
        <v>15</v>
      </c>
      <c r="H15121" s="41">
        <v>74.082999999999998</v>
      </c>
      <c r="I15121" s="221"/>
      <c r="J15121" s="221"/>
    </row>
    <row r="15122" spans="1:10" s="15" customFormat="1" ht="24" hidden="1" customHeight="1" outlineLevel="1" x14ac:dyDescent="0.25">
      <c r="A15122" s="18">
        <v>1557</v>
      </c>
      <c r="B15122" s="4" t="s">
        <v>44</v>
      </c>
      <c r="C15122" s="38" t="s">
        <v>9289</v>
      </c>
      <c r="D15122" s="18">
        <v>2023</v>
      </c>
      <c r="E15122" s="18" t="s">
        <v>0</v>
      </c>
      <c r="F15122" s="41">
        <v>1</v>
      </c>
      <c r="G15122" s="41">
        <v>7</v>
      </c>
      <c r="H15122" s="41">
        <v>120.917</v>
      </c>
      <c r="I15122" s="221"/>
      <c r="J15122" s="221"/>
    </row>
    <row r="15123" spans="1:10" s="15" customFormat="1" ht="24" hidden="1" customHeight="1" outlineLevel="1" x14ac:dyDescent="0.25">
      <c r="A15123" s="18">
        <v>3237</v>
      </c>
      <c r="B15123" s="4" t="s">
        <v>44</v>
      </c>
      <c r="C15123" s="38" t="s">
        <v>9229</v>
      </c>
      <c r="D15123" s="18">
        <v>2023</v>
      </c>
      <c r="E15123" s="18" t="s">
        <v>0</v>
      </c>
      <c r="F15123" s="41">
        <v>1</v>
      </c>
      <c r="G15123" s="41">
        <v>10</v>
      </c>
      <c r="H15123" s="41">
        <v>110.932</v>
      </c>
      <c r="I15123" s="221"/>
      <c r="J15123" s="221"/>
    </row>
    <row r="15124" spans="1:10" s="15" customFormat="1" ht="24" hidden="1" customHeight="1" outlineLevel="1" x14ac:dyDescent="0.25">
      <c r="A15124" s="18">
        <v>4711</v>
      </c>
      <c r="B15124" s="4" t="s">
        <v>44</v>
      </c>
      <c r="C15124" s="38" t="s">
        <v>12721</v>
      </c>
      <c r="D15124" s="18">
        <v>2023</v>
      </c>
      <c r="E15124" s="18" t="s">
        <v>0</v>
      </c>
      <c r="F15124" s="41">
        <v>1</v>
      </c>
      <c r="G15124" s="41">
        <v>15</v>
      </c>
      <c r="H15124" s="41">
        <v>38.085999999999999</v>
      </c>
      <c r="I15124" s="221"/>
      <c r="J15124" s="221"/>
    </row>
    <row r="15125" spans="1:10" s="15" customFormat="1" ht="24" hidden="1" customHeight="1" outlineLevel="1" x14ac:dyDescent="0.25">
      <c r="A15125" s="18">
        <v>4714</v>
      </c>
      <c r="B15125" s="4" t="s">
        <v>44</v>
      </c>
      <c r="C15125" s="38" t="s">
        <v>12722</v>
      </c>
      <c r="D15125" s="18">
        <v>2023</v>
      </c>
      <c r="E15125" s="18" t="s">
        <v>0</v>
      </c>
      <c r="F15125" s="41">
        <v>1</v>
      </c>
      <c r="G15125" s="41">
        <v>15</v>
      </c>
      <c r="H15125" s="41">
        <v>39.476999999999997</v>
      </c>
      <c r="I15125" s="221"/>
      <c r="J15125" s="221"/>
    </row>
    <row r="15126" spans="1:10" s="15" customFormat="1" ht="24" hidden="1" customHeight="1" outlineLevel="1" x14ac:dyDescent="0.25">
      <c r="A15126" s="18">
        <v>4716</v>
      </c>
      <c r="B15126" s="4" t="s">
        <v>44</v>
      </c>
      <c r="C15126" s="38" t="s">
        <v>12723</v>
      </c>
      <c r="D15126" s="18">
        <v>2023</v>
      </c>
      <c r="E15126" s="18" t="s">
        <v>0</v>
      </c>
      <c r="F15126" s="41">
        <v>1</v>
      </c>
      <c r="G15126" s="41">
        <v>15</v>
      </c>
      <c r="H15126" s="41">
        <v>38.677999999999997</v>
      </c>
      <c r="I15126" s="221"/>
      <c r="J15126" s="221"/>
    </row>
    <row r="15127" spans="1:10" s="15" customFormat="1" ht="24" hidden="1" customHeight="1" outlineLevel="1" x14ac:dyDescent="0.25">
      <c r="A15127" s="18">
        <v>4715</v>
      </c>
      <c r="B15127" s="4" t="s">
        <v>44</v>
      </c>
      <c r="C15127" s="38" t="s">
        <v>12724</v>
      </c>
      <c r="D15127" s="18">
        <v>2023</v>
      </c>
      <c r="E15127" s="18" t="s">
        <v>0</v>
      </c>
      <c r="F15127" s="41">
        <v>1</v>
      </c>
      <c r="G15127" s="41">
        <v>15</v>
      </c>
      <c r="H15127" s="41">
        <v>39.476999999999997</v>
      </c>
      <c r="I15127" s="221"/>
      <c r="J15127" s="221"/>
    </row>
    <row r="15128" spans="1:10" s="15" customFormat="1" ht="24" hidden="1" customHeight="1" outlineLevel="1" x14ac:dyDescent="0.25">
      <c r="A15128" s="18">
        <v>434</v>
      </c>
      <c r="B15128" s="4" t="s">
        <v>44</v>
      </c>
      <c r="C15128" s="38" t="s">
        <v>9241</v>
      </c>
      <c r="D15128" s="18">
        <v>2023</v>
      </c>
      <c r="E15128" s="18" t="s">
        <v>0</v>
      </c>
      <c r="F15128" s="41">
        <v>1</v>
      </c>
      <c r="G15128" s="41">
        <v>10</v>
      </c>
      <c r="H15128" s="41">
        <v>81.072000000000003</v>
      </c>
      <c r="I15128" s="221"/>
      <c r="J15128" s="221"/>
    </row>
    <row r="15129" spans="1:10" s="15" customFormat="1" ht="24" hidden="1" customHeight="1" outlineLevel="1" x14ac:dyDescent="0.25">
      <c r="A15129" s="18">
        <v>1242</v>
      </c>
      <c r="B15129" s="4" t="s">
        <v>44</v>
      </c>
      <c r="C15129" s="38" t="s">
        <v>9291</v>
      </c>
      <c r="D15129" s="18">
        <v>2023</v>
      </c>
      <c r="E15129" s="18" t="s">
        <v>0</v>
      </c>
      <c r="F15129" s="41">
        <v>1</v>
      </c>
      <c r="G15129" s="41">
        <v>10</v>
      </c>
      <c r="H15129" s="41">
        <v>92.97999999999999</v>
      </c>
      <c r="I15129" s="221"/>
      <c r="J15129" s="221"/>
    </row>
    <row r="15130" spans="1:10" s="15" customFormat="1" ht="24" hidden="1" customHeight="1" outlineLevel="1" x14ac:dyDescent="0.25">
      <c r="A15130" s="18">
        <v>413</v>
      </c>
      <c r="B15130" s="4" t="s">
        <v>44</v>
      </c>
      <c r="C15130" s="38" t="s">
        <v>9066</v>
      </c>
      <c r="D15130" s="18">
        <v>2023</v>
      </c>
      <c r="E15130" s="18" t="s">
        <v>0</v>
      </c>
      <c r="F15130" s="41">
        <v>1</v>
      </c>
      <c r="G15130" s="41">
        <v>15</v>
      </c>
      <c r="H15130" s="41">
        <v>63.073000000000008</v>
      </c>
      <c r="I15130" s="221"/>
      <c r="J15130" s="221"/>
    </row>
    <row r="15131" spans="1:10" s="15" customFormat="1" ht="24" hidden="1" customHeight="1" outlineLevel="1" x14ac:dyDescent="0.25">
      <c r="A15131" s="18">
        <v>4724</v>
      </c>
      <c r="B15131" s="4" t="s">
        <v>44</v>
      </c>
      <c r="C15131" s="38" t="s">
        <v>12725</v>
      </c>
      <c r="D15131" s="18">
        <v>2023</v>
      </c>
      <c r="E15131" s="18" t="s">
        <v>0</v>
      </c>
      <c r="F15131" s="41">
        <v>1</v>
      </c>
      <c r="G15131" s="41">
        <v>15</v>
      </c>
      <c r="H15131" s="41">
        <v>40.436999999999998</v>
      </c>
      <c r="I15131" s="221"/>
      <c r="J15131" s="221"/>
    </row>
    <row r="15132" spans="1:10" s="15" customFormat="1" ht="24" hidden="1" customHeight="1" outlineLevel="1" x14ac:dyDescent="0.25">
      <c r="A15132" s="18">
        <v>4725</v>
      </c>
      <c r="B15132" s="4" t="s">
        <v>44</v>
      </c>
      <c r="C15132" s="38" t="s">
        <v>12726</v>
      </c>
      <c r="D15132" s="18">
        <v>2023</v>
      </c>
      <c r="E15132" s="18" t="s">
        <v>0</v>
      </c>
      <c r="F15132" s="41">
        <v>1</v>
      </c>
      <c r="G15132" s="41">
        <v>15</v>
      </c>
      <c r="H15132" s="41">
        <v>40.673999999999999</v>
      </c>
      <c r="I15132" s="221"/>
      <c r="J15132" s="221"/>
    </row>
    <row r="15133" spans="1:10" s="15" customFormat="1" ht="24" hidden="1" customHeight="1" outlineLevel="1" x14ac:dyDescent="0.25">
      <c r="A15133" s="18">
        <v>1915</v>
      </c>
      <c r="B15133" s="4" t="s">
        <v>44</v>
      </c>
      <c r="C15133" s="38" t="s">
        <v>12727</v>
      </c>
      <c r="D15133" s="18">
        <v>2023</v>
      </c>
      <c r="E15133" s="18" t="s">
        <v>0</v>
      </c>
      <c r="F15133" s="41">
        <v>1</v>
      </c>
      <c r="G15133" s="41">
        <v>15</v>
      </c>
      <c r="H15133" s="41">
        <v>39.808999999999997</v>
      </c>
      <c r="I15133" s="221"/>
      <c r="J15133" s="221"/>
    </row>
    <row r="15134" spans="1:10" s="15" customFormat="1" ht="24" hidden="1" customHeight="1" outlineLevel="1" x14ac:dyDescent="0.25">
      <c r="A15134" s="18">
        <v>4726</v>
      </c>
      <c r="B15134" s="4" t="s">
        <v>44</v>
      </c>
      <c r="C15134" s="38" t="s">
        <v>12728</v>
      </c>
      <c r="D15134" s="18">
        <v>2023</v>
      </c>
      <c r="E15134" s="18" t="s">
        <v>0</v>
      </c>
      <c r="F15134" s="41">
        <v>1</v>
      </c>
      <c r="G15134" s="41">
        <v>40</v>
      </c>
      <c r="H15134" s="41">
        <v>39.711000000000006</v>
      </c>
      <c r="I15134" s="221"/>
      <c r="J15134" s="221"/>
    </row>
    <row r="15135" spans="1:10" s="15" customFormat="1" ht="24" hidden="1" customHeight="1" outlineLevel="1" x14ac:dyDescent="0.25">
      <c r="A15135" s="18">
        <v>4734</v>
      </c>
      <c r="B15135" s="4" t="s">
        <v>44</v>
      </c>
      <c r="C15135" s="38" t="s">
        <v>9340</v>
      </c>
      <c r="D15135" s="18">
        <v>2023</v>
      </c>
      <c r="E15135" s="18" t="s">
        <v>0</v>
      </c>
      <c r="F15135" s="41">
        <v>1</v>
      </c>
      <c r="G15135" s="41">
        <v>150</v>
      </c>
      <c r="H15135" s="41">
        <v>154.696</v>
      </c>
      <c r="I15135" s="221"/>
      <c r="J15135" s="221"/>
    </row>
    <row r="15136" spans="1:10" s="15" customFormat="1" ht="24" hidden="1" customHeight="1" outlineLevel="1" x14ac:dyDescent="0.25">
      <c r="A15136" s="18">
        <v>733</v>
      </c>
      <c r="B15136" s="4" t="s">
        <v>44</v>
      </c>
      <c r="C15136" s="38" t="s">
        <v>9292</v>
      </c>
      <c r="D15136" s="18">
        <v>2023</v>
      </c>
      <c r="E15136" s="18" t="s">
        <v>0</v>
      </c>
      <c r="F15136" s="41">
        <v>1</v>
      </c>
      <c r="G15136" s="41">
        <v>15</v>
      </c>
      <c r="H15136" s="41">
        <v>76.259</v>
      </c>
      <c r="I15136" s="221"/>
      <c r="J15136" s="221"/>
    </row>
    <row r="15137" spans="1:10" s="15" customFormat="1" ht="24" hidden="1" customHeight="1" outlineLevel="1" x14ac:dyDescent="0.25">
      <c r="A15137" s="18">
        <v>580</v>
      </c>
      <c r="B15137" s="4" t="s">
        <v>44</v>
      </c>
      <c r="C15137" s="38" t="s">
        <v>9293</v>
      </c>
      <c r="D15137" s="18">
        <v>2023</v>
      </c>
      <c r="E15137" s="18" t="s">
        <v>0</v>
      </c>
      <c r="F15137" s="41">
        <v>1</v>
      </c>
      <c r="G15137" s="41">
        <v>10</v>
      </c>
      <c r="H15137" s="41">
        <v>75.212000000000003</v>
      </c>
      <c r="I15137" s="221"/>
      <c r="J15137" s="221"/>
    </row>
    <row r="15138" spans="1:10" s="15" customFormat="1" ht="24" hidden="1" customHeight="1" outlineLevel="1" x14ac:dyDescent="0.25">
      <c r="A15138" s="18">
        <v>4727</v>
      </c>
      <c r="B15138" s="4" t="s">
        <v>44</v>
      </c>
      <c r="C15138" s="38" t="s">
        <v>12729</v>
      </c>
      <c r="D15138" s="18">
        <v>2023</v>
      </c>
      <c r="E15138" s="18" t="s">
        <v>0</v>
      </c>
      <c r="F15138" s="41">
        <v>1</v>
      </c>
      <c r="G15138" s="41">
        <v>10</v>
      </c>
      <c r="H15138" s="41">
        <v>37.095000000000006</v>
      </c>
      <c r="I15138" s="221"/>
      <c r="J15138" s="221"/>
    </row>
    <row r="15139" spans="1:10" s="15" customFormat="1" ht="24" hidden="1" customHeight="1" outlineLevel="1" x14ac:dyDescent="0.25">
      <c r="A15139" s="18">
        <v>1401</v>
      </c>
      <c r="B15139" s="4" t="s">
        <v>44</v>
      </c>
      <c r="C15139" s="38" t="s">
        <v>12730</v>
      </c>
      <c r="D15139" s="18">
        <v>2023</v>
      </c>
      <c r="E15139" s="18" t="s">
        <v>0</v>
      </c>
      <c r="F15139" s="41">
        <v>1</v>
      </c>
      <c r="G15139" s="41">
        <v>6</v>
      </c>
      <c r="H15139" s="41">
        <v>37.796000000000006</v>
      </c>
      <c r="I15139" s="221"/>
      <c r="J15139" s="221"/>
    </row>
    <row r="15140" spans="1:10" s="15" customFormat="1" ht="24" hidden="1" customHeight="1" outlineLevel="1" x14ac:dyDescent="0.25">
      <c r="A15140" s="18">
        <v>4729</v>
      </c>
      <c r="B15140" s="4" t="s">
        <v>44</v>
      </c>
      <c r="C15140" s="38" t="s">
        <v>12731</v>
      </c>
      <c r="D15140" s="18">
        <v>2023</v>
      </c>
      <c r="E15140" s="18" t="s">
        <v>0</v>
      </c>
      <c r="F15140" s="41">
        <v>1</v>
      </c>
      <c r="G15140" s="41">
        <v>10</v>
      </c>
      <c r="H15140" s="41">
        <v>37.263999999999996</v>
      </c>
      <c r="I15140" s="221"/>
      <c r="J15140" s="221"/>
    </row>
    <row r="15141" spans="1:10" s="15" customFormat="1" ht="24" hidden="1" customHeight="1" outlineLevel="1" x14ac:dyDescent="0.25">
      <c r="A15141" s="18">
        <v>4732</v>
      </c>
      <c r="B15141" s="4" t="s">
        <v>44</v>
      </c>
      <c r="C15141" s="38" t="s">
        <v>9231</v>
      </c>
      <c r="D15141" s="18">
        <v>2023</v>
      </c>
      <c r="E15141" s="18" t="s">
        <v>0</v>
      </c>
      <c r="F15141" s="41">
        <v>1</v>
      </c>
      <c r="G15141" s="41">
        <v>15</v>
      </c>
      <c r="H15141" s="41">
        <v>109.80500000000001</v>
      </c>
      <c r="I15141" s="221"/>
      <c r="J15141" s="221"/>
    </row>
    <row r="15142" spans="1:10" s="15" customFormat="1" ht="24" hidden="1" customHeight="1" outlineLevel="1" x14ac:dyDescent="0.25">
      <c r="A15142" s="18">
        <v>3287</v>
      </c>
      <c r="B15142" s="4" t="s">
        <v>44</v>
      </c>
      <c r="C15142" s="38" t="s">
        <v>9294</v>
      </c>
      <c r="D15142" s="18">
        <v>2023</v>
      </c>
      <c r="E15142" s="18" t="s">
        <v>0</v>
      </c>
      <c r="F15142" s="41">
        <v>1</v>
      </c>
      <c r="G15142" s="41">
        <v>10</v>
      </c>
      <c r="H15142" s="41">
        <v>130.22900000000001</v>
      </c>
      <c r="I15142" s="221"/>
      <c r="J15142" s="221"/>
    </row>
    <row r="15143" spans="1:10" s="15" customFormat="1" ht="24" hidden="1" customHeight="1" outlineLevel="1" x14ac:dyDescent="0.25">
      <c r="A15143" s="18">
        <v>3941</v>
      </c>
      <c r="B15143" s="4" t="s">
        <v>44</v>
      </c>
      <c r="C15143" s="38" t="s">
        <v>12732</v>
      </c>
      <c r="D15143" s="18">
        <v>2023</v>
      </c>
      <c r="E15143" s="18" t="s">
        <v>0</v>
      </c>
      <c r="F15143" s="41">
        <v>1</v>
      </c>
      <c r="G15143" s="41">
        <v>15</v>
      </c>
      <c r="H15143" s="41">
        <v>47.997</v>
      </c>
      <c r="I15143" s="221"/>
      <c r="J15143" s="221"/>
    </row>
    <row r="15144" spans="1:10" s="15" customFormat="1" ht="24" hidden="1" customHeight="1" outlineLevel="1" x14ac:dyDescent="0.25">
      <c r="A15144" s="18">
        <v>1000</v>
      </c>
      <c r="B15144" s="4" t="s">
        <v>44</v>
      </c>
      <c r="C15144" s="38" t="s">
        <v>9295</v>
      </c>
      <c r="D15144" s="18">
        <v>2023</v>
      </c>
      <c r="E15144" s="18" t="s">
        <v>0</v>
      </c>
      <c r="F15144" s="41">
        <v>1</v>
      </c>
      <c r="G15144" s="41">
        <v>15</v>
      </c>
      <c r="H15144" s="41">
        <v>81.846000000000004</v>
      </c>
      <c r="I15144" s="221"/>
      <c r="J15144" s="221"/>
    </row>
    <row r="15145" spans="1:10" s="15" customFormat="1" ht="24" hidden="1" customHeight="1" outlineLevel="1" x14ac:dyDescent="0.25">
      <c r="A15145" s="18">
        <v>2854</v>
      </c>
      <c r="B15145" s="4" t="s">
        <v>44</v>
      </c>
      <c r="C15145" s="38" t="s">
        <v>9296</v>
      </c>
      <c r="D15145" s="18">
        <v>2023</v>
      </c>
      <c r="E15145" s="18" t="s">
        <v>0</v>
      </c>
      <c r="F15145" s="41">
        <v>1</v>
      </c>
      <c r="G15145" s="41">
        <v>15</v>
      </c>
      <c r="H15145" s="41">
        <v>141.089</v>
      </c>
      <c r="I15145" s="221"/>
      <c r="J15145" s="221"/>
    </row>
    <row r="15146" spans="1:10" s="15" customFormat="1" ht="24" hidden="1" customHeight="1" outlineLevel="1" x14ac:dyDescent="0.25">
      <c r="A15146" s="18">
        <v>4735</v>
      </c>
      <c r="B15146" s="4" t="s">
        <v>44</v>
      </c>
      <c r="C15146" s="38" t="s">
        <v>12733</v>
      </c>
      <c r="D15146" s="18">
        <v>2023</v>
      </c>
      <c r="E15146" s="18" t="s">
        <v>0</v>
      </c>
      <c r="F15146" s="41">
        <v>1</v>
      </c>
      <c r="G15146" s="41">
        <v>45</v>
      </c>
      <c r="H15146" s="41">
        <v>38.811</v>
      </c>
      <c r="I15146" s="221"/>
      <c r="J15146" s="221"/>
    </row>
    <row r="15147" spans="1:10" s="15" customFormat="1" ht="24" hidden="1" customHeight="1" outlineLevel="1" x14ac:dyDescent="0.25">
      <c r="A15147" s="18">
        <v>4620</v>
      </c>
      <c r="B15147" s="4" t="s">
        <v>44</v>
      </c>
      <c r="C15147" s="38" t="s">
        <v>12734</v>
      </c>
      <c r="D15147" s="18">
        <v>2023</v>
      </c>
      <c r="E15147" s="18" t="s">
        <v>0</v>
      </c>
      <c r="F15147" s="41">
        <v>1</v>
      </c>
      <c r="G15147" s="41">
        <v>12</v>
      </c>
      <c r="H15147" s="41">
        <v>47.967999999999996</v>
      </c>
      <c r="I15147" s="221"/>
      <c r="J15147" s="221"/>
    </row>
    <row r="15148" spans="1:10" s="15" customFormat="1" ht="24" hidden="1" customHeight="1" outlineLevel="1" x14ac:dyDescent="0.25">
      <c r="A15148" s="18">
        <v>3780</v>
      </c>
      <c r="B15148" s="4" t="s">
        <v>44</v>
      </c>
      <c r="C15148" s="38" t="s">
        <v>12735</v>
      </c>
      <c r="D15148" s="18">
        <v>2023</v>
      </c>
      <c r="E15148" s="18" t="s">
        <v>0</v>
      </c>
      <c r="F15148" s="41">
        <v>1</v>
      </c>
      <c r="G15148" s="41">
        <v>12</v>
      </c>
      <c r="H15148" s="41">
        <v>48.344999999999999</v>
      </c>
      <c r="I15148" s="221"/>
      <c r="J15148" s="221"/>
    </row>
    <row r="15149" spans="1:10" s="15" customFormat="1" ht="24" hidden="1" customHeight="1" outlineLevel="1" x14ac:dyDescent="0.25">
      <c r="A15149" s="18">
        <v>4736</v>
      </c>
      <c r="B15149" s="4" t="s">
        <v>44</v>
      </c>
      <c r="C15149" s="38" t="s">
        <v>12736</v>
      </c>
      <c r="D15149" s="18">
        <v>2023</v>
      </c>
      <c r="E15149" s="18" t="s">
        <v>0</v>
      </c>
      <c r="F15149" s="41">
        <v>1</v>
      </c>
      <c r="G15149" s="41">
        <v>13.2</v>
      </c>
      <c r="H15149" s="41">
        <v>40.082999999999998</v>
      </c>
      <c r="I15149" s="221"/>
      <c r="J15149" s="221"/>
    </row>
    <row r="15150" spans="1:10" s="15" customFormat="1" ht="24" hidden="1" customHeight="1" outlineLevel="1" x14ac:dyDescent="0.25">
      <c r="A15150" s="18">
        <v>2302</v>
      </c>
      <c r="B15150" s="4" t="s">
        <v>44</v>
      </c>
      <c r="C15150" s="38" t="s">
        <v>12737</v>
      </c>
      <c r="D15150" s="18">
        <v>2023</v>
      </c>
      <c r="E15150" s="18" t="s">
        <v>0</v>
      </c>
      <c r="F15150" s="41">
        <v>1</v>
      </c>
      <c r="G15150" s="41">
        <v>5</v>
      </c>
      <c r="H15150" s="41">
        <v>40.196999999999996</v>
      </c>
      <c r="I15150" s="221"/>
      <c r="J15150" s="221"/>
    </row>
    <row r="15151" spans="1:10" s="15" customFormat="1" ht="24" hidden="1" customHeight="1" outlineLevel="1" x14ac:dyDescent="0.25">
      <c r="A15151" s="18">
        <v>2366</v>
      </c>
      <c r="B15151" s="4" t="s">
        <v>44</v>
      </c>
      <c r="C15151" s="38" t="s">
        <v>12738</v>
      </c>
      <c r="D15151" s="18">
        <v>2023</v>
      </c>
      <c r="E15151" s="18" t="s">
        <v>0</v>
      </c>
      <c r="F15151" s="41">
        <v>1</v>
      </c>
      <c r="G15151" s="41">
        <v>10</v>
      </c>
      <c r="H15151" s="41">
        <v>40.256999999999998</v>
      </c>
      <c r="I15151" s="221"/>
      <c r="J15151" s="221"/>
    </row>
    <row r="15152" spans="1:10" s="15" customFormat="1" ht="24" hidden="1" customHeight="1" outlineLevel="1" x14ac:dyDescent="0.25">
      <c r="A15152" s="18">
        <v>4740</v>
      </c>
      <c r="B15152" s="4" t="s">
        <v>44</v>
      </c>
      <c r="C15152" s="38" t="s">
        <v>12739</v>
      </c>
      <c r="D15152" s="18">
        <v>2023</v>
      </c>
      <c r="E15152" s="18" t="s">
        <v>0</v>
      </c>
      <c r="F15152" s="41">
        <v>1</v>
      </c>
      <c r="G15152" s="41">
        <v>14.4</v>
      </c>
      <c r="H15152" s="41">
        <v>40.190999999999995</v>
      </c>
      <c r="I15152" s="221"/>
      <c r="J15152" s="221"/>
    </row>
    <row r="15153" spans="1:10" s="15" customFormat="1" ht="24" hidden="1" customHeight="1" outlineLevel="1" x14ac:dyDescent="0.25">
      <c r="A15153" s="18">
        <v>1812</v>
      </c>
      <c r="B15153" s="4" t="s">
        <v>44</v>
      </c>
      <c r="C15153" s="38" t="s">
        <v>9297</v>
      </c>
      <c r="D15153" s="18">
        <v>2023</v>
      </c>
      <c r="E15153" s="18" t="s">
        <v>0</v>
      </c>
      <c r="F15153" s="41">
        <v>1</v>
      </c>
      <c r="G15153" s="41">
        <v>15</v>
      </c>
      <c r="H15153" s="41">
        <v>70.153999999999996</v>
      </c>
      <c r="I15153" s="221"/>
      <c r="J15153" s="221"/>
    </row>
    <row r="15154" spans="1:10" s="15" customFormat="1" ht="24" hidden="1" customHeight="1" outlineLevel="1" x14ac:dyDescent="0.25">
      <c r="A15154" s="18">
        <v>3033</v>
      </c>
      <c r="B15154" s="4" t="s">
        <v>44</v>
      </c>
      <c r="C15154" s="38" t="s">
        <v>9371</v>
      </c>
      <c r="D15154" s="18">
        <v>2023</v>
      </c>
      <c r="E15154" s="18" t="s">
        <v>0</v>
      </c>
      <c r="F15154" s="41">
        <v>1</v>
      </c>
      <c r="G15154" s="41">
        <v>25</v>
      </c>
      <c r="H15154" s="41">
        <v>87.402999999999992</v>
      </c>
      <c r="I15154" s="221"/>
      <c r="J15154" s="221"/>
    </row>
    <row r="15155" spans="1:10" s="15" customFormat="1" ht="24" hidden="1" customHeight="1" outlineLevel="1" x14ac:dyDescent="0.25">
      <c r="A15155" s="18">
        <v>2457</v>
      </c>
      <c r="B15155" s="4" t="s">
        <v>44</v>
      </c>
      <c r="C15155" s="38" t="s">
        <v>12740</v>
      </c>
      <c r="D15155" s="18">
        <v>2023</v>
      </c>
      <c r="E15155" s="18" t="s">
        <v>0</v>
      </c>
      <c r="F15155" s="41">
        <v>1</v>
      </c>
      <c r="G15155" s="41">
        <v>5</v>
      </c>
      <c r="H15155" s="41">
        <v>39.923999999999999</v>
      </c>
      <c r="I15155" s="221"/>
      <c r="J15155" s="221"/>
    </row>
    <row r="15156" spans="1:10" s="15" customFormat="1" ht="24" hidden="1" customHeight="1" outlineLevel="1" x14ac:dyDescent="0.25">
      <c r="A15156" s="18">
        <v>4739</v>
      </c>
      <c r="B15156" s="4" t="s">
        <v>44</v>
      </c>
      <c r="C15156" s="38" t="s">
        <v>12741</v>
      </c>
      <c r="D15156" s="18">
        <v>2023</v>
      </c>
      <c r="E15156" s="18" t="s">
        <v>0</v>
      </c>
      <c r="F15156" s="41">
        <v>1</v>
      </c>
      <c r="G15156" s="41">
        <v>14</v>
      </c>
      <c r="H15156" s="41">
        <v>41.298999999999999</v>
      </c>
      <c r="I15156" s="221"/>
      <c r="J15156" s="221"/>
    </row>
    <row r="15157" spans="1:10" s="15" customFormat="1" ht="24" hidden="1" customHeight="1" outlineLevel="1" x14ac:dyDescent="0.25">
      <c r="A15157" s="18">
        <v>3092</v>
      </c>
      <c r="B15157" s="4" t="s">
        <v>44</v>
      </c>
      <c r="C15157" s="38" t="s">
        <v>9299</v>
      </c>
      <c r="D15157" s="18">
        <v>2023</v>
      </c>
      <c r="E15157" s="18" t="s">
        <v>0</v>
      </c>
      <c r="F15157" s="41">
        <v>1</v>
      </c>
      <c r="G15157" s="41">
        <v>40</v>
      </c>
      <c r="H15157" s="41">
        <v>85.417999999999992</v>
      </c>
      <c r="I15157" s="221"/>
      <c r="J15157" s="221"/>
    </row>
    <row r="15158" spans="1:10" s="15" customFormat="1" ht="24" hidden="1" customHeight="1" outlineLevel="1" x14ac:dyDescent="0.25">
      <c r="A15158" s="18">
        <v>3023</v>
      </c>
      <c r="B15158" s="4" t="s">
        <v>44</v>
      </c>
      <c r="C15158" s="38" t="s">
        <v>9300</v>
      </c>
      <c r="D15158" s="18">
        <v>2023</v>
      </c>
      <c r="E15158" s="18" t="s">
        <v>0</v>
      </c>
      <c r="F15158" s="41">
        <v>1</v>
      </c>
      <c r="G15158" s="41">
        <v>30</v>
      </c>
      <c r="H15158" s="41">
        <v>70.931999999999988</v>
      </c>
      <c r="I15158" s="221"/>
      <c r="J15158" s="221"/>
    </row>
    <row r="15159" spans="1:10" s="15" customFormat="1" ht="24" hidden="1" customHeight="1" outlineLevel="1" x14ac:dyDescent="0.25">
      <c r="A15159" s="18">
        <v>1167</v>
      </c>
      <c r="B15159" s="4" t="s">
        <v>44</v>
      </c>
      <c r="C15159" s="38" t="s">
        <v>9301</v>
      </c>
      <c r="D15159" s="18">
        <v>2023</v>
      </c>
      <c r="E15159" s="18" t="s">
        <v>0</v>
      </c>
      <c r="F15159" s="41">
        <v>1</v>
      </c>
      <c r="G15159" s="41">
        <v>10</v>
      </c>
      <c r="H15159" s="41">
        <v>83.431000000000012</v>
      </c>
      <c r="I15159" s="221"/>
      <c r="J15159" s="221"/>
    </row>
    <row r="15160" spans="1:10" s="15" customFormat="1" ht="24" hidden="1" customHeight="1" outlineLevel="1" x14ac:dyDescent="0.25">
      <c r="A15160" s="18">
        <v>574</v>
      </c>
      <c r="B15160" s="4" t="s">
        <v>44</v>
      </c>
      <c r="C15160" s="38" t="s">
        <v>9302</v>
      </c>
      <c r="D15160" s="18">
        <v>2023</v>
      </c>
      <c r="E15160" s="18" t="s">
        <v>0</v>
      </c>
      <c r="F15160" s="41">
        <v>1</v>
      </c>
      <c r="G15160" s="41">
        <v>10</v>
      </c>
      <c r="H15160" s="41">
        <v>88.427000000000007</v>
      </c>
      <c r="I15160" s="221"/>
      <c r="J15160" s="221"/>
    </row>
    <row r="15161" spans="1:10" s="15" customFormat="1" ht="24" hidden="1" customHeight="1" outlineLevel="1" x14ac:dyDescent="0.25">
      <c r="A15161" s="18">
        <v>1145</v>
      </c>
      <c r="B15161" s="4" t="s">
        <v>44</v>
      </c>
      <c r="C15161" s="38" t="s">
        <v>9303</v>
      </c>
      <c r="D15161" s="18">
        <v>2023</v>
      </c>
      <c r="E15161" s="18" t="s">
        <v>0</v>
      </c>
      <c r="F15161" s="41">
        <v>1</v>
      </c>
      <c r="G15161" s="41">
        <v>15</v>
      </c>
      <c r="H15161" s="41">
        <v>76.259</v>
      </c>
      <c r="I15161" s="221"/>
      <c r="J15161" s="221"/>
    </row>
    <row r="15162" spans="1:10" s="15" customFormat="1" ht="24" hidden="1" customHeight="1" outlineLevel="1" x14ac:dyDescent="0.25">
      <c r="A15162" s="18">
        <v>538</v>
      </c>
      <c r="B15162" s="4" t="s">
        <v>44</v>
      </c>
      <c r="C15162" s="38" t="s">
        <v>9341</v>
      </c>
      <c r="D15162" s="18">
        <v>2023</v>
      </c>
      <c r="E15162" s="18" t="s">
        <v>0</v>
      </c>
      <c r="F15162" s="41">
        <v>1</v>
      </c>
      <c r="G15162" s="41">
        <v>15</v>
      </c>
      <c r="H15162" s="41">
        <v>69.344000000000008</v>
      </c>
      <c r="I15162" s="221"/>
      <c r="J15162" s="221"/>
    </row>
    <row r="15163" spans="1:10" s="15" customFormat="1" ht="24" hidden="1" customHeight="1" outlineLevel="1" x14ac:dyDescent="0.25">
      <c r="A15163" s="18">
        <v>941</v>
      </c>
      <c r="B15163" s="4" t="s">
        <v>44</v>
      </c>
      <c r="C15163" s="38" t="s">
        <v>9304</v>
      </c>
      <c r="D15163" s="18">
        <v>2023</v>
      </c>
      <c r="E15163" s="18" t="s">
        <v>0</v>
      </c>
      <c r="F15163" s="41">
        <v>1</v>
      </c>
      <c r="G15163" s="41">
        <v>15</v>
      </c>
      <c r="H15163" s="41">
        <v>73.774000000000001</v>
      </c>
      <c r="I15163" s="221"/>
      <c r="J15163" s="221"/>
    </row>
    <row r="15164" spans="1:10" s="15" customFormat="1" ht="24" hidden="1" customHeight="1" outlineLevel="1" x14ac:dyDescent="0.25">
      <c r="A15164" s="18">
        <v>2851</v>
      </c>
      <c r="B15164" s="4" t="s">
        <v>44</v>
      </c>
      <c r="C15164" s="38" t="s">
        <v>9305</v>
      </c>
      <c r="D15164" s="18">
        <v>2023</v>
      </c>
      <c r="E15164" s="18" t="s">
        <v>0</v>
      </c>
      <c r="F15164" s="41">
        <v>1</v>
      </c>
      <c r="G15164" s="41">
        <v>15</v>
      </c>
      <c r="H15164" s="41">
        <v>92.457999999999998</v>
      </c>
      <c r="I15164" s="221"/>
      <c r="J15164" s="221"/>
    </row>
    <row r="15165" spans="1:10" s="15" customFormat="1" ht="24" hidden="1" customHeight="1" outlineLevel="1" x14ac:dyDescent="0.25">
      <c r="A15165" s="18">
        <v>3288</v>
      </c>
      <c r="B15165" s="4" t="s">
        <v>44</v>
      </c>
      <c r="C15165" s="38" t="s">
        <v>9306</v>
      </c>
      <c r="D15165" s="18">
        <v>2023</v>
      </c>
      <c r="E15165" s="18" t="s">
        <v>0</v>
      </c>
      <c r="F15165" s="41">
        <v>1</v>
      </c>
      <c r="G15165" s="41">
        <v>15</v>
      </c>
      <c r="H15165" s="41">
        <v>101.6</v>
      </c>
      <c r="I15165" s="221"/>
      <c r="J15165" s="221"/>
    </row>
    <row r="15166" spans="1:10" s="15" customFormat="1" ht="24" hidden="1" customHeight="1" outlineLevel="1" x14ac:dyDescent="0.25">
      <c r="A15166" s="18">
        <v>4755</v>
      </c>
      <c r="B15166" s="4" t="s">
        <v>44</v>
      </c>
      <c r="C15166" s="38" t="s">
        <v>9307</v>
      </c>
      <c r="D15166" s="18">
        <v>2023</v>
      </c>
      <c r="E15166" s="18" t="s">
        <v>0</v>
      </c>
      <c r="F15166" s="41">
        <v>1</v>
      </c>
      <c r="G15166" s="41">
        <v>15</v>
      </c>
      <c r="H15166" s="41">
        <v>47.815999999999995</v>
      </c>
      <c r="I15166" s="221"/>
      <c r="J15166" s="221"/>
    </row>
    <row r="15167" spans="1:10" s="15" customFormat="1" ht="24" hidden="1" customHeight="1" outlineLevel="1" x14ac:dyDescent="0.25">
      <c r="A15167" s="18">
        <v>4745</v>
      </c>
      <c r="B15167" s="4" t="s">
        <v>44</v>
      </c>
      <c r="C15167" s="38" t="s">
        <v>9309</v>
      </c>
      <c r="D15167" s="18">
        <v>2023</v>
      </c>
      <c r="E15167" s="18" t="s">
        <v>0</v>
      </c>
      <c r="F15167" s="41">
        <v>1</v>
      </c>
      <c r="G15167" s="41">
        <v>9</v>
      </c>
      <c r="H15167" s="41">
        <v>60.900349999999996</v>
      </c>
      <c r="I15167" s="221"/>
      <c r="J15167" s="221"/>
    </row>
    <row r="15168" spans="1:10" s="15" customFormat="1" ht="24" hidden="1" customHeight="1" outlineLevel="1" x14ac:dyDescent="0.25">
      <c r="A15168" s="18">
        <v>2558</v>
      </c>
      <c r="B15168" s="4" t="s">
        <v>44</v>
      </c>
      <c r="C15168" s="38" t="s">
        <v>12742</v>
      </c>
      <c r="D15168" s="18">
        <v>2023</v>
      </c>
      <c r="E15168" s="18" t="s">
        <v>0</v>
      </c>
      <c r="F15168" s="41">
        <v>1</v>
      </c>
      <c r="G15168" s="41">
        <v>3</v>
      </c>
      <c r="H15168" s="41">
        <v>39.235999999999997</v>
      </c>
      <c r="I15168" s="221"/>
      <c r="J15168" s="221"/>
    </row>
    <row r="15169" spans="1:10" s="15" customFormat="1" ht="24" hidden="1" customHeight="1" outlineLevel="1" x14ac:dyDescent="0.25">
      <c r="A15169" s="18">
        <v>4750</v>
      </c>
      <c r="B15169" s="4" t="s">
        <v>44</v>
      </c>
      <c r="C15169" s="38" t="s">
        <v>12743</v>
      </c>
      <c r="D15169" s="18">
        <v>2023</v>
      </c>
      <c r="E15169" s="18" t="s">
        <v>0</v>
      </c>
      <c r="F15169" s="41">
        <v>1</v>
      </c>
      <c r="G15169" s="41">
        <v>12</v>
      </c>
      <c r="H15169" s="41">
        <v>39.235999999999997</v>
      </c>
      <c r="I15169" s="221"/>
      <c r="J15169" s="221"/>
    </row>
    <row r="15170" spans="1:10" s="15" customFormat="1" ht="24" hidden="1" customHeight="1" outlineLevel="1" x14ac:dyDescent="0.25">
      <c r="A15170" s="18">
        <v>4751</v>
      </c>
      <c r="B15170" s="4" t="s">
        <v>44</v>
      </c>
      <c r="C15170" s="38" t="s">
        <v>12744</v>
      </c>
      <c r="D15170" s="18">
        <v>2023</v>
      </c>
      <c r="E15170" s="18" t="s">
        <v>0</v>
      </c>
      <c r="F15170" s="41">
        <v>1</v>
      </c>
      <c r="G15170" s="41">
        <v>15</v>
      </c>
      <c r="H15170" s="41">
        <v>39.235999999999997</v>
      </c>
      <c r="I15170" s="221"/>
      <c r="J15170" s="221"/>
    </row>
    <row r="15171" spans="1:10" s="15" customFormat="1" ht="24" hidden="1" customHeight="1" outlineLevel="1" x14ac:dyDescent="0.25">
      <c r="A15171" s="18">
        <v>1693</v>
      </c>
      <c r="B15171" s="4" t="s">
        <v>44</v>
      </c>
      <c r="C15171" s="38" t="s">
        <v>9310</v>
      </c>
      <c r="D15171" s="18">
        <v>2023</v>
      </c>
      <c r="E15171" s="18" t="s">
        <v>0</v>
      </c>
      <c r="F15171" s="41">
        <v>1</v>
      </c>
      <c r="G15171" s="41">
        <v>15</v>
      </c>
      <c r="H15171" s="41">
        <v>44.248000000000005</v>
      </c>
      <c r="I15171" s="221"/>
      <c r="J15171" s="221"/>
    </row>
    <row r="15172" spans="1:10" s="15" customFormat="1" ht="24" hidden="1" customHeight="1" outlineLevel="1" x14ac:dyDescent="0.25">
      <c r="A15172" s="18">
        <v>2056</v>
      </c>
      <c r="B15172" s="4" t="s">
        <v>44</v>
      </c>
      <c r="C15172" s="38" t="s">
        <v>9311</v>
      </c>
      <c r="D15172" s="18">
        <v>2023</v>
      </c>
      <c r="E15172" s="18" t="s">
        <v>0</v>
      </c>
      <c r="F15172" s="41">
        <v>1</v>
      </c>
      <c r="G15172" s="41">
        <v>8</v>
      </c>
      <c r="H15172" s="41">
        <v>47.902999999999999</v>
      </c>
      <c r="I15172" s="221"/>
      <c r="J15172" s="221"/>
    </row>
    <row r="15173" spans="1:10" s="15" customFormat="1" ht="24" hidden="1" customHeight="1" outlineLevel="1" x14ac:dyDescent="0.25">
      <c r="A15173" s="18">
        <v>4746</v>
      </c>
      <c r="B15173" s="4" t="s">
        <v>44</v>
      </c>
      <c r="C15173" s="38" t="s">
        <v>12745</v>
      </c>
      <c r="D15173" s="18">
        <v>2023</v>
      </c>
      <c r="E15173" s="18" t="s">
        <v>0</v>
      </c>
      <c r="F15173" s="41">
        <v>1</v>
      </c>
      <c r="G15173" s="41">
        <v>15</v>
      </c>
      <c r="H15173" s="41">
        <v>39.914999999999999</v>
      </c>
      <c r="I15173" s="221"/>
      <c r="J15173" s="221"/>
    </row>
    <row r="15174" spans="1:10" s="15" customFormat="1" ht="24" hidden="1" customHeight="1" outlineLevel="1" x14ac:dyDescent="0.25">
      <c r="A15174" s="18">
        <v>4749</v>
      </c>
      <c r="B15174" s="4" t="s">
        <v>44</v>
      </c>
      <c r="C15174" s="38" t="s">
        <v>12746</v>
      </c>
      <c r="D15174" s="18">
        <v>2023</v>
      </c>
      <c r="E15174" s="18" t="s">
        <v>0</v>
      </c>
      <c r="F15174" s="41">
        <v>1</v>
      </c>
      <c r="G15174" s="41">
        <v>14</v>
      </c>
      <c r="H15174" s="41">
        <v>38.390999999999998</v>
      </c>
      <c r="I15174" s="221"/>
      <c r="J15174" s="221"/>
    </row>
    <row r="15175" spans="1:10" s="15" customFormat="1" ht="24" hidden="1" customHeight="1" outlineLevel="1" x14ac:dyDescent="0.25">
      <c r="A15175" s="18">
        <v>4752</v>
      </c>
      <c r="B15175" s="4" t="s">
        <v>44</v>
      </c>
      <c r="C15175" s="38" t="s">
        <v>12747</v>
      </c>
      <c r="D15175" s="18">
        <v>2023</v>
      </c>
      <c r="E15175" s="18" t="s">
        <v>0</v>
      </c>
      <c r="F15175" s="41">
        <v>1</v>
      </c>
      <c r="G15175" s="41">
        <v>7.5</v>
      </c>
      <c r="H15175" s="41">
        <v>40.245000000000005</v>
      </c>
      <c r="I15175" s="221"/>
      <c r="J15175" s="221"/>
    </row>
    <row r="15176" spans="1:10" s="15" customFormat="1" ht="24" hidden="1" customHeight="1" outlineLevel="1" x14ac:dyDescent="0.25">
      <c r="A15176" s="18">
        <v>4753</v>
      </c>
      <c r="B15176" s="4" t="s">
        <v>44</v>
      </c>
      <c r="C15176" s="38" t="s">
        <v>12748</v>
      </c>
      <c r="D15176" s="18">
        <v>2023</v>
      </c>
      <c r="E15176" s="18" t="s">
        <v>0</v>
      </c>
      <c r="F15176" s="41">
        <v>1</v>
      </c>
      <c r="G15176" s="41">
        <v>15</v>
      </c>
      <c r="H15176" s="41">
        <v>43.244</v>
      </c>
      <c r="I15176" s="221"/>
      <c r="J15176" s="221"/>
    </row>
    <row r="15177" spans="1:10" s="15" customFormat="1" ht="24" hidden="1" customHeight="1" outlineLevel="1" x14ac:dyDescent="0.25">
      <c r="A15177" s="18">
        <v>4758</v>
      </c>
      <c r="B15177" s="4" t="s">
        <v>44</v>
      </c>
      <c r="C15177" s="38" t="s">
        <v>12749</v>
      </c>
      <c r="D15177" s="18">
        <v>2023</v>
      </c>
      <c r="E15177" s="18" t="s">
        <v>0</v>
      </c>
      <c r="F15177" s="41">
        <v>1</v>
      </c>
      <c r="G15177" s="41">
        <v>15</v>
      </c>
      <c r="H15177" s="41">
        <v>43.348999999999997</v>
      </c>
      <c r="I15177" s="221"/>
      <c r="J15177" s="221"/>
    </row>
    <row r="15178" spans="1:10" s="15" customFormat="1" ht="24" hidden="1" customHeight="1" outlineLevel="1" x14ac:dyDescent="0.25">
      <c r="A15178" s="18">
        <v>4759</v>
      </c>
      <c r="B15178" s="4" t="s">
        <v>44</v>
      </c>
      <c r="C15178" s="38" t="s">
        <v>12750</v>
      </c>
      <c r="D15178" s="18">
        <v>2023</v>
      </c>
      <c r="E15178" s="18" t="s">
        <v>0</v>
      </c>
      <c r="F15178" s="41">
        <v>1</v>
      </c>
      <c r="G15178" s="41">
        <v>15</v>
      </c>
      <c r="H15178" s="41">
        <v>44.207000000000001</v>
      </c>
      <c r="I15178" s="221"/>
      <c r="J15178" s="221"/>
    </row>
    <row r="15179" spans="1:10" s="15" customFormat="1" ht="24" hidden="1" customHeight="1" outlineLevel="1" x14ac:dyDescent="0.25">
      <c r="A15179" s="18">
        <v>4760</v>
      </c>
      <c r="B15179" s="4" t="s">
        <v>44</v>
      </c>
      <c r="C15179" s="38" t="s">
        <v>12751</v>
      </c>
      <c r="D15179" s="18">
        <v>2023</v>
      </c>
      <c r="E15179" s="18" t="s">
        <v>0</v>
      </c>
      <c r="F15179" s="41">
        <v>1</v>
      </c>
      <c r="G15179" s="41">
        <v>15</v>
      </c>
      <c r="H15179" s="41">
        <v>41.882999999999996</v>
      </c>
      <c r="I15179" s="221"/>
      <c r="J15179" s="221"/>
    </row>
    <row r="15180" spans="1:10" s="15" customFormat="1" ht="24" hidden="1" customHeight="1" outlineLevel="1" x14ac:dyDescent="0.25">
      <c r="A15180" s="18">
        <v>4761</v>
      </c>
      <c r="B15180" s="4" t="s">
        <v>44</v>
      </c>
      <c r="C15180" s="38" t="s">
        <v>12752</v>
      </c>
      <c r="D15180" s="18">
        <v>2023</v>
      </c>
      <c r="E15180" s="18" t="s">
        <v>0</v>
      </c>
      <c r="F15180" s="41">
        <v>1</v>
      </c>
      <c r="G15180" s="41">
        <v>15</v>
      </c>
      <c r="H15180" s="41">
        <v>49.72</v>
      </c>
      <c r="I15180" s="221"/>
      <c r="J15180" s="221"/>
    </row>
    <row r="15181" spans="1:10" s="15" customFormat="1" ht="24" hidden="1" customHeight="1" outlineLevel="1" x14ac:dyDescent="0.25">
      <c r="A15181" s="18">
        <v>3060</v>
      </c>
      <c r="B15181" s="4" t="s">
        <v>44</v>
      </c>
      <c r="C15181" s="38" t="s">
        <v>9235</v>
      </c>
      <c r="D15181" s="18">
        <v>2023</v>
      </c>
      <c r="E15181" s="18" t="s">
        <v>0</v>
      </c>
      <c r="F15181" s="41">
        <v>1</v>
      </c>
      <c r="G15181" s="41">
        <v>50</v>
      </c>
      <c r="H15181" s="41">
        <v>86.34899999999999</v>
      </c>
      <c r="I15181" s="221"/>
      <c r="J15181" s="221"/>
    </row>
    <row r="15182" spans="1:10" s="15" customFormat="1" ht="24" hidden="1" customHeight="1" outlineLevel="1" x14ac:dyDescent="0.25">
      <c r="A15182" s="18">
        <v>3310</v>
      </c>
      <c r="B15182" s="4" t="s">
        <v>44</v>
      </c>
      <c r="C15182" s="38" t="s">
        <v>9313</v>
      </c>
      <c r="D15182" s="18">
        <v>2023</v>
      </c>
      <c r="E15182" s="18" t="s">
        <v>0</v>
      </c>
      <c r="F15182" s="41">
        <v>1</v>
      </c>
      <c r="G15182" s="41">
        <v>15</v>
      </c>
      <c r="H15182" s="41">
        <v>80.263999999999996</v>
      </c>
      <c r="I15182" s="221"/>
      <c r="J15182" s="221"/>
    </row>
    <row r="15183" spans="1:10" s="15" customFormat="1" ht="24" hidden="1" customHeight="1" outlineLevel="1" x14ac:dyDescent="0.25">
      <c r="A15183" s="18">
        <v>4756</v>
      </c>
      <c r="B15183" s="4" t="s">
        <v>44</v>
      </c>
      <c r="C15183" s="38" t="s">
        <v>12753</v>
      </c>
      <c r="D15183" s="18">
        <v>2023</v>
      </c>
      <c r="E15183" s="18" t="s">
        <v>0</v>
      </c>
      <c r="F15183" s="41">
        <v>1</v>
      </c>
      <c r="G15183" s="41">
        <v>14</v>
      </c>
      <c r="H15183" s="41">
        <v>42.680999999999997</v>
      </c>
      <c r="I15183" s="221"/>
      <c r="J15183" s="221"/>
    </row>
    <row r="15184" spans="1:10" s="15" customFormat="1" ht="24" hidden="1" customHeight="1" outlineLevel="1" x14ac:dyDescent="0.25">
      <c r="A15184" s="18">
        <v>4765</v>
      </c>
      <c r="B15184" s="4" t="s">
        <v>44</v>
      </c>
      <c r="C15184" s="38" t="s">
        <v>12754</v>
      </c>
      <c r="D15184" s="18">
        <v>2023</v>
      </c>
      <c r="E15184" s="18" t="s">
        <v>0</v>
      </c>
      <c r="F15184" s="41">
        <v>1</v>
      </c>
      <c r="G15184" s="41">
        <v>10</v>
      </c>
      <c r="H15184" s="41">
        <v>42.808999999999997</v>
      </c>
      <c r="I15184" s="221"/>
      <c r="J15184" s="221"/>
    </row>
    <row r="15185" spans="1:10" s="15" customFormat="1" ht="24" hidden="1" customHeight="1" outlineLevel="1" x14ac:dyDescent="0.25">
      <c r="A15185" s="18">
        <v>4766</v>
      </c>
      <c r="B15185" s="4" t="s">
        <v>44</v>
      </c>
      <c r="C15185" s="38" t="s">
        <v>12755</v>
      </c>
      <c r="D15185" s="18">
        <v>2023</v>
      </c>
      <c r="E15185" s="18" t="s">
        <v>0</v>
      </c>
      <c r="F15185" s="41">
        <v>1</v>
      </c>
      <c r="G15185" s="41">
        <v>10</v>
      </c>
      <c r="H15185" s="41">
        <v>42.808999999999997</v>
      </c>
      <c r="I15185" s="221"/>
      <c r="J15185" s="221"/>
    </row>
    <row r="15186" spans="1:10" s="15" customFormat="1" ht="24" hidden="1" customHeight="1" outlineLevel="1" x14ac:dyDescent="0.25">
      <c r="A15186" s="18">
        <v>4767</v>
      </c>
      <c r="B15186" s="4" t="s">
        <v>44</v>
      </c>
      <c r="C15186" s="38" t="s">
        <v>12756</v>
      </c>
      <c r="D15186" s="18">
        <v>2023</v>
      </c>
      <c r="E15186" s="18" t="s">
        <v>0</v>
      </c>
      <c r="F15186" s="41">
        <v>1</v>
      </c>
      <c r="G15186" s="41">
        <v>10</v>
      </c>
      <c r="H15186" s="41">
        <v>42.878</v>
      </c>
      <c r="I15186" s="221"/>
      <c r="J15186" s="221"/>
    </row>
    <row r="15187" spans="1:10" s="15" customFormat="1" ht="24" hidden="1" customHeight="1" outlineLevel="1" x14ac:dyDescent="0.25">
      <c r="A15187" s="18">
        <v>4768</v>
      </c>
      <c r="B15187" s="4" t="s">
        <v>44</v>
      </c>
      <c r="C15187" s="38" t="s">
        <v>12757</v>
      </c>
      <c r="D15187" s="18">
        <v>2023</v>
      </c>
      <c r="E15187" s="18" t="s">
        <v>0</v>
      </c>
      <c r="F15187" s="41">
        <v>1</v>
      </c>
      <c r="G15187" s="41">
        <v>10</v>
      </c>
      <c r="H15187" s="41">
        <v>42.852000000000004</v>
      </c>
      <c r="I15187" s="221"/>
      <c r="J15187" s="221"/>
    </row>
    <row r="15188" spans="1:10" s="15" customFormat="1" ht="24" hidden="1" customHeight="1" outlineLevel="1" x14ac:dyDescent="0.25">
      <c r="A15188" s="18">
        <v>2075</v>
      </c>
      <c r="B15188" s="4" t="s">
        <v>44</v>
      </c>
      <c r="C15188" s="38" t="s">
        <v>12758</v>
      </c>
      <c r="D15188" s="18">
        <v>2023</v>
      </c>
      <c r="E15188" s="18" t="s">
        <v>0</v>
      </c>
      <c r="F15188" s="41">
        <v>1</v>
      </c>
      <c r="G15188" s="41">
        <v>5</v>
      </c>
      <c r="H15188" s="41">
        <v>42.903999999999996</v>
      </c>
      <c r="I15188" s="221"/>
      <c r="J15188" s="221"/>
    </row>
    <row r="15189" spans="1:10" s="15" customFormat="1" ht="24" hidden="1" customHeight="1" outlineLevel="1" x14ac:dyDescent="0.25">
      <c r="A15189" s="18">
        <v>2142</v>
      </c>
      <c r="B15189" s="4" t="s">
        <v>44</v>
      </c>
      <c r="C15189" s="38" t="s">
        <v>12759</v>
      </c>
      <c r="D15189" s="18">
        <v>2023</v>
      </c>
      <c r="E15189" s="18" t="s">
        <v>0</v>
      </c>
      <c r="F15189" s="41">
        <v>1</v>
      </c>
      <c r="G15189" s="41">
        <v>6.5</v>
      </c>
      <c r="H15189" s="41">
        <v>42.875</v>
      </c>
      <c r="I15189" s="221"/>
      <c r="J15189" s="221"/>
    </row>
    <row r="15190" spans="1:10" s="15" customFormat="1" ht="24" hidden="1" customHeight="1" outlineLevel="1" x14ac:dyDescent="0.25">
      <c r="A15190" s="18">
        <v>4769</v>
      </c>
      <c r="B15190" s="4" t="s">
        <v>44</v>
      </c>
      <c r="C15190" s="38" t="s">
        <v>12760</v>
      </c>
      <c r="D15190" s="18">
        <v>2023</v>
      </c>
      <c r="E15190" s="18" t="s">
        <v>0</v>
      </c>
      <c r="F15190" s="41">
        <v>1</v>
      </c>
      <c r="G15190" s="41">
        <v>10</v>
      </c>
      <c r="H15190" s="41">
        <v>42.852000000000004</v>
      </c>
      <c r="I15190" s="221"/>
      <c r="J15190" s="221"/>
    </row>
    <row r="15191" spans="1:10" s="15" customFormat="1" ht="24" hidden="1" customHeight="1" outlineLevel="1" x14ac:dyDescent="0.25">
      <c r="A15191" s="18">
        <v>4770</v>
      </c>
      <c r="B15191" s="4" t="s">
        <v>44</v>
      </c>
      <c r="C15191" s="38" t="s">
        <v>9314</v>
      </c>
      <c r="D15191" s="18">
        <v>2023</v>
      </c>
      <c r="E15191" s="18" t="s">
        <v>0</v>
      </c>
      <c r="F15191" s="41">
        <v>1</v>
      </c>
      <c r="G15191" s="41">
        <v>17</v>
      </c>
      <c r="H15191" s="41">
        <v>147.87299999999999</v>
      </c>
      <c r="I15191" s="221"/>
      <c r="J15191" s="221"/>
    </row>
    <row r="15192" spans="1:10" s="15" customFormat="1" ht="24" hidden="1" customHeight="1" outlineLevel="1" x14ac:dyDescent="0.25">
      <c r="A15192" s="18">
        <v>3309</v>
      </c>
      <c r="B15192" s="4" t="s">
        <v>44</v>
      </c>
      <c r="C15192" s="38" t="s">
        <v>9315</v>
      </c>
      <c r="D15192" s="18">
        <v>2023</v>
      </c>
      <c r="E15192" s="18" t="s">
        <v>0</v>
      </c>
      <c r="F15192" s="41">
        <v>1</v>
      </c>
      <c r="G15192" s="41">
        <v>10</v>
      </c>
      <c r="H15192" s="41">
        <v>81.695999999999998</v>
      </c>
      <c r="I15192" s="221"/>
      <c r="J15192" s="221"/>
    </row>
    <row r="15193" spans="1:10" s="15" customFormat="1" ht="24" hidden="1" customHeight="1" outlineLevel="1" x14ac:dyDescent="0.25">
      <c r="A15193" s="18">
        <v>4762</v>
      </c>
      <c r="B15193" s="4" t="s">
        <v>44</v>
      </c>
      <c r="C15193" s="38" t="s">
        <v>12761</v>
      </c>
      <c r="D15193" s="18">
        <v>2023</v>
      </c>
      <c r="E15193" s="18" t="s">
        <v>0</v>
      </c>
      <c r="F15193" s="41">
        <v>1</v>
      </c>
      <c r="G15193" s="41">
        <v>15</v>
      </c>
      <c r="H15193" s="41">
        <v>42.863</v>
      </c>
      <c r="I15193" s="221"/>
      <c r="J15193" s="221"/>
    </row>
    <row r="15194" spans="1:10" s="15" customFormat="1" ht="24" hidden="1" customHeight="1" outlineLevel="1" x14ac:dyDescent="0.25">
      <c r="A15194" s="18">
        <v>4763</v>
      </c>
      <c r="B15194" s="4" t="s">
        <v>44</v>
      </c>
      <c r="C15194" s="38" t="s">
        <v>12762</v>
      </c>
      <c r="D15194" s="18">
        <v>2023</v>
      </c>
      <c r="E15194" s="18" t="s">
        <v>0</v>
      </c>
      <c r="F15194" s="41">
        <v>1</v>
      </c>
      <c r="G15194" s="41">
        <v>10</v>
      </c>
      <c r="H15194" s="41">
        <v>42.863</v>
      </c>
      <c r="I15194" s="221"/>
      <c r="J15194" s="221"/>
    </row>
    <row r="15195" spans="1:10" s="15" customFormat="1" ht="24" hidden="1" customHeight="1" outlineLevel="1" x14ac:dyDescent="0.25">
      <c r="A15195" s="18">
        <v>4764</v>
      </c>
      <c r="B15195" s="4" t="s">
        <v>44</v>
      </c>
      <c r="C15195" s="38" t="s">
        <v>12763</v>
      </c>
      <c r="D15195" s="18">
        <v>2023</v>
      </c>
      <c r="E15195" s="18" t="s">
        <v>0</v>
      </c>
      <c r="F15195" s="41">
        <v>1</v>
      </c>
      <c r="G15195" s="41">
        <v>13.9</v>
      </c>
      <c r="H15195" s="41">
        <v>44.417000000000002</v>
      </c>
      <c r="I15195" s="221"/>
      <c r="J15195" s="221"/>
    </row>
    <row r="15196" spans="1:10" s="15" customFormat="1" ht="24" hidden="1" customHeight="1" outlineLevel="1" x14ac:dyDescent="0.25">
      <c r="A15196" s="18">
        <v>4777</v>
      </c>
      <c r="B15196" s="4" t="s">
        <v>44</v>
      </c>
      <c r="C15196" s="38" t="s">
        <v>12764</v>
      </c>
      <c r="D15196" s="18">
        <v>2023</v>
      </c>
      <c r="E15196" s="18" t="s">
        <v>0</v>
      </c>
      <c r="F15196" s="41">
        <v>1</v>
      </c>
      <c r="G15196" s="41">
        <v>15</v>
      </c>
      <c r="H15196" s="41">
        <v>46.580999999999996</v>
      </c>
      <c r="I15196" s="221"/>
      <c r="J15196" s="221"/>
    </row>
    <row r="15197" spans="1:10" s="15" customFormat="1" ht="24" hidden="1" customHeight="1" outlineLevel="1" x14ac:dyDescent="0.25">
      <c r="A15197" s="18">
        <v>4778</v>
      </c>
      <c r="B15197" s="4" t="s">
        <v>44</v>
      </c>
      <c r="C15197" s="38" t="s">
        <v>12765</v>
      </c>
      <c r="D15197" s="18">
        <v>2023</v>
      </c>
      <c r="E15197" s="18" t="s">
        <v>0</v>
      </c>
      <c r="F15197" s="41">
        <v>1</v>
      </c>
      <c r="G15197" s="41">
        <v>15</v>
      </c>
      <c r="H15197" s="41">
        <v>46.582000000000001</v>
      </c>
      <c r="I15197" s="221"/>
      <c r="J15197" s="221"/>
    </row>
    <row r="15198" spans="1:10" s="15" customFormat="1" ht="24" hidden="1" customHeight="1" outlineLevel="1" x14ac:dyDescent="0.25">
      <c r="A15198" s="18">
        <v>4774</v>
      </c>
      <c r="B15198" s="4" t="s">
        <v>44</v>
      </c>
      <c r="C15198" s="38" t="s">
        <v>12766</v>
      </c>
      <c r="D15198" s="18">
        <v>2023</v>
      </c>
      <c r="E15198" s="18" t="s">
        <v>0</v>
      </c>
      <c r="F15198" s="41">
        <v>1</v>
      </c>
      <c r="G15198" s="41">
        <v>12</v>
      </c>
      <c r="H15198" s="41">
        <v>40.207000000000001</v>
      </c>
      <c r="I15198" s="221"/>
      <c r="J15198" s="221"/>
    </row>
    <row r="15199" spans="1:10" s="15" customFormat="1" ht="24" hidden="1" customHeight="1" outlineLevel="1" x14ac:dyDescent="0.25">
      <c r="A15199" s="18">
        <v>4779</v>
      </c>
      <c r="B15199" s="4" t="s">
        <v>44</v>
      </c>
      <c r="C15199" s="38" t="s">
        <v>12767</v>
      </c>
      <c r="D15199" s="18">
        <v>2023</v>
      </c>
      <c r="E15199" s="18" t="s">
        <v>0</v>
      </c>
      <c r="F15199" s="41">
        <v>1</v>
      </c>
      <c r="G15199" s="41">
        <v>12</v>
      </c>
      <c r="H15199" s="41">
        <v>40.207000000000001</v>
      </c>
      <c r="I15199" s="221"/>
      <c r="J15199" s="221"/>
    </row>
    <row r="15200" spans="1:10" s="15" customFormat="1" ht="24" hidden="1" customHeight="1" outlineLevel="1" x14ac:dyDescent="0.25">
      <c r="A15200" s="18">
        <v>4780</v>
      </c>
      <c r="B15200" s="4" t="s">
        <v>44</v>
      </c>
      <c r="C15200" s="38" t="s">
        <v>12768</v>
      </c>
      <c r="D15200" s="18">
        <v>2023</v>
      </c>
      <c r="E15200" s="18" t="s">
        <v>0</v>
      </c>
      <c r="F15200" s="41">
        <v>1</v>
      </c>
      <c r="G15200" s="41">
        <v>12</v>
      </c>
      <c r="H15200" s="41">
        <v>40.207000000000001</v>
      </c>
      <c r="I15200" s="221"/>
      <c r="J15200" s="221"/>
    </row>
    <row r="15201" spans="1:10" s="15" customFormat="1" ht="24" hidden="1" customHeight="1" outlineLevel="1" x14ac:dyDescent="0.25">
      <c r="A15201" s="18">
        <v>4781</v>
      </c>
      <c r="B15201" s="4" t="s">
        <v>44</v>
      </c>
      <c r="C15201" s="38" t="s">
        <v>12769</v>
      </c>
      <c r="D15201" s="18">
        <v>2023</v>
      </c>
      <c r="E15201" s="18" t="s">
        <v>0</v>
      </c>
      <c r="F15201" s="41">
        <v>1</v>
      </c>
      <c r="G15201" s="41">
        <v>10</v>
      </c>
      <c r="H15201" s="41">
        <v>40.099000000000004</v>
      </c>
      <c r="I15201" s="221"/>
      <c r="J15201" s="221"/>
    </row>
    <row r="15202" spans="1:10" s="15" customFormat="1" ht="24" hidden="1" customHeight="1" outlineLevel="1" x14ac:dyDescent="0.25">
      <c r="A15202" s="18">
        <v>4782</v>
      </c>
      <c r="B15202" s="4" t="s">
        <v>44</v>
      </c>
      <c r="C15202" s="38" t="s">
        <v>12770</v>
      </c>
      <c r="D15202" s="18">
        <v>2023</v>
      </c>
      <c r="E15202" s="18" t="s">
        <v>0</v>
      </c>
      <c r="F15202" s="41">
        <v>1</v>
      </c>
      <c r="G15202" s="41">
        <v>10</v>
      </c>
      <c r="H15202" s="41">
        <v>40.207000000000001</v>
      </c>
      <c r="I15202" s="221"/>
      <c r="J15202" s="221"/>
    </row>
    <row r="15203" spans="1:10" s="15" customFormat="1" ht="24" hidden="1" customHeight="1" outlineLevel="1" x14ac:dyDescent="0.25">
      <c r="A15203" s="18">
        <v>4783</v>
      </c>
      <c r="B15203" s="4" t="s">
        <v>44</v>
      </c>
      <c r="C15203" s="38" t="s">
        <v>12771</v>
      </c>
      <c r="D15203" s="18">
        <v>2023</v>
      </c>
      <c r="E15203" s="18" t="s">
        <v>0</v>
      </c>
      <c r="F15203" s="41">
        <v>1</v>
      </c>
      <c r="G15203" s="41">
        <v>15</v>
      </c>
      <c r="H15203" s="41">
        <v>40.207000000000001</v>
      </c>
      <c r="I15203" s="221"/>
      <c r="J15203" s="221"/>
    </row>
    <row r="15204" spans="1:10" s="15" customFormat="1" ht="24" hidden="1" customHeight="1" outlineLevel="1" x14ac:dyDescent="0.25">
      <c r="A15204" s="18">
        <v>4790</v>
      </c>
      <c r="B15204" s="4" t="s">
        <v>44</v>
      </c>
      <c r="C15204" s="38" t="s">
        <v>9067</v>
      </c>
      <c r="D15204" s="18">
        <v>2023</v>
      </c>
      <c r="E15204" s="18" t="s">
        <v>0</v>
      </c>
      <c r="F15204" s="41">
        <v>1</v>
      </c>
      <c r="G15204" s="41">
        <v>54.2</v>
      </c>
      <c r="H15204" s="41">
        <v>63.289000000000001</v>
      </c>
      <c r="I15204" s="221"/>
      <c r="J15204" s="221"/>
    </row>
    <row r="15205" spans="1:10" s="15" customFormat="1" ht="24" hidden="1" customHeight="1" outlineLevel="1" x14ac:dyDescent="0.25">
      <c r="A15205" s="18">
        <v>4773</v>
      </c>
      <c r="B15205" s="4" t="s">
        <v>44</v>
      </c>
      <c r="C15205" s="38" t="s">
        <v>12772</v>
      </c>
      <c r="D15205" s="18">
        <v>2023</v>
      </c>
      <c r="E15205" s="18" t="s">
        <v>0</v>
      </c>
      <c r="F15205" s="41">
        <v>1</v>
      </c>
      <c r="G15205" s="41">
        <v>15</v>
      </c>
      <c r="H15205" s="41">
        <v>42.320999999999998</v>
      </c>
      <c r="I15205" s="221"/>
      <c r="J15205" s="221"/>
    </row>
    <row r="15206" spans="1:10" s="15" customFormat="1" ht="24" hidden="1" customHeight="1" outlineLevel="1" x14ac:dyDescent="0.25">
      <c r="A15206" s="18">
        <v>4775</v>
      </c>
      <c r="B15206" s="4" t="s">
        <v>44</v>
      </c>
      <c r="C15206" s="38" t="s">
        <v>12773</v>
      </c>
      <c r="D15206" s="18">
        <v>2023</v>
      </c>
      <c r="E15206" s="18" t="s">
        <v>0</v>
      </c>
      <c r="F15206" s="41">
        <v>1</v>
      </c>
      <c r="G15206" s="41">
        <v>14</v>
      </c>
      <c r="H15206" s="41">
        <v>41.881</v>
      </c>
      <c r="I15206" s="221"/>
      <c r="J15206" s="221"/>
    </row>
    <row r="15207" spans="1:10" s="15" customFormat="1" ht="24" hidden="1" customHeight="1" outlineLevel="1" x14ac:dyDescent="0.25">
      <c r="A15207" s="18">
        <v>4776</v>
      </c>
      <c r="B15207" s="4" t="s">
        <v>44</v>
      </c>
      <c r="C15207" s="38" t="s">
        <v>12774</v>
      </c>
      <c r="D15207" s="18">
        <v>2023</v>
      </c>
      <c r="E15207" s="18" t="s">
        <v>0</v>
      </c>
      <c r="F15207" s="41">
        <v>1</v>
      </c>
      <c r="G15207" s="41">
        <v>15</v>
      </c>
      <c r="H15207" s="41">
        <v>42.32</v>
      </c>
      <c r="I15207" s="221"/>
      <c r="J15207" s="221"/>
    </row>
    <row r="15208" spans="1:10" s="15" customFormat="1" ht="24" hidden="1" customHeight="1" outlineLevel="1" x14ac:dyDescent="0.25">
      <c r="A15208" s="18">
        <v>2646</v>
      </c>
      <c r="B15208" s="4" t="s">
        <v>44</v>
      </c>
      <c r="C15208" s="38" t="s">
        <v>12775</v>
      </c>
      <c r="D15208" s="18">
        <v>2023</v>
      </c>
      <c r="E15208" s="18" t="s">
        <v>0</v>
      </c>
      <c r="F15208" s="41">
        <v>1</v>
      </c>
      <c r="G15208" s="41">
        <v>5</v>
      </c>
      <c r="H15208" s="41">
        <v>40.774999999999999</v>
      </c>
      <c r="I15208" s="221"/>
      <c r="J15208" s="221"/>
    </row>
    <row r="15209" spans="1:10" s="15" customFormat="1" ht="24" hidden="1" customHeight="1" outlineLevel="1" x14ac:dyDescent="0.25">
      <c r="A15209" s="18">
        <v>4742</v>
      </c>
      <c r="B15209" s="4" t="s">
        <v>44</v>
      </c>
      <c r="C15209" s="38" t="s">
        <v>9316</v>
      </c>
      <c r="D15209" s="18">
        <v>2023</v>
      </c>
      <c r="E15209" s="18" t="s">
        <v>0</v>
      </c>
      <c r="F15209" s="41">
        <v>1</v>
      </c>
      <c r="G15209" s="41">
        <v>7.5</v>
      </c>
      <c r="H15209" s="41">
        <v>88.113</v>
      </c>
      <c r="I15209" s="221"/>
      <c r="J15209" s="221"/>
    </row>
    <row r="15210" spans="1:10" s="15" customFormat="1" ht="24" hidden="1" customHeight="1" outlineLevel="1" x14ac:dyDescent="0.25">
      <c r="A15210" s="18">
        <v>4788</v>
      </c>
      <c r="B15210" s="4" t="s">
        <v>44</v>
      </c>
      <c r="C15210" s="38" t="s">
        <v>9236</v>
      </c>
      <c r="D15210" s="18">
        <v>2023</v>
      </c>
      <c r="E15210" s="18" t="s">
        <v>0</v>
      </c>
      <c r="F15210" s="41">
        <v>1</v>
      </c>
      <c r="G15210" s="41">
        <v>15</v>
      </c>
      <c r="H15210" s="41">
        <v>75.484999999999999</v>
      </c>
      <c r="I15210" s="221"/>
      <c r="J15210" s="221"/>
    </row>
    <row r="15211" spans="1:10" s="15" customFormat="1" ht="24" hidden="1" customHeight="1" outlineLevel="1" x14ac:dyDescent="0.25">
      <c r="A15211" s="18">
        <v>962</v>
      </c>
      <c r="B15211" s="4" t="s">
        <v>44</v>
      </c>
      <c r="C15211" s="38" t="s">
        <v>9317</v>
      </c>
      <c r="D15211" s="18">
        <v>2023</v>
      </c>
      <c r="E15211" s="18" t="s">
        <v>0</v>
      </c>
      <c r="F15211" s="41">
        <v>1</v>
      </c>
      <c r="G15211" s="41">
        <v>10</v>
      </c>
      <c r="H15211" s="41">
        <v>96.876000000000005</v>
      </c>
      <c r="I15211" s="221"/>
      <c r="J15211" s="221"/>
    </row>
    <row r="15212" spans="1:10" s="15" customFormat="1" ht="24" hidden="1" customHeight="1" outlineLevel="1" x14ac:dyDescent="0.25">
      <c r="A15212" s="18">
        <v>919</v>
      </c>
      <c r="B15212" s="4" t="s">
        <v>44</v>
      </c>
      <c r="C15212" s="38" t="s">
        <v>9318</v>
      </c>
      <c r="D15212" s="18">
        <v>2023</v>
      </c>
      <c r="E15212" s="18" t="s">
        <v>0</v>
      </c>
      <c r="F15212" s="41">
        <v>1</v>
      </c>
      <c r="G15212" s="41">
        <v>15</v>
      </c>
      <c r="H15212" s="41">
        <v>82.462999999999994</v>
      </c>
      <c r="I15212" s="221"/>
      <c r="J15212" s="221"/>
    </row>
    <row r="15213" spans="1:10" s="15" customFormat="1" ht="24" hidden="1" customHeight="1" outlineLevel="1" x14ac:dyDescent="0.25">
      <c r="A15213" s="18">
        <v>4785</v>
      </c>
      <c r="B15213" s="4" t="s">
        <v>44</v>
      </c>
      <c r="C15213" s="38" t="s">
        <v>12776</v>
      </c>
      <c r="D15213" s="18">
        <v>2023</v>
      </c>
      <c r="E15213" s="18" t="s">
        <v>0</v>
      </c>
      <c r="F15213" s="41">
        <v>1</v>
      </c>
      <c r="G15213" s="41">
        <v>12.6</v>
      </c>
      <c r="H15213" s="41">
        <v>42.923999999999999</v>
      </c>
      <c r="I15213" s="221"/>
      <c r="J15213" s="221"/>
    </row>
    <row r="15214" spans="1:10" s="15" customFormat="1" ht="24" hidden="1" customHeight="1" outlineLevel="1" x14ac:dyDescent="0.25">
      <c r="A15214" s="18">
        <v>4786</v>
      </c>
      <c r="B15214" s="4" t="s">
        <v>44</v>
      </c>
      <c r="C15214" s="38" t="s">
        <v>12777</v>
      </c>
      <c r="D15214" s="18">
        <v>2023</v>
      </c>
      <c r="E15214" s="18" t="s">
        <v>0</v>
      </c>
      <c r="F15214" s="41">
        <v>1</v>
      </c>
      <c r="G15214" s="41">
        <v>12</v>
      </c>
      <c r="H15214" s="41">
        <v>42.910999999999994</v>
      </c>
      <c r="I15214" s="221"/>
      <c r="J15214" s="221"/>
    </row>
    <row r="15215" spans="1:10" s="15" customFormat="1" ht="24" hidden="1" customHeight="1" outlineLevel="1" x14ac:dyDescent="0.25">
      <c r="A15215" s="18">
        <v>4787</v>
      </c>
      <c r="B15215" s="4" t="s">
        <v>44</v>
      </c>
      <c r="C15215" s="38" t="s">
        <v>12778</v>
      </c>
      <c r="D15215" s="18">
        <v>2023</v>
      </c>
      <c r="E15215" s="18" t="s">
        <v>0</v>
      </c>
      <c r="F15215" s="41">
        <v>1</v>
      </c>
      <c r="G15215" s="41">
        <v>12.3</v>
      </c>
      <c r="H15215" s="41">
        <v>41.258000000000003</v>
      </c>
      <c r="I15215" s="221"/>
      <c r="J15215" s="221"/>
    </row>
    <row r="15216" spans="1:10" s="15" customFormat="1" ht="24" hidden="1" customHeight="1" outlineLevel="1" x14ac:dyDescent="0.25">
      <c r="A15216" s="18">
        <v>2874</v>
      </c>
      <c r="B15216" s="4" t="s">
        <v>44</v>
      </c>
      <c r="C15216" s="38" t="s">
        <v>9319</v>
      </c>
      <c r="D15216" s="18">
        <v>2023</v>
      </c>
      <c r="E15216" s="18" t="s">
        <v>0</v>
      </c>
      <c r="F15216" s="41">
        <v>1</v>
      </c>
      <c r="G15216" s="41">
        <v>15</v>
      </c>
      <c r="H15216" s="41">
        <v>74.52</v>
      </c>
      <c r="I15216" s="221"/>
      <c r="J15216" s="221"/>
    </row>
    <row r="15217" spans="1:10" s="15" customFormat="1" ht="24" hidden="1" customHeight="1" outlineLevel="1" x14ac:dyDescent="0.25">
      <c r="A15217" s="18">
        <v>2222</v>
      </c>
      <c r="B15217" s="4" t="s">
        <v>44</v>
      </c>
      <c r="C15217" s="38" t="s">
        <v>9320</v>
      </c>
      <c r="D15217" s="18">
        <v>2023</v>
      </c>
      <c r="E15217" s="18" t="s">
        <v>0</v>
      </c>
      <c r="F15217" s="41">
        <v>1</v>
      </c>
      <c r="G15217" s="41">
        <v>15</v>
      </c>
      <c r="H15217" s="41">
        <v>80.596000000000004</v>
      </c>
      <c r="I15217" s="221"/>
      <c r="J15217" s="221"/>
    </row>
    <row r="15218" spans="1:10" s="15" customFormat="1" ht="24" hidden="1" customHeight="1" outlineLevel="1" x14ac:dyDescent="0.25">
      <c r="A15218" s="18">
        <v>2881</v>
      </c>
      <c r="B15218" s="4" t="s">
        <v>44</v>
      </c>
      <c r="C15218" s="38" t="s">
        <v>9322</v>
      </c>
      <c r="D15218" s="18">
        <v>2023</v>
      </c>
      <c r="E15218" s="18" t="s">
        <v>0</v>
      </c>
      <c r="F15218" s="41">
        <v>1</v>
      </c>
      <c r="G15218" s="41">
        <v>15</v>
      </c>
      <c r="H15218" s="41">
        <v>79.286000000000001</v>
      </c>
      <c r="I15218" s="221"/>
      <c r="J15218" s="221"/>
    </row>
    <row r="15219" spans="1:10" s="15" customFormat="1" ht="24" hidden="1" customHeight="1" outlineLevel="1" x14ac:dyDescent="0.25">
      <c r="A15219" s="18">
        <v>4792</v>
      </c>
      <c r="B15219" s="4" t="s">
        <v>44</v>
      </c>
      <c r="C15219" s="38" t="s">
        <v>12779</v>
      </c>
      <c r="D15219" s="18">
        <v>2023</v>
      </c>
      <c r="E15219" s="18" t="s">
        <v>0</v>
      </c>
      <c r="F15219" s="41">
        <v>1</v>
      </c>
      <c r="G15219" s="41">
        <v>15</v>
      </c>
      <c r="H15219" s="41">
        <v>42.94</v>
      </c>
      <c r="I15219" s="221"/>
      <c r="J15219" s="221"/>
    </row>
    <row r="15220" spans="1:10" s="15" customFormat="1" ht="24" hidden="1" customHeight="1" outlineLevel="1" x14ac:dyDescent="0.25">
      <c r="A15220" s="18">
        <v>4796</v>
      </c>
      <c r="B15220" s="4" t="s">
        <v>44</v>
      </c>
      <c r="C15220" s="38" t="s">
        <v>12780</v>
      </c>
      <c r="D15220" s="18">
        <v>2023</v>
      </c>
      <c r="E15220" s="18" t="s">
        <v>0</v>
      </c>
      <c r="F15220" s="41">
        <v>1</v>
      </c>
      <c r="G15220" s="41">
        <v>14</v>
      </c>
      <c r="H15220" s="41">
        <v>42.119</v>
      </c>
      <c r="I15220" s="221"/>
      <c r="J15220" s="221"/>
    </row>
    <row r="15221" spans="1:10" s="15" customFormat="1" ht="24" hidden="1" customHeight="1" outlineLevel="1" x14ac:dyDescent="0.25">
      <c r="A15221" s="18">
        <v>2354</v>
      </c>
      <c r="B15221" s="4" t="s">
        <v>44</v>
      </c>
      <c r="C15221" s="38" t="s">
        <v>12781</v>
      </c>
      <c r="D15221" s="18">
        <v>2023</v>
      </c>
      <c r="E15221" s="18" t="s">
        <v>0</v>
      </c>
      <c r="F15221" s="41">
        <v>1</v>
      </c>
      <c r="G15221" s="41">
        <v>15</v>
      </c>
      <c r="H15221" s="41">
        <v>42.253999999999998</v>
      </c>
      <c r="I15221" s="221"/>
      <c r="J15221" s="221"/>
    </row>
    <row r="15222" spans="1:10" s="15" customFormat="1" ht="24" hidden="1" customHeight="1" outlineLevel="1" x14ac:dyDescent="0.25">
      <c r="A15222" s="18">
        <v>4797</v>
      </c>
      <c r="B15222" s="4" t="s">
        <v>44</v>
      </c>
      <c r="C15222" s="38" t="s">
        <v>12782</v>
      </c>
      <c r="D15222" s="18">
        <v>2023</v>
      </c>
      <c r="E15222" s="18" t="s">
        <v>0</v>
      </c>
      <c r="F15222" s="41">
        <v>1</v>
      </c>
      <c r="G15222" s="41">
        <v>15</v>
      </c>
      <c r="H15222" s="41">
        <v>42.253999999999998</v>
      </c>
      <c r="I15222" s="221"/>
      <c r="J15222" s="221"/>
    </row>
    <row r="15223" spans="1:10" s="15" customFormat="1" ht="24" hidden="1" customHeight="1" outlineLevel="1" x14ac:dyDescent="0.25">
      <c r="A15223" s="18">
        <v>4800</v>
      </c>
      <c r="B15223" s="4" t="s">
        <v>44</v>
      </c>
      <c r="C15223" s="38" t="s">
        <v>12783</v>
      </c>
      <c r="D15223" s="18">
        <v>2023</v>
      </c>
      <c r="E15223" s="18" t="s">
        <v>0</v>
      </c>
      <c r="F15223" s="41">
        <v>1</v>
      </c>
      <c r="G15223" s="41">
        <v>10</v>
      </c>
      <c r="H15223" s="41">
        <v>44.097999999999999</v>
      </c>
      <c r="I15223" s="221"/>
      <c r="J15223" s="221"/>
    </row>
    <row r="15224" spans="1:10" s="15" customFormat="1" ht="24" hidden="1" customHeight="1" outlineLevel="1" x14ac:dyDescent="0.25">
      <c r="A15224" s="18">
        <v>4801</v>
      </c>
      <c r="B15224" s="4" t="s">
        <v>44</v>
      </c>
      <c r="C15224" s="38" t="s">
        <v>12784</v>
      </c>
      <c r="D15224" s="18">
        <v>2023</v>
      </c>
      <c r="E15224" s="18" t="s">
        <v>0</v>
      </c>
      <c r="F15224" s="41">
        <v>1</v>
      </c>
      <c r="G15224" s="41">
        <v>12</v>
      </c>
      <c r="H15224" s="41">
        <v>44.097999999999999</v>
      </c>
      <c r="I15224" s="221"/>
      <c r="J15224" s="221"/>
    </row>
    <row r="15225" spans="1:10" s="15" customFormat="1" ht="24" hidden="1" customHeight="1" outlineLevel="1" x14ac:dyDescent="0.25">
      <c r="A15225" s="18">
        <v>4802</v>
      </c>
      <c r="B15225" s="4" t="s">
        <v>44</v>
      </c>
      <c r="C15225" s="38" t="s">
        <v>12785</v>
      </c>
      <c r="D15225" s="18">
        <v>2023</v>
      </c>
      <c r="E15225" s="18" t="s">
        <v>0</v>
      </c>
      <c r="F15225" s="41">
        <v>1</v>
      </c>
      <c r="G15225" s="41">
        <v>10</v>
      </c>
      <c r="H15225" s="41">
        <v>45.326000000000001</v>
      </c>
      <c r="I15225" s="221"/>
      <c r="J15225" s="221"/>
    </row>
    <row r="15226" spans="1:10" s="15" customFormat="1" ht="24" hidden="1" customHeight="1" outlineLevel="1" x14ac:dyDescent="0.25">
      <c r="A15226" s="18">
        <v>2689</v>
      </c>
      <c r="B15226" s="4" t="s">
        <v>44</v>
      </c>
      <c r="C15226" s="38" t="s">
        <v>12786</v>
      </c>
      <c r="D15226" s="18">
        <v>2023</v>
      </c>
      <c r="E15226" s="18" t="s">
        <v>0</v>
      </c>
      <c r="F15226" s="41">
        <v>1</v>
      </c>
      <c r="G15226" s="41">
        <v>8</v>
      </c>
      <c r="H15226" s="41">
        <v>45.326000000000001</v>
      </c>
      <c r="I15226" s="221"/>
      <c r="J15226" s="221"/>
    </row>
    <row r="15227" spans="1:10" s="15" customFormat="1" ht="24" hidden="1" customHeight="1" outlineLevel="1" x14ac:dyDescent="0.25">
      <c r="A15227" s="18">
        <v>4803</v>
      </c>
      <c r="B15227" s="4" t="s">
        <v>44</v>
      </c>
      <c r="C15227" s="38" t="s">
        <v>12787</v>
      </c>
      <c r="D15227" s="18">
        <v>2023</v>
      </c>
      <c r="E15227" s="18" t="s">
        <v>0</v>
      </c>
      <c r="F15227" s="41">
        <v>1</v>
      </c>
      <c r="G15227" s="41">
        <v>15</v>
      </c>
      <c r="H15227" s="41">
        <v>45.324000000000005</v>
      </c>
      <c r="I15227" s="221"/>
      <c r="J15227" s="221"/>
    </row>
    <row r="15228" spans="1:10" s="15" customFormat="1" ht="24" hidden="1" customHeight="1" outlineLevel="1" x14ac:dyDescent="0.25">
      <c r="A15228" s="18">
        <v>4741</v>
      </c>
      <c r="B15228" s="4" t="s">
        <v>44</v>
      </c>
      <c r="C15228" s="38" t="s">
        <v>9372</v>
      </c>
      <c r="D15228" s="18">
        <v>2023</v>
      </c>
      <c r="E15228" s="18" t="s">
        <v>0</v>
      </c>
      <c r="F15228" s="41">
        <v>1</v>
      </c>
      <c r="G15228" s="41">
        <v>100</v>
      </c>
      <c r="H15228" s="41">
        <v>92.442999999999998</v>
      </c>
      <c r="I15228" s="221"/>
      <c r="J15228" s="221"/>
    </row>
    <row r="15229" spans="1:10" s="15" customFormat="1" ht="24" hidden="1" customHeight="1" outlineLevel="1" x14ac:dyDescent="0.25">
      <c r="A15229" s="18">
        <v>4794</v>
      </c>
      <c r="B15229" s="4" t="s">
        <v>44</v>
      </c>
      <c r="C15229" s="38" t="s">
        <v>12788</v>
      </c>
      <c r="D15229" s="18">
        <v>2023</v>
      </c>
      <c r="E15229" s="18" t="s">
        <v>0</v>
      </c>
      <c r="F15229" s="41">
        <v>1</v>
      </c>
      <c r="G15229" s="41">
        <v>14</v>
      </c>
      <c r="H15229" s="41">
        <v>42.263000000000005</v>
      </c>
      <c r="I15229" s="221"/>
      <c r="J15229" s="221"/>
    </row>
    <row r="15230" spans="1:10" s="15" customFormat="1" ht="24" hidden="1" customHeight="1" outlineLevel="1" x14ac:dyDescent="0.25">
      <c r="A15230" s="18">
        <v>3328</v>
      </c>
      <c r="B15230" s="4" t="s">
        <v>44</v>
      </c>
      <c r="C15230" s="38" t="s">
        <v>9069</v>
      </c>
      <c r="D15230" s="18">
        <v>2023</v>
      </c>
      <c r="E15230" s="18" t="s">
        <v>0</v>
      </c>
      <c r="F15230" s="41">
        <v>1</v>
      </c>
      <c r="G15230" s="41">
        <v>15</v>
      </c>
      <c r="H15230" s="41">
        <v>81.411000000000001</v>
      </c>
      <c r="I15230" s="221"/>
      <c r="J15230" s="221"/>
    </row>
    <row r="15231" spans="1:10" s="15" customFormat="1" ht="24" hidden="1" customHeight="1" outlineLevel="1" x14ac:dyDescent="0.25">
      <c r="A15231" s="18">
        <v>4733</v>
      </c>
      <c r="B15231" s="4" t="s">
        <v>44</v>
      </c>
      <c r="C15231" s="38" t="s">
        <v>9324</v>
      </c>
      <c r="D15231" s="18">
        <v>2023</v>
      </c>
      <c r="E15231" s="18" t="s">
        <v>0</v>
      </c>
      <c r="F15231" s="41">
        <v>1</v>
      </c>
      <c r="G15231" s="41">
        <v>7.5</v>
      </c>
      <c r="H15231" s="41">
        <v>80.234999999999999</v>
      </c>
      <c r="I15231" s="221"/>
      <c r="J15231" s="221"/>
    </row>
    <row r="15232" spans="1:10" s="15" customFormat="1" ht="24" hidden="1" customHeight="1" outlineLevel="1" x14ac:dyDescent="0.25">
      <c r="A15232" s="18">
        <v>4791</v>
      </c>
      <c r="B15232" s="4" t="s">
        <v>44</v>
      </c>
      <c r="C15232" s="38" t="s">
        <v>12789</v>
      </c>
      <c r="D15232" s="18">
        <v>2023</v>
      </c>
      <c r="E15232" s="18" t="s">
        <v>0</v>
      </c>
      <c r="F15232" s="41">
        <v>1</v>
      </c>
      <c r="G15232" s="41">
        <v>9.5</v>
      </c>
      <c r="H15232" s="41">
        <v>43.536999999999999</v>
      </c>
      <c r="I15232" s="221"/>
      <c r="J15232" s="221"/>
    </row>
    <row r="15233" spans="1:10" s="15" customFormat="1" ht="24" hidden="1" customHeight="1" outlineLevel="1" x14ac:dyDescent="0.25">
      <c r="A15233" s="18">
        <v>4795</v>
      </c>
      <c r="B15233" s="4" t="s">
        <v>44</v>
      </c>
      <c r="C15233" s="38" t="s">
        <v>12790</v>
      </c>
      <c r="D15233" s="18">
        <v>2023</v>
      </c>
      <c r="E15233" s="18" t="s">
        <v>0</v>
      </c>
      <c r="F15233" s="41">
        <v>1</v>
      </c>
      <c r="G15233" s="41">
        <v>13.5</v>
      </c>
      <c r="H15233" s="41">
        <v>43.233000000000004</v>
      </c>
      <c r="I15233" s="221"/>
      <c r="J15233" s="221"/>
    </row>
    <row r="15234" spans="1:10" s="15" customFormat="1" ht="24" hidden="1" customHeight="1" outlineLevel="1" x14ac:dyDescent="0.25">
      <c r="A15234" s="18">
        <v>4799</v>
      </c>
      <c r="B15234" s="4" t="s">
        <v>44</v>
      </c>
      <c r="C15234" s="38" t="s">
        <v>12791</v>
      </c>
      <c r="D15234" s="18">
        <v>2023</v>
      </c>
      <c r="E15234" s="18" t="s">
        <v>0</v>
      </c>
      <c r="F15234" s="41">
        <v>1</v>
      </c>
      <c r="G15234" s="41">
        <v>10</v>
      </c>
      <c r="H15234" s="41">
        <v>43.536999999999999</v>
      </c>
      <c r="I15234" s="221"/>
      <c r="J15234" s="221"/>
    </row>
    <row r="15235" spans="1:10" s="15" customFormat="1" ht="24" hidden="1" customHeight="1" outlineLevel="1" x14ac:dyDescent="0.25">
      <c r="A15235" s="18">
        <v>4804</v>
      </c>
      <c r="B15235" s="4" t="s">
        <v>44</v>
      </c>
      <c r="C15235" s="38" t="s">
        <v>12792</v>
      </c>
      <c r="D15235" s="18">
        <v>2023</v>
      </c>
      <c r="E15235" s="18" t="s">
        <v>0</v>
      </c>
      <c r="F15235" s="41">
        <v>1</v>
      </c>
      <c r="G15235" s="41">
        <v>10</v>
      </c>
      <c r="H15235" s="41">
        <v>43.306999999999995</v>
      </c>
      <c r="I15235" s="221"/>
      <c r="J15235" s="221"/>
    </row>
    <row r="15236" spans="1:10" s="15" customFormat="1" ht="24" hidden="1" customHeight="1" outlineLevel="1" x14ac:dyDescent="0.25">
      <c r="A15236" s="18">
        <v>4808</v>
      </c>
      <c r="B15236" s="4" t="s">
        <v>44</v>
      </c>
      <c r="C15236" s="38" t="s">
        <v>12793</v>
      </c>
      <c r="D15236" s="18">
        <v>2023</v>
      </c>
      <c r="E15236" s="18" t="s">
        <v>0</v>
      </c>
      <c r="F15236" s="41">
        <v>1</v>
      </c>
      <c r="G15236" s="41">
        <v>10</v>
      </c>
      <c r="H15236" s="41">
        <v>43.536999999999999</v>
      </c>
      <c r="I15236" s="221"/>
      <c r="J15236" s="221"/>
    </row>
    <row r="15237" spans="1:10" s="15" customFormat="1" ht="24" hidden="1" customHeight="1" outlineLevel="1" x14ac:dyDescent="0.25">
      <c r="A15237" s="18">
        <v>3315</v>
      </c>
      <c r="B15237" s="4" t="s">
        <v>44</v>
      </c>
      <c r="C15237" s="38" t="s">
        <v>9325</v>
      </c>
      <c r="D15237" s="18">
        <v>2023</v>
      </c>
      <c r="E15237" s="18" t="s">
        <v>0</v>
      </c>
      <c r="F15237" s="41">
        <v>1</v>
      </c>
      <c r="G15237" s="41">
        <v>15</v>
      </c>
      <c r="H15237" s="41">
        <v>76.45</v>
      </c>
      <c r="I15237" s="221"/>
      <c r="J15237" s="221"/>
    </row>
    <row r="15238" spans="1:10" s="15" customFormat="1" ht="24" hidden="1" customHeight="1" outlineLevel="1" x14ac:dyDescent="0.25">
      <c r="A15238" s="18">
        <v>4805</v>
      </c>
      <c r="B15238" s="4" t="s">
        <v>44</v>
      </c>
      <c r="C15238" s="38" t="s">
        <v>12794</v>
      </c>
      <c r="D15238" s="18">
        <v>2023</v>
      </c>
      <c r="E15238" s="18" t="s">
        <v>0</v>
      </c>
      <c r="F15238" s="41">
        <v>1</v>
      </c>
      <c r="G15238" s="41">
        <v>15</v>
      </c>
      <c r="H15238" s="41">
        <v>45.887</v>
      </c>
      <c r="I15238" s="221"/>
      <c r="J15238" s="221"/>
    </row>
    <row r="15239" spans="1:10" s="15" customFormat="1" ht="24" hidden="1" customHeight="1" outlineLevel="1" x14ac:dyDescent="0.25">
      <c r="A15239" s="18">
        <v>4806</v>
      </c>
      <c r="B15239" s="4" t="s">
        <v>44</v>
      </c>
      <c r="C15239" s="38" t="s">
        <v>12795</v>
      </c>
      <c r="D15239" s="18">
        <v>2023</v>
      </c>
      <c r="E15239" s="18" t="s">
        <v>0</v>
      </c>
      <c r="F15239" s="41">
        <v>1</v>
      </c>
      <c r="G15239" s="41">
        <v>15</v>
      </c>
      <c r="H15239" s="41">
        <v>42.021999999999998</v>
      </c>
      <c r="I15239" s="221"/>
      <c r="J15239" s="221"/>
    </row>
    <row r="15240" spans="1:10" s="15" customFormat="1" ht="24" hidden="1" customHeight="1" outlineLevel="1" x14ac:dyDescent="0.25">
      <c r="A15240" s="18">
        <v>3036</v>
      </c>
      <c r="B15240" s="4" t="s">
        <v>44</v>
      </c>
      <c r="C15240" s="38" t="s">
        <v>9068</v>
      </c>
      <c r="D15240" s="18">
        <v>2023</v>
      </c>
      <c r="E15240" s="18" t="s">
        <v>0</v>
      </c>
      <c r="F15240" s="41">
        <v>1</v>
      </c>
      <c r="G15240" s="41">
        <v>109.7</v>
      </c>
      <c r="H15240" s="41">
        <v>68</v>
      </c>
      <c r="I15240" s="221"/>
      <c r="J15240" s="221"/>
    </row>
    <row r="15241" spans="1:10" s="15" customFormat="1" ht="24" hidden="1" customHeight="1" outlineLevel="1" x14ac:dyDescent="0.25">
      <c r="A15241" s="18">
        <v>3998</v>
      </c>
      <c r="B15241" s="4" t="s">
        <v>44</v>
      </c>
      <c r="C15241" s="38" t="s">
        <v>8508</v>
      </c>
      <c r="D15241" s="18">
        <v>2023</v>
      </c>
      <c r="E15241" s="18" t="s">
        <v>0</v>
      </c>
      <c r="F15241" s="41">
        <v>1</v>
      </c>
      <c r="G15241" s="41">
        <v>15</v>
      </c>
      <c r="H15241" s="41">
        <v>86.05807999999999</v>
      </c>
      <c r="I15241" s="221"/>
      <c r="J15241" s="221"/>
    </row>
    <row r="15242" spans="1:10" s="15" customFormat="1" ht="24" hidden="1" customHeight="1" outlineLevel="1" x14ac:dyDescent="0.25">
      <c r="A15242" s="18">
        <v>311</v>
      </c>
      <c r="B15242" s="4" t="s">
        <v>44</v>
      </c>
      <c r="C15242" s="38" t="s">
        <v>8509</v>
      </c>
      <c r="D15242" s="18">
        <v>2023</v>
      </c>
      <c r="E15242" s="18" t="s">
        <v>0</v>
      </c>
      <c r="F15242" s="41">
        <v>1</v>
      </c>
      <c r="G15242" s="41">
        <v>10</v>
      </c>
      <c r="H15242" s="41">
        <v>88.652090000000001</v>
      </c>
      <c r="I15242" s="221"/>
      <c r="J15242" s="221"/>
    </row>
    <row r="15243" spans="1:10" s="15" customFormat="1" ht="24" hidden="1" customHeight="1" outlineLevel="1" x14ac:dyDescent="0.25">
      <c r="A15243" s="18">
        <v>3988</v>
      </c>
      <c r="B15243" s="4" t="s">
        <v>44</v>
      </c>
      <c r="C15243" s="38" t="s">
        <v>8510</v>
      </c>
      <c r="D15243" s="18">
        <v>2023</v>
      </c>
      <c r="E15243" s="18" t="s">
        <v>0</v>
      </c>
      <c r="F15243" s="41">
        <v>1</v>
      </c>
      <c r="G15243" s="41">
        <v>15</v>
      </c>
      <c r="H15243" s="41">
        <v>120.55428000000001</v>
      </c>
      <c r="I15243" s="221"/>
      <c r="J15243" s="221"/>
    </row>
    <row r="15244" spans="1:10" s="15" customFormat="1" ht="24" hidden="1" customHeight="1" outlineLevel="1" x14ac:dyDescent="0.25">
      <c r="A15244" s="18">
        <v>3396</v>
      </c>
      <c r="B15244" s="4" t="s">
        <v>44</v>
      </c>
      <c r="C15244" s="38" t="s">
        <v>8511</v>
      </c>
      <c r="D15244" s="18">
        <v>2023</v>
      </c>
      <c r="E15244" s="18" t="s">
        <v>0</v>
      </c>
      <c r="F15244" s="41">
        <v>1</v>
      </c>
      <c r="G15244" s="41">
        <v>100</v>
      </c>
      <c r="H15244" s="41">
        <v>104.07847000000001</v>
      </c>
      <c r="I15244" s="221"/>
      <c r="J15244" s="221"/>
    </row>
    <row r="15245" spans="1:10" s="15" customFormat="1" ht="24" hidden="1" customHeight="1" outlineLevel="1" x14ac:dyDescent="0.25">
      <c r="A15245" s="18">
        <v>3987</v>
      </c>
      <c r="B15245" s="4" t="s">
        <v>44</v>
      </c>
      <c r="C15245" s="38" t="s">
        <v>8512</v>
      </c>
      <c r="D15245" s="18">
        <v>2023</v>
      </c>
      <c r="E15245" s="18" t="s">
        <v>0</v>
      </c>
      <c r="F15245" s="41">
        <v>1</v>
      </c>
      <c r="G15245" s="41">
        <v>11</v>
      </c>
      <c r="H15245" s="41">
        <v>81.367140000000006</v>
      </c>
      <c r="I15245" s="221"/>
      <c r="J15245" s="221"/>
    </row>
    <row r="15246" spans="1:10" s="15" customFormat="1" ht="24" hidden="1" customHeight="1" outlineLevel="1" x14ac:dyDescent="0.25">
      <c r="A15246" s="18">
        <v>3986</v>
      </c>
      <c r="B15246" s="4" t="s">
        <v>44</v>
      </c>
      <c r="C15246" s="38" t="s">
        <v>8513</v>
      </c>
      <c r="D15246" s="18">
        <v>2023</v>
      </c>
      <c r="E15246" s="18" t="s">
        <v>0</v>
      </c>
      <c r="F15246" s="41">
        <v>1</v>
      </c>
      <c r="G15246" s="41">
        <v>15</v>
      </c>
      <c r="H15246" s="41">
        <v>76.859960000000001</v>
      </c>
      <c r="I15246" s="221"/>
      <c r="J15246" s="221"/>
    </row>
    <row r="15247" spans="1:10" s="15" customFormat="1" ht="24" hidden="1" customHeight="1" outlineLevel="1" x14ac:dyDescent="0.25">
      <c r="A15247" s="18">
        <v>5035</v>
      </c>
      <c r="B15247" s="4" t="s">
        <v>44</v>
      </c>
      <c r="C15247" s="38" t="s">
        <v>8515</v>
      </c>
      <c r="D15247" s="18">
        <v>2023</v>
      </c>
      <c r="E15247" s="18" t="s">
        <v>0</v>
      </c>
      <c r="F15247" s="41">
        <v>1</v>
      </c>
      <c r="G15247" s="41">
        <v>15</v>
      </c>
      <c r="H15247" s="41">
        <v>62.840960000000003</v>
      </c>
      <c r="I15247" s="221"/>
      <c r="J15247" s="221"/>
    </row>
    <row r="15248" spans="1:10" s="15" customFormat="1" ht="24" hidden="1" customHeight="1" outlineLevel="1" x14ac:dyDescent="0.25">
      <c r="A15248" s="18">
        <v>488</v>
      </c>
      <c r="B15248" s="4" t="s">
        <v>44</v>
      </c>
      <c r="C15248" s="38" t="s">
        <v>8517</v>
      </c>
      <c r="D15248" s="18">
        <v>2023</v>
      </c>
      <c r="E15248" s="18" t="s">
        <v>0</v>
      </c>
      <c r="F15248" s="41">
        <v>1</v>
      </c>
      <c r="G15248" s="41">
        <v>45</v>
      </c>
      <c r="H15248" s="41">
        <v>66.602320000000006</v>
      </c>
      <c r="I15248" s="221"/>
      <c r="J15248" s="221"/>
    </row>
    <row r="15249" spans="1:10" s="15" customFormat="1" ht="24" hidden="1" customHeight="1" outlineLevel="1" x14ac:dyDescent="0.25">
      <c r="A15249" s="18">
        <v>5036</v>
      </c>
      <c r="B15249" s="4" t="s">
        <v>44</v>
      </c>
      <c r="C15249" s="38" t="s">
        <v>8518</v>
      </c>
      <c r="D15249" s="18">
        <v>2023</v>
      </c>
      <c r="E15249" s="18" t="s">
        <v>0</v>
      </c>
      <c r="F15249" s="41">
        <v>1</v>
      </c>
      <c r="G15249" s="41">
        <v>15</v>
      </c>
      <c r="H15249" s="41">
        <v>74.817959999999999</v>
      </c>
      <c r="I15249" s="221"/>
      <c r="J15249" s="221"/>
    </row>
    <row r="15250" spans="1:10" s="15" customFormat="1" ht="24" hidden="1" customHeight="1" outlineLevel="1" x14ac:dyDescent="0.25">
      <c r="A15250" s="18">
        <v>3956</v>
      </c>
      <c r="B15250" s="4" t="s">
        <v>44</v>
      </c>
      <c r="C15250" s="38" t="s">
        <v>8519</v>
      </c>
      <c r="D15250" s="18">
        <v>2023</v>
      </c>
      <c r="E15250" s="18" t="s">
        <v>0</v>
      </c>
      <c r="F15250" s="41">
        <v>1</v>
      </c>
      <c r="G15250" s="41">
        <v>23</v>
      </c>
      <c r="H15250" s="41">
        <v>41.157109999999996</v>
      </c>
      <c r="I15250" s="221"/>
      <c r="J15250" s="221"/>
    </row>
    <row r="15251" spans="1:10" s="15" customFormat="1" ht="24" hidden="1" customHeight="1" outlineLevel="1" x14ac:dyDescent="0.25">
      <c r="A15251" s="18">
        <v>3955</v>
      </c>
      <c r="B15251" s="4" t="s">
        <v>44</v>
      </c>
      <c r="C15251" s="38" t="s">
        <v>8520</v>
      </c>
      <c r="D15251" s="18">
        <v>2023</v>
      </c>
      <c r="E15251" s="18" t="s">
        <v>0</v>
      </c>
      <c r="F15251" s="41">
        <v>1</v>
      </c>
      <c r="G15251" s="41">
        <v>15</v>
      </c>
      <c r="H15251" s="41">
        <v>67.835999999999999</v>
      </c>
      <c r="I15251" s="221"/>
      <c r="J15251" s="221"/>
    </row>
    <row r="15252" spans="1:10" s="15" customFormat="1" ht="24" hidden="1" customHeight="1" outlineLevel="1" x14ac:dyDescent="0.25">
      <c r="A15252" s="18">
        <v>404</v>
      </c>
      <c r="B15252" s="4" t="s">
        <v>44</v>
      </c>
      <c r="C15252" s="38" t="s">
        <v>8521</v>
      </c>
      <c r="D15252" s="18">
        <v>2023</v>
      </c>
      <c r="E15252" s="18" t="s">
        <v>0</v>
      </c>
      <c r="F15252" s="41">
        <v>1</v>
      </c>
      <c r="G15252" s="41">
        <v>30</v>
      </c>
      <c r="H15252" s="41">
        <v>67.971000000000004</v>
      </c>
      <c r="I15252" s="221"/>
      <c r="J15252" s="221"/>
    </row>
    <row r="15253" spans="1:10" s="15" customFormat="1" ht="24" hidden="1" customHeight="1" outlineLevel="1" x14ac:dyDescent="0.25">
      <c r="A15253" s="18">
        <v>3939</v>
      </c>
      <c r="B15253" s="4" t="s">
        <v>44</v>
      </c>
      <c r="C15253" s="38" t="s">
        <v>8522</v>
      </c>
      <c r="D15253" s="18">
        <v>2023</v>
      </c>
      <c r="E15253" s="18" t="s">
        <v>0</v>
      </c>
      <c r="F15253" s="41">
        <v>1</v>
      </c>
      <c r="G15253" s="41">
        <v>15</v>
      </c>
      <c r="H15253" s="41">
        <v>41.783000000000001</v>
      </c>
      <c r="I15253" s="221"/>
      <c r="J15253" s="221"/>
    </row>
    <row r="15254" spans="1:10" s="15" customFormat="1" ht="24" hidden="1" customHeight="1" outlineLevel="1" x14ac:dyDescent="0.25">
      <c r="A15254" s="18">
        <v>3379</v>
      </c>
      <c r="B15254" s="4" t="s">
        <v>44</v>
      </c>
      <c r="C15254" s="38" t="s">
        <v>8524</v>
      </c>
      <c r="D15254" s="18">
        <v>2023</v>
      </c>
      <c r="E15254" s="18" t="s">
        <v>0</v>
      </c>
      <c r="F15254" s="41">
        <v>1</v>
      </c>
      <c r="G15254" s="41">
        <v>50</v>
      </c>
      <c r="H15254" s="41">
        <v>76.239339999999999</v>
      </c>
      <c r="I15254" s="221"/>
      <c r="J15254" s="221"/>
    </row>
    <row r="15255" spans="1:10" s="15" customFormat="1" ht="24" hidden="1" customHeight="1" outlineLevel="1" x14ac:dyDescent="0.25">
      <c r="A15255" s="18">
        <v>5044</v>
      </c>
      <c r="B15255" s="4" t="s">
        <v>44</v>
      </c>
      <c r="C15255" s="38" t="s">
        <v>12796</v>
      </c>
      <c r="D15255" s="18">
        <v>2023</v>
      </c>
      <c r="E15255" s="18" t="s">
        <v>0</v>
      </c>
      <c r="F15255" s="41">
        <v>1</v>
      </c>
      <c r="G15255" s="41">
        <v>110</v>
      </c>
      <c r="H15255" s="41">
        <v>55.121209999999998</v>
      </c>
      <c r="I15255" s="221"/>
      <c r="J15255" s="221"/>
    </row>
    <row r="15256" spans="1:10" s="15" customFormat="1" ht="24" hidden="1" customHeight="1" outlineLevel="1" x14ac:dyDescent="0.25">
      <c r="A15256" s="18">
        <v>3927</v>
      </c>
      <c r="B15256" s="4" t="s">
        <v>44</v>
      </c>
      <c r="C15256" s="38" t="s">
        <v>8525</v>
      </c>
      <c r="D15256" s="18">
        <v>2023</v>
      </c>
      <c r="E15256" s="18" t="s">
        <v>0</v>
      </c>
      <c r="F15256" s="41">
        <v>1</v>
      </c>
      <c r="G15256" s="41">
        <v>15</v>
      </c>
      <c r="H15256" s="41">
        <v>72.125489999999999</v>
      </c>
      <c r="I15256" s="221"/>
      <c r="J15256" s="221"/>
    </row>
    <row r="15257" spans="1:10" s="15" customFormat="1" ht="24" hidden="1" customHeight="1" outlineLevel="1" x14ac:dyDescent="0.25">
      <c r="A15257" s="18">
        <v>3959</v>
      </c>
      <c r="B15257" s="4" t="s">
        <v>44</v>
      </c>
      <c r="C15257" s="38" t="s">
        <v>8526</v>
      </c>
      <c r="D15257" s="18">
        <v>2023</v>
      </c>
      <c r="E15257" s="18" t="s">
        <v>0</v>
      </c>
      <c r="F15257" s="41">
        <v>1</v>
      </c>
      <c r="G15257" s="41">
        <v>25</v>
      </c>
      <c r="H15257" s="41">
        <v>68.462739999999997</v>
      </c>
      <c r="I15257" s="221"/>
      <c r="J15257" s="221"/>
    </row>
    <row r="15258" spans="1:10" s="15" customFormat="1" ht="24" hidden="1" customHeight="1" outlineLevel="1" x14ac:dyDescent="0.25">
      <c r="A15258" s="18">
        <v>3958</v>
      </c>
      <c r="B15258" s="4" t="s">
        <v>44</v>
      </c>
      <c r="C15258" s="38" t="s">
        <v>8527</v>
      </c>
      <c r="D15258" s="18">
        <v>2023</v>
      </c>
      <c r="E15258" s="18" t="s">
        <v>0</v>
      </c>
      <c r="F15258" s="41">
        <v>1</v>
      </c>
      <c r="G15258" s="41">
        <v>105</v>
      </c>
      <c r="H15258" s="41">
        <v>70.167400000000001</v>
      </c>
      <c r="I15258" s="221"/>
      <c r="J15258" s="221"/>
    </row>
    <row r="15259" spans="1:10" s="15" customFormat="1" ht="24" hidden="1" customHeight="1" outlineLevel="1" x14ac:dyDescent="0.25">
      <c r="A15259" s="18">
        <v>3946</v>
      </c>
      <c r="B15259" s="4" t="s">
        <v>44</v>
      </c>
      <c r="C15259" s="38" t="s">
        <v>8530</v>
      </c>
      <c r="D15259" s="18">
        <v>2023</v>
      </c>
      <c r="E15259" s="18" t="s">
        <v>0</v>
      </c>
      <c r="F15259" s="41">
        <v>1</v>
      </c>
      <c r="G15259" s="41">
        <v>15</v>
      </c>
      <c r="H15259" s="41">
        <v>65.351599999999991</v>
      </c>
      <c r="I15259" s="221"/>
      <c r="J15259" s="221"/>
    </row>
    <row r="15260" spans="1:10" s="15" customFormat="1" ht="24" hidden="1" customHeight="1" outlineLevel="1" x14ac:dyDescent="0.25">
      <c r="A15260" s="18">
        <v>466</v>
      </c>
      <c r="B15260" s="4" t="s">
        <v>44</v>
      </c>
      <c r="C15260" s="38" t="s">
        <v>8531</v>
      </c>
      <c r="D15260" s="18">
        <v>2023</v>
      </c>
      <c r="E15260" s="18" t="s">
        <v>0</v>
      </c>
      <c r="F15260" s="41">
        <v>1</v>
      </c>
      <c r="G15260" s="41">
        <v>15</v>
      </c>
      <c r="H15260" s="41">
        <v>44.654409999999999</v>
      </c>
      <c r="I15260" s="221"/>
      <c r="J15260" s="221"/>
    </row>
    <row r="15261" spans="1:10" s="15" customFormat="1" ht="24" hidden="1" customHeight="1" outlineLevel="1" x14ac:dyDescent="0.25">
      <c r="A15261" s="18">
        <v>4008</v>
      </c>
      <c r="B15261" s="4" t="s">
        <v>44</v>
      </c>
      <c r="C15261" s="38" t="s">
        <v>8532</v>
      </c>
      <c r="D15261" s="18">
        <v>2023</v>
      </c>
      <c r="E15261" s="18" t="s">
        <v>0</v>
      </c>
      <c r="F15261" s="41">
        <v>1</v>
      </c>
      <c r="G15261" s="41">
        <v>30</v>
      </c>
      <c r="H15261" s="41">
        <v>64.585340000000002</v>
      </c>
      <c r="I15261" s="221"/>
      <c r="J15261" s="221"/>
    </row>
    <row r="15262" spans="1:10" s="15" customFormat="1" ht="24" hidden="1" customHeight="1" outlineLevel="1" x14ac:dyDescent="0.25">
      <c r="A15262" s="18">
        <v>3919</v>
      </c>
      <c r="B15262" s="4" t="s">
        <v>44</v>
      </c>
      <c r="C15262" s="38" t="s">
        <v>8533</v>
      </c>
      <c r="D15262" s="18">
        <v>2023</v>
      </c>
      <c r="E15262" s="18" t="s">
        <v>0</v>
      </c>
      <c r="F15262" s="41">
        <v>1</v>
      </c>
      <c r="G15262" s="41">
        <v>15</v>
      </c>
      <c r="H15262" s="41">
        <v>64.903800000000004</v>
      </c>
      <c r="I15262" s="221"/>
      <c r="J15262" s="221"/>
    </row>
    <row r="15263" spans="1:10" s="15" customFormat="1" ht="24" hidden="1" customHeight="1" outlineLevel="1" x14ac:dyDescent="0.25">
      <c r="A15263" s="18">
        <v>3877</v>
      </c>
      <c r="B15263" s="4" t="s">
        <v>44</v>
      </c>
      <c r="C15263" s="38" t="s">
        <v>8534</v>
      </c>
      <c r="D15263" s="18">
        <v>2023</v>
      </c>
      <c r="E15263" s="18" t="s">
        <v>0</v>
      </c>
      <c r="F15263" s="41">
        <v>1</v>
      </c>
      <c r="G15263" s="41">
        <v>15</v>
      </c>
      <c r="H15263" s="41">
        <v>224.94934999999998</v>
      </c>
      <c r="I15263" s="221"/>
      <c r="J15263" s="221"/>
    </row>
    <row r="15264" spans="1:10" s="15" customFormat="1" ht="24" hidden="1" customHeight="1" outlineLevel="1" x14ac:dyDescent="0.25">
      <c r="A15264" s="18">
        <v>3952</v>
      </c>
      <c r="B15264" s="4" t="s">
        <v>44</v>
      </c>
      <c r="C15264" s="38" t="s">
        <v>8535</v>
      </c>
      <c r="D15264" s="18">
        <v>2023</v>
      </c>
      <c r="E15264" s="18" t="s">
        <v>0</v>
      </c>
      <c r="F15264" s="41">
        <v>1</v>
      </c>
      <c r="G15264" s="41">
        <v>45</v>
      </c>
      <c r="H15264" s="41">
        <v>66.440089999999998</v>
      </c>
      <c r="I15264" s="221"/>
      <c r="J15264" s="221"/>
    </row>
    <row r="15265" spans="1:10" s="15" customFormat="1" ht="24" hidden="1" customHeight="1" outlineLevel="1" x14ac:dyDescent="0.25">
      <c r="A15265" s="18">
        <v>3948</v>
      </c>
      <c r="B15265" s="4" t="s">
        <v>44</v>
      </c>
      <c r="C15265" s="38" t="s">
        <v>8537</v>
      </c>
      <c r="D15265" s="18">
        <v>2023</v>
      </c>
      <c r="E15265" s="18" t="s">
        <v>0</v>
      </c>
      <c r="F15265" s="41">
        <v>1</v>
      </c>
      <c r="G15265" s="41">
        <v>30</v>
      </c>
      <c r="H15265" s="41">
        <v>66.757059999999996</v>
      </c>
      <c r="I15265" s="221"/>
      <c r="J15265" s="221"/>
    </row>
    <row r="15266" spans="1:10" s="15" customFormat="1" ht="24" hidden="1" customHeight="1" outlineLevel="1" x14ac:dyDescent="0.25">
      <c r="A15266" s="18">
        <v>3949</v>
      </c>
      <c r="B15266" s="4" t="s">
        <v>44</v>
      </c>
      <c r="C15266" s="38" t="s">
        <v>8538</v>
      </c>
      <c r="D15266" s="18">
        <v>2023</v>
      </c>
      <c r="E15266" s="18" t="s">
        <v>0</v>
      </c>
      <c r="F15266" s="41">
        <v>1</v>
      </c>
      <c r="G15266" s="41">
        <v>45</v>
      </c>
      <c r="H15266" s="41">
        <v>64.724920000000012</v>
      </c>
      <c r="I15266" s="221"/>
      <c r="J15266" s="221"/>
    </row>
    <row r="15267" spans="1:10" s="15" customFormat="1" ht="24" hidden="1" customHeight="1" outlineLevel="1" x14ac:dyDescent="0.25">
      <c r="A15267" s="18">
        <v>3928</v>
      </c>
      <c r="B15267" s="4" t="s">
        <v>44</v>
      </c>
      <c r="C15267" s="38" t="s">
        <v>8539</v>
      </c>
      <c r="D15267" s="18">
        <v>2023</v>
      </c>
      <c r="E15267" s="18" t="s">
        <v>0</v>
      </c>
      <c r="F15267" s="41">
        <v>3</v>
      </c>
      <c r="G15267" s="41">
        <v>45</v>
      </c>
      <c r="H15267" s="41">
        <v>162.79502000000002</v>
      </c>
      <c r="I15267" s="221"/>
      <c r="J15267" s="221"/>
    </row>
    <row r="15268" spans="1:10" s="15" customFormat="1" ht="24" hidden="1" customHeight="1" outlineLevel="1" x14ac:dyDescent="0.25">
      <c r="A15268" s="18">
        <v>882</v>
      </c>
      <c r="B15268" s="4" t="s">
        <v>44</v>
      </c>
      <c r="C15268" s="38" t="s">
        <v>8540</v>
      </c>
      <c r="D15268" s="18">
        <v>2023</v>
      </c>
      <c r="E15268" s="18" t="s">
        <v>0</v>
      </c>
      <c r="F15268" s="41">
        <v>3</v>
      </c>
      <c r="G15268" s="41">
        <v>60</v>
      </c>
      <c r="H15268" s="41">
        <v>163.55637000000002</v>
      </c>
      <c r="I15268" s="221"/>
      <c r="J15268" s="221"/>
    </row>
    <row r="15269" spans="1:10" s="15" customFormat="1" ht="24" hidden="1" customHeight="1" outlineLevel="1" x14ac:dyDescent="0.25">
      <c r="A15269" s="18">
        <v>3819</v>
      </c>
      <c r="B15269" s="4" t="s">
        <v>44</v>
      </c>
      <c r="C15269" s="38" t="s">
        <v>8542</v>
      </c>
      <c r="D15269" s="18">
        <v>2023</v>
      </c>
      <c r="E15269" s="18" t="s">
        <v>0</v>
      </c>
      <c r="F15269" s="41">
        <v>1</v>
      </c>
      <c r="G15269" s="41">
        <v>15</v>
      </c>
      <c r="H15269" s="41">
        <v>73.617859999999993</v>
      </c>
      <c r="I15269" s="221"/>
      <c r="J15269" s="221"/>
    </row>
    <row r="15270" spans="1:10" s="15" customFormat="1" ht="24" hidden="1" customHeight="1" outlineLevel="1" x14ac:dyDescent="0.25">
      <c r="A15270" s="18">
        <v>5047</v>
      </c>
      <c r="B15270" s="4" t="s">
        <v>44</v>
      </c>
      <c r="C15270" s="38" t="s">
        <v>8543</v>
      </c>
      <c r="D15270" s="18">
        <v>2023</v>
      </c>
      <c r="E15270" s="18" t="s">
        <v>0</v>
      </c>
      <c r="F15270" s="41">
        <v>1</v>
      </c>
      <c r="G15270" s="41">
        <v>0.1</v>
      </c>
      <c r="H15270" s="41">
        <v>44.380870000000002</v>
      </c>
      <c r="I15270" s="221"/>
      <c r="J15270" s="221"/>
    </row>
    <row r="15271" spans="1:10" s="15" customFormat="1" ht="24" hidden="1" customHeight="1" outlineLevel="1" x14ac:dyDescent="0.25">
      <c r="A15271" s="18">
        <v>3886</v>
      </c>
      <c r="B15271" s="4" t="s">
        <v>44</v>
      </c>
      <c r="C15271" s="38" t="s">
        <v>8544</v>
      </c>
      <c r="D15271" s="18">
        <v>2023</v>
      </c>
      <c r="E15271" s="18" t="s">
        <v>0</v>
      </c>
      <c r="F15271" s="41">
        <v>1</v>
      </c>
      <c r="G15271" s="41">
        <v>15</v>
      </c>
      <c r="H15271" s="41">
        <v>39.178650000000005</v>
      </c>
      <c r="I15271" s="221"/>
      <c r="J15271" s="221"/>
    </row>
    <row r="15272" spans="1:10" s="15" customFormat="1" ht="24" hidden="1" customHeight="1" outlineLevel="1" x14ac:dyDescent="0.25">
      <c r="A15272" s="18">
        <v>3874</v>
      </c>
      <c r="B15272" s="4" t="s">
        <v>44</v>
      </c>
      <c r="C15272" s="38" t="s">
        <v>8545</v>
      </c>
      <c r="D15272" s="18">
        <v>2023</v>
      </c>
      <c r="E15272" s="18" t="s">
        <v>0</v>
      </c>
      <c r="F15272" s="41">
        <v>1</v>
      </c>
      <c r="G15272" s="41">
        <v>15</v>
      </c>
      <c r="H15272" s="41">
        <v>39.622390000000003</v>
      </c>
      <c r="I15272" s="221"/>
      <c r="J15272" s="221"/>
    </row>
    <row r="15273" spans="1:10" s="15" customFormat="1" ht="24" hidden="1" customHeight="1" outlineLevel="1" x14ac:dyDescent="0.25">
      <c r="A15273" s="18">
        <v>3374</v>
      </c>
      <c r="B15273" s="4" t="s">
        <v>44</v>
      </c>
      <c r="C15273" s="38" t="s">
        <v>9132</v>
      </c>
      <c r="D15273" s="18">
        <v>2023</v>
      </c>
      <c r="E15273" s="18" t="s">
        <v>0</v>
      </c>
      <c r="F15273" s="41">
        <v>2</v>
      </c>
      <c r="G15273" s="41">
        <v>150</v>
      </c>
      <c r="H15273" s="41">
        <v>131.24048999999999</v>
      </c>
      <c r="I15273" s="221"/>
      <c r="J15273" s="221"/>
    </row>
    <row r="15274" spans="1:10" s="15" customFormat="1" ht="24" hidden="1" customHeight="1" outlineLevel="1" x14ac:dyDescent="0.25">
      <c r="A15274" s="18">
        <v>5050</v>
      </c>
      <c r="B15274" s="4" t="s">
        <v>44</v>
      </c>
      <c r="C15274" s="38" t="s">
        <v>8546</v>
      </c>
      <c r="D15274" s="18">
        <v>2023</v>
      </c>
      <c r="E15274" s="18" t="s">
        <v>0</v>
      </c>
      <c r="F15274" s="41">
        <v>1</v>
      </c>
      <c r="G15274" s="41">
        <v>15</v>
      </c>
      <c r="H15274" s="41">
        <v>161.45233000000002</v>
      </c>
      <c r="I15274" s="221"/>
      <c r="J15274" s="221"/>
    </row>
    <row r="15275" spans="1:10" s="15" customFormat="1" ht="24" hidden="1" customHeight="1" outlineLevel="1" x14ac:dyDescent="0.25">
      <c r="A15275" s="18">
        <v>287</v>
      </c>
      <c r="B15275" s="4" t="s">
        <v>44</v>
      </c>
      <c r="C15275" s="38" t="s">
        <v>9071</v>
      </c>
      <c r="D15275" s="18">
        <v>2023</v>
      </c>
      <c r="E15275" s="18" t="s">
        <v>0</v>
      </c>
      <c r="F15275" s="41">
        <v>5</v>
      </c>
      <c r="G15275" s="41">
        <v>82</v>
      </c>
      <c r="H15275" s="41">
        <v>309.72096999999997</v>
      </c>
      <c r="I15275" s="221"/>
      <c r="J15275" s="221"/>
    </row>
    <row r="15276" spans="1:10" s="15" customFormat="1" ht="24" hidden="1" customHeight="1" outlineLevel="1" x14ac:dyDescent="0.25">
      <c r="A15276" s="18">
        <v>459</v>
      </c>
      <c r="B15276" s="4" t="s">
        <v>44</v>
      </c>
      <c r="C15276" s="38" t="s">
        <v>9133</v>
      </c>
      <c r="D15276" s="18">
        <v>2023</v>
      </c>
      <c r="E15276" s="18" t="s">
        <v>0</v>
      </c>
      <c r="F15276" s="41">
        <v>15</v>
      </c>
      <c r="G15276" s="41">
        <v>195</v>
      </c>
      <c r="H15276" s="41">
        <v>856.32002</v>
      </c>
      <c r="I15276" s="221"/>
      <c r="J15276" s="221"/>
    </row>
    <row r="15277" spans="1:10" s="15" customFormat="1" ht="24" hidden="1" customHeight="1" outlineLevel="1" x14ac:dyDescent="0.25">
      <c r="A15277" s="18">
        <v>427</v>
      </c>
      <c r="B15277" s="4" t="s">
        <v>44</v>
      </c>
      <c r="C15277" s="38" t="s">
        <v>9072</v>
      </c>
      <c r="D15277" s="18">
        <v>2023</v>
      </c>
      <c r="E15277" s="18" t="s">
        <v>0</v>
      </c>
      <c r="F15277" s="41">
        <v>10</v>
      </c>
      <c r="G15277" s="41">
        <v>165</v>
      </c>
      <c r="H15277" s="41">
        <v>529.60553000000004</v>
      </c>
      <c r="I15277" s="221"/>
      <c r="J15277" s="221"/>
    </row>
    <row r="15278" spans="1:10" s="15" customFormat="1" ht="24" hidden="1" customHeight="1" outlineLevel="1" x14ac:dyDescent="0.25">
      <c r="A15278" s="18">
        <v>472</v>
      </c>
      <c r="B15278" s="4" t="s">
        <v>44</v>
      </c>
      <c r="C15278" s="38" t="s">
        <v>9134</v>
      </c>
      <c r="D15278" s="18">
        <v>2023</v>
      </c>
      <c r="E15278" s="18" t="s">
        <v>0</v>
      </c>
      <c r="F15278" s="41">
        <v>6</v>
      </c>
      <c r="G15278" s="41">
        <v>43</v>
      </c>
      <c r="H15278" s="41">
        <v>348.75286999999997</v>
      </c>
      <c r="I15278" s="221"/>
      <c r="J15278" s="221"/>
    </row>
    <row r="15279" spans="1:10" s="15" customFormat="1" ht="24" hidden="1" customHeight="1" outlineLevel="1" x14ac:dyDescent="0.25">
      <c r="A15279" s="18">
        <v>3014</v>
      </c>
      <c r="B15279" s="4" t="s">
        <v>44</v>
      </c>
      <c r="C15279" s="38" t="s">
        <v>9073</v>
      </c>
      <c r="D15279" s="18">
        <v>2023</v>
      </c>
      <c r="E15279" s="18" t="s">
        <v>0</v>
      </c>
      <c r="F15279" s="41">
        <v>1</v>
      </c>
      <c r="G15279" s="41">
        <v>150</v>
      </c>
      <c r="H15279" s="41">
        <v>181.30951000000002</v>
      </c>
      <c r="I15279" s="221"/>
      <c r="J15279" s="221"/>
    </row>
    <row r="15280" spans="1:10" s="15" customFormat="1" ht="24" hidden="1" customHeight="1" outlineLevel="1" x14ac:dyDescent="0.25">
      <c r="A15280" s="18">
        <v>2979</v>
      </c>
      <c r="B15280" s="4" t="s">
        <v>44</v>
      </c>
      <c r="C15280" s="38" t="s">
        <v>9137</v>
      </c>
      <c r="D15280" s="18">
        <v>2023</v>
      </c>
      <c r="E15280" s="18" t="s">
        <v>0</v>
      </c>
      <c r="F15280" s="41">
        <v>1</v>
      </c>
      <c r="G15280" s="41">
        <v>150</v>
      </c>
      <c r="H15280" s="41">
        <v>242.05516999999998</v>
      </c>
      <c r="I15280" s="221"/>
      <c r="J15280" s="221"/>
    </row>
    <row r="15281" spans="1:10" s="15" customFormat="1" ht="24" hidden="1" customHeight="1" outlineLevel="1" x14ac:dyDescent="0.25">
      <c r="A15281" s="18">
        <v>551</v>
      </c>
      <c r="B15281" s="4" t="s">
        <v>44</v>
      </c>
      <c r="C15281" s="38" t="s">
        <v>9074</v>
      </c>
      <c r="D15281" s="18">
        <v>2023</v>
      </c>
      <c r="E15281" s="18" t="s">
        <v>0</v>
      </c>
      <c r="F15281" s="41">
        <v>10</v>
      </c>
      <c r="G15281" s="41">
        <v>90</v>
      </c>
      <c r="H15281" s="41">
        <v>634.19376999999997</v>
      </c>
      <c r="I15281" s="221"/>
      <c r="J15281" s="221"/>
    </row>
    <row r="15282" spans="1:10" s="15" customFormat="1" ht="24" hidden="1" customHeight="1" outlineLevel="1" x14ac:dyDescent="0.25">
      <c r="A15282" s="18">
        <v>565</v>
      </c>
      <c r="B15282" s="4" t="s">
        <v>44</v>
      </c>
      <c r="C15282" s="38" t="s">
        <v>9075</v>
      </c>
      <c r="D15282" s="18">
        <v>2023</v>
      </c>
      <c r="E15282" s="18" t="s">
        <v>0</v>
      </c>
      <c r="F15282" s="41">
        <v>6</v>
      </c>
      <c r="G15282" s="41">
        <v>90</v>
      </c>
      <c r="H15282" s="41">
        <v>369.33578</v>
      </c>
      <c r="I15282" s="221"/>
      <c r="J15282" s="221"/>
    </row>
    <row r="15283" spans="1:10" s="15" customFormat="1" ht="24" hidden="1" customHeight="1" outlineLevel="1" x14ac:dyDescent="0.25">
      <c r="A15283" s="18">
        <v>5064</v>
      </c>
      <c r="B15283" s="4" t="s">
        <v>44</v>
      </c>
      <c r="C15283" s="38" t="s">
        <v>12797</v>
      </c>
      <c r="D15283" s="18">
        <v>2023</v>
      </c>
      <c r="E15283" s="18" t="s">
        <v>0</v>
      </c>
      <c r="F15283" s="41">
        <v>1</v>
      </c>
      <c r="G15283" s="41">
        <v>15</v>
      </c>
      <c r="H15283" s="41">
        <v>22.192119999999999</v>
      </c>
      <c r="I15283" s="221"/>
      <c r="J15283" s="221"/>
    </row>
    <row r="15284" spans="1:10" s="15" customFormat="1" ht="24" hidden="1" customHeight="1" outlineLevel="1" x14ac:dyDescent="0.25">
      <c r="A15284" s="18">
        <v>5068</v>
      </c>
      <c r="B15284" s="4" t="s">
        <v>44</v>
      </c>
      <c r="C15284" s="38" t="s">
        <v>12798</v>
      </c>
      <c r="D15284" s="18">
        <v>2023</v>
      </c>
      <c r="E15284" s="18" t="s">
        <v>0</v>
      </c>
      <c r="F15284" s="41">
        <v>1</v>
      </c>
      <c r="G15284" s="41">
        <v>12</v>
      </c>
      <c r="H15284" s="41">
        <v>20.407759999999996</v>
      </c>
      <c r="I15284" s="221"/>
      <c r="J15284" s="221"/>
    </row>
    <row r="15285" spans="1:10" s="15" customFormat="1" ht="24" hidden="1" customHeight="1" outlineLevel="1" x14ac:dyDescent="0.25">
      <c r="A15285" s="18">
        <v>5070</v>
      </c>
      <c r="B15285" s="4" t="s">
        <v>44</v>
      </c>
      <c r="C15285" s="38" t="s">
        <v>12799</v>
      </c>
      <c r="D15285" s="18">
        <v>2023</v>
      </c>
      <c r="E15285" s="18" t="s">
        <v>0</v>
      </c>
      <c r="F15285" s="41">
        <v>1</v>
      </c>
      <c r="G15285" s="41">
        <v>15</v>
      </c>
      <c r="H15285" s="41">
        <v>20.618110000000001</v>
      </c>
      <c r="I15285" s="221"/>
      <c r="J15285" s="221"/>
    </row>
    <row r="15286" spans="1:10" s="15" customFormat="1" ht="24" hidden="1" customHeight="1" outlineLevel="1" x14ac:dyDescent="0.25">
      <c r="A15286" s="18">
        <v>5074</v>
      </c>
      <c r="B15286" s="4" t="s">
        <v>44</v>
      </c>
      <c r="C15286" s="38" t="s">
        <v>12800</v>
      </c>
      <c r="D15286" s="18">
        <v>2023</v>
      </c>
      <c r="E15286" s="18" t="s">
        <v>0</v>
      </c>
      <c r="F15286" s="41">
        <v>1</v>
      </c>
      <c r="G15286" s="41">
        <v>6</v>
      </c>
      <c r="H15286" s="41">
        <v>36.223779999999998</v>
      </c>
      <c r="I15286" s="221"/>
      <c r="J15286" s="221"/>
    </row>
    <row r="15287" spans="1:10" s="15" customFormat="1" ht="24" hidden="1" customHeight="1" outlineLevel="1" x14ac:dyDescent="0.25">
      <c r="A15287" s="18">
        <v>5075</v>
      </c>
      <c r="B15287" s="4" t="s">
        <v>44</v>
      </c>
      <c r="C15287" s="38" t="s">
        <v>12801</v>
      </c>
      <c r="D15287" s="18">
        <v>2023</v>
      </c>
      <c r="E15287" s="18" t="s">
        <v>0</v>
      </c>
      <c r="F15287" s="41">
        <v>1</v>
      </c>
      <c r="G15287" s="41">
        <v>3</v>
      </c>
      <c r="H15287" s="41">
        <v>20.618079999999999</v>
      </c>
      <c r="I15287" s="221"/>
      <c r="J15287" s="221"/>
    </row>
    <row r="15288" spans="1:10" s="15" customFormat="1" ht="24" hidden="1" customHeight="1" outlineLevel="1" x14ac:dyDescent="0.25">
      <c r="A15288" s="18">
        <v>5080</v>
      </c>
      <c r="B15288" s="4" t="s">
        <v>44</v>
      </c>
      <c r="C15288" s="38" t="s">
        <v>12802</v>
      </c>
      <c r="D15288" s="18">
        <v>2023</v>
      </c>
      <c r="E15288" s="18" t="s">
        <v>0</v>
      </c>
      <c r="F15288" s="41">
        <v>1</v>
      </c>
      <c r="G15288" s="41">
        <v>12</v>
      </c>
      <c r="H15288" s="41">
        <v>20.621790000000001</v>
      </c>
      <c r="I15288" s="221"/>
      <c r="J15288" s="221"/>
    </row>
    <row r="15289" spans="1:10" s="15" customFormat="1" ht="24" hidden="1" customHeight="1" outlineLevel="1" x14ac:dyDescent="0.25">
      <c r="A15289" s="18">
        <v>5081</v>
      </c>
      <c r="B15289" s="4" t="s">
        <v>44</v>
      </c>
      <c r="C15289" s="38" t="s">
        <v>12803</v>
      </c>
      <c r="D15289" s="18">
        <v>2023</v>
      </c>
      <c r="E15289" s="18" t="s">
        <v>0</v>
      </c>
      <c r="F15289" s="41">
        <v>1</v>
      </c>
      <c r="G15289" s="41">
        <v>20</v>
      </c>
      <c r="H15289" s="41">
        <v>20.559880000000003</v>
      </c>
      <c r="I15289" s="221"/>
      <c r="J15289" s="221"/>
    </row>
    <row r="15290" spans="1:10" s="15" customFormat="1" ht="24" hidden="1" customHeight="1" outlineLevel="1" x14ac:dyDescent="0.25">
      <c r="A15290" s="18">
        <v>5082</v>
      </c>
      <c r="B15290" s="4" t="s">
        <v>44</v>
      </c>
      <c r="C15290" s="38" t="s">
        <v>12804</v>
      </c>
      <c r="D15290" s="18">
        <v>2023</v>
      </c>
      <c r="E15290" s="18" t="s">
        <v>0</v>
      </c>
      <c r="F15290" s="41">
        <v>1</v>
      </c>
      <c r="G15290" s="41">
        <v>12</v>
      </c>
      <c r="H15290" s="41">
        <v>20.559889999999999</v>
      </c>
      <c r="I15290" s="221"/>
      <c r="J15290" s="221"/>
    </row>
    <row r="15291" spans="1:10" s="15" customFormat="1" ht="24" hidden="1" customHeight="1" outlineLevel="1" x14ac:dyDescent="0.25">
      <c r="A15291" s="18">
        <v>5085</v>
      </c>
      <c r="B15291" s="4" t="s">
        <v>44</v>
      </c>
      <c r="C15291" s="38" t="s">
        <v>12805</v>
      </c>
      <c r="D15291" s="18">
        <v>2023</v>
      </c>
      <c r="E15291" s="18" t="s">
        <v>0</v>
      </c>
      <c r="F15291" s="41">
        <v>1</v>
      </c>
      <c r="G15291" s="41">
        <v>15</v>
      </c>
      <c r="H15291" s="41">
        <v>37.11159</v>
      </c>
      <c r="I15291" s="221"/>
      <c r="J15291" s="221"/>
    </row>
    <row r="15292" spans="1:10" s="15" customFormat="1" ht="24" hidden="1" customHeight="1" outlineLevel="1" x14ac:dyDescent="0.25">
      <c r="A15292" s="18">
        <v>5086</v>
      </c>
      <c r="B15292" s="4" t="s">
        <v>44</v>
      </c>
      <c r="C15292" s="38" t="s">
        <v>12806</v>
      </c>
      <c r="D15292" s="18">
        <v>2023</v>
      </c>
      <c r="E15292" s="18" t="s">
        <v>0</v>
      </c>
      <c r="F15292" s="41">
        <v>1</v>
      </c>
      <c r="G15292" s="41">
        <v>15</v>
      </c>
      <c r="H15292" s="41">
        <v>36.425940000000004</v>
      </c>
      <c r="I15292" s="221"/>
      <c r="J15292" s="221"/>
    </row>
    <row r="15293" spans="1:10" s="15" customFormat="1" ht="24" hidden="1" customHeight="1" outlineLevel="1" x14ac:dyDescent="0.25">
      <c r="A15293" s="18">
        <v>5087</v>
      </c>
      <c r="B15293" s="4" t="s">
        <v>44</v>
      </c>
      <c r="C15293" s="38" t="s">
        <v>12807</v>
      </c>
      <c r="D15293" s="18">
        <v>2023</v>
      </c>
      <c r="E15293" s="18" t="s">
        <v>0</v>
      </c>
      <c r="F15293" s="41">
        <v>1</v>
      </c>
      <c r="G15293" s="41">
        <v>7.5</v>
      </c>
      <c r="H15293" s="41">
        <v>37.11159</v>
      </c>
      <c r="I15293" s="221"/>
      <c r="J15293" s="221"/>
    </row>
    <row r="15294" spans="1:10" s="15" customFormat="1" ht="24" hidden="1" customHeight="1" outlineLevel="1" x14ac:dyDescent="0.25">
      <c r="A15294" s="18">
        <v>5094</v>
      </c>
      <c r="B15294" s="4" t="s">
        <v>44</v>
      </c>
      <c r="C15294" s="38" t="s">
        <v>12808</v>
      </c>
      <c r="D15294" s="18">
        <v>2023</v>
      </c>
      <c r="E15294" s="18" t="s">
        <v>0</v>
      </c>
      <c r="F15294" s="41">
        <v>1</v>
      </c>
      <c r="G15294" s="41">
        <v>15</v>
      </c>
      <c r="H15294" s="41">
        <v>36.428449999999991</v>
      </c>
      <c r="I15294" s="221"/>
      <c r="J15294" s="221"/>
    </row>
    <row r="15295" spans="1:10" s="15" customFormat="1" ht="24" hidden="1" customHeight="1" outlineLevel="1" x14ac:dyDescent="0.25">
      <c r="A15295" s="18">
        <v>5095</v>
      </c>
      <c r="B15295" s="4" t="s">
        <v>44</v>
      </c>
      <c r="C15295" s="38" t="s">
        <v>12809</v>
      </c>
      <c r="D15295" s="18">
        <v>2023</v>
      </c>
      <c r="E15295" s="18" t="s">
        <v>0</v>
      </c>
      <c r="F15295" s="41">
        <v>1</v>
      </c>
      <c r="G15295" s="41">
        <v>15</v>
      </c>
      <c r="H15295" s="41">
        <v>36.425940000000004</v>
      </c>
      <c r="I15295" s="221"/>
      <c r="J15295" s="221"/>
    </row>
    <row r="15296" spans="1:10" s="15" customFormat="1" ht="24" hidden="1" customHeight="1" outlineLevel="1" x14ac:dyDescent="0.25">
      <c r="A15296" s="18">
        <v>5096</v>
      </c>
      <c r="B15296" s="4" t="s">
        <v>44</v>
      </c>
      <c r="C15296" s="38" t="s">
        <v>12810</v>
      </c>
      <c r="D15296" s="18">
        <v>2023</v>
      </c>
      <c r="E15296" s="18" t="s">
        <v>0</v>
      </c>
      <c r="F15296" s="41">
        <v>1</v>
      </c>
      <c r="G15296" s="41">
        <v>15</v>
      </c>
      <c r="H15296" s="41">
        <v>36.425940000000004</v>
      </c>
      <c r="I15296" s="221"/>
      <c r="J15296" s="221"/>
    </row>
    <row r="15297" spans="1:10" s="15" customFormat="1" ht="24" hidden="1" customHeight="1" outlineLevel="1" x14ac:dyDescent="0.25">
      <c r="A15297" s="18">
        <v>5097</v>
      </c>
      <c r="B15297" s="4" t="s">
        <v>44</v>
      </c>
      <c r="C15297" s="38" t="s">
        <v>12811</v>
      </c>
      <c r="D15297" s="18">
        <v>2023</v>
      </c>
      <c r="E15297" s="18" t="s">
        <v>0</v>
      </c>
      <c r="F15297" s="41">
        <v>1</v>
      </c>
      <c r="G15297" s="41">
        <v>15</v>
      </c>
      <c r="H15297" s="41">
        <v>36.488140000000001</v>
      </c>
      <c r="I15297" s="221"/>
      <c r="J15297" s="221"/>
    </row>
    <row r="15298" spans="1:10" s="15" customFormat="1" ht="24" hidden="1" customHeight="1" outlineLevel="1" x14ac:dyDescent="0.25">
      <c r="A15298" s="18">
        <v>5100</v>
      </c>
      <c r="B15298" s="4" t="s">
        <v>44</v>
      </c>
      <c r="C15298" s="38" t="s">
        <v>12812</v>
      </c>
      <c r="D15298" s="18">
        <v>2023</v>
      </c>
      <c r="E15298" s="18" t="s">
        <v>0</v>
      </c>
      <c r="F15298" s="41">
        <v>1</v>
      </c>
      <c r="G15298" s="41">
        <v>15</v>
      </c>
      <c r="H15298" s="41">
        <v>36.5503</v>
      </c>
      <c r="I15298" s="221"/>
      <c r="J15298" s="221"/>
    </row>
    <row r="15299" spans="1:10" s="15" customFormat="1" ht="24" hidden="1" customHeight="1" outlineLevel="1" x14ac:dyDescent="0.25">
      <c r="A15299" s="18">
        <v>5101</v>
      </c>
      <c r="B15299" s="4" t="s">
        <v>44</v>
      </c>
      <c r="C15299" s="38" t="s">
        <v>12813</v>
      </c>
      <c r="D15299" s="18">
        <v>2023</v>
      </c>
      <c r="E15299" s="18" t="s">
        <v>0</v>
      </c>
      <c r="F15299" s="41">
        <v>1</v>
      </c>
      <c r="G15299" s="41">
        <v>40</v>
      </c>
      <c r="H15299" s="41">
        <v>36.550309999999996</v>
      </c>
      <c r="I15299" s="221"/>
      <c r="J15299" s="221"/>
    </row>
    <row r="15300" spans="1:10" s="15" customFormat="1" ht="24" hidden="1" customHeight="1" outlineLevel="1" x14ac:dyDescent="0.25">
      <c r="A15300" s="18">
        <v>5104</v>
      </c>
      <c r="B15300" s="4" t="s">
        <v>44</v>
      </c>
      <c r="C15300" s="38" t="s">
        <v>12814</v>
      </c>
      <c r="D15300" s="18">
        <v>2023</v>
      </c>
      <c r="E15300" s="18" t="s">
        <v>0</v>
      </c>
      <c r="F15300" s="41">
        <v>1</v>
      </c>
      <c r="G15300" s="41">
        <v>15</v>
      </c>
      <c r="H15300" s="41">
        <v>36.29712</v>
      </c>
      <c r="I15300" s="221"/>
      <c r="J15300" s="221"/>
    </row>
    <row r="15301" spans="1:10" s="15" customFormat="1" ht="24" hidden="1" customHeight="1" outlineLevel="1" x14ac:dyDescent="0.25">
      <c r="A15301" s="18">
        <v>1210</v>
      </c>
      <c r="B15301" s="4" t="s">
        <v>44</v>
      </c>
      <c r="C15301" s="38" t="s">
        <v>12815</v>
      </c>
      <c r="D15301" s="18">
        <v>2023</v>
      </c>
      <c r="E15301" s="18" t="s">
        <v>0</v>
      </c>
      <c r="F15301" s="41">
        <v>1</v>
      </c>
      <c r="G15301" s="41">
        <v>15</v>
      </c>
      <c r="H15301" s="41">
        <v>36.5503</v>
      </c>
      <c r="I15301" s="221"/>
      <c r="J15301" s="221"/>
    </row>
    <row r="15302" spans="1:10" s="15" customFormat="1" ht="24" hidden="1" customHeight="1" outlineLevel="1" x14ac:dyDescent="0.25">
      <c r="A15302" s="18">
        <v>3560</v>
      </c>
      <c r="B15302" s="4" t="s">
        <v>44</v>
      </c>
      <c r="C15302" s="38" t="s">
        <v>12816</v>
      </c>
      <c r="D15302" s="18">
        <v>2023</v>
      </c>
      <c r="E15302" s="18" t="s">
        <v>0</v>
      </c>
      <c r="F15302" s="41">
        <v>1</v>
      </c>
      <c r="G15302" s="41">
        <v>15</v>
      </c>
      <c r="H15302" s="41">
        <v>36.48657</v>
      </c>
      <c r="I15302" s="221"/>
      <c r="J15302" s="221"/>
    </row>
    <row r="15303" spans="1:10" s="15" customFormat="1" ht="24" hidden="1" customHeight="1" outlineLevel="1" x14ac:dyDescent="0.25">
      <c r="A15303" s="18">
        <v>3544</v>
      </c>
      <c r="B15303" s="4" t="s">
        <v>44</v>
      </c>
      <c r="C15303" s="38" t="s">
        <v>12817</v>
      </c>
      <c r="D15303" s="18">
        <v>2023</v>
      </c>
      <c r="E15303" s="18" t="s">
        <v>0</v>
      </c>
      <c r="F15303" s="41">
        <v>1</v>
      </c>
      <c r="G15303" s="41">
        <v>10</v>
      </c>
      <c r="H15303" s="41">
        <v>36.486580000000004</v>
      </c>
      <c r="I15303" s="221"/>
      <c r="J15303" s="221"/>
    </row>
    <row r="15304" spans="1:10" s="15" customFormat="1" ht="24" hidden="1" customHeight="1" outlineLevel="1" x14ac:dyDescent="0.25">
      <c r="A15304" s="18">
        <v>3579</v>
      </c>
      <c r="B15304" s="4" t="s">
        <v>44</v>
      </c>
      <c r="C15304" s="38" t="s">
        <v>12818</v>
      </c>
      <c r="D15304" s="18">
        <v>2023</v>
      </c>
      <c r="E15304" s="18" t="s">
        <v>0</v>
      </c>
      <c r="F15304" s="41">
        <v>1</v>
      </c>
      <c r="G15304" s="41">
        <v>12</v>
      </c>
      <c r="H15304" s="41">
        <v>36.486580000000004</v>
      </c>
      <c r="I15304" s="221"/>
      <c r="J15304" s="221"/>
    </row>
    <row r="15305" spans="1:10" s="15" customFormat="1" ht="24" hidden="1" customHeight="1" outlineLevel="1" x14ac:dyDescent="0.25">
      <c r="A15305" s="18">
        <v>837</v>
      </c>
      <c r="B15305" s="4" t="s">
        <v>44</v>
      </c>
      <c r="C15305" s="38" t="s">
        <v>12819</v>
      </c>
      <c r="D15305" s="18">
        <v>2023</v>
      </c>
      <c r="E15305" s="18" t="s">
        <v>0</v>
      </c>
      <c r="F15305" s="41">
        <v>1</v>
      </c>
      <c r="G15305" s="41">
        <v>15</v>
      </c>
      <c r="H15305" s="41">
        <v>36.485519999999994</v>
      </c>
      <c r="I15305" s="221"/>
      <c r="J15305" s="221"/>
    </row>
    <row r="15306" spans="1:10" s="15" customFormat="1" ht="24" hidden="1" customHeight="1" outlineLevel="1" x14ac:dyDescent="0.25">
      <c r="A15306" s="18">
        <v>3582</v>
      </c>
      <c r="B15306" s="4" t="s">
        <v>44</v>
      </c>
      <c r="C15306" s="38" t="s">
        <v>12820</v>
      </c>
      <c r="D15306" s="18">
        <v>2023</v>
      </c>
      <c r="E15306" s="18" t="s">
        <v>0</v>
      </c>
      <c r="F15306" s="41">
        <v>1</v>
      </c>
      <c r="G15306" s="41">
        <v>15</v>
      </c>
      <c r="H15306" s="41">
        <v>36.48657</v>
      </c>
      <c r="I15306" s="221"/>
      <c r="J15306" s="221"/>
    </row>
    <row r="15307" spans="1:10" s="15" customFormat="1" ht="24" hidden="1" customHeight="1" outlineLevel="1" x14ac:dyDescent="0.25">
      <c r="A15307" s="18">
        <v>3603</v>
      </c>
      <c r="B15307" s="4" t="s">
        <v>44</v>
      </c>
      <c r="C15307" s="38" t="s">
        <v>12821</v>
      </c>
      <c r="D15307" s="18">
        <v>2023</v>
      </c>
      <c r="E15307" s="18" t="s">
        <v>0</v>
      </c>
      <c r="F15307" s="41">
        <v>1</v>
      </c>
      <c r="G15307" s="41">
        <v>14</v>
      </c>
      <c r="H15307" s="41">
        <v>36.48657</v>
      </c>
      <c r="I15307" s="221"/>
      <c r="J15307" s="221"/>
    </row>
    <row r="15308" spans="1:10" s="15" customFormat="1" ht="24" hidden="1" customHeight="1" outlineLevel="1" x14ac:dyDescent="0.25">
      <c r="A15308" s="18">
        <v>3581</v>
      </c>
      <c r="B15308" s="4" t="s">
        <v>44</v>
      </c>
      <c r="C15308" s="38" t="s">
        <v>12822</v>
      </c>
      <c r="D15308" s="18">
        <v>2023</v>
      </c>
      <c r="E15308" s="18" t="s">
        <v>0</v>
      </c>
      <c r="F15308" s="41">
        <v>1</v>
      </c>
      <c r="G15308" s="41">
        <v>15</v>
      </c>
      <c r="H15308" s="41">
        <v>36.48657</v>
      </c>
      <c r="I15308" s="221"/>
      <c r="J15308" s="221"/>
    </row>
    <row r="15309" spans="1:10" s="15" customFormat="1" ht="24" hidden="1" customHeight="1" outlineLevel="1" x14ac:dyDescent="0.25">
      <c r="A15309" s="18">
        <v>3598</v>
      </c>
      <c r="B15309" s="4" t="s">
        <v>44</v>
      </c>
      <c r="C15309" s="38" t="s">
        <v>12823</v>
      </c>
      <c r="D15309" s="18">
        <v>2023</v>
      </c>
      <c r="E15309" s="18" t="s">
        <v>0</v>
      </c>
      <c r="F15309" s="41">
        <v>1</v>
      </c>
      <c r="G15309" s="41">
        <v>15</v>
      </c>
      <c r="H15309" s="41">
        <v>36.486580000000004</v>
      </c>
      <c r="I15309" s="221"/>
      <c r="J15309" s="221"/>
    </row>
    <row r="15310" spans="1:10" s="15" customFormat="1" ht="24" hidden="1" customHeight="1" outlineLevel="1" x14ac:dyDescent="0.25">
      <c r="A15310" s="18">
        <v>3596</v>
      </c>
      <c r="B15310" s="4" t="s">
        <v>44</v>
      </c>
      <c r="C15310" s="38" t="s">
        <v>12824</v>
      </c>
      <c r="D15310" s="18">
        <v>2023</v>
      </c>
      <c r="E15310" s="18" t="s">
        <v>0</v>
      </c>
      <c r="F15310" s="41">
        <v>1</v>
      </c>
      <c r="G15310" s="41">
        <v>11</v>
      </c>
      <c r="H15310" s="41">
        <v>36.48657</v>
      </c>
      <c r="I15310" s="221"/>
      <c r="J15310" s="221"/>
    </row>
    <row r="15311" spans="1:10" s="15" customFormat="1" ht="24" hidden="1" customHeight="1" outlineLevel="1" x14ac:dyDescent="0.25">
      <c r="A15311" s="18">
        <v>3591</v>
      </c>
      <c r="B15311" s="4" t="s">
        <v>44</v>
      </c>
      <c r="C15311" s="38" t="s">
        <v>12825</v>
      </c>
      <c r="D15311" s="18">
        <v>2023</v>
      </c>
      <c r="E15311" s="18" t="s">
        <v>0</v>
      </c>
      <c r="F15311" s="41">
        <v>1</v>
      </c>
      <c r="G15311" s="41">
        <v>11</v>
      </c>
      <c r="H15311" s="41">
        <v>36.486580000000004</v>
      </c>
      <c r="I15311" s="221"/>
      <c r="J15311" s="221"/>
    </row>
    <row r="15312" spans="1:10" s="15" customFormat="1" ht="24" hidden="1" customHeight="1" outlineLevel="1" x14ac:dyDescent="0.25">
      <c r="A15312" s="18">
        <v>3643</v>
      </c>
      <c r="B15312" s="4" t="s">
        <v>44</v>
      </c>
      <c r="C15312" s="38" t="s">
        <v>12826</v>
      </c>
      <c r="D15312" s="18">
        <v>2023</v>
      </c>
      <c r="E15312" s="18" t="s">
        <v>0</v>
      </c>
      <c r="F15312" s="41">
        <v>1</v>
      </c>
      <c r="G15312" s="41">
        <v>15</v>
      </c>
      <c r="H15312" s="41">
        <v>36.48657</v>
      </c>
      <c r="I15312" s="221"/>
      <c r="J15312" s="221"/>
    </row>
    <row r="15313" spans="1:10" s="15" customFormat="1" ht="24" hidden="1" customHeight="1" outlineLevel="1" x14ac:dyDescent="0.25">
      <c r="A15313" s="18">
        <v>3641</v>
      </c>
      <c r="B15313" s="4" t="s">
        <v>44</v>
      </c>
      <c r="C15313" s="38" t="s">
        <v>12827</v>
      </c>
      <c r="D15313" s="18">
        <v>2023</v>
      </c>
      <c r="E15313" s="18" t="s">
        <v>0</v>
      </c>
      <c r="F15313" s="41">
        <v>1</v>
      </c>
      <c r="G15313" s="41">
        <v>11</v>
      </c>
      <c r="H15313" s="41">
        <v>36.486580000000004</v>
      </c>
      <c r="I15313" s="221"/>
      <c r="J15313" s="221"/>
    </row>
    <row r="15314" spans="1:10" s="15" customFormat="1" ht="24" hidden="1" customHeight="1" outlineLevel="1" x14ac:dyDescent="0.25">
      <c r="A15314" s="18">
        <v>3613</v>
      </c>
      <c r="B15314" s="4" t="s">
        <v>44</v>
      </c>
      <c r="C15314" s="38" t="s">
        <v>12828</v>
      </c>
      <c r="D15314" s="18">
        <v>2023</v>
      </c>
      <c r="E15314" s="18" t="s">
        <v>0</v>
      </c>
      <c r="F15314" s="41">
        <v>1</v>
      </c>
      <c r="G15314" s="41">
        <v>5</v>
      </c>
      <c r="H15314" s="41">
        <v>36.486620000000002</v>
      </c>
      <c r="I15314" s="221"/>
      <c r="J15314" s="221"/>
    </row>
    <row r="15315" spans="1:10" s="15" customFormat="1" ht="24" hidden="1" customHeight="1" outlineLevel="1" x14ac:dyDescent="0.25">
      <c r="A15315" s="18">
        <v>3601</v>
      </c>
      <c r="B15315" s="4" t="s">
        <v>44</v>
      </c>
      <c r="C15315" s="38" t="s">
        <v>12829</v>
      </c>
      <c r="D15315" s="18">
        <v>2023</v>
      </c>
      <c r="E15315" s="18" t="s">
        <v>0</v>
      </c>
      <c r="F15315" s="41">
        <v>1</v>
      </c>
      <c r="G15315" s="41">
        <v>15</v>
      </c>
      <c r="H15315" s="41">
        <v>36.48657</v>
      </c>
      <c r="I15315" s="221"/>
      <c r="J15315" s="221"/>
    </row>
    <row r="15316" spans="1:10" s="15" customFormat="1" ht="24" hidden="1" customHeight="1" outlineLevel="1" x14ac:dyDescent="0.25">
      <c r="A15316" s="18">
        <v>3648</v>
      </c>
      <c r="B15316" s="4" t="s">
        <v>44</v>
      </c>
      <c r="C15316" s="38" t="s">
        <v>12830</v>
      </c>
      <c r="D15316" s="18">
        <v>2023</v>
      </c>
      <c r="E15316" s="18" t="s">
        <v>0</v>
      </c>
      <c r="F15316" s="41">
        <v>1</v>
      </c>
      <c r="G15316" s="41">
        <v>14</v>
      </c>
      <c r="H15316" s="41">
        <v>36.486580000000004</v>
      </c>
      <c r="I15316" s="221"/>
      <c r="J15316" s="221"/>
    </row>
    <row r="15317" spans="1:10" s="15" customFormat="1" ht="24" hidden="1" customHeight="1" outlineLevel="1" x14ac:dyDescent="0.25">
      <c r="A15317" s="18">
        <v>3699</v>
      </c>
      <c r="B15317" s="4" t="s">
        <v>44</v>
      </c>
      <c r="C15317" s="38" t="s">
        <v>12831</v>
      </c>
      <c r="D15317" s="18">
        <v>2023</v>
      </c>
      <c r="E15317" s="18" t="s">
        <v>0</v>
      </c>
      <c r="F15317" s="41">
        <v>1</v>
      </c>
      <c r="G15317" s="41">
        <v>15</v>
      </c>
      <c r="H15317" s="41">
        <v>36.48657</v>
      </c>
      <c r="I15317" s="221"/>
      <c r="J15317" s="221"/>
    </row>
    <row r="15318" spans="1:10" s="15" customFormat="1" ht="24" hidden="1" customHeight="1" outlineLevel="1" x14ac:dyDescent="0.25">
      <c r="A15318" s="18">
        <v>3740</v>
      </c>
      <c r="B15318" s="4" t="s">
        <v>44</v>
      </c>
      <c r="C15318" s="38" t="s">
        <v>12832</v>
      </c>
      <c r="D15318" s="18">
        <v>2023</v>
      </c>
      <c r="E15318" s="18" t="s">
        <v>0</v>
      </c>
      <c r="F15318" s="41">
        <v>1</v>
      </c>
      <c r="G15318" s="41">
        <v>12</v>
      </c>
      <c r="H15318" s="41">
        <v>36.486580000000004</v>
      </c>
      <c r="I15318" s="221"/>
      <c r="J15318" s="221"/>
    </row>
    <row r="15319" spans="1:10" s="15" customFormat="1" ht="24" hidden="1" customHeight="1" outlineLevel="1" x14ac:dyDescent="0.25">
      <c r="A15319" s="18">
        <v>3802</v>
      </c>
      <c r="B15319" s="4" t="s">
        <v>44</v>
      </c>
      <c r="C15319" s="38" t="s">
        <v>12833</v>
      </c>
      <c r="D15319" s="18">
        <v>2023</v>
      </c>
      <c r="E15319" s="18" t="s">
        <v>0</v>
      </c>
      <c r="F15319" s="41">
        <v>1</v>
      </c>
      <c r="G15319" s="41">
        <v>15</v>
      </c>
      <c r="H15319" s="41">
        <v>13.787040000000001</v>
      </c>
      <c r="I15319" s="221"/>
      <c r="J15319" s="221"/>
    </row>
    <row r="15320" spans="1:10" s="15" customFormat="1" ht="24" hidden="1" customHeight="1" outlineLevel="1" x14ac:dyDescent="0.25">
      <c r="A15320" s="18">
        <v>553</v>
      </c>
      <c r="B15320" s="4" t="s">
        <v>44</v>
      </c>
      <c r="C15320" s="38" t="s">
        <v>12834</v>
      </c>
      <c r="D15320" s="18">
        <v>2023</v>
      </c>
      <c r="E15320" s="18" t="s">
        <v>0</v>
      </c>
      <c r="F15320" s="41">
        <v>1</v>
      </c>
      <c r="G15320" s="41">
        <v>15</v>
      </c>
      <c r="H15320" s="41">
        <v>36.48657</v>
      </c>
      <c r="I15320" s="221"/>
      <c r="J15320" s="221"/>
    </row>
    <row r="15321" spans="1:10" s="15" customFormat="1" ht="24" hidden="1" customHeight="1" outlineLevel="1" x14ac:dyDescent="0.25">
      <c r="A15321" s="18">
        <v>5123</v>
      </c>
      <c r="B15321" s="4" t="s">
        <v>44</v>
      </c>
      <c r="C15321" s="38" t="s">
        <v>12835</v>
      </c>
      <c r="D15321" s="18">
        <v>2023</v>
      </c>
      <c r="E15321" s="18" t="s">
        <v>0</v>
      </c>
      <c r="F15321" s="41">
        <v>1</v>
      </c>
      <c r="G15321" s="41">
        <v>2</v>
      </c>
      <c r="H15321" s="41">
        <v>36.859969999999997</v>
      </c>
      <c r="I15321" s="221"/>
      <c r="J15321" s="221"/>
    </row>
    <row r="15322" spans="1:10" s="15" customFormat="1" ht="24" hidden="1" customHeight="1" outlineLevel="1" x14ac:dyDescent="0.25">
      <c r="A15322" s="18">
        <v>5124</v>
      </c>
      <c r="B15322" s="4" t="s">
        <v>44</v>
      </c>
      <c r="C15322" s="38" t="s">
        <v>12836</v>
      </c>
      <c r="D15322" s="18">
        <v>2023</v>
      </c>
      <c r="E15322" s="18" t="s">
        <v>0</v>
      </c>
      <c r="F15322" s="41">
        <v>1</v>
      </c>
      <c r="G15322" s="41">
        <v>2</v>
      </c>
      <c r="H15322" s="41">
        <v>36.798090000000002</v>
      </c>
      <c r="I15322" s="221"/>
      <c r="J15322" s="221"/>
    </row>
    <row r="15323" spans="1:10" s="15" customFormat="1" ht="24" hidden="1" customHeight="1" outlineLevel="1" x14ac:dyDescent="0.25">
      <c r="A15323" s="18">
        <v>5125</v>
      </c>
      <c r="B15323" s="4" t="s">
        <v>44</v>
      </c>
      <c r="C15323" s="38" t="s">
        <v>12837</v>
      </c>
      <c r="D15323" s="18">
        <v>2023</v>
      </c>
      <c r="E15323" s="18" t="s">
        <v>0</v>
      </c>
      <c r="F15323" s="41">
        <v>1</v>
      </c>
      <c r="G15323" s="41">
        <v>2</v>
      </c>
      <c r="H15323" s="41">
        <v>37.159820000000003</v>
      </c>
      <c r="I15323" s="221"/>
      <c r="J15323" s="221"/>
    </row>
    <row r="15324" spans="1:10" s="15" customFormat="1" ht="24" hidden="1" customHeight="1" outlineLevel="1" x14ac:dyDescent="0.25">
      <c r="A15324" s="18">
        <v>5126</v>
      </c>
      <c r="B15324" s="4" t="s">
        <v>44</v>
      </c>
      <c r="C15324" s="38" t="s">
        <v>12838</v>
      </c>
      <c r="D15324" s="18">
        <v>2023</v>
      </c>
      <c r="E15324" s="18" t="s">
        <v>0</v>
      </c>
      <c r="F15324" s="41">
        <v>1</v>
      </c>
      <c r="G15324" s="41">
        <v>6.2</v>
      </c>
      <c r="H15324" s="41">
        <v>37.396660000000004</v>
      </c>
      <c r="I15324" s="221"/>
      <c r="J15324" s="221"/>
    </row>
    <row r="15325" spans="1:10" s="15" customFormat="1" ht="24" hidden="1" customHeight="1" outlineLevel="1" x14ac:dyDescent="0.25">
      <c r="A15325" s="18">
        <v>5127</v>
      </c>
      <c r="B15325" s="4" t="s">
        <v>44</v>
      </c>
      <c r="C15325" s="38" t="s">
        <v>12839</v>
      </c>
      <c r="D15325" s="18">
        <v>2023</v>
      </c>
      <c r="E15325" s="18" t="s">
        <v>0</v>
      </c>
      <c r="F15325" s="41">
        <v>1</v>
      </c>
      <c r="G15325" s="41">
        <v>2</v>
      </c>
      <c r="H15325" s="41">
        <v>37.100010000000005</v>
      </c>
      <c r="I15325" s="221"/>
      <c r="J15325" s="221"/>
    </row>
    <row r="15326" spans="1:10" s="15" customFormat="1" ht="24" hidden="1" customHeight="1" outlineLevel="1" x14ac:dyDescent="0.25">
      <c r="A15326" s="18">
        <v>5128</v>
      </c>
      <c r="B15326" s="4" t="s">
        <v>44</v>
      </c>
      <c r="C15326" s="38" t="s">
        <v>12840</v>
      </c>
      <c r="D15326" s="18">
        <v>2023</v>
      </c>
      <c r="E15326" s="18" t="s">
        <v>0</v>
      </c>
      <c r="F15326" s="41">
        <v>1</v>
      </c>
      <c r="G15326" s="41">
        <v>2</v>
      </c>
      <c r="H15326" s="41">
        <v>37.443690000000004</v>
      </c>
      <c r="I15326" s="221"/>
      <c r="J15326" s="221"/>
    </row>
    <row r="15327" spans="1:10" s="15" customFormat="1" ht="24" hidden="1" customHeight="1" outlineLevel="1" x14ac:dyDescent="0.25">
      <c r="A15327" s="18">
        <v>5129</v>
      </c>
      <c r="B15327" s="4" t="s">
        <v>44</v>
      </c>
      <c r="C15327" s="38" t="s">
        <v>12841</v>
      </c>
      <c r="D15327" s="18">
        <v>2023</v>
      </c>
      <c r="E15327" s="18" t="s">
        <v>0</v>
      </c>
      <c r="F15327" s="41">
        <v>1</v>
      </c>
      <c r="G15327" s="41">
        <v>2</v>
      </c>
      <c r="H15327" s="41">
        <v>42.208000000000006</v>
      </c>
      <c r="I15327" s="221"/>
      <c r="J15327" s="221"/>
    </row>
    <row r="15328" spans="1:10" s="15" customFormat="1" ht="24" hidden="1" customHeight="1" outlineLevel="1" x14ac:dyDescent="0.25">
      <c r="A15328" s="18">
        <v>5130</v>
      </c>
      <c r="B15328" s="4" t="s">
        <v>44</v>
      </c>
      <c r="C15328" s="38" t="s">
        <v>12842</v>
      </c>
      <c r="D15328" s="18">
        <v>2023</v>
      </c>
      <c r="E15328" s="18" t="s">
        <v>0</v>
      </c>
      <c r="F15328" s="41">
        <v>1</v>
      </c>
      <c r="G15328" s="41">
        <v>2</v>
      </c>
      <c r="H15328" s="41">
        <v>40.661099999999998</v>
      </c>
      <c r="I15328" s="221"/>
      <c r="J15328" s="221"/>
    </row>
    <row r="15329" spans="1:10" s="15" customFormat="1" ht="24" hidden="1" customHeight="1" outlineLevel="1" x14ac:dyDescent="0.25">
      <c r="A15329" s="18">
        <v>5131</v>
      </c>
      <c r="B15329" s="4" t="s">
        <v>44</v>
      </c>
      <c r="C15329" s="38" t="s">
        <v>12843</v>
      </c>
      <c r="D15329" s="18">
        <v>2023</v>
      </c>
      <c r="E15329" s="18" t="s">
        <v>0</v>
      </c>
      <c r="F15329" s="41">
        <v>1</v>
      </c>
      <c r="G15329" s="41">
        <v>2</v>
      </c>
      <c r="H15329" s="41">
        <v>37.415839999999996</v>
      </c>
      <c r="I15329" s="221"/>
      <c r="J15329" s="221"/>
    </row>
    <row r="15330" spans="1:10" s="15" customFormat="1" ht="24" hidden="1" customHeight="1" outlineLevel="1" x14ac:dyDescent="0.25">
      <c r="A15330" s="18">
        <v>5132</v>
      </c>
      <c r="B15330" s="4" t="s">
        <v>44</v>
      </c>
      <c r="C15330" s="38" t="s">
        <v>12844</v>
      </c>
      <c r="D15330" s="18">
        <v>2023</v>
      </c>
      <c r="E15330" s="18" t="s">
        <v>0</v>
      </c>
      <c r="F15330" s="41">
        <v>1</v>
      </c>
      <c r="G15330" s="41">
        <v>2</v>
      </c>
      <c r="H15330" s="41">
        <v>38.815889999999996</v>
      </c>
      <c r="I15330" s="221"/>
      <c r="J15330" s="221"/>
    </row>
    <row r="15331" spans="1:10" s="15" customFormat="1" ht="24" hidden="1" customHeight="1" outlineLevel="1" x14ac:dyDescent="0.25">
      <c r="A15331" s="18">
        <v>5133</v>
      </c>
      <c r="B15331" s="4" t="s">
        <v>44</v>
      </c>
      <c r="C15331" s="38" t="s">
        <v>12845</v>
      </c>
      <c r="D15331" s="18">
        <v>2023</v>
      </c>
      <c r="E15331" s="18" t="s">
        <v>0</v>
      </c>
      <c r="F15331" s="41">
        <v>1</v>
      </c>
      <c r="G15331" s="41">
        <v>2</v>
      </c>
      <c r="H15331" s="41">
        <v>39.720330000000004</v>
      </c>
      <c r="I15331" s="221"/>
      <c r="J15331" s="221"/>
    </row>
    <row r="15332" spans="1:10" s="15" customFormat="1" ht="24" hidden="1" customHeight="1" outlineLevel="1" x14ac:dyDescent="0.25">
      <c r="A15332" s="18">
        <v>5134</v>
      </c>
      <c r="B15332" s="4" t="s">
        <v>44</v>
      </c>
      <c r="C15332" s="38" t="s">
        <v>12846</v>
      </c>
      <c r="D15332" s="18">
        <v>2023</v>
      </c>
      <c r="E15332" s="18" t="s">
        <v>0</v>
      </c>
      <c r="F15332" s="41">
        <v>1</v>
      </c>
      <c r="G15332" s="41">
        <v>2</v>
      </c>
      <c r="H15332" s="41">
        <v>40.858330000000002</v>
      </c>
      <c r="I15332" s="221"/>
      <c r="J15332" s="221"/>
    </row>
    <row r="15333" spans="1:10" s="15" customFormat="1" ht="24" hidden="1" customHeight="1" outlineLevel="1" x14ac:dyDescent="0.25">
      <c r="A15333" s="18">
        <v>5135</v>
      </c>
      <c r="B15333" s="4" t="s">
        <v>44</v>
      </c>
      <c r="C15333" s="38" t="s">
        <v>12847</v>
      </c>
      <c r="D15333" s="18">
        <v>2023</v>
      </c>
      <c r="E15333" s="18" t="s">
        <v>0</v>
      </c>
      <c r="F15333" s="41">
        <v>1</v>
      </c>
      <c r="G15333" s="41">
        <v>2</v>
      </c>
      <c r="H15333" s="41">
        <v>37.23742</v>
      </c>
      <c r="I15333" s="221"/>
      <c r="J15333" s="221"/>
    </row>
    <row r="15334" spans="1:10" s="15" customFormat="1" ht="24" hidden="1" customHeight="1" outlineLevel="1" x14ac:dyDescent="0.25">
      <c r="A15334" s="18">
        <v>1295</v>
      </c>
      <c r="B15334" s="4" t="s">
        <v>44</v>
      </c>
      <c r="C15334" s="38" t="s">
        <v>12848</v>
      </c>
      <c r="D15334" s="18">
        <v>2023</v>
      </c>
      <c r="E15334" s="18" t="s">
        <v>0</v>
      </c>
      <c r="F15334" s="41">
        <v>1</v>
      </c>
      <c r="G15334" s="41">
        <v>7</v>
      </c>
      <c r="H15334" s="41">
        <v>37.11159</v>
      </c>
      <c r="I15334" s="221"/>
      <c r="J15334" s="221"/>
    </row>
    <row r="15335" spans="1:10" s="15" customFormat="1" ht="24" hidden="1" customHeight="1" outlineLevel="1" x14ac:dyDescent="0.25">
      <c r="A15335" s="18">
        <v>5138</v>
      </c>
      <c r="B15335" s="4" t="s">
        <v>44</v>
      </c>
      <c r="C15335" s="38" t="s">
        <v>12849</v>
      </c>
      <c r="D15335" s="18">
        <v>2023</v>
      </c>
      <c r="E15335" s="18" t="s">
        <v>0</v>
      </c>
      <c r="F15335" s="41">
        <v>1</v>
      </c>
      <c r="G15335" s="41">
        <v>15</v>
      </c>
      <c r="H15335" s="41">
        <v>36.852339999999998</v>
      </c>
      <c r="I15335" s="221"/>
      <c r="J15335" s="221"/>
    </row>
    <row r="15336" spans="1:10" s="15" customFormat="1" ht="24" hidden="1" customHeight="1" outlineLevel="1" x14ac:dyDescent="0.25">
      <c r="A15336" s="18">
        <v>5141</v>
      </c>
      <c r="B15336" s="4" t="s">
        <v>44</v>
      </c>
      <c r="C15336" s="38" t="s">
        <v>12850</v>
      </c>
      <c r="D15336" s="18">
        <v>2023</v>
      </c>
      <c r="E15336" s="18" t="s">
        <v>0</v>
      </c>
      <c r="F15336" s="41">
        <v>1</v>
      </c>
      <c r="G15336" s="41">
        <v>10</v>
      </c>
      <c r="H15336" s="41">
        <v>36.550309999999996</v>
      </c>
      <c r="I15336" s="221"/>
      <c r="J15336" s="221"/>
    </row>
    <row r="15337" spans="1:10" s="15" customFormat="1" ht="24" hidden="1" customHeight="1" outlineLevel="1" x14ac:dyDescent="0.25">
      <c r="A15337" s="18">
        <v>1074</v>
      </c>
      <c r="B15337" s="4" t="s">
        <v>44</v>
      </c>
      <c r="C15337" s="38" t="s">
        <v>12851</v>
      </c>
      <c r="D15337" s="18">
        <v>2023</v>
      </c>
      <c r="E15337" s="18" t="s">
        <v>0</v>
      </c>
      <c r="F15337" s="41">
        <v>1</v>
      </c>
      <c r="G15337" s="41">
        <v>15</v>
      </c>
      <c r="H15337" s="41">
        <v>36.646949999999997</v>
      </c>
      <c r="I15337" s="221"/>
      <c r="J15337" s="221"/>
    </row>
    <row r="15338" spans="1:10" s="15" customFormat="1" ht="24" hidden="1" customHeight="1" outlineLevel="1" x14ac:dyDescent="0.25">
      <c r="A15338" s="18">
        <v>3516</v>
      </c>
      <c r="B15338" s="4" t="s">
        <v>44</v>
      </c>
      <c r="C15338" s="38" t="s">
        <v>12852</v>
      </c>
      <c r="D15338" s="18">
        <v>2023</v>
      </c>
      <c r="E15338" s="18" t="s">
        <v>0</v>
      </c>
      <c r="F15338" s="41">
        <v>1</v>
      </c>
      <c r="G15338" s="41">
        <v>10</v>
      </c>
      <c r="H15338" s="41">
        <v>36.297110000000004</v>
      </c>
      <c r="I15338" s="221"/>
      <c r="J15338" s="221"/>
    </row>
    <row r="15339" spans="1:10" s="15" customFormat="1" ht="24" hidden="1" customHeight="1" outlineLevel="1" x14ac:dyDescent="0.25">
      <c r="A15339" s="18">
        <v>888</v>
      </c>
      <c r="B15339" s="4" t="s">
        <v>44</v>
      </c>
      <c r="C15339" s="38" t="s">
        <v>12853</v>
      </c>
      <c r="D15339" s="18">
        <v>2023</v>
      </c>
      <c r="E15339" s="18" t="s">
        <v>0</v>
      </c>
      <c r="F15339" s="41">
        <v>1</v>
      </c>
      <c r="G15339" s="41">
        <v>15</v>
      </c>
      <c r="H15339" s="41">
        <v>38.387169999999998</v>
      </c>
      <c r="I15339" s="221"/>
      <c r="J15339" s="221"/>
    </row>
    <row r="15340" spans="1:10" s="15" customFormat="1" ht="24" hidden="1" customHeight="1" outlineLevel="1" x14ac:dyDescent="0.25">
      <c r="A15340" s="18">
        <v>3514</v>
      </c>
      <c r="B15340" s="4" t="s">
        <v>44</v>
      </c>
      <c r="C15340" s="38" t="s">
        <v>12854</v>
      </c>
      <c r="D15340" s="18">
        <v>2023</v>
      </c>
      <c r="E15340" s="18" t="s">
        <v>0</v>
      </c>
      <c r="F15340" s="41">
        <v>1</v>
      </c>
      <c r="G15340" s="41">
        <v>15</v>
      </c>
      <c r="H15340" s="41">
        <v>36.646949999999997</v>
      </c>
      <c r="I15340" s="221"/>
      <c r="J15340" s="221"/>
    </row>
    <row r="15341" spans="1:10" s="15" customFormat="1" ht="24" hidden="1" customHeight="1" outlineLevel="1" x14ac:dyDescent="0.25">
      <c r="A15341" s="18">
        <v>5142</v>
      </c>
      <c r="B15341" s="4" t="s">
        <v>44</v>
      </c>
      <c r="C15341" s="38" t="s">
        <v>12855</v>
      </c>
      <c r="D15341" s="18">
        <v>2023</v>
      </c>
      <c r="E15341" s="18" t="s">
        <v>0</v>
      </c>
      <c r="F15341" s="41">
        <v>1</v>
      </c>
      <c r="G15341" s="41">
        <v>40</v>
      </c>
      <c r="H15341" s="41">
        <v>36.5503</v>
      </c>
      <c r="I15341" s="221"/>
      <c r="J15341" s="221"/>
    </row>
    <row r="15342" spans="1:10" s="15" customFormat="1" ht="24" hidden="1" customHeight="1" outlineLevel="1" x14ac:dyDescent="0.25">
      <c r="A15342" s="18">
        <v>3458</v>
      </c>
      <c r="B15342" s="4" t="s">
        <v>44</v>
      </c>
      <c r="C15342" s="38" t="s">
        <v>12856</v>
      </c>
      <c r="D15342" s="18">
        <v>2023</v>
      </c>
      <c r="E15342" s="18" t="s">
        <v>0</v>
      </c>
      <c r="F15342" s="41">
        <v>1</v>
      </c>
      <c r="G15342" s="41">
        <v>10</v>
      </c>
      <c r="H15342" s="41">
        <v>36.646949999999997</v>
      </c>
      <c r="I15342" s="221"/>
      <c r="J15342" s="221"/>
    </row>
    <row r="15343" spans="1:10" s="15" customFormat="1" ht="24" hidden="1" customHeight="1" outlineLevel="1" x14ac:dyDescent="0.25">
      <c r="A15343" s="18">
        <v>3566</v>
      </c>
      <c r="B15343" s="4" t="s">
        <v>44</v>
      </c>
      <c r="C15343" s="38" t="s">
        <v>12857</v>
      </c>
      <c r="D15343" s="18">
        <v>2023</v>
      </c>
      <c r="E15343" s="18" t="s">
        <v>0</v>
      </c>
      <c r="F15343" s="41">
        <v>1</v>
      </c>
      <c r="G15343" s="41">
        <v>10</v>
      </c>
      <c r="H15343" s="41">
        <v>36.64696</v>
      </c>
      <c r="I15343" s="221"/>
      <c r="J15343" s="221"/>
    </row>
    <row r="15344" spans="1:10" s="15" customFormat="1" ht="24" hidden="1" customHeight="1" outlineLevel="1" x14ac:dyDescent="0.25">
      <c r="A15344" s="18">
        <v>3568</v>
      </c>
      <c r="B15344" s="4" t="s">
        <v>44</v>
      </c>
      <c r="C15344" s="38" t="s">
        <v>12858</v>
      </c>
      <c r="D15344" s="18">
        <v>2023</v>
      </c>
      <c r="E15344" s="18" t="s">
        <v>0</v>
      </c>
      <c r="F15344" s="41">
        <v>1</v>
      </c>
      <c r="G15344" s="41">
        <v>15</v>
      </c>
      <c r="H15344" s="41">
        <v>36.646949999999997</v>
      </c>
      <c r="I15344" s="221"/>
      <c r="J15344" s="221"/>
    </row>
    <row r="15345" spans="1:10" s="15" customFormat="1" ht="24" hidden="1" customHeight="1" outlineLevel="1" x14ac:dyDescent="0.25">
      <c r="A15345" s="18">
        <v>3570</v>
      </c>
      <c r="B15345" s="4" t="s">
        <v>44</v>
      </c>
      <c r="C15345" s="38" t="s">
        <v>12859</v>
      </c>
      <c r="D15345" s="18">
        <v>2023</v>
      </c>
      <c r="E15345" s="18" t="s">
        <v>0</v>
      </c>
      <c r="F15345" s="41">
        <v>1</v>
      </c>
      <c r="G15345" s="41">
        <v>5</v>
      </c>
      <c r="H15345" s="41">
        <v>36.64696</v>
      </c>
      <c r="I15345" s="221"/>
      <c r="J15345" s="221"/>
    </row>
    <row r="15346" spans="1:10" s="15" customFormat="1" ht="24" hidden="1" customHeight="1" outlineLevel="1" x14ac:dyDescent="0.25">
      <c r="A15346" s="18">
        <v>3620</v>
      </c>
      <c r="B15346" s="4" t="s">
        <v>44</v>
      </c>
      <c r="C15346" s="38" t="s">
        <v>12860</v>
      </c>
      <c r="D15346" s="18">
        <v>2023</v>
      </c>
      <c r="E15346" s="18" t="s">
        <v>0</v>
      </c>
      <c r="F15346" s="41">
        <v>1</v>
      </c>
      <c r="G15346" s="41">
        <v>15</v>
      </c>
      <c r="H15346" s="41">
        <v>36.646949999999997</v>
      </c>
      <c r="I15346" s="221"/>
      <c r="J15346" s="221"/>
    </row>
    <row r="15347" spans="1:10" s="15" customFormat="1" ht="24" hidden="1" customHeight="1" outlineLevel="1" x14ac:dyDescent="0.25">
      <c r="A15347" s="18">
        <v>3656</v>
      </c>
      <c r="B15347" s="4" t="s">
        <v>44</v>
      </c>
      <c r="C15347" s="38" t="s">
        <v>12861</v>
      </c>
      <c r="D15347" s="18">
        <v>2023</v>
      </c>
      <c r="E15347" s="18" t="s">
        <v>0</v>
      </c>
      <c r="F15347" s="41">
        <v>1</v>
      </c>
      <c r="G15347" s="41">
        <v>15</v>
      </c>
      <c r="H15347" s="41">
        <v>36.900169999999996</v>
      </c>
      <c r="I15347" s="221"/>
      <c r="J15347" s="221"/>
    </row>
    <row r="15348" spans="1:10" s="15" customFormat="1" ht="24" hidden="1" customHeight="1" outlineLevel="1" x14ac:dyDescent="0.25">
      <c r="A15348" s="18">
        <v>3694</v>
      </c>
      <c r="B15348" s="4" t="s">
        <v>44</v>
      </c>
      <c r="C15348" s="38" t="s">
        <v>12862</v>
      </c>
      <c r="D15348" s="18">
        <v>2023</v>
      </c>
      <c r="E15348" s="18" t="s">
        <v>0</v>
      </c>
      <c r="F15348" s="41">
        <v>1</v>
      </c>
      <c r="G15348" s="41">
        <v>15</v>
      </c>
      <c r="H15348" s="41">
        <v>37.058160000000008</v>
      </c>
      <c r="I15348" s="221"/>
      <c r="J15348" s="221"/>
    </row>
    <row r="15349" spans="1:10" s="15" customFormat="1" ht="24" hidden="1" customHeight="1" outlineLevel="1" x14ac:dyDescent="0.25">
      <c r="A15349" s="18">
        <v>3722</v>
      </c>
      <c r="B15349" s="4" t="s">
        <v>44</v>
      </c>
      <c r="C15349" s="38" t="s">
        <v>12863</v>
      </c>
      <c r="D15349" s="18">
        <v>2023</v>
      </c>
      <c r="E15349" s="18" t="s">
        <v>0</v>
      </c>
      <c r="F15349" s="41">
        <v>1</v>
      </c>
      <c r="G15349" s="41">
        <v>15</v>
      </c>
      <c r="H15349" s="41">
        <v>37.311340000000001</v>
      </c>
      <c r="I15349" s="221"/>
      <c r="J15349" s="221"/>
    </row>
    <row r="15350" spans="1:10" s="15" customFormat="1" ht="24" hidden="1" customHeight="1" outlineLevel="1" x14ac:dyDescent="0.25">
      <c r="A15350" s="18">
        <v>3762</v>
      </c>
      <c r="B15350" s="4" t="s">
        <v>44</v>
      </c>
      <c r="C15350" s="38" t="s">
        <v>12864</v>
      </c>
      <c r="D15350" s="18">
        <v>2023</v>
      </c>
      <c r="E15350" s="18" t="s">
        <v>0</v>
      </c>
      <c r="F15350" s="41">
        <v>1</v>
      </c>
      <c r="G15350" s="41">
        <v>15</v>
      </c>
      <c r="H15350" s="41">
        <v>37.058149999999998</v>
      </c>
      <c r="I15350" s="221"/>
      <c r="J15350" s="221"/>
    </row>
    <row r="15351" spans="1:10" s="15" customFormat="1" ht="24" hidden="1" customHeight="1" outlineLevel="1" x14ac:dyDescent="0.25">
      <c r="A15351" s="18">
        <v>5145</v>
      </c>
      <c r="B15351" s="4" t="s">
        <v>44</v>
      </c>
      <c r="C15351" s="38" t="s">
        <v>12865</v>
      </c>
      <c r="D15351" s="18">
        <v>2023</v>
      </c>
      <c r="E15351" s="18" t="s">
        <v>0</v>
      </c>
      <c r="F15351" s="41">
        <v>1</v>
      </c>
      <c r="G15351" s="41">
        <v>2</v>
      </c>
      <c r="H15351" s="41">
        <v>38.687900000000006</v>
      </c>
      <c r="I15351" s="221"/>
      <c r="J15351" s="221"/>
    </row>
    <row r="15352" spans="1:10" s="15" customFormat="1" ht="24" hidden="1" customHeight="1" outlineLevel="1" x14ac:dyDescent="0.25">
      <c r="A15352" s="18">
        <v>3923</v>
      </c>
      <c r="B15352" s="4" t="s">
        <v>44</v>
      </c>
      <c r="C15352" s="38" t="s">
        <v>12866</v>
      </c>
      <c r="D15352" s="18">
        <v>2023</v>
      </c>
      <c r="E15352" s="18" t="s">
        <v>0</v>
      </c>
      <c r="F15352" s="41">
        <v>1</v>
      </c>
      <c r="G15352" s="41">
        <v>15</v>
      </c>
      <c r="H15352" s="41">
        <v>36.623139999999999</v>
      </c>
      <c r="I15352" s="221"/>
      <c r="J15352" s="221"/>
    </row>
    <row r="15353" spans="1:10" s="15" customFormat="1" ht="24" hidden="1" customHeight="1" outlineLevel="1" x14ac:dyDescent="0.25">
      <c r="A15353" s="18">
        <v>391</v>
      </c>
      <c r="B15353" s="4" t="s">
        <v>44</v>
      </c>
      <c r="C15353" s="38" t="s">
        <v>12867</v>
      </c>
      <c r="D15353" s="18">
        <v>2023</v>
      </c>
      <c r="E15353" s="18" t="s">
        <v>0</v>
      </c>
      <c r="F15353" s="41">
        <v>1</v>
      </c>
      <c r="G15353" s="41">
        <v>11</v>
      </c>
      <c r="H15353" s="41">
        <v>39.320889999999999</v>
      </c>
      <c r="I15353" s="221"/>
      <c r="J15353" s="221"/>
    </row>
    <row r="15354" spans="1:10" s="15" customFormat="1" ht="24" hidden="1" customHeight="1" outlineLevel="1" x14ac:dyDescent="0.25">
      <c r="A15354" s="18">
        <v>5146</v>
      </c>
      <c r="B15354" s="4" t="s">
        <v>44</v>
      </c>
      <c r="C15354" s="38" t="s">
        <v>12868</v>
      </c>
      <c r="D15354" s="18">
        <v>2023</v>
      </c>
      <c r="E15354" s="18" t="s">
        <v>0</v>
      </c>
      <c r="F15354" s="41">
        <v>1</v>
      </c>
      <c r="G15354" s="41">
        <v>95</v>
      </c>
      <c r="H15354" s="41">
        <v>40.887230000000002</v>
      </c>
      <c r="I15354" s="221"/>
      <c r="J15354" s="221"/>
    </row>
    <row r="15355" spans="1:10" s="15" customFormat="1" ht="24" hidden="1" customHeight="1" outlineLevel="1" x14ac:dyDescent="0.25">
      <c r="A15355" s="18">
        <v>5147</v>
      </c>
      <c r="B15355" s="4" t="s">
        <v>44</v>
      </c>
      <c r="C15355" s="38" t="s">
        <v>12869</v>
      </c>
      <c r="D15355" s="18">
        <v>2023</v>
      </c>
      <c r="E15355" s="18" t="s">
        <v>0</v>
      </c>
      <c r="F15355" s="41">
        <v>1</v>
      </c>
      <c r="G15355" s="41">
        <v>130</v>
      </c>
      <c r="H15355" s="41">
        <v>42.361199999999997</v>
      </c>
      <c r="I15355" s="221"/>
      <c r="J15355" s="221"/>
    </row>
    <row r="15356" spans="1:10" s="15" customFormat="1" ht="24" hidden="1" customHeight="1" outlineLevel="1" x14ac:dyDescent="0.25">
      <c r="A15356" s="18">
        <v>1628</v>
      </c>
      <c r="B15356" s="4" t="s">
        <v>44</v>
      </c>
      <c r="C15356" s="38" t="s">
        <v>12870</v>
      </c>
      <c r="D15356" s="18">
        <v>2023</v>
      </c>
      <c r="E15356" s="18" t="s">
        <v>0</v>
      </c>
      <c r="F15356" s="41">
        <v>1</v>
      </c>
      <c r="G15356" s="41">
        <v>12</v>
      </c>
      <c r="H15356" s="41">
        <v>14.04025</v>
      </c>
      <c r="I15356" s="221"/>
      <c r="J15356" s="221"/>
    </row>
    <row r="15357" spans="1:10" s="15" customFormat="1" ht="24" hidden="1" customHeight="1" outlineLevel="1" x14ac:dyDescent="0.25">
      <c r="A15357" s="18">
        <v>507</v>
      </c>
      <c r="B15357" s="4" t="s">
        <v>44</v>
      </c>
      <c r="C15357" s="38" t="s">
        <v>8552</v>
      </c>
      <c r="D15357" s="18">
        <v>2023</v>
      </c>
      <c r="E15357" s="18" t="s">
        <v>0</v>
      </c>
      <c r="F15357" s="41">
        <v>1</v>
      </c>
      <c r="G15357" s="41">
        <v>45</v>
      </c>
      <c r="H15357" s="41">
        <v>115.20536000000001</v>
      </c>
      <c r="I15357" s="221"/>
      <c r="J15357" s="221"/>
    </row>
    <row r="15358" spans="1:10" s="15" customFormat="1" ht="24" hidden="1" customHeight="1" outlineLevel="1" x14ac:dyDescent="0.25">
      <c r="A15358" s="18">
        <v>5030</v>
      </c>
      <c r="B15358" s="4" t="s">
        <v>44</v>
      </c>
      <c r="C15358" s="38" t="s">
        <v>8553</v>
      </c>
      <c r="D15358" s="18">
        <v>2023</v>
      </c>
      <c r="E15358" s="18" t="s">
        <v>0</v>
      </c>
      <c r="F15358" s="41">
        <v>1</v>
      </c>
      <c r="G15358" s="41">
        <v>15</v>
      </c>
      <c r="H15358" s="41">
        <v>66.58717</v>
      </c>
      <c r="I15358" s="221"/>
      <c r="J15358" s="221"/>
    </row>
    <row r="15359" spans="1:10" s="15" customFormat="1" ht="24" hidden="1" customHeight="1" outlineLevel="1" x14ac:dyDescent="0.25">
      <c r="A15359" s="18">
        <v>3989</v>
      </c>
      <c r="B15359" s="4" t="s">
        <v>44</v>
      </c>
      <c r="C15359" s="38" t="s">
        <v>8555</v>
      </c>
      <c r="D15359" s="18">
        <v>2023</v>
      </c>
      <c r="E15359" s="18" t="s">
        <v>0</v>
      </c>
      <c r="F15359" s="41">
        <v>1</v>
      </c>
      <c r="G15359" s="41">
        <v>15</v>
      </c>
      <c r="H15359" s="41">
        <v>54.760059999999996</v>
      </c>
      <c r="I15359" s="221"/>
      <c r="J15359" s="221"/>
    </row>
    <row r="15360" spans="1:10" s="15" customFormat="1" ht="24" hidden="1" customHeight="1" outlineLevel="1" x14ac:dyDescent="0.25">
      <c r="A15360" s="18">
        <v>3984</v>
      </c>
      <c r="B15360" s="4" t="s">
        <v>44</v>
      </c>
      <c r="C15360" s="38" t="s">
        <v>8556</v>
      </c>
      <c r="D15360" s="18">
        <v>2023</v>
      </c>
      <c r="E15360" s="18" t="s">
        <v>0</v>
      </c>
      <c r="F15360" s="41">
        <v>1</v>
      </c>
      <c r="G15360" s="41">
        <v>15</v>
      </c>
      <c r="H15360" s="41">
        <v>72.18768</v>
      </c>
      <c r="I15360" s="221"/>
      <c r="J15360" s="221"/>
    </row>
    <row r="15361" spans="1:10" s="15" customFormat="1" ht="24" hidden="1" customHeight="1" outlineLevel="1" x14ac:dyDescent="0.25">
      <c r="A15361" s="18">
        <v>784</v>
      </c>
      <c r="B15361" s="4" t="s">
        <v>44</v>
      </c>
      <c r="C15361" s="38" t="s">
        <v>8557</v>
      </c>
      <c r="D15361" s="18">
        <v>2023</v>
      </c>
      <c r="E15361" s="18" t="s">
        <v>0</v>
      </c>
      <c r="F15361" s="41">
        <v>1</v>
      </c>
      <c r="G15361" s="41">
        <v>15</v>
      </c>
      <c r="H15361" s="41">
        <v>68.723179999999999</v>
      </c>
      <c r="I15361" s="221"/>
      <c r="J15361" s="221"/>
    </row>
    <row r="15362" spans="1:10" s="15" customFormat="1" ht="24" hidden="1" customHeight="1" outlineLevel="1" x14ac:dyDescent="0.25">
      <c r="A15362" s="18">
        <v>897</v>
      </c>
      <c r="B15362" s="4" t="s">
        <v>44</v>
      </c>
      <c r="C15362" s="38" t="s">
        <v>8558</v>
      </c>
      <c r="D15362" s="18">
        <v>2023</v>
      </c>
      <c r="E15362" s="18" t="s">
        <v>0</v>
      </c>
      <c r="F15362" s="41">
        <v>1</v>
      </c>
      <c r="G15362" s="41">
        <v>15</v>
      </c>
      <c r="H15362" s="41">
        <v>142.88650999999999</v>
      </c>
      <c r="I15362" s="221"/>
      <c r="J15362" s="221"/>
    </row>
    <row r="15363" spans="1:10" s="15" customFormat="1" ht="24" hidden="1" customHeight="1" outlineLevel="1" x14ac:dyDescent="0.25">
      <c r="A15363" s="18">
        <v>1111</v>
      </c>
      <c r="B15363" s="4" t="s">
        <v>44</v>
      </c>
      <c r="C15363" s="38" t="s">
        <v>8559</v>
      </c>
      <c r="D15363" s="18">
        <v>2023</v>
      </c>
      <c r="E15363" s="18" t="s">
        <v>0</v>
      </c>
      <c r="F15363" s="41">
        <v>2</v>
      </c>
      <c r="G15363" s="41">
        <v>12</v>
      </c>
      <c r="H15363" s="41">
        <v>206.27042</v>
      </c>
      <c r="I15363" s="221"/>
      <c r="J15363" s="221"/>
    </row>
    <row r="15364" spans="1:10" s="15" customFormat="1" ht="24" hidden="1" customHeight="1" outlineLevel="1" x14ac:dyDescent="0.25">
      <c r="A15364" s="18">
        <v>1203</v>
      </c>
      <c r="B15364" s="4" t="s">
        <v>44</v>
      </c>
      <c r="C15364" s="38" t="s">
        <v>8560</v>
      </c>
      <c r="D15364" s="18">
        <v>2023</v>
      </c>
      <c r="E15364" s="18" t="s">
        <v>0</v>
      </c>
      <c r="F15364" s="41">
        <v>1</v>
      </c>
      <c r="G15364" s="41">
        <v>15</v>
      </c>
      <c r="H15364" s="41">
        <v>150.98987</v>
      </c>
      <c r="I15364" s="221"/>
      <c r="J15364" s="221"/>
    </row>
    <row r="15365" spans="1:10" s="15" customFormat="1" ht="24" hidden="1" customHeight="1" outlineLevel="1" x14ac:dyDescent="0.25">
      <c r="A15365" s="18">
        <v>870</v>
      </c>
      <c r="B15365" s="4" t="s">
        <v>44</v>
      </c>
      <c r="C15365" s="38" t="s">
        <v>8563</v>
      </c>
      <c r="D15365" s="18">
        <v>2023</v>
      </c>
      <c r="E15365" s="18" t="s">
        <v>0</v>
      </c>
      <c r="F15365" s="41">
        <v>1</v>
      </c>
      <c r="G15365" s="41">
        <v>57</v>
      </c>
      <c r="H15365" s="41">
        <v>108.09062</v>
      </c>
      <c r="I15365" s="221"/>
      <c r="J15365" s="221"/>
    </row>
    <row r="15366" spans="1:10" s="15" customFormat="1" ht="24" hidden="1" customHeight="1" outlineLevel="1" x14ac:dyDescent="0.25">
      <c r="A15366" s="18">
        <v>1193</v>
      </c>
      <c r="B15366" s="4" t="s">
        <v>44</v>
      </c>
      <c r="C15366" s="38" t="s">
        <v>12871</v>
      </c>
      <c r="D15366" s="18">
        <v>2023</v>
      </c>
      <c r="E15366" s="18" t="s">
        <v>0</v>
      </c>
      <c r="F15366" s="41">
        <v>1</v>
      </c>
      <c r="G15366" s="41">
        <v>5</v>
      </c>
      <c r="H15366" s="41">
        <v>36.264360000000003</v>
      </c>
      <c r="I15366" s="221"/>
      <c r="J15366" s="221"/>
    </row>
    <row r="15367" spans="1:10" s="15" customFormat="1" ht="24" hidden="1" customHeight="1" outlineLevel="1" x14ac:dyDescent="0.25">
      <c r="A15367" s="18">
        <v>5022</v>
      </c>
      <c r="B15367" s="4" t="s">
        <v>44</v>
      </c>
      <c r="C15367" s="38" t="s">
        <v>8565</v>
      </c>
      <c r="D15367" s="18">
        <v>2023</v>
      </c>
      <c r="E15367" s="18" t="s">
        <v>0</v>
      </c>
      <c r="F15367" s="41">
        <v>1</v>
      </c>
      <c r="G15367" s="41">
        <v>14</v>
      </c>
      <c r="H15367" s="41">
        <v>42.621409999999997</v>
      </c>
      <c r="I15367" s="221"/>
      <c r="J15367" s="221"/>
    </row>
    <row r="15368" spans="1:10" s="15" customFormat="1" ht="24" hidden="1" customHeight="1" outlineLevel="1" x14ac:dyDescent="0.25">
      <c r="A15368" s="18">
        <v>5025</v>
      </c>
      <c r="B15368" s="4" t="s">
        <v>44</v>
      </c>
      <c r="C15368" s="38" t="s">
        <v>8566</v>
      </c>
      <c r="D15368" s="18">
        <v>2023</v>
      </c>
      <c r="E15368" s="18" t="s">
        <v>0</v>
      </c>
      <c r="F15368" s="41">
        <v>1</v>
      </c>
      <c r="G15368" s="41">
        <v>15</v>
      </c>
      <c r="H15368" s="41">
        <v>70.282839999999993</v>
      </c>
      <c r="I15368" s="221"/>
      <c r="J15368" s="221"/>
    </row>
    <row r="15369" spans="1:10" s="15" customFormat="1" ht="24" hidden="1" customHeight="1" outlineLevel="1" x14ac:dyDescent="0.25">
      <c r="A15369" s="18">
        <v>5026</v>
      </c>
      <c r="B15369" s="4" t="s">
        <v>44</v>
      </c>
      <c r="C15369" s="38" t="s">
        <v>8567</v>
      </c>
      <c r="D15369" s="18">
        <v>2023</v>
      </c>
      <c r="E15369" s="18" t="s">
        <v>0</v>
      </c>
      <c r="F15369" s="41">
        <v>1</v>
      </c>
      <c r="G15369" s="41">
        <v>15</v>
      </c>
      <c r="H15369" s="41">
        <v>69.255849999999995</v>
      </c>
      <c r="I15369" s="221"/>
      <c r="J15369" s="221"/>
    </row>
    <row r="15370" spans="1:10" s="15" customFormat="1" ht="24" hidden="1" customHeight="1" outlineLevel="1" x14ac:dyDescent="0.25">
      <c r="A15370" s="18">
        <v>5031</v>
      </c>
      <c r="B15370" s="4" t="s">
        <v>44</v>
      </c>
      <c r="C15370" s="38" t="s">
        <v>8568</v>
      </c>
      <c r="D15370" s="18">
        <v>2023</v>
      </c>
      <c r="E15370" s="18" t="s">
        <v>0</v>
      </c>
      <c r="F15370" s="41">
        <v>1</v>
      </c>
      <c r="G15370" s="41">
        <v>10</v>
      </c>
      <c r="H15370" s="41">
        <v>65.101129999999998</v>
      </c>
      <c r="I15370" s="221"/>
      <c r="J15370" s="221"/>
    </row>
    <row r="15371" spans="1:10" s="15" customFormat="1" ht="24" hidden="1" customHeight="1" outlineLevel="1" x14ac:dyDescent="0.25">
      <c r="A15371" s="18">
        <v>347</v>
      </c>
      <c r="B15371" s="4" t="s">
        <v>44</v>
      </c>
      <c r="C15371" s="38" t="s">
        <v>8571</v>
      </c>
      <c r="D15371" s="18">
        <v>2023</v>
      </c>
      <c r="E15371" s="18" t="s">
        <v>0</v>
      </c>
      <c r="F15371" s="41">
        <v>1</v>
      </c>
      <c r="G15371" s="41">
        <v>10</v>
      </c>
      <c r="H15371" s="41">
        <v>41.425700000000006</v>
      </c>
      <c r="I15371" s="221"/>
      <c r="J15371" s="221"/>
    </row>
    <row r="15372" spans="1:10" s="15" customFormat="1" ht="24" hidden="1" customHeight="1" outlineLevel="1" x14ac:dyDescent="0.25">
      <c r="A15372" s="18">
        <v>3970</v>
      </c>
      <c r="B15372" s="4" t="s">
        <v>44</v>
      </c>
      <c r="C15372" s="38" t="s">
        <v>8573</v>
      </c>
      <c r="D15372" s="18">
        <v>2023</v>
      </c>
      <c r="E15372" s="18" t="s">
        <v>0</v>
      </c>
      <c r="F15372" s="41">
        <v>1</v>
      </c>
      <c r="G15372" s="41">
        <v>15</v>
      </c>
      <c r="H15372" s="41">
        <v>69.154070000000004</v>
      </c>
      <c r="I15372" s="221"/>
      <c r="J15372" s="221"/>
    </row>
    <row r="15373" spans="1:10" s="15" customFormat="1" ht="24" hidden="1" customHeight="1" outlineLevel="1" x14ac:dyDescent="0.25">
      <c r="A15373" s="18">
        <v>5041</v>
      </c>
      <c r="B15373" s="4" t="s">
        <v>44</v>
      </c>
      <c r="C15373" s="38" t="s">
        <v>8574</v>
      </c>
      <c r="D15373" s="18">
        <v>2023</v>
      </c>
      <c r="E15373" s="18" t="s">
        <v>0</v>
      </c>
      <c r="F15373" s="41">
        <v>1</v>
      </c>
      <c r="G15373" s="41">
        <v>7</v>
      </c>
      <c r="H15373" s="41">
        <v>66.361550000000008</v>
      </c>
      <c r="I15373" s="221"/>
      <c r="J15373" s="221"/>
    </row>
    <row r="15374" spans="1:10" s="15" customFormat="1" ht="24" hidden="1" customHeight="1" outlineLevel="1" x14ac:dyDescent="0.25">
      <c r="A15374" s="18">
        <v>3935</v>
      </c>
      <c r="B15374" s="4" t="s">
        <v>44</v>
      </c>
      <c r="C15374" s="38" t="s">
        <v>8576</v>
      </c>
      <c r="D15374" s="18">
        <v>2023</v>
      </c>
      <c r="E15374" s="18" t="s">
        <v>0</v>
      </c>
      <c r="F15374" s="41">
        <v>1</v>
      </c>
      <c r="G15374" s="41">
        <v>15</v>
      </c>
      <c r="H15374" s="41">
        <v>92.382809999999992</v>
      </c>
      <c r="I15374" s="221"/>
      <c r="J15374" s="221"/>
    </row>
    <row r="15375" spans="1:10" s="15" customFormat="1" ht="24" hidden="1" customHeight="1" outlineLevel="1" x14ac:dyDescent="0.25">
      <c r="A15375" s="18">
        <v>3378</v>
      </c>
      <c r="B15375" s="4" t="s">
        <v>44</v>
      </c>
      <c r="C15375" s="38" t="s">
        <v>8577</v>
      </c>
      <c r="D15375" s="18">
        <v>2023</v>
      </c>
      <c r="E15375" s="18" t="s">
        <v>0</v>
      </c>
      <c r="F15375" s="41">
        <v>1</v>
      </c>
      <c r="G15375" s="41">
        <v>2</v>
      </c>
      <c r="H15375" s="41">
        <v>64.284010000000009</v>
      </c>
      <c r="I15375" s="221"/>
      <c r="J15375" s="221"/>
    </row>
    <row r="15376" spans="1:10" s="15" customFormat="1" ht="24" hidden="1" customHeight="1" outlineLevel="1" x14ac:dyDescent="0.25">
      <c r="A15376" s="18">
        <v>3377</v>
      </c>
      <c r="B15376" s="4" t="s">
        <v>44</v>
      </c>
      <c r="C15376" s="38" t="s">
        <v>8578</v>
      </c>
      <c r="D15376" s="18">
        <v>2023</v>
      </c>
      <c r="E15376" s="18" t="s">
        <v>0</v>
      </c>
      <c r="F15376" s="41">
        <v>1</v>
      </c>
      <c r="G15376" s="41">
        <v>15</v>
      </c>
      <c r="H15376" s="41">
        <v>65.349190000000007</v>
      </c>
      <c r="I15376" s="221"/>
      <c r="J15376" s="221"/>
    </row>
    <row r="15377" spans="1:10" s="15" customFormat="1" ht="24" hidden="1" customHeight="1" outlineLevel="1" x14ac:dyDescent="0.25">
      <c r="A15377" s="18">
        <v>3219</v>
      </c>
      <c r="B15377" s="4" t="s">
        <v>44</v>
      </c>
      <c r="C15377" s="38" t="s">
        <v>8579</v>
      </c>
      <c r="D15377" s="18">
        <v>2023</v>
      </c>
      <c r="E15377" s="18" t="s">
        <v>0</v>
      </c>
      <c r="F15377" s="41">
        <v>1</v>
      </c>
      <c r="G15377" s="41">
        <v>2</v>
      </c>
      <c r="H15377" s="41">
        <v>64.28792</v>
      </c>
      <c r="I15377" s="221"/>
      <c r="J15377" s="221"/>
    </row>
    <row r="15378" spans="1:10" s="15" customFormat="1" ht="24" hidden="1" customHeight="1" outlineLevel="1" x14ac:dyDescent="0.25">
      <c r="A15378" s="18">
        <v>3908</v>
      </c>
      <c r="B15378" s="4" t="s">
        <v>44</v>
      </c>
      <c r="C15378" s="38" t="s">
        <v>8580</v>
      </c>
      <c r="D15378" s="18">
        <v>2023</v>
      </c>
      <c r="E15378" s="18" t="s">
        <v>0</v>
      </c>
      <c r="F15378" s="41">
        <v>1</v>
      </c>
      <c r="G15378" s="41">
        <v>10</v>
      </c>
      <c r="H15378" s="41">
        <v>68.960900000000009</v>
      </c>
      <c r="I15378" s="221"/>
      <c r="J15378" s="221"/>
    </row>
    <row r="15379" spans="1:10" s="15" customFormat="1" ht="24" hidden="1" customHeight="1" outlineLevel="1" x14ac:dyDescent="0.25">
      <c r="A15379" s="18">
        <v>3679</v>
      </c>
      <c r="B15379" s="4" t="s">
        <v>44</v>
      </c>
      <c r="C15379" s="38" t="s">
        <v>8582</v>
      </c>
      <c r="D15379" s="18">
        <v>2023</v>
      </c>
      <c r="E15379" s="18" t="s">
        <v>0</v>
      </c>
      <c r="F15379" s="41">
        <v>1</v>
      </c>
      <c r="G15379" s="41">
        <v>10</v>
      </c>
      <c r="H15379" s="41">
        <v>68.960850000000008</v>
      </c>
      <c r="I15379" s="221"/>
      <c r="J15379" s="221"/>
    </row>
    <row r="15380" spans="1:10" s="15" customFormat="1" ht="24" hidden="1" customHeight="1" outlineLevel="1" x14ac:dyDescent="0.25">
      <c r="A15380" s="18">
        <v>3847</v>
      </c>
      <c r="B15380" s="4" t="s">
        <v>44</v>
      </c>
      <c r="C15380" s="38" t="s">
        <v>8583</v>
      </c>
      <c r="D15380" s="18">
        <v>2023</v>
      </c>
      <c r="E15380" s="18" t="s">
        <v>0</v>
      </c>
      <c r="F15380" s="41">
        <v>1</v>
      </c>
      <c r="G15380" s="41">
        <v>15</v>
      </c>
      <c r="H15380" s="41">
        <v>64.335229999999996</v>
      </c>
      <c r="I15380" s="221"/>
      <c r="J15380" s="221"/>
    </row>
    <row r="15381" spans="1:10" s="15" customFormat="1" ht="24" hidden="1" customHeight="1" outlineLevel="1" x14ac:dyDescent="0.25">
      <c r="A15381" s="18">
        <v>690</v>
      </c>
      <c r="B15381" s="4" t="s">
        <v>44</v>
      </c>
      <c r="C15381" s="38" t="s">
        <v>8584</v>
      </c>
      <c r="D15381" s="18">
        <v>2023</v>
      </c>
      <c r="E15381" s="18" t="s">
        <v>0</v>
      </c>
      <c r="F15381" s="41">
        <v>1</v>
      </c>
      <c r="G15381" s="41">
        <v>15</v>
      </c>
      <c r="H15381" s="41">
        <v>55.75468</v>
      </c>
      <c r="I15381" s="221"/>
      <c r="J15381" s="221"/>
    </row>
    <row r="15382" spans="1:10" s="15" customFormat="1" ht="24" hidden="1" customHeight="1" outlineLevel="1" x14ac:dyDescent="0.25">
      <c r="A15382" s="18">
        <v>1205</v>
      </c>
      <c r="B15382" s="4" t="s">
        <v>44</v>
      </c>
      <c r="C15382" s="38" t="s">
        <v>8585</v>
      </c>
      <c r="D15382" s="18">
        <v>2023</v>
      </c>
      <c r="E15382" s="18" t="s">
        <v>0</v>
      </c>
      <c r="F15382" s="41">
        <v>1</v>
      </c>
      <c r="G15382" s="41">
        <v>15</v>
      </c>
      <c r="H15382" s="41">
        <v>128.09775999999999</v>
      </c>
      <c r="I15382" s="221"/>
      <c r="J15382" s="221"/>
    </row>
    <row r="15383" spans="1:10" s="15" customFormat="1" ht="24" hidden="1" customHeight="1" outlineLevel="1" x14ac:dyDescent="0.25">
      <c r="A15383" s="18">
        <v>3249</v>
      </c>
      <c r="B15383" s="4" t="s">
        <v>44</v>
      </c>
      <c r="C15383" s="38" t="s">
        <v>8586</v>
      </c>
      <c r="D15383" s="18">
        <v>2023</v>
      </c>
      <c r="E15383" s="18" t="s">
        <v>0</v>
      </c>
      <c r="F15383" s="41">
        <v>1</v>
      </c>
      <c r="G15383" s="41">
        <v>15</v>
      </c>
      <c r="H15383" s="41">
        <v>148.56376</v>
      </c>
      <c r="I15383" s="221"/>
      <c r="J15383" s="221"/>
    </row>
    <row r="15384" spans="1:10" s="15" customFormat="1" ht="24" hidden="1" customHeight="1" outlineLevel="1" x14ac:dyDescent="0.25">
      <c r="A15384" s="18">
        <v>5155</v>
      </c>
      <c r="B15384" s="4" t="s">
        <v>44</v>
      </c>
      <c r="C15384" s="38" t="s">
        <v>8587</v>
      </c>
      <c r="D15384" s="18">
        <v>2023</v>
      </c>
      <c r="E15384" s="18" t="s">
        <v>0</v>
      </c>
      <c r="F15384" s="41">
        <v>1</v>
      </c>
      <c r="G15384" s="41">
        <v>15</v>
      </c>
      <c r="H15384" s="41">
        <v>112.28791000000001</v>
      </c>
      <c r="I15384" s="221"/>
      <c r="J15384" s="221"/>
    </row>
    <row r="15385" spans="1:10" s="15" customFormat="1" ht="24" hidden="1" customHeight="1" outlineLevel="1" x14ac:dyDescent="0.25">
      <c r="A15385" s="18">
        <v>5158</v>
      </c>
      <c r="B15385" s="4" t="s">
        <v>44</v>
      </c>
      <c r="C15385" s="38" t="s">
        <v>8589</v>
      </c>
      <c r="D15385" s="18">
        <v>2023</v>
      </c>
      <c r="E15385" s="18" t="s">
        <v>0</v>
      </c>
      <c r="F15385" s="41">
        <v>2</v>
      </c>
      <c r="G15385" s="41">
        <v>30</v>
      </c>
      <c r="H15385" s="41">
        <v>230.82596000000001</v>
      </c>
      <c r="I15385" s="221"/>
      <c r="J15385" s="221"/>
    </row>
    <row r="15386" spans="1:10" s="15" customFormat="1" ht="24" hidden="1" customHeight="1" outlineLevel="1" x14ac:dyDescent="0.25">
      <c r="A15386" s="18">
        <v>369</v>
      </c>
      <c r="B15386" s="4" t="s">
        <v>44</v>
      </c>
      <c r="C15386" s="38" t="s">
        <v>9138</v>
      </c>
      <c r="D15386" s="18">
        <v>2023</v>
      </c>
      <c r="E15386" s="18" t="s">
        <v>0</v>
      </c>
      <c r="F15386" s="41">
        <v>5</v>
      </c>
      <c r="G15386" s="41">
        <v>62.8</v>
      </c>
      <c r="H15386" s="41">
        <v>428.23741000000001</v>
      </c>
      <c r="I15386" s="221"/>
      <c r="J15386" s="221"/>
    </row>
    <row r="15387" spans="1:10" s="15" customFormat="1" ht="24" hidden="1" customHeight="1" outlineLevel="1" x14ac:dyDescent="0.25">
      <c r="A15387" s="18">
        <v>5023</v>
      </c>
      <c r="B15387" s="4" t="s">
        <v>44</v>
      </c>
      <c r="C15387" s="38" t="s">
        <v>12872</v>
      </c>
      <c r="D15387" s="18">
        <v>2023</v>
      </c>
      <c r="E15387" s="18" t="s">
        <v>0</v>
      </c>
      <c r="F15387" s="41">
        <v>5</v>
      </c>
      <c r="G15387" s="41">
        <v>61</v>
      </c>
      <c r="H15387" s="41">
        <v>177.76070000000001</v>
      </c>
      <c r="I15387" s="221"/>
      <c r="J15387" s="221"/>
    </row>
    <row r="15388" spans="1:10" s="15" customFormat="1" ht="24" hidden="1" customHeight="1" outlineLevel="1" x14ac:dyDescent="0.25">
      <c r="A15388" s="18">
        <v>4002</v>
      </c>
      <c r="B15388" s="4" t="s">
        <v>44</v>
      </c>
      <c r="C15388" s="38" t="s">
        <v>12873</v>
      </c>
      <c r="D15388" s="18">
        <v>2023</v>
      </c>
      <c r="E15388" s="18" t="s">
        <v>0</v>
      </c>
      <c r="F15388" s="41">
        <v>4</v>
      </c>
      <c r="G15388" s="41">
        <v>52</v>
      </c>
      <c r="H15388" s="41">
        <v>141.36615</v>
      </c>
      <c r="I15388" s="221"/>
      <c r="J15388" s="221"/>
    </row>
    <row r="15389" spans="1:10" s="15" customFormat="1" ht="24" hidden="1" customHeight="1" outlineLevel="1" x14ac:dyDescent="0.25">
      <c r="A15389" s="18">
        <v>5162</v>
      </c>
      <c r="B15389" s="4" t="s">
        <v>44</v>
      </c>
      <c r="C15389" s="38" t="s">
        <v>12874</v>
      </c>
      <c r="D15389" s="18">
        <v>2023</v>
      </c>
      <c r="E15389" s="18" t="s">
        <v>0</v>
      </c>
      <c r="F15389" s="41">
        <v>1</v>
      </c>
      <c r="G15389" s="41">
        <v>15</v>
      </c>
      <c r="H15389" s="41">
        <v>46.362559999999995</v>
      </c>
      <c r="I15389" s="221"/>
      <c r="J15389" s="221"/>
    </row>
    <row r="15390" spans="1:10" s="15" customFormat="1" ht="24" hidden="1" customHeight="1" outlineLevel="1" x14ac:dyDescent="0.25">
      <c r="A15390" s="18">
        <v>3843</v>
      </c>
      <c r="B15390" s="4" t="s">
        <v>44</v>
      </c>
      <c r="C15390" s="38" t="s">
        <v>12875</v>
      </c>
      <c r="D15390" s="18">
        <v>2023</v>
      </c>
      <c r="E15390" s="18" t="s">
        <v>0</v>
      </c>
      <c r="F15390" s="41">
        <v>1</v>
      </c>
      <c r="G15390" s="41">
        <v>11.5</v>
      </c>
      <c r="H15390" s="41">
        <v>46.362559999999995</v>
      </c>
      <c r="I15390" s="221"/>
      <c r="J15390" s="221"/>
    </row>
    <row r="15391" spans="1:10" s="15" customFormat="1" ht="24" hidden="1" customHeight="1" outlineLevel="1" x14ac:dyDescent="0.25">
      <c r="A15391" s="18">
        <v>5163</v>
      </c>
      <c r="B15391" s="4" t="s">
        <v>44</v>
      </c>
      <c r="C15391" s="38" t="s">
        <v>12876</v>
      </c>
      <c r="D15391" s="18">
        <v>2023</v>
      </c>
      <c r="E15391" s="18" t="s">
        <v>0</v>
      </c>
      <c r="F15391" s="41">
        <v>1</v>
      </c>
      <c r="G15391" s="41">
        <v>2</v>
      </c>
      <c r="H15391" s="41">
        <v>46.513419999999996</v>
      </c>
      <c r="I15391" s="221"/>
      <c r="J15391" s="221"/>
    </row>
    <row r="15392" spans="1:10" s="15" customFormat="1" ht="24" hidden="1" customHeight="1" outlineLevel="1" x14ac:dyDescent="0.25">
      <c r="A15392" s="18">
        <v>3883</v>
      </c>
      <c r="B15392" s="4" t="s">
        <v>44</v>
      </c>
      <c r="C15392" s="38" t="s">
        <v>12877</v>
      </c>
      <c r="D15392" s="18">
        <v>2023</v>
      </c>
      <c r="E15392" s="18" t="s">
        <v>0</v>
      </c>
      <c r="F15392" s="41">
        <v>1</v>
      </c>
      <c r="G15392" s="41">
        <v>14</v>
      </c>
      <c r="H15392" s="41">
        <v>47.25103</v>
      </c>
      <c r="I15392" s="221"/>
      <c r="J15392" s="221"/>
    </row>
    <row r="15393" spans="1:10" s="15" customFormat="1" ht="24" hidden="1" customHeight="1" outlineLevel="1" x14ac:dyDescent="0.25">
      <c r="A15393" s="18">
        <v>5164</v>
      </c>
      <c r="B15393" s="4" t="s">
        <v>44</v>
      </c>
      <c r="C15393" s="38" t="s">
        <v>12878</v>
      </c>
      <c r="D15393" s="18">
        <v>2023</v>
      </c>
      <c r="E15393" s="18" t="s">
        <v>0</v>
      </c>
      <c r="F15393" s="41">
        <v>1</v>
      </c>
      <c r="G15393" s="41">
        <v>15</v>
      </c>
      <c r="H15393" s="41">
        <v>31.404630000000004</v>
      </c>
      <c r="I15393" s="221"/>
      <c r="J15393" s="221"/>
    </row>
    <row r="15394" spans="1:10" s="15" customFormat="1" ht="24" hidden="1" customHeight="1" outlineLevel="1" x14ac:dyDescent="0.25">
      <c r="A15394" s="18">
        <v>1308</v>
      </c>
      <c r="B15394" s="4" t="s">
        <v>44</v>
      </c>
      <c r="C15394" s="38" t="s">
        <v>12879</v>
      </c>
      <c r="D15394" s="18">
        <v>2023</v>
      </c>
      <c r="E15394" s="18" t="s">
        <v>0</v>
      </c>
      <c r="F15394" s="41">
        <v>1</v>
      </c>
      <c r="G15394" s="41">
        <v>5</v>
      </c>
      <c r="H15394" s="41">
        <v>31.404519999999998</v>
      </c>
      <c r="I15394" s="221"/>
      <c r="J15394" s="221"/>
    </row>
    <row r="15395" spans="1:10" s="15" customFormat="1" ht="24" hidden="1" customHeight="1" outlineLevel="1" x14ac:dyDescent="0.25">
      <c r="A15395" s="18">
        <v>5167</v>
      </c>
      <c r="B15395" s="4" t="s">
        <v>44</v>
      </c>
      <c r="C15395" s="38" t="s">
        <v>12880</v>
      </c>
      <c r="D15395" s="18">
        <v>2023</v>
      </c>
      <c r="E15395" s="18" t="s">
        <v>0</v>
      </c>
      <c r="F15395" s="41">
        <v>1</v>
      </c>
      <c r="G15395" s="41">
        <v>15</v>
      </c>
      <c r="H15395" s="41">
        <v>31.404519999999998</v>
      </c>
      <c r="I15395" s="221"/>
      <c r="J15395" s="221"/>
    </row>
    <row r="15396" spans="1:10" s="15" customFormat="1" ht="24" hidden="1" customHeight="1" outlineLevel="1" x14ac:dyDescent="0.25">
      <c r="A15396" s="18">
        <v>5169</v>
      </c>
      <c r="B15396" s="4" t="s">
        <v>44</v>
      </c>
      <c r="C15396" s="38" t="s">
        <v>12881</v>
      </c>
      <c r="D15396" s="18">
        <v>2023</v>
      </c>
      <c r="E15396" s="18" t="s">
        <v>0</v>
      </c>
      <c r="F15396" s="41">
        <v>1</v>
      </c>
      <c r="G15396" s="41">
        <v>15</v>
      </c>
      <c r="H15396" s="41">
        <v>31.689720000000005</v>
      </c>
      <c r="I15396" s="221"/>
      <c r="J15396" s="221"/>
    </row>
    <row r="15397" spans="1:10" s="15" customFormat="1" ht="24" hidden="1" customHeight="1" outlineLevel="1" x14ac:dyDescent="0.25">
      <c r="A15397" s="18">
        <v>5171</v>
      </c>
      <c r="B15397" s="4" t="s">
        <v>44</v>
      </c>
      <c r="C15397" s="38" t="s">
        <v>12882</v>
      </c>
      <c r="D15397" s="18">
        <v>2023</v>
      </c>
      <c r="E15397" s="18" t="s">
        <v>0</v>
      </c>
      <c r="F15397" s="41">
        <v>1</v>
      </c>
      <c r="G15397" s="41">
        <v>5</v>
      </c>
      <c r="H15397" s="41">
        <v>31.689720000000005</v>
      </c>
      <c r="I15397" s="221"/>
      <c r="J15397" s="221"/>
    </row>
    <row r="15398" spans="1:10" s="15" customFormat="1" ht="24" hidden="1" customHeight="1" outlineLevel="1" x14ac:dyDescent="0.25">
      <c r="A15398" s="18">
        <v>3748</v>
      </c>
      <c r="B15398" s="4" t="s">
        <v>44</v>
      </c>
      <c r="C15398" s="38" t="s">
        <v>12883</v>
      </c>
      <c r="D15398" s="18">
        <v>2023</v>
      </c>
      <c r="E15398" s="18" t="s">
        <v>0</v>
      </c>
      <c r="F15398" s="41">
        <v>1</v>
      </c>
      <c r="G15398" s="41">
        <v>10</v>
      </c>
      <c r="H15398" s="41">
        <v>44.079920000000001</v>
      </c>
      <c r="I15398" s="221"/>
      <c r="J15398" s="221"/>
    </row>
    <row r="15399" spans="1:10" s="15" customFormat="1" ht="24" hidden="1" customHeight="1" outlineLevel="1" x14ac:dyDescent="0.25">
      <c r="A15399" s="18">
        <v>3907</v>
      </c>
      <c r="B15399" s="4" t="s">
        <v>44</v>
      </c>
      <c r="C15399" s="38" t="s">
        <v>12884</v>
      </c>
      <c r="D15399" s="18">
        <v>2023</v>
      </c>
      <c r="E15399" s="18" t="s">
        <v>0</v>
      </c>
      <c r="F15399" s="41">
        <v>1</v>
      </c>
      <c r="G15399" s="41">
        <v>15</v>
      </c>
      <c r="H15399" s="41">
        <v>44.079899999999995</v>
      </c>
      <c r="I15399" s="221"/>
      <c r="J15399" s="221"/>
    </row>
    <row r="15400" spans="1:10" s="15" customFormat="1" ht="24" hidden="1" customHeight="1" outlineLevel="1" x14ac:dyDescent="0.25">
      <c r="A15400" s="18">
        <v>3911</v>
      </c>
      <c r="B15400" s="4" t="s">
        <v>44</v>
      </c>
      <c r="C15400" s="38" t="s">
        <v>12885</v>
      </c>
      <c r="D15400" s="18">
        <v>2023</v>
      </c>
      <c r="E15400" s="18" t="s">
        <v>0</v>
      </c>
      <c r="F15400" s="41">
        <v>1</v>
      </c>
      <c r="G15400" s="41">
        <v>15</v>
      </c>
      <c r="H15400" s="41">
        <v>44.079920000000001</v>
      </c>
      <c r="I15400" s="221"/>
      <c r="J15400" s="221"/>
    </row>
    <row r="15401" spans="1:10" s="15" customFormat="1" ht="24" hidden="1" customHeight="1" outlineLevel="1" x14ac:dyDescent="0.25">
      <c r="A15401" s="18">
        <v>3983</v>
      </c>
      <c r="B15401" s="4" t="s">
        <v>44</v>
      </c>
      <c r="C15401" s="38" t="s">
        <v>12886</v>
      </c>
      <c r="D15401" s="18">
        <v>2023</v>
      </c>
      <c r="E15401" s="18" t="s">
        <v>0</v>
      </c>
      <c r="F15401" s="41">
        <v>4</v>
      </c>
      <c r="G15401" s="41">
        <v>60</v>
      </c>
      <c r="H15401" s="41">
        <v>108.43610000000001</v>
      </c>
      <c r="I15401" s="221"/>
      <c r="J15401" s="221"/>
    </row>
    <row r="15402" spans="1:10" s="15" customFormat="1" ht="24" hidden="1" customHeight="1" outlineLevel="1" x14ac:dyDescent="0.25">
      <c r="A15402" s="18">
        <v>3977</v>
      </c>
      <c r="B15402" s="4" t="s">
        <v>44</v>
      </c>
      <c r="C15402" s="38" t="s">
        <v>12887</v>
      </c>
      <c r="D15402" s="18">
        <v>2023</v>
      </c>
      <c r="E15402" s="18" t="s">
        <v>0</v>
      </c>
      <c r="F15402" s="41">
        <v>6</v>
      </c>
      <c r="G15402" s="41">
        <v>76</v>
      </c>
      <c r="H15402" s="41">
        <v>195.75810999999999</v>
      </c>
      <c r="I15402" s="221"/>
      <c r="J15402" s="221"/>
    </row>
    <row r="15403" spans="1:10" s="15" customFormat="1" ht="24" hidden="1" customHeight="1" outlineLevel="1" x14ac:dyDescent="0.25">
      <c r="A15403" s="18">
        <v>3976</v>
      </c>
      <c r="B15403" s="4" t="s">
        <v>44</v>
      </c>
      <c r="C15403" s="38" t="s">
        <v>12888</v>
      </c>
      <c r="D15403" s="18">
        <v>2023</v>
      </c>
      <c r="E15403" s="18" t="s">
        <v>0</v>
      </c>
      <c r="F15403" s="41">
        <v>8</v>
      </c>
      <c r="G15403" s="41">
        <v>98</v>
      </c>
      <c r="H15403" s="41">
        <v>268.18316999999996</v>
      </c>
      <c r="I15403" s="221"/>
      <c r="J15403" s="221"/>
    </row>
    <row r="15404" spans="1:10" s="15" customFormat="1" ht="24" hidden="1" customHeight="1" outlineLevel="1" x14ac:dyDescent="0.25">
      <c r="A15404" s="18">
        <v>3954</v>
      </c>
      <c r="B15404" s="4" t="s">
        <v>44</v>
      </c>
      <c r="C15404" s="38" t="s">
        <v>12889</v>
      </c>
      <c r="D15404" s="18">
        <v>2023</v>
      </c>
      <c r="E15404" s="18" t="s">
        <v>0</v>
      </c>
      <c r="F15404" s="41">
        <v>10</v>
      </c>
      <c r="G15404" s="41">
        <v>123</v>
      </c>
      <c r="H15404" s="41">
        <v>312.16848999999996</v>
      </c>
      <c r="I15404" s="221"/>
      <c r="J15404" s="221"/>
    </row>
    <row r="15405" spans="1:10" s="15" customFormat="1" ht="24" hidden="1" customHeight="1" outlineLevel="1" x14ac:dyDescent="0.25">
      <c r="A15405" s="18">
        <v>3889</v>
      </c>
      <c r="B15405" s="4" t="s">
        <v>44</v>
      </c>
      <c r="C15405" s="38" t="s">
        <v>12890</v>
      </c>
      <c r="D15405" s="18">
        <v>2023</v>
      </c>
      <c r="E15405" s="18" t="s">
        <v>0</v>
      </c>
      <c r="F15405" s="41">
        <v>1</v>
      </c>
      <c r="G15405" s="41">
        <v>15</v>
      </c>
      <c r="H15405" s="41">
        <v>44.227959999999996</v>
      </c>
      <c r="I15405" s="221"/>
      <c r="J15405" s="221"/>
    </row>
    <row r="15406" spans="1:10" s="15" customFormat="1" ht="24" hidden="1" customHeight="1" outlineLevel="1" x14ac:dyDescent="0.25">
      <c r="A15406" s="18">
        <v>3890</v>
      </c>
      <c r="B15406" s="4" t="s">
        <v>44</v>
      </c>
      <c r="C15406" s="38" t="s">
        <v>12891</v>
      </c>
      <c r="D15406" s="18">
        <v>2023</v>
      </c>
      <c r="E15406" s="18" t="s">
        <v>0</v>
      </c>
      <c r="F15406" s="41">
        <v>1</v>
      </c>
      <c r="G15406" s="41">
        <v>15</v>
      </c>
      <c r="H15406" s="41">
        <v>44.227959999999996</v>
      </c>
      <c r="I15406" s="221"/>
      <c r="J15406" s="221"/>
    </row>
    <row r="15407" spans="1:10" s="15" customFormat="1" ht="24" hidden="1" customHeight="1" outlineLevel="1" x14ac:dyDescent="0.25">
      <c r="A15407" s="18">
        <v>3868</v>
      </c>
      <c r="B15407" s="4" t="s">
        <v>44</v>
      </c>
      <c r="C15407" s="38" t="s">
        <v>12892</v>
      </c>
      <c r="D15407" s="18">
        <v>2023</v>
      </c>
      <c r="E15407" s="18" t="s">
        <v>0</v>
      </c>
      <c r="F15407" s="41">
        <v>1</v>
      </c>
      <c r="G15407" s="41">
        <v>15</v>
      </c>
      <c r="H15407" s="41">
        <v>44.52525</v>
      </c>
      <c r="I15407" s="221"/>
      <c r="J15407" s="221"/>
    </row>
    <row r="15408" spans="1:10" s="15" customFormat="1" ht="24" hidden="1" customHeight="1" outlineLevel="1" x14ac:dyDescent="0.25">
      <c r="A15408" s="18">
        <v>5027</v>
      </c>
      <c r="B15408" s="4" t="s">
        <v>44</v>
      </c>
      <c r="C15408" s="38" t="s">
        <v>8592</v>
      </c>
      <c r="D15408" s="18">
        <v>2023</v>
      </c>
      <c r="E15408" s="18" t="s">
        <v>0</v>
      </c>
      <c r="F15408" s="41">
        <v>1</v>
      </c>
      <c r="G15408" s="41">
        <v>12</v>
      </c>
      <c r="H15408" s="41">
        <v>66.451670000000007</v>
      </c>
      <c r="I15408" s="221"/>
      <c r="J15408" s="221"/>
    </row>
    <row r="15409" spans="1:10" s="15" customFormat="1" ht="24" hidden="1" customHeight="1" outlineLevel="1" x14ac:dyDescent="0.25">
      <c r="A15409" s="18">
        <v>3397</v>
      </c>
      <c r="B15409" s="4" t="s">
        <v>44</v>
      </c>
      <c r="C15409" s="38" t="s">
        <v>8594</v>
      </c>
      <c r="D15409" s="18">
        <v>2023</v>
      </c>
      <c r="E15409" s="18" t="s">
        <v>0</v>
      </c>
      <c r="F15409" s="41">
        <v>1</v>
      </c>
      <c r="G15409" s="41">
        <v>100</v>
      </c>
      <c r="H15409" s="41">
        <v>138.43179000000001</v>
      </c>
      <c r="I15409" s="221"/>
      <c r="J15409" s="221"/>
    </row>
    <row r="15410" spans="1:10" s="15" customFormat="1" ht="24" hidden="1" customHeight="1" outlineLevel="1" x14ac:dyDescent="0.25">
      <c r="A15410" s="18">
        <v>3974</v>
      </c>
      <c r="B15410" s="4" t="s">
        <v>44</v>
      </c>
      <c r="C15410" s="38" t="s">
        <v>8595</v>
      </c>
      <c r="D15410" s="18">
        <v>2023</v>
      </c>
      <c r="E15410" s="18" t="s">
        <v>0</v>
      </c>
      <c r="F15410" s="41">
        <v>1</v>
      </c>
      <c r="G15410" s="41">
        <v>15</v>
      </c>
      <c r="H15410" s="41">
        <v>65.234970000000004</v>
      </c>
      <c r="I15410" s="221"/>
      <c r="J15410" s="221"/>
    </row>
    <row r="15411" spans="1:10" s="15" customFormat="1" ht="24" hidden="1" customHeight="1" outlineLevel="1" x14ac:dyDescent="0.25">
      <c r="A15411" s="18">
        <v>3973</v>
      </c>
      <c r="B15411" s="4" t="s">
        <v>44</v>
      </c>
      <c r="C15411" s="38" t="s">
        <v>8596</v>
      </c>
      <c r="D15411" s="18">
        <v>2023</v>
      </c>
      <c r="E15411" s="18" t="s">
        <v>0</v>
      </c>
      <c r="F15411" s="41">
        <v>1</v>
      </c>
      <c r="G15411" s="41">
        <v>15</v>
      </c>
      <c r="H15411" s="41">
        <v>64.054120000000012</v>
      </c>
      <c r="I15411" s="221"/>
      <c r="J15411" s="221"/>
    </row>
    <row r="15412" spans="1:10" s="15" customFormat="1" ht="24" hidden="1" customHeight="1" outlineLevel="1" x14ac:dyDescent="0.25">
      <c r="A15412" s="18">
        <v>1077</v>
      </c>
      <c r="B15412" s="4" t="s">
        <v>44</v>
      </c>
      <c r="C15412" s="38" t="s">
        <v>9140</v>
      </c>
      <c r="D15412" s="18">
        <v>2023</v>
      </c>
      <c r="E15412" s="18" t="s">
        <v>0</v>
      </c>
      <c r="F15412" s="41">
        <v>1</v>
      </c>
      <c r="G15412" s="41">
        <v>80</v>
      </c>
      <c r="H15412" s="41">
        <v>178.06859</v>
      </c>
      <c r="I15412" s="221"/>
      <c r="J15412" s="221"/>
    </row>
    <row r="15413" spans="1:10" s="15" customFormat="1" ht="24" hidden="1" customHeight="1" outlineLevel="1" x14ac:dyDescent="0.25">
      <c r="A15413" s="18">
        <v>3965</v>
      </c>
      <c r="B15413" s="4" t="s">
        <v>44</v>
      </c>
      <c r="C15413" s="38" t="s">
        <v>8597</v>
      </c>
      <c r="D15413" s="18">
        <v>2023</v>
      </c>
      <c r="E15413" s="18" t="s">
        <v>0</v>
      </c>
      <c r="F15413" s="41">
        <v>1</v>
      </c>
      <c r="G15413" s="41">
        <v>10</v>
      </c>
      <c r="H15413" s="41">
        <v>67.165600000000012</v>
      </c>
      <c r="I15413" s="221"/>
      <c r="J15413" s="221"/>
    </row>
    <row r="15414" spans="1:10" s="15" customFormat="1" ht="24" hidden="1" customHeight="1" outlineLevel="1" x14ac:dyDescent="0.25">
      <c r="A15414" s="18">
        <v>2995</v>
      </c>
      <c r="B15414" s="4" t="s">
        <v>44</v>
      </c>
      <c r="C15414" s="38" t="s">
        <v>9355</v>
      </c>
      <c r="D15414" s="18">
        <v>2023</v>
      </c>
      <c r="E15414" s="18" t="s">
        <v>0</v>
      </c>
      <c r="F15414" s="41">
        <v>1</v>
      </c>
      <c r="G15414" s="41">
        <v>60</v>
      </c>
      <c r="H15414" s="41">
        <v>62.675579999999997</v>
      </c>
      <c r="I15414" s="221"/>
      <c r="J15414" s="221"/>
    </row>
    <row r="15415" spans="1:10" s="15" customFormat="1" ht="24" hidden="1" customHeight="1" outlineLevel="1" x14ac:dyDescent="0.25">
      <c r="A15415" s="18">
        <v>5039</v>
      </c>
      <c r="B15415" s="4" t="s">
        <v>44</v>
      </c>
      <c r="C15415" s="38" t="s">
        <v>8598</v>
      </c>
      <c r="D15415" s="18">
        <v>2023</v>
      </c>
      <c r="E15415" s="18" t="s">
        <v>0</v>
      </c>
      <c r="F15415" s="41">
        <v>1</v>
      </c>
      <c r="G15415" s="41">
        <v>15</v>
      </c>
      <c r="H15415" s="41">
        <v>63.126739999999998</v>
      </c>
      <c r="I15415" s="221"/>
      <c r="J15415" s="221"/>
    </row>
    <row r="15416" spans="1:10" s="15" customFormat="1" ht="24" hidden="1" customHeight="1" outlineLevel="1" x14ac:dyDescent="0.25">
      <c r="A15416" s="18">
        <v>5040</v>
      </c>
      <c r="B15416" s="4" t="s">
        <v>44</v>
      </c>
      <c r="C15416" s="38" t="s">
        <v>8599</v>
      </c>
      <c r="D15416" s="18">
        <v>2023</v>
      </c>
      <c r="E15416" s="18" t="s">
        <v>0</v>
      </c>
      <c r="F15416" s="41">
        <v>1</v>
      </c>
      <c r="G15416" s="41">
        <v>15</v>
      </c>
      <c r="H15416" s="41">
        <v>73.10887000000001</v>
      </c>
      <c r="I15416" s="221"/>
      <c r="J15416" s="221"/>
    </row>
    <row r="15417" spans="1:10" s="15" customFormat="1" ht="24" hidden="1" customHeight="1" outlineLevel="1" x14ac:dyDescent="0.25">
      <c r="A15417" s="18">
        <v>479</v>
      </c>
      <c r="B15417" s="4" t="s">
        <v>44</v>
      </c>
      <c r="C15417" s="38" t="s">
        <v>8600</v>
      </c>
      <c r="D15417" s="18">
        <v>2023</v>
      </c>
      <c r="E15417" s="18" t="s">
        <v>0</v>
      </c>
      <c r="F15417" s="41">
        <v>1</v>
      </c>
      <c r="G15417" s="41">
        <v>30</v>
      </c>
      <c r="H15417" s="41">
        <v>41.230210000000007</v>
      </c>
      <c r="I15417" s="221"/>
      <c r="J15417" s="221"/>
    </row>
    <row r="15418" spans="1:10" s="15" customFormat="1" ht="24" hidden="1" customHeight="1" outlineLevel="1" x14ac:dyDescent="0.25">
      <c r="A15418" s="18">
        <v>3387</v>
      </c>
      <c r="B15418" s="4" t="s">
        <v>44</v>
      </c>
      <c r="C15418" s="38" t="s">
        <v>8603</v>
      </c>
      <c r="D15418" s="18">
        <v>2023</v>
      </c>
      <c r="E15418" s="18" t="s">
        <v>0</v>
      </c>
      <c r="F15418" s="41">
        <v>1</v>
      </c>
      <c r="G15418" s="41">
        <v>2.6</v>
      </c>
      <c r="H15418" s="41">
        <v>63.020209999999992</v>
      </c>
      <c r="I15418" s="221"/>
      <c r="J15418" s="221"/>
    </row>
    <row r="15419" spans="1:10" s="15" customFormat="1" ht="24" hidden="1" customHeight="1" outlineLevel="1" x14ac:dyDescent="0.25">
      <c r="A15419" s="18">
        <v>3947</v>
      </c>
      <c r="B15419" s="4" t="s">
        <v>44</v>
      </c>
      <c r="C15419" s="38" t="s">
        <v>8604</v>
      </c>
      <c r="D15419" s="18">
        <v>2023</v>
      </c>
      <c r="E15419" s="18" t="s">
        <v>0</v>
      </c>
      <c r="F15419" s="41">
        <v>2</v>
      </c>
      <c r="G15419" s="41">
        <v>15</v>
      </c>
      <c r="H15419" s="41">
        <v>66.165500000000009</v>
      </c>
      <c r="I15419" s="221"/>
      <c r="J15419" s="221"/>
    </row>
    <row r="15420" spans="1:10" s="15" customFormat="1" ht="24" hidden="1" customHeight="1" outlineLevel="1" x14ac:dyDescent="0.25">
      <c r="A15420" s="18">
        <v>3360</v>
      </c>
      <c r="B15420" s="4" t="s">
        <v>44</v>
      </c>
      <c r="C15420" s="38" t="s">
        <v>8605</v>
      </c>
      <c r="D15420" s="18">
        <v>2023</v>
      </c>
      <c r="E15420" s="18" t="s">
        <v>0</v>
      </c>
      <c r="F15420" s="41">
        <v>1</v>
      </c>
      <c r="G15420" s="41">
        <v>35</v>
      </c>
      <c r="H15420" s="41">
        <v>63.035980000000002</v>
      </c>
      <c r="I15420" s="221"/>
      <c r="J15420" s="221"/>
    </row>
    <row r="15421" spans="1:10" s="15" customFormat="1" ht="24" hidden="1" customHeight="1" outlineLevel="1" x14ac:dyDescent="0.25">
      <c r="A15421" s="18">
        <v>3910</v>
      </c>
      <c r="B15421" s="4" t="s">
        <v>44</v>
      </c>
      <c r="C15421" s="38" t="s">
        <v>8606</v>
      </c>
      <c r="D15421" s="18">
        <v>2023</v>
      </c>
      <c r="E15421" s="18" t="s">
        <v>0</v>
      </c>
      <c r="F15421" s="41">
        <v>1</v>
      </c>
      <c r="G15421" s="41">
        <v>30</v>
      </c>
      <c r="H15421" s="41">
        <v>108.99544</v>
      </c>
      <c r="I15421" s="221"/>
      <c r="J15421" s="221"/>
    </row>
    <row r="15422" spans="1:10" s="15" customFormat="1" ht="24" hidden="1" customHeight="1" outlineLevel="1" x14ac:dyDescent="0.25">
      <c r="A15422" s="18">
        <v>541</v>
      </c>
      <c r="B15422" s="4" t="s">
        <v>44</v>
      </c>
      <c r="C15422" s="38" t="s">
        <v>8607</v>
      </c>
      <c r="D15422" s="18">
        <v>2023</v>
      </c>
      <c r="E15422" s="18" t="s">
        <v>0</v>
      </c>
      <c r="F15422" s="41">
        <v>1</v>
      </c>
      <c r="G15422" s="41">
        <v>15</v>
      </c>
      <c r="H15422" s="41">
        <v>64.090220000000002</v>
      </c>
      <c r="I15422" s="221"/>
      <c r="J15422" s="221"/>
    </row>
    <row r="15423" spans="1:10" s="15" customFormat="1" ht="24" hidden="1" customHeight="1" outlineLevel="1" x14ac:dyDescent="0.25">
      <c r="A15423" s="18">
        <v>776</v>
      </c>
      <c r="B15423" s="4" t="s">
        <v>44</v>
      </c>
      <c r="C15423" s="38" t="s">
        <v>9077</v>
      </c>
      <c r="D15423" s="18">
        <v>2023</v>
      </c>
      <c r="E15423" s="18" t="s">
        <v>0</v>
      </c>
      <c r="F15423" s="41">
        <v>1</v>
      </c>
      <c r="G15423" s="41">
        <v>15</v>
      </c>
      <c r="H15423" s="41">
        <v>118.87069</v>
      </c>
      <c r="I15423" s="221"/>
      <c r="J15423" s="221"/>
    </row>
    <row r="15424" spans="1:10" s="15" customFormat="1" ht="24" hidden="1" customHeight="1" outlineLevel="1" x14ac:dyDescent="0.25">
      <c r="A15424" s="18">
        <v>3263</v>
      </c>
      <c r="B15424" s="4" t="s">
        <v>44</v>
      </c>
      <c r="C15424" s="38" t="s">
        <v>8609</v>
      </c>
      <c r="D15424" s="18">
        <v>2023</v>
      </c>
      <c r="E15424" s="18" t="s">
        <v>0</v>
      </c>
      <c r="F15424" s="41">
        <v>1</v>
      </c>
      <c r="G15424" s="41">
        <v>5</v>
      </c>
      <c r="H15424" s="41">
        <v>59.325620000000001</v>
      </c>
      <c r="I15424" s="221"/>
      <c r="J15424" s="221"/>
    </row>
    <row r="15425" spans="1:10" s="15" customFormat="1" ht="24" hidden="1" customHeight="1" outlineLevel="1" x14ac:dyDescent="0.25">
      <c r="A15425" s="18">
        <v>3870</v>
      </c>
      <c r="B15425" s="4" t="s">
        <v>44</v>
      </c>
      <c r="C15425" s="38" t="s">
        <v>8610</v>
      </c>
      <c r="D15425" s="18">
        <v>2023</v>
      </c>
      <c r="E15425" s="18" t="s">
        <v>0</v>
      </c>
      <c r="F15425" s="41">
        <v>1</v>
      </c>
      <c r="G15425" s="41">
        <v>15</v>
      </c>
      <c r="H15425" s="41">
        <v>56.889229999999998</v>
      </c>
      <c r="I15425" s="221"/>
      <c r="J15425" s="221"/>
    </row>
    <row r="15426" spans="1:10" s="15" customFormat="1" ht="24" hidden="1" customHeight="1" outlineLevel="1" x14ac:dyDescent="0.25">
      <c r="A15426" s="18">
        <v>664</v>
      </c>
      <c r="B15426" s="4" t="s">
        <v>44</v>
      </c>
      <c r="C15426" s="38" t="s">
        <v>8611</v>
      </c>
      <c r="D15426" s="18">
        <v>2023</v>
      </c>
      <c r="E15426" s="18" t="s">
        <v>0</v>
      </c>
      <c r="F15426" s="41">
        <v>1</v>
      </c>
      <c r="G15426" s="41">
        <v>15</v>
      </c>
      <c r="H15426" s="41">
        <v>58.132060000000003</v>
      </c>
      <c r="I15426" s="221"/>
      <c r="J15426" s="221"/>
    </row>
    <row r="15427" spans="1:10" s="15" customFormat="1" ht="24" hidden="1" customHeight="1" outlineLevel="1" x14ac:dyDescent="0.25">
      <c r="A15427" s="18">
        <v>736</v>
      </c>
      <c r="B15427" s="4" t="s">
        <v>44</v>
      </c>
      <c r="C15427" s="38" t="s">
        <v>9141</v>
      </c>
      <c r="D15427" s="18">
        <v>2023</v>
      </c>
      <c r="E15427" s="18" t="s">
        <v>0</v>
      </c>
      <c r="F15427" s="41">
        <v>1</v>
      </c>
      <c r="G15427" s="41">
        <v>25</v>
      </c>
      <c r="H15427" s="41">
        <v>56.485349999999997</v>
      </c>
      <c r="I15427" s="221"/>
      <c r="J15427" s="221"/>
    </row>
    <row r="15428" spans="1:10" s="15" customFormat="1" ht="24" hidden="1" customHeight="1" outlineLevel="1" x14ac:dyDescent="0.25">
      <c r="A15428" s="18">
        <v>802</v>
      </c>
      <c r="B15428" s="4" t="s">
        <v>44</v>
      </c>
      <c r="C15428" s="38" t="s">
        <v>8612</v>
      </c>
      <c r="D15428" s="18">
        <v>2023</v>
      </c>
      <c r="E15428" s="18" t="s">
        <v>0</v>
      </c>
      <c r="F15428" s="41">
        <v>1</v>
      </c>
      <c r="G15428" s="41">
        <v>15</v>
      </c>
      <c r="H15428" s="41">
        <v>66.029530000000008</v>
      </c>
      <c r="I15428" s="221"/>
      <c r="J15428" s="221"/>
    </row>
    <row r="15429" spans="1:10" s="15" customFormat="1" ht="24" hidden="1" customHeight="1" outlineLevel="1" x14ac:dyDescent="0.25">
      <c r="A15429" s="18">
        <v>3239</v>
      </c>
      <c r="B15429" s="4" t="s">
        <v>44</v>
      </c>
      <c r="C15429" s="38" t="s">
        <v>8613</v>
      </c>
      <c r="D15429" s="18">
        <v>2023</v>
      </c>
      <c r="E15429" s="18" t="s">
        <v>0</v>
      </c>
      <c r="F15429" s="41">
        <v>1</v>
      </c>
      <c r="G15429" s="41">
        <v>5</v>
      </c>
      <c r="H15429" s="41">
        <v>56.588850000000001</v>
      </c>
      <c r="I15429" s="221"/>
      <c r="J15429" s="221"/>
    </row>
    <row r="15430" spans="1:10" s="15" customFormat="1" ht="24" hidden="1" customHeight="1" outlineLevel="1" x14ac:dyDescent="0.25">
      <c r="A15430" s="18">
        <v>3351</v>
      </c>
      <c r="B15430" s="4" t="s">
        <v>44</v>
      </c>
      <c r="C15430" s="38" t="s">
        <v>9142</v>
      </c>
      <c r="D15430" s="18">
        <v>2023</v>
      </c>
      <c r="E15430" s="18" t="s">
        <v>0</v>
      </c>
      <c r="F15430" s="41">
        <v>1</v>
      </c>
      <c r="G15430" s="41">
        <v>150</v>
      </c>
      <c r="H15430" s="41">
        <v>87.426690000000008</v>
      </c>
      <c r="I15430" s="221"/>
      <c r="J15430" s="221"/>
    </row>
    <row r="15431" spans="1:10" s="15" customFormat="1" ht="24" hidden="1" customHeight="1" outlineLevel="1" x14ac:dyDescent="0.25">
      <c r="A15431" s="18">
        <v>3246</v>
      </c>
      <c r="B15431" s="4" t="s">
        <v>44</v>
      </c>
      <c r="C15431" s="38" t="s">
        <v>8614</v>
      </c>
      <c r="D15431" s="18">
        <v>2023</v>
      </c>
      <c r="E15431" s="18" t="s">
        <v>0</v>
      </c>
      <c r="F15431" s="41">
        <v>1</v>
      </c>
      <c r="G15431" s="41">
        <v>3</v>
      </c>
      <c r="H15431" s="41">
        <v>59.282440000000001</v>
      </c>
      <c r="I15431" s="221"/>
      <c r="J15431" s="221"/>
    </row>
    <row r="15432" spans="1:10" s="15" customFormat="1" ht="24" hidden="1" customHeight="1" outlineLevel="1" x14ac:dyDescent="0.25">
      <c r="A15432" s="18">
        <v>1173</v>
      </c>
      <c r="B15432" s="4" t="s">
        <v>44</v>
      </c>
      <c r="C15432" s="38" t="s">
        <v>8615</v>
      </c>
      <c r="D15432" s="18">
        <v>2023</v>
      </c>
      <c r="E15432" s="18" t="s">
        <v>0</v>
      </c>
      <c r="F15432" s="41">
        <v>1</v>
      </c>
      <c r="G15432" s="41">
        <v>15</v>
      </c>
      <c r="H15432" s="41">
        <v>66.532089999999997</v>
      </c>
      <c r="I15432" s="221"/>
      <c r="J15432" s="221"/>
    </row>
    <row r="15433" spans="1:10" s="15" customFormat="1" ht="24" hidden="1" customHeight="1" outlineLevel="1" x14ac:dyDescent="0.25">
      <c r="A15433" s="18">
        <v>952</v>
      </c>
      <c r="B15433" s="4" t="s">
        <v>44</v>
      </c>
      <c r="C15433" s="38" t="s">
        <v>8616</v>
      </c>
      <c r="D15433" s="18">
        <v>2023</v>
      </c>
      <c r="E15433" s="18" t="s">
        <v>0</v>
      </c>
      <c r="F15433" s="41">
        <v>1</v>
      </c>
      <c r="G15433" s="41">
        <v>22</v>
      </c>
      <c r="H15433" s="41">
        <v>139.05965</v>
      </c>
      <c r="I15433" s="221"/>
      <c r="J15433" s="221"/>
    </row>
    <row r="15434" spans="1:10" s="15" customFormat="1" ht="24" hidden="1" customHeight="1" outlineLevel="1" x14ac:dyDescent="0.25">
      <c r="A15434" s="18">
        <v>684</v>
      </c>
      <c r="B15434" s="4" t="s">
        <v>44</v>
      </c>
      <c r="C15434" s="38" t="s">
        <v>8617</v>
      </c>
      <c r="D15434" s="18">
        <v>2023</v>
      </c>
      <c r="E15434" s="18" t="s">
        <v>0</v>
      </c>
      <c r="F15434" s="41">
        <v>1</v>
      </c>
      <c r="G15434" s="41">
        <v>15</v>
      </c>
      <c r="H15434" s="41">
        <v>139.82990000000001</v>
      </c>
      <c r="I15434" s="221"/>
      <c r="J15434" s="221"/>
    </row>
    <row r="15435" spans="1:10" s="15" customFormat="1" ht="24" hidden="1" customHeight="1" outlineLevel="1" x14ac:dyDescent="0.25">
      <c r="A15435" s="18">
        <v>303</v>
      </c>
      <c r="B15435" s="4" t="s">
        <v>44</v>
      </c>
      <c r="C15435" s="38" t="s">
        <v>9143</v>
      </c>
      <c r="D15435" s="18">
        <v>2023</v>
      </c>
      <c r="E15435" s="18" t="s">
        <v>0</v>
      </c>
      <c r="F15435" s="41">
        <v>1</v>
      </c>
      <c r="G15435" s="41">
        <v>15</v>
      </c>
      <c r="H15435" s="41">
        <v>157.74177</v>
      </c>
      <c r="I15435" s="221"/>
      <c r="J15435" s="221"/>
    </row>
    <row r="15436" spans="1:10" s="15" customFormat="1" ht="24" hidden="1" customHeight="1" outlineLevel="1" x14ac:dyDescent="0.25">
      <c r="A15436" s="18">
        <v>5175</v>
      </c>
      <c r="B15436" s="4" t="s">
        <v>44</v>
      </c>
      <c r="C15436" s="38" t="s">
        <v>8619</v>
      </c>
      <c r="D15436" s="18">
        <v>2023</v>
      </c>
      <c r="E15436" s="18" t="s">
        <v>0</v>
      </c>
      <c r="F15436" s="41">
        <v>1</v>
      </c>
      <c r="G15436" s="41">
        <v>7.5</v>
      </c>
      <c r="H15436" s="41">
        <v>139.06584000000001</v>
      </c>
      <c r="I15436" s="221"/>
      <c r="J15436" s="221"/>
    </row>
    <row r="15437" spans="1:10" s="15" customFormat="1" ht="24" hidden="1" customHeight="1" outlineLevel="1" x14ac:dyDescent="0.25">
      <c r="A15437" s="18">
        <v>820</v>
      </c>
      <c r="B15437" s="4" t="s">
        <v>44</v>
      </c>
      <c r="C15437" s="38" t="s">
        <v>9079</v>
      </c>
      <c r="D15437" s="18">
        <v>2023</v>
      </c>
      <c r="E15437" s="18" t="s">
        <v>0</v>
      </c>
      <c r="F15437" s="41">
        <v>1</v>
      </c>
      <c r="G15437" s="41">
        <v>41</v>
      </c>
      <c r="H15437" s="41">
        <v>292.85289</v>
      </c>
      <c r="I15437" s="221"/>
      <c r="J15437" s="221"/>
    </row>
    <row r="15438" spans="1:10" s="15" customFormat="1" ht="24" hidden="1" customHeight="1" outlineLevel="1" x14ac:dyDescent="0.25">
      <c r="A15438" s="18">
        <v>1348</v>
      </c>
      <c r="B15438" s="4" t="s">
        <v>44</v>
      </c>
      <c r="C15438" s="38" t="s">
        <v>9080</v>
      </c>
      <c r="D15438" s="18">
        <v>2023</v>
      </c>
      <c r="E15438" s="18" t="s">
        <v>0</v>
      </c>
      <c r="F15438" s="41">
        <v>4</v>
      </c>
      <c r="G15438" s="41">
        <v>15</v>
      </c>
      <c r="H15438" s="41">
        <v>129.79750000000001</v>
      </c>
      <c r="I15438" s="221"/>
      <c r="J15438" s="221"/>
    </row>
    <row r="15439" spans="1:10" s="15" customFormat="1" ht="24" hidden="1" customHeight="1" outlineLevel="1" x14ac:dyDescent="0.25">
      <c r="A15439" s="18">
        <v>971</v>
      </c>
      <c r="B15439" s="4" t="s">
        <v>44</v>
      </c>
      <c r="C15439" s="38" t="s">
        <v>8620</v>
      </c>
      <c r="D15439" s="18">
        <v>2023</v>
      </c>
      <c r="E15439" s="18" t="s">
        <v>0</v>
      </c>
      <c r="F15439" s="41">
        <v>1</v>
      </c>
      <c r="G15439" s="41">
        <v>15</v>
      </c>
      <c r="H15439" s="41">
        <v>125.47372000000001</v>
      </c>
      <c r="I15439" s="221"/>
      <c r="J15439" s="221"/>
    </row>
    <row r="15440" spans="1:10" s="15" customFormat="1" ht="24" hidden="1" customHeight="1" outlineLevel="1" x14ac:dyDescent="0.25">
      <c r="A15440" s="18">
        <v>4006</v>
      </c>
      <c r="B15440" s="4" t="s">
        <v>44</v>
      </c>
      <c r="C15440" s="38" t="s">
        <v>12893</v>
      </c>
      <c r="D15440" s="18">
        <v>2023</v>
      </c>
      <c r="E15440" s="18" t="s">
        <v>0</v>
      </c>
      <c r="F15440" s="41">
        <v>23</v>
      </c>
      <c r="G15440" s="41">
        <v>341</v>
      </c>
      <c r="H15440" s="41">
        <v>858.74230000000011</v>
      </c>
      <c r="I15440" s="221"/>
      <c r="J15440" s="221"/>
    </row>
    <row r="15441" spans="1:10" s="15" customFormat="1" ht="24" hidden="1" customHeight="1" outlineLevel="1" x14ac:dyDescent="0.25">
      <c r="A15441" s="18">
        <v>4005</v>
      </c>
      <c r="B15441" s="4" t="s">
        <v>44</v>
      </c>
      <c r="C15441" s="38" t="s">
        <v>12894</v>
      </c>
      <c r="D15441" s="18">
        <v>2023</v>
      </c>
      <c r="E15441" s="18" t="s">
        <v>0</v>
      </c>
      <c r="F15441" s="41">
        <v>4</v>
      </c>
      <c r="G15441" s="41">
        <v>101</v>
      </c>
      <c r="H15441" s="41">
        <v>165.70613</v>
      </c>
      <c r="I15441" s="221"/>
      <c r="J15441" s="221"/>
    </row>
    <row r="15442" spans="1:10" s="15" customFormat="1" ht="24" hidden="1" customHeight="1" outlineLevel="1" x14ac:dyDescent="0.25">
      <c r="A15442" s="18">
        <v>3434</v>
      </c>
      <c r="B15442" s="4" t="s">
        <v>44</v>
      </c>
      <c r="C15442" s="38" t="s">
        <v>12895</v>
      </c>
      <c r="D15442" s="18">
        <v>2023</v>
      </c>
      <c r="E15442" s="18" t="s">
        <v>0</v>
      </c>
      <c r="F15442" s="41">
        <v>11</v>
      </c>
      <c r="G15442" s="41">
        <v>147</v>
      </c>
      <c r="H15442" s="41">
        <v>414.55534000000006</v>
      </c>
      <c r="I15442" s="221"/>
      <c r="J15442" s="221"/>
    </row>
    <row r="15443" spans="1:10" s="15" customFormat="1" ht="24" hidden="1" customHeight="1" outlineLevel="1" x14ac:dyDescent="0.25">
      <c r="A15443" s="18">
        <v>799</v>
      </c>
      <c r="B15443" s="4" t="s">
        <v>44</v>
      </c>
      <c r="C15443" s="38" t="s">
        <v>12896</v>
      </c>
      <c r="D15443" s="18">
        <v>2023</v>
      </c>
      <c r="E15443" s="18" t="s">
        <v>0</v>
      </c>
      <c r="F15443" s="41">
        <v>1</v>
      </c>
      <c r="G15443" s="41">
        <v>15</v>
      </c>
      <c r="H15443" s="41">
        <v>42.494300000000003</v>
      </c>
      <c r="I15443" s="221"/>
      <c r="J15443" s="221"/>
    </row>
    <row r="15444" spans="1:10" s="15" customFormat="1" ht="24" hidden="1" customHeight="1" outlineLevel="1" x14ac:dyDescent="0.25">
      <c r="A15444" s="18">
        <v>848</v>
      </c>
      <c r="B15444" s="4" t="s">
        <v>44</v>
      </c>
      <c r="C15444" s="38" t="s">
        <v>12897</v>
      </c>
      <c r="D15444" s="18">
        <v>2023</v>
      </c>
      <c r="E15444" s="18" t="s">
        <v>0</v>
      </c>
      <c r="F15444" s="41">
        <v>1</v>
      </c>
      <c r="G15444" s="41">
        <v>15</v>
      </c>
      <c r="H15444" s="41">
        <v>42.494300000000003</v>
      </c>
      <c r="I15444" s="221"/>
      <c r="J15444" s="221"/>
    </row>
    <row r="15445" spans="1:10" s="15" customFormat="1" ht="24" hidden="1" customHeight="1" outlineLevel="1" x14ac:dyDescent="0.25">
      <c r="A15445" s="18">
        <v>859</v>
      </c>
      <c r="B15445" s="4" t="s">
        <v>44</v>
      </c>
      <c r="C15445" s="38" t="s">
        <v>12898</v>
      </c>
      <c r="D15445" s="18">
        <v>2023</v>
      </c>
      <c r="E15445" s="18" t="s">
        <v>0</v>
      </c>
      <c r="F15445" s="41">
        <v>1</v>
      </c>
      <c r="G15445" s="41">
        <v>15</v>
      </c>
      <c r="H15445" s="41">
        <v>42.494300000000003</v>
      </c>
      <c r="I15445" s="221"/>
      <c r="J15445" s="221"/>
    </row>
    <row r="15446" spans="1:10" s="15" customFormat="1" ht="24" hidden="1" customHeight="1" outlineLevel="1" x14ac:dyDescent="0.25">
      <c r="A15446" s="18">
        <v>1040</v>
      </c>
      <c r="B15446" s="4" t="s">
        <v>44</v>
      </c>
      <c r="C15446" s="38" t="s">
        <v>12899</v>
      </c>
      <c r="D15446" s="18">
        <v>2023</v>
      </c>
      <c r="E15446" s="18" t="s">
        <v>0</v>
      </c>
      <c r="F15446" s="41">
        <v>1</v>
      </c>
      <c r="G15446" s="41">
        <v>12</v>
      </c>
      <c r="H15446" s="41">
        <v>42.494300000000003</v>
      </c>
      <c r="I15446" s="221"/>
      <c r="J15446" s="221"/>
    </row>
    <row r="15447" spans="1:10" s="15" customFormat="1" ht="24" hidden="1" customHeight="1" outlineLevel="1" x14ac:dyDescent="0.25">
      <c r="A15447" s="18">
        <v>1098</v>
      </c>
      <c r="B15447" s="4" t="s">
        <v>44</v>
      </c>
      <c r="C15447" s="38" t="s">
        <v>12900</v>
      </c>
      <c r="D15447" s="18">
        <v>2023</v>
      </c>
      <c r="E15447" s="18" t="s">
        <v>0</v>
      </c>
      <c r="F15447" s="41">
        <v>1</v>
      </c>
      <c r="G15447" s="41">
        <v>15</v>
      </c>
      <c r="H15447" s="41">
        <v>42.494300000000003</v>
      </c>
      <c r="I15447" s="221"/>
      <c r="J15447" s="221"/>
    </row>
    <row r="15448" spans="1:10" s="15" customFormat="1" ht="24" hidden="1" customHeight="1" outlineLevel="1" x14ac:dyDescent="0.25">
      <c r="A15448" s="18">
        <v>1093</v>
      </c>
      <c r="B15448" s="4" t="s">
        <v>44</v>
      </c>
      <c r="C15448" s="38" t="s">
        <v>12901</v>
      </c>
      <c r="D15448" s="18">
        <v>2023</v>
      </c>
      <c r="E15448" s="18" t="s">
        <v>0</v>
      </c>
      <c r="F15448" s="41">
        <v>1</v>
      </c>
      <c r="G15448" s="41">
        <v>15</v>
      </c>
      <c r="H15448" s="41">
        <v>42.494300000000003</v>
      </c>
      <c r="I15448" s="221"/>
      <c r="J15448" s="221"/>
    </row>
    <row r="15449" spans="1:10" s="15" customFormat="1" ht="24" hidden="1" customHeight="1" outlineLevel="1" x14ac:dyDescent="0.25">
      <c r="A15449" s="18">
        <v>1174</v>
      </c>
      <c r="B15449" s="4" t="s">
        <v>44</v>
      </c>
      <c r="C15449" s="38" t="s">
        <v>12902</v>
      </c>
      <c r="D15449" s="18">
        <v>2023</v>
      </c>
      <c r="E15449" s="18" t="s">
        <v>0</v>
      </c>
      <c r="F15449" s="41">
        <v>1</v>
      </c>
      <c r="G15449" s="41">
        <v>15</v>
      </c>
      <c r="H15449" s="41">
        <v>42.494300000000003</v>
      </c>
      <c r="I15449" s="221"/>
      <c r="J15449" s="221"/>
    </row>
    <row r="15450" spans="1:10" s="15" customFormat="1" ht="24" hidden="1" customHeight="1" outlineLevel="1" x14ac:dyDescent="0.25">
      <c r="A15450" s="18">
        <v>1168</v>
      </c>
      <c r="B15450" s="4" t="s">
        <v>44</v>
      </c>
      <c r="C15450" s="38" t="s">
        <v>12903</v>
      </c>
      <c r="D15450" s="18">
        <v>2023</v>
      </c>
      <c r="E15450" s="18" t="s">
        <v>0</v>
      </c>
      <c r="F15450" s="41">
        <v>1</v>
      </c>
      <c r="G15450" s="41">
        <v>5</v>
      </c>
      <c r="H15450" s="41">
        <v>42.494300000000003</v>
      </c>
      <c r="I15450" s="221"/>
      <c r="J15450" s="221"/>
    </row>
    <row r="15451" spans="1:10" s="15" customFormat="1" ht="24" hidden="1" customHeight="1" outlineLevel="1" x14ac:dyDescent="0.25">
      <c r="A15451" s="18">
        <v>1204</v>
      </c>
      <c r="B15451" s="4" t="s">
        <v>44</v>
      </c>
      <c r="C15451" s="38" t="s">
        <v>12904</v>
      </c>
      <c r="D15451" s="18">
        <v>2023</v>
      </c>
      <c r="E15451" s="18" t="s">
        <v>0</v>
      </c>
      <c r="F15451" s="41">
        <v>1</v>
      </c>
      <c r="G15451" s="41">
        <v>15</v>
      </c>
      <c r="H15451" s="41">
        <v>42.494300000000003</v>
      </c>
      <c r="I15451" s="221"/>
      <c r="J15451" s="221"/>
    </row>
    <row r="15452" spans="1:10" s="15" customFormat="1" ht="24" hidden="1" customHeight="1" outlineLevel="1" x14ac:dyDescent="0.25">
      <c r="A15452" s="18">
        <v>5186</v>
      </c>
      <c r="B15452" s="4" t="s">
        <v>44</v>
      </c>
      <c r="C15452" s="38" t="s">
        <v>12905</v>
      </c>
      <c r="D15452" s="18">
        <v>2023</v>
      </c>
      <c r="E15452" s="18" t="s">
        <v>0</v>
      </c>
      <c r="F15452" s="41">
        <v>1</v>
      </c>
      <c r="G15452" s="41">
        <v>15</v>
      </c>
      <c r="H15452" s="41">
        <v>42.494300000000003</v>
      </c>
      <c r="I15452" s="221"/>
      <c r="J15452" s="221"/>
    </row>
    <row r="15453" spans="1:10" s="15" customFormat="1" ht="24" hidden="1" customHeight="1" outlineLevel="1" x14ac:dyDescent="0.25">
      <c r="A15453" s="18">
        <v>803</v>
      </c>
      <c r="B15453" s="4" t="s">
        <v>44</v>
      </c>
      <c r="C15453" s="38" t="s">
        <v>12906</v>
      </c>
      <c r="D15453" s="18">
        <v>2023</v>
      </c>
      <c r="E15453" s="18" t="s">
        <v>0</v>
      </c>
      <c r="F15453" s="41">
        <v>1</v>
      </c>
      <c r="G15453" s="41">
        <v>15</v>
      </c>
      <c r="H15453" s="41">
        <v>42.494300000000003</v>
      </c>
      <c r="I15453" s="221"/>
      <c r="J15453" s="221"/>
    </row>
    <row r="15454" spans="1:10" s="15" customFormat="1" ht="24" hidden="1" customHeight="1" outlineLevel="1" x14ac:dyDescent="0.25">
      <c r="A15454" s="18">
        <v>5187</v>
      </c>
      <c r="B15454" s="4" t="s">
        <v>44</v>
      </c>
      <c r="C15454" s="38" t="s">
        <v>12907</v>
      </c>
      <c r="D15454" s="18">
        <v>2023</v>
      </c>
      <c r="E15454" s="18" t="s">
        <v>0</v>
      </c>
      <c r="F15454" s="41">
        <v>1</v>
      </c>
      <c r="G15454" s="41">
        <v>15</v>
      </c>
      <c r="H15454" s="41">
        <v>42.494300000000003</v>
      </c>
      <c r="I15454" s="221"/>
      <c r="J15454" s="221"/>
    </row>
    <row r="15455" spans="1:10" s="15" customFormat="1" ht="24" hidden="1" customHeight="1" outlineLevel="1" x14ac:dyDescent="0.25">
      <c r="A15455" s="18">
        <v>5188</v>
      </c>
      <c r="B15455" s="4" t="s">
        <v>44</v>
      </c>
      <c r="C15455" s="38" t="s">
        <v>12908</v>
      </c>
      <c r="D15455" s="18">
        <v>2023</v>
      </c>
      <c r="E15455" s="18" t="s">
        <v>0</v>
      </c>
      <c r="F15455" s="41">
        <v>1</v>
      </c>
      <c r="G15455" s="41">
        <v>15</v>
      </c>
      <c r="H15455" s="41">
        <v>42.494300000000003</v>
      </c>
      <c r="I15455" s="221"/>
      <c r="J15455" s="221"/>
    </row>
    <row r="15456" spans="1:10" s="15" customFormat="1" ht="24" hidden="1" customHeight="1" outlineLevel="1" x14ac:dyDescent="0.25">
      <c r="A15456" s="18">
        <v>1486</v>
      </c>
      <c r="B15456" s="4" t="s">
        <v>44</v>
      </c>
      <c r="C15456" s="38" t="s">
        <v>12909</v>
      </c>
      <c r="D15456" s="18">
        <v>2023</v>
      </c>
      <c r="E15456" s="18" t="s">
        <v>0</v>
      </c>
      <c r="F15456" s="41">
        <v>1</v>
      </c>
      <c r="G15456" s="41">
        <v>3</v>
      </c>
      <c r="H15456" s="41">
        <v>42.494300000000003</v>
      </c>
      <c r="I15456" s="221"/>
      <c r="J15456" s="221"/>
    </row>
    <row r="15457" spans="1:10" s="15" customFormat="1" ht="24" hidden="1" customHeight="1" outlineLevel="1" x14ac:dyDescent="0.25">
      <c r="A15457" s="18">
        <v>5189</v>
      </c>
      <c r="B15457" s="4" t="s">
        <v>44</v>
      </c>
      <c r="C15457" s="38" t="s">
        <v>12910</v>
      </c>
      <c r="D15457" s="18">
        <v>2023</v>
      </c>
      <c r="E15457" s="18" t="s">
        <v>0</v>
      </c>
      <c r="F15457" s="41">
        <v>1</v>
      </c>
      <c r="G15457" s="41">
        <v>15</v>
      </c>
      <c r="H15457" s="41">
        <v>42.494300000000003</v>
      </c>
      <c r="I15457" s="221"/>
      <c r="J15457" s="221"/>
    </row>
    <row r="15458" spans="1:10" s="15" customFormat="1" ht="24" hidden="1" customHeight="1" outlineLevel="1" x14ac:dyDescent="0.25">
      <c r="A15458" s="18">
        <v>5190</v>
      </c>
      <c r="B15458" s="4" t="s">
        <v>44</v>
      </c>
      <c r="C15458" s="38" t="s">
        <v>12911</v>
      </c>
      <c r="D15458" s="18">
        <v>2023</v>
      </c>
      <c r="E15458" s="18" t="s">
        <v>0</v>
      </c>
      <c r="F15458" s="41">
        <v>1</v>
      </c>
      <c r="G15458" s="41">
        <v>15</v>
      </c>
      <c r="H15458" s="41">
        <v>42.494300000000003</v>
      </c>
      <c r="I15458" s="221"/>
      <c r="J15458" s="221"/>
    </row>
    <row r="15459" spans="1:10" s="15" customFormat="1" ht="24" hidden="1" customHeight="1" outlineLevel="1" x14ac:dyDescent="0.25">
      <c r="A15459" s="18">
        <v>5191</v>
      </c>
      <c r="B15459" s="4" t="s">
        <v>44</v>
      </c>
      <c r="C15459" s="38" t="s">
        <v>12912</v>
      </c>
      <c r="D15459" s="18">
        <v>2023</v>
      </c>
      <c r="E15459" s="18" t="s">
        <v>0</v>
      </c>
      <c r="F15459" s="41">
        <v>1</v>
      </c>
      <c r="G15459" s="41">
        <v>25</v>
      </c>
      <c r="H15459" s="41">
        <v>42.494300000000003</v>
      </c>
      <c r="I15459" s="221"/>
      <c r="J15459" s="221"/>
    </row>
    <row r="15460" spans="1:10" s="15" customFormat="1" ht="24" hidden="1" customHeight="1" outlineLevel="1" x14ac:dyDescent="0.25">
      <c r="A15460" s="18">
        <v>1589</v>
      </c>
      <c r="B15460" s="4" t="s">
        <v>44</v>
      </c>
      <c r="C15460" s="38" t="s">
        <v>12913</v>
      </c>
      <c r="D15460" s="18">
        <v>2023</v>
      </c>
      <c r="E15460" s="18" t="s">
        <v>0</v>
      </c>
      <c r="F15460" s="41">
        <v>1</v>
      </c>
      <c r="G15460" s="41">
        <v>2</v>
      </c>
      <c r="H15460" s="41">
        <v>42.494300000000003</v>
      </c>
      <c r="I15460" s="221"/>
      <c r="J15460" s="221"/>
    </row>
    <row r="15461" spans="1:10" s="15" customFormat="1" ht="24" hidden="1" customHeight="1" outlineLevel="1" x14ac:dyDescent="0.25">
      <c r="A15461" s="18">
        <v>5192</v>
      </c>
      <c r="B15461" s="4" t="s">
        <v>44</v>
      </c>
      <c r="C15461" s="38" t="s">
        <v>12914</v>
      </c>
      <c r="D15461" s="18">
        <v>2023</v>
      </c>
      <c r="E15461" s="18" t="s">
        <v>0</v>
      </c>
      <c r="F15461" s="41">
        <v>1</v>
      </c>
      <c r="G15461" s="41">
        <v>10</v>
      </c>
      <c r="H15461" s="41">
        <v>42.494300000000003</v>
      </c>
      <c r="I15461" s="221"/>
      <c r="J15461" s="221"/>
    </row>
    <row r="15462" spans="1:10" s="15" customFormat="1" ht="24" hidden="1" customHeight="1" outlineLevel="1" x14ac:dyDescent="0.25">
      <c r="A15462" s="18">
        <v>1590</v>
      </c>
      <c r="B15462" s="4" t="s">
        <v>44</v>
      </c>
      <c r="C15462" s="38" t="s">
        <v>12915</v>
      </c>
      <c r="D15462" s="18">
        <v>2023</v>
      </c>
      <c r="E15462" s="18" t="s">
        <v>0</v>
      </c>
      <c r="F15462" s="41">
        <v>1</v>
      </c>
      <c r="G15462" s="41">
        <v>7</v>
      </c>
      <c r="H15462" s="41">
        <v>42.494300000000003</v>
      </c>
      <c r="I15462" s="221"/>
      <c r="J15462" s="221"/>
    </row>
    <row r="15463" spans="1:10" s="15" customFormat="1" ht="24" hidden="1" customHeight="1" outlineLevel="1" x14ac:dyDescent="0.25">
      <c r="A15463" s="18">
        <v>5193</v>
      </c>
      <c r="B15463" s="4" t="s">
        <v>44</v>
      </c>
      <c r="C15463" s="38" t="s">
        <v>12916</v>
      </c>
      <c r="D15463" s="18">
        <v>2023</v>
      </c>
      <c r="E15463" s="18" t="s">
        <v>0</v>
      </c>
      <c r="F15463" s="41">
        <v>1</v>
      </c>
      <c r="G15463" s="41">
        <v>15</v>
      </c>
      <c r="H15463" s="41">
        <v>42.494300000000003</v>
      </c>
      <c r="I15463" s="221"/>
      <c r="J15463" s="221"/>
    </row>
    <row r="15464" spans="1:10" s="15" customFormat="1" ht="24" hidden="1" customHeight="1" outlineLevel="1" x14ac:dyDescent="0.25">
      <c r="A15464" s="18">
        <v>5194</v>
      </c>
      <c r="B15464" s="4" t="s">
        <v>44</v>
      </c>
      <c r="C15464" s="38" t="s">
        <v>12917</v>
      </c>
      <c r="D15464" s="18">
        <v>2023</v>
      </c>
      <c r="E15464" s="18" t="s">
        <v>0</v>
      </c>
      <c r="F15464" s="41">
        <v>1</v>
      </c>
      <c r="G15464" s="41">
        <v>15</v>
      </c>
      <c r="H15464" s="41">
        <v>42.494300000000003</v>
      </c>
      <c r="I15464" s="221"/>
      <c r="J15464" s="221"/>
    </row>
    <row r="15465" spans="1:10" s="15" customFormat="1" ht="24" hidden="1" customHeight="1" outlineLevel="1" x14ac:dyDescent="0.25">
      <c r="A15465" s="18">
        <v>1642</v>
      </c>
      <c r="B15465" s="4" t="s">
        <v>44</v>
      </c>
      <c r="C15465" s="38" t="s">
        <v>12918</v>
      </c>
      <c r="D15465" s="18">
        <v>2023</v>
      </c>
      <c r="E15465" s="18" t="s">
        <v>0</v>
      </c>
      <c r="F15465" s="41">
        <v>1</v>
      </c>
      <c r="G15465" s="41">
        <v>15</v>
      </c>
      <c r="H15465" s="41">
        <v>42.494300000000003</v>
      </c>
      <c r="I15465" s="221"/>
      <c r="J15465" s="221"/>
    </row>
    <row r="15466" spans="1:10" s="15" customFormat="1" ht="24" hidden="1" customHeight="1" outlineLevel="1" x14ac:dyDescent="0.25">
      <c r="A15466" s="18">
        <v>5195</v>
      </c>
      <c r="B15466" s="4" t="s">
        <v>44</v>
      </c>
      <c r="C15466" s="38" t="s">
        <v>12919</v>
      </c>
      <c r="D15466" s="18">
        <v>2023</v>
      </c>
      <c r="E15466" s="18" t="s">
        <v>0</v>
      </c>
      <c r="F15466" s="41">
        <v>1</v>
      </c>
      <c r="G15466" s="41">
        <v>10</v>
      </c>
      <c r="H15466" s="41">
        <v>42.494300000000003</v>
      </c>
      <c r="I15466" s="221"/>
      <c r="J15466" s="221"/>
    </row>
    <row r="15467" spans="1:10" s="15" customFormat="1" ht="24" hidden="1" customHeight="1" outlineLevel="1" x14ac:dyDescent="0.25">
      <c r="A15467" s="18">
        <v>5196</v>
      </c>
      <c r="B15467" s="4" t="s">
        <v>44</v>
      </c>
      <c r="C15467" s="38" t="s">
        <v>12920</v>
      </c>
      <c r="D15467" s="18">
        <v>2023</v>
      </c>
      <c r="E15467" s="18" t="s">
        <v>0</v>
      </c>
      <c r="F15467" s="41">
        <v>1</v>
      </c>
      <c r="G15467" s="41">
        <v>15</v>
      </c>
      <c r="H15467" s="41">
        <v>42.494300000000003</v>
      </c>
      <c r="I15467" s="221"/>
      <c r="J15467" s="221"/>
    </row>
    <row r="15468" spans="1:10" s="15" customFormat="1" ht="24" hidden="1" customHeight="1" outlineLevel="1" x14ac:dyDescent="0.25">
      <c r="A15468" s="18">
        <v>1179</v>
      </c>
      <c r="B15468" s="4" t="s">
        <v>44</v>
      </c>
      <c r="C15468" s="38" t="s">
        <v>12921</v>
      </c>
      <c r="D15468" s="18">
        <v>2023</v>
      </c>
      <c r="E15468" s="18" t="s">
        <v>0</v>
      </c>
      <c r="F15468" s="41">
        <v>1</v>
      </c>
      <c r="G15468" s="41">
        <v>15</v>
      </c>
      <c r="H15468" s="41">
        <v>42.595960000000005</v>
      </c>
      <c r="I15468" s="221"/>
      <c r="J15468" s="221"/>
    </row>
    <row r="15469" spans="1:10" s="15" customFormat="1" ht="24" hidden="1" customHeight="1" outlineLevel="1" x14ac:dyDescent="0.25">
      <c r="A15469" s="18">
        <v>1170</v>
      </c>
      <c r="B15469" s="4" t="s">
        <v>44</v>
      </c>
      <c r="C15469" s="38" t="s">
        <v>12922</v>
      </c>
      <c r="D15469" s="18">
        <v>2023</v>
      </c>
      <c r="E15469" s="18" t="s">
        <v>0</v>
      </c>
      <c r="F15469" s="41">
        <v>1</v>
      </c>
      <c r="G15469" s="41">
        <v>10</v>
      </c>
      <c r="H15469" s="41">
        <v>42.595960000000005</v>
      </c>
      <c r="I15469" s="221"/>
      <c r="J15469" s="221"/>
    </row>
    <row r="15470" spans="1:10" s="15" customFormat="1" ht="24" hidden="1" customHeight="1" outlineLevel="1" x14ac:dyDescent="0.25">
      <c r="A15470" s="18">
        <v>567</v>
      </c>
      <c r="B15470" s="4" t="s">
        <v>44</v>
      </c>
      <c r="C15470" s="38" t="s">
        <v>12923</v>
      </c>
      <c r="D15470" s="18">
        <v>2023</v>
      </c>
      <c r="E15470" s="18" t="s">
        <v>0</v>
      </c>
      <c r="F15470" s="41">
        <v>1</v>
      </c>
      <c r="G15470" s="41">
        <v>15</v>
      </c>
      <c r="H15470" s="41">
        <v>42.595960000000005</v>
      </c>
      <c r="I15470" s="221"/>
      <c r="J15470" s="221"/>
    </row>
    <row r="15471" spans="1:10" s="15" customFormat="1" ht="24" hidden="1" customHeight="1" outlineLevel="1" x14ac:dyDescent="0.25">
      <c r="A15471" s="18">
        <v>619</v>
      </c>
      <c r="B15471" s="4" t="s">
        <v>44</v>
      </c>
      <c r="C15471" s="38" t="s">
        <v>12924</v>
      </c>
      <c r="D15471" s="18">
        <v>2023</v>
      </c>
      <c r="E15471" s="18" t="s">
        <v>0</v>
      </c>
      <c r="F15471" s="41">
        <v>1</v>
      </c>
      <c r="G15471" s="41">
        <v>15</v>
      </c>
      <c r="H15471" s="41">
        <v>42.595960000000005</v>
      </c>
      <c r="I15471" s="221"/>
      <c r="J15471" s="221"/>
    </row>
    <row r="15472" spans="1:10" s="15" customFormat="1" ht="24" hidden="1" customHeight="1" outlineLevel="1" x14ac:dyDescent="0.25">
      <c r="A15472" s="18">
        <v>5240</v>
      </c>
      <c r="B15472" s="4" t="s">
        <v>44</v>
      </c>
      <c r="C15472" s="38" t="s">
        <v>12925</v>
      </c>
      <c r="D15472" s="18">
        <v>2023</v>
      </c>
      <c r="E15472" s="18" t="s">
        <v>0</v>
      </c>
      <c r="F15472" s="41">
        <v>1</v>
      </c>
      <c r="G15472" s="41">
        <v>15</v>
      </c>
      <c r="H15472" s="41">
        <v>42.595960000000005</v>
      </c>
      <c r="I15472" s="221"/>
      <c r="J15472" s="221"/>
    </row>
    <row r="15473" spans="1:10" s="15" customFormat="1" ht="24" hidden="1" customHeight="1" outlineLevel="1" x14ac:dyDescent="0.25">
      <c r="A15473" s="18">
        <v>648</v>
      </c>
      <c r="B15473" s="4" t="s">
        <v>44</v>
      </c>
      <c r="C15473" s="38" t="s">
        <v>12926</v>
      </c>
      <c r="D15473" s="18">
        <v>2023</v>
      </c>
      <c r="E15473" s="18" t="s">
        <v>0</v>
      </c>
      <c r="F15473" s="41">
        <v>1</v>
      </c>
      <c r="G15473" s="41">
        <v>15</v>
      </c>
      <c r="H15473" s="41">
        <v>42.595960000000005</v>
      </c>
      <c r="I15473" s="221"/>
      <c r="J15473" s="221"/>
    </row>
    <row r="15474" spans="1:10" s="15" customFormat="1" ht="24" hidden="1" customHeight="1" outlineLevel="1" x14ac:dyDescent="0.25">
      <c r="A15474" s="18">
        <v>703</v>
      </c>
      <c r="B15474" s="4" t="s">
        <v>44</v>
      </c>
      <c r="C15474" s="38" t="s">
        <v>12927</v>
      </c>
      <c r="D15474" s="18">
        <v>2023</v>
      </c>
      <c r="E15474" s="18" t="s">
        <v>0</v>
      </c>
      <c r="F15474" s="41">
        <v>1</v>
      </c>
      <c r="G15474" s="41">
        <v>15</v>
      </c>
      <c r="H15474" s="41">
        <v>42.595960000000005</v>
      </c>
      <c r="I15474" s="221"/>
      <c r="J15474" s="221"/>
    </row>
    <row r="15475" spans="1:10" s="15" customFormat="1" ht="24" hidden="1" customHeight="1" outlineLevel="1" x14ac:dyDescent="0.25">
      <c r="A15475" s="18">
        <v>719</v>
      </c>
      <c r="B15475" s="4" t="s">
        <v>44</v>
      </c>
      <c r="C15475" s="38" t="s">
        <v>12928</v>
      </c>
      <c r="D15475" s="18">
        <v>2023</v>
      </c>
      <c r="E15475" s="18" t="s">
        <v>0</v>
      </c>
      <c r="F15475" s="41">
        <v>1</v>
      </c>
      <c r="G15475" s="41">
        <v>15</v>
      </c>
      <c r="H15475" s="41">
        <v>42.595960000000005</v>
      </c>
      <c r="I15475" s="221"/>
      <c r="J15475" s="221"/>
    </row>
    <row r="15476" spans="1:10" s="15" customFormat="1" ht="24" hidden="1" customHeight="1" outlineLevel="1" x14ac:dyDescent="0.25">
      <c r="A15476" s="18">
        <v>760</v>
      </c>
      <c r="B15476" s="4" t="s">
        <v>44</v>
      </c>
      <c r="C15476" s="38" t="s">
        <v>12929</v>
      </c>
      <c r="D15476" s="18">
        <v>2023</v>
      </c>
      <c r="E15476" s="18" t="s">
        <v>0</v>
      </c>
      <c r="F15476" s="41">
        <v>1</v>
      </c>
      <c r="G15476" s="41">
        <v>10</v>
      </c>
      <c r="H15476" s="41">
        <v>42.595960000000005</v>
      </c>
      <c r="I15476" s="221"/>
      <c r="J15476" s="221"/>
    </row>
    <row r="15477" spans="1:10" s="15" customFormat="1" ht="24" hidden="1" customHeight="1" outlineLevel="1" x14ac:dyDescent="0.25">
      <c r="A15477" s="18">
        <v>756</v>
      </c>
      <c r="B15477" s="4" t="s">
        <v>44</v>
      </c>
      <c r="C15477" s="38" t="s">
        <v>12930</v>
      </c>
      <c r="D15477" s="18">
        <v>2023</v>
      </c>
      <c r="E15477" s="18" t="s">
        <v>0</v>
      </c>
      <c r="F15477" s="41">
        <v>1</v>
      </c>
      <c r="G15477" s="41">
        <v>15</v>
      </c>
      <c r="H15477" s="41">
        <v>42.595960000000005</v>
      </c>
      <c r="I15477" s="221"/>
      <c r="J15477" s="221"/>
    </row>
    <row r="15478" spans="1:10" s="15" customFormat="1" ht="24" hidden="1" customHeight="1" outlineLevel="1" x14ac:dyDescent="0.25">
      <c r="A15478" s="18">
        <v>763</v>
      </c>
      <c r="B15478" s="4" t="s">
        <v>44</v>
      </c>
      <c r="C15478" s="38" t="s">
        <v>12931</v>
      </c>
      <c r="D15478" s="18">
        <v>2023</v>
      </c>
      <c r="E15478" s="18" t="s">
        <v>0</v>
      </c>
      <c r="F15478" s="41">
        <v>1</v>
      </c>
      <c r="G15478" s="41">
        <v>15</v>
      </c>
      <c r="H15478" s="41">
        <v>42.595960000000005</v>
      </c>
      <c r="I15478" s="221"/>
      <c r="J15478" s="221"/>
    </row>
    <row r="15479" spans="1:10" s="15" customFormat="1" ht="24" hidden="1" customHeight="1" outlineLevel="1" x14ac:dyDescent="0.25">
      <c r="A15479" s="18">
        <v>778</v>
      </c>
      <c r="B15479" s="4" t="s">
        <v>44</v>
      </c>
      <c r="C15479" s="38" t="s">
        <v>12932</v>
      </c>
      <c r="D15479" s="18">
        <v>2023</v>
      </c>
      <c r="E15479" s="18" t="s">
        <v>0</v>
      </c>
      <c r="F15479" s="41">
        <v>1</v>
      </c>
      <c r="G15479" s="41">
        <v>15</v>
      </c>
      <c r="H15479" s="41">
        <v>42.595960000000005</v>
      </c>
      <c r="I15479" s="221"/>
      <c r="J15479" s="221"/>
    </row>
    <row r="15480" spans="1:10" s="15" customFormat="1" ht="24" hidden="1" customHeight="1" outlineLevel="1" x14ac:dyDescent="0.25">
      <c r="A15480" s="18">
        <v>749</v>
      </c>
      <c r="B15480" s="4" t="s">
        <v>44</v>
      </c>
      <c r="C15480" s="38" t="s">
        <v>12933</v>
      </c>
      <c r="D15480" s="18">
        <v>2023</v>
      </c>
      <c r="E15480" s="18" t="s">
        <v>0</v>
      </c>
      <c r="F15480" s="41">
        <v>1</v>
      </c>
      <c r="G15480" s="41">
        <v>15</v>
      </c>
      <c r="H15480" s="41">
        <v>42.595960000000005</v>
      </c>
      <c r="I15480" s="221"/>
      <c r="J15480" s="221"/>
    </row>
    <row r="15481" spans="1:10" s="15" customFormat="1" ht="24" hidden="1" customHeight="1" outlineLevel="1" x14ac:dyDescent="0.25">
      <c r="A15481" s="18">
        <v>5241</v>
      </c>
      <c r="B15481" s="4" t="s">
        <v>44</v>
      </c>
      <c r="C15481" s="38" t="s">
        <v>12934</v>
      </c>
      <c r="D15481" s="18">
        <v>2023</v>
      </c>
      <c r="E15481" s="18" t="s">
        <v>0</v>
      </c>
      <c r="F15481" s="41">
        <v>1</v>
      </c>
      <c r="G15481" s="41">
        <v>30</v>
      </c>
      <c r="H15481" s="41">
        <v>42.595960000000005</v>
      </c>
      <c r="I15481" s="221"/>
      <c r="J15481" s="221"/>
    </row>
    <row r="15482" spans="1:10" s="15" customFormat="1" ht="24" hidden="1" customHeight="1" outlineLevel="1" x14ac:dyDescent="0.25">
      <c r="A15482" s="18">
        <v>923</v>
      </c>
      <c r="B15482" s="4" t="s">
        <v>44</v>
      </c>
      <c r="C15482" s="38" t="s">
        <v>12935</v>
      </c>
      <c r="D15482" s="18">
        <v>2023</v>
      </c>
      <c r="E15482" s="18" t="s">
        <v>0</v>
      </c>
      <c r="F15482" s="41">
        <v>1</v>
      </c>
      <c r="G15482" s="41">
        <v>15</v>
      </c>
      <c r="H15482" s="41">
        <v>42.595960000000005</v>
      </c>
      <c r="I15482" s="221"/>
      <c r="J15482" s="221"/>
    </row>
    <row r="15483" spans="1:10" s="15" customFormat="1" ht="24" hidden="1" customHeight="1" outlineLevel="1" x14ac:dyDescent="0.25">
      <c r="A15483" s="18">
        <v>929</v>
      </c>
      <c r="B15483" s="4" t="s">
        <v>44</v>
      </c>
      <c r="C15483" s="38" t="s">
        <v>12936</v>
      </c>
      <c r="D15483" s="18">
        <v>2023</v>
      </c>
      <c r="E15483" s="18" t="s">
        <v>0</v>
      </c>
      <c r="F15483" s="41">
        <v>1</v>
      </c>
      <c r="G15483" s="41">
        <v>15</v>
      </c>
      <c r="H15483" s="41">
        <v>42.595960000000005</v>
      </c>
      <c r="I15483" s="221"/>
      <c r="J15483" s="221"/>
    </row>
    <row r="15484" spans="1:10" s="15" customFormat="1" ht="24" hidden="1" customHeight="1" outlineLevel="1" x14ac:dyDescent="0.25">
      <c r="A15484" s="18">
        <v>954</v>
      </c>
      <c r="B15484" s="4" t="s">
        <v>44</v>
      </c>
      <c r="C15484" s="38" t="s">
        <v>12937</v>
      </c>
      <c r="D15484" s="18">
        <v>2023</v>
      </c>
      <c r="E15484" s="18" t="s">
        <v>0</v>
      </c>
      <c r="F15484" s="41">
        <v>1</v>
      </c>
      <c r="G15484" s="41">
        <v>15</v>
      </c>
      <c r="H15484" s="41">
        <v>42.595960000000005</v>
      </c>
      <c r="I15484" s="221"/>
      <c r="J15484" s="221"/>
    </row>
    <row r="15485" spans="1:10" s="15" customFormat="1" ht="24" hidden="1" customHeight="1" outlineLevel="1" x14ac:dyDescent="0.25">
      <c r="A15485" s="18">
        <v>998</v>
      </c>
      <c r="B15485" s="4" t="s">
        <v>44</v>
      </c>
      <c r="C15485" s="38" t="s">
        <v>12938</v>
      </c>
      <c r="D15485" s="18">
        <v>2023</v>
      </c>
      <c r="E15485" s="18" t="s">
        <v>0</v>
      </c>
      <c r="F15485" s="41">
        <v>1</v>
      </c>
      <c r="G15485" s="41">
        <v>15</v>
      </c>
      <c r="H15485" s="41">
        <v>42.595960000000005</v>
      </c>
      <c r="I15485" s="221"/>
      <c r="J15485" s="221"/>
    </row>
    <row r="15486" spans="1:10" s="15" customFormat="1" ht="24" hidden="1" customHeight="1" outlineLevel="1" x14ac:dyDescent="0.25">
      <c r="A15486" s="18">
        <v>1020</v>
      </c>
      <c r="B15486" s="4" t="s">
        <v>44</v>
      </c>
      <c r="C15486" s="38" t="s">
        <v>12939</v>
      </c>
      <c r="D15486" s="18">
        <v>2023</v>
      </c>
      <c r="E15486" s="18" t="s">
        <v>0</v>
      </c>
      <c r="F15486" s="41">
        <v>1</v>
      </c>
      <c r="G15486" s="41">
        <v>12</v>
      </c>
      <c r="H15486" s="41">
        <v>42.595960000000005</v>
      </c>
      <c r="I15486" s="221"/>
      <c r="J15486" s="221"/>
    </row>
    <row r="15487" spans="1:10" s="15" customFormat="1" ht="24" hidden="1" customHeight="1" outlineLevel="1" x14ac:dyDescent="0.25">
      <c r="A15487" s="18">
        <v>1127</v>
      </c>
      <c r="B15487" s="4" t="s">
        <v>44</v>
      </c>
      <c r="C15487" s="38" t="s">
        <v>12940</v>
      </c>
      <c r="D15487" s="18">
        <v>2023</v>
      </c>
      <c r="E15487" s="18" t="s">
        <v>0</v>
      </c>
      <c r="F15487" s="41">
        <v>1</v>
      </c>
      <c r="G15487" s="41">
        <v>15</v>
      </c>
      <c r="H15487" s="41">
        <v>42.595960000000005</v>
      </c>
      <c r="I15487" s="221"/>
      <c r="J15487" s="221"/>
    </row>
    <row r="15488" spans="1:10" s="15" customFormat="1" ht="24" hidden="1" customHeight="1" outlineLevel="1" x14ac:dyDescent="0.25">
      <c r="A15488" s="18">
        <v>1132</v>
      </c>
      <c r="B15488" s="4" t="s">
        <v>44</v>
      </c>
      <c r="C15488" s="38" t="s">
        <v>12941</v>
      </c>
      <c r="D15488" s="18">
        <v>2023</v>
      </c>
      <c r="E15488" s="18" t="s">
        <v>0</v>
      </c>
      <c r="F15488" s="41">
        <v>1</v>
      </c>
      <c r="G15488" s="41">
        <v>15</v>
      </c>
      <c r="H15488" s="41">
        <v>42.595960000000005</v>
      </c>
      <c r="I15488" s="221"/>
      <c r="J15488" s="221"/>
    </row>
    <row r="15489" spans="1:10" s="15" customFormat="1" ht="24" hidden="1" customHeight="1" outlineLevel="1" x14ac:dyDescent="0.25">
      <c r="A15489" s="18">
        <v>1146</v>
      </c>
      <c r="B15489" s="4" t="s">
        <v>44</v>
      </c>
      <c r="C15489" s="38" t="s">
        <v>12942</v>
      </c>
      <c r="D15489" s="18">
        <v>2023</v>
      </c>
      <c r="E15489" s="18" t="s">
        <v>0</v>
      </c>
      <c r="F15489" s="41">
        <v>1</v>
      </c>
      <c r="G15489" s="41">
        <v>15</v>
      </c>
      <c r="H15489" s="41">
        <v>42.595960000000005</v>
      </c>
      <c r="I15489" s="221"/>
      <c r="J15489" s="221"/>
    </row>
    <row r="15490" spans="1:10" s="15" customFormat="1" ht="24" hidden="1" customHeight="1" outlineLevel="1" x14ac:dyDescent="0.25">
      <c r="A15490" s="18">
        <v>1107</v>
      </c>
      <c r="B15490" s="4" t="s">
        <v>44</v>
      </c>
      <c r="C15490" s="38" t="s">
        <v>12943</v>
      </c>
      <c r="D15490" s="18">
        <v>2023</v>
      </c>
      <c r="E15490" s="18" t="s">
        <v>0</v>
      </c>
      <c r="F15490" s="41">
        <v>1</v>
      </c>
      <c r="G15490" s="41">
        <v>15</v>
      </c>
      <c r="H15490" s="41">
        <v>42.595960000000005</v>
      </c>
      <c r="I15490" s="221"/>
      <c r="J15490" s="221"/>
    </row>
    <row r="15491" spans="1:10" s="15" customFormat="1" ht="24" hidden="1" customHeight="1" outlineLevel="1" x14ac:dyDescent="0.25">
      <c r="A15491" s="18">
        <v>1147</v>
      </c>
      <c r="B15491" s="4" t="s">
        <v>44</v>
      </c>
      <c r="C15491" s="38" t="s">
        <v>12944</v>
      </c>
      <c r="D15491" s="18">
        <v>2023</v>
      </c>
      <c r="E15491" s="18" t="s">
        <v>0</v>
      </c>
      <c r="F15491" s="41">
        <v>1</v>
      </c>
      <c r="G15491" s="41">
        <v>15</v>
      </c>
      <c r="H15491" s="41">
        <v>42.595960000000005</v>
      </c>
      <c r="I15491" s="221"/>
      <c r="J15491" s="221"/>
    </row>
    <row r="15492" spans="1:10" s="15" customFormat="1" ht="24" hidden="1" customHeight="1" outlineLevel="1" x14ac:dyDescent="0.25">
      <c r="A15492" s="18">
        <v>5242</v>
      </c>
      <c r="B15492" s="4" t="s">
        <v>44</v>
      </c>
      <c r="C15492" s="38" t="s">
        <v>12945</v>
      </c>
      <c r="D15492" s="18">
        <v>2023</v>
      </c>
      <c r="E15492" s="18" t="s">
        <v>0</v>
      </c>
      <c r="F15492" s="41">
        <v>1</v>
      </c>
      <c r="G15492" s="41">
        <v>15</v>
      </c>
      <c r="H15492" s="41">
        <v>42.595960000000005</v>
      </c>
      <c r="I15492" s="221"/>
      <c r="J15492" s="221"/>
    </row>
    <row r="15493" spans="1:10" s="15" customFormat="1" ht="24" hidden="1" customHeight="1" outlineLevel="1" x14ac:dyDescent="0.25">
      <c r="A15493" s="18">
        <v>1206</v>
      </c>
      <c r="B15493" s="4" t="s">
        <v>44</v>
      </c>
      <c r="C15493" s="38" t="s">
        <v>12946</v>
      </c>
      <c r="D15493" s="18">
        <v>2023</v>
      </c>
      <c r="E15493" s="18" t="s">
        <v>0</v>
      </c>
      <c r="F15493" s="41">
        <v>1</v>
      </c>
      <c r="G15493" s="41">
        <v>15</v>
      </c>
      <c r="H15493" s="41">
        <v>42.595960000000005</v>
      </c>
      <c r="I15493" s="221"/>
      <c r="J15493" s="221"/>
    </row>
    <row r="15494" spans="1:10" s="15" customFormat="1" ht="24" hidden="1" customHeight="1" outlineLevel="1" x14ac:dyDescent="0.25">
      <c r="A15494" s="18">
        <v>5243</v>
      </c>
      <c r="B15494" s="4" t="s">
        <v>44</v>
      </c>
      <c r="C15494" s="38" t="s">
        <v>12947</v>
      </c>
      <c r="D15494" s="18">
        <v>2023</v>
      </c>
      <c r="E15494" s="18" t="s">
        <v>0</v>
      </c>
      <c r="F15494" s="41">
        <v>1</v>
      </c>
      <c r="G15494" s="41">
        <v>15</v>
      </c>
      <c r="H15494" s="41">
        <v>42.595960000000005</v>
      </c>
      <c r="I15494" s="221"/>
      <c r="J15494" s="221"/>
    </row>
    <row r="15495" spans="1:10" s="15" customFormat="1" ht="24" hidden="1" customHeight="1" outlineLevel="1" x14ac:dyDescent="0.25">
      <c r="A15495" s="18">
        <v>1215</v>
      </c>
      <c r="B15495" s="4" t="s">
        <v>44</v>
      </c>
      <c r="C15495" s="38" t="s">
        <v>12948</v>
      </c>
      <c r="D15495" s="18">
        <v>2023</v>
      </c>
      <c r="E15495" s="18" t="s">
        <v>0</v>
      </c>
      <c r="F15495" s="41">
        <v>1</v>
      </c>
      <c r="G15495" s="41">
        <v>8</v>
      </c>
      <c r="H15495" s="41">
        <v>42.595960000000005</v>
      </c>
      <c r="I15495" s="221"/>
      <c r="J15495" s="221"/>
    </row>
    <row r="15496" spans="1:10" s="15" customFormat="1" ht="24" hidden="1" customHeight="1" outlineLevel="1" x14ac:dyDescent="0.25">
      <c r="A15496" s="18">
        <v>1214</v>
      </c>
      <c r="B15496" s="4" t="s">
        <v>44</v>
      </c>
      <c r="C15496" s="38" t="s">
        <v>12949</v>
      </c>
      <c r="D15496" s="18">
        <v>2023</v>
      </c>
      <c r="E15496" s="18" t="s">
        <v>0</v>
      </c>
      <c r="F15496" s="41">
        <v>1</v>
      </c>
      <c r="G15496" s="41">
        <v>12</v>
      </c>
      <c r="H15496" s="41">
        <v>42.595960000000005</v>
      </c>
      <c r="I15496" s="221"/>
      <c r="J15496" s="221"/>
    </row>
    <row r="15497" spans="1:10" s="15" customFormat="1" ht="24" hidden="1" customHeight="1" outlineLevel="1" x14ac:dyDescent="0.25">
      <c r="A15497" s="18">
        <v>5244</v>
      </c>
      <c r="B15497" s="4" t="s">
        <v>44</v>
      </c>
      <c r="C15497" s="38" t="s">
        <v>12950</v>
      </c>
      <c r="D15497" s="18">
        <v>2023</v>
      </c>
      <c r="E15497" s="18" t="s">
        <v>0</v>
      </c>
      <c r="F15497" s="41">
        <v>1</v>
      </c>
      <c r="G15497" s="41">
        <v>10</v>
      </c>
      <c r="H15497" s="41">
        <v>42.595960000000005</v>
      </c>
      <c r="I15497" s="221"/>
      <c r="J15497" s="221"/>
    </row>
    <row r="15498" spans="1:10" s="15" customFormat="1" ht="24" hidden="1" customHeight="1" outlineLevel="1" x14ac:dyDescent="0.25">
      <c r="A15498" s="18">
        <v>995</v>
      </c>
      <c r="B15498" s="4" t="s">
        <v>44</v>
      </c>
      <c r="C15498" s="38" t="s">
        <v>12951</v>
      </c>
      <c r="D15498" s="18">
        <v>2023</v>
      </c>
      <c r="E15498" s="18" t="s">
        <v>0</v>
      </c>
      <c r="F15498" s="41">
        <v>1</v>
      </c>
      <c r="G15498" s="41">
        <v>12</v>
      </c>
      <c r="H15498" s="41">
        <v>42.595960000000005</v>
      </c>
      <c r="I15498" s="221"/>
      <c r="J15498" s="221"/>
    </row>
    <row r="15499" spans="1:10" s="15" customFormat="1" ht="24" hidden="1" customHeight="1" outlineLevel="1" x14ac:dyDescent="0.25">
      <c r="A15499" s="18">
        <v>1196</v>
      </c>
      <c r="B15499" s="4" t="s">
        <v>44</v>
      </c>
      <c r="C15499" s="38" t="s">
        <v>12952</v>
      </c>
      <c r="D15499" s="18">
        <v>2023</v>
      </c>
      <c r="E15499" s="18" t="s">
        <v>0</v>
      </c>
      <c r="F15499" s="41">
        <v>1</v>
      </c>
      <c r="G15499" s="41">
        <v>15</v>
      </c>
      <c r="H15499" s="41">
        <v>42.595960000000005</v>
      </c>
      <c r="I15499" s="221"/>
      <c r="J15499" s="221"/>
    </row>
    <row r="15500" spans="1:10" s="15" customFormat="1" ht="24" hidden="1" customHeight="1" outlineLevel="1" x14ac:dyDescent="0.25">
      <c r="A15500" s="18">
        <v>5245</v>
      </c>
      <c r="B15500" s="4" t="s">
        <v>44</v>
      </c>
      <c r="C15500" s="38" t="s">
        <v>12953</v>
      </c>
      <c r="D15500" s="18">
        <v>2023</v>
      </c>
      <c r="E15500" s="18" t="s">
        <v>0</v>
      </c>
      <c r="F15500" s="41">
        <v>1</v>
      </c>
      <c r="G15500" s="41">
        <v>15</v>
      </c>
      <c r="H15500" s="41">
        <v>42.595960000000005</v>
      </c>
      <c r="I15500" s="221"/>
      <c r="J15500" s="221"/>
    </row>
    <row r="15501" spans="1:10" s="15" customFormat="1" ht="24" hidden="1" customHeight="1" outlineLevel="1" x14ac:dyDescent="0.25">
      <c r="A15501" s="18">
        <v>1283</v>
      </c>
      <c r="B15501" s="4" t="s">
        <v>44</v>
      </c>
      <c r="C15501" s="38" t="s">
        <v>12954</v>
      </c>
      <c r="D15501" s="18">
        <v>2023</v>
      </c>
      <c r="E15501" s="18" t="s">
        <v>0</v>
      </c>
      <c r="F15501" s="41">
        <v>1</v>
      </c>
      <c r="G15501" s="41">
        <v>10</v>
      </c>
      <c r="H15501" s="41">
        <v>42.595960000000005</v>
      </c>
      <c r="I15501" s="221"/>
      <c r="J15501" s="221"/>
    </row>
    <row r="15502" spans="1:10" s="15" customFormat="1" ht="24" hidden="1" customHeight="1" outlineLevel="1" x14ac:dyDescent="0.25">
      <c r="A15502" s="18">
        <v>5246</v>
      </c>
      <c r="B15502" s="4" t="s">
        <v>44</v>
      </c>
      <c r="C15502" s="38" t="s">
        <v>12955</v>
      </c>
      <c r="D15502" s="18">
        <v>2023</v>
      </c>
      <c r="E15502" s="18" t="s">
        <v>0</v>
      </c>
      <c r="F15502" s="41">
        <v>1</v>
      </c>
      <c r="G15502" s="41">
        <v>10</v>
      </c>
      <c r="H15502" s="41">
        <v>42.595960000000005</v>
      </c>
      <c r="I15502" s="221"/>
      <c r="J15502" s="221"/>
    </row>
    <row r="15503" spans="1:10" s="15" customFormat="1" ht="24" hidden="1" customHeight="1" outlineLevel="1" x14ac:dyDescent="0.25">
      <c r="A15503" s="18">
        <v>5247</v>
      </c>
      <c r="B15503" s="4" t="s">
        <v>44</v>
      </c>
      <c r="C15503" s="38" t="s">
        <v>12956</v>
      </c>
      <c r="D15503" s="18">
        <v>2023</v>
      </c>
      <c r="E15503" s="18" t="s">
        <v>0</v>
      </c>
      <c r="F15503" s="41">
        <v>1</v>
      </c>
      <c r="G15503" s="41">
        <v>15</v>
      </c>
      <c r="H15503" s="41">
        <v>42.595960000000005</v>
      </c>
      <c r="I15503" s="221"/>
      <c r="J15503" s="221"/>
    </row>
    <row r="15504" spans="1:10" s="15" customFormat="1" ht="24" hidden="1" customHeight="1" outlineLevel="1" x14ac:dyDescent="0.25">
      <c r="A15504" s="18">
        <v>1498</v>
      </c>
      <c r="B15504" s="4" t="s">
        <v>44</v>
      </c>
      <c r="C15504" s="38" t="s">
        <v>12957</v>
      </c>
      <c r="D15504" s="18">
        <v>2023</v>
      </c>
      <c r="E15504" s="18" t="s">
        <v>0</v>
      </c>
      <c r="F15504" s="41">
        <v>1</v>
      </c>
      <c r="G15504" s="41">
        <v>15</v>
      </c>
      <c r="H15504" s="41">
        <v>42.595960000000005</v>
      </c>
      <c r="I15504" s="221"/>
      <c r="J15504" s="221"/>
    </row>
    <row r="15505" spans="1:10" s="15" customFormat="1" ht="24" hidden="1" customHeight="1" outlineLevel="1" x14ac:dyDescent="0.25">
      <c r="A15505" s="18">
        <v>5248</v>
      </c>
      <c r="B15505" s="4" t="s">
        <v>44</v>
      </c>
      <c r="C15505" s="38" t="s">
        <v>12958</v>
      </c>
      <c r="D15505" s="18">
        <v>2023</v>
      </c>
      <c r="E15505" s="18" t="s">
        <v>0</v>
      </c>
      <c r="F15505" s="41">
        <v>1</v>
      </c>
      <c r="G15505" s="41">
        <v>15</v>
      </c>
      <c r="H15505" s="41">
        <v>42.595960000000005</v>
      </c>
      <c r="I15505" s="221"/>
      <c r="J15505" s="221"/>
    </row>
    <row r="15506" spans="1:10" s="15" customFormat="1" ht="24" hidden="1" customHeight="1" outlineLevel="1" x14ac:dyDescent="0.25">
      <c r="A15506" s="18">
        <v>766</v>
      </c>
      <c r="B15506" s="4" t="s">
        <v>44</v>
      </c>
      <c r="C15506" s="38" t="s">
        <v>12959</v>
      </c>
      <c r="D15506" s="18">
        <v>2023</v>
      </c>
      <c r="E15506" s="18" t="s">
        <v>0</v>
      </c>
      <c r="F15506" s="41">
        <v>1</v>
      </c>
      <c r="G15506" s="41">
        <v>15</v>
      </c>
      <c r="H15506" s="41">
        <v>42.392660000000006</v>
      </c>
      <c r="I15506" s="221"/>
      <c r="J15506" s="221"/>
    </row>
    <row r="15507" spans="1:10" s="15" customFormat="1" ht="24" hidden="1" customHeight="1" outlineLevel="1" x14ac:dyDescent="0.25">
      <c r="A15507" s="18">
        <v>804</v>
      </c>
      <c r="B15507" s="4" t="s">
        <v>44</v>
      </c>
      <c r="C15507" s="38" t="s">
        <v>12960</v>
      </c>
      <c r="D15507" s="18">
        <v>2023</v>
      </c>
      <c r="E15507" s="18" t="s">
        <v>0</v>
      </c>
      <c r="F15507" s="41">
        <v>1</v>
      </c>
      <c r="G15507" s="41">
        <v>15</v>
      </c>
      <c r="H15507" s="41">
        <v>42.392660000000006</v>
      </c>
      <c r="I15507" s="221"/>
      <c r="J15507" s="221"/>
    </row>
    <row r="15508" spans="1:10" s="15" customFormat="1" ht="24" hidden="1" customHeight="1" outlineLevel="1" x14ac:dyDescent="0.25">
      <c r="A15508" s="18">
        <v>1002</v>
      </c>
      <c r="B15508" s="4" t="s">
        <v>44</v>
      </c>
      <c r="C15508" s="38" t="s">
        <v>12961</v>
      </c>
      <c r="D15508" s="18">
        <v>2023</v>
      </c>
      <c r="E15508" s="18" t="s">
        <v>0</v>
      </c>
      <c r="F15508" s="41">
        <v>1</v>
      </c>
      <c r="G15508" s="41">
        <v>15</v>
      </c>
      <c r="H15508" s="41">
        <v>42.392660000000006</v>
      </c>
      <c r="I15508" s="221"/>
      <c r="J15508" s="221"/>
    </row>
    <row r="15509" spans="1:10" s="15" customFormat="1" ht="24" hidden="1" customHeight="1" outlineLevel="1" x14ac:dyDescent="0.25">
      <c r="A15509" s="18">
        <v>996</v>
      </c>
      <c r="B15509" s="4" t="s">
        <v>44</v>
      </c>
      <c r="C15509" s="38" t="s">
        <v>12962</v>
      </c>
      <c r="D15509" s="18">
        <v>2023</v>
      </c>
      <c r="E15509" s="18" t="s">
        <v>0</v>
      </c>
      <c r="F15509" s="41">
        <v>1</v>
      </c>
      <c r="G15509" s="41">
        <v>7</v>
      </c>
      <c r="H15509" s="41">
        <v>42.392660000000006</v>
      </c>
      <c r="I15509" s="221"/>
      <c r="J15509" s="221"/>
    </row>
    <row r="15510" spans="1:10" s="15" customFormat="1" ht="24" hidden="1" customHeight="1" outlineLevel="1" x14ac:dyDescent="0.25">
      <c r="A15510" s="18">
        <v>957</v>
      </c>
      <c r="B15510" s="4" t="s">
        <v>44</v>
      </c>
      <c r="C15510" s="38" t="s">
        <v>12963</v>
      </c>
      <c r="D15510" s="18">
        <v>2023</v>
      </c>
      <c r="E15510" s="18" t="s">
        <v>0</v>
      </c>
      <c r="F15510" s="41">
        <v>1</v>
      </c>
      <c r="G15510" s="41">
        <v>15</v>
      </c>
      <c r="H15510" s="41">
        <v>42.392660000000006</v>
      </c>
      <c r="I15510" s="221"/>
      <c r="J15510" s="221"/>
    </row>
    <row r="15511" spans="1:10" s="15" customFormat="1" ht="24" hidden="1" customHeight="1" outlineLevel="1" x14ac:dyDescent="0.25">
      <c r="A15511" s="18">
        <v>968</v>
      </c>
      <c r="B15511" s="4" t="s">
        <v>44</v>
      </c>
      <c r="C15511" s="38" t="s">
        <v>12964</v>
      </c>
      <c r="D15511" s="18">
        <v>2023</v>
      </c>
      <c r="E15511" s="18" t="s">
        <v>0</v>
      </c>
      <c r="F15511" s="41">
        <v>1</v>
      </c>
      <c r="G15511" s="41">
        <v>4</v>
      </c>
      <c r="H15511" s="41">
        <v>42.392660000000006</v>
      </c>
      <c r="I15511" s="221"/>
      <c r="J15511" s="221"/>
    </row>
    <row r="15512" spans="1:10" s="15" customFormat="1" ht="24" hidden="1" customHeight="1" outlineLevel="1" x14ac:dyDescent="0.25">
      <c r="A15512" s="18">
        <v>1048</v>
      </c>
      <c r="B15512" s="4" t="s">
        <v>44</v>
      </c>
      <c r="C15512" s="38" t="s">
        <v>12965</v>
      </c>
      <c r="D15512" s="18">
        <v>2023</v>
      </c>
      <c r="E15512" s="18" t="s">
        <v>0</v>
      </c>
      <c r="F15512" s="41">
        <v>1</v>
      </c>
      <c r="G15512" s="41">
        <v>10</v>
      </c>
      <c r="H15512" s="41">
        <v>42.392660000000006</v>
      </c>
      <c r="I15512" s="221"/>
      <c r="J15512" s="221"/>
    </row>
    <row r="15513" spans="1:10" s="15" customFormat="1" ht="24" hidden="1" customHeight="1" outlineLevel="1" x14ac:dyDescent="0.25">
      <c r="A15513" s="18">
        <v>1131</v>
      </c>
      <c r="B15513" s="4" t="s">
        <v>44</v>
      </c>
      <c r="C15513" s="38" t="s">
        <v>12966</v>
      </c>
      <c r="D15513" s="18">
        <v>2023</v>
      </c>
      <c r="E15513" s="18" t="s">
        <v>0</v>
      </c>
      <c r="F15513" s="41">
        <v>1</v>
      </c>
      <c r="G15513" s="41">
        <v>15</v>
      </c>
      <c r="H15513" s="41">
        <v>42.392660000000006</v>
      </c>
      <c r="I15513" s="221"/>
      <c r="J15513" s="221"/>
    </row>
    <row r="15514" spans="1:10" s="15" customFormat="1" ht="24" hidden="1" customHeight="1" outlineLevel="1" x14ac:dyDescent="0.25">
      <c r="A15514" s="18">
        <v>1036</v>
      </c>
      <c r="B15514" s="4" t="s">
        <v>44</v>
      </c>
      <c r="C15514" s="38" t="s">
        <v>12967</v>
      </c>
      <c r="D15514" s="18">
        <v>2023</v>
      </c>
      <c r="E15514" s="18" t="s">
        <v>0</v>
      </c>
      <c r="F15514" s="41">
        <v>1</v>
      </c>
      <c r="G15514" s="41">
        <v>15</v>
      </c>
      <c r="H15514" s="41">
        <v>42.392660000000006</v>
      </c>
      <c r="I15514" s="221"/>
      <c r="J15514" s="221"/>
    </row>
    <row r="15515" spans="1:10" s="15" customFormat="1" ht="24" hidden="1" customHeight="1" outlineLevel="1" x14ac:dyDescent="0.25">
      <c r="A15515" s="18">
        <v>1097</v>
      </c>
      <c r="B15515" s="4" t="s">
        <v>44</v>
      </c>
      <c r="C15515" s="38" t="s">
        <v>12968</v>
      </c>
      <c r="D15515" s="18">
        <v>2023</v>
      </c>
      <c r="E15515" s="18" t="s">
        <v>0</v>
      </c>
      <c r="F15515" s="41">
        <v>1</v>
      </c>
      <c r="G15515" s="41">
        <v>15</v>
      </c>
      <c r="H15515" s="41">
        <v>42.392660000000006</v>
      </c>
      <c r="I15515" s="221"/>
      <c r="J15515" s="221"/>
    </row>
    <row r="15516" spans="1:10" s="15" customFormat="1" ht="24" hidden="1" customHeight="1" outlineLevel="1" x14ac:dyDescent="0.25">
      <c r="A15516" s="18">
        <v>1201</v>
      </c>
      <c r="B15516" s="4" t="s">
        <v>44</v>
      </c>
      <c r="C15516" s="38" t="s">
        <v>12969</v>
      </c>
      <c r="D15516" s="18">
        <v>2023</v>
      </c>
      <c r="E15516" s="18" t="s">
        <v>0</v>
      </c>
      <c r="F15516" s="41">
        <v>1</v>
      </c>
      <c r="G15516" s="41">
        <v>12</v>
      </c>
      <c r="H15516" s="41">
        <v>42.392660000000006</v>
      </c>
      <c r="I15516" s="221"/>
      <c r="J15516" s="221"/>
    </row>
    <row r="15517" spans="1:10" s="15" customFormat="1" ht="24" hidden="1" customHeight="1" outlineLevel="1" x14ac:dyDescent="0.25">
      <c r="A15517" s="18">
        <v>1211</v>
      </c>
      <c r="B15517" s="4" t="s">
        <v>44</v>
      </c>
      <c r="C15517" s="38" t="s">
        <v>12970</v>
      </c>
      <c r="D15517" s="18">
        <v>2023</v>
      </c>
      <c r="E15517" s="18" t="s">
        <v>0</v>
      </c>
      <c r="F15517" s="41">
        <v>1</v>
      </c>
      <c r="G15517" s="41">
        <v>15</v>
      </c>
      <c r="H15517" s="41">
        <v>42.392660000000006</v>
      </c>
      <c r="I15517" s="221"/>
      <c r="J15517" s="221"/>
    </row>
    <row r="15518" spans="1:10" s="15" customFormat="1" ht="24" hidden="1" customHeight="1" outlineLevel="1" x14ac:dyDescent="0.25">
      <c r="A15518" s="18">
        <v>1198</v>
      </c>
      <c r="B15518" s="4" t="s">
        <v>44</v>
      </c>
      <c r="C15518" s="38" t="s">
        <v>12971</v>
      </c>
      <c r="D15518" s="18">
        <v>2023</v>
      </c>
      <c r="E15518" s="18" t="s">
        <v>0</v>
      </c>
      <c r="F15518" s="41">
        <v>1</v>
      </c>
      <c r="G15518" s="41">
        <v>12</v>
      </c>
      <c r="H15518" s="41">
        <v>42.392660000000006</v>
      </c>
      <c r="I15518" s="221"/>
      <c r="J15518" s="221"/>
    </row>
    <row r="15519" spans="1:10" s="15" customFormat="1" ht="24" hidden="1" customHeight="1" outlineLevel="1" x14ac:dyDescent="0.25">
      <c r="A15519" s="18">
        <v>5253</v>
      </c>
      <c r="B15519" s="4" t="s">
        <v>44</v>
      </c>
      <c r="C15519" s="38" t="s">
        <v>12972</v>
      </c>
      <c r="D15519" s="18">
        <v>2023</v>
      </c>
      <c r="E15519" s="18" t="s">
        <v>0</v>
      </c>
      <c r="F15519" s="41">
        <v>1</v>
      </c>
      <c r="G15519" s="41">
        <v>20</v>
      </c>
      <c r="H15519" s="41">
        <v>42.392660000000006</v>
      </c>
      <c r="I15519" s="221"/>
      <c r="J15519" s="221"/>
    </row>
    <row r="15520" spans="1:10" s="15" customFormat="1" ht="24" hidden="1" customHeight="1" outlineLevel="1" x14ac:dyDescent="0.25">
      <c r="A15520" s="18">
        <v>5254</v>
      </c>
      <c r="B15520" s="4" t="s">
        <v>44</v>
      </c>
      <c r="C15520" s="38" t="s">
        <v>12973</v>
      </c>
      <c r="D15520" s="18">
        <v>2023</v>
      </c>
      <c r="E15520" s="18" t="s">
        <v>0</v>
      </c>
      <c r="F15520" s="41">
        <v>1</v>
      </c>
      <c r="G15520" s="41">
        <v>15</v>
      </c>
      <c r="H15520" s="41">
        <v>42.392660000000006</v>
      </c>
      <c r="I15520" s="221"/>
      <c r="J15520" s="221"/>
    </row>
    <row r="15521" spans="1:10" s="15" customFormat="1" ht="24" hidden="1" customHeight="1" outlineLevel="1" x14ac:dyDescent="0.25">
      <c r="A15521" s="18">
        <v>5255</v>
      </c>
      <c r="B15521" s="4" t="s">
        <v>44</v>
      </c>
      <c r="C15521" s="38" t="s">
        <v>12974</v>
      </c>
      <c r="D15521" s="18">
        <v>2023</v>
      </c>
      <c r="E15521" s="18" t="s">
        <v>0</v>
      </c>
      <c r="F15521" s="41">
        <v>1</v>
      </c>
      <c r="G15521" s="41">
        <v>10</v>
      </c>
      <c r="H15521" s="41">
        <v>42.392660000000006</v>
      </c>
      <c r="I15521" s="221"/>
      <c r="J15521" s="221"/>
    </row>
    <row r="15522" spans="1:10" s="15" customFormat="1" ht="24" hidden="1" customHeight="1" outlineLevel="1" x14ac:dyDescent="0.25">
      <c r="A15522" s="18">
        <v>5256</v>
      </c>
      <c r="B15522" s="4" t="s">
        <v>44</v>
      </c>
      <c r="C15522" s="38" t="s">
        <v>12975</v>
      </c>
      <c r="D15522" s="18">
        <v>2023</v>
      </c>
      <c r="E15522" s="18" t="s">
        <v>0</v>
      </c>
      <c r="F15522" s="41">
        <v>1</v>
      </c>
      <c r="G15522" s="41">
        <v>15</v>
      </c>
      <c r="H15522" s="41">
        <v>42.392660000000006</v>
      </c>
      <c r="I15522" s="221"/>
      <c r="J15522" s="221"/>
    </row>
    <row r="15523" spans="1:10" s="15" customFormat="1" ht="24" hidden="1" customHeight="1" outlineLevel="1" x14ac:dyDescent="0.25">
      <c r="A15523" s="18">
        <v>5257</v>
      </c>
      <c r="B15523" s="4" t="s">
        <v>44</v>
      </c>
      <c r="C15523" s="38" t="s">
        <v>12976</v>
      </c>
      <c r="D15523" s="18">
        <v>2023</v>
      </c>
      <c r="E15523" s="18" t="s">
        <v>0</v>
      </c>
      <c r="F15523" s="41">
        <v>1</v>
      </c>
      <c r="G15523" s="41">
        <v>15</v>
      </c>
      <c r="H15523" s="41">
        <v>42.392660000000006</v>
      </c>
      <c r="I15523" s="221"/>
      <c r="J15523" s="221"/>
    </row>
    <row r="15524" spans="1:10" s="15" customFormat="1" ht="24" hidden="1" customHeight="1" outlineLevel="1" x14ac:dyDescent="0.25">
      <c r="A15524" s="18">
        <v>5258</v>
      </c>
      <c r="B15524" s="4" t="s">
        <v>44</v>
      </c>
      <c r="C15524" s="38" t="s">
        <v>12977</v>
      </c>
      <c r="D15524" s="18">
        <v>2023</v>
      </c>
      <c r="E15524" s="18" t="s">
        <v>0</v>
      </c>
      <c r="F15524" s="41">
        <v>1</v>
      </c>
      <c r="G15524" s="41">
        <v>15</v>
      </c>
      <c r="H15524" s="41">
        <v>42.392660000000006</v>
      </c>
      <c r="I15524" s="221"/>
      <c r="J15524" s="221"/>
    </row>
    <row r="15525" spans="1:10" s="15" customFormat="1" ht="24" hidden="1" customHeight="1" outlineLevel="1" x14ac:dyDescent="0.25">
      <c r="A15525" s="18">
        <v>5259</v>
      </c>
      <c r="B15525" s="4" t="s">
        <v>44</v>
      </c>
      <c r="C15525" s="38" t="s">
        <v>12978</v>
      </c>
      <c r="D15525" s="18">
        <v>2023</v>
      </c>
      <c r="E15525" s="18" t="s">
        <v>0</v>
      </c>
      <c r="F15525" s="41">
        <v>1</v>
      </c>
      <c r="G15525" s="41">
        <v>15</v>
      </c>
      <c r="H15525" s="41">
        <v>42.392660000000006</v>
      </c>
      <c r="I15525" s="221"/>
      <c r="J15525" s="221"/>
    </row>
    <row r="15526" spans="1:10" s="15" customFormat="1" ht="24" hidden="1" customHeight="1" outlineLevel="1" x14ac:dyDescent="0.25">
      <c r="A15526" s="18">
        <v>5260</v>
      </c>
      <c r="B15526" s="4" t="s">
        <v>44</v>
      </c>
      <c r="C15526" s="38" t="s">
        <v>12979</v>
      </c>
      <c r="D15526" s="18">
        <v>2023</v>
      </c>
      <c r="E15526" s="18" t="s">
        <v>0</v>
      </c>
      <c r="F15526" s="41">
        <v>1</v>
      </c>
      <c r="G15526" s="41">
        <v>15</v>
      </c>
      <c r="H15526" s="41">
        <v>42.392660000000006</v>
      </c>
      <c r="I15526" s="221"/>
      <c r="J15526" s="221"/>
    </row>
    <row r="15527" spans="1:10" s="15" customFormat="1" ht="24" hidden="1" customHeight="1" outlineLevel="1" x14ac:dyDescent="0.25">
      <c r="A15527" s="18">
        <v>5261</v>
      </c>
      <c r="B15527" s="4" t="s">
        <v>44</v>
      </c>
      <c r="C15527" s="38" t="s">
        <v>12980</v>
      </c>
      <c r="D15527" s="18">
        <v>2023</v>
      </c>
      <c r="E15527" s="18" t="s">
        <v>0</v>
      </c>
      <c r="F15527" s="41">
        <v>1</v>
      </c>
      <c r="G15527" s="41">
        <v>12</v>
      </c>
      <c r="H15527" s="41">
        <v>42.392660000000006</v>
      </c>
      <c r="I15527" s="221"/>
      <c r="J15527" s="221"/>
    </row>
    <row r="15528" spans="1:10" s="15" customFormat="1" ht="24" hidden="1" customHeight="1" outlineLevel="1" x14ac:dyDescent="0.25">
      <c r="A15528" s="18">
        <v>5262</v>
      </c>
      <c r="B15528" s="4" t="s">
        <v>44</v>
      </c>
      <c r="C15528" s="38" t="s">
        <v>12981</v>
      </c>
      <c r="D15528" s="18">
        <v>2023</v>
      </c>
      <c r="E15528" s="18" t="s">
        <v>0</v>
      </c>
      <c r="F15528" s="41">
        <v>1</v>
      </c>
      <c r="G15528" s="41">
        <v>15</v>
      </c>
      <c r="H15528" s="41">
        <v>42.392660000000006</v>
      </c>
      <c r="I15528" s="221"/>
      <c r="J15528" s="221"/>
    </row>
    <row r="15529" spans="1:10" s="15" customFormat="1" ht="24" hidden="1" customHeight="1" outlineLevel="1" x14ac:dyDescent="0.25">
      <c r="A15529" s="18">
        <v>5396</v>
      </c>
      <c r="B15529" s="4" t="s">
        <v>44</v>
      </c>
      <c r="C15529" s="38" t="s">
        <v>12982</v>
      </c>
      <c r="D15529" s="18">
        <v>2023</v>
      </c>
      <c r="E15529" s="18" t="s">
        <v>0</v>
      </c>
      <c r="F15529" s="41">
        <v>1</v>
      </c>
      <c r="G15529" s="41">
        <v>15</v>
      </c>
      <c r="H15529" s="41">
        <v>43.466080000000005</v>
      </c>
      <c r="I15529" s="221"/>
      <c r="J15529" s="221"/>
    </row>
    <row r="15530" spans="1:10" s="15" customFormat="1" ht="24" hidden="1" customHeight="1" outlineLevel="1" x14ac:dyDescent="0.25">
      <c r="A15530" s="18">
        <v>5397</v>
      </c>
      <c r="B15530" s="4" t="s">
        <v>44</v>
      </c>
      <c r="C15530" s="38" t="s">
        <v>12983</v>
      </c>
      <c r="D15530" s="18">
        <v>2023</v>
      </c>
      <c r="E15530" s="18" t="s">
        <v>0</v>
      </c>
      <c r="F15530" s="41">
        <v>1</v>
      </c>
      <c r="G15530" s="41">
        <v>8</v>
      </c>
      <c r="H15530" s="41">
        <v>31.322299999999998</v>
      </c>
      <c r="I15530" s="221"/>
      <c r="J15530" s="221"/>
    </row>
    <row r="15531" spans="1:10" s="15" customFormat="1" ht="24" hidden="1" customHeight="1" outlineLevel="1" x14ac:dyDescent="0.25">
      <c r="A15531" s="18">
        <v>5398</v>
      </c>
      <c r="B15531" s="4" t="s">
        <v>44</v>
      </c>
      <c r="C15531" s="38" t="s">
        <v>12984</v>
      </c>
      <c r="D15531" s="18">
        <v>2023</v>
      </c>
      <c r="E15531" s="18" t="s">
        <v>0</v>
      </c>
      <c r="F15531" s="41">
        <v>1</v>
      </c>
      <c r="G15531" s="41">
        <v>15</v>
      </c>
      <c r="H15531" s="41">
        <v>31.32235</v>
      </c>
      <c r="I15531" s="221"/>
      <c r="J15531" s="221"/>
    </row>
    <row r="15532" spans="1:10" s="15" customFormat="1" ht="24" hidden="1" customHeight="1" outlineLevel="1" x14ac:dyDescent="0.25">
      <c r="A15532" s="18">
        <v>1216</v>
      </c>
      <c r="B15532" s="4" t="s">
        <v>44</v>
      </c>
      <c r="C15532" s="38" t="s">
        <v>12985</v>
      </c>
      <c r="D15532" s="18">
        <v>2023</v>
      </c>
      <c r="E15532" s="18" t="s">
        <v>0</v>
      </c>
      <c r="F15532" s="41">
        <v>1</v>
      </c>
      <c r="G15532" s="41">
        <v>15</v>
      </c>
      <c r="H15532" s="41">
        <v>31.322299999999998</v>
      </c>
      <c r="I15532" s="221"/>
      <c r="J15532" s="221"/>
    </row>
    <row r="15533" spans="1:10" s="15" customFormat="1" ht="24" hidden="1" customHeight="1" outlineLevel="1" x14ac:dyDescent="0.25">
      <c r="A15533" s="18">
        <v>1101</v>
      </c>
      <c r="B15533" s="4" t="s">
        <v>44</v>
      </c>
      <c r="C15533" s="38" t="s">
        <v>12986</v>
      </c>
      <c r="D15533" s="18">
        <v>2023</v>
      </c>
      <c r="E15533" s="18" t="s">
        <v>0</v>
      </c>
      <c r="F15533" s="41">
        <v>1</v>
      </c>
      <c r="G15533" s="41">
        <v>3</v>
      </c>
      <c r="H15533" s="41">
        <v>43.615730000000006</v>
      </c>
      <c r="I15533" s="221"/>
      <c r="J15533" s="221"/>
    </row>
    <row r="15534" spans="1:10" s="15" customFormat="1" ht="24" hidden="1" customHeight="1" outlineLevel="1" x14ac:dyDescent="0.25">
      <c r="A15534" s="18">
        <v>5399</v>
      </c>
      <c r="B15534" s="4" t="s">
        <v>44</v>
      </c>
      <c r="C15534" s="38" t="s">
        <v>12987</v>
      </c>
      <c r="D15534" s="18">
        <v>2023</v>
      </c>
      <c r="E15534" s="18" t="s">
        <v>0</v>
      </c>
      <c r="F15534" s="41">
        <v>1</v>
      </c>
      <c r="G15534" s="41">
        <v>15</v>
      </c>
      <c r="H15534" s="41">
        <v>43.615679999999998</v>
      </c>
      <c r="I15534" s="221"/>
      <c r="J15534" s="221"/>
    </row>
    <row r="15535" spans="1:10" s="15" customFormat="1" ht="24" hidden="1" customHeight="1" outlineLevel="1" x14ac:dyDescent="0.25">
      <c r="A15535" s="18">
        <v>5400</v>
      </c>
      <c r="B15535" s="4" t="s">
        <v>44</v>
      </c>
      <c r="C15535" s="38" t="s">
        <v>12988</v>
      </c>
      <c r="D15535" s="18">
        <v>2023</v>
      </c>
      <c r="E15535" s="18" t="s">
        <v>0</v>
      </c>
      <c r="F15535" s="41">
        <v>1</v>
      </c>
      <c r="G15535" s="41">
        <v>15</v>
      </c>
      <c r="H15535" s="41">
        <v>43.615730000000006</v>
      </c>
      <c r="I15535" s="221"/>
      <c r="J15535" s="221"/>
    </row>
    <row r="15536" spans="1:10" s="15" customFormat="1" ht="24" hidden="1" customHeight="1" outlineLevel="1" x14ac:dyDescent="0.25">
      <c r="A15536" s="18">
        <v>5401</v>
      </c>
      <c r="B15536" s="4" t="s">
        <v>44</v>
      </c>
      <c r="C15536" s="38" t="s">
        <v>12989</v>
      </c>
      <c r="D15536" s="18">
        <v>2023</v>
      </c>
      <c r="E15536" s="18" t="s">
        <v>0</v>
      </c>
      <c r="F15536" s="41">
        <v>1</v>
      </c>
      <c r="G15536" s="41">
        <v>10</v>
      </c>
      <c r="H15536" s="41">
        <v>43.615679999999998</v>
      </c>
      <c r="I15536" s="221"/>
      <c r="J15536" s="221"/>
    </row>
    <row r="15537" spans="1:10" s="15" customFormat="1" ht="24" hidden="1" customHeight="1" outlineLevel="1" x14ac:dyDescent="0.25">
      <c r="A15537" s="18">
        <v>1269</v>
      </c>
      <c r="B15537" s="4" t="s">
        <v>44</v>
      </c>
      <c r="C15537" s="38" t="s">
        <v>12990</v>
      </c>
      <c r="D15537" s="18">
        <v>2023</v>
      </c>
      <c r="E15537" s="18" t="s">
        <v>0</v>
      </c>
      <c r="F15537" s="41">
        <v>1</v>
      </c>
      <c r="G15537" s="41">
        <v>3</v>
      </c>
      <c r="H15537" s="41">
        <v>43.6158</v>
      </c>
      <c r="I15537" s="221"/>
      <c r="J15537" s="221"/>
    </row>
    <row r="15538" spans="1:10" s="15" customFormat="1" ht="24" hidden="1" customHeight="1" outlineLevel="1" x14ac:dyDescent="0.25">
      <c r="A15538" s="18">
        <v>5402</v>
      </c>
      <c r="B15538" s="4" t="s">
        <v>44</v>
      </c>
      <c r="C15538" s="38" t="s">
        <v>12991</v>
      </c>
      <c r="D15538" s="18">
        <v>2023</v>
      </c>
      <c r="E15538" s="18" t="s">
        <v>0</v>
      </c>
      <c r="F15538" s="41">
        <v>1</v>
      </c>
      <c r="G15538" s="41">
        <v>15</v>
      </c>
      <c r="H15538" s="41">
        <v>43.615679999999998</v>
      </c>
      <c r="I15538" s="221"/>
      <c r="J15538" s="221"/>
    </row>
    <row r="15539" spans="1:10" s="15" customFormat="1" ht="24" hidden="1" customHeight="1" outlineLevel="1" x14ac:dyDescent="0.25">
      <c r="A15539" s="18">
        <v>5403</v>
      </c>
      <c r="B15539" s="4" t="s">
        <v>44</v>
      </c>
      <c r="C15539" s="38" t="s">
        <v>12992</v>
      </c>
      <c r="D15539" s="18">
        <v>2023</v>
      </c>
      <c r="E15539" s="18" t="s">
        <v>0</v>
      </c>
      <c r="F15539" s="41">
        <v>1</v>
      </c>
      <c r="G15539" s="41">
        <v>11</v>
      </c>
      <c r="H15539" s="41">
        <v>43.615730000000006</v>
      </c>
      <c r="I15539" s="221"/>
      <c r="J15539" s="221"/>
    </row>
    <row r="15540" spans="1:10" s="15" customFormat="1" ht="24" hidden="1" customHeight="1" outlineLevel="1" x14ac:dyDescent="0.25">
      <c r="A15540" s="18">
        <v>5404</v>
      </c>
      <c r="B15540" s="4" t="s">
        <v>44</v>
      </c>
      <c r="C15540" s="38" t="s">
        <v>12993</v>
      </c>
      <c r="D15540" s="18">
        <v>2023</v>
      </c>
      <c r="E15540" s="18" t="s">
        <v>0</v>
      </c>
      <c r="F15540" s="41">
        <v>1</v>
      </c>
      <c r="G15540" s="41">
        <v>7</v>
      </c>
      <c r="H15540" s="41">
        <v>43.615679999999998</v>
      </c>
      <c r="I15540" s="221"/>
      <c r="J15540" s="221"/>
    </row>
    <row r="15541" spans="1:10" s="15" customFormat="1" ht="24" hidden="1" customHeight="1" outlineLevel="1" x14ac:dyDescent="0.25">
      <c r="A15541" s="18">
        <v>5405</v>
      </c>
      <c r="B15541" s="4" t="s">
        <v>44</v>
      </c>
      <c r="C15541" s="38" t="s">
        <v>12994</v>
      </c>
      <c r="D15541" s="18">
        <v>2023</v>
      </c>
      <c r="E15541" s="18" t="s">
        <v>0</v>
      </c>
      <c r="F15541" s="41">
        <v>1</v>
      </c>
      <c r="G15541" s="41">
        <v>15</v>
      </c>
      <c r="H15541" s="41">
        <v>43.615730000000006</v>
      </c>
      <c r="I15541" s="221"/>
      <c r="J15541" s="221"/>
    </row>
    <row r="15542" spans="1:10" s="15" customFormat="1" ht="24" hidden="1" customHeight="1" outlineLevel="1" x14ac:dyDescent="0.25">
      <c r="A15542" s="18">
        <v>1246</v>
      </c>
      <c r="B15542" s="4" t="s">
        <v>44</v>
      </c>
      <c r="C15542" s="38" t="s">
        <v>12995</v>
      </c>
      <c r="D15542" s="18">
        <v>2023</v>
      </c>
      <c r="E15542" s="18" t="s">
        <v>0</v>
      </c>
      <c r="F15542" s="41">
        <v>1</v>
      </c>
      <c r="G15542" s="41">
        <v>3</v>
      </c>
      <c r="H15542" s="41">
        <v>43.615679999999998</v>
      </c>
      <c r="I15542" s="221"/>
      <c r="J15542" s="221"/>
    </row>
    <row r="15543" spans="1:10" s="15" customFormat="1" ht="24" hidden="1" customHeight="1" outlineLevel="1" x14ac:dyDescent="0.25">
      <c r="A15543" s="18">
        <v>5406</v>
      </c>
      <c r="B15543" s="4" t="s">
        <v>44</v>
      </c>
      <c r="C15543" s="38" t="s">
        <v>12996</v>
      </c>
      <c r="D15543" s="18">
        <v>2023</v>
      </c>
      <c r="E15543" s="18" t="s">
        <v>0</v>
      </c>
      <c r="F15543" s="41">
        <v>1</v>
      </c>
      <c r="G15543" s="41">
        <v>15</v>
      </c>
      <c r="H15543" s="41">
        <v>43.615730000000006</v>
      </c>
      <c r="I15543" s="221"/>
      <c r="J15543" s="221"/>
    </row>
    <row r="15544" spans="1:10" s="15" customFormat="1" ht="24" hidden="1" customHeight="1" outlineLevel="1" x14ac:dyDescent="0.25">
      <c r="A15544" s="18">
        <v>5407</v>
      </c>
      <c r="B15544" s="4" t="s">
        <v>44</v>
      </c>
      <c r="C15544" s="38" t="s">
        <v>12997</v>
      </c>
      <c r="D15544" s="18">
        <v>2023</v>
      </c>
      <c r="E15544" s="18" t="s">
        <v>0</v>
      </c>
      <c r="F15544" s="41">
        <v>1</v>
      </c>
      <c r="G15544" s="41">
        <v>15</v>
      </c>
      <c r="H15544" s="41">
        <v>43.615679999999998</v>
      </c>
      <c r="I15544" s="221"/>
      <c r="J15544" s="221"/>
    </row>
    <row r="15545" spans="1:10" s="15" customFormat="1" ht="24" hidden="1" customHeight="1" outlineLevel="1" x14ac:dyDescent="0.25">
      <c r="A15545" s="18">
        <v>5408</v>
      </c>
      <c r="B15545" s="4" t="s">
        <v>44</v>
      </c>
      <c r="C15545" s="38" t="s">
        <v>12998</v>
      </c>
      <c r="D15545" s="18">
        <v>2023</v>
      </c>
      <c r="E15545" s="18" t="s">
        <v>0</v>
      </c>
      <c r="F15545" s="41">
        <v>1</v>
      </c>
      <c r="G15545" s="41">
        <v>15</v>
      </c>
      <c r="H15545" s="41">
        <v>43.615730000000006</v>
      </c>
      <c r="I15545" s="221"/>
      <c r="J15545" s="221"/>
    </row>
    <row r="15546" spans="1:10" s="15" customFormat="1" ht="24" hidden="1" customHeight="1" outlineLevel="1" x14ac:dyDescent="0.25">
      <c r="A15546" s="18">
        <v>5409</v>
      </c>
      <c r="B15546" s="4" t="s">
        <v>44</v>
      </c>
      <c r="C15546" s="38" t="s">
        <v>12999</v>
      </c>
      <c r="D15546" s="18">
        <v>2023</v>
      </c>
      <c r="E15546" s="18" t="s">
        <v>0</v>
      </c>
      <c r="F15546" s="41">
        <v>1</v>
      </c>
      <c r="G15546" s="41">
        <v>15</v>
      </c>
      <c r="H15546" s="41">
        <v>43.615679999999998</v>
      </c>
      <c r="I15546" s="221"/>
      <c r="J15546" s="221"/>
    </row>
    <row r="15547" spans="1:10" s="15" customFormat="1" ht="24" hidden="1" customHeight="1" outlineLevel="1" x14ac:dyDescent="0.25">
      <c r="A15547" s="18">
        <v>5410</v>
      </c>
      <c r="B15547" s="4" t="s">
        <v>44</v>
      </c>
      <c r="C15547" s="38" t="s">
        <v>13000</v>
      </c>
      <c r="D15547" s="18">
        <v>2023</v>
      </c>
      <c r="E15547" s="18" t="s">
        <v>0</v>
      </c>
      <c r="F15547" s="41">
        <v>1</v>
      </c>
      <c r="G15547" s="41">
        <v>15</v>
      </c>
      <c r="H15547" s="41">
        <v>36.252900000000004</v>
      </c>
      <c r="I15547" s="221"/>
      <c r="J15547" s="221"/>
    </row>
    <row r="15548" spans="1:10" s="15" customFormat="1" ht="24" hidden="1" customHeight="1" outlineLevel="1" x14ac:dyDescent="0.25">
      <c r="A15548" s="18">
        <v>5411</v>
      </c>
      <c r="B15548" s="4" t="s">
        <v>44</v>
      </c>
      <c r="C15548" s="38" t="s">
        <v>13001</v>
      </c>
      <c r="D15548" s="18">
        <v>2023</v>
      </c>
      <c r="E15548" s="18" t="s">
        <v>0</v>
      </c>
      <c r="F15548" s="41">
        <v>1</v>
      </c>
      <c r="G15548" s="41">
        <v>15</v>
      </c>
      <c r="H15548" s="41">
        <v>36.252849999999995</v>
      </c>
      <c r="I15548" s="221"/>
      <c r="J15548" s="221"/>
    </row>
    <row r="15549" spans="1:10" s="15" customFormat="1" ht="24" hidden="1" customHeight="1" outlineLevel="1" x14ac:dyDescent="0.25">
      <c r="A15549" s="18">
        <v>5412</v>
      </c>
      <c r="B15549" s="4" t="s">
        <v>44</v>
      </c>
      <c r="C15549" s="38" t="s">
        <v>13002</v>
      </c>
      <c r="D15549" s="18">
        <v>2023</v>
      </c>
      <c r="E15549" s="18" t="s">
        <v>0</v>
      </c>
      <c r="F15549" s="41">
        <v>1</v>
      </c>
      <c r="G15549" s="41">
        <v>15</v>
      </c>
      <c r="H15549" s="41">
        <v>36.252900000000004</v>
      </c>
      <c r="I15549" s="221"/>
      <c r="J15549" s="221"/>
    </row>
    <row r="15550" spans="1:10" s="15" customFormat="1" ht="24" hidden="1" customHeight="1" outlineLevel="1" x14ac:dyDescent="0.25">
      <c r="A15550" s="18">
        <v>3441</v>
      </c>
      <c r="B15550" s="4" t="s">
        <v>44</v>
      </c>
      <c r="C15550" s="38" t="s">
        <v>13003</v>
      </c>
      <c r="D15550" s="18">
        <v>2023</v>
      </c>
      <c r="E15550" s="18" t="s">
        <v>0</v>
      </c>
      <c r="F15550" s="41">
        <v>1</v>
      </c>
      <c r="G15550" s="41">
        <v>12</v>
      </c>
      <c r="H15550" s="41">
        <v>36.252849999999995</v>
      </c>
      <c r="I15550" s="221"/>
      <c r="J15550" s="221"/>
    </row>
    <row r="15551" spans="1:10" s="15" customFormat="1" ht="24" hidden="1" customHeight="1" outlineLevel="1" x14ac:dyDescent="0.25">
      <c r="A15551" s="18">
        <v>5413</v>
      </c>
      <c r="B15551" s="4" t="s">
        <v>44</v>
      </c>
      <c r="C15551" s="38" t="s">
        <v>13004</v>
      </c>
      <c r="D15551" s="18">
        <v>2023</v>
      </c>
      <c r="E15551" s="18" t="s">
        <v>0</v>
      </c>
      <c r="F15551" s="41">
        <v>1</v>
      </c>
      <c r="G15551" s="41">
        <v>5</v>
      </c>
      <c r="H15551" s="41">
        <v>36.252900000000004</v>
      </c>
      <c r="I15551" s="221"/>
      <c r="J15551" s="221"/>
    </row>
    <row r="15552" spans="1:10" s="15" customFormat="1" ht="24" hidden="1" customHeight="1" outlineLevel="1" x14ac:dyDescent="0.25">
      <c r="A15552" s="18">
        <v>5414</v>
      </c>
      <c r="B15552" s="4" t="s">
        <v>44</v>
      </c>
      <c r="C15552" s="38" t="s">
        <v>13005</v>
      </c>
      <c r="D15552" s="18">
        <v>2023</v>
      </c>
      <c r="E15552" s="18" t="s">
        <v>0</v>
      </c>
      <c r="F15552" s="41">
        <v>1</v>
      </c>
      <c r="G15552" s="41">
        <v>15</v>
      </c>
      <c r="H15552" s="41">
        <v>36.252849999999995</v>
      </c>
      <c r="I15552" s="221"/>
      <c r="J15552" s="221"/>
    </row>
    <row r="15553" spans="1:10" s="15" customFormat="1" ht="24" hidden="1" customHeight="1" outlineLevel="1" x14ac:dyDescent="0.25">
      <c r="A15553" s="18">
        <v>5415</v>
      </c>
      <c r="B15553" s="4" t="s">
        <v>44</v>
      </c>
      <c r="C15553" s="38" t="s">
        <v>13006</v>
      </c>
      <c r="D15553" s="18">
        <v>2023</v>
      </c>
      <c r="E15553" s="18" t="s">
        <v>0</v>
      </c>
      <c r="F15553" s="41">
        <v>1</v>
      </c>
      <c r="G15553" s="41">
        <v>15</v>
      </c>
      <c r="H15553" s="41">
        <v>36.252900000000004</v>
      </c>
      <c r="I15553" s="221"/>
      <c r="J15553" s="221"/>
    </row>
    <row r="15554" spans="1:10" s="15" customFormat="1" ht="24" hidden="1" customHeight="1" outlineLevel="1" x14ac:dyDescent="0.25">
      <c r="A15554" s="18">
        <v>5416</v>
      </c>
      <c r="B15554" s="4" t="s">
        <v>44</v>
      </c>
      <c r="C15554" s="38" t="s">
        <v>13007</v>
      </c>
      <c r="D15554" s="18">
        <v>2023</v>
      </c>
      <c r="E15554" s="18" t="s">
        <v>0</v>
      </c>
      <c r="F15554" s="41">
        <v>1</v>
      </c>
      <c r="G15554" s="41">
        <v>15</v>
      </c>
      <c r="H15554" s="41">
        <v>36.252849999999995</v>
      </c>
      <c r="I15554" s="221"/>
      <c r="J15554" s="221"/>
    </row>
    <row r="15555" spans="1:10" s="15" customFormat="1" ht="24" hidden="1" customHeight="1" outlineLevel="1" x14ac:dyDescent="0.25">
      <c r="A15555" s="18">
        <v>3488</v>
      </c>
      <c r="B15555" s="4" t="s">
        <v>44</v>
      </c>
      <c r="C15555" s="38" t="s">
        <v>13008</v>
      </c>
      <c r="D15555" s="18">
        <v>2023</v>
      </c>
      <c r="E15555" s="18" t="s">
        <v>0</v>
      </c>
      <c r="F15555" s="41">
        <v>1</v>
      </c>
      <c r="G15555" s="41">
        <v>15</v>
      </c>
      <c r="H15555" s="41">
        <v>36.252900000000004</v>
      </c>
      <c r="I15555" s="221"/>
      <c r="J15555" s="221"/>
    </row>
    <row r="15556" spans="1:10" s="15" customFormat="1" ht="24" hidden="1" customHeight="1" outlineLevel="1" x14ac:dyDescent="0.25">
      <c r="A15556" s="18">
        <v>3489</v>
      </c>
      <c r="B15556" s="4" t="s">
        <v>44</v>
      </c>
      <c r="C15556" s="38" t="s">
        <v>13009</v>
      </c>
      <c r="D15556" s="18">
        <v>2023</v>
      </c>
      <c r="E15556" s="18" t="s">
        <v>0</v>
      </c>
      <c r="F15556" s="41">
        <v>1</v>
      </c>
      <c r="G15556" s="41">
        <v>15</v>
      </c>
      <c r="H15556" s="41">
        <v>36.252849999999995</v>
      </c>
      <c r="I15556" s="221"/>
      <c r="J15556" s="221"/>
    </row>
    <row r="15557" spans="1:10" s="15" customFormat="1" ht="24" hidden="1" customHeight="1" outlineLevel="1" x14ac:dyDescent="0.25">
      <c r="A15557" s="18">
        <v>3490</v>
      </c>
      <c r="B15557" s="4" t="s">
        <v>44</v>
      </c>
      <c r="C15557" s="38" t="s">
        <v>13010</v>
      </c>
      <c r="D15557" s="18">
        <v>2023</v>
      </c>
      <c r="E15557" s="18" t="s">
        <v>0</v>
      </c>
      <c r="F15557" s="41">
        <v>1</v>
      </c>
      <c r="G15557" s="41">
        <v>12</v>
      </c>
      <c r="H15557" s="41">
        <v>36.252900000000004</v>
      </c>
      <c r="I15557" s="221"/>
      <c r="J15557" s="221"/>
    </row>
    <row r="15558" spans="1:10" s="15" customFormat="1" ht="24" hidden="1" customHeight="1" outlineLevel="1" x14ac:dyDescent="0.25">
      <c r="A15558" s="18">
        <v>3491</v>
      </c>
      <c r="B15558" s="4" t="s">
        <v>44</v>
      </c>
      <c r="C15558" s="38" t="s">
        <v>13011</v>
      </c>
      <c r="D15558" s="18">
        <v>2023</v>
      </c>
      <c r="E15558" s="18" t="s">
        <v>0</v>
      </c>
      <c r="F15558" s="41">
        <v>1</v>
      </c>
      <c r="G15558" s="41">
        <v>15</v>
      </c>
      <c r="H15558" s="41">
        <v>36.252849999999995</v>
      </c>
      <c r="I15558" s="221"/>
      <c r="J15558" s="221"/>
    </row>
    <row r="15559" spans="1:10" s="15" customFormat="1" ht="24" hidden="1" customHeight="1" outlineLevel="1" x14ac:dyDescent="0.25">
      <c r="A15559" s="18">
        <v>3492</v>
      </c>
      <c r="B15559" s="4" t="s">
        <v>44</v>
      </c>
      <c r="C15559" s="38" t="s">
        <v>13012</v>
      </c>
      <c r="D15559" s="18">
        <v>2023</v>
      </c>
      <c r="E15559" s="18" t="s">
        <v>0</v>
      </c>
      <c r="F15559" s="41">
        <v>1</v>
      </c>
      <c r="G15559" s="41">
        <v>15</v>
      </c>
      <c r="H15559" s="41">
        <v>36.252900000000004</v>
      </c>
      <c r="I15559" s="221"/>
      <c r="J15559" s="221"/>
    </row>
    <row r="15560" spans="1:10" s="15" customFormat="1" ht="24" hidden="1" customHeight="1" outlineLevel="1" x14ac:dyDescent="0.25">
      <c r="A15560" s="18">
        <v>3495</v>
      </c>
      <c r="B15560" s="4" t="s">
        <v>44</v>
      </c>
      <c r="C15560" s="38" t="s">
        <v>13013</v>
      </c>
      <c r="D15560" s="18">
        <v>2023</v>
      </c>
      <c r="E15560" s="18" t="s">
        <v>0</v>
      </c>
      <c r="F15560" s="41">
        <v>1</v>
      </c>
      <c r="G15560" s="41">
        <v>15</v>
      </c>
      <c r="H15560" s="41">
        <v>36.252849999999995</v>
      </c>
      <c r="I15560" s="221"/>
      <c r="J15560" s="221"/>
    </row>
    <row r="15561" spans="1:10" s="15" customFormat="1" ht="24" hidden="1" customHeight="1" outlineLevel="1" x14ac:dyDescent="0.25">
      <c r="A15561" s="18">
        <v>938</v>
      </c>
      <c r="B15561" s="4" t="s">
        <v>44</v>
      </c>
      <c r="C15561" s="38" t="s">
        <v>13014</v>
      </c>
      <c r="D15561" s="18">
        <v>2023</v>
      </c>
      <c r="E15561" s="18" t="s">
        <v>0</v>
      </c>
      <c r="F15561" s="41">
        <v>1</v>
      </c>
      <c r="G15561" s="41">
        <v>15</v>
      </c>
      <c r="H15561" s="41">
        <v>36.252900000000004</v>
      </c>
      <c r="I15561" s="221"/>
      <c r="J15561" s="221"/>
    </row>
    <row r="15562" spans="1:10" s="15" customFormat="1" ht="24" hidden="1" customHeight="1" outlineLevel="1" x14ac:dyDescent="0.25">
      <c r="A15562" s="18">
        <v>3500</v>
      </c>
      <c r="B15562" s="4" t="s">
        <v>44</v>
      </c>
      <c r="C15562" s="38" t="s">
        <v>13015</v>
      </c>
      <c r="D15562" s="18">
        <v>2023</v>
      </c>
      <c r="E15562" s="18" t="s">
        <v>0</v>
      </c>
      <c r="F15562" s="41">
        <v>1</v>
      </c>
      <c r="G15562" s="41">
        <v>15</v>
      </c>
      <c r="H15562" s="41">
        <v>36.252849999999995</v>
      </c>
      <c r="I15562" s="221"/>
      <c r="J15562" s="221"/>
    </row>
    <row r="15563" spans="1:10" s="15" customFormat="1" ht="24" hidden="1" customHeight="1" outlineLevel="1" x14ac:dyDescent="0.25">
      <c r="A15563" s="18">
        <v>3501</v>
      </c>
      <c r="B15563" s="4" t="s">
        <v>44</v>
      </c>
      <c r="C15563" s="38" t="s">
        <v>13016</v>
      </c>
      <c r="D15563" s="18">
        <v>2023</v>
      </c>
      <c r="E15563" s="18" t="s">
        <v>0</v>
      </c>
      <c r="F15563" s="41">
        <v>1</v>
      </c>
      <c r="G15563" s="41">
        <v>14</v>
      </c>
      <c r="H15563" s="41">
        <v>36.252900000000004</v>
      </c>
      <c r="I15563" s="221"/>
      <c r="J15563" s="221"/>
    </row>
    <row r="15564" spans="1:10" s="15" customFormat="1" ht="24" hidden="1" customHeight="1" outlineLevel="1" x14ac:dyDescent="0.25">
      <c r="A15564" s="18">
        <v>3565</v>
      </c>
      <c r="B15564" s="4" t="s">
        <v>44</v>
      </c>
      <c r="C15564" s="38" t="s">
        <v>13017</v>
      </c>
      <c r="D15564" s="18">
        <v>2023</v>
      </c>
      <c r="E15564" s="18" t="s">
        <v>0</v>
      </c>
      <c r="F15564" s="41">
        <v>1</v>
      </c>
      <c r="G15564" s="41">
        <v>8</v>
      </c>
      <c r="H15564" s="41">
        <v>36.252849999999995</v>
      </c>
      <c r="I15564" s="221"/>
      <c r="J15564" s="221"/>
    </row>
    <row r="15565" spans="1:10" s="15" customFormat="1" ht="24" hidden="1" customHeight="1" outlineLevel="1" x14ac:dyDescent="0.25">
      <c r="A15565" s="18">
        <v>3576</v>
      </c>
      <c r="B15565" s="4" t="s">
        <v>44</v>
      </c>
      <c r="C15565" s="38" t="s">
        <v>13018</v>
      </c>
      <c r="D15565" s="18">
        <v>2023</v>
      </c>
      <c r="E15565" s="18" t="s">
        <v>0</v>
      </c>
      <c r="F15565" s="41">
        <v>1</v>
      </c>
      <c r="G15565" s="41">
        <v>35</v>
      </c>
      <c r="H15565" s="41">
        <v>36.252900000000004</v>
      </c>
      <c r="I15565" s="221"/>
      <c r="J15565" s="221"/>
    </row>
    <row r="15566" spans="1:10" s="15" customFormat="1" ht="24" hidden="1" customHeight="1" outlineLevel="1" x14ac:dyDescent="0.25">
      <c r="A15566" s="18">
        <v>3588</v>
      </c>
      <c r="B15566" s="4" t="s">
        <v>44</v>
      </c>
      <c r="C15566" s="38" t="s">
        <v>13019</v>
      </c>
      <c r="D15566" s="18">
        <v>2023</v>
      </c>
      <c r="E15566" s="18" t="s">
        <v>0</v>
      </c>
      <c r="F15566" s="41">
        <v>1</v>
      </c>
      <c r="G15566" s="41">
        <v>15</v>
      </c>
      <c r="H15566" s="41">
        <v>36.252849999999995</v>
      </c>
      <c r="I15566" s="221"/>
      <c r="J15566" s="221"/>
    </row>
    <row r="15567" spans="1:10" s="15" customFormat="1" ht="24" hidden="1" customHeight="1" outlineLevel="1" x14ac:dyDescent="0.25">
      <c r="A15567" s="18">
        <v>3595</v>
      </c>
      <c r="B15567" s="4" t="s">
        <v>44</v>
      </c>
      <c r="C15567" s="38" t="s">
        <v>13020</v>
      </c>
      <c r="D15567" s="18">
        <v>2023</v>
      </c>
      <c r="E15567" s="18" t="s">
        <v>0</v>
      </c>
      <c r="F15567" s="41">
        <v>1</v>
      </c>
      <c r="G15567" s="41">
        <v>10</v>
      </c>
      <c r="H15567" s="41">
        <v>36.208100000000002</v>
      </c>
      <c r="I15567" s="221"/>
      <c r="J15567" s="221"/>
    </row>
    <row r="15568" spans="1:10" s="15" customFormat="1" ht="24" hidden="1" customHeight="1" outlineLevel="1" x14ac:dyDescent="0.25">
      <c r="A15568" s="18">
        <v>3597</v>
      </c>
      <c r="B15568" s="4" t="s">
        <v>44</v>
      </c>
      <c r="C15568" s="38" t="s">
        <v>13021</v>
      </c>
      <c r="D15568" s="18">
        <v>2023</v>
      </c>
      <c r="E15568" s="18" t="s">
        <v>0</v>
      </c>
      <c r="F15568" s="41">
        <v>1</v>
      </c>
      <c r="G15568" s="41">
        <v>15</v>
      </c>
      <c r="H15568" s="41">
        <v>36.431940000000004</v>
      </c>
      <c r="I15568" s="221"/>
      <c r="J15568" s="221"/>
    </row>
    <row r="15569" spans="1:10" s="15" customFormat="1" ht="24" hidden="1" customHeight="1" outlineLevel="1" x14ac:dyDescent="0.25">
      <c r="A15569" s="18">
        <v>3600</v>
      </c>
      <c r="B15569" s="4" t="s">
        <v>44</v>
      </c>
      <c r="C15569" s="38" t="s">
        <v>13022</v>
      </c>
      <c r="D15569" s="18">
        <v>2023</v>
      </c>
      <c r="E15569" s="18" t="s">
        <v>0</v>
      </c>
      <c r="F15569" s="41">
        <v>1</v>
      </c>
      <c r="G15569" s="41">
        <v>15</v>
      </c>
      <c r="H15569" s="41">
        <v>36.208100000000002</v>
      </c>
      <c r="I15569" s="221"/>
      <c r="J15569" s="221"/>
    </row>
    <row r="15570" spans="1:10" s="15" customFormat="1" ht="24" hidden="1" customHeight="1" outlineLevel="1" x14ac:dyDescent="0.25">
      <c r="A15570" s="18">
        <v>3618</v>
      </c>
      <c r="B15570" s="4" t="s">
        <v>44</v>
      </c>
      <c r="C15570" s="38" t="s">
        <v>13023</v>
      </c>
      <c r="D15570" s="18">
        <v>2023</v>
      </c>
      <c r="E15570" s="18" t="s">
        <v>0</v>
      </c>
      <c r="F15570" s="41">
        <v>1</v>
      </c>
      <c r="G15570" s="41">
        <v>15</v>
      </c>
      <c r="H15570" s="41">
        <v>36.431940000000004</v>
      </c>
      <c r="I15570" s="221"/>
      <c r="J15570" s="221"/>
    </row>
    <row r="15571" spans="1:10" s="15" customFormat="1" ht="24" hidden="1" customHeight="1" outlineLevel="1" x14ac:dyDescent="0.25">
      <c r="A15571" s="18">
        <v>3646</v>
      </c>
      <c r="B15571" s="4" t="s">
        <v>44</v>
      </c>
      <c r="C15571" s="38" t="s">
        <v>13024</v>
      </c>
      <c r="D15571" s="18">
        <v>2023</v>
      </c>
      <c r="E15571" s="18" t="s">
        <v>0</v>
      </c>
      <c r="F15571" s="41">
        <v>1</v>
      </c>
      <c r="G15571" s="41">
        <v>14</v>
      </c>
      <c r="H15571" s="41">
        <v>36.208100000000002</v>
      </c>
      <c r="I15571" s="221"/>
      <c r="J15571" s="221"/>
    </row>
    <row r="15572" spans="1:10" s="15" customFormat="1" ht="24" hidden="1" customHeight="1" outlineLevel="1" x14ac:dyDescent="0.25">
      <c r="A15572" s="18">
        <v>3661</v>
      </c>
      <c r="B15572" s="4" t="s">
        <v>44</v>
      </c>
      <c r="C15572" s="38" t="s">
        <v>13025</v>
      </c>
      <c r="D15572" s="18">
        <v>2023</v>
      </c>
      <c r="E15572" s="18" t="s">
        <v>0</v>
      </c>
      <c r="F15572" s="41">
        <v>1</v>
      </c>
      <c r="G15572" s="41">
        <v>12</v>
      </c>
      <c r="H15572" s="41">
        <v>36.431940000000004</v>
      </c>
      <c r="I15572" s="221"/>
      <c r="J15572" s="221"/>
    </row>
    <row r="15573" spans="1:10" s="15" customFormat="1" ht="24" hidden="1" customHeight="1" outlineLevel="1" x14ac:dyDescent="0.25">
      <c r="A15573" s="18">
        <v>3664</v>
      </c>
      <c r="B15573" s="4" t="s">
        <v>44</v>
      </c>
      <c r="C15573" s="38" t="s">
        <v>13026</v>
      </c>
      <c r="D15573" s="18">
        <v>2023</v>
      </c>
      <c r="E15573" s="18" t="s">
        <v>0</v>
      </c>
      <c r="F15573" s="41">
        <v>1</v>
      </c>
      <c r="G15573" s="41">
        <v>15</v>
      </c>
      <c r="H15573" s="41">
        <v>36.208100000000002</v>
      </c>
      <c r="I15573" s="221"/>
      <c r="J15573" s="221"/>
    </row>
    <row r="15574" spans="1:10" s="15" customFormat="1" ht="24" hidden="1" customHeight="1" outlineLevel="1" x14ac:dyDescent="0.25">
      <c r="A15574" s="18">
        <v>3665</v>
      </c>
      <c r="B15574" s="4" t="s">
        <v>44</v>
      </c>
      <c r="C15574" s="38" t="s">
        <v>13027</v>
      </c>
      <c r="D15574" s="18">
        <v>2023</v>
      </c>
      <c r="E15574" s="18" t="s">
        <v>0</v>
      </c>
      <c r="F15574" s="41">
        <v>1</v>
      </c>
      <c r="G15574" s="41">
        <v>15</v>
      </c>
      <c r="H15574" s="41">
        <v>36.431930000000001</v>
      </c>
      <c r="I15574" s="221"/>
      <c r="J15574" s="221"/>
    </row>
    <row r="15575" spans="1:10" s="15" customFormat="1" ht="24" hidden="1" customHeight="1" outlineLevel="1" x14ac:dyDescent="0.25">
      <c r="A15575" s="18">
        <v>3670</v>
      </c>
      <c r="B15575" s="4" t="s">
        <v>44</v>
      </c>
      <c r="C15575" s="38" t="s">
        <v>13028</v>
      </c>
      <c r="D15575" s="18">
        <v>2023</v>
      </c>
      <c r="E15575" s="18" t="s">
        <v>0</v>
      </c>
      <c r="F15575" s="41">
        <v>1</v>
      </c>
      <c r="G15575" s="41">
        <v>15</v>
      </c>
      <c r="H15575" s="41">
        <v>36.208100000000002</v>
      </c>
      <c r="I15575" s="221"/>
      <c r="J15575" s="221"/>
    </row>
    <row r="15576" spans="1:10" s="15" customFormat="1" ht="24" hidden="1" customHeight="1" outlineLevel="1" x14ac:dyDescent="0.25">
      <c r="A15576" s="18">
        <v>3671</v>
      </c>
      <c r="B15576" s="4" t="s">
        <v>44</v>
      </c>
      <c r="C15576" s="38" t="s">
        <v>13029</v>
      </c>
      <c r="D15576" s="18">
        <v>2023</v>
      </c>
      <c r="E15576" s="18" t="s">
        <v>0</v>
      </c>
      <c r="F15576" s="41">
        <v>1</v>
      </c>
      <c r="G15576" s="41">
        <v>15</v>
      </c>
      <c r="H15576" s="41">
        <v>36.431930000000001</v>
      </c>
      <c r="I15576" s="221"/>
      <c r="J15576" s="221"/>
    </row>
    <row r="15577" spans="1:10" s="15" customFormat="1" ht="24" hidden="1" customHeight="1" outlineLevel="1" x14ac:dyDescent="0.25">
      <c r="A15577" s="18">
        <v>5417</v>
      </c>
      <c r="B15577" s="4" t="s">
        <v>44</v>
      </c>
      <c r="C15577" s="38" t="s">
        <v>13030</v>
      </c>
      <c r="D15577" s="18">
        <v>2023</v>
      </c>
      <c r="E15577" s="18" t="s">
        <v>0</v>
      </c>
      <c r="F15577" s="41">
        <v>1</v>
      </c>
      <c r="G15577" s="41">
        <v>120</v>
      </c>
      <c r="H15577" s="41">
        <v>37.148519999999998</v>
      </c>
      <c r="I15577" s="221"/>
      <c r="J15577" s="221"/>
    </row>
    <row r="15578" spans="1:10" s="15" customFormat="1" ht="24" hidden="1" customHeight="1" outlineLevel="1" x14ac:dyDescent="0.25">
      <c r="A15578" s="18">
        <v>3698</v>
      </c>
      <c r="B15578" s="4" t="s">
        <v>44</v>
      </c>
      <c r="C15578" s="38" t="s">
        <v>13031</v>
      </c>
      <c r="D15578" s="18">
        <v>2023</v>
      </c>
      <c r="E15578" s="18" t="s">
        <v>0</v>
      </c>
      <c r="F15578" s="41">
        <v>1</v>
      </c>
      <c r="G15578" s="41">
        <v>15</v>
      </c>
      <c r="H15578" s="41">
        <v>36.431930000000001</v>
      </c>
      <c r="I15578" s="221"/>
      <c r="J15578" s="221"/>
    </row>
    <row r="15579" spans="1:10" s="15" customFormat="1" ht="24" hidden="1" customHeight="1" outlineLevel="1" x14ac:dyDescent="0.25">
      <c r="A15579" s="18">
        <v>3711</v>
      </c>
      <c r="B15579" s="4" t="s">
        <v>44</v>
      </c>
      <c r="C15579" s="38" t="s">
        <v>13032</v>
      </c>
      <c r="D15579" s="18">
        <v>2023</v>
      </c>
      <c r="E15579" s="18" t="s">
        <v>0</v>
      </c>
      <c r="F15579" s="41">
        <v>1</v>
      </c>
      <c r="G15579" s="41">
        <v>8</v>
      </c>
      <c r="H15579" s="41">
        <v>36.208100000000002</v>
      </c>
      <c r="I15579" s="221"/>
      <c r="J15579" s="221"/>
    </row>
    <row r="15580" spans="1:10" s="15" customFormat="1" ht="24" hidden="1" customHeight="1" outlineLevel="1" x14ac:dyDescent="0.25">
      <c r="A15580" s="18">
        <v>5418</v>
      </c>
      <c r="B15580" s="4" t="s">
        <v>44</v>
      </c>
      <c r="C15580" s="38" t="s">
        <v>13033</v>
      </c>
      <c r="D15580" s="18">
        <v>2023</v>
      </c>
      <c r="E15580" s="18" t="s">
        <v>0</v>
      </c>
      <c r="F15580" s="41">
        <v>1</v>
      </c>
      <c r="G15580" s="41">
        <v>45</v>
      </c>
      <c r="H15580" s="41">
        <v>36.431930000000001</v>
      </c>
      <c r="I15580" s="221"/>
      <c r="J15580" s="221"/>
    </row>
    <row r="15581" spans="1:10" s="15" customFormat="1" ht="24" hidden="1" customHeight="1" outlineLevel="1" x14ac:dyDescent="0.25">
      <c r="A15581" s="18">
        <v>3746</v>
      </c>
      <c r="B15581" s="4" t="s">
        <v>44</v>
      </c>
      <c r="C15581" s="38" t="s">
        <v>13034</v>
      </c>
      <c r="D15581" s="18">
        <v>2023</v>
      </c>
      <c r="E15581" s="18" t="s">
        <v>0</v>
      </c>
      <c r="F15581" s="41">
        <v>1</v>
      </c>
      <c r="G15581" s="41">
        <v>15</v>
      </c>
      <c r="H15581" s="41">
        <v>36.208100000000002</v>
      </c>
      <c r="I15581" s="221"/>
      <c r="J15581" s="221"/>
    </row>
    <row r="15582" spans="1:10" s="15" customFormat="1" ht="24" hidden="1" customHeight="1" outlineLevel="1" x14ac:dyDescent="0.25">
      <c r="A15582" s="18">
        <v>3772</v>
      </c>
      <c r="B15582" s="4" t="s">
        <v>44</v>
      </c>
      <c r="C15582" s="38" t="s">
        <v>13035</v>
      </c>
      <c r="D15582" s="18">
        <v>2023</v>
      </c>
      <c r="E15582" s="18" t="s">
        <v>0</v>
      </c>
      <c r="F15582" s="41">
        <v>1</v>
      </c>
      <c r="G15582" s="41">
        <v>15</v>
      </c>
      <c r="H15582" s="41">
        <v>36.357300000000002</v>
      </c>
      <c r="I15582" s="221"/>
      <c r="J15582" s="221"/>
    </row>
    <row r="15583" spans="1:10" s="15" customFormat="1" ht="24" hidden="1" customHeight="1" outlineLevel="1" x14ac:dyDescent="0.25">
      <c r="A15583" s="18">
        <v>3773</v>
      </c>
      <c r="B15583" s="4" t="s">
        <v>44</v>
      </c>
      <c r="C15583" s="38" t="s">
        <v>13036</v>
      </c>
      <c r="D15583" s="18">
        <v>2023</v>
      </c>
      <c r="E15583" s="18" t="s">
        <v>0</v>
      </c>
      <c r="F15583" s="41">
        <v>1</v>
      </c>
      <c r="G15583" s="41">
        <v>15</v>
      </c>
      <c r="H15583" s="41">
        <v>37.118660000000006</v>
      </c>
      <c r="I15583" s="221"/>
      <c r="J15583" s="221"/>
    </row>
    <row r="15584" spans="1:10" s="15" customFormat="1" ht="24" hidden="1" customHeight="1" outlineLevel="1" x14ac:dyDescent="0.25">
      <c r="A15584" s="18">
        <v>3783</v>
      </c>
      <c r="B15584" s="4" t="s">
        <v>44</v>
      </c>
      <c r="C15584" s="38" t="s">
        <v>13037</v>
      </c>
      <c r="D15584" s="18">
        <v>2023</v>
      </c>
      <c r="E15584" s="18" t="s">
        <v>0</v>
      </c>
      <c r="F15584" s="41">
        <v>1</v>
      </c>
      <c r="G15584" s="41">
        <v>15</v>
      </c>
      <c r="H15584" s="41">
        <v>37.118600000000001</v>
      </c>
      <c r="I15584" s="221"/>
      <c r="J15584" s="221"/>
    </row>
    <row r="15585" spans="1:10" s="15" customFormat="1" ht="24" hidden="1" customHeight="1" outlineLevel="1" x14ac:dyDescent="0.25">
      <c r="A15585" s="18">
        <v>3838</v>
      </c>
      <c r="B15585" s="4" t="s">
        <v>44</v>
      </c>
      <c r="C15585" s="38" t="s">
        <v>13038</v>
      </c>
      <c r="D15585" s="18">
        <v>2023</v>
      </c>
      <c r="E15585" s="18" t="s">
        <v>0</v>
      </c>
      <c r="F15585" s="41">
        <v>1</v>
      </c>
      <c r="G15585" s="41">
        <v>12</v>
      </c>
      <c r="H15585" s="41">
        <v>37.101790000000001</v>
      </c>
      <c r="I15585" s="221"/>
      <c r="J15585" s="221"/>
    </row>
    <row r="15586" spans="1:10" s="15" customFormat="1" ht="24" hidden="1" customHeight="1" outlineLevel="1" x14ac:dyDescent="0.25">
      <c r="A15586" s="18">
        <v>3845</v>
      </c>
      <c r="B15586" s="4" t="s">
        <v>44</v>
      </c>
      <c r="C15586" s="38" t="s">
        <v>13039</v>
      </c>
      <c r="D15586" s="18">
        <v>2023</v>
      </c>
      <c r="E15586" s="18" t="s">
        <v>0</v>
      </c>
      <c r="F15586" s="41">
        <v>1</v>
      </c>
      <c r="G15586" s="41">
        <v>12</v>
      </c>
      <c r="H15586" s="41">
        <v>37.101770000000002</v>
      </c>
      <c r="I15586" s="221"/>
      <c r="J15586" s="221"/>
    </row>
    <row r="15587" spans="1:10" s="15" customFormat="1" ht="24" hidden="1" customHeight="1" outlineLevel="1" x14ac:dyDescent="0.25">
      <c r="A15587" s="18">
        <v>3937</v>
      </c>
      <c r="B15587" s="4" t="s">
        <v>44</v>
      </c>
      <c r="C15587" s="38" t="s">
        <v>13040</v>
      </c>
      <c r="D15587" s="18">
        <v>2023</v>
      </c>
      <c r="E15587" s="18" t="s">
        <v>0</v>
      </c>
      <c r="F15587" s="41">
        <v>13</v>
      </c>
      <c r="G15587" s="41">
        <v>146</v>
      </c>
      <c r="H15587" s="41">
        <v>445.87054999999998</v>
      </c>
      <c r="I15587" s="221"/>
      <c r="J15587" s="221"/>
    </row>
    <row r="15588" spans="1:10" s="15" customFormat="1" ht="24" hidden="1" customHeight="1" outlineLevel="1" x14ac:dyDescent="0.25">
      <c r="A15588" s="18">
        <v>439</v>
      </c>
      <c r="B15588" s="4" t="s">
        <v>44</v>
      </c>
      <c r="C15588" s="38" t="s">
        <v>13041</v>
      </c>
      <c r="D15588" s="18">
        <v>2023</v>
      </c>
      <c r="E15588" s="18" t="s">
        <v>0</v>
      </c>
      <c r="F15588" s="41">
        <v>5</v>
      </c>
      <c r="G15588" s="41">
        <v>78</v>
      </c>
      <c r="H15588" s="41">
        <v>168.65764999999999</v>
      </c>
      <c r="I15588" s="221"/>
      <c r="J15588" s="221"/>
    </row>
    <row r="15589" spans="1:10" s="15" customFormat="1" ht="24" hidden="1" customHeight="1" outlineLevel="1" x14ac:dyDescent="0.25">
      <c r="A15589" s="18">
        <v>403</v>
      </c>
      <c r="B15589" s="4" t="s">
        <v>44</v>
      </c>
      <c r="C15589" s="38" t="s">
        <v>13042</v>
      </c>
      <c r="D15589" s="18">
        <v>2023</v>
      </c>
      <c r="E15589" s="18" t="s">
        <v>0</v>
      </c>
      <c r="F15589" s="41">
        <v>10</v>
      </c>
      <c r="G15589" s="41">
        <v>138</v>
      </c>
      <c r="H15589" s="41">
        <v>325.38385999999997</v>
      </c>
      <c r="I15589" s="221"/>
      <c r="J15589" s="221"/>
    </row>
    <row r="15590" spans="1:10" s="15" customFormat="1" ht="24" hidden="1" customHeight="1" outlineLevel="1" x14ac:dyDescent="0.25">
      <c r="A15590" s="18">
        <v>3962</v>
      </c>
      <c r="B15590" s="4" t="s">
        <v>44</v>
      </c>
      <c r="C15590" s="38" t="s">
        <v>13043</v>
      </c>
      <c r="D15590" s="18">
        <v>2023</v>
      </c>
      <c r="E15590" s="18" t="s">
        <v>0</v>
      </c>
      <c r="F15590" s="41">
        <v>7</v>
      </c>
      <c r="G15590" s="41">
        <v>110</v>
      </c>
      <c r="H15590" s="41">
        <v>229.25516000000002</v>
      </c>
      <c r="I15590" s="221"/>
      <c r="J15590" s="221"/>
    </row>
    <row r="15591" spans="1:10" s="15" customFormat="1" ht="24" hidden="1" customHeight="1" outlineLevel="1" x14ac:dyDescent="0.25">
      <c r="A15591" s="18">
        <v>3969</v>
      </c>
      <c r="B15591" s="4" t="s">
        <v>44</v>
      </c>
      <c r="C15591" s="38" t="s">
        <v>13044</v>
      </c>
      <c r="D15591" s="18">
        <v>2023</v>
      </c>
      <c r="E15591" s="18" t="s">
        <v>0</v>
      </c>
      <c r="F15591" s="41">
        <v>7</v>
      </c>
      <c r="G15591" s="41">
        <v>102.5</v>
      </c>
      <c r="H15591" s="41">
        <v>229.57778999999999</v>
      </c>
      <c r="I15591" s="221"/>
      <c r="J15591" s="221"/>
    </row>
    <row r="15592" spans="1:10" s="15" customFormat="1" ht="24" hidden="1" customHeight="1" outlineLevel="1" x14ac:dyDescent="0.25">
      <c r="A15592" s="18">
        <v>3979</v>
      </c>
      <c r="B15592" s="4" t="s">
        <v>44</v>
      </c>
      <c r="C15592" s="38" t="s">
        <v>13045</v>
      </c>
      <c r="D15592" s="18">
        <v>2023</v>
      </c>
      <c r="E15592" s="18" t="s">
        <v>0</v>
      </c>
      <c r="F15592" s="41">
        <v>18</v>
      </c>
      <c r="G15592" s="41">
        <v>263</v>
      </c>
      <c r="H15592" s="41">
        <v>600.63500999999997</v>
      </c>
      <c r="I15592" s="221"/>
      <c r="J15592" s="221"/>
    </row>
    <row r="15593" spans="1:10" s="15" customFormat="1" ht="24" hidden="1" customHeight="1" outlineLevel="1" x14ac:dyDescent="0.25">
      <c r="A15593" s="18">
        <v>5498</v>
      </c>
      <c r="B15593" s="4" t="s">
        <v>44</v>
      </c>
      <c r="C15593" s="38" t="s">
        <v>13046</v>
      </c>
      <c r="D15593" s="18">
        <v>2023</v>
      </c>
      <c r="E15593" s="18" t="s">
        <v>0</v>
      </c>
      <c r="F15593" s="41">
        <v>1</v>
      </c>
      <c r="G15593" s="41">
        <v>2</v>
      </c>
      <c r="H15593" s="41">
        <v>41.612389999999998</v>
      </c>
      <c r="I15593" s="221"/>
      <c r="J15593" s="221"/>
    </row>
    <row r="15594" spans="1:10" s="15" customFormat="1" ht="24" hidden="1" customHeight="1" outlineLevel="1" x14ac:dyDescent="0.25">
      <c r="A15594" s="18">
        <v>5507</v>
      </c>
      <c r="B15594" s="4" t="s">
        <v>44</v>
      </c>
      <c r="C15594" s="38" t="s">
        <v>13047</v>
      </c>
      <c r="D15594" s="18">
        <v>2023</v>
      </c>
      <c r="E15594" s="18" t="s">
        <v>0</v>
      </c>
      <c r="F15594" s="41">
        <v>4</v>
      </c>
      <c r="G15594" s="41">
        <v>73</v>
      </c>
      <c r="H15594" s="41">
        <v>143.34332000000001</v>
      </c>
      <c r="I15594" s="221"/>
      <c r="J15594" s="221"/>
    </row>
    <row r="15595" spans="1:10" s="15" customFormat="1" ht="24" hidden="1" customHeight="1" outlineLevel="1" x14ac:dyDescent="0.25">
      <c r="A15595" s="18">
        <v>3981</v>
      </c>
      <c r="B15595" s="4" t="s">
        <v>44</v>
      </c>
      <c r="C15595" s="38" t="s">
        <v>13048</v>
      </c>
      <c r="D15595" s="18">
        <v>2023</v>
      </c>
      <c r="E15595" s="18" t="s">
        <v>0</v>
      </c>
      <c r="F15595" s="41">
        <v>4</v>
      </c>
      <c r="G15595" s="41">
        <v>62</v>
      </c>
      <c r="H15595" s="41">
        <v>132.91570000000002</v>
      </c>
      <c r="I15595" s="221"/>
      <c r="J15595" s="221"/>
    </row>
    <row r="15596" spans="1:10" s="15" customFormat="1" ht="24" hidden="1" customHeight="1" outlineLevel="1" x14ac:dyDescent="0.25">
      <c r="A15596" s="18">
        <v>672</v>
      </c>
      <c r="B15596" s="4" t="s">
        <v>44</v>
      </c>
      <c r="C15596" s="38" t="s">
        <v>13049</v>
      </c>
      <c r="D15596" s="18">
        <v>2023</v>
      </c>
      <c r="E15596" s="18" t="s">
        <v>0</v>
      </c>
      <c r="F15596" s="41">
        <v>1</v>
      </c>
      <c r="G15596" s="41">
        <v>15</v>
      </c>
      <c r="H15596" s="41">
        <v>36.191369999999999</v>
      </c>
      <c r="I15596" s="221"/>
      <c r="J15596" s="221"/>
    </row>
    <row r="15597" spans="1:10" s="15" customFormat="1" ht="24" hidden="1" customHeight="1" outlineLevel="1" x14ac:dyDescent="0.25">
      <c r="A15597" s="18">
        <v>828</v>
      </c>
      <c r="B15597" s="4" t="s">
        <v>44</v>
      </c>
      <c r="C15597" s="38" t="s">
        <v>13050</v>
      </c>
      <c r="D15597" s="18">
        <v>2023</v>
      </c>
      <c r="E15597" s="18" t="s">
        <v>0</v>
      </c>
      <c r="F15597" s="41">
        <v>1</v>
      </c>
      <c r="G15597" s="41">
        <v>15</v>
      </c>
      <c r="H15597" s="41">
        <v>36.713719999999995</v>
      </c>
      <c r="I15597" s="221"/>
      <c r="J15597" s="221"/>
    </row>
    <row r="15598" spans="1:10" s="15" customFormat="1" ht="24" hidden="1" customHeight="1" outlineLevel="1" x14ac:dyDescent="0.25">
      <c r="A15598" s="18">
        <v>869</v>
      </c>
      <c r="B15598" s="4" t="s">
        <v>44</v>
      </c>
      <c r="C15598" s="38" t="s">
        <v>13051</v>
      </c>
      <c r="D15598" s="18">
        <v>2023</v>
      </c>
      <c r="E15598" s="18" t="s">
        <v>0</v>
      </c>
      <c r="F15598" s="41">
        <v>1</v>
      </c>
      <c r="G15598" s="41">
        <v>15</v>
      </c>
      <c r="H15598" s="41">
        <v>36.191250000000004</v>
      </c>
      <c r="I15598" s="221"/>
      <c r="J15598" s="221"/>
    </row>
    <row r="15599" spans="1:10" s="15" customFormat="1" ht="24" hidden="1" customHeight="1" outlineLevel="1" x14ac:dyDescent="0.25">
      <c r="A15599" s="18">
        <v>732</v>
      </c>
      <c r="B15599" s="4" t="s">
        <v>44</v>
      </c>
      <c r="C15599" s="38" t="s">
        <v>13052</v>
      </c>
      <c r="D15599" s="18">
        <v>2023</v>
      </c>
      <c r="E15599" s="18" t="s">
        <v>0</v>
      </c>
      <c r="F15599" s="41">
        <v>1</v>
      </c>
      <c r="G15599" s="41">
        <v>15</v>
      </c>
      <c r="H15599" s="41">
        <v>42.392660000000006</v>
      </c>
      <c r="I15599" s="221"/>
      <c r="J15599" s="221"/>
    </row>
    <row r="15600" spans="1:10" s="15" customFormat="1" ht="24" hidden="1" customHeight="1" outlineLevel="1" x14ac:dyDescent="0.25">
      <c r="A15600" s="18">
        <v>709</v>
      </c>
      <c r="B15600" s="4" t="s">
        <v>44</v>
      </c>
      <c r="C15600" s="38" t="s">
        <v>13053</v>
      </c>
      <c r="D15600" s="18">
        <v>2023</v>
      </c>
      <c r="E15600" s="18" t="s">
        <v>0</v>
      </c>
      <c r="F15600" s="41">
        <v>1</v>
      </c>
      <c r="G15600" s="41">
        <v>15</v>
      </c>
      <c r="H15600" s="41">
        <v>42.392660000000006</v>
      </c>
      <c r="I15600" s="221"/>
      <c r="J15600" s="221"/>
    </row>
    <row r="15601" spans="1:10" s="15" customFormat="1" ht="24" hidden="1" customHeight="1" outlineLevel="1" x14ac:dyDescent="0.25">
      <c r="A15601" s="18">
        <v>2824</v>
      </c>
      <c r="B15601" s="4" t="s">
        <v>44</v>
      </c>
      <c r="C15601" s="38" t="s">
        <v>8621</v>
      </c>
      <c r="D15601" s="18">
        <v>2023</v>
      </c>
      <c r="E15601" s="18" t="s">
        <v>0</v>
      </c>
      <c r="F15601" s="41">
        <v>1</v>
      </c>
      <c r="G15601" s="41">
        <v>15</v>
      </c>
      <c r="H15601" s="41">
        <v>86.623859999999993</v>
      </c>
      <c r="I15601" s="221"/>
      <c r="J15601" s="221"/>
    </row>
    <row r="15602" spans="1:10" s="15" customFormat="1" ht="24" hidden="1" customHeight="1" outlineLevel="1" x14ac:dyDescent="0.25">
      <c r="A15602" s="18">
        <v>350</v>
      </c>
      <c r="B15602" s="4" t="s">
        <v>44</v>
      </c>
      <c r="C15602" s="38" t="s">
        <v>8622</v>
      </c>
      <c r="D15602" s="18">
        <v>2023</v>
      </c>
      <c r="E15602" s="18" t="s">
        <v>0</v>
      </c>
      <c r="F15602" s="41">
        <v>1</v>
      </c>
      <c r="G15602" s="41">
        <v>15</v>
      </c>
      <c r="H15602" s="41">
        <v>62.085479999999997</v>
      </c>
      <c r="I15602" s="221"/>
      <c r="J15602" s="221"/>
    </row>
    <row r="15603" spans="1:10" s="15" customFormat="1" ht="24" hidden="1" customHeight="1" outlineLevel="1" x14ac:dyDescent="0.25">
      <c r="A15603" s="18">
        <v>360</v>
      </c>
      <c r="B15603" s="4" t="s">
        <v>44</v>
      </c>
      <c r="C15603" s="38" t="s">
        <v>8623</v>
      </c>
      <c r="D15603" s="18">
        <v>2023</v>
      </c>
      <c r="E15603" s="18" t="s">
        <v>0</v>
      </c>
      <c r="F15603" s="41">
        <v>1</v>
      </c>
      <c r="G15603" s="41">
        <v>20</v>
      </c>
      <c r="H15603" s="41">
        <v>131.33297999999999</v>
      </c>
      <c r="I15603" s="221"/>
      <c r="J15603" s="221"/>
    </row>
    <row r="15604" spans="1:10" s="15" customFormat="1" ht="24" hidden="1" customHeight="1" outlineLevel="1" x14ac:dyDescent="0.25">
      <c r="A15604" s="18">
        <v>377</v>
      </c>
      <c r="B15604" s="4" t="s">
        <v>44</v>
      </c>
      <c r="C15604" s="38" t="s">
        <v>8624</v>
      </c>
      <c r="D15604" s="18">
        <v>2023</v>
      </c>
      <c r="E15604" s="18" t="s">
        <v>0</v>
      </c>
      <c r="F15604" s="41">
        <v>1</v>
      </c>
      <c r="G15604" s="41">
        <v>15</v>
      </c>
      <c r="H15604" s="41">
        <v>66.298460000000006</v>
      </c>
      <c r="I15604" s="221"/>
      <c r="J15604" s="221"/>
    </row>
    <row r="15605" spans="1:10" s="15" customFormat="1" ht="24" hidden="1" customHeight="1" outlineLevel="1" x14ac:dyDescent="0.25">
      <c r="A15605" s="18">
        <v>390</v>
      </c>
      <c r="B15605" s="4" t="s">
        <v>44</v>
      </c>
      <c r="C15605" s="38" t="s">
        <v>8627</v>
      </c>
      <c r="D15605" s="18">
        <v>2023</v>
      </c>
      <c r="E15605" s="18" t="s">
        <v>0</v>
      </c>
      <c r="F15605" s="41">
        <v>1</v>
      </c>
      <c r="G15605" s="41">
        <v>15</v>
      </c>
      <c r="H15605" s="41">
        <v>64.806730000000002</v>
      </c>
      <c r="I15605" s="221"/>
      <c r="J15605" s="221"/>
    </row>
    <row r="15606" spans="1:10" s="15" customFormat="1" ht="24" hidden="1" customHeight="1" outlineLevel="1" x14ac:dyDescent="0.25">
      <c r="A15606" s="18">
        <v>358</v>
      </c>
      <c r="B15606" s="4" t="s">
        <v>44</v>
      </c>
      <c r="C15606" s="38" t="s">
        <v>8628</v>
      </c>
      <c r="D15606" s="18">
        <v>2023</v>
      </c>
      <c r="E15606" s="18" t="s">
        <v>0</v>
      </c>
      <c r="F15606" s="41">
        <v>1</v>
      </c>
      <c r="G15606" s="41">
        <v>15</v>
      </c>
      <c r="H15606" s="41">
        <v>75.138689999999997</v>
      </c>
      <c r="I15606" s="221"/>
      <c r="J15606" s="221"/>
    </row>
    <row r="15607" spans="1:10" s="15" customFormat="1" ht="24" hidden="1" customHeight="1" outlineLevel="1" x14ac:dyDescent="0.25">
      <c r="A15607" s="18">
        <v>416</v>
      </c>
      <c r="B15607" s="4" t="s">
        <v>44</v>
      </c>
      <c r="C15607" s="38" t="s">
        <v>8629</v>
      </c>
      <c r="D15607" s="18">
        <v>2023</v>
      </c>
      <c r="E15607" s="18" t="s">
        <v>0</v>
      </c>
      <c r="F15607" s="41">
        <v>1</v>
      </c>
      <c r="G15607" s="41">
        <v>14</v>
      </c>
      <c r="H15607" s="41">
        <v>61.655769999999997</v>
      </c>
      <c r="I15607" s="221"/>
      <c r="J15607" s="221"/>
    </row>
    <row r="15608" spans="1:10" s="15" customFormat="1" ht="24" hidden="1" customHeight="1" outlineLevel="1" x14ac:dyDescent="0.25">
      <c r="A15608" s="18">
        <v>3898</v>
      </c>
      <c r="B15608" s="4" t="s">
        <v>44</v>
      </c>
      <c r="C15608" s="38" t="s">
        <v>8631</v>
      </c>
      <c r="D15608" s="18">
        <v>2023</v>
      </c>
      <c r="E15608" s="18" t="s">
        <v>0</v>
      </c>
      <c r="F15608" s="41">
        <v>1</v>
      </c>
      <c r="G15608" s="41">
        <v>15</v>
      </c>
      <c r="H15608" s="41">
        <v>63.23798</v>
      </c>
      <c r="I15608" s="221"/>
      <c r="J15608" s="221"/>
    </row>
    <row r="15609" spans="1:10" s="15" customFormat="1" ht="24" hidden="1" customHeight="1" outlineLevel="1" x14ac:dyDescent="0.25">
      <c r="A15609" s="18">
        <v>3218</v>
      </c>
      <c r="B15609" s="4" t="s">
        <v>44</v>
      </c>
      <c r="C15609" s="38" t="s">
        <v>8632</v>
      </c>
      <c r="D15609" s="18">
        <v>2023</v>
      </c>
      <c r="E15609" s="18" t="s">
        <v>0</v>
      </c>
      <c r="F15609" s="41">
        <v>1</v>
      </c>
      <c r="G15609" s="41">
        <v>15</v>
      </c>
      <c r="H15609" s="41">
        <v>57.594540000000002</v>
      </c>
      <c r="I15609" s="221"/>
      <c r="J15609" s="221"/>
    </row>
    <row r="15610" spans="1:10" s="15" customFormat="1" ht="24" hidden="1" customHeight="1" outlineLevel="1" x14ac:dyDescent="0.25">
      <c r="A15610" s="18">
        <v>761</v>
      </c>
      <c r="B15610" s="4" t="s">
        <v>44</v>
      </c>
      <c r="C15610" s="38" t="s">
        <v>8634</v>
      </c>
      <c r="D15610" s="18">
        <v>2023</v>
      </c>
      <c r="E15610" s="18" t="s">
        <v>0</v>
      </c>
      <c r="F15610" s="41">
        <v>1</v>
      </c>
      <c r="G15610" s="41">
        <v>10</v>
      </c>
      <c r="H15610" s="41">
        <v>47.50629</v>
      </c>
      <c r="I15610" s="221"/>
      <c r="J15610" s="221"/>
    </row>
    <row r="15611" spans="1:10" s="15" customFormat="1" ht="24" hidden="1" customHeight="1" outlineLevel="1" x14ac:dyDescent="0.25">
      <c r="A15611" s="18">
        <v>3101</v>
      </c>
      <c r="B15611" s="4" t="s">
        <v>44</v>
      </c>
      <c r="C15611" s="38" t="s">
        <v>9081</v>
      </c>
      <c r="D15611" s="18">
        <v>2023</v>
      </c>
      <c r="E15611" s="18" t="s">
        <v>0</v>
      </c>
      <c r="F15611" s="41">
        <v>2</v>
      </c>
      <c r="G15611" s="41">
        <v>150</v>
      </c>
      <c r="H15611" s="41">
        <v>117.17442</v>
      </c>
      <c r="I15611" s="221"/>
      <c r="J15611" s="221"/>
    </row>
    <row r="15612" spans="1:10" s="15" customFormat="1" ht="24" hidden="1" customHeight="1" outlineLevel="1" x14ac:dyDescent="0.25">
      <c r="A15612" s="18">
        <v>3097</v>
      </c>
      <c r="B15612" s="4" t="s">
        <v>44</v>
      </c>
      <c r="C15612" s="38" t="s">
        <v>9145</v>
      </c>
      <c r="D15612" s="18">
        <v>2023</v>
      </c>
      <c r="E15612" s="18" t="s">
        <v>0</v>
      </c>
      <c r="F15612" s="41">
        <v>1</v>
      </c>
      <c r="G15612" s="41">
        <v>150</v>
      </c>
      <c r="H15612" s="41">
        <v>200.42418000000001</v>
      </c>
      <c r="I15612" s="221"/>
      <c r="J15612" s="221"/>
    </row>
    <row r="15613" spans="1:10" s="15" customFormat="1" ht="24" hidden="1" customHeight="1" outlineLevel="1" x14ac:dyDescent="0.25">
      <c r="A15613" s="18">
        <v>3046</v>
      </c>
      <c r="B15613" s="4" t="s">
        <v>44</v>
      </c>
      <c r="C15613" s="38" t="s">
        <v>8637</v>
      </c>
      <c r="D15613" s="18">
        <v>2023</v>
      </c>
      <c r="E15613" s="18" t="s">
        <v>0</v>
      </c>
      <c r="F15613" s="41">
        <v>1</v>
      </c>
      <c r="G15613" s="41">
        <v>65</v>
      </c>
      <c r="H15613" s="41">
        <v>156.23992000000001</v>
      </c>
      <c r="I15613" s="221"/>
      <c r="J15613" s="221"/>
    </row>
    <row r="15614" spans="1:10" s="15" customFormat="1" ht="24" hidden="1" customHeight="1" outlineLevel="1" x14ac:dyDescent="0.25">
      <c r="A15614" s="18">
        <v>5609</v>
      </c>
      <c r="B15614" s="4" t="s">
        <v>44</v>
      </c>
      <c r="C15614" s="38" t="s">
        <v>13054</v>
      </c>
      <c r="D15614" s="18">
        <v>2023</v>
      </c>
      <c r="E15614" s="18" t="s">
        <v>0</v>
      </c>
      <c r="F15614" s="41">
        <v>1</v>
      </c>
      <c r="G15614" s="41">
        <v>10</v>
      </c>
      <c r="H15614" s="41">
        <v>42.26679</v>
      </c>
      <c r="I15614" s="221"/>
      <c r="J15614" s="221"/>
    </row>
    <row r="15615" spans="1:10" s="15" customFormat="1" ht="24" hidden="1" customHeight="1" outlineLevel="1" x14ac:dyDescent="0.25">
      <c r="A15615" s="18">
        <v>5610</v>
      </c>
      <c r="B15615" s="4" t="s">
        <v>44</v>
      </c>
      <c r="C15615" s="38" t="s">
        <v>13055</v>
      </c>
      <c r="D15615" s="18">
        <v>2023</v>
      </c>
      <c r="E15615" s="18" t="s">
        <v>0</v>
      </c>
      <c r="F15615" s="41">
        <v>1</v>
      </c>
      <c r="G15615" s="41">
        <v>25</v>
      </c>
      <c r="H15615" s="41">
        <v>42.26679</v>
      </c>
      <c r="I15615" s="221"/>
      <c r="J15615" s="221"/>
    </row>
    <row r="15616" spans="1:10" s="15" customFormat="1" ht="24" hidden="1" customHeight="1" outlineLevel="1" x14ac:dyDescent="0.25">
      <c r="A15616" s="18">
        <v>1423</v>
      </c>
      <c r="B15616" s="4" t="s">
        <v>44</v>
      </c>
      <c r="C15616" s="38" t="s">
        <v>13056</v>
      </c>
      <c r="D15616" s="18">
        <v>2023</v>
      </c>
      <c r="E15616" s="18" t="s">
        <v>0</v>
      </c>
      <c r="F15616" s="41">
        <v>1</v>
      </c>
      <c r="G15616" s="41">
        <v>8</v>
      </c>
      <c r="H15616" s="41">
        <v>42.26679</v>
      </c>
      <c r="I15616" s="221"/>
      <c r="J15616" s="221"/>
    </row>
    <row r="15617" spans="1:10" s="15" customFormat="1" ht="24" hidden="1" customHeight="1" outlineLevel="1" x14ac:dyDescent="0.25">
      <c r="A15617" s="18">
        <v>5611</v>
      </c>
      <c r="B15617" s="4" t="s">
        <v>44</v>
      </c>
      <c r="C15617" s="38" t="s">
        <v>13057</v>
      </c>
      <c r="D15617" s="18">
        <v>2023</v>
      </c>
      <c r="E15617" s="18" t="s">
        <v>0</v>
      </c>
      <c r="F15617" s="41">
        <v>1</v>
      </c>
      <c r="G15617" s="41">
        <v>15</v>
      </c>
      <c r="H15617" s="41">
        <v>42.26679</v>
      </c>
      <c r="I15617" s="221"/>
      <c r="J15617" s="221"/>
    </row>
    <row r="15618" spans="1:10" s="15" customFormat="1" ht="24" hidden="1" customHeight="1" outlineLevel="1" x14ac:dyDescent="0.25">
      <c r="A15618" s="18">
        <v>5612</v>
      </c>
      <c r="B15618" s="4" t="s">
        <v>44</v>
      </c>
      <c r="C15618" s="38" t="s">
        <v>13058</v>
      </c>
      <c r="D15618" s="18">
        <v>2023</v>
      </c>
      <c r="E15618" s="18" t="s">
        <v>0</v>
      </c>
      <c r="F15618" s="41">
        <v>1</v>
      </c>
      <c r="G15618" s="41">
        <v>15</v>
      </c>
      <c r="H15618" s="41">
        <v>42.26679</v>
      </c>
      <c r="I15618" s="221"/>
      <c r="J15618" s="221"/>
    </row>
    <row r="15619" spans="1:10" s="15" customFormat="1" ht="24" hidden="1" customHeight="1" outlineLevel="1" x14ac:dyDescent="0.25">
      <c r="A15619" s="18">
        <v>5621</v>
      </c>
      <c r="B15619" s="4" t="s">
        <v>44</v>
      </c>
      <c r="C15619" s="38" t="s">
        <v>13059</v>
      </c>
      <c r="D15619" s="18">
        <v>2023</v>
      </c>
      <c r="E15619" s="18" t="s">
        <v>0</v>
      </c>
      <c r="F15619" s="41">
        <v>4</v>
      </c>
      <c r="G15619" s="41">
        <v>51</v>
      </c>
      <c r="H15619" s="41">
        <v>1921.9504400000001</v>
      </c>
      <c r="I15619" s="221"/>
      <c r="J15619" s="221"/>
    </row>
    <row r="15620" spans="1:10" s="15" customFormat="1" ht="24" hidden="1" customHeight="1" outlineLevel="1" x14ac:dyDescent="0.25">
      <c r="A15620" s="18">
        <v>765</v>
      </c>
      <c r="B15620" s="4" t="s">
        <v>44</v>
      </c>
      <c r="C15620" s="38" t="s">
        <v>13060</v>
      </c>
      <c r="D15620" s="18">
        <v>2023</v>
      </c>
      <c r="E15620" s="18" t="s">
        <v>0</v>
      </c>
      <c r="F15620" s="41">
        <v>1</v>
      </c>
      <c r="G15620" s="41">
        <v>15</v>
      </c>
      <c r="H15620" s="41">
        <v>97.618429999999989</v>
      </c>
      <c r="I15620" s="221"/>
      <c r="J15620" s="221"/>
    </row>
    <row r="15621" spans="1:10" s="15" customFormat="1" ht="24" hidden="1" customHeight="1" outlineLevel="1" x14ac:dyDescent="0.25">
      <c r="A15621" s="18">
        <v>5626</v>
      </c>
      <c r="B15621" s="4" t="s">
        <v>44</v>
      </c>
      <c r="C15621" s="38" t="s">
        <v>13061</v>
      </c>
      <c r="D15621" s="18">
        <v>2023</v>
      </c>
      <c r="E15621" s="18" t="s">
        <v>0</v>
      </c>
      <c r="F15621" s="41">
        <v>1</v>
      </c>
      <c r="G15621" s="41">
        <v>14</v>
      </c>
      <c r="H15621" s="41">
        <v>35.449339999999992</v>
      </c>
      <c r="I15621" s="221"/>
      <c r="J15621" s="221"/>
    </row>
    <row r="15622" spans="1:10" s="15" customFormat="1" ht="24" hidden="1" customHeight="1" outlineLevel="1" x14ac:dyDescent="0.25">
      <c r="A15622" s="18">
        <v>594</v>
      </c>
      <c r="B15622" s="4" t="s">
        <v>44</v>
      </c>
      <c r="C15622" s="38" t="s">
        <v>13062</v>
      </c>
      <c r="D15622" s="18">
        <v>2023</v>
      </c>
      <c r="E15622" s="18" t="s">
        <v>0</v>
      </c>
      <c r="F15622" s="41">
        <v>1</v>
      </c>
      <c r="G15622" s="41">
        <v>15</v>
      </c>
      <c r="H15622" s="41">
        <v>97.618449999999996</v>
      </c>
      <c r="I15622" s="221"/>
      <c r="J15622" s="221"/>
    </row>
    <row r="15623" spans="1:10" s="15" customFormat="1" ht="24" hidden="1" customHeight="1" outlineLevel="1" x14ac:dyDescent="0.25">
      <c r="A15623" s="18">
        <v>502</v>
      </c>
      <c r="B15623" s="4" t="s">
        <v>44</v>
      </c>
      <c r="C15623" s="38" t="s">
        <v>13063</v>
      </c>
      <c r="D15623" s="18">
        <v>2023</v>
      </c>
      <c r="E15623" s="18" t="s">
        <v>0</v>
      </c>
      <c r="F15623" s="41">
        <v>1</v>
      </c>
      <c r="G15623" s="41">
        <v>5</v>
      </c>
      <c r="H15623" s="41">
        <v>35.449339999999992</v>
      </c>
      <c r="I15623" s="221"/>
      <c r="J15623" s="221"/>
    </row>
    <row r="15624" spans="1:10" s="15" customFormat="1" ht="24" hidden="1" customHeight="1" outlineLevel="1" x14ac:dyDescent="0.25">
      <c r="A15624" s="18">
        <v>872</v>
      </c>
      <c r="B15624" s="4" t="s">
        <v>44</v>
      </c>
      <c r="C15624" s="38" t="s">
        <v>13064</v>
      </c>
      <c r="D15624" s="18">
        <v>2023</v>
      </c>
      <c r="E15624" s="18" t="s">
        <v>0</v>
      </c>
      <c r="F15624" s="41">
        <v>1</v>
      </c>
      <c r="G15624" s="41">
        <v>15</v>
      </c>
      <c r="H15624" s="41">
        <v>35.449359999999999</v>
      </c>
      <c r="I15624" s="221"/>
      <c r="J15624" s="221"/>
    </row>
    <row r="15625" spans="1:10" s="15" customFormat="1" ht="24" hidden="1" customHeight="1" outlineLevel="1" x14ac:dyDescent="0.25">
      <c r="A15625" s="18">
        <v>955</v>
      </c>
      <c r="B15625" s="4" t="s">
        <v>44</v>
      </c>
      <c r="C15625" s="38" t="s">
        <v>13065</v>
      </c>
      <c r="D15625" s="18">
        <v>2023</v>
      </c>
      <c r="E15625" s="18" t="s">
        <v>0</v>
      </c>
      <c r="F15625" s="41">
        <v>1</v>
      </c>
      <c r="G15625" s="41">
        <v>15</v>
      </c>
      <c r="H15625" s="41">
        <v>10.70983</v>
      </c>
      <c r="I15625" s="221"/>
      <c r="J15625" s="221"/>
    </row>
    <row r="15626" spans="1:10" s="15" customFormat="1" ht="24" hidden="1" customHeight="1" outlineLevel="1" x14ac:dyDescent="0.25">
      <c r="A15626" s="18">
        <v>956</v>
      </c>
      <c r="B15626" s="4" t="s">
        <v>44</v>
      </c>
      <c r="C15626" s="38" t="s">
        <v>13066</v>
      </c>
      <c r="D15626" s="18">
        <v>2023</v>
      </c>
      <c r="E15626" s="18" t="s">
        <v>0</v>
      </c>
      <c r="F15626" s="41">
        <v>1</v>
      </c>
      <c r="G15626" s="41">
        <v>15</v>
      </c>
      <c r="H15626" s="41">
        <v>35.449339999999992</v>
      </c>
      <c r="I15626" s="221"/>
      <c r="J15626" s="221"/>
    </row>
    <row r="15627" spans="1:10" s="15" customFormat="1" ht="24" hidden="1" customHeight="1" outlineLevel="1" x14ac:dyDescent="0.25">
      <c r="A15627" s="18">
        <v>981</v>
      </c>
      <c r="B15627" s="4" t="s">
        <v>44</v>
      </c>
      <c r="C15627" s="38" t="s">
        <v>13067</v>
      </c>
      <c r="D15627" s="18">
        <v>2023</v>
      </c>
      <c r="E15627" s="18" t="s">
        <v>0</v>
      </c>
      <c r="F15627" s="41">
        <v>1</v>
      </c>
      <c r="G15627" s="41">
        <v>15</v>
      </c>
      <c r="H15627" s="41">
        <v>35.449349999999995</v>
      </c>
      <c r="I15627" s="221"/>
      <c r="J15627" s="221"/>
    </row>
    <row r="15628" spans="1:10" s="15" customFormat="1" ht="24" hidden="1" customHeight="1" outlineLevel="1" x14ac:dyDescent="0.25">
      <c r="A15628" s="18">
        <v>5629</v>
      </c>
      <c r="B15628" s="4" t="s">
        <v>44</v>
      </c>
      <c r="C15628" s="38" t="s">
        <v>13068</v>
      </c>
      <c r="D15628" s="18">
        <v>2023</v>
      </c>
      <c r="E15628" s="18" t="s">
        <v>0</v>
      </c>
      <c r="F15628" s="41">
        <v>1</v>
      </c>
      <c r="G15628" s="41">
        <v>2.1</v>
      </c>
      <c r="H15628" s="41">
        <v>35.449349999999995</v>
      </c>
      <c r="I15628" s="221"/>
      <c r="J15628" s="221"/>
    </row>
    <row r="15629" spans="1:10" s="15" customFormat="1" ht="24" hidden="1" customHeight="1" outlineLevel="1" x14ac:dyDescent="0.25">
      <c r="A15629" s="18">
        <v>1072</v>
      </c>
      <c r="B15629" s="4" t="s">
        <v>44</v>
      </c>
      <c r="C15629" s="38" t="s">
        <v>13069</v>
      </c>
      <c r="D15629" s="18">
        <v>2023</v>
      </c>
      <c r="E15629" s="18" t="s">
        <v>0</v>
      </c>
      <c r="F15629" s="41">
        <v>1</v>
      </c>
      <c r="G15629" s="41">
        <v>15</v>
      </c>
      <c r="H15629" s="41">
        <v>35.449339999999992</v>
      </c>
      <c r="I15629" s="221"/>
      <c r="J15629" s="221"/>
    </row>
    <row r="15630" spans="1:10" s="15" customFormat="1" ht="24" hidden="1" customHeight="1" outlineLevel="1" x14ac:dyDescent="0.25">
      <c r="A15630" s="18">
        <v>1104</v>
      </c>
      <c r="B15630" s="4" t="s">
        <v>44</v>
      </c>
      <c r="C15630" s="38" t="s">
        <v>13070</v>
      </c>
      <c r="D15630" s="18">
        <v>2023</v>
      </c>
      <c r="E15630" s="18" t="s">
        <v>0</v>
      </c>
      <c r="F15630" s="41">
        <v>1</v>
      </c>
      <c r="G15630" s="41">
        <v>15</v>
      </c>
      <c r="H15630" s="41">
        <v>35.682569999999998</v>
      </c>
      <c r="I15630" s="221"/>
      <c r="J15630" s="221"/>
    </row>
    <row r="15631" spans="1:10" s="15" customFormat="1" ht="24" hidden="1" customHeight="1" outlineLevel="1" x14ac:dyDescent="0.25">
      <c r="A15631" s="18">
        <v>1169</v>
      </c>
      <c r="B15631" s="4" t="s">
        <v>44</v>
      </c>
      <c r="C15631" s="38" t="s">
        <v>13071</v>
      </c>
      <c r="D15631" s="18">
        <v>2023</v>
      </c>
      <c r="E15631" s="18" t="s">
        <v>0</v>
      </c>
      <c r="F15631" s="41">
        <v>1</v>
      </c>
      <c r="G15631" s="41">
        <v>15</v>
      </c>
      <c r="H15631" s="41">
        <v>35.449349999999995</v>
      </c>
      <c r="I15631" s="221"/>
      <c r="J15631" s="221"/>
    </row>
    <row r="15632" spans="1:10" s="15" customFormat="1" ht="24" hidden="1" customHeight="1" outlineLevel="1" x14ac:dyDescent="0.25">
      <c r="A15632" s="18">
        <v>1136</v>
      </c>
      <c r="B15632" s="4" t="s">
        <v>44</v>
      </c>
      <c r="C15632" s="38" t="s">
        <v>13072</v>
      </c>
      <c r="D15632" s="18">
        <v>2023</v>
      </c>
      <c r="E15632" s="18" t="s">
        <v>0</v>
      </c>
      <c r="F15632" s="41">
        <v>1</v>
      </c>
      <c r="G15632" s="41">
        <v>15</v>
      </c>
      <c r="H15632" s="41">
        <v>35.449330000000003</v>
      </c>
      <c r="I15632" s="221"/>
      <c r="J15632" s="221"/>
    </row>
    <row r="15633" spans="1:10" s="15" customFormat="1" ht="24" hidden="1" customHeight="1" outlineLevel="1" x14ac:dyDescent="0.25">
      <c r="A15633" s="18">
        <v>1477</v>
      </c>
      <c r="B15633" s="4" t="s">
        <v>44</v>
      </c>
      <c r="C15633" s="38" t="s">
        <v>13073</v>
      </c>
      <c r="D15633" s="18">
        <v>2023</v>
      </c>
      <c r="E15633" s="18" t="s">
        <v>0</v>
      </c>
      <c r="F15633" s="41">
        <v>1</v>
      </c>
      <c r="G15633" s="41">
        <v>15</v>
      </c>
      <c r="H15633" s="41">
        <v>35.449359999999999</v>
      </c>
      <c r="I15633" s="221"/>
      <c r="J15633" s="221"/>
    </row>
    <row r="15634" spans="1:10" s="15" customFormat="1" ht="24" hidden="1" customHeight="1" outlineLevel="1" x14ac:dyDescent="0.25">
      <c r="A15634" s="18">
        <v>5637</v>
      </c>
      <c r="B15634" s="4" t="s">
        <v>44</v>
      </c>
      <c r="C15634" s="38" t="s">
        <v>13074</v>
      </c>
      <c r="D15634" s="18">
        <v>2023</v>
      </c>
      <c r="E15634" s="18" t="s">
        <v>0</v>
      </c>
      <c r="F15634" s="41">
        <v>1</v>
      </c>
      <c r="G15634" s="41">
        <v>15</v>
      </c>
      <c r="H15634" s="41">
        <v>10.943069999999999</v>
      </c>
      <c r="I15634" s="221"/>
      <c r="J15634" s="221"/>
    </row>
    <row r="15635" spans="1:10" s="15" customFormat="1" ht="24" hidden="1" customHeight="1" outlineLevel="1" x14ac:dyDescent="0.25">
      <c r="A15635" s="18">
        <v>5638</v>
      </c>
      <c r="B15635" s="4" t="s">
        <v>44</v>
      </c>
      <c r="C15635" s="38" t="s">
        <v>13075</v>
      </c>
      <c r="D15635" s="18">
        <v>2023</v>
      </c>
      <c r="E15635" s="18" t="s">
        <v>0</v>
      </c>
      <c r="F15635" s="41">
        <v>1</v>
      </c>
      <c r="G15635" s="41">
        <v>10</v>
      </c>
      <c r="H15635" s="41">
        <v>35.449330000000003</v>
      </c>
      <c r="I15635" s="221"/>
      <c r="J15635" s="221"/>
    </row>
    <row r="15636" spans="1:10" s="15" customFormat="1" ht="24" hidden="1" customHeight="1" outlineLevel="1" x14ac:dyDescent="0.25">
      <c r="A15636" s="18">
        <v>5641</v>
      </c>
      <c r="B15636" s="4" t="s">
        <v>44</v>
      </c>
      <c r="C15636" s="38" t="s">
        <v>13076</v>
      </c>
      <c r="D15636" s="18">
        <v>2023</v>
      </c>
      <c r="E15636" s="18" t="s">
        <v>0</v>
      </c>
      <c r="F15636" s="41">
        <v>1</v>
      </c>
      <c r="G15636" s="41">
        <v>15</v>
      </c>
      <c r="H15636" s="41">
        <v>35.449330000000003</v>
      </c>
      <c r="I15636" s="221"/>
      <c r="J15636" s="221"/>
    </row>
    <row r="15637" spans="1:10" s="15" customFormat="1" ht="24" hidden="1" customHeight="1" outlineLevel="1" x14ac:dyDescent="0.25">
      <c r="A15637" s="18">
        <v>5645</v>
      </c>
      <c r="B15637" s="4" t="s">
        <v>44</v>
      </c>
      <c r="C15637" s="38" t="s">
        <v>13077</v>
      </c>
      <c r="D15637" s="18">
        <v>2023</v>
      </c>
      <c r="E15637" s="18" t="s">
        <v>0</v>
      </c>
      <c r="F15637" s="41">
        <v>1</v>
      </c>
      <c r="G15637" s="41">
        <v>15</v>
      </c>
      <c r="H15637" s="41">
        <v>35.682680000000005</v>
      </c>
      <c r="I15637" s="221"/>
      <c r="J15637" s="221"/>
    </row>
    <row r="15638" spans="1:10" s="15" customFormat="1" ht="24" hidden="1" customHeight="1" outlineLevel="1" x14ac:dyDescent="0.25">
      <c r="A15638" s="18">
        <v>5646</v>
      </c>
      <c r="B15638" s="4" t="s">
        <v>44</v>
      </c>
      <c r="C15638" s="38" t="s">
        <v>13078</v>
      </c>
      <c r="D15638" s="18">
        <v>2023</v>
      </c>
      <c r="E15638" s="18" t="s">
        <v>0</v>
      </c>
      <c r="F15638" s="41">
        <v>1</v>
      </c>
      <c r="G15638" s="41">
        <v>5</v>
      </c>
      <c r="H15638" s="41">
        <v>35.682559999999995</v>
      </c>
      <c r="I15638" s="221"/>
      <c r="J15638" s="221"/>
    </row>
    <row r="15639" spans="1:10" s="15" customFormat="1" ht="24" hidden="1" customHeight="1" outlineLevel="1" x14ac:dyDescent="0.25">
      <c r="A15639" s="18">
        <v>1027</v>
      </c>
      <c r="B15639" s="4" t="s">
        <v>44</v>
      </c>
      <c r="C15639" s="38" t="s">
        <v>13079</v>
      </c>
      <c r="D15639" s="18">
        <v>2023</v>
      </c>
      <c r="E15639" s="18" t="s">
        <v>0</v>
      </c>
      <c r="F15639" s="41">
        <v>1</v>
      </c>
      <c r="G15639" s="41">
        <v>15</v>
      </c>
      <c r="H15639" s="41">
        <v>98.081670000000003</v>
      </c>
      <c r="I15639" s="221"/>
      <c r="J15639" s="221"/>
    </row>
    <row r="15640" spans="1:10" s="15" customFormat="1" ht="24" hidden="1" customHeight="1" outlineLevel="1" x14ac:dyDescent="0.25">
      <c r="A15640" s="18">
        <v>1011</v>
      </c>
      <c r="B15640" s="4" t="s">
        <v>44</v>
      </c>
      <c r="C15640" s="38" t="s">
        <v>13080</v>
      </c>
      <c r="D15640" s="18">
        <v>2023</v>
      </c>
      <c r="E15640" s="18" t="s">
        <v>0</v>
      </c>
      <c r="F15640" s="41">
        <v>1</v>
      </c>
      <c r="G15640" s="41">
        <v>15</v>
      </c>
      <c r="H15640" s="41">
        <v>11.173080000000001</v>
      </c>
      <c r="I15640" s="221"/>
      <c r="J15640" s="221"/>
    </row>
    <row r="15641" spans="1:10" s="15" customFormat="1" ht="24" hidden="1" customHeight="1" outlineLevel="1" x14ac:dyDescent="0.25">
      <c r="A15641" s="18">
        <v>688</v>
      </c>
      <c r="B15641" s="4" t="s">
        <v>44</v>
      </c>
      <c r="C15641" s="38" t="s">
        <v>13081</v>
      </c>
      <c r="D15641" s="18">
        <v>2023</v>
      </c>
      <c r="E15641" s="18" t="s">
        <v>0</v>
      </c>
      <c r="F15641" s="41">
        <v>1</v>
      </c>
      <c r="G15641" s="41">
        <v>15</v>
      </c>
      <c r="H15641" s="41">
        <v>98.081670000000003</v>
      </c>
      <c r="I15641" s="221"/>
      <c r="J15641" s="221"/>
    </row>
    <row r="15642" spans="1:10" s="15" customFormat="1" ht="24" hidden="1" customHeight="1" outlineLevel="1" x14ac:dyDescent="0.25">
      <c r="A15642" s="18">
        <v>5650</v>
      </c>
      <c r="B15642" s="4" t="s">
        <v>44</v>
      </c>
      <c r="C15642" s="38" t="s">
        <v>13082</v>
      </c>
      <c r="D15642" s="18">
        <v>2023</v>
      </c>
      <c r="E15642" s="18" t="s">
        <v>0</v>
      </c>
      <c r="F15642" s="41">
        <v>1</v>
      </c>
      <c r="G15642" s="41">
        <v>15</v>
      </c>
      <c r="H15642" s="41">
        <v>98.081699999999998</v>
      </c>
      <c r="I15642" s="221"/>
      <c r="J15642" s="221"/>
    </row>
    <row r="15643" spans="1:10" s="15" customFormat="1" ht="24" hidden="1" customHeight="1" outlineLevel="1" x14ac:dyDescent="0.25">
      <c r="A15643" s="18">
        <v>5653</v>
      </c>
      <c r="B15643" s="4" t="s">
        <v>44</v>
      </c>
      <c r="C15643" s="38" t="s">
        <v>13083</v>
      </c>
      <c r="D15643" s="18">
        <v>2023</v>
      </c>
      <c r="E15643" s="18" t="s">
        <v>0</v>
      </c>
      <c r="F15643" s="41">
        <v>1</v>
      </c>
      <c r="G15643" s="41">
        <v>15</v>
      </c>
      <c r="H15643" s="41">
        <v>36.221850000000003</v>
      </c>
      <c r="I15643" s="221"/>
      <c r="J15643" s="221"/>
    </row>
    <row r="15644" spans="1:10" s="15" customFormat="1" ht="24" hidden="1" customHeight="1" outlineLevel="1" x14ac:dyDescent="0.25">
      <c r="A15644" s="18">
        <v>663</v>
      </c>
      <c r="B15644" s="4" t="s">
        <v>44</v>
      </c>
      <c r="C15644" s="38" t="s">
        <v>13084</v>
      </c>
      <c r="D15644" s="18">
        <v>2023</v>
      </c>
      <c r="E15644" s="18" t="s">
        <v>0</v>
      </c>
      <c r="F15644" s="41">
        <v>1</v>
      </c>
      <c r="G15644" s="41">
        <v>15</v>
      </c>
      <c r="H15644" s="41">
        <v>36.221830000000004</v>
      </c>
      <c r="I15644" s="221"/>
      <c r="J15644" s="221"/>
    </row>
    <row r="15645" spans="1:10" s="15" customFormat="1" ht="24" hidden="1" customHeight="1" outlineLevel="1" x14ac:dyDescent="0.25">
      <c r="A15645" s="18">
        <v>478</v>
      </c>
      <c r="B15645" s="4" t="s">
        <v>44</v>
      </c>
      <c r="C15645" s="38" t="s">
        <v>13085</v>
      </c>
      <c r="D15645" s="18">
        <v>2023</v>
      </c>
      <c r="E15645" s="18" t="s">
        <v>0</v>
      </c>
      <c r="F15645" s="41">
        <v>1</v>
      </c>
      <c r="G15645" s="41">
        <v>15</v>
      </c>
      <c r="H15645" s="41">
        <v>36.050589999999993</v>
      </c>
      <c r="I15645" s="221"/>
      <c r="J15645" s="221"/>
    </row>
    <row r="15646" spans="1:10" s="15" customFormat="1" ht="24" hidden="1" customHeight="1" outlineLevel="1" x14ac:dyDescent="0.25">
      <c r="A15646" s="18">
        <v>849</v>
      </c>
      <c r="B15646" s="4" t="s">
        <v>44</v>
      </c>
      <c r="C15646" s="38" t="s">
        <v>13086</v>
      </c>
      <c r="D15646" s="18">
        <v>2023</v>
      </c>
      <c r="E15646" s="18" t="s">
        <v>0</v>
      </c>
      <c r="F15646" s="41">
        <v>1</v>
      </c>
      <c r="G15646" s="41">
        <v>15</v>
      </c>
      <c r="H15646" s="41">
        <v>36.05057</v>
      </c>
      <c r="I15646" s="221"/>
      <c r="J15646" s="221"/>
    </row>
    <row r="15647" spans="1:10" s="15" customFormat="1" ht="24" hidden="1" customHeight="1" outlineLevel="1" x14ac:dyDescent="0.25">
      <c r="A15647" s="18">
        <v>913</v>
      </c>
      <c r="B15647" s="4" t="s">
        <v>44</v>
      </c>
      <c r="C15647" s="38" t="s">
        <v>13087</v>
      </c>
      <c r="D15647" s="18">
        <v>2023</v>
      </c>
      <c r="E15647" s="18" t="s">
        <v>0</v>
      </c>
      <c r="F15647" s="41">
        <v>1</v>
      </c>
      <c r="G15647" s="41">
        <v>15</v>
      </c>
      <c r="H15647" s="41">
        <v>36.050589999999993</v>
      </c>
      <c r="I15647" s="221"/>
      <c r="J15647" s="221"/>
    </row>
    <row r="15648" spans="1:10" s="15" customFormat="1" ht="24" hidden="1" customHeight="1" outlineLevel="1" x14ac:dyDescent="0.25">
      <c r="A15648" s="18">
        <v>1677</v>
      </c>
      <c r="B15648" s="4" t="s">
        <v>44</v>
      </c>
      <c r="C15648" s="38" t="s">
        <v>13088</v>
      </c>
      <c r="D15648" s="18">
        <v>2023</v>
      </c>
      <c r="E15648" s="18" t="s">
        <v>0</v>
      </c>
      <c r="F15648" s="41">
        <v>1</v>
      </c>
      <c r="G15648" s="41">
        <v>5</v>
      </c>
      <c r="H15648" s="41">
        <v>36.05057</v>
      </c>
      <c r="I15648" s="221"/>
      <c r="J15648" s="221"/>
    </row>
    <row r="15649" spans="1:10" s="15" customFormat="1" ht="24" hidden="1" customHeight="1" outlineLevel="1" x14ac:dyDescent="0.25">
      <c r="A15649" s="18">
        <v>1670</v>
      </c>
      <c r="B15649" s="4" t="s">
        <v>44</v>
      </c>
      <c r="C15649" s="38" t="s">
        <v>13089</v>
      </c>
      <c r="D15649" s="18">
        <v>2023</v>
      </c>
      <c r="E15649" s="18" t="s">
        <v>0</v>
      </c>
      <c r="F15649" s="41">
        <v>1</v>
      </c>
      <c r="G15649" s="41">
        <v>10</v>
      </c>
      <c r="H15649" s="41">
        <v>36.050589999999993</v>
      </c>
      <c r="I15649" s="221"/>
      <c r="J15649" s="221"/>
    </row>
    <row r="15650" spans="1:10" s="15" customFormat="1" ht="24" hidden="1" customHeight="1" outlineLevel="1" x14ac:dyDescent="0.25">
      <c r="A15650" s="18">
        <v>5661</v>
      </c>
      <c r="B15650" s="4" t="s">
        <v>44</v>
      </c>
      <c r="C15650" s="38" t="s">
        <v>13090</v>
      </c>
      <c r="D15650" s="18">
        <v>2023</v>
      </c>
      <c r="E15650" s="18" t="s">
        <v>0</v>
      </c>
      <c r="F15650" s="41">
        <v>1</v>
      </c>
      <c r="G15650" s="41">
        <v>15</v>
      </c>
      <c r="H15650" s="41">
        <v>35.879330000000003</v>
      </c>
      <c r="I15650" s="221"/>
      <c r="J15650" s="221"/>
    </row>
    <row r="15651" spans="1:10" s="15" customFormat="1" ht="24" hidden="1" customHeight="1" outlineLevel="1" x14ac:dyDescent="0.25">
      <c r="A15651" s="18">
        <v>1819</v>
      </c>
      <c r="B15651" s="4" t="s">
        <v>44</v>
      </c>
      <c r="C15651" s="38" t="s">
        <v>13091</v>
      </c>
      <c r="D15651" s="18">
        <v>2023</v>
      </c>
      <c r="E15651" s="18" t="s">
        <v>0</v>
      </c>
      <c r="F15651" s="41">
        <v>1</v>
      </c>
      <c r="G15651" s="41">
        <v>3</v>
      </c>
      <c r="H15651" s="41">
        <v>35.879349999999995</v>
      </c>
      <c r="I15651" s="221"/>
      <c r="J15651" s="221"/>
    </row>
    <row r="15652" spans="1:10" s="15" customFormat="1" ht="24" hidden="1" customHeight="1" outlineLevel="1" x14ac:dyDescent="0.25">
      <c r="A15652" s="18">
        <v>5665</v>
      </c>
      <c r="B15652" s="4" t="s">
        <v>44</v>
      </c>
      <c r="C15652" s="38" t="s">
        <v>13092</v>
      </c>
      <c r="D15652" s="18">
        <v>2023</v>
      </c>
      <c r="E15652" s="18" t="s">
        <v>0</v>
      </c>
      <c r="F15652" s="41">
        <v>1</v>
      </c>
      <c r="G15652" s="41">
        <v>15</v>
      </c>
      <c r="H15652" s="41">
        <v>35.879330000000003</v>
      </c>
      <c r="I15652" s="221"/>
      <c r="J15652" s="221"/>
    </row>
    <row r="15653" spans="1:10" s="15" customFormat="1" ht="24" hidden="1" customHeight="1" outlineLevel="1" x14ac:dyDescent="0.25">
      <c r="A15653" s="18">
        <v>5667</v>
      </c>
      <c r="B15653" s="4" t="s">
        <v>44</v>
      </c>
      <c r="C15653" s="38" t="s">
        <v>13093</v>
      </c>
      <c r="D15653" s="18">
        <v>2023</v>
      </c>
      <c r="E15653" s="18" t="s">
        <v>0</v>
      </c>
      <c r="F15653" s="41">
        <v>1</v>
      </c>
      <c r="G15653" s="41">
        <v>15</v>
      </c>
      <c r="H15653" s="41">
        <v>35.879349999999995</v>
      </c>
      <c r="I15653" s="221"/>
      <c r="J15653" s="221"/>
    </row>
    <row r="15654" spans="1:10" s="15" customFormat="1" ht="24" hidden="1" customHeight="1" outlineLevel="1" x14ac:dyDescent="0.25">
      <c r="A15654" s="18">
        <v>5668</v>
      </c>
      <c r="B15654" s="4" t="s">
        <v>44</v>
      </c>
      <c r="C15654" s="38" t="s">
        <v>13094</v>
      </c>
      <c r="D15654" s="18">
        <v>2023</v>
      </c>
      <c r="E15654" s="18" t="s">
        <v>0</v>
      </c>
      <c r="F15654" s="41">
        <v>1</v>
      </c>
      <c r="G15654" s="41">
        <v>15</v>
      </c>
      <c r="H15654" s="41">
        <v>35.879330000000003</v>
      </c>
      <c r="I15654" s="221"/>
      <c r="J15654" s="221"/>
    </row>
    <row r="15655" spans="1:10" s="15" customFormat="1" ht="24" hidden="1" customHeight="1" outlineLevel="1" x14ac:dyDescent="0.25">
      <c r="A15655" s="18">
        <v>562</v>
      </c>
      <c r="B15655" s="4" t="s">
        <v>44</v>
      </c>
      <c r="C15655" s="38" t="s">
        <v>13095</v>
      </c>
      <c r="D15655" s="18">
        <v>2023</v>
      </c>
      <c r="E15655" s="18" t="s">
        <v>0</v>
      </c>
      <c r="F15655" s="41">
        <v>1</v>
      </c>
      <c r="G15655" s="41">
        <v>15</v>
      </c>
      <c r="H15655" s="41">
        <v>35.77657</v>
      </c>
      <c r="I15655" s="221"/>
      <c r="J15655" s="221"/>
    </row>
    <row r="15656" spans="1:10" s="15" customFormat="1" ht="24" hidden="1" customHeight="1" outlineLevel="1" x14ac:dyDescent="0.25">
      <c r="A15656" s="18">
        <v>513</v>
      </c>
      <c r="B15656" s="4" t="s">
        <v>44</v>
      </c>
      <c r="C15656" s="38" t="s">
        <v>13096</v>
      </c>
      <c r="D15656" s="18">
        <v>2023</v>
      </c>
      <c r="E15656" s="18" t="s">
        <v>0</v>
      </c>
      <c r="F15656" s="41">
        <v>1</v>
      </c>
      <c r="G15656" s="41">
        <v>15</v>
      </c>
      <c r="H15656" s="41">
        <v>35.879330000000003</v>
      </c>
      <c r="I15656" s="221"/>
      <c r="J15656" s="221"/>
    </row>
    <row r="15657" spans="1:10" s="15" customFormat="1" ht="24" hidden="1" customHeight="1" outlineLevel="1" x14ac:dyDescent="0.25">
      <c r="A15657" s="18">
        <v>506</v>
      </c>
      <c r="B15657" s="4" t="s">
        <v>44</v>
      </c>
      <c r="C15657" s="38" t="s">
        <v>13097</v>
      </c>
      <c r="D15657" s="18">
        <v>2023</v>
      </c>
      <c r="E15657" s="18" t="s">
        <v>0</v>
      </c>
      <c r="F15657" s="41">
        <v>1</v>
      </c>
      <c r="G15657" s="41">
        <v>15</v>
      </c>
      <c r="H15657" s="41">
        <v>35.77657</v>
      </c>
      <c r="I15657" s="221"/>
      <c r="J15657" s="221"/>
    </row>
    <row r="15658" spans="1:10" s="15" customFormat="1" ht="24" hidden="1" customHeight="1" outlineLevel="1" x14ac:dyDescent="0.25">
      <c r="A15658" s="18">
        <v>5669</v>
      </c>
      <c r="B15658" s="4" t="s">
        <v>44</v>
      </c>
      <c r="C15658" s="38" t="s">
        <v>13098</v>
      </c>
      <c r="D15658" s="18">
        <v>2023</v>
      </c>
      <c r="E15658" s="18" t="s">
        <v>0</v>
      </c>
      <c r="F15658" s="41">
        <v>1</v>
      </c>
      <c r="G15658" s="41">
        <v>10</v>
      </c>
      <c r="H15658" s="41">
        <v>35.742330000000003</v>
      </c>
      <c r="I15658" s="221"/>
      <c r="J15658" s="221"/>
    </row>
    <row r="15659" spans="1:10" s="15" customFormat="1" ht="24" hidden="1" customHeight="1" outlineLevel="1" x14ac:dyDescent="0.25">
      <c r="A15659" s="18">
        <v>5670</v>
      </c>
      <c r="B15659" s="4" t="s">
        <v>44</v>
      </c>
      <c r="C15659" s="38" t="s">
        <v>13099</v>
      </c>
      <c r="D15659" s="18">
        <v>2023</v>
      </c>
      <c r="E15659" s="18" t="s">
        <v>0</v>
      </c>
      <c r="F15659" s="41">
        <v>1</v>
      </c>
      <c r="G15659" s="41">
        <v>15</v>
      </c>
      <c r="H15659" s="41">
        <v>35.77657</v>
      </c>
      <c r="I15659" s="221"/>
      <c r="J15659" s="221"/>
    </row>
    <row r="15660" spans="1:10" s="15" customFormat="1" ht="24" hidden="1" customHeight="1" outlineLevel="1" x14ac:dyDescent="0.25">
      <c r="A15660" s="18">
        <v>5671</v>
      </c>
      <c r="B15660" s="4" t="s">
        <v>44</v>
      </c>
      <c r="C15660" s="38" t="s">
        <v>13100</v>
      </c>
      <c r="D15660" s="18">
        <v>2023</v>
      </c>
      <c r="E15660" s="18" t="s">
        <v>0</v>
      </c>
      <c r="F15660" s="41">
        <v>1</v>
      </c>
      <c r="G15660" s="41">
        <v>15</v>
      </c>
      <c r="H15660" s="41">
        <v>35.776550000000007</v>
      </c>
      <c r="I15660" s="221"/>
      <c r="J15660" s="221"/>
    </row>
    <row r="15661" spans="1:10" s="15" customFormat="1" ht="24" hidden="1" customHeight="1" outlineLevel="1" x14ac:dyDescent="0.25">
      <c r="A15661" s="18">
        <v>5672</v>
      </c>
      <c r="B15661" s="4" t="s">
        <v>44</v>
      </c>
      <c r="C15661" s="38" t="s">
        <v>13101</v>
      </c>
      <c r="D15661" s="18">
        <v>2023</v>
      </c>
      <c r="E15661" s="18" t="s">
        <v>0</v>
      </c>
      <c r="F15661" s="41">
        <v>1</v>
      </c>
      <c r="G15661" s="41">
        <v>15</v>
      </c>
      <c r="H15661" s="41">
        <v>35.879349999999995</v>
      </c>
      <c r="I15661" s="221"/>
      <c r="J15661" s="221"/>
    </row>
    <row r="15662" spans="1:10" s="15" customFormat="1" ht="24" hidden="1" customHeight="1" outlineLevel="1" x14ac:dyDescent="0.25">
      <c r="A15662" s="18">
        <v>5678</v>
      </c>
      <c r="B15662" s="4" t="s">
        <v>44</v>
      </c>
      <c r="C15662" s="38" t="s">
        <v>13102</v>
      </c>
      <c r="D15662" s="18">
        <v>2023</v>
      </c>
      <c r="E15662" s="18" t="s">
        <v>0</v>
      </c>
      <c r="F15662" s="41">
        <v>1</v>
      </c>
      <c r="G15662" s="41">
        <v>10</v>
      </c>
      <c r="H15662" s="41">
        <v>37.777799999999999</v>
      </c>
      <c r="I15662" s="221"/>
      <c r="J15662" s="221"/>
    </row>
    <row r="15663" spans="1:10" s="15" customFormat="1" ht="24" hidden="1" customHeight="1" outlineLevel="1" x14ac:dyDescent="0.25">
      <c r="A15663" s="18">
        <v>5679</v>
      </c>
      <c r="B15663" s="4" t="s">
        <v>44</v>
      </c>
      <c r="C15663" s="38" t="s">
        <v>13103</v>
      </c>
      <c r="D15663" s="18">
        <v>2023</v>
      </c>
      <c r="E15663" s="18" t="s">
        <v>0</v>
      </c>
      <c r="F15663" s="41">
        <v>1</v>
      </c>
      <c r="G15663" s="41">
        <v>50</v>
      </c>
      <c r="H15663" s="41">
        <v>37.073089999999993</v>
      </c>
      <c r="I15663" s="221"/>
      <c r="J15663" s="221"/>
    </row>
    <row r="15664" spans="1:10" s="15" customFormat="1" ht="24" hidden="1" customHeight="1" outlineLevel="1" x14ac:dyDescent="0.25">
      <c r="A15664" s="18">
        <v>5680</v>
      </c>
      <c r="B15664" s="4" t="s">
        <v>44</v>
      </c>
      <c r="C15664" s="38" t="s">
        <v>13104</v>
      </c>
      <c r="D15664" s="18">
        <v>2023</v>
      </c>
      <c r="E15664" s="18" t="s">
        <v>0</v>
      </c>
      <c r="F15664" s="41">
        <v>1</v>
      </c>
      <c r="G15664" s="41">
        <v>15</v>
      </c>
      <c r="H15664" s="41">
        <v>36.848440000000004</v>
      </c>
      <c r="I15664" s="221"/>
      <c r="J15664" s="221"/>
    </row>
    <row r="15665" spans="1:10" s="15" customFormat="1" ht="24" hidden="1" customHeight="1" outlineLevel="1" x14ac:dyDescent="0.25">
      <c r="A15665" s="18">
        <v>2053</v>
      </c>
      <c r="B15665" s="4" t="s">
        <v>44</v>
      </c>
      <c r="C15665" s="38" t="s">
        <v>13105</v>
      </c>
      <c r="D15665" s="18">
        <v>2023</v>
      </c>
      <c r="E15665" s="18" t="s">
        <v>0</v>
      </c>
      <c r="F15665" s="41">
        <v>1</v>
      </c>
      <c r="G15665" s="41">
        <v>15</v>
      </c>
      <c r="H15665" s="41">
        <v>36.846050000000005</v>
      </c>
      <c r="I15665" s="221"/>
      <c r="J15665" s="221"/>
    </row>
    <row r="15666" spans="1:10" s="15" customFormat="1" ht="24" hidden="1" customHeight="1" outlineLevel="1" x14ac:dyDescent="0.25">
      <c r="A15666" s="18">
        <v>5681</v>
      </c>
      <c r="B15666" s="4" t="s">
        <v>44</v>
      </c>
      <c r="C15666" s="38" t="s">
        <v>13106</v>
      </c>
      <c r="D15666" s="18">
        <v>2023</v>
      </c>
      <c r="E15666" s="18" t="s">
        <v>0</v>
      </c>
      <c r="F15666" s="41">
        <v>1</v>
      </c>
      <c r="G15666" s="41">
        <v>15</v>
      </c>
      <c r="H15666" s="41">
        <v>36.846040000000002</v>
      </c>
      <c r="I15666" s="221"/>
      <c r="J15666" s="221"/>
    </row>
    <row r="15667" spans="1:10" s="15" customFormat="1" ht="24" hidden="1" customHeight="1" outlineLevel="1" x14ac:dyDescent="0.25">
      <c r="A15667" s="18">
        <v>5683</v>
      </c>
      <c r="B15667" s="4" t="s">
        <v>44</v>
      </c>
      <c r="C15667" s="38" t="s">
        <v>13107</v>
      </c>
      <c r="D15667" s="18">
        <v>2023</v>
      </c>
      <c r="E15667" s="18" t="s">
        <v>0</v>
      </c>
      <c r="F15667" s="41">
        <v>1</v>
      </c>
      <c r="G15667" s="41">
        <v>15</v>
      </c>
      <c r="H15667" s="41">
        <v>36.846050000000005</v>
      </c>
      <c r="I15667" s="221"/>
      <c r="J15667" s="221"/>
    </row>
    <row r="15668" spans="1:10" s="15" customFormat="1" ht="24" hidden="1" customHeight="1" outlineLevel="1" x14ac:dyDescent="0.25">
      <c r="A15668" s="18">
        <v>5684</v>
      </c>
      <c r="B15668" s="4" t="s">
        <v>44</v>
      </c>
      <c r="C15668" s="38" t="s">
        <v>13108</v>
      </c>
      <c r="D15668" s="18">
        <v>2023</v>
      </c>
      <c r="E15668" s="18" t="s">
        <v>0</v>
      </c>
      <c r="F15668" s="41">
        <v>1</v>
      </c>
      <c r="G15668" s="41">
        <v>15</v>
      </c>
      <c r="H15668" s="41">
        <v>36.846029999999999</v>
      </c>
      <c r="I15668" s="221"/>
      <c r="J15668" s="221"/>
    </row>
    <row r="15669" spans="1:10" s="15" customFormat="1" ht="24" hidden="1" customHeight="1" outlineLevel="1" x14ac:dyDescent="0.25">
      <c r="A15669" s="18">
        <v>5685</v>
      </c>
      <c r="B15669" s="4" t="s">
        <v>44</v>
      </c>
      <c r="C15669" s="38" t="s">
        <v>13109</v>
      </c>
      <c r="D15669" s="18">
        <v>2023</v>
      </c>
      <c r="E15669" s="18" t="s">
        <v>0</v>
      </c>
      <c r="F15669" s="41">
        <v>1</v>
      </c>
      <c r="G15669" s="41">
        <v>15</v>
      </c>
      <c r="H15669" s="41">
        <v>36.846040000000002</v>
      </c>
      <c r="I15669" s="221"/>
      <c r="J15669" s="221"/>
    </row>
    <row r="15670" spans="1:10" s="15" customFormat="1" ht="24" hidden="1" customHeight="1" outlineLevel="1" x14ac:dyDescent="0.25">
      <c r="A15670" s="18">
        <v>5686</v>
      </c>
      <c r="B15670" s="4" t="s">
        <v>44</v>
      </c>
      <c r="C15670" s="38" t="s">
        <v>13110</v>
      </c>
      <c r="D15670" s="18">
        <v>2023</v>
      </c>
      <c r="E15670" s="18" t="s">
        <v>0</v>
      </c>
      <c r="F15670" s="41">
        <v>1</v>
      </c>
      <c r="G15670" s="41">
        <v>15</v>
      </c>
      <c r="H15670" s="41">
        <v>36.846029999999999</v>
      </c>
      <c r="I15670" s="221"/>
      <c r="J15670" s="221"/>
    </row>
    <row r="15671" spans="1:10" s="15" customFormat="1" ht="24" hidden="1" customHeight="1" outlineLevel="1" x14ac:dyDescent="0.25">
      <c r="A15671" s="18">
        <v>5687</v>
      </c>
      <c r="B15671" s="4" t="s">
        <v>44</v>
      </c>
      <c r="C15671" s="38" t="s">
        <v>13111</v>
      </c>
      <c r="D15671" s="18">
        <v>2023</v>
      </c>
      <c r="E15671" s="18" t="s">
        <v>0</v>
      </c>
      <c r="F15671" s="41">
        <v>1</v>
      </c>
      <c r="G15671" s="41">
        <v>15</v>
      </c>
      <c r="H15671" s="41">
        <v>36.846040000000002</v>
      </c>
      <c r="I15671" s="221"/>
      <c r="J15671" s="221"/>
    </row>
    <row r="15672" spans="1:10" s="15" customFormat="1" ht="24" hidden="1" customHeight="1" outlineLevel="1" x14ac:dyDescent="0.25">
      <c r="A15672" s="18">
        <v>2225</v>
      </c>
      <c r="B15672" s="4" t="s">
        <v>44</v>
      </c>
      <c r="C15672" s="38" t="s">
        <v>13112</v>
      </c>
      <c r="D15672" s="18">
        <v>2023</v>
      </c>
      <c r="E15672" s="18" t="s">
        <v>0</v>
      </c>
      <c r="F15672" s="41">
        <v>1</v>
      </c>
      <c r="G15672" s="41">
        <v>5</v>
      </c>
      <c r="H15672" s="41">
        <v>36.846040000000002</v>
      </c>
      <c r="I15672" s="221"/>
      <c r="J15672" s="221"/>
    </row>
    <row r="15673" spans="1:10" s="15" customFormat="1" ht="24" hidden="1" customHeight="1" outlineLevel="1" x14ac:dyDescent="0.25">
      <c r="A15673" s="18">
        <v>5688</v>
      </c>
      <c r="B15673" s="4" t="s">
        <v>44</v>
      </c>
      <c r="C15673" s="38" t="s">
        <v>13113</v>
      </c>
      <c r="D15673" s="18">
        <v>2023</v>
      </c>
      <c r="E15673" s="18" t="s">
        <v>0</v>
      </c>
      <c r="F15673" s="41">
        <v>1</v>
      </c>
      <c r="G15673" s="41">
        <v>20</v>
      </c>
      <c r="H15673" s="41">
        <v>37.106359999999995</v>
      </c>
      <c r="I15673" s="221"/>
      <c r="J15673" s="221"/>
    </row>
    <row r="15674" spans="1:10" s="15" customFormat="1" ht="24" hidden="1" customHeight="1" outlineLevel="1" x14ac:dyDescent="0.25">
      <c r="A15674" s="18">
        <v>5689</v>
      </c>
      <c r="B15674" s="4" t="s">
        <v>44</v>
      </c>
      <c r="C15674" s="38" t="s">
        <v>13114</v>
      </c>
      <c r="D15674" s="18">
        <v>2023</v>
      </c>
      <c r="E15674" s="18" t="s">
        <v>0</v>
      </c>
      <c r="F15674" s="41">
        <v>1</v>
      </c>
      <c r="G15674" s="41">
        <v>15</v>
      </c>
      <c r="H15674" s="41">
        <v>37.268520000000002</v>
      </c>
      <c r="I15674" s="221"/>
      <c r="J15674" s="221"/>
    </row>
    <row r="15675" spans="1:10" s="15" customFormat="1" ht="24" hidden="1" customHeight="1" outlineLevel="1" x14ac:dyDescent="0.25">
      <c r="A15675" s="18">
        <v>5690</v>
      </c>
      <c r="B15675" s="4" t="s">
        <v>44</v>
      </c>
      <c r="C15675" s="38" t="s">
        <v>13115</v>
      </c>
      <c r="D15675" s="18">
        <v>2023</v>
      </c>
      <c r="E15675" s="18" t="s">
        <v>0</v>
      </c>
      <c r="F15675" s="41">
        <v>1</v>
      </c>
      <c r="G15675" s="41">
        <v>150</v>
      </c>
      <c r="H15675" s="41">
        <v>37.649339999999995</v>
      </c>
      <c r="I15675" s="221"/>
      <c r="J15675" s="221"/>
    </row>
    <row r="15676" spans="1:10" s="15" customFormat="1" ht="24" hidden="1" customHeight="1" outlineLevel="1" x14ac:dyDescent="0.25">
      <c r="A15676" s="18">
        <v>1710</v>
      </c>
      <c r="B15676" s="4" t="s">
        <v>44</v>
      </c>
      <c r="C15676" s="38" t="s">
        <v>13116</v>
      </c>
      <c r="D15676" s="18">
        <v>2023</v>
      </c>
      <c r="E15676" s="18" t="s">
        <v>0</v>
      </c>
      <c r="F15676" s="41">
        <v>1</v>
      </c>
      <c r="G15676" s="41">
        <v>15</v>
      </c>
      <c r="H15676" s="41">
        <v>37.660609999999998</v>
      </c>
      <c r="I15676" s="221"/>
      <c r="J15676" s="221"/>
    </row>
    <row r="15677" spans="1:10" s="15" customFormat="1" ht="24" hidden="1" customHeight="1" outlineLevel="1" x14ac:dyDescent="0.25">
      <c r="A15677" s="18">
        <v>1434</v>
      </c>
      <c r="B15677" s="4" t="s">
        <v>44</v>
      </c>
      <c r="C15677" s="38" t="s">
        <v>13117</v>
      </c>
      <c r="D15677" s="18">
        <v>2023</v>
      </c>
      <c r="E15677" s="18" t="s">
        <v>0</v>
      </c>
      <c r="F15677" s="41">
        <v>1</v>
      </c>
      <c r="G15677" s="41">
        <v>6</v>
      </c>
      <c r="H15677" s="41">
        <v>37.660609999999998</v>
      </c>
      <c r="I15677" s="221"/>
      <c r="J15677" s="221"/>
    </row>
    <row r="15678" spans="1:10" s="15" customFormat="1" ht="24" hidden="1" customHeight="1" outlineLevel="1" x14ac:dyDescent="0.25">
      <c r="A15678" s="18">
        <v>1440</v>
      </c>
      <c r="B15678" s="4" t="s">
        <v>44</v>
      </c>
      <c r="C15678" s="38" t="s">
        <v>13118</v>
      </c>
      <c r="D15678" s="18">
        <v>2023</v>
      </c>
      <c r="E15678" s="18" t="s">
        <v>0</v>
      </c>
      <c r="F15678" s="41">
        <v>1</v>
      </c>
      <c r="G15678" s="41">
        <v>15</v>
      </c>
      <c r="H15678" s="41">
        <v>37.217109999999998</v>
      </c>
      <c r="I15678" s="221"/>
      <c r="J15678" s="221"/>
    </row>
    <row r="15679" spans="1:10" s="15" customFormat="1" ht="24" hidden="1" customHeight="1" outlineLevel="1" x14ac:dyDescent="0.25">
      <c r="A15679" s="18">
        <v>2992</v>
      </c>
      <c r="B15679" s="4" t="s">
        <v>44</v>
      </c>
      <c r="C15679" s="38" t="s">
        <v>8638</v>
      </c>
      <c r="D15679" s="18">
        <v>2023</v>
      </c>
      <c r="E15679" s="18" t="s">
        <v>0</v>
      </c>
      <c r="F15679" s="41">
        <v>1</v>
      </c>
      <c r="G15679" s="41">
        <v>150</v>
      </c>
      <c r="H15679" s="41">
        <v>189.86922999999999</v>
      </c>
      <c r="I15679" s="221"/>
      <c r="J15679" s="221"/>
    </row>
    <row r="15680" spans="1:10" s="15" customFormat="1" ht="24" hidden="1" customHeight="1" outlineLevel="1" x14ac:dyDescent="0.25">
      <c r="A15680" s="18">
        <v>382</v>
      </c>
      <c r="B15680" s="4" t="s">
        <v>44</v>
      </c>
      <c r="C15680" s="38" t="s">
        <v>8639</v>
      </c>
      <c r="D15680" s="18">
        <v>2023</v>
      </c>
      <c r="E15680" s="18" t="s">
        <v>0</v>
      </c>
      <c r="F15680" s="41">
        <v>1</v>
      </c>
      <c r="G15680" s="41">
        <v>15</v>
      </c>
      <c r="H15680" s="41">
        <v>63.712299999999999</v>
      </c>
      <c r="I15680" s="221"/>
      <c r="J15680" s="221"/>
    </row>
    <row r="15681" spans="1:10" s="15" customFormat="1" ht="24" hidden="1" customHeight="1" outlineLevel="1" x14ac:dyDescent="0.25">
      <c r="A15681" s="18">
        <v>396</v>
      </c>
      <c r="B15681" s="4" t="s">
        <v>44</v>
      </c>
      <c r="C15681" s="38" t="s">
        <v>8640</v>
      </c>
      <c r="D15681" s="18">
        <v>2023</v>
      </c>
      <c r="E15681" s="18" t="s">
        <v>0</v>
      </c>
      <c r="F15681" s="41">
        <v>1</v>
      </c>
      <c r="G15681" s="41">
        <v>15</v>
      </c>
      <c r="H15681" s="41">
        <v>65.438209999999998</v>
      </c>
      <c r="I15681" s="221"/>
      <c r="J15681" s="221"/>
    </row>
    <row r="15682" spans="1:10" s="15" customFormat="1" ht="24" hidden="1" customHeight="1" outlineLevel="1" x14ac:dyDescent="0.25">
      <c r="A15682" s="18">
        <v>399</v>
      </c>
      <c r="B15682" s="4" t="s">
        <v>44</v>
      </c>
      <c r="C15682" s="38" t="s">
        <v>8641</v>
      </c>
      <c r="D15682" s="18">
        <v>2023</v>
      </c>
      <c r="E15682" s="18" t="s">
        <v>0</v>
      </c>
      <c r="F15682" s="41">
        <v>1</v>
      </c>
      <c r="G15682" s="41">
        <v>12</v>
      </c>
      <c r="H15682" s="41">
        <v>62.848869999999998</v>
      </c>
      <c r="I15682" s="221"/>
      <c r="J15682" s="221"/>
    </row>
    <row r="15683" spans="1:10" s="15" customFormat="1" ht="24" hidden="1" customHeight="1" outlineLevel="1" x14ac:dyDescent="0.25">
      <c r="A15683" s="18">
        <v>5048</v>
      </c>
      <c r="B15683" s="4" t="s">
        <v>44</v>
      </c>
      <c r="C15683" s="38" t="s">
        <v>8643</v>
      </c>
      <c r="D15683" s="18">
        <v>2023</v>
      </c>
      <c r="E15683" s="18" t="s">
        <v>0</v>
      </c>
      <c r="F15683" s="41">
        <v>1</v>
      </c>
      <c r="G15683" s="41">
        <v>15</v>
      </c>
      <c r="H15683" s="41">
        <v>61.746859999999998</v>
      </c>
      <c r="I15683" s="221"/>
      <c r="J15683" s="221"/>
    </row>
    <row r="15684" spans="1:10" s="15" customFormat="1" ht="24" hidden="1" customHeight="1" outlineLevel="1" x14ac:dyDescent="0.25">
      <c r="A15684" s="18">
        <v>555</v>
      </c>
      <c r="B15684" s="4" t="s">
        <v>44</v>
      </c>
      <c r="C15684" s="38" t="s">
        <v>8646</v>
      </c>
      <c r="D15684" s="18">
        <v>2023</v>
      </c>
      <c r="E15684" s="18" t="s">
        <v>0</v>
      </c>
      <c r="F15684" s="41">
        <v>1</v>
      </c>
      <c r="G15684" s="41">
        <v>15</v>
      </c>
      <c r="H15684" s="41">
        <v>54.361820000000002</v>
      </c>
      <c r="I15684" s="221"/>
      <c r="J15684" s="221"/>
    </row>
    <row r="15685" spans="1:10" s="15" customFormat="1" ht="24" hidden="1" customHeight="1" outlineLevel="1" x14ac:dyDescent="0.25">
      <c r="A15685" s="18">
        <v>3856</v>
      </c>
      <c r="B15685" s="4" t="s">
        <v>44</v>
      </c>
      <c r="C15685" s="38" t="s">
        <v>8647</v>
      </c>
      <c r="D15685" s="18">
        <v>2023</v>
      </c>
      <c r="E15685" s="18" t="s">
        <v>0</v>
      </c>
      <c r="F15685" s="41">
        <v>1</v>
      </c>
      <c r="G15685" s="41">
        <v>15</v>
      </c>
      <c r="H15685" s="41">
        <v>54.779350000000001</v>
      </c>
      <c r="I15685" s="221"/>
      <c r="J15685" s="221"/>
    </row>
    <row r="15686" spans="1:10" s="15" customFormat="1" ht="24" hidden="1" customHeight="1" outlineLevel="1" x14ac:dyDescent="0.25">
      <c r="A15686" s="18">
        <v>615</v>
      </c>
      <c r="B15686" s="4" t="s">
        <v>44</v>
      </c>
      <c r="C15686" s="38" t="s">
        <v>8648</v>
      </c>
      <c r="D15686" s="18">
        <v>2023</v>
      </c>
      <c r="E15686" s="18" t="s">
        <v>0</v>
      </c>
      <c r="F15686" s="41">
        <v>1</v>
      </c>
      <c r="G15686" s="41">
        <v>7.5</v>
      </c>
      <c r="H15686" s="41">
        <v>58.461410000000001</v>
      </c>
      <c r="I15686" s="221"/>
      <c r="J15686" s="221"/>
    </row>
    <row r="15687" spans="1:10" s="15" customFormat="1" ht="24" hidden="1" customHeight="1" outlineLevel="1" x14ac:dyDescent="0.25">
      <c r="A15687" s="18">
        <v>791</v>
      </c>
      <c r="B15687" s="4" t="s">
        <v>44</v>
      </c>
      <c r="C15687" s="38" t="s">
        <v>8649</v>
      </c>
      <c r="D15687" s="18">
        <v>2023</v>
      </c>
      <c r="E15687" s="18" t="s">
        <v>0</v>
      </c>
      <c r="F15687" s="41">
        <v>1</v>
      </c>
      <c r="G15687" s="41">
        <v>15</v>
      </c>
      <c r="H15687" s="41">
        <v>54.996339999999996</v>
      </c>
      <c r="I15687" s="221"/>
      <c r="J15687" s="221"/>
    </row>
    <row r="15688" spans="1:10" s="15" customFormat="1" ht="24" hidden="1" customHeight="1" outlineLevel="1" x14ac:dyDescent="0.25">
      <c r="A15688" s="18">
        <v>3355</v>
      </c>
      <c r="B15688" s="4" t="s">
        <v>44</v>
      </c>
      <c r="C15688" s="38" t="s">
        <v>8650</v>
      </c>
      <c r="D15688" s="18">
        <v>2023</v>
      </c>
      <c r="E15688" s="18" t="s">
        <v>0</v>
      </c>
      <c r="F15688" s="41">
        <v>1</v>
      </c>
      <c r="G15688" s="41">
        <v>45</v>
      </c>
      <c r="H15688" s="41">
        <v>67.018599999999992</v>
      </c>
      <c r="I15688" s="221"/>
      <c r="J15688" s="221"/>
    </row>
    <row r="15689" spans="1:10" s="15" customFormat="1" ht="24" hidden="1" customHeight="1" outlineLevel="1" x14ac:dyDescent="0.25">
      <c r="A15689" s="18">
        <v>3130</v>
      </c>
      <c r="B15689" s="4" t="s">
        <v>44</v>
      </c>
      <c r="C15689" s="38" t="s">
        <v>9147</v>
      </c>
      <c r="D15689" s="18">
        <v>2023</v>
      </c>
      <c r="E15689" s="18" t="s">
        <v>0</v>
      </c>
      <c r="F15689" s="41">
        <v>1</v>
      </c>
      <c r="G15689" s="41">
        <v>100</v>
      </c>
      <c r="H15689" s="41">
        <v>101.61922</v>
      </c>
      <c r="I15689" s="221"/>
      <c r="J15689" s="221"/>
    </row>
    <row r="15690" spans="1:10" s="15" customFormat="1" ht="24" hidden="1" customHeight="1" outlineLevel="1" x14ac:dyDescent="0.25">
      <c r="A15690" s="18">
        <v>3081</v>
      </c>
      <c r="B15690" s="4" t="s">
        <v>44</v>
      </c>
      <c r="C15690" s="38" t="s">
        <v>9082</v>
      </c>
      <c r="D15690" s="18">
        <v>2023</v>
      </c>
      <c r="E15690" s="18" t="s">
        <v>0</v>
      </c>
      <c r="F15690" s="41">
        <v>1</v>
      </c>
      <c r="G15690" s="41">
        <v>150</v>
      </c>
      <c r="H15690" s="41">
        <v>234.4699</v>
      </c>
      <c r="I15690" s="221"/>
      <c r="J15690" s="221"/>
    </row>
    <row r="15691" spans="1:10" s="15" customFormat="1" ht="24" hidden="1" customHeight="1" outlineLevel="1" x14ac:dyDescent="0.25">
      <c r="A15691" s="18">
        <v>1200</v>
      </c>
      <c r="B15691" s="4" t="s">
        <v>44</v>
      </c>
      <c r="C15691" s="38" t="s">
        <v>8651</v>
      </c>
      <c r="D15691" s="18">
        <v>2023</v>
      </c>
      <c r="E15691" s="18" t="s">
        <v>0</v>
      </c>
      <c r="F15691" s="41">
        <v>1</v>
      </c>
      <c r="G15691" s="41">
        <v>15</v>
      </c>
      <c r="H15691" s="41">
        <v>169.70015000000001</v>
      </c>
      <c r="I15691" s="221"/>
      <c r="J15691" s="221"/>
    </row>
    <row r="15692" spans="1:10" s="15" customFormat="1" ht="24" hidden="1" customHeight="1" outlineLevel="1" x14ac:dyDescent="0.25">
      <c r="A15692" s="18">
        <v>5512</v>
      </c>
      <c r="B15692" s="4" t="s">
        <v>44</v>
      </c>
      <c r="C15692" s="38" t="s">
        <v>9083</v>
      </c>
      <c r="D15692" s="18">
        <v>2023</v>
      </c>
      <c r="E15692" s="18" t="s">
        <v>0</v>
      </c>
      <c r="F15692" s="41">
        <v>2</v>
      </c>
      <c r="G15692" s="41">
        <v>138</v>
      </c>
      <c r="H15692" s="41">
        <v>343.14724000000001</v>
      </c>
      <c r="I15692" s="221"/>
      <c r="J15692" s="221"/>
    </row>
    <row r="15693" spans="1:10" s="15" customFormat="1" ht="24" hidden="1" customHeight="1" outlineLevel="1" x14ac:dyDescent="0.25">
      <c r="A15693" s="18">
        <v>3049</v>
      </c>
      <c r="B15693" s="4" t="s">
        <v>44</v>
      </c>
      <c r="C15693" s="38" t="s">
        <v>9148</v>
      </c>
      <c r="D15693" s="18">
        <v>2023</v>
      </c>
      <c r="E15693" s="18" t="s">
        <v>0</v>
      </c>
      <c r="F15693" s="41">
        <v>1</v>
      </c>
      <c r="G15693" s="41">
        <v>150</v>
      </c>
      <c r="H15693" s="41">
        <v>246.04230999999999</v>
      </c>
      <c r="I15693" s="221"/>
      <c r="J15693" s="221"/>
    </row>
    <row r="15694" spans="1:10" s="15" customFormat="1" ht="24" hidden="1" customHeight="1" outlineLevel="1" x14ac:dyDescent="0.25">
      <c r="A15694" s="18">
        <v>5024</v>
      </c>
      <c r="B15694" s="4" t="s">
        <v>44</v>
      </c>
      <c r="C15694" s="38" t="s">
        <v>8654</v>
      </c>
      <c r="D15694" s="18">
        <v>2023</v>
      </c>
      <c r="E15694" s="18" t="s">
        <v>0</v>
      </c>
      <c r="F15694" s="41">
        <v>1</v>
      </c>
      <c r="G15694" s="41">
        <v>15</v>
      </c>
      <c r="H15694" s="41">
        <v>66.126260000000002</v>
      </c>
      <c r="I15694" s="221"/>
      <c r="J15694" s="221"/>
    </row>
    <row r="15695" spans="1:10" s="15" customFormat="1" ht="24" hidden="1" customHeight="1" outlineLevel="1" x14ac:dyDescent="0.25">
      <c r="A15695" s="18">
        <v>2819</v>
      </c>
      <c r="B15695" s="4" t="s">
        <v>44</v>
      </c>
      <c r="C15695" s="38" t="s">
        <v>8655</v>
      </c>
      <c r="D15695" s="18">
        <v>2023</v>
      </c>
      <c r="E15695" s="18" t="s">
        <v>0</v>
      </c>
      <c r="F15695" s="41">
        <v>1</v>
      </c>
      <c r="G15695" s="41">
        <v>10</v>
      </c>
      <c r="H15695" s="41">
        <v>64.024900000000002</v>
      </c>
      <c r="I15695" s="221"/>
      <c r="J15695" s="221"/>
    </row>
    <row r="15696" spans="1:10" s="15" customFormat="1" ht="24" hidden="1" customHeight="1" outlineLevel="1" x14ac:dyDescent="0.25">
      <c r="A15696" s="18">
        <v>2984</v>
      </c>
      <c r="B15696" s="4" t="s">
        <v>44</v>
      </c>
      <c r="C15696" s="38" t="s">
        <v>8656</v>
      </c>
      <c r="D15696" s="18">
        <v>2023</v>
      </c>
      <c r="E15696" s="18" t="s">
        <v>0</v>
      </c>
      <c r="F15696" s="41">
        <v>1</v>
      </c>
      <c r="G15696" s="41">
        <v>30</v>
      </c>
      <c r="H15696" s="41">
        <v>76.77949000000001</v>
      </c>
      <c r="I15696" s="221"/>
      <c r="J15696" s="221"/>
    </row>
    <row r="15697" spans="1:10" s="15" customFormat="1" ht="24" hidden="1" customHeight="1" outlineLevel="1" x14ac:dyDescent="0.25">
      <c r="A15697" s="18">
        <v>2987</v>
      </c>
      <c r="B15697" s="4" t="s">
        <v>44</v>
      </c>
      <c r="C15697" s="38" t="s">
        <v>8657</v>
      </c>
      <c r="D15697" s="18">
        <v>2023</v>
      </c>
      <c r="E15697" s="18" t="s">
        <v>0</v>
      </c>
      <c r="F15697" s="41">
        <v>1</v>
      </c>
      <c r="G15697" s="41">
        <v>150</v>
      </c>
      <c r="H15697" s="41">
        <v>92.907149999999987</v>
      </c>
      <c r="I15697" s="221"/>
      <c r="J15697" s="221"/>
    </row>
    <row r="15698" spans="1:10" s="15" customFormat="1" ht="24" hidden="1" customHeight="1" outlineLevel="1" x14ac:dyDescent="0.25">
      <c r="A15698" s="18">
        <v>373</v>
      </c>
      <c r="B15698" s="4" t="s">
        <v>44</v>
      </c>
      <c r="C15698" s="38" t="s">
        <v>8658</v>
      </c>
      <c r="D15698" s="18">
        <v>2023</v>
      </c>
      <c r="E15698" s="18" t="s">
        <v>0</v>
      </c>
      <c r="F15698" s="41">
        <v>1</v>
      </c>
      <c r="G15698" s="41">
        <v>30</v>
      </c>
      <c r="H15698" s="41">
        <v>87.09939</v>
      </c>
      <c r="I15698" s="221"/>
      <c r="J15698" s="221"/>
    </row>
    <row r="15699" spans="1:10" s="15" customFormat="1" ht="24" hidden="1" customHeight="1" outlineLevel="1" x14ac:dyDescent="0.25">
      <c r="A15699" s="18">
        <v>5045</v>
      </c>
      <c r="B15699" s="4" t="s">
        <v>44</v>
      </c>
      <c r="C15699" s="38" t="s">
        <v>8659</v>
      </c>
      <c r="D15699" s="18">
        <v>2023</v>
      </c>
      <c r="E15699" s="18" t="s">
        <v>0</v>
      </c>
      <c r="F15699" s="41">
        <v>1</v>
      </c>
      <c r="G15699" s="41">
        <v>15</v>
      </c>
      <c r="H15699" s="41">
        <v>71.431489999999997</v>
      </c>
      <c r="I15699" s="221"/>
      <c r="J15699" s="221"/>
    </row>
    <row r="15700" spans="1:10" s="15" customFormat="1" ht="24" hidden="1" customHeight="1" outlineLevel="1" x14ac:dyDescent="0.25">
      <c r="A15700" s="18">
        <v>3951</v>
      </c>
      <c r="B15700" s="4" t="s">
        <v>44</v>
      </c>
      <c r="C15700" s="38" t="s">
        <v>8660</v>
      </c>
      <c r="D15700" s="18">
        <v>2023</v>
      </c>
      <c r="E15700" s="18" t="s">
        <v>0</v>
      </c>
      <c r="F15700" s="41">
        <v>1</v>
      </c>
      <c r="G15700" s="41">
        <v>15</v>
      </c>
      <c r="H15700" s="41">
        <v>70.159599999999998</v>
      </c>
      <c r="I15700" s="221"/>
      <c r="J15700" s="221"/>
    </row>
    <row r="15701" spans="1:10" s="15" customFormat="1" ht="24" hidden="1" customHeight="1" outlineLevel="1" x14ac:dyDescent="0.25">
      <c r="A15701" s="18">
        <v>649</v>
      </c>
      <c r="B15701" s="4" t="s">
        <v>44</v>
      </c>
      <c r="C15701" s="38" t="s">
        <v>8662</v>
      </c>
      <c r="D15701" s="18">
        <v>2023</v>
      </c>
      <c r="E15701" s="18" t="s">
        <v>0</v>
      </c>
      <c r="F15701" s="41">
        <v>1</v>
      </c>
      <c r="G15701" s="41">
        <v>25</v>
      </c>
      <c r="H15701" s="41">
        <v>59.82893</v>
      </c>
      <c r="I15701" s="221"/>
      <c r="J15701" s="221"/>
    </row>
    <row r="15702" spans="1:10" s="15" customFormat="1" ht="24" hidden="1" customHeight="1" outlineLevel="1" x14ac:dyDescent="0.25">
      <c r="A15702" s="18">
        <v>740</v>
      </c>
      <c r="B15702" s="4" t="s">
        <v>44</v>
      </c>
      <c r="C15702" s="38" t="s">
        <v>8663</v>
      </c>
      <c r="D15702" s="18">
        <v>2023</v>
      </c>
      <c r="E15702" s="18" t="s">
        <v>0</v>
      </c>
      <c r="F15702" s="41">
        <v>1</v>
      </c>
      <c r="G15702" s="41">
        <v>15</v>
      </c>
      <c r="H15702" s="41">
        <v>56.652210000000004</v>
      </c>
      <c r="I15702" s="221"/>
      <c r="J15702" s="221"/>
    </row>
    <row r="15703" spans="1:10" s="15" customFormat="1" ht="24" hidden="1" customHeight="1" outlineLevel="1" x14ac:dyDescent="0.25">
      <c r="A15703" s="18">
        <v>5745</v>
      </c>
      <c r="B15703" s="4" t="s">
        <v>44</v>
      </c>
      <c r="C15703" s="38" t="s">
        <v>13119</v>
      </c>
      <c r="D15703" s="18">
        <v>2023</v>
      </c>
      <c r="E15703" s="18" t="s">
        <v>0</v>
      </c>
      <c r="F15703" s="41">
        <v>1</v>
      </c>
      <c r="G15703" s="41">
        <v>399</v>
      </c>
      <c r="H15703" s="41">
        <v>61.144370000000002</v>
      </c>
      <c r="I15703" s="221"/>
      <c r="J15703" s="221"/>
    </row>
    <row r="15704" spans="1:10" s="15" customFormat="1" ht="24" hidden="1" customHeight="1" outlineLevel="1" x14ac:dyDescent="0.25">
      <c r="A15704" s="18">
        <v>5746</v>
      </c>
      <c r="B15704" s="4" t="s">
        <v>44</v>
      </c>
      <c r="C15704" s="38" t="s">
        <v>9085</v>
      </c>
      <c r="D15704" s="18">
        <v>2023</v>
      </c>
      <c r="E15704" s="18" t="s">
        <v>0</v>
      </c>
      <c r="F15704" s="41">
        <v>2</v>
      </c>
      <c r="G15704" s="41">
        <v>300</v>
      </c>
      <c r="H15704" s="41">
        <v>386.42379999999997</v>
      </c>
      <c r="I15704" s="221"/>
      <c r="J15704" s="221"/>
    </row>
    <row r="15705" spans="1:10" s="15" customFormat="1" ht="24" hidden="1" customHeight="1" outlineLevel="1" x14ac:dyDescent="0.25">
      <c r="A15705" s="18">
        <v>558</v>
      </c>
      <c r="B15705" s="4" t="s">
        <v>44</v>
      </c>
      <c r="C15705" s="38" t="s">
        <v>8665</v>
      </c>
      <c r="D15705" s="18">
        <v>2023</v>
      </c>
      <c r="E15705" s="18" t="s">
        <v>0</v>
      </c>
      <c r="F15705" s="41">
        <v>1</v>
      </c>
      <c r="G15705" s="41">
        <v>15</v>
      </c>
      <c r="H15705" s="41">
        <v>179.25695999999999</v>
      </c>
      <c r="I15705" s="221"/>
      <c r="J15705" s="221"/>
    </row>
    <row r="15706" spans="1:10" s="15" customFormat="1" ht="24" hidden="1" customHeight="1" outlineLevel="1" x14ac:dyDescent="0.25">
      <c r="A15706" s="18">
        <v>5753</v>
      </c>
      <c r="B15706" s="4" t="s">
        <v>44</v>
      </c>
      <c r="C15706" s="38" t="s">
        <v>13120</v>
      </c>
      <c r="D15706" s="18">
        <v>2023</v>
      </c>
      <c r="E15706" s="18" t="s">
        <v>0</v>
      </c>
      <c r="F15706" s="41">
        <v>1</v>
      </c>
      <c r="G15706" s="41">
        <v>15</v>
      </c>
      <c r="H15706" s="41">
        <v>37.119489999999999</v>
      </c>
      <c r="I15706" s="221"/>
      <c r="J15706" s="221"/>
    </row>
    <row r="15707" spans="1:10" s="15" customFormat="1" ht="24" hidden="1" customHeight="1" outlineLevel="1" x14ac:dyDescent="0.25">
      <c r="A15707" s="18">
        <v>2567</v>
      </c>
      <c r="B15707" s="4" t="s">
        <v>44</v>
      </c>
      <c r="C15707" s="38" t="s">
        <v>13121</v>
      </c>
      <c r="D15707" s="18">
        <v>2023</v>
      </c>
      <c r="E15707" s="18" t="s">
        <v>0</v>
      </c>
      <c r="F15707" s="41">
        <v>1</v>
      </c>
      <c r="G15707" s="41">
        <v>15</v>
      </c>
      <c r="H15707" s="41">
        <v>37.119500000000002</v>
      </c>
      <c r="I15707" s="221"/>
      <c r="J15707" s="221"/>
    </row>
    <row r="15708" spans="1:10" s="15" customFormat="1" ht="24" hidden="1" customHeight="1" outlineLevel="1" x14ac:dyDescent="0.25">
      <c r="A15708" s="18">
        <v>5756</v>
      </c>
      <c r="B15708" s="4" t="s">
        <v>44</v>
      </c>
      <c r="C15708" s="38" t="s">
        <v>13122</v>
      </c>
      <c r="D15708" s="18">
        <v>2023</v>
      </c>
      <c r="E15708" s="18" t="s">
        <v>0</v>
      </c>
      <c r="F15708" s="41">
        <v>1</v>
      </c>
      <c r="G15708" s="41">
        <v>15</v>
      </c>
      <c r="H15708" s="41">
        <v>37.119489999999999</v>
      </c>
      <c r="I15708" s="221"/>
      <c r="J15708" s="221"/>
    </row>
    <row r="15709" spans="1:10" s="15" customFormat="1" ht="24" hidden="1" customHeight="1" outlineLevel="1" x14ac:dyDescent="0.25">
      <c r="A15709" s="18">
        <v>5757</v>
      </c>
      <c r="B15709" s="4" t="s">
        <v>44</v>
      </c>
      <c r="C15709" s="38" t="s">
        <v>13123</v>
      </c>
      <c r="D15709" s="18">
        <v>2023</v>
      </c>
      <c r="E15709" s="18" t="s">
        <v>0</v>
      </c>
      <c r="F15709" s="41">
        <v>1</v>
      </c>
      <c r="G15709" s="41">
        <v>15</v>
      </c>
      <c r="H15709" s="41">
        <v>37.119489999999999</v>
      </c>
      <c r="I15709" s="221"/>
      <c r="J15709" s="221"/>
    </row>
    <row r="15710" spans="1:10" s="15" customFormat="1" ht="24" hidden="1" customHeight="1" outlineLevel="1" x14ac:dyDescent="0.25">
      <c r="A15710" s="18">
        <v>2505</v>
      </c>
      <c r="B15710" s="4" t="s">
        <v>44</v>
      </c>
      <c r="C15710" s="38" t="s">
        <v>13124</v>
      </c>
      <c r="D15710" s="18">
        <v>2023</v>
      </c>
      <c r="E15710" s="18" t="s">
        <v>0</v>
      </c>
      <c r="F15710" s="41">
        <v>1</v>
      </c>
      <c r="G15710" s="41">
        <v>15</v>
      </c>
      <c r="H15710" s="41">
        <v>37.605269999999997</v>
      </c>
      <c r="I15710" s="221"/>
      <c r="J15710" s="221"/>
    </row>
    <row r="15711" spans="1:10" s="15" customFormat="1" ht="24" hidden="1" customHeight="1" outlineLevel="1" x14ac:dyDescent="0.25">
      <c r="A15711" s="18">
        <v>5759</v>
      </c>
      <c r="B15711" s="4" t="s">
        <v>44</v>
      </c>
      <c r="C15711" s="38" t="s">
        <v>13125</v>
      </c>
      <c r="D15711" s="18">
        <v>2023</v>
      </c>
      <c r="E15711" s="18" t="s">
        <v>0</v>
      </c>
      <c r="F15711" s="41">
        <v>1</v>
      </c>
      <c r="G15711" s="41">
        <v>15</v>
      </c>
      <c r="H15711" s="41">
        <v>36.876620000000003</v>
      </c>
      <c r="I15711" s="221"/>
      <c r="J15711" s="221"/>
    </row>
    <row r="15712" spans="1:10" s="15" customFormat="1" ht="24" hidden="1" customHeight="1" outlineLevel="1" x14ac:dyDescent="0.25">
      <c r="A15712" s="18">
        <v>2455</v>
      </c>
      <c r="B15712" s="4" t="s">
        <v>44</v>
      </c>
      <c r="C15712" s="38" t="s">
        <v>13126</v>
      </c>
      <c r="D15712" s="18">
        <v>2023</v>
      </c>
      <c r="E15712" s="18" t="s">
        <v>0</v>
      </c>
      <c r="F15712" s="41">
        <v>1</v>
      </c>
      <c r="G15712" s="41">
        <v>8</v>
      </c>
      <c r="H15712" s="41">
        <v>37.119500000000002</v>
      </c>
      <c r="I15712" s="221"/>
      <c r="J15712" s="221"/>
    </row>
    <row r="15713" spans="1:10" s="15" customFormat="1" ht="24" hidden="1" customHeight="1" outlineLevel="1" x14ac:dyDescent="0.25">
      <c r="A15713" s="18">
        <v>5763</v>
      </c>
      <c r="B15713" s="4" t="s">
        <v>44</v>
      </c>
      <c r="C15713" s="38" t="s">
        <v>13127</v>
      </c>
      <c r="D15713" s="18">
        <v>2023</v>
      </c>
      <c r="E15713" s="18" t="s">
        <v>0</v>
      </c>
      <c r="F15713" s="41">
        <v>1</v>
      </c>
      <c r="G15713" s="41">
        <v>15</v>
      </c>
      <c r="H15713" s="41">
        <v>37.119489999999999</v>
      </c>
      <c r="I15713" s="221"/>
      <c r="J15713" s="221"/>
    </row>
    <row r="15714" spans="1:10" s="15" customFormat="1" ht="24" hidden="1" customHeight="1" outlineLevel="1" x14ac:dyDescent="0.25">
      <c r="A15714" s="18">
        <v>5766</v>
      </c>
      <c r="B15714" s="4" t="s">
        <v>44</v>
      </c>
      <c r="C15714" s="38" t="s">
        <v>13128</v>
      </c>
      <c r="D15714" s="18">
        <v>2023</v>
      </c>
      <c r="E15714" s="18" t="s">
        <v>0</v>
      </c>
      <c r="F15714" s="41">
        <v>1</v>
      </c>
      <c r="G15714" s="41">
        <v>15</v>
      </c>
      <c r="H15714" s="41">
        <v>37.119489999999999</v>
      </c>
      <c r="I15714" s="221"/>
      <c r="J15714" s="221"/>
    </row>
    <row r="15715" spans="1:10" s="15" customFormat="1" ht="24" hidden="1" customHeight="1" outlineLevel="1" x14ac:dyDescent="0.25">
      <c r="A15715" s="18">
        <v>5773</v>
      </c>
      <c r="B15715" s="4" t="s">
        <v>44</v>
      </c>
      <c r="C15715" s="38" t="s">
        <v>13129</v>
      </c>
      <c r="D15715" s="18">
        <v>2023</v>
      </c>
      <c r="E15715" s="18" t="s">
        <v>0</v>
      </c>
      <c r="F15715" s="41">
        <v>1</v>
      </c>
      <c r="G15715" s="41">
        <v>15</v>
      </c>
      <c r="H15715" s="41">
        <v>36.003160000000008</v>
      </c>
      <c r="I15715" s="221"/>
      <c r="J15715" s="221"/>
    </row>
    <row r="15716" spans="1:10" s="15" customFormat="1" ht="24" hidden="1" customHeight="1" outlineLevel="1" x14ac:dyDescent="0.25">
      <c r="A15716" s="18">
        <v>1995</v>
      </c>
      <c r="B15716" s="4" t="s">
        <v>44</v>
      </c>
      <c r="C15716" s="38" t="s">
        <v>13130</v>
      </c>
      <c r="D15716" s="18">
        <v>2023</v>
      </c>
      <c r="E15716" s="18" t="s">
        <v>0</v>
      </c>
      <c r="F15716" s="41">
        <v>1</v>
      </c>
      <c r="G15716" s="41">
        <v>5</v>
      </c>
      <c r="H15716" s="41">
        <v>36.76737</v>
      </c>
      <c r="I15716" s="221"/>
      <c r="J15716" s="221"/>
    </row>
    <row r="15717" spans="1:10" s="15" customFormat="1" ht="24" hidden="1" customHeight="1" outlineLevel="1" x14ac:dyDescent="0.25">
      <c r="A15717" s="18">
        <v>5783</v>
      </c>
      <c r="B15717" s="4" t="s">
        <v>44</v>
      </c>
      <c r="C15717" s="38" t="s">
        <v>13131</v>
      </c>
      <c r="D15717" s="18">
        <v>2023</v>
      </c>
      <c r="E15717" s="18" t="s">
        <v>0</v>
      </c>
      <c r="F15717" s="41">
        <v>1</v>
      </c>
      <c r="G15717" s="41">
        <v>15</v>
      </c>
      <c r="H15717" s="41">
        <v>37.10277</v>
      </c>
      <c r="I15717" s="221"/>
      <c r="J15717" s="221"/>
    </row>
    <row r="15718" spans="1:10" s="15" customFormat="1" ht="24" hidden="1" customHeight="1" outlineLevel="1" x14ac:dyDescent="0.25">
      <c r="A15718" s="18">
        <v>5784</v>
      </c>
      <c r="B15718" s="4" t="s">
        <v>44</v>
      </c>
      <c r="C15718" s="38" t="s">
        <v>13132</v>
      </c>
      <c r="D15718" s="18">
        <v>2023</v>
      </c>
      <c r="E15718" s="18" t="s">
        <v>0</v>
      </c>
      <c r="F15718" s="41">
        <v>1</v>
      </c>
      <c r="G15718" s="41">
        <v>15</v>
      </c>
      <c r="H15718" s="41">
        <v>37.10277</v>
      </c>
      <c r="I15718" s="221"/>
      <c r="J15718" s="221"/>
    </row>
    <row r="15719" spans="1:10" s="15" customFormat="1" ht="24" hidden="1" customHeight="1" outlineLevel="1" x14ac:dyDescent="0.25">
      <c r="A15719" s="18">
        <v>5785</v>
      </c>
      <c r="B15719" s="4" t="s">
        <v>44</v>
      </c>
      <c r="C15719" s="38" t="s">
        <v>13133</v>
      </c>
      <c r="D15719" s="18">
        <v>2023</v>
      </c>
      <c r="E15719" s="18" t="s">
        <v>0</v>
      </c>
      <c r="F15719" s="41">
        <v>1</v>
      </c>
      <c r="G15719" s="41">
        <v>15</v>
      </c>
      <c r="H15719" s="41">
        <v>37.10277</v>
      </c>
      <c r="I15719" s="221"/>
      <c r="J15719" s="221"/>
    </row>
    <row r="15720" spans="1:10" s="15" customFormat="1" ht="24" hidden="1" customHeight="1" outlineLevel="1" x14ac:dyDescent="0.25">
      <c r="A15720" s="18">
        <v>2829</v>
      </c>
      <c r="B15720" s="4" t="s">
        <v>44</v>
      </c>
      <c r="C15720" s="38" t="s">
        <v>8666</v>
      </c>
      <c r="D15720" s="18">
        <v>2023</v>
      </c>
      <c r="E15720" s="18" t="s">
        <v>0</v>
      </c>
      <c r="F15720" s="41">
        <v>1</v>
      </c>
      <c r="G15720" s="41">
        <v>20</v>
      </c>
      <c r="H15720" s="41">
        <v>65.581459999999993</v>
      </c>
      <c r="I15720" s="221"/>
      <c r="J15720" s="221"/>
    </row>
    <row r="15721" spans="1:10" s="15" customFormat="1" ht="24" hidden="1" customHeight="1" outlineLevel="1" x14ac:dyDescent="0.25">
      <c r="A15721" s="18">
        <v>295</v>
      </c>
      <c r="B15721" s="4" t="s">
        <v>44</v>
      </c>
      <c r="C15721" s="38" t="s">
        <v>8667</v>
      </c>
      <c r="D15721" s="18">
        <v>2023</v>
      </c>
      <c r="E15721" s="18" t="s">
        <v>0</v>
      </c>
      <c r="F15721" s="41">
        <v>1</v>
      </c>
      <c r="G15721" s="41">
        <v>10</v>
      </c>
      <c r="H15721" s="41">
        <v>79.754850000000005</v>
      </c>
      <c r="I15721" s="221"/>
      <c r="J15721" s="221"/>
    </row>
    <row r="15722" spans="1:10" s="15" customFormat="1" ht="24" hidden="1" customHeight="1" outlineLevel="1" x14ac:dyDescent="0.25">
      <c r="A15722" s="18">
        <v>333</v>
      </c>
      <c r="B15722" s="4" t="s">
        <v>44</v>
      </c>
      <c r="C15722" s="38" t="s">
        <v>8668</v>
      </c>
      <c r="D15722" s="18">
        <v>2023</v>
      </c>
      <c r="E15722" s="18" t="s">
        <v>0</v>
      </c>
      <c r="F15722" s="41">
        <v>1</v>
      </c>
      <c r="G15722" s="41">
        <v>15</v>
      </c>
      <c r="H15722" s="41">
        <v>59.792989999999996</v>
      </c>
      <c r="I15722" s="221"/>
      <c r="J15722" s="221"/>
    </row>
    <row r="15723" spans="1:10" s="15" customFormat="1" ht="24" hidden="1" customHeight="1" outlineLevel="1" x14ac:dyDescent="0.25">
      <c r="A15723" s="18">
        <v>323</v>
      </c>
      <c r="B15723" s="4" t="s">
        <v>44</v>
      </c>
      <c r="C15723" s="38" t="s">
        <v>8669</v>
      </c>
      <c r="D15723" s="18">
        <v>2023</v>
      </c>
      <c r="E15723" s="18" t="s">
        <v>0</v>
      </c>
      <c r="F15723" s="41">
        <v>1</v>
      </c>
      <c r="G15723" s="41">
        <v>15</v>
      </c>
      <c r="H15723" s="41">
        <v>66.702830000000006</v>
      </c>
      <c r="I15723" s="221"/>
      <c r="J15723" s="221"/>
    </row>
    <row r="15724" spans="1:10" s="15" customFormat="1" ht="24" hidden="1" customHeight="1" outlineLevel="1" x14ac:dyDescent="0.25">
      <c r="A15724" s="18">
        <v>2996</v>
      </c>
      <c r="B15724" s="4" t="s">
        <v>44</v>
      </c>
      <c r="C15724" s="38" t="s">
        <v>8670</v>
      </c>
      <c r="D15724" s="18">
        <v>2023</v>
      </c>
      <c r="E15724" s="18" t="s">
        <v>0</v>
      </c>
      <c r="F15724" s="41">
        <v>1</v>
      </c>
      <c r="G15724" s="41">
        <v>150</v>
      </c>
      <c r="H15724" s="41">
        <v>50</v>
      </c>
      <c r="I15724" s="221"/>
      <c r="J15724" s="221"/>
    </row>
    <row r="15725" spans="1:10" s="15" customFormat="1" ht="24" hidden="1" customHeight="1" outlineLevel="1" x14ac:dyDescent="0.25">
      <c r="A15725" s="18">
        <v>425</v>
      </c>
      <c r="B15725" s="4" t="s">
        <v>44</v>
      </c>
      <c r="C15725" s="38" t="s">
        <v>8671</v>
      </c>
      <c r="D15725" s="18">
        <v>2023</v>
      </c>
      <c r="E15725" s="18" t="s">
        <v>0</v>
      </c>
      <c r="F15725" s="41">
        <v>1</v>
      </c>
      <c r="G15725" s="41">
        <v>45</v>
      </c>
      <c r="H15725" s="41">
        <v>184.00910000000002</v>
      </c>
      <c r="I15725" s="221"/>
      <c r="J15725" s="221"/>
    </row>
    <row r="15726" spans="1:10" s="15" customFormat="1" ht="24" hidden="1" customHeight="1" outlineLevel="1" x14ac:dyDescent="0.25">
      <c r="A15726" s="18">
        <v>5042</v>
      </c>
      <c r="B15726" s="4" t="s">
        <v>44</v>
      </c>
      <c r="C15726" s="38" t="s">
        <v>8672</v>
      </c>
      <c r="D15726" s="18">
        <v>2023</v>
      </c>
      <c r="E15726" s="18" t="s">
        <v>0</v>
      </c>
      <c r="F15726" s="41">
        <v>1</v>
      </c>
      <c r="G15726" s="41">
        <v>150</v>
      </c>
      <c r="H15726" s="41">
        <v>102.13503999999999</v>
      </c>
      <c r="I15726" s="221"/>
      <c r="J15726" s="221"/>
    </row>
    <row r="15727" spans="1:10" s="15" customFormat="1" ht="24" hidden="1" customHeight="1" outlineLevel="1" x14ac:dyDescent="0.25">
      <c r="A15727" s="18">
        <v>482</v>
      </c>
      <c r="B15727" s="4" t="s">
        <v>44</v>
      </c>
      <c r="C15727" s="38" t="s">
        <v>8673</v>
      </c>
      <c r="D15727" s="18">
        <v>2023</v>
      </c>
      <c r="E15727" s="18" t="s">
        <v>0</v>
      </c>
      <c r="F15727" s="41">
        <v>1</v>
      </c>
      <c r="G15727" s="41">
        <v>12</v>
      </c>
      <c r="H15727" s="41">
        <v>68.391110000000012</v>
      </c>
      <c r="I15727" s="221"/>
      <c r="J15727" s="221"/>
    </row>
    <row r="15728" spans="1:10" s="15" customFormat="1" ht="24" hidden="1" customHeight="1" outlineLevel="1" x14ac:dyDescent="0.25">
      <c r="A15728" s="18">
        <v>467</v>
      </c>
      <c r="B15728" s="4" t="s">
        <v>44</v>
      </c>
      <c r="C15728" s="38" t="s">
        <v>8674</v>
      </c>
      <c r="D15728" s="18">
        <v>2023</v>
      </c>
      <c r="E15728" s="18" t="s">
        <v>0</v>
      </c>
      <c r="F15728" s="41">
        <v>1</v>
      </c>
      <c r="G15728" s="41">
        <v>18</v>
      </c>
      <c r="H15728" s="41">
        <v>67.754480000000001</v>
      </c>
      <c r="I15728" s="221"/>
      <c r="J15728" s="221"/>
    </row>
    <row r="15729" spans="1:10" s="15" customFormat="1" ht="24" hidden="1" customHeight="1" outlineLevel="1" x14ac:dyDescent="0.25">
      <c r="A15729" s="18">
        <v>5056</v>
      </c>
      <c r="B15729" s="4" t="s">
        <v>44</v>
      </c>
      <c r="C15729" s="38" t="s">
        <v>8676</v>
      </c>
      <c r="D15729" s="18">
        <v>2023</v>
      </c>
      <c r="E15729" s="18" t="s">
        <v>0</v>
      </c>
      <c r="F15729" s="41">
        <v>1</v>
      </c>
      <c r="G15729" s="41">
        <v>15</v>
      </c>
      <c r="H15729" s="41">
        <v>58.665309999999998</v>
      </c>
      <c r="I15729" s="221"/>
      <c r="J15729" s="221"/>
    </row>
    <row r="15730" spans="1:10" s="15" customFormat="1" ht="24" hidden="1" customHeight="1" outlineLevel="1" x14ac:dyDescent="0.25">
      <c r="A15730" s="18">
        <v>3028</v>
      </c>
      <c r="B15730" s="4" t="s">
        <v>44</v>
      </c>
      <c r="C15730" s="38" t="s">
        <v>8677</v>
      </c>
      <c r="D15730" s="18">
        <v>2023</v>
      </c>
      <c r="E15730" s="18" t="s">
        <v>0</v>
      </c>
      <c r="F15730" s="41">
        <v>1</v>
      </c>
      <c r="G15730" s="41">
        <v>50</v>
      </c>
      <c r="H15730" s="41">
        <v>86.311030000000002</v>
      </c>
      <c r="I15730" s="221"/>
      <c r="J15730" s="221"/>
    </row>
    <row r="15731" spans="1:10" s="15" customFormat="1" ht="24" hidden="1" customHeight="1" outlineLevel="1" x14ac:dyDescent="0.25">
      <c r="A15731" s="18">
        <v>1028</v>
      </c>
      <c r="B15731" s="4" t="s">
        <v>44</v>
      </c>
      <c r="C15731" s="38" t="s">
        <v>8678</v>
      </c>
      <c r="D15731" s="18">
        <v>2023</v>
      </c>
      <c r="E15731" s="18" t="s">
        <v>0</v>
      </c>
      <c r="F15731" s="41">
        <v>1</v>
      </c>
      <c r="G15731" s="41">
        <v>15</v>
      </c>
      <c r="H15731" s="41">
        <v>69.659929999999989</v>
      </c>
      <c r="I15731" s="221"/>
      <c r="J15731" s="221"/>
    </row>
    <row r="15732" spans="1:10" s="15" customFormat="1" ht="24" hidden="1" customHeight="1" outlineLevel="1" x14ac:dyDescent="0.25">
      <c r="A15732" s="18">
        <v>2257</v>
      </c>
      <c r="B15732" s="4" t="s">
        <v>44</v>
      </c>
      <c r="C15732" s="38" t="s">
        <v>8679</v>
      </c>
      <c r="D15732" s="18">
        <v>2023</v>
      </c>
      <c r="E15732" s="18" t="s">
        <v>0</v>
      </c>
      <c r="F15732" s="41">
        <v>1</v>
      </c>
      <c r="G15732" s="41">
        <v>12</v>
      </c>
      <c r="H15732" s="41">
        <v>158.76053999999999</v>
      </c>
      <c r="I15732" s="221"/>
      <c r="J15732" s="221"/>
    </row>
    <row r="15733" spans="1:10" s="15" customFormat="1" ht="24" hidden="1" customHeight="1" outlineLevel="1" x14ac:dyDescent="0.25">
      <c r="A15733" s="18">
        <v>5800</v>
      </c>
      <c r="B15733" s="4" t="s">
        <v>44</v>
      </c>
      <c r="C15733" s="38" t="s">
        <v>9149</v>
      </c>
      <c r="D15733" s="18">
        <v>2023</v>
      </c>
      <c r="E15733" s="18" t="s">
        <v>0</v>
      </c>
      <c r="F15733" s="41">
        <v>1</v>
      </c>
      <c r="G15733" s="41">
        <v>100</v>
      </c>
      <c r="H15733" s="41">
        <v>205.05239</v>
      </c>
      <c r="I15733" s="221"/>
      <c r="J15733" s="221"/>
    </row>
    <row r="15734" spans="1:10" s="15" customFormat="1" ht="24" hidden="1" customHeight="1" outlineLevel="1" x14ac:dyDescent="0.25">
      <c r="A15734" s="18">
        <v>5799</v>
      </c>
      <c r="B15734" s="4" t="s">
        <v>44</v>
      </c>
      <c r="C15734" s="38" t="s">
        <v>13134</v>
      </c>
      <c r="D15734" s="18">
        <v>2023</v>
      </c>
      <c r="E15734" s="18" t="s">
        <v>0</v>
      </c>
      <c r="F15734" s="41">
        <v>1</v>
      </c>
      <c r="G15734" s="41">
        <v>80</v>
      </c>
      <c r="H15734" s="41">
        <v>41.16527</v>
      </c>
      <c r="I15734" s="221"/>
      <c r="J15734" s="221"/>
    </row>
    <row r="15735" spans="1:10" s="15" customFormat="1" ht="24" hidden="1" customHeight="1" outlineLevel="1" x14ac:dyDescent="0.25">
      <c r="A15735" s="18">
        <v>1852</v>
      </c>
      <c r="B15735" s="4" t="s">
        <v>44</v>
      </c>
      <c r="C15735" s="38" t="s">
        <v>13135</v>
      </c>
      <c r="D15735" s="18">
        <v>2023</v>
      </c>
      <c r="E15735" s="18" t="s">
        <v>0</v>
      </c>
      <c r="F15735" s="41">
        <v>1</v>
      </c>
      <c r="G15735" s="41">
        <v>5</v>
      </c>
      <c r="H15735" s="41">
        <v>37.919129999999996</v>
      </c>
      <c r="I15735" s="221"/>
      <c r="J15735" s="221"/>
    </row>
    <row r="15736" spans="1:10" s="15" customFormat="1" ht="24" hidden="1" customHeight="1" outlineLevel="1" x14ac:dyDescent="0.25">
      <c r="A15736" s="18">
        <v>5803</v>
      </c>
      <c r="B15736" s="4" t="s">
        <v>44</v>
      </c>
      <c r="C15736" s="38" t="s">
        <v>13136</v>
      </c>
      <c r="D15736" s="18">
        <v>2023</v>
      </c>
      <c r="E15736" s="18" t="s">
        <v>0</v>
      </c>
      <c r="F15736" s="41">
        <v>1</v>
      </c>
      <c r="G15736" s="41">
        <v>45</v>
      </c>
      <c r="H15736" s="41">
        <v>37.32638</v>
      </c>
      <c r="I15736" s="221"/>
      <c r="J15736" s="221"/>
    </row>
    <row r="15737" spans="1:10" s="15" customFormat="1" ht="24" hidden="1" customHeight="1" outlineLevel="1" x14ac:dyDescent="0.25">
      <c r="A15737" s="18">
        <v>2596</v>
      </c>
      <c r="B15737" s="4" t="s">
        <v>44</v>
      </c>
      <c r="C15737" s="38" t="s">
        <v>13137</v>
      </c>
      <c r="D15737" s="18">
        <v>2023</v>
      </c>
      <c r="E15737" s="18" t="s">
        <v>0</v>
      </c>
      <c r="F15737" s="41">
        <v>1</v>
      </c>
      <c r="G15737" s="41">
        <v>7</v>
      </c>
      <c r="H15737" s="41">
        <v>37.919129999999996</v>
      </c>
      <c r="I15737" s="221"/>
      <c r="J15737" s="221"/>
    </row>
    <row r="15738" spans="1:10" s="15" customFormat="1" ht="24" hidden="1" customHeight="1" outlineLevel="1" x14ac:dyDescent="0.25">
      <c r="A15738" s="18">
        <v>5804</v>
      </c>
      <c r="B15738" s="4" t="s">
        <v>44</v>
      </c>
      <c r="C15738" s="38" t="s">
        <v>13138</v>
      </c>
      <c r="D15738" s="18">
        <v>2023</v>
      </c>
      <c r="E15738" s="18" t="s">
        <v>0</v>
      </c>
      <c r="F15738" s="41">
        <v>1</v>
      </c>
      <c r="G15738" s="41">
        <v>16</v>
      </c>
      <c r="H15738" s="41">
        <v>39.966929999999998</v>
      </c>
      <c r="I15738" s="221"/>
      <c r="J15738" s="221"/>
    </row>
    <row r="15739" spans="1:10" s="15" customFormat="1" ht="24" hidden="1" customHeight="1" outlineLevel="1" x14ac:dyDescent="0.25">
      <c r="A15739" s="18">
        <v>5805</v>
      </c>
      <c r="B15739" s="4" t="s">
        <v>44</v>
      </c>
      <c r="C15739" s="38" t="s">
        <v>13139</v>
      </c>
      <c r="D15739" s="18">
        <v>2023</v>
      </c>
      <c r="E15739" s="18" t="s">
        <v>0</v>
      </c>
      <c r="F15739" s="41">
        <v>1</v>
      </c>
      <c r="G15739" s="41">
        <v>24</v>
      </c>
      <c r="H15739" s="41">
        <v>39.96716</v>
      </c>
      <c r="I15739" s="221"/>
      <c r="J15739" s="221"/>
    </row>
    <row r="15740" spans="1:10" s="15" customFormat="1" ht="24" hidden="1" customHeight="1" outlineLevel="1" x14ac:dyDescent="0.25">
      <c r="A15740" s="18">
        <v>1856</v>
      </c>
      <c r="B15740" s="4" t="s">
        <v>44</v>
      </c>
      <c r="C15740" s="38" t="s">
        <v>13140</v>
      </c>
      <c r="D15740" s="18">
        <v>2023</v>
      </c>
      <c r="E15740" s="18" t="s">
        <v>0</v>
      </c>
      <c r="F15740" s="41">
        <v>1</v>
      </c>
      <c r="G15740" s="41">
        <v>5</v>
      </c>
      <c r="H15740" s="41">
        <v>36.056669999999997</v>
      </c>
      <c r="I15740" s="221"/>
      <c r="J15740" s="221"/>
    </row>
    <row r="15741" spans="1:10" s="15" customFormat="1" ht="24" hidden="1" customHeight="1" outlineLevel="1" x14ac:dyDescent="0.25">
      <c r="A15741" s="18">
        <v>5806</v>
      </c>
      <c r="B15741" s="4" t="s">
        <v>44</v>
      </c>
      <c r="C15741" s="38" t="s">
        <v>13141</v>
      </c>
      <c r="D15741" s="18">
        <v>2023</v>
      </c>
      <c r="E15741" s="18" t="s">
        <v>0</v>
      </c>
      <c r="F15741" s="41">
        <v>1</v>
      </c>
      <c r="G15741" s="41">
        <v>7</v>
      </c>
      <c r="H15741" s="41">
        <v>36.056669999999997</v>
      </c>
      <c r="I15741" s="221"/>
      <c r="J15741" s="221"/>
    </row>
    <row r="15742" spans="1:10" s="15" customFormat="1" ht="24" hidden="1" customHeight="1" outlineLevel="1" x14ac:dyDescent="0.25">
      <c r="A15742" s="18">
        <v>2001</v>
      </c>
      <c r="B15742" s="4" t="s">
        <v>44</v>
      </c>
      <c r="C15742" s="38" t="s">
        <v>13142</v>
      </c>
      <c r="D15742" s="18">
        <v>2023</v>
      </c>
      <c r="E15742" s="18" t="s">
        <v>0</v>
      </c>
      <c r="F15742" s="41">
        <v>1</v>
      </c>
      <c r="G15742" s="41">
        <v>7</v>
      </c>
      <c r="H15742" s="41">
        <v>36.056660000000001</v>
      </c>
      <c r="I15742" s="221"/>
      <c r="J15742" s="221"/>
    </row>
    <row r="15743" spans="1:10" s="15" customFormat="1" ht="24" hidden="1" customHeight="1" outlineLevel="1" x14ac:dyDescent="0.25">
      <c r="A15743" s="18">
        <v>2044</v>
      </c>
      <c r="B15743" s="4" t="s">
        <v>44</v>
      </c>
      <c r="C15743" s="38" t="s">
        <v>13143</v>
      </c>
      <c r="D15743" s="18">
        <v>2023</v>
      </c>
      <c r="E15743" s="18" t="s">
        <v>0</v>
      </c>
      <c r="F15743" s="41">
        <v>1</v>
      </c>
      <c r="G15743" s="41">
        <v>5</v>
      </c>
      <c r="H15743" s="41">
        <v>36.056660000000001</v>
      </c>
      <c r="I15743" s="221"/>
      <c r="J15743" s="221"/>
    </row>
    <row r="15744" spans="1:10" s="15" customFormat="1" ht="24" hidden="1" customHeight="1" outlineLevel="1" x14ac:dyDescent="0.25">
      <c r="A15744" s="18">
        <v>1899</v>
      </c>
      <c r="B15744" s="4" t="s">
        <v>44</v>
      </c>
      <c r="C15744" s="38" t="s">
        <v>13144</v>
      </c>
      <c r="D15744" s="18">
        <v>2023</v>
      </c>
      <c r="E15744" s="18" t="s">
        <v>0</v>
      </c>
      <c r="F15744" s="41">
        <v>1</v>
      </c>
      <c r="G15744" s="41">
        <v>15</v>
      </c>
      <c r="H15744" s="41">
        <v>36.109790000000004</v>
      </c>
      <c r="I15744" s="221"/>
      <c r="J15744" s="221"/>
    </row>
    <row r="15745" spans="1:10" s="15" customFormat="1" ht="24" hidden="1" customHeight="1" outlineLevel="1" x14ac:dyDescent="0.25">
      <c r="A15745" s="18">
        <v>5820</v>
      </c>
      <c r="B15745" s="4" t="s">
        <v>44</v>
      </c>
      <c r="C15745" s="38" t="s">
        <v>13145</v>
      </c>
      <c r="D15745" s="18">
        <v>2023</v>
      </c>
      <c r="E15745" s="18" t="s">
        <v>0</v>
      </c>
      <c r="F15745" s="41">
        <v>1</v>
      </c>
      <c r="G15745" s="41">
        <v>15</v>
      </c>
      <c r="H15745" s="41">
        <v>35.854910000000004</v>
      </c>
      <c r="I15745" s="221"/>
      <c r="J15745" s="221"/>
    </row>
    <row r="15746" spans="1:10" s="15" customFormat="1" ht="24" hidden="1" customHeight="1" outlineLevel="1" x14ac:dyDescent="0.25">
      <c r="A15746" s="18">
        <v>5821</v>
      </c>
      <c r="B15746" s="4" t="s">
        <v>44</v>
      </c>
      <c r="C15746" s="38" t="s">
        <v>13146</v>
      </c>
      <c r="D15746" s="18">
        <v>2023</v>
      </c>
      <c r="E15746" s="18" t="s">
        <v>0</v>
      </c>
      <c r="F15746" s="41">
        <v>1</v>
      </c>
      <c r="G15746" s="41">
        <v>15</v>
      </c>
      <c r="H15746" s="41">
        <v>35.103519999999996</v>
      </c>
      <c r="I15746" s="221"/>
      <c r="J15746" s="221"/>
    </row>
    <row r="15747" spans="1:10" s="15" customFormat="1" ht="24" hidden="1" customHeight="1" outlineLevel="1" x14ac:dyDescent="0.25">
      <c r="A15747" s="18">
        <v>1998</v>
      </c>
      <c r="B15747" s="4" t="s">
        <v>44</v>
      </c>
      <c r="C15747" s="38" t="s">
        <v>13147</v>
      </c>
      <c r="D15747" s="18">
        <v>2023</v>
      </c>
      <c r="E15747" s="18" t="s">
        <v>0</v>
      </c>
      <c r="F15747" s="41">
        <v>1</v>
      </c>
      <c r="G15747" s="41">
        <v>5</v>
      </c>
      <c r="H15747" s="41">
        <v>35.103519999999996</v>
      </c>
      <c r="I15747" s="221"/>
      <c r="J15747" s="221"/>
    </row>
    <row r="15748" spans="1:10" s="15" customFormat="1" ht="24" hidden="1" customHeight="1" outlineLevel="1" x14ac:dyDescent="0.25">
      <c r="A15748" s="18">
        <v>5822</v>
      </c>
      <c r="B15748" s="4" t="s">
        <v>44</v>
      </c>
      <c r="C15748" s="38" t="s">
        <v>13148</v>
      </c>
      <c r="D15748" s="18">
        <v>2023</v>
      </c>
      <c r="E15748" s="18" t="s">
        <v>0</v>
      </c>
      <c r="F15748" s="41">
        <v>1</v>
      </c>
      <c r="G15748" s="41">
        <v>15</v>
      </c>
      <c r="H15748" s="41">
        <v>35.103379999999994</v>
      </c>
      <c r="I15748" s="221"/>
      <c r="J15748" s="221"/>
    </row>
    <row r="15749" spans="1:10" s="15" customFormat="1" ht="24" hidden="1" customHeight="1" outlineLevel="1" x14ac:dyDescent="0.25">
      <c r="A15749" s="18">
        <v>5835</v>
      </c>
      <c r="B15749" s="4" t="s">
        <v>44</v>
      </c>
      <c r="C15749" s="38" t="s">
        <v>13149</v>
      </c>
      <c r="D15749" s="18">
        <v>2023</v>
      </c>
      <c r="E15749" s="18" t="s">
        <v>0</v>
      </c>
      <c r="F15749" s="41">
        <v>1</v>
      </c>
      <c r="G15749" s="41">
        <v>10</v>
      </c>
      <c r="H15749" s="41">
        <v>35.180289999999999</v>
      </c>
      <c r="I15749" s="221"/>
      <c r="J15749" s="221"/>
    </row>
    <row r="15750" spans="1:10" s="15" customFormat="1" ht="24" hidden="1" customHeight="1" outlineLevel="1" x14ac:dyDescent="0.25">
      <c r="A15750" s="18">
        <v>5841</v>
      </c>
      <c r="B15750" s="4" t="s">
        <v>44</v>
      </c>
      <c r="C15750" s="38" t="s">
        <v>13150</v>
      </c>
      <c r="D15750" s="18">
        <v>2023</v>
      </c>
      <c r="E15750" s="18" t="s">
        <v>0</v>
      </c>
      <c r="F15750" s="41">
        <v>1</v>
      </c>
      <c r="G15750" s="41">
        <v>15</v>
      </c>
      <c r="H15750" s="41">
        <v>35.024720000000002</v>
      </c>
      <c r="I15750" s="221"/>
      <c r="J15750" s="221"/>
    </row>
    <row r="15751" spans="1:10" s="15" customFormat="1" ht="24" hidden="1" customHeight="1" outlineLevel="1" x14ac:dyDescent="0.25">
      <c r="A15751" s="18">
        <v>3997</v>
      </c>
      <c r="B15751" s="4" t="s">
        <v>44</v>
      </c>
      <c r="C15751" s="38" t="s">
        <v>8680</v>
      </c>
      <c r="D15751" s="18">
        <v>2023</v>
      </c>
      <c r="E15751" s="18" t="s">
        <v>0</v>
      </c>
      <c r="F15751" s="41">
        <v>1</v>
      </c>
      <c r="G15751" s="41">
        <v>25</v>
      </c>
      <c r="H15751" s="41">
        <v>71.045010000000005</v>
      </c>
      <c r="I15751" s="221"/>
      <c r="J15751" s="221"/>
    </row>
    <row r="15752" spans="1:10" s="15" customFormat="1" ht="24" hidden="1" customHeight="1" outlineLevel="1" x14ac:dyDescent="0.25">
      <c r="A15752" s="18">
        <v>3916</v>
      </c>
      <c r="B15752" s="4" t="s">
        <v>44</v>
      </c>
      <c r="C15752" s="38" t="s">
        <v>8681</v>
      </c>
      <c r="D15752" s="18">
        <v>2023</v>
      </c>
      <c r="E15752" s="18" t="s">
        <v>0</v>
      </c>
      <c r="F15752" s="41">
        <v>2</v>
      </c>
      <c r="G15752" s="41">
        <v>28</v>
      </c>
      <c r="H15752" s="41">
        <v>78.278120000000001</v>
      </c>
      <c r="I15752" s="221"/>
      <c r="J15752" s="221"/>
    </row>
    <row r="15753" spans="1:10" s="15" customFormat="1" ht="24" hidden="1" customHeight="1" outlineLevel="1" x14ac:dyDescent="0.25">
      <c r="A15753" s="18">
        <v>3025</v>
      </c>
      <c r="B15753" s="4" t="s">
        <v>44</v>
      </c>
      <c r="C15753" s="38" t="s">
        <v>9086</v>
      </c>
      <c r="D15753" s="18">
        <v>2023</v>
      </c>
      <c r="E15753" s="18" t="s">
        <v>0</v>
      </c>
      <c r="F15753" s="41">
        <v>2</v>
      </c>
      <c r="G15753" s="41">
        <v>50</v>
      </c>
      <c r="H15753" s="41">
        <v>107.3725</v>
      </c>
      <c r="I15753" s="221"/>
      <c r="J15753" s="221"/>
    </row>
    <row r="15754" spans="1:10" s="15" customFormat="1" ht="24" hidden="1" customHeight="1" outlineLevel="1" x14ac:dyDescent="0.25">
      <c r="A15754" s="18">
        <v>925</v>
      </c>
      <c r="B15754" s="4" t="s">
        <v>44</v>
      </c>
      <c r="C15754" s="38" t="s">
        <v>8682</v>
      </c>
      <c r="D15754" s="18">
        <v>2023</v>
      </c>
      <c r="E15754" s="18" t="s">
        <v>0</v>
      </c>
      <c r="F15754" s="41">
        <v>1</v>
      </c>
      <c r="G15754" s="41">
        <v>7</v>
      </c>
      <c r="H15754" s="41">
        <v>63.438999999999993</v>
      </c>
      <c r="I15754" s="221"/>
      <c r="J15754" s="221"/>
    </row>
    <row r="15755" spans="1:10" s="15" customFormat="1" ht="24" hidden="1" customHeight="1" outlineLevel="1" x14ac:dyDescent="0.25">
      <c r="A15755" s="18">
        <v>1150</v>
      </c>
      <c r="B15755" s="4" t="s">
        <v>44</v>
      </c>
      <c r="C15755" s="38" t="s">
        <v>8683</v>
      </c>
      <c r="D15755" s="18">
        <v>2023</v>
      </c>
      <c r="E15755" s="18" t="s">
        <v>0</v>
      </c>
      <c r="F15755" s="41">
        <v>1</v>
      </c>
      <c r="G15755" s="41">
        <v>12</v>
      </c>
      <c r="H15755" s="41">
        <v>63.34769</v>
      </c>
      <c r="I15755" s="221"/>
      <c r="J15755" s="221"/>
    </row>
    <row r="15756" spans="1:10" s="15" customFormat="1" ht="24" hidden="1" customHeight="1" outlineLevel="1" x14ac:dyDescent="0.25">
      <c r="A15756" s="18">
        <v>3102</v>
      </c>
      <c r="B15756" s="4" t="s">
        <v>44</v>
      </c>
      <c r="C15756" s="38" t="s">
        <v>9150</v>
      </c>
      <c r="D15756" s="18">
        <v>2023</v>
      </c>
      <c r="E15756" s="18" t="s">
        <v>0</v>
      </c>
      <c r="F15756" s="41">
        <v>1</v>
      </c>
      <c r="G15756" s="41">
        <v>147</v>
      </c>
      <c r="H15756" s="41">
        <v>96.658460000000005</v>
      </c>
      <c r="I15756" s="221"/>
      <c r="J15756" s="221"/>
    </row>
    <row r="15757" spans="1:10" s="15" customFormat="1" ht="24" hidden="1" customHeight="1" outlineLevel="1" x14ac:dyDescent="0.25">
      <c r="A15757" s="18">
        <v>3098</v>
      </c>
      <c r="B15757" s="4" t="s">
        <v>44</v>
      </c>
      <c r="C15757" s="38" t="s">
        <v>9087</v>
      </c>
      <c r="D15757" s="18">
        <v>2023</v>
      </c>
      <c r="E15757" s="18" t="s">
        <v>0</v>
      </c>
      <c r="F15757" s="41">
        <v>4</v>
      </c>
      <c r="G15757" s="41">
        <v>500</v>
      </c>
      <c r="H15757" s="41">
        <v>588.15229999999997</v>
      </c>
      <c r="I15757" s="221"/>
      <c r="J15757" s="221"/>
    </row>
    <row r="15758" spans="1:10" s="15" customFormat="1" ht="24" hidden="1" customHeight="1" outlineLevel="1" x14ac:dyDescent="0.25">
      <c r="A15758" s="18">
        <v>5014</v>
      </c>
      <c r="B15758" s="4" t="s">
        <v>44</v>
      </c>
      <c r="C15758" s="38" t="s">
        <v>9151</v>
      </c>
      <c r="D15758" s="18">
        <v>2023</v>
      </c>
      <c r="E15758" s="18" t="s">
        <v>0</v>
      </c>
      <c r="F15758" s="41">
        <v>2</v>
      </c>
      <c r="G15758" s="41">
        <v>149</v>
      </c>
      <c r="H15758" s="41">
        <v>293.88080000000002</v>
      </c>
      <c r="I15758" s="221"/>
      <c r="J15758" s="221"/>
    </row>
    <row r="15759" spans="1:10" s="15" customFormat="1" ht="24" hidden="1" customHeight="1" outlineLevel="1" x14ac:dyDescent="0.25">
      <c r="A15759" s="18">
        <v>5801</v>
      </c>
      <c r="B15759" s="4" t="s">
        <v>44</v>
      </c>
      <c r="C15759" s="38" t="s">
        <v>9152</v>
      </c>
      <c r="D15759" s="18">
        <v>2023</v>
      </c>
      <c r="E15759" s="18" t="s">
        <v>0</v>
      </c>
      <c r="F15759" s="41">
        <v>1</v>
      </c>
      <c r="G15759" s="41">
        <v>149</v>
      </c>
      <c r="H15759" s="41">
        <v>279.15378000000004</v>
      </c>
      <c r="I15759" s="221"/>
      <c r="J15759" s="221"/>
    </row>
    <row r="15760" spans="1:10" s="15" customFormat="1" ht="24" hidden="1" customHeight="1" outlineLevel="1" x14ac:dyDescent="0.25">
      <c r="A15760" s="18">
        <v>1848</v>
      </c>
      <c r="B15760" s="4" t="s">
        <v>44</v>
      </c>
      <c r="C15760" s="38" t="s">
        <v>8684</v>
      </c>
      <c r="D15760" s="18">
        <v>2023</v>
      </c>
      <c r="E15760" s="18" t="s">
        <v>0</v>
      </c>
      <c r="F15760" s="41">
        <v>1</v>
      </c>
      <c r="G15760" s="41">
        <v>10</v>
      </c>
      <c r="H15760" s="41">
        <v>159.23051999999998</v>
      </c>
      <c r="I15760" s="221"/>
      <c r="J15760" s="221"/>
    </row>
    <row r="15761" spans="1:10" s="15" customFormat="1" ht="24" hidden="1" customHeight="1" outlineLevel="1" x14ac:dyDescent="0.25">
      <c r="A15761" s="18">
        <v>801</v>
      </c>
      <c r="B15761" s="4" t="s">
        <v>44</v>
      </c>
      <c r="C15761" s="38" t="s">
        <v>8685</v>
      </c>
      <c r="D15761" s="18">
        <v>2023</v>
      </c>
      <c r="E15761" s="18" t="s">
        <v>0</v>
      </c>
      <c r="F15761" s="41">
        <v>5</v>
      </c>
      <c r="G15761" s="41">
        <v>75</v>
      </c>
      <c r="H15761" s="41">
        <v>499.89011999999997</v>
      </c>
      <c r="I15761" s="221"/>
      <c r="J15761" s="221"/>
    </row>
    <row r="15762" spans="1:10" s="15" customFormat="1" ht="24" hidden="1" customHeight="1" outlineLevel="1" x14ac:dyDescent="0.25">
      <c r="A15762" s="18">
        <v>3199</v>
      </c>
      <c r="B15762" s="4" t="s">
        <v>44</v>
      </c>
      <c r="C15762" s="38" t="s">
        <v>8687</v>
      </c>
      <c r="D15762" s="18">
        <v>2023</v>
      </c>
      <c r="E15762" s="18" t="s">
        <v>0</v>
      </c>
      <c r="F15762" s="41">
        <v>1</v>
      </c>
      <c r="G15762" s="41">
        <v>15</v>
      </c>
      <c r="H15762" s="41">
        <v>65.622</v>
      </c>
      <c r="I15762" s="221"/>
      <c r="J15762" s="221"/>
    </row>
    <row r="15763" spans="1:10" s="15" customFormat="1" ht="24" hidden="1" customHeight="1" outlineLevel="1" x14ac:dyDescent="0.25">
      <c r="A15763" s="18">
        <v>316</v>
      </c>
      <c r="B15763" s="4" t="s">
        <v>44</v>
      </c>
      <c r="C15763" s="38" t="s">
        <v>8688</v>
      </c>
      <c r="D15763" s="18">
        <v>2023</v>
      </c>
      <c r="E15763" s="18" t="s">
        <v>0</v>
      </c>
      <c r="F15763" s="41">
        <v>1</v>
      </c>
      <c r="G15763" s="41">
        <v>15</v>
      </c>
      <c r="H15763" s="41">
        <v>77.111000000000004</v>
      </c>
      <c r="I15763" s="221"/>
      <c r="J15763" s="221"/>
    </row>
    <row r="15764" spans="1:10" s="15" customFormat="1" ht="24" hidden="1" customHeight="1" outlineLevel="1" x14ac:dyDescent="0.25">
      <c r="A15764" s="18">
        <v>5037</v>
      </c>
      <c r="B15764" s="4" t="s">
        <v>44</v>
      </c>
      <c r="C15764" s="38" t="s">
        <v>8689</v>
      </c>
      <c r="D15764" s="18">
        <v>2023</v>
      </c>
      <c r="E15764" s="18" t="s">
        <v>0</v>
      </c>
      <c r="F15764" s="41">
        <v>1</v>
      </c>
      <c r="G15764" s="41">
        <v>15</v>
      </c>
      <c r="H15764" s="41">
        <v>69.586999999999989</v>
      </c>
      <c r="I15764" s="221"/>
      <c r="J15764" s="221"/>
    </row>
    <row r="15765" spans="1:10" s="15" customFormat="1" ht="24" hidden="1" customHeight="1" outlineLevel="1" x14ac:dyDescent="0.25">
      <c r="A15765" s="18">
        <v>5038</v>
      </c>
      <c r="B15765" s="4" t="s">
        <v>44</v>
      </c>
      <c r="C15765" s="38" t="s">
        <v>8690</v>
      </c>
      <c r="D15765" s="18">
        <v>2023</v>
      </c>
      <c r="E15765" s="18" t="s">
        <v>0</v>
      </c>
      <c r="F15765" s="41">
        <v>1</v>
      </c>
      <c r="G15765" s="41">
        <v>150</v>
      </c>
      <c r="H15765" s="41">
        <v>115.98700000000001</v>
      </c>
      <c r="I15765" s="221"/>
      <c r="J15765" s="221"/>
    </row>
    <row r="15766" spans="1:10" s="15" customFormat="1" ht="24" hidden="1" customHeight="1" outlineLevel="1" x14ac:dyDescent="0.25">
      <c r="A15766" s="18">
        <v>463</v>
      </c>
      <c r="B15766" s="4" t="s">
        <v>44</v>
      </c>
      <c r="C15766" s="38" t="s">
        <v>8691</v>
      </c>
      <c r="D15766" s="18">
        <v>2023</v>
      </c>
      <c r="E15766" s="18" t="s">
        <v>0</v>
      </c>
      <c r="F15766" s="41">
        <v>1</v>
      </c>
      <c r="G15766" s="41">
        <v>15</v>
      </c>
      <c r="H15766" s="41">
        <v>64.172999999999988</v>
      </c>
      <c r="I15766" s="221"/>
      <c r="J15766" s="221"/>
    </row>
    <row r="15767" spans="1:10" s="15" customFormat="1" ht="24" hidden="1" customHeight="1" outlineLevel="1" x14ac:dyDescent="0.25">
      <c r="A15767" s="18">
        <v>480</v>
      </c>
      <c r="B15767" s="4" t="s">
        <v>44</v>
      </c>
      <c r="C15767" s="38" t="s">
        <v>8693</v>
      </c>
      <c r="D15767" s="18">
        <v>2023</v>
      </c>
      <c r="E15767" s="18" t="s">
        <v>0</v>
      </c>
      <c r="F15767" s="41">
        <v>1</v>
      </c>
      <c r="G15767" s="41">
        <v>12</v>
      </c>
      <c r="H15767" s="41">
        <v>69.38900000000001</v>
      </c>
      <c r="I15767" s="221"/>
      <c r="J15767" s="221"/>
    </row>
    <row r="15768" spans="1:10" s="15" customFormat="1" ht="24" hidden="1" customHeight="1" outlineLevel="1" x14ac:dyDescent="0.25">
      <c r="A15768" s="18">
        <v>481</v>
      </c>
      <c r="B15768" s="4" t="s">
        <v>44</v>
      </c>
      <c r="C15768" s="38" t="s">
        <v>8695</v>
      </c>
      <c r="D15768" s="18">
        <v>2023</v>
      </c>
      <c r="E15768" s="18" t="s">
        <v>0</v>
      </c>
      <c r="F15768" s="41">
        <v>1</v>
      </c>
      <c r="G15768" s="41">
        <v>15</v>
      </c>
      <c r="H15768" s="41">
        <v>66.893000000000001</v>
      </c>
      <c r="I15768" s="221"/>
      <c r="J15768" s="221"/>
    </row>
    <row r="15769" spans="1:10" s="15" customFormat="1" ht="24" hidden="1" customHeight="1" outlineLevel="1" x14ac:dyDescent="0.25">
      <c r="A15769" s="18">
        <v>863</v>
      </c>
      <c r="B15769" s="4" t="s">
        <v>44</v>
      </c>
      <c r="C15769" s="38" t="s">
        <v>8696</v>
      </c>
      <c r="D15769" s="18">
        <v>2023</v>
      </c>
      <c r="E15769" s="18" t="s">
        <v>0</v>
      </c>
      <c r="F15769" s="41">
        <v>1</v>
      </c>
      <c r="G15769" s="41">
        <v>15</v>
      </c>
      <c r="H15769" s="41">
        <v>61.21</v>
      </c>
      <c r="I15769" s="221"/>
      <c r="J15769" s="221"/>
    </row>
    <row r="15770" spans="1:10" s="15" customFormat="1" ht="24" hidden="1" customHeight="1" outlineLevel="1" x14ac:dyDescent="0.25">
      <c r="A15770" s="18">
        <v>3228</v>
      </c>
      <c r="B15770" s="4" t="s">
        <v>44</v>
      </c>
      <c r="C15770" s="38" t="s">
        <v>8697</v>
      </c>
      <c r="D15770" s="18">
        <v>2023</v>
      </c>
      <c r="E15770" s="18" t="s">
        <v>0</v>
      </c>
      <c r="F15770" s="41">
        <v>1</v>
      </c>
      <c r="G15770" s="41">
        <v>14</v>
      </c>
      <c r="H15770" s="41">
        <v>54.119</v>
      </c>
      <c r="I15770" s="221"/>
      <c r="J15770" s="221"/>
    </row>
    <row r="15771" spans="1:10" s="15" customFormat="1" ht="24" hidden="1" customHeight="1" outlineLevel="1" x14ac:dyDescent="0.25">
      <c r="A15771" s="18">
        <v>5055</v>
      </c>
      <c r="B15771" s="4" t="s">
        <v>44</v>
      </c>
      <c r="C15771" s="38" t="s">
        <v>8700</v>
      </c>
      <c r="D15771" s="18">
        <v>2023</v>
      </c>
      <c r="E15771" s="18" t="s">
        <v>0</v>
      </c>
      <c r="F15771" s="41">
        <v>1</v>
      </c>
      <c r="G15771" s="41">
        <v>15</v>
      </c>
      <c r="H15771" s="41">
        <v>60.99</v>
      </c>
      <c r="I15771" s="221"/>
      <c r="J15771" s="221"/>
    </row>
    <row r="15772" spans="1:10" s="15" customFormat="1" ht="24" hidden="1" customHeight="1" outlineLevel="1" x14ac:dyDescent="0.25">
      <c r="A15772" s="18">
        <v>5057</v>
      </c>
      <c r="B15772" s="4" t="s">
        <v>44</v>
      </c>
      <c r="C15772" s="38" t="s">
        <v>8702</v>
      </c>
      <c r="D15772" s="18">
        <v>2023</v>
      </c>
      <c r="E15772" s="18" t="s">
        <v>0</v>
      </c>
      <c r="F15772" s="41">
        <v>1</v>
      </c>
      <c r="G15772" s="41">
        <v>15</v>
      </c>
      <c r="H15772" s="41">
        <v>59.585999999999999</v>
      </c>
      <c r="I15772" s="221"/>
      <c r="J15772" s="221"/>
    </row>
    <row r="15773" spans="1:10" s="15" customFormat="1" ht="24" hidden="1" customHeight="1" outlineLevel="1" x14ac:dyDescent="0.25">
      <c r="A15773" s="18">
        <v>5058</v>
      </c>
      <c r="B15773" s="4" t="s">
        <v>44</v>
      </c>
      <c r="C15773" s="38" t="s">
        <v>8703</v>
      </c>
      <c r="D15773" s="18">
        <v>2023</v>
      </c>
      <c r="E15773" s="18" t="s">
        <v>0</v>
      </c>
      <c r="F15773" s="41">
        <v>1</v>
      </c>
      <c r="G15773" s="41">
        <v>15</v>
      </c>
      <c r="H15773" s="41">
        <v>60.274000000000001</v>
      </c>
      <c r="I15773" s="221"/>
      <c r="J15773" s="221"/>
    </row>
    <row r="15774" spans="1:10" s="15" customFormat="1" ht="24" hidden="1" customHeight="1" outlineLevel="1" x14ac:dyDescent="0.25">
      <c r="A15774" s="18">
        <v>5059</v>
      </c>
      <c r="B15774" s="4" t="s">
        <v>44</v>
      </c>
      <c r="C15774" s="38" t="s">
        <v>8704</v>
      </c>
      <c r="D15774" s="18">
        <v>2023</v>
      </c>
      <c r="E15774" s="18" t="s">
        <v>0</v>
      </c>
      <c r="F15774" s="41">
        <v>1</v>
      </c>
      <c r="G15774" s="41">
        <v>15</v>
      </c>
      <c r="H15774" s="41">
        <v>60.691000000000003</v>
      </c>
      <c r="I15774" s="221"/>
      <c r="J15774" s="221"/>
    </row>
    <row r="15775" spans="1:10" s="15" customFormat="1" ht="24" hidden="1" customHeight="1" outlineLevel="1" x14ac:dyDescent="0.25">
      <c r="A15775" s="18">
        <v>5060</v>
      </c>
      <c r="B15775" s="4" t="s">
        <v>44</v>
      </c>
      <c r="C15775" s="38" t="s">
        <v>8705</v>
      </c>
      <c r="D15775" s="18">
        <v>2023</v>
      </c>
      <c r="E15775" s="18" t="s">
        <v>0</v>
      </c>
      <c r="F15775" s="41">
        <v>1</v>
      </c>
      <c r="G15775" s="41">
        <v>15</v>
      </c>
      <c r="H15775" s="41">
        <v>61.372999999999998</v>
      </c>
      <c r="I15775" s="221"/>
      <c r="J15775" s="221"/>
    </row>
    <row r="15776" spans="1:10" s="15" customFormat="1" ht="24" hidden="1" customHeight="1" outlineLevel="1" x14ac:dyDescent="0.25">
      <c r="A15776" s="18">
        <v>313</v>
      </c>
      <c r="B15776" s="4" t="s">
        <v>44</v>
      </c>
      <c r="C15776" s="38" t="s">
        <v>9153</v>
      </c>
      <c r="D15776" s="18">
        <v>2023</v>
      </c>
      <c r="E15776" s="18" t="s">
        <v>0</v>
      </c>
      <c r="F15776" s="41">
        <v>1</v>
      </c>
      <c r="G15776" s="41">
        <v>30</v>
      </c>
      <c r="H15776" s="41">
        <v>134.858</v>
      </c>
      <c r="I15776" s="221"/>
      <c r="J15776" s="221"/>
    </row>
    <row r="15777" spans="1:10" s="15" customFormat="1" ht="24" hidden="1" customHeight="1" outlineLevel="1" x14ac:dyDescent="0.25">
      <c r="A15777" s="18">
        <v>5148</v>
      </c>
      <c r="B15777" s="4" t="s">
        <v>44</v>
      </c>
      <c r="C15777" s="38" t="s">
        <v>8706</v>
      </c>
      <c r="D15777" s="18">
        <v>2023</v>
      </c>
      <c r="E15777" s="18" t="s">
        <v>0</v>
      </c>
      <c r="F15777" s="41">
        <v>1</v>
      </c>
      <c r="G15777" s="41">
        <v>10</v>
      </c>
      <c r="H15777" s="41">
        <v>71.983000000000004</v>
      </c>
      <c r="I15777" s="221"/>
      <c r="J15777" s="221"/>
    </row>
    <row r="15778" spans="1:10" s="15" customFormat="1" ht="24" hidden="1" customHeight="1" outlineLevel="1" x14ac:dyDescent="0.25">
      <c r="A15778" s="18">
        <v>5149</v>
      </c>
      <c r="B15778" s="4" t="s">
        <v>44</v>
      </c>
      <c r="C15778" s="38" t="s">
        <v>8707</v>
      </c>
      <c r="D15778" s="18">
        <v>2023</v>
      </c>
      <c r="E15778" s="18" t="s">
        <v>0</v>
      </c>
      <c r="F15778" s="41">
        <v>1</v>
      </c>
      <c r="G15778" s="41">
        <v>45</v>
      </c>
      <c r="H15778" s="41">
        <v>71.983199999999997</v>
      </c>
      <c r="I15778" s="221"/>
      <c r="J15778" s="221"/>
    </row>
    <row r="15779" spans="1:10" s="15" customFormat="1" ht="24" hidden="1" customHeight="1" outlineLevel="1" x14ac:dyDescent="0.25">
      <c r="A15779" s="18">
        <v>960</v>
      </c>
      <c r="B15779" s="4" t="s">
        <v>44</v>
      </c>
      <c r="C15779" s="38" t="s">
        <v>8709</v>
      </c>
      <c r="D15779" s="18">
        <v>2023</v>
      </c>
      <c r="E15779" s="18" t="s">
        <v>0</v>
      </c>
      <c r="F15779" s="41">
        <v>1</v>
      </c>
      <c r="G15779" s="41">
        <v>15</v>
      </c>
      <c r="H15779" s="41">
        <v>108.086</v>
      </c>
      <c r="I15779" s="221"/>
      <c r="J15779" s="221"/>
    </row>
    <row r="15780" spans="1:10" s="15" customFormat="1" ht="24" hidden="1" customHeight="1" outlineLevel="1" x14ac:dyDescent="0.25">
      <c r="A15780" s="18">
        <v>1222</v>
      </c>
      <c r="B15780" s="4" t="s">
        <v>44</v>
      </c>
      <c r="C15780" s="38" t="s">
        <v>8710</v>
      </c>
      <c r="D15780" s="18">
        <v>2023</v>
      </c>
      <c r="E15780" s="18" t="s">
        <v>0</v>
      </c>
      <c r="F15780" s="41">
        <v>1</v>
      </c>
      <c r="G15780" s="41">
        <v>1</v>
      </c>
      <c r="H15780" s="41">
        <v>70.876999999999995</v>
      </c>
      <c r="I15780" s="221"/>
      <c r="J15780" s="221"/>
    </row>
    <row r="15781" spans="1:10" s="15" customFormat="1" ht="24" hidden="1" customHeight="1" outlineLevel="1" x14ac:dyDescent="0.25">
      <c r="A15781" s="18">
        <v>3252</v>
      </c>
      <c r="B15781" s="4" t="s">
        <v>44</v>
      </c>
      <c r="C15781" s="38" t="s">
        <v>8711</v>
      </c>
      <c r="D15781" s="18">
        <v>2023</v>
      </c>
      <c r="E15781" s="18" t="s">
        <v>0</v>
      </c>
      <c r="F15781" s="41">
        <v>1</v>
      </c>
      <c r="G15781" s="41">
        <v>15</v>
      </c>
      <c r="H15781" s="41">
        <v>65.73975999999999</v>
      </c>
      <c r="I15781" s="221"/>
      <c r="J15781" s="221"/>
    </row>
    <row r="15782" spans="1:10" s="15" customFormat="1" ht="24" hidden="1" customHeight="1" outlineLevel="1" x14ac:dyDescent="0.25">
      <c r="A15782" s="18">
        <v>5150</v>
      </c>
      <c r="B15782" s="4" t="s">
        <v>44</v>
      </c>
      <c r="C15782" s="38" t="s">
        <v>8712</v>
      </c>
      <c r="D15782" s="18">
        <v>2023</v>
      </c>
      <c r="E15782" s="18" t="s">
        <v>0</v>
      </c>
      <c r="F15782" s="41">
        <v>1</v>
      </c>
      <c r="G15782" s="41">
        <v>15</v>
      </c>
      <c r="H15782" s="41">
        <v>88.216999999999999</v>
      </c>
      <c r="I15782" s="221"/>
      <c r="J15782" s="221"/>
    </row>
    <row r="15783" spans="1:10" s="15" customFormat="1" ht="24" hidden="1" customHeight="1" outlineLevel="1" x14ac:dyDescent="0.25">
      <c r="A15783" s="18">
        <v>5151</v>
      </c>
      <c r="B15783" s="4" t="s">
        <v>44</v>
      </c>
      <c r="C15783" s="38" t="s">
        <v>8713</v>
      </c>
      <c r="D15783" s="18">
        <v>2023</v>
      </c>
      <c r="E15783" s="18" t="s">
        <v>0</v>
      </c>
      <c r="F15783" s="41">
        <v>1</v>
      </c>
      <c r="G15783" s="41">
        <v>7.5</v>
      </c>
      <c r="H15783" s="41">
        <v>67.926000000000002</v>
      </c>
      <c r="I15783" s="221"/>
      <c r="J15783" s="221"/>
    </row>
    <row r="15784" spans="1:10" s="15" customFormat="1" ht="24" hidden="1" customHeight="1" outlineLevel="1" x14ac:dyDescent="0.25">
      <c r="A15784" s="18">
        <v>3293</v>
      </c>
      <c r="B15784" s="4" t="s">
        <v>44</v>
      </c>
      <c r="C15784" s="38" t="s">
        <v>8714</v>
      </c>
      <c r="D15784" s="18">
        <v>2023</v>
      </c>
      <c r="E15784" s="18" t="s">
        <v>0</v>
      </c>
      <c r="F15784" s="41">
        <v>1</v>
      </c>
      <c r="G15784" s="41">
        <v>15</v>
      </c>
      <c r="H15784" s="41">
        <v>65.679000000000002</v>
      </c>
      <c r="I15784" s="221"/>
      <c r="J15784" s="221"/>
    </row>
    <row r="15785" spans="1:10" s="15" customFormat="1" ht="24" hidden="1" customHeight="1" outlineLevel="1" x14ac:dyDescent="0.25">
      <c r="A15785" s="18">
        <v>3298</v>
      </c>
      <c r="B15785" s="4" t="s">
        <v>44</v>
      </c>
      <c r="C15785" s="38" t="s">
        <v>8715</v>
      </c>
      <c r="D15785" s="18">
        <v>2023</v>
      </c>
      <c r="E15785" s="18" t="s">
        <v>0</v>
      </c>
      <c r="F15785" s="41">
        <v>1</v>
      </c>
      <c r="G15785" s="41">
        <v>15</v>
      </c>
      <c r="H15785" s="41">
        <v>69.033999999999992</v>
      </c>
      <c r="I15785" s="221"/>
      <c r="J15785" s="221"/>
    </row>
    <row r="15786" spans="1:10" s="15" customFormat="1" ht="24" hidden="1" customHeight="1" outlineLevel="1" x14ac:dyDescent="0.25">
      <c r="A15786" s="18">
        <v>758</v>
      </c>
      <c r="B15786" s="4" t="s">
        <v>44</v>
      </c>
      <c r="C15786" s="38" t="s">
        <v>8716</v>
      </c>
      <c r="D15786" s="18">
        <v>2023</v>
      </c>
      <c r="E15786" s="18" t="s">
        <v>0</v>
      </c>
      <c r="F15786" s="41">
        <v>1</v>
      </c>
      <c r="G15786" s="41">
        <v>15</v>
      </c>
      <c r="H15786" s="41">
        <v>65.67</v>
      </c>
      <c r="I15786" s="221"/>
      <c r="J15786" s="221"/>
    </row>
    <row r="15787" spans="1:10" s="15" customFormat="1" ht="24" hidden="1" customHeight="1" outlineLevel="1" x14ac:dyDescent="0.25">
      <c r="A15787" s="18">
        <v>1087</v>
      </c>
      <c r="B15787" s="4" t="s">
        <v>44</v>
      </c>
      <c r="C15787" s="38" t="s">
        <v>8717</v>
      </c>
      <c r="D15787" s="18">
        <v>2023</v>
      </c>
      <c r="E15787" s="18" t="s">
        <v>0</v>
      </c>
      <c r="F15787" s="41">
        <v>1</v>
      </c>
      <c r="G15787" s="41">
        <v>14</v>
      </c>
      <c r="H15787" s="41">
        <v>65.566000000000003</v>
      </c>
      <c r="I15787" s="221"/>
      <c r="J15787" s="221"/>
    </row>
    <row r="15788" spans="1:10" s="15" customFormat="1" ht="24" hidden="1" customHeight="1" outlineLevel="1" x14ac:dyDescent="0.25">
      <c r="A15788" s="18">
        <v>3107</v>
      </c>
      <c r="B15788" s="4" t="s">
        <v>44</v>
      </c>
      <c r="C15788" s="38" t="s">
        <v>8718</v>
      </c>
      <c r="D15788" s="18">
        <v>2023</v>
      </c>
      <c r="E15788" s="18" t="s">
        <v>0</v>
      </c>
      <c r="F15788" s="41">
        <v>1</v>
      </c>
      <c r="G15788" s="41">
        <v>70</v>
      </c>
      <c r="H15788" s="41">
        <v>110.053</v>
      </c>
      <c r="I15788" s="221"/>
      <c r="J15788" s="221"/>
    </row>
    <row r="15789" spans="1:10" s="15" customFormat="1" ht="24" hidden="1" customHeight="1" outlineLevel="1" x14ac:dyDescent="0.25">
      <c r="A15789" s="18">
        <v>5173</v>
      </c>
      <c r="B15789" s="4" t="s">
        <v>44</v>
      </c>
      <c r="C15789" s="38" t="s">
        <v>8719</v>
      </c>
      <c r="D15789" s="18">
        <v>2023</v>
      </c>
      <c r="E15789" s="18" t="s">
        <v>0</v>
      </c>
      <c r="F15789" s="41">
        <v>1</v>
      </c>
      <c r="G15789" s="41">
        <v>150</v>
      </c>
      <c r="H15789" s="41">
        <v>106.80000000000001</v>
      </c>
      <c r="I15789" s="221"/>
      <c r="J15789" s="221"/>
    </row>
    <row r="15790" spans="1:10" s="15" customFormat="1" ht="24" hidden="1" customHeight="1" outlineLevel="1" x14ac:dyDescent="0.25">
      <c r="A15790" s="18">
        <v>3115</v>
      </c>
      <c r="B15790" s="4" t="s">
        <v>44</v>
      </c>
      <c r="C15790" s="38" t="s">
        <v>9089</v>
      </c>
      <c r="D15790" s="18">
        <v>2023</v>
      </c>
      <c r="E15790" s="18" t="s">
        <v>0</v>
      </c>
      <c r="F15790" s="41">
        <v>2</v>
      </c>
      <c r="G15790" s="41">
        <v>150</v>
      </c>
      <c r="H15790" s="41">
        <v>97.576999999999998</v>
      </c>
      <c r="I15790" s="221"/>
      <c r="J15790" s="221"/>
    </row>
    <row r="15791" spans="1:10" s="15" customFormat="1" ht="24" hidden="1" customHeight="1" outlineLevel="1" x14ac:dyDescent="0.25">
      <c r="A15791" s="18">
        <v>1894</v>
      </c>
      <c r="B15791" s="4" t="s">
        <v>44</v>
      </c>
      <c r="C15791" s="38" t="s">
        <v>8722</v>
      </c>
      <c r="D15791" s="18">
        <v>2023</v>
      </c>
      <c r="E15791" s="18" t="s">
        <v>0</v>
      </c>
      <c r="F15791" s="41">
        <v>1</v>
      </c>
      <c r="G15791" s="41">
        <v>7</v>
      </c>
      <c r="H15791" s="41">
        <v>47.107000000000006</v>
      </c>
      <c r="I15791" s="221"/>
      <c r="J15791" s="221"/>
    </row>
    <row r="15792" spans="1:10" s="15" customFormat="1" ht="24" hidden="1" customHeight="1" outlineLevel="1" x14ac:dyDescent="0.25">
      <c r="A15792" s="18">
        <v>1415</v>
      </c>
      <c r="B15792" s="4" t="s">
        <v>44</v>
      </c>
      <c r="C15792" s="38" t="s">
        <v>8726</v>
      </c>
      <c r="D15792" s="18">
        <v>2023</v>
      </c>
      <c r="E15792" s="18" t="s">
        <v>0</v>
      </c>
      <c r="F15792" s="41">
        <v>1</v>
      </c>
      <c r="G15792" s="41">
        <v>15</v>
      </c>
      <c r="H15792" s="41">
        <v>75.793369999999996</v>
      </c>
      <c r="I15792" s="221"/>
      <c r="J15792" s="221"/>
    </row>
    <row r="15793" spans="1:10" s="15" customFormat="1" ht="24" hidden="1" customHeight="1" outlineLevel="1" x14ac:dyDescent="0.25">
      <c r="A15793" s="18">
        <v>1632</v>
      </c>
      <c r="B15793" s="4" t="s">
        <v>44</v>
      </c>
      <c r="C15793" s="38" t="s">
        <v>8727</v>
      </c>
      <c r="D15793" s="18">
        <v>2023</v>
      </c>
      <c r="E15793" s="18" t="s">
        <v>0</v>
      </c>
      <c r="F15793" s="41">
        <v>1</v>
      </c>
      <c r="G15793" s="41">
        <v>15</v>
      </c>
      <c r="H15793" s="41">
        <v>67.585000000000008</v>
      </c>
      <c r="I15793" s="221"/>
      <c r="J15793" s="221"/>
    </row>
    <row r="15794" spans="1:10" s="15" customFormat="1" ht="24" hidden="1" customHeight="1" outlineLevel="1" x14ac:dyDescent="0.25">
      <c r="A15794" s="18">
        <v>5798</v>
      </c>
      <c r="B15794" s="4" t="s">
        <v>44</v>
      </c>
      <c r="C15794" s="38" t="s">
        <v>8728</v>
      </c>
      <c r="D15794" s="18">
        <v>2023</v>
      </c>
      <c r="E15794" s="18" t="s">
        <v>0</v>
      </c>
      <c r="F15794" s="41">
        <v>1</v>
      </c>
      <c r="G15794" s="41">
        <v>35</v>
      </c>
      <c r="H15794" s="41">
        <v>88.977000000000004</v>
      </c>
      <c r="I15794" s="221"/>
      <c r="J15794" s="221"/>
    </row>
    <row r="15795" spans="1:10" s="15" customFormat="1" ht="24" hidden="1" customHeight="1" outlineLevel="1" x14ac:dyDescent="0.25">
      <c r="A15795" s="18">
        <v>993</v>
      </c>
      <c r="B15795" s="4" t="s">
        <v>44</v>
      </c>
      <c r="C15795" s="38" t="s">
        <v>8729</v>
      </c>
      <c r="D15795" s="18">
        <v>2023</v>
      </c>
      <c r="E15795" s="18" t="s">
        <v>0</v>
      </c>
      <c r="F15795" s="41">
        <v>1</v>
      </c>
      <c r="G15795" s="41">
        <v>15</v>
      </c>
      <c r="H15795" s="41">
        <v>69.801000000000002</v>
      </c>
      <c r="I15795" s="221"/>
      <c r="J15795" s="221"/>
    </row>
    <row r="15796" spans="1:10" s="15" customFormat="1" ht="24" hidden="1" customHeight="1" outlineLevel="1" x14ac:dyDescent="0.25">
      <c r="A15796" s="18">
        <v>3114</v>
      </c>
      <c r="B15796" s="4" t="s">
        <v>44</v>
      </c>
      <c r="C15796" s="38" t="s">
        <v>9154</v>
      </c>
      <c r="D15796" s="18">
        <v>2023</v>
      </c>
      <c r="E15796" s="18" t="s">
        <v>0</v>
      </c>
      <c r="F15796" s="41">
        <v>2</v>
      </c>
      <c r="G15796" s="41">
        <v>190</v>
      </c>
      <c r="H15796" s="41">
        <v>319.17</v>
      </c>
      <c r="I15796" s="221"/>
      <c r="J15796" s="221"/>
    </row>
    <row r="15797" spans="1:10" s="15" customFormat="1" ht="24" hidden="1" customHeight="1" outlineLevel="1" x14ac:dyDescent="0.25">
      <c r="A15797" s="18">
        <v>1832</v>
      </c>
      <c r="B15797" s="4" t="s">
        <v>44</v>
      </c>
      <c r="C15797" s="38" t="s">
        <v>8730</v>
      </c>
      <c r="D15797" s="18">
        <v>2023</v>
      </c>
      <c r="E15797" s="18" t="s">
        <v>0</v>
      </c>
      <c r="F15797" s="41">
        <v>1</v>
      </c>
      <c r="G15797" s="41">
        <v>15</v>
      </c>
      <c r="H15797" s="41">
        <v>71.367999999999995</v>
      </c>
      <c r="I15797" s="221"/>
      <c r="J15797" s="221"/>
    </row>
    <row r="15798" spans="1:10" s="15" customFormat="1" ht="24" hidden="1" customHeight="1" outlineLevel="1" x14ac:dyDescent="0.25">
      <c r="A15798" s="18">
        <v>5855</v>
      </c>
      <c r="B15798" s="4" t="s">
        <v>44</v>
      </c>
      <c r="C15798" s="38" t="s">
        <v>13151</v>
      </c>
      <c r="D15798" s="18">
        <v>2023</v>
      </c>
      <c r="E15798" s="18" t="s">
        <v>0</v>
      </c>
      <c r="F15798" s="41">
        <v>1</v>
      </c>
      <c r="G15798" s="41">
        <v>15</v>
      </c>
      <c r="H15798" s="41">
        <v>37.983849999999997</v>
      </c>
      <c r="I15798" s="221"/>
      <c r="J15798" s="221"/>
    </row>
    <row r="15799" spans="1:10" s="15" customFormat="1" ht="24" hidden="1" customHeight="1" outlineLevel="1" x14ac:dyDescent="0.25">
      <c r="A15799" s="18">
        <v>5858</v>
      </c>
      <c r="B15799" s="4" t="s">
        <v>44</v>
      </c>
      <c r="C15799" s="38" t="s">
        <v>13152</v>
      </c>
      <c r="D15799" s="18">
        <v>2023</v>
      </c>
      <c r="E15799" s="18" t="s">
        <v>0</v>
      </c>
      <c r="F15799" s="41">
        <v>1</v>
      </c>
      <c r="G15799" s="41">
        <v>12</v>
      </c>
      <c r="H15799" s="41">
        <v>37.686239999999998</v>
      </c>
      <c r="I15799" s="221"/>
      <c r="J15799" s="221"/>
    </row>
    <row r="15800" spans="1:10" s="15" customFormat="1" ht="24" hidden="1" customHeight="1" outlineLevel="1" x14ac:dyDescent="0.25">
      <c r="A15800" s="18">
        <v>5859</v>
      </c>
      <c r="B15800" s="4" t="s">
        <v>44</v>
      </c>
      <c r="C15800" s="38" t="s">
        <v>13153</v>
      </c>
      <c r="D15800" s="18">
        <v>2023</v>
      </c>
      <c r="E15800" s="18" t="s">
        <v>0</v>
      </c>
      <c r="F15800" s="41">
        <v>1</v>
      </c>
      <c r="G15800" s="41">
        <v>15</v>
      </c>
      <c r="H15800" s="41">
        <v>37.686249999999994</v>
      </c>
      <c r="I15800" s="221"/>
      <c r="J15800" s="221"/>
    </row>
    <row r="15801" spans="1:10" s="15" customFormat="1" ht="24" hidden="1" customHeight="1" outlineLevel="1" x14ac:dyDescent="0.25">
      <c r="A15801" s="18">
        <v>5860</v>
      </c>
      <c r="B15801" s="4" t="s">
        <v>44</v>
      </c>
      <c r="C15801" s="38" t="s">
        <v>13154</v>
      </c>
      <c r="D15801" s="18">
        <v>2023</v>
      </c>
      <c r="E15801" s="18" t="s">
        <v>0</v>
      </c>
      <c r="F15801" s="41">
        <v>1</v>
      </c>
      <c r="G15801" s="41">
        <v>15</v>
      </c>
      <c r="H15801" s="41">
        <v>36.748820000000002</v>
      </c>
      <c r="I15801" s="221"/>
      <c r="J15801" s="221"/>
    </row>
    <row r="15802" spans="1:10" s="15" customFormat="1" ht="24" hidden="1" customHeight="1" outlineLevel="1" x14ac:dyDescent="0.25">
      <c r="A15802" s="18">
        <v>5864</v>
      </c>
      <c r="B15802" s="4" t="s">
        <v>44</v>
      </c>
      <c r="C15802" s="38" t="s">
        <v>13155</v>
      </c>
      <c r="D15802" s="18">
        <v>2023</v>
      </c>
      <c r="E15802" s="18" t="s">
        <v>0</v>
      </c>
      <c r="F15802" s="41">
        <v>1</v>
      </c>
      <c r="G15802" s="41">
        <v>10</v>
      </c>
      <c r="H15802" s="41">
        <v>36.748820000000002</v>
      </c>
      <c r="I15802" s="221"/>
      <c r="J15802" s="221"/>
    </row>
    <row r="15803" spans="1:10" s="15" customFormat="1" ht="24" hidden="1" customHeight="1" outlineLevel="1" x14ac:dyDescent="0.25">
      <c r="A15803" s="18">
        <v>5865</v>
      </c>
      <c r="B15803" s="4" t="s">
        <v>44</v>
      </c>
      <c r="C15803" s="38" t="s">
        <v>13156</v>
      </c>
      <c r="D15803" s="18">
        <v>2023</v>
      </c>
      <c r="E15803" s="18" t="s">
        <v>0</v>
      </c>
      <c r="F15803" s="41">
        <v>1</v>
      </c>
      <c r="G15803" s="41">
        <v>15</v>
      </c>
      <c r="H15803" s="41">
        <v>37.051500000000004</v>
      </c>
      <c r="I15803" s="221"/>
      <c r="J15803" s="221"/>
    </row>
    <row r="15804" spans="1:10" s="15" customFormat="1" ht="24" hidden="1" customHeight="1" outlineLevel="1" x14ac:dyDescent="0.25">
      <c r="A15804" s="18">
        <v>5867</v>
      </c>
      <c r="B15804" s="4" t="s">
        <v>44</v>
      </c>
      <c r="C15804" s="38" t="s">
        <v>13157</v>
      </c>
      <c r="D15804" s="18">
        <v>2023</v>
      </c>
      <c r="E15804" s="18" t="s">
        <v>0</v>
      </c>
      <c r="F15804" s="41">
        <v>1</v>
      </c>
      <c r="G15804" s="41">
        <v>15</v>
      </c>
      <c r="H15804" s="41">
        <v>37.051500000000004</v>
      </c>
      <c r="I15804" s="221"/>
      <c r="J15804" s="221"/>
    </row>
    <row r="15805" spans="1:10" s="15" customFormat="1" ht="24" hidden="1" customHeight="1" outlineLevel="1" x14ac:dyDescent="0.25">
      <c r="A15805" s="18">
        <v>5868</v>
      </c>
      <c r="B15805" s="4" t="s">
        <v>44</v>
      </c>
      <c r="C15805" s="38" t="s">
        <v>13158</v>
      </c>
      <c r="D15805" s="18">
        <v>2023</v>
      </c>
      <c r="E15805" s="18" t="s">
        <v>0</v>
      </c>
      <c r="F15805" s="41">
        <v>1</v>
      </c>
      <c r="G15805" s="41">
        <v>15</v>
      </c>
      <c r="H15805" s="41">
        <v>37.051500000000004</v>
      </c>
      <c r="I15805" s="221"/>
      <c r="J15805" s="221"/>
    </row>
    <row r="15806" spans="1:10" s="15" customFormat="1" ht="24" hidden="1" customHeight="1" outlineLevel="1" x14ac:dyDescent="0.25">
      <c r="A15806" s="18">
        <v>2274</v>
      </c>
      <c r="B15806" s="4" t="s">
        <v>44</v>
      </c>
      <c r="C15806" s="38" t="s">
        <v>13159</v>
      </c>
      <c r="D15806" s="18">
        <v>2023</v>
      </c>
      <c r="E15806" s="18" t="s">
        <v>0</v>
      </c>
      <c r="F15806" s="41">
        <v>1</v>
      </c>
      <c r="G15806" s="41">
        <v>15</v>
      </c>
      <c r="H15806" s="41">
        <v>37.051500000000004</v>
      </c>
      <c r="I15806" s="221"/>
      <c r="J15806" s="221"/>
    </row>
    <row r="15807" spans="1:10" s="15" customFormat="1" ht="24" hidden="1" customHeight="1" outlineLevel="1" x14ac:dyDescent="0.25">
      <c r="A15807" s="18">
        <v>5870</v>
      </c>
      <c r="B15807" s="4" t="s">
        <v>44</v>
      </c>
      <c r="C15807" s="38" t="s">
        <v>13160</v>
      </c>
      <c r="D15807" s="18">
        <v>2023</v>
      </c>
      <c r="E15807" s="18" t="s">
        <v>0</v>
      </c>
      <c r="F15807" s="41">
        <v>1</v>
      </c>
      <c r="G15807" s="41">
        <v>15</v>
      </c>
      <c r="H15807" s="41">
        <v>37.051500000000004</v>
      </c>
      <c r="I15807" s="221"/>
      <c r="J15807" s="221"/>
    </row>
    <row r="15808" spans="1:10" s="15" customFormat="1" ht="24" hidden="1" customHeight="1" outlineLevel="1" x14ac:dyDescent="0.25">
      <c r="A15808" s="18">
        <v>5875</v>
      </c>
      <c r="B15808" s="4" t="s">
        <v>44</v>
      </c>
      <c r="C15808" s="38" t="s">
        <v>13161</v>
      </c>
      <c r="D15808" s="18">
        <v>2023</v>
      </c>
      <c r="E15808" s="18" t="s">
        <v>0</v>
      </c>
      <c r="F15808" s="41">
        <v>1</v>
      </c>
      <c r="G15808" s="41">
        <v>15</v>
      </c>
      <c r="H15808" s="41">
        <v>36.954569999999997</v>
      </c>
      <c r="I15808" s="221"/>
      <c r="J15808" s="221"/>
    </row>
    <row r="15809" spans="1:10" s="15" customFormat="1" ht="24" hidden="1" customHeight="1" outlineLevel="1" x14ac:dyDescent="0.25">
      <c r="A15809" s="18">
        <v>5877</v>
      </c>
      <c r="B15809" s="4" t="s">
        <v>44</v>
      </c>
      <c r="C15809" s="38" t="s">
        <v>13162</v>
      </c>
      <c r="D15809" s="18">
        <v>2023</v>
      </c>
      <c r="E15809" s="18" t="s">
        <v>0</v>
      </c>
      <c r="F15809" s="41">
        <v>1</v>
      </c>
      <c r="G15809" s="41">
        <v>15</v>
      </c>
      <c r="H15809" s="41">
        <v>36.954610000000002</v>
      </c>
      <c r="I15809" s="221"/>
      <c r="J15809" s="221"/>
    </row>
    <row r="15810" spans="1:10" s="15" customFormat="1" ht="24" hidden="1" customHeight="1" outlineLevel="1" x14ac:dyDescent="0.25">
      <c r="A15810" s="18">
        <v>5878</v>
      </c>
      <c r="B15810" s="4" t="s">
        <v>44</v>
      </c>
      <c r="C15810" s="38" t="s">
        <v>13163</v>
      </c>
      <c r="D15810" s="18">
        <v>2023</v>
      </c>
      <c r="E15810" s="18" t="s">
        <v>0</v>
      </c>
      <c r="F15810" s="41">
        <v>1</v>
      </c>
      <c r="G15810" s="41">
        <v>15</v>
      </c>
      <c r="H15810" s="41">
        <v>36.954610000000002</v>
      </c>
      <c r="I15810" s="221"/>
      <c r="J15810" s="221"/>
    </row>
    <row r="15811" spans="1:10" s="15" customFormat="1" ht="24" hidden="1" customHeight="1" outlineLevel="1" x14ac:dyDescent="0.25">
      <c r="A15811" s="18">
        <v>5879</v>
      </c>
      <c r="B15811" s="4" t="s">
        <v>44</v>
      </c>
      <c r="C15811" s="38" t="s">
        <v>13164</v>
      </c>
      <c r="D15811" s="18">
        <v>2023</v>
      </c>
      <c r="E15811" s="18" t="s">
        <v>0</v>
      </c>
      <c r="F15811" s="41">
        <v>1</v>
      </c>
      <c r="G15811" s="41">
        <v>15</v>
      </c>
      <c r="H15811" s="41">
        <v>36.954610000000002</v>
      </c>
      <c r="I15811" s="221"/>
      <c r="J15811" s="221"/>
    </row>
    <row r="15812" spans="1:10" s="15" customFormat="1" ht="24" hidden="1" customHeight="1" outlineLevel="1" x14ac:dyDescent="0.25">
      <c r="A15812" s="18">
        <v>5880</v>
      </c>
      <c r="B15812" s="4" t="s">
        <v>44</v>
      </c>
      <c r="C15812" s="38" t="s">
        <v>13165</v>
      </c>
      <c r="D15812" s="18">
        <v>2023</v>
      </c>
      <c r="E15812" s="18" t="s">
        <v>0</v>
      </c>
      <c r="F15812" s="41">
        <v>1</v>
      </c>
      <c r="G15812" s="41">
        <v>15</v>
      </c>
      <c r="H15812" s="41">
        <v>36.651919999999997</v>
      </c>
      <c r="I15812" s="221"/>
      <c r="J15812" s="221"/>
    </row>
    <row r="15813" spans="1:10" s="15" customFormat="1" ht="24" hidden="1" customHeight="1" outlineLevel="1" x14ac:dyDescent="0.25">
      <c r="A15813" s="18">
        <v>2087</v>
      </c>
      <c r="B15813" s="4" t="s">
        <v>44</v>
      </c>
      <c r="C15813" s="38" t="s">
        <v>13166</v>
      </c>
      <c r="D15813" s="18">
        <v>2023</v>
      </c>
      <c r="E15813" s="18" t="s">
        <v>0</v>
      </c>
      <c r="F15813" s="41">
        <v>1</v>
      </c>
      <c r="G15813" s="41">
        <v>9</v>
      </c>
      <c r="H15813" s="41">
        <v>36.954610000000002</v>
      </c>
      <c r="I15813" s="221"/>
      <c r="J15813" s="221"/>
    </row>
    <row r="15814" spans="1:10" s="15" customFormat="1" ht="24" hidden="1" customHeight="1" outlineLevel="1" x14ac:dyDescent="0.25">
      <c r="A15814" s="18">
        <v>5881</v>
      </c>
      <c r="B15814" s="4" t="s">
        <v>44</v>
      </c>
      <c r="C15814" s="38" t="s">
        <v>13167</v>
      </c>
      <c r="D15814" s="18">
        <v>2023</v>
      </c>
      <c r="E15814" s="18" t="s">
        <v>0</v>
      </c>
      <c r="F15814" s="41">
        <v>1</v>
      </c>
      <c r="G15814" s="41">
        <v>15</v>
      </c>
      <c r="H15814" s="41">
        <v>36.656939999999999</v>
      </c>
      <c r="I15814" s="221"/>
      <c r="J15814" s="221"/>
    </row>
    <row r="15815" spans="1:10" s="15" customFormat="1" ht="24" hidden="1" customHeight="1" outlineLevel="1" x14ac:dyDescent="0.25">
      <c r="A15815" s="18">
        <v>5885</v>
      </c>
      <c r="B15815" s="4" t="s">
        <v>44</v>
      </c>
      <c r="C15815" s="38" t="s">
        <v>13168</v>
      </c>
      <c r="D15815" s="18">
        <v>2023</v>
      </c>
      <c r="E15815" s="18" t="s">
        <v>0</v>
      </c>
      <c r="F15815" s="41">
        <v>1</v>
      </c>
      <c r="G15815" s="41">
        <v>15</v>
      </c>
      <c r="H15815" s="41">
        <v>36.966569999999997</v>
      </c>
      <c r="I15815" s="221"/>
      <c r="J15815" s="221"/>
    </row>
    <row r="15816" spans="1:10" s="15" customFormat="1" ht="24" hidden="1" customHeight="1" outlineLevel="1" x14ac:dyDescent="0.25">
      <c r="A15816" s="18">
        <v>2179</v>
      </c>
      <c r="B15816" s="4" t="s">
        <v>44</v>
      </c>
      <c r="C15816" s="38" t="s">
        <v>13169</v>
      </c>
      <c r="D15816" s="18">
        <v>2023</v>
      </c>
      <c r="E15816" s="18" t="s">
        <v>0</v>
      </c>
      <c r="F15816" s="41">
        <v>1</v>
      </c>
      <c r="G15816" s="41">
        <v>6</v>
      </c>
      <c r="H15816" s="41">
        <v>36.966569999999997</v>
      </c>
      <c r="I15816" s="221"/>
      <c r="J15816" s="221"/>
    </row>
    <row r="15817" spans="1:10" s="15" customFormat="1" ht="24" hidden="1" customHeight="1" outlineLevel="1" x14ac:dyDescent="0.25">
      <c r="A15817" s="18">
        <v>2085</v>
      </c>
      <c r="B15817" s="4" t="s">
        <v>44</v>
      </c>
      <c r="C15817" s="38" t="s">
        <v>13170</v>
      </c>
      <c r="D15817" s="18">
        <v>2023</v>
      </c>
      <c r="E15817" s="18" t="s">
        <v>0</v>
      </c>
      <c r="F15817" s="41">
        <v>1</v>
      </c>
      <c r="G15817" s="41">
        <v>8</v>
      </c>
      <c r="H15817" s="41">
        <v>36.966549999999998</v>
      </c>
      <c r="I15817" s="221"/>
      <c r="J15817" s="221"/>
    </row>
    <row r="15818" spans="1:10" s="15" customFormat="1" ht="24" hidden="1" customHeight="1" outlineLevel="1" x14ac:dyDescent="0.25">
      <c r="A15818" s="18">
        <v>5889</v>
      </c>
      <c r="B15818" s="4" t="s">
        <v>44</v>
      </c>
      <c r="C15818" s="38" t="s">
        <v>13171</v>
      </c>
      <c r="D15818" s="18">
        <v>2023</v>
      </c>
      <c r="E15818" s="18" t="s">
        <v>0</v>
      </c>
      <c r="F15818" s="41">
        <v>1</v>
      </c>
      <c r="G15818" s="41">
        <v>15</v>
      </c>
      <c r="H15818" s="41">
        <v>37.962209999999999</v>
      </c>
      <c r="I15818" s="221"/>
      <c r="J15818" s="221"/>
    </row>
    <row r="15819" spans="1:10" s="15" customFormat="1" ht="24" hidden="1" customHeight="1" outlineLevel="1" x14ac:dyDescent="0.25">
      <c r="A15819" s="18">
        <v>5892</v>
      </c>
      <c r="B15819" s="4" t="s">
        <v>44</v>
      </c>
      <c r="C15819" s="38" t="s">
        <v>13172</v>
      </c>
      <c r="D15819" s="18">
        <v>2023</v>
      </c>
      <c r="E15819" s="18" t="s">
        <v>0</v>
      </c>
      <c r="F15819" s="41">
        <v>1</v>
      </c>
      <c r="G15819" s="41">
        <v>15</v>
      </c>
      <c r="H15819" s="41">
        <v>37.962209999999999</v>
      </c>
      <c r="I15819" s="221"/>
      <c r="J15819" s="221"/>
    </row>
    <row r="15820" spans="1:10" s="15" customFormat="1" ht="24" hidden="1" customHeight="1" outlineLevel="1" x14ac:dyDescent="0.25">
      <c r="A15820" s="18">
        <v>2630</v>
      </c>
      <c r="B15820" s="4" t="s">
        <v>44</v>
      </c>
      <c r="C15820" s="38" t="s">
        <v>13173</v>
      </c>
      <c r="D15820" s="18">
        <v>2023</v>
      </c>
      <c r="E15820" s="18" t="s">
        <v>0</v>
      </c>
      <c r="F15820" s="41">
        <v>1</v>
      </c>
      <c r="G15820" s="41">
        <v>10</v>
      </c>
      <c r="H15820" s="41">
        <v>37.962209999999999</v>
      </c>
      <c r="I15820" s="221"/>
      <c r="J15820" s="221"/>
    </row>
    <row r="15821" spans="1:10" s="15" customFormat="1" ht="24" hidden="1" customHeight="1" outlineLevel="1" x14ac:dyDescent="0.25">
      <c r="A15821" s="18">
        <v>5907</v>
      </c>
      <c r="B15821" s="4" t="s">
        <v>44</v>
      </c>
      <c r="C15821" s="38" t="s">
        <v>13174</v>
      </c>
      <c r="D15821" s="18">
        <v>2023</v>
      </c>
      <c r="E15821" s="18" t="s">
        <v>0</v>
      </c>
      <c r="F15821" s="41">
        <v>1</v>
      </c>
      <c r="G15821" s="41">
        <v>15</v>
      </c>
      <c r="H15821" s="41">
        <v>38.54607</v>
      </c>
      <c r="I15821" s="221"/>
      <c r="J15821" s="221"/>
    </row>
    <row r="15822" spans="1:10" s="15" customFormat="1" ht="24" hidden="1" customHeight="1" outlineLevel="1" x14ac:dyDescent="0.25">
      <c r="A15822" s="18">
        <v>5918</v>
      </c>
      <c r="B15822" s="4" t="s">
        <v>44</v>
      </c>
      <c r="C15822" s="38" t="s">
        <v>13175</v>
      </c>
      <c r="D15822" s="18">
        <v>2023</v>
      </c>
      <c r="E15822" s="18" t="s">
        <v>0</v>
      </c>
      <c r="F15822" s="41">
        <v>1</v>
      </c>
      <c r="G15822" s="41">
        <v>12</v>
      </c>
      <c r="H15822" s="41">
        <v>38.371560000000002</v>
      </c>
      <c r="I15822" s="221"/>
      <c r="J15822" s="221"/>
    </row>
    <row r="15823" spans="1:10" s="15" customFormat="1" ht="24" hidden="1" customHeight="1" outlineLevel="1" x14ac:dyDescent="0.25">
      <c r="A15823" s="18">
        <v>2224</v>
      </c>
      <c r="B15823" s="4" t="s">
        <v>44</v>
      </c>
      <c r="C15823" s="38" t="s">
        <v>13176</v>
      </c>
      <c r="D15823" s="18">
        <v>2023</v>
      </c>
      <c r="E15823" s="18" t="s">
        <v>0</v>
      </c>
      <c r="F15823" s="41">
        <v>1</v>
      </c>
      <c r="G15823" s="41">
        <v>15</v>
      </c>
      <c r="H15823" s="41">
        <v>37.704389999999997</v>
      </c>
      <c r="I15823" s="221"/>
      <c r="J15823" s="221"/>
    </row>
    <row r="15824" spans="1:10" s="15" customFormat="1" ht="24" hidden="1" customHeight="1" outlineLevel="1" x14ac:dyDescent="0.25">
      <c r="A15824" s="18">
        <v>5938</v>
      </c>
      <c r="B15824" s="4" t="s">
        <v>44</v>
      </c>
      <c r="C15824" s="38" t="s">
        <v>13177</v>
      </c>
      <c r="D15824" s="18">
        <v>2023</v>
      </c>
      <c r="E15824" s="18" t="s">
        <v>0</v>
      </c>
      <c r="F15824" s="41">
        <v>1</v>
      </c>
      <c r="G15824" s="41">
        <v>15</v>
      </c>
      <c r="H15824" s="41">
        <v>37.962150000000001</v>
      </c>
      <c r="I15824" s="221"/>
      <c r="J15824" s="221"/>
    </row>
    <row r="15825" spans="1:10" s="15" customFormat="1" ht="24" hidden="1" customHeight="1" outlineLevel="1" x14ac:dyDescent="0.25">
      <c r="A15825" s="18">
        <v>5939</v>
      </c>
      <c r="B15825" s="4" t="s">
        <v>44</v>
      </c>
      <c r="C15825" s="38" t="s">
        <v>13178</v>
      </c>
      <c r="D15825" s="18">
        <v>2023</v>
      </c>
      <c r="E15825" s="18" t="s">
        <v>0</v>
      </c>
      <c r="F15825" s="41">
        <v>1</v>
      </c>
      <c r="G15825" s="41">
        <v>15</v>
      </c>
      <c r="H15825" s="41">
        <v>37.962219999999995</v>
      </c>
      <c r="I15825" s="221"/>
      <c r="J15825" s="221"/>
    </row>
    <row r="15826" spans="1:10" s="15" customFormat="1" ht="24" hidden="1" customHeight="1" outlineLevel="1" x14ac:dyDescent="0.25">
      <c r="A15826" s="18">
        <v>5941</v>
      </c>
      <c r="B15826" s="4" t="s">
        <v>44</v>
      </c>
      <c r="C15826" s="38" t="s">
        <v>13179</v>
      </c>
      <c r="D15826" s="18">
        <v>2023</v>
      </c>
      <c r="E15826" s="18" t="s">
        <v>0</v>
      </c>
      <c r="F15826" s="41">
        <v>1</v>
      </c>
      <c r="G15826" s="41">
        <v>15</v>
      </c>
      <c r="H15826" s="41">
        <v>37.962160000000004</v>
      </c>
      <c r="I15826" s="221"/>
      <c r="J15826" s="221"/>
    </row>
    <row r="15827" spans="1:10" s="15" customFormat="1" ht="24" hidden="1" customHeight="1" outlineLevel="1" x14ac:dyDescent="0.25">
      <c r="A15827" s="18">
        <v>2120</v>
      </c>
      <c r="B15827" s="4" t="s">
        <v>44</v>
      </c>
      <c r="C15827" s="38" t="s">
        <v>13180</v>
      </c>
      <c r="D15827" s="18">
        <v>2023</v>
      </c>
      <c r="E15827" s="18" t="s">
        <v>0</v>
      </c>
      <c r="F15827" s="41">
        <v>1</v>
      </c>
      <c r="G15827" s="41">
        <v>3</v>
      </c>
      <c r="H15827" s="41">
        <v>37.962219999999995</v>
      </c>
      <c r="I15827" s="221"/>
      <c r="J15827" s="221"/>
    </row>
    <row r="15828" spans="1:10" s="15" customFormat="1" ht="24" hidden="1" customHeight="1" outlineLevel="1" x14ac:dyDescent="0.25">
      <c r="A15828" s="18">
        <v>2122</v>
      </c>
      <c r="B15828" s="4" t="s">
        <v>44</v>
      </c>
      <c r="C15828" s="38" t="s">
        <v>13181</v>
      </c>
      <c r="D15828" s="18">
        <v>2023</v>
      </c>
      <c r="E15828" s="18" t="s">
        <v>0</v>
      </c>
      <c r="F15828" s="41">
        <v>1</v>
      </c>
      <c r="G15828" s="41">
        <v>7</v>
      </c>
      <c r="H15828" s="41">
        <v>37.962209999999999</v>
      </c>
      <c r="I15828" s="221"/>
      <c r="J15828" s="221"/>
    </row>
    <row r="15829" spans="1:10" s="15" customFormat="1" ht="24" hidden="1" customHeight="1" outlineLevel="1" x14ac:dyDescent="0.25">
      <c r="A15829" s="18">
        <v>5949</v>
      </c>
      <c r="B15829" s="4" t="s">
        <v>44</v>
      </c>
      <c r="C15829" s="38" t="s">
        <v>13182</v>
      </c>
      <c r="D15829" s="18">
        <v>2023</v>
      </c>
      <c r="E15829" s="18" t="s">
        <v>0</v>
      </c>
      <c r="F15829" s="41">
        <v>1</v>
      </c>
      <c r="G15829" s="41">
        <v>15</v>
      </c>
      <c r="H15829" s="41">
        <v>37.962219999999995</v>
      </c>
      <c r="I15829" s="221"/>
      <c r="J15829" s="221"/>
    </row>
    <row r="15830" spans="1:10" s="15" customFormat="1" ht="24" hidden="1" customHeight="1" outlineLevel="1" x14ac:dyDescent="0.25">
      <c r="A15830" s="18">
        <v>5958</v>
      </c>
      <c r="B15830" s="4" t="s">
        <v>44</v>
      </c>
      <c r="C15830" s="38" t="s">
        <v>13183</v>
      </c>
      <c r="D15830" s="18">
        <v>2023</v>
      </c>
      <c r="E15830" s="18" t="s">
        <v>0</v>
      </c>
      <c r="F15830" s="41">
        <v>1</v>
      </c>
      <c r="G15830" s="41">
        <v>15</v>
      </c>
      <c r="H15830" s="41">
        <v>37.962139999999998</v>
      </c>
      <c r="I15830" s="221"/>
      <c r="J15830" s="221"/>
    </row>
    <row r="15831" spans="1:10" s="15" customFormat="1" ht="24" hidden="1" customHeight="1" outlineLevel="1" x14ac:dyDescent="0.25">
      <c r="A15831" s="18">
        <v>5959</v>
      </c>
      <c r="B15831" s="4" t="s">
        <v>44</v>
      </c>
      <c r="C15831" s="38" t="s">
        <v>13184</v>
      </c>
      <c r="D15831" s="18">
        <v>2023</v>
      </c>
      <c r="E15831" s="18" t="s">
        <v>0</v>
      </c>
      <c r="F15831" s="41">
        <v>1</v>
      </c>
      <c r="G15831" s="41">
        <v>15</v>
      </c>
      <c r="H15831" s="41">
        <v>38.254169999999995</v>
      </c>
      <c r="I15831" s="221"/>
      <c r="J15831" s="221"/>
    </row>
    <row r="15832" spans="1:10" s="15" customFormat="1" ht="24" hidden="1" customHeight="1" outlineLevel="1" x14ac:dyDescent="0.25">
      <c r="A15832" s="18">
        <v>2275</v>
      </c>
      <c r="B15832" s="4" t="s">
        <v>44</v>
      </c>
      <c r="C15832" s="38" t="s">
        <v>13185</v>
      </c>
      <c r="D15832" s="18">
        <v>2023</v>
      </c>
      <c r="E15832" s="18" t="s">
        <v>0</v>
      </c>
      <c r="F15832" s="41">
        <v>1</v>
      </c>
      <c r="G15832" s="41">
        <v>10</v>
      </c>
      <c r="H15832" s="41">
        <v>37.045519999999996</v>
      </c>
      <c r="I15832" s="221"/>
      <c r="J15832" s="221"/>
    </row>
    <row r="15833" spans="1:10" s="15" customFormat="1" ht="24" hidden="1" customHeight="1" outlineLevel="1" x14ac:dyDescent="0.25">
      <c r="A15833" s="18">
        <v>5965</v>
      </c>
      <c r="B15833" s="4" t="s">
        <v>44</v>
      </c>
      <c r="C15833" s="38" t="s">
        <v>13186</v>
      </c>
      <c r="D15833" s="18">
        <v>2023</v>
      </c>
      <c r="E15833" s="18" t="s">
        <v>0</v>
      </c>
      <c r="F15833" s="41">
        <v>1</v>
      </c>
      <c r="G15833" s="41">
        <v>13.5</v>
      </c>
      <c r="H15833" s="41">
        <v>37.201889999999999</v>
      </c>
      <c r="I15833" s="221"/>
      <c r="J15833" s="221"/>
    </row>
    <row r="15834" spans="1:10" s="15" customFormat="1" ht="24" hidden="1" customHeight="1" outlineLevel="1" x14ac:dyDescent="0.25">
      <c r="A15834" s="18">
        <v>2209</v>
      </c>
      <c r="B15834" s="4" t="s">
        <v>44</v>
      </c>
      <c r="C15834" s="38" t="s">
        <v>13187</v>
      </c>
      <c r="D15834" s="18">
        <v>2023</v>
      </c>
      <c r="E15834" s="18" t="s">
        <v>0</v>
      </c>
      <c r="F15834" s="41">
        <v>1</v>
      </c>
      <c r="G15834" s="41">
        <v>7</v>
      </c>
      <c r="H15834" s="41">
        <v>37.045519999999996</v>
      </c>
      <c r="I15834" s="221"/>
      <c r="J15834" s="221"/>
    </row>
    <row r="15835" spans="1:10" s="15" customFormat="1" ht="24" hidden="1" customHeight="1" outlineLevel="1" x14ac:dyDescent="0.25">
      <c r="A15835" s="18">
        <v>5966</v>
      </c>
      <c r="B15835" s="4" t="s">
        <v>44</v>
      </c>
      <c r="C15835" s="38" t="s">
        <v>13188</v>
      </c>
      <c r="D15835" s="18">
        <v>2023</v>
      </c>
      <c r="E15835" s="18" t="s">
        <v>0</v>
      </c>
      <c r="F15835" s="41">
        <v>1</v>
      </c>
      <c r="G15835" s="41">
        <v>10</v>
      </c>
      <c r="H15835" s="41">
        <v>37.358280000000001</v>
      </c>
      <c r="I15835" s="221"/>
      <c r="J15835" s="221"/>
    </row>
    <row r="15836" spans="1:10" s="15" customFormat="1" ht="24" hidden="1" customHeight="1" outlineLevel="1" x14ac:dyDescent="0.25">
      <c r="A15836" s="18">
        <v>1258</v>
      </c>
      <c r="B15836" s="4" t="s">
        <v>44</v>
      </c>
      <c r="C15836" s="38" t="s">
        <v>13189</v>
      </c>
      <c r="D15836" s="18">
        <v>2023</v>
      </c>
      <c r="E15836" s="18" t="s">
        <v>0</v>
      </c>
      <c r="F15836" s="41">
        <v>1</v>
      </c>
      <c r="G15836" s="41">
        <v>15</v>
      </c>
      <c r="H15836" s="41">
        <v>37.045900000000003</v>
      </c>
      <c r="I15836" s="221"/>
      <c r="J15836" s="221"/>
    </row>
    <row r="15837" spans="1:10" s="15" customFormat="1" ht="24" hidden="1" customHeight="1" outlineLevel="1" x14ac:dyDescent="0.25">
      <c r="A15837" s="18">
        <v>5968</v>
      </c>
      <c r="B15837" s="4" t="s">
        <v>44</v>
      </c>
      <c r="C15837" s="38" t="s">
        <v>13190</v>
      </c>
      <c r="D15837" s="18">
        <v>2023</v>
      </c>
      <c r="E15837" s="18" t="s">
        <v>0</v>
      </c>
      <c r="F15837" s="41">
        <v>1</v>
      </c>
      <c r="G15837" s="41">
        <v>15</v>
      </c>
      <c r="H15837" s="41">
        <v>37.840890000000002</v>
      </c>
      <c r="I15837" s="221"/>
      <c r="J15837" s="221"/>
    </row>
    <row r="15838" spans="1:10" s="15" customFormat="1" ht="24" hidden="1" customHeight="1" outlineLevel="1" x14ac:dyDescent="0.25">
      <c r="A15838" s="18">
        <v>5969</v>
      </c>
      <c r="B15838" s="4" t="s">
        <v>44</v>
      </c>
      <c r="C15838" s="38" t="s">
        <v>13191</v>
      </c>
      <c r="D15838" s="18">
        <v>2023</v>
      </c>
      <c r="E15838" s="18" t="s">
        <v>0</v>
      </c>
      <c r="F15838" s="41">
        <v>1</v>
      </c>
      <c r="G15838" s="41">
        <v>15</v>
      </c>
      <c r="H15838" s="41">
        <v>38.099889999999995</v>
      </c>
      <c r="I15838" s="221"/>
      <c r="J15838" s="221"/>
    </row>
    <row r="15839" spans="1:10" s="15" customFormat="1" ht="24" hidden="1" customHeight="1" outlineLevel="1" x14ac:dyDescent="0.25">
      <c r="A15839" s="18">
        <v>5971</v>
      </c>
      <c r="B15839" s="4" t="s">
        <v>44</v>
      </c>
      <c r="C15839" s="38" t="s">
        <v>13192</v>
      </c>
      <c r="D15839" s="18">
        <v>2023</v>
      </c>
      <c r="E15839" s="18" t="s">
        <v>0</v>
      </c>
      <c r="F15839" s="41">
        <v>1</v>
      </c>
      <c r="G15839" s="41">
        <v>15</v>
      </c>
      <c r="H15839" s="41">
        <v>37.840890000000002</v>
      </c>
      <c r="I15839" s="221"/>
      <c r="J15839" s="221"/>
    </row>
    <row r="15840" spans="1:10" s="15" customFormat="1" ht="24" hidden="1" customHeight="1" outlineLevel="1" x14ac:dyDescent="0.25">
      <c r="A15840" s="18">
        <v>2653</v>
      </c>
      <c r="B15840" s="4" t="s">
        <v>44</v>
      </c>
      <c r="C15840" s="38" t="s">
        <v>13193</v>
      </c>
      <c r="D15840" s="18">
        <v>2023</v>
      </c>
      <c r="E15840" s="18" t="s">
        <v>0</v>
      </c>
      <c r="F15840" s="41">
        <v>1</v>
      </c>
      <c r="G15840" s="41">
        <v>1</v>
      </c>
      <c r="H15840" s="41">
        <v>37.840890000000002</v>
      </c>
      <c r="I15840" s="221"/>
      <c r="J15840" s="221"/>
    </row>
    <row r="15841" spans="1:10" s="15" customFormat="1" ht="24" hidden="1" customHeight="1" outlineLevel="1" x14ac:dyDescent="0.25">
      <c r="A15841" s="18">
        <v>5972</v>
      </c>
      <c r="B15841" s="4" t="s">
        <v>44</v>
      </c>
      <c r="C15841" s="38" t="s">
        <v>13194</v>
      </c>
      <c r="D15841" s="18">
        <v>2023</v>
      </c>
      <c r="E15841" s="18" t="s">
        <v>0</v>
      </c>
      <c r="F15841" s="41">
        <v>1</v>
      </c>
      <c r="G15841" s="41">
        <v>14.1</v>
      </c>
      <c r="H15841" s="41">
        <v>37.840890000000002</v>
      </c>
      <c r="I15841" s="221"/>
      <c r="J15841" s="221"/>
    </row>
    <row r="15842" spans="1:10" s="15" customFormat="1" ht="24" hidden="1" customHeight="1" outlineLevel="1" x14ac:dyDescent="0.25">
      <c r="A15842" s="18">
        <v>5973</v>
      </c>
      <c r="B15842" s="4" t="s">
        <v>44</v>
      </c>
      <c r="C15842" s="38" t="s">
        <v>13195</v>
      </c>
      <c r="D15842" s="18">
        <v>2023</v>
      </c>
      <c r="E15842" s="18" t="s">
        <v>0</v>
      </c>
      <c r="F15842" s="41">
        <v>1</v>
      </c>
      <c r="G15842" s="41">
        <v>15</v>
      </c>
      <c r="H15842" s="41">
        <v>37.840890000000002</v>
      </c>
      <c r="I15842" s="221"/>
      <c r="J15842" s="221"/>
    </row>
    <row r="15843" spans="1:10" s="15" customFormat="1" ht="24" hidden="1" customHeight="1" outlineLevel="1" x14ac:dyDescent="0.25">
      <c r="A15843" s="18">
        <v>5975</v>
      </c>
      <c r="B15843" s="4" t="s">
        <v>44</v>
      </c>
      <c r="C15843" s="38" t="s">
        <v>13196</v>
      </c>
      <c r="D15843" s="18">
        <v>2023</v>
      </c>
      <c r="E15843" s="18" t="s">
        <v>0</v>
      </c>
      <c r="F15843" s="41">
        <v>1</v>
      </c>
      <c r="G15843" s="41">
        <v>12</v>
      </c>
      <c r="H15843" s="41">
        <v>37.840879999999999</v>
      </c>
      <c r="I15843" s="221"/>
      <c r="J15843" s="221"/>
    </row>
    <row r="15844" spans="1:10" s="15" customFormat="1" ht="24" hidden="1" customHeight="1" outlineLevel="1" x14ac:dyDescent="0.25">
      <c r="A15844" s="18">
        <v>5979</v>
      </c>
      <c r="B15844" s="4" t="s">
        <v>44</v>
      </c>
      <c r="C15844" s="38" t="s">
        <v>13197</v>
      </c>
      <c r="D15844" s="18">
        <v>2023</v>
      </c>
      <c r="E15844" s="18" t="s">
        <v>0</v>
      </c>
      <c r="F15844" s="41">
        <v>1</v>
      </c>
      <c r="G15844" s="41">
        <v>7.5</v>
      </c>
      <c r="H15844" s="41">
        <v>36.748820000000002</v>
      </c>
      <c r="I15844" s="221"/>
      <c r="J15844" s="221"/>
    </row>
    <row r="15845" spans="1:10" s="15" customFormat="1" ht="24" hidden="1" customHeight="1" outlineLevel="1" x14ac:dyDescent="0.25">
      <c r="A15845" s="18">
        <v>5981</v>
      </c>
      <c r="B15845" s="4" t="s">
        <v>44</v>
      </c>
      <c r="C15845" s="38" t="s">
        <v>13198</v>
      </c>
      <c r="D15845" s="18">
        <v>2023</v>
      </c>
      <c r="E15845" s="18" t="s">
        <v>0</v>
      </c>
      <c r="F15845" s="41">
        <v>1</v>
      </c>
      <c r="G15845" s="41">
        <v>15</v>
      </c>
      <c r="H15845" s="41">
        <v>36.748809999999999</v>
      </c>
      <c r="I15845" s="221"/>
      <c r="J15845" s="221"/>
    </row>
    <row r="15846" spans="1:10" s="15" customFormat="1" ht="24" hidden="1" customHeight="1" outlineLevel="1" x14ac:dyDescent="0.25">
      <c r="A15846" s="18">
        <v>5988</v>
      </c>
      <c r="B15846" s="4" t="s">
        <v>44</v>
      </c>
      <c r="C15846" s="38" t="s">
        <v>13199</v>
      </c>
      <c r="D15846" s="18">
        <v>2023</v>
      </c>
      <c r="E15846" s="18" t="s">
        <v>0</v>
      </c>
      <c r="F15846" s="41">
        <v>1</v>
      </c>
      <c r="G15846" s="41">
        <v>50</v>
      </c>
      <c r="H15846" s="41">
        <v>36.574349999999995</v>
      </c>
      <c r="I15846" s="221"/>
      <c r="J15846" s="221"/>
    </row>
    <row r="15847" spans="1:10" s="15" customFormat="1" ht="24" hidden="1" customHeight="1" outlineLevel="1" x14ac:dyDescent="0.25">
      <c r="A15847" s="18">
        <v>5989</v>
      </c>
      <c r="B15847" s="4" t="s">
        <v>44</v>
      </c>
      <c r="C15847" s="38" t="s">
        <v>13200</v>
      </c>
      <c r="D15847" s="18">
        <v>2023</v>
      </c>
      <c r="E15847" s="18" t="s">
        <v>0</v>
      </c>
      <c r="F15847" s="41">
        <v>1</v>
      </c>
      <c r="G15847" s="41">
        <v>12</v>
      </c>
      <c r="H15847" s="41">
        <v>36.57441</v>
      </c>
      <c r="I15847" s="221"/>
      <c r="J15847" s="221"/>
    </row>
    <row r="15848" spans="1:10" s="15" customFormat="1" ht="24" hidden="1" customHeight="1" outlineLevel="1" x14ac:dyDescent="0.25">
      <c r="A15848" s="18">
        <v>5991</v>
      </c>
      <c r="B15848" s="4" t="s">
        <v>44</v>
      </c>
      <c r="C15848" s="38" t="s">
        <v>13201</v>
      </c>
      <c r="D15848" s="18">
        <v>2023</v>
      </c>
      <c r="E15848" s="18" t="s">
        <v>0</v>
      </c>
      <c r="F15848" s="41">
        <v>1</v>
      </c>
      <c r="G15848" s="41">
        <v>40</v>
      </c>
      <c r="H15848" s="41">
        <v>36.574419999999996</v>
      </c>
      <c r="I15848" s="221"/>
      <c r="J15848" s="221"/>
    </row>
    <row r="15849" spans="1:10" s="15" customFormat="1" ht="24" hidden="1" customHeight="1" outlineLevel="1" x14ac:dyDescent="0.25">
      <c r="A15849" s="18">
        <v>2725</v>
      </c>
      <c r="B15849" s="4" t="s">
        <v>44</v>
      </c>
      <c r="C15849" s="38" t="s">
        <v>13202</v>
      </c>
      <c r="D15849" s="18">
        <v>2023</v>
      </c>
      <c r="E15849" s="18" t="s">
        <v>0</v>
      </c>
      <c r="F15849" s="41">
        <v>1</v>
      </c>
      <c r="G15849" s="41">
        <v>5</v>
      </c>
      <c r="H15849" s="41">
        <v>37.835700000000003</v>
      </c>
      <c r="I15849" s="221"/>
      <c r="J15849" s="221"/>
    </row>
    <row r="15850" spans="1:10" s="15" customFormat="1" ht="24" hidden="1" customHeight="1" outlineLevel="1" x14ac:dyDescent="0.25">
      <c r="A15850" s="18">
        <v>5992</v>
      </c>
      <c r="B15850" s="4" t="s">
        <v>44</v>
      </c>
      <c r="C15850" s="38" t="s">
        <v>13203</v>
      </c>
      <c r="D15850" s="18">
        <v>2023</v>
      </c>
      <c r="E15850" s="18" t="s">
        <v>0</v>
      </c>
      <c r="F15850" s="41">
        <v>1</v>
      </c>
      <c r="G15850" s="41">
        <v>15</v>
      </c>
      <c r="H15850" s="41">
        <v>37.859620000000007</v>
      </c>
      <c r="I15850" s="221"/>
      <c r="J15850" s="221"/>
    </row>
    <row r="15851" spans="1:10" s="15" customFormat="1" ht="24" hidden="1" customHeight="1" outlineLevel="1" x14ac:dyDescent="0.25">
      <c r="A15851" s="18">
        <v>6001</v>
      </c>
      <c r="B15851" s="4" t="s">
        <v>44</v>
      </c>
      <c r="C15851" s="38" t="s">
        <v>13204</v>
      </c>
      <c r="D15851" s="18">
        <v>2023</v>
      </c>
      <c r="E15851" s="18" t="s">
        <v>0</v>
      </c>
      <c r="F15851" s="41">
        <v>1</v>
      </c>
      <c r="G15851" s="41">
        <v>15</v>
      </c>
      <c r="H15851" s="41">
        <v>38.01003</v>
      </c>
      <c r="I15851" s="221"/>
      <c r="J15851" s="221"/>
    </row>
    <row r="15852" spans="1:10" s="15" customFormat="1" ht="24" hidden="1" customHeight="1" outlineLevel="1" x14ac:dyDescent="0.25">
      <c r="A15852" s="18">
        <v>6010</v>
      </c>
      <c r="B15852" s="4" t="s">
        <v>44</v>
      </c>
      <c r="C15852" s="38" t="s">
        <v>13205</v>
      </c>
      <c r="D15852" s="18">
        <v>2023</v>
      </c>
      <c r="E15852" s="18" t="s">
        <v>0</v>
      </c>
      <c r="F15852" s="41">
        <v>1</v>
      </c>
      <c r="G15852" s="41">
        <v>15</v>
      </c>
      <c r="H15852" s="41">
        <v>38.17689</v>
      </c>
      <c r="I15852" s="221"/>
      <c r="J15852" s="221"/>
    </row>
    <row r="15853" spans="1:10" s="15" customFormat="1" ht="24" hidden="1" customHeight="1" outlineLevel="1" x14ac:dyDescent="0.25">
      <c r="A15853" s="18">
        <v>2014</v>
      </c>
      <c r="B15853" s="4" t="s">
        <v>44</v>
      </c>
      <c r="C15853" s="38" t="s">
        <v>13206</v>
      </c>
      <c r="D15853" s="18">
        <v>2023</v>
      </c>
      <c r="E15853" s="18" t="s">
        <v>0</v>
      </c>
      <c r="F15853" s="41">
        <v>1</v>
      </c>
      <c r="G15853" s="41">
        <v>7</v>
      </c>
      <c r="H15853" s="41">
        <v>38.010100000000001</v>
      </c>
      <c r="I15853" s="221"/>
      <c r="J15853" s="221"/>
    </row>
    <row r="15854" spans="1:10" s="15" customFormat="1" ht="24" hidden="1" customHeight="1" outlineLevel="1" x14ac:dyDescent="0.25">
      <c r="A15854" s="18">
        <v>6016</v>
      </c>
      <c r="B15854" s="4" t="s">
        <v>44</v>
      </c>
      <c r="C15854" s="38" t="s">
        <v>13207</v>
      </c>
      <c r="D15854" s="18">
        <v>2023</v>
      </c>
      <c r="E15854" s="18" t="s">
        <v>0</v>
      </c>
      <c r="F15854" s="41">
        <v>1</v>
      </c>
      <c r="G15854" s="41">
        <v>15</v>
      </c>
      <c r="H15854" s="41">
        <v>38.03398</v>
      </c>
      <c r="I15854" s="221"/>
      <c r="J15854" s="221"/>
    </row>
    <row r="15855" spans="1:10" s="15" customFormat="1" ht="24" hidden="1" customHeight="1" outlineLevel="1" x14ac:dyDescent="0.25">
      <c r="A15855" s="18">
        <v>6026</v>
      </c>
      <c r="B15855" s="4" t="s">
        <v>44</v>
      </c>
      <c r="C15855" s="38" t="s">
        <v>13208</v>
      </c>
      <c r="D15855" s="18">
        <v>2023</v>
      </c>
      <c r="E15855" s="18" t="s">
        <v>0</v>
      </c>
      <c r="F15855" s="41">
        <v>1</v>
      </c>
      <c r="G15855" s="41">
        <v>15</v>
      </c>
      <c r="H15855" s="41">
        <v>38.034019999999998</v>
      </c>
      <c r="I15855" s="221"/>
      <c r="J15855" s="221"/>
    </row>
    <row r="15856" spans="1:10" s="15" customFormat="1" ht="24" hidden="1" customHeight="1" outlineLevel="1" x14ac:dyDescent="0.25">
      <c r="A15856" s="18">
        <v>6027</v>
      </c>
      <c r="B15856" s="4" t="s">
        <v>44</v>
      </c>
      <c r="C15856" s="38" t="s">
        <v>13209</v>
      </c>
      <c r="D15856" s="18">
        <v>2023</v>
      </c>
      <c r="E15856" s="18" t="s">
        <v>0</v>
      </c>
      <c r="F15856" s="41">
        <v>1</v>
      </c>
      <c r="G15856" s="41">
        <v>15</v>
      </c>
      <c r="H15856" s="41">
        <v>38.033439999999999</v>
      </c>
      <c r="I15856" s="221"/>
      <c r="J15856" s="221"/>
    </row>
    <row r="15857" spans="1:10" s="15" customFormat="1" ht="24" hidden="1" customHeight="1" outlineLevel="1" x14ac:dyDescent="0.25">
      <c r="A15857" s="18">
        <v>5012</v>
      </c>
      <c r="B15857" s="4" t="s">
        <v>44</v>
      </c>
      <c r="C15857" s="38" t="s">
        <v>9238</v>
      </c>
      <c r="D15857" s="18">
        <v>2023</v>
      </c>
      <c r="E15857" s="18" t="s">
        <v>0</v>
      </c>
      <c r="F15857" s="41">
        <v>2</v>
      </c>
      <c r="G15857" s="41">
        <v>800</v>
      </c>
      <c r="H15857" s="41">
        <v>1604.5494699999999</v>
      </c>
      <c r="I15857" s="221"/>
      <c r="J15857" s="221"/>
    </row>
    <row r="15858" spans="1:10" s="15" customFormat="1" ht="24" hidden="1" customHeight="1" outlineLevel="1" x14ac:dyDescent="0.25">
      <c r="A15858" s="18">
        <v>2981</v>
      </c>
      <c r="B15858" s="4" t="s">
        <v>44</v>
      </c>
      <c r="C15858" s="38" t="s">
        <v>8731</v>
      </c>
      <c r="D15858" s="18">
        <v>2023</v>
      </c>
      <c r="E15858" s="18" t="s">
        <v>0</v>
      </c>
      <c r="F15858" s="41">
        <v>1</v>
      </c>
      <c r="G15858" s="41">
        <v>55</v>
      </c>
      <c r="H15858" s="41">
        <v>69.110510000000005</v>
      </c>
      <c r="I15858" s="221"/>
      <c r="J15858" s="221"/>
    </row>
    <row r="15859" spans="1:10" s="15" customFormat="1" ht="24" hidden="1" customHeight="1" outlineLevel="1" x14ac:dyDescent="0.25">
      <c r="A15859" s="18">
        <v>5034</v>
      </c>
      <c r="B15859" s="4" t="s">
        <v>44</v>
      </c>
      <c r="C15859" s="38" t="s">
        <v>9352</v>
      </c>
      <c r="D15859" s="18">
        <v>2023</v>
      </c>
      <c r="E15859" s="18" t="s">
        <v>0</v>
      </c>
      <c r="F15859" s="41">
        <v>1</v>
      </c>
      <c r="G15859" s="41">
        <v>15</v>
      </c>
      <c r="H15859" s="41">
        <v>67.156800000000004</v>
      </c>
      <c r="I15859" s="221"/>
      <c r="J15859" s="221"/>
    </row>
    <row r="15860" spans="1:10" s="15" customFormat="1" ht="24" hidden="1" customHeight="1" outlineLevel="1" x14ac:dyDescent="0.25">
      <c r="A15860" s="18">
        <v>445</v>
      </c>
      <c r="B15860" s="4" t="s">
        <v>44</v>
      </c>
      <c r="C15860" s="38" t="s">
        <v>8734</v>
      </c>
      <c r="D15860" s="18">
        <v>2023</v>
      </c>
      <c r="E15860" s="18" t="s">
        <v>0</v>
      </c>
      <c r="F15860" s="41">
        <v>2</v>
      </c>
      <c r="G15860" s="41">
        <v>30</v>
      </c>
      <c r="H15860" s="41">
        <v>74.832239999999999</v>
      </c>
      <c r="I15860" s="221"/>
      <c r="J15860" s="221"/>
    </row>
    <row r="15861" spans="1:10" s="15" customFormat="1" ht="24" hidden="1" customHeight="1" outlineLevel="1" x14ac:dyDescent="0.25">
      <c r="A15861" s="18">
        <v>3010</v>
      </c>
      <c r="B15861" s="4" t="s">
        <v>44</v>
      </c>
      <c r="C15861" s="38" t="s">
        <v>8735</v>
      </c>
      <c r="D15861" s="18">
        <v>2023</v>
      </c>
      <c r="E15861" s="18" t="s">
        <v>0</v>
      </c>
      <c r="F15861" s="41">
        <v>1</v>
      </c>
      <c r="G15861" s="41">
        <v>100</v>
      </c>
      <c r="H15861" s="41">
        <v>90.275829999999999</v>
      </c>
      <c r="I15861" s="221"/>
      <c r="J15861" s="221"/>
    </row>
    <row r="15862" spans="1:10" s="15" customFormat="1" ht="24" hidden="1" customHeight="1" outlineLevel="1" x14ac:dyDescent="0.25">
      <c r="A15862" s="18">
        <v>3922</v>
      </c>
      <c r="B15862" s="4" t="s">
        <v>44</v>
      </c>
      <c r="C15862" s="38" t="s">
        <v>8736</v>
      </c>
      <c r="D15862" s="18">
        <v>2023</v>
      </c>
      <c r="E15862" s="18" t="s">
        <v>0</v>
      </c>
      <c r="F15862" s="41">
        <v>1</v>
      </c>
      <c r="G15862" s="41">
        <v>15</v>
      </c>
      <c r="H15862" s="41">
        <v>48.782550000000001</v>
      </c>
      <c r="I15862" s="221"/>
      <c r="J15862" s="221"/>
    </row>
    <row r="15863" spans="1:10" s="15" customFormat="1" ht="24" hidden="1" customHeight="1" outlineLevel="1" x14ac:dyDescent="0.25">
      <c r="A15863" s="18">
        <v>3214</v>
      </c>
      <c r="B15863" s="4" t="s">
        <v>44</v>
      </c>
      <c r="C15863" s="38" t="s">
        <v>8737</v>
      </c>
      <c r="D15863" s="18">
        <v>2023</v>
      </c>
      <c r="E15863" s="18" t="s">
        <v>0</v>
      </c>
      <c r="F15863" s="41">
        <v>1</v>
      </c>
      <c r="G15863" s="41">
        <v>15</v>
      </c>
      <c r="H15863" s="41">
        <v>61.823059999999998</v>
      </c>
      <c r="I15863" s="221"/>
      <c r="J15863" s="221"/>
    </row>
    <row r="15864" spans="1:10" s="15" customFormat="1" ht="24" hidden="1" customHeight="1" outlineLevel="1" x14ac:dyDescent="0.25">
      <c r="A15864" s="18">
        <v>5049</v>
      </c>
      <c r="B15864" s="4" t="s">
        <v>44</v>
      </c>
      <c r="C15864" s="38" t="s">
        <v>8738</v>
      </c>
      <c r="D15864" s="18">
        <v>2023</v>
      </c>
      <c r="E15864" s="18" t="s">
        <v>0</v>
      </c>
      <c r="F15864" s="41">
        <v>1</v>
      </c>
      <c r="G15864" s="41">
        <v>70</v>
      </c>
      <c r="H15864" s="41">
        <v>68.412940000000006</v>
      </c>
      <c r="I15864" s="221"/>
      <c r="J15864" s="221"/>
    </row>
    <row r="15865" spans="1:10" s="15" customFormat="1" ht="24" hidden="1" customHeight="1" outlineLevel="1" x14ac:dyDescent="0.25">
      <c r="A15865" s="18">
        <v>3369</v>
      </c>
      <c r="B15865" s="4" t="s">
        <v>44</v>
      </c>
      <c r="C15865" s="38" t="s">
        <v>8739</v>
      </c>
      <c r="D15865" s="18">
        <v>2023</v>
      </c>
      <c r="E15865" s="18" t="s">
        <v>0</v>
      </c>
      <c r="F15865" s="41">
        <v>1</v>
      </c>
      <c r="G15865" s="41">
        <v>15</v>
      </c>
      <c r="H15865" s="41">
        <v>76.373380000000012</v>
      </c>
      <c r="I15865" s="221"/>
      <c r="J15865" s="221"/>
    </row>
    <row r="15866" spans="1:10" s="15" customFormat="1" ht="24" hidden="1" customHeight="1" outlineLevel="1" x14ac:dyDescent="0.25">
      <c r="A15866" s="18">
        <v>582</v>
      </c>
      <c r="B15866" s="4" t="s">
        <v>44</v>
      </c>
      <c r="C15866" s="38" t="s">
        <v>8741</v>
      </c>
      <c r="D15866" s="18">
        <v>2023</v>
      </c>
      <c r="E15866" s="18" t="s">
        <v>0</v>
      </c>
      <c r="F15866" s="41">
        <v>1</v>
      </c>
      <c r="G15866" s="41">
        <v>10</v>
      </c>
      <c r="H15866" s="41">
        <v>58.915339999999993</v>
      </c>
      <c r="I15866" s="221"/>
      <c r="J15866" s="221"/>
    </row>
    <row r="15867" spans="1:10" s="15" customFormat="1" ht="24" hidden="1" customHeight="1" outlineLevel="1" x14ac:dyDescent="0.25">
      <c r="A15867" s="18">
        <v>598</v>
      </c>
      <c r="B15867" s="4" t="s">
        <v>44</v>
      </c>
      <c r="C15867" s="38" t="s">
        <v>8742</v>
      </c>
      <c r="D15867" s="18">
        <v>2023</v>
      </c>
      <c r="E15867" s="18" t="s">
        <v>0</v>
      </c>
      <c r="F15867" s="41">
        <v>1</v>
      </c>
      <c r="G15867" s="41">
        <v>15</v>
      </c>
      <c r="H15867" s="41">
        <v>62.515310000000007</v>
      </c>
      <c r="I15867" s="221"/>
      <c r="J15867" s="221"/>
    </row>
    <row r="15868" spans="1:10" s="15" customFormat="1" ht="24" hidden="1" customHeight="1" outlineLevel="1" x14ac:dyDescent="0.25">
      <c r="A15868" s="18">
        <v>727</v>
      </c>
      <c r="B15868" s="4" t="s">
        <v>44</v>
      </c>
      <c r="C15868" s="38" t="s">
        <v>8743</v>
      </c>
      <c r="D15868" s="18">
        <v>2023</v>
      </c>
      <c r="E15868" s="18" t="s">
        <v>0</v>
      </c>
      <c r="F15868" s="41">
        <v>1</v>
      </c>
      <c r="G15868" s="41">
        <v>14</v>
      </c>
      <c r="H15868" s="41">
        <v>61.254089999999998</v>
      </c>
      <c r="I15868" s="221"/>
      <c r="J15868" s="221"/>
    </row>
    <row r="15869" spans="1:10" s="15" customFormat="1" ht="24" hidden="1" customHeight="1" outlineLevel="1" x14ac:dyDescent="0.25">
      <c r="A15869" s="18">
        <v>790</v>
      </c>
      <c r="B15869" s="4" t="s">
        <v>44</v>
      </c>
      <c r="C15869" s="38" t="s">
        <v>8746</v>
      </c>
      <c r="D15869" s="18">
        <v>2023</v>
      </c>
      <c r="E15869" s="18" t="s">
        <v>0</v>
      </c>
      <c r="F15869" s="41">
        <v>1</v>
      </c>
      <c r="G15869" s="41">
        <v>15</v>
      </c>
      <c r="H15869" s="41">
        <v>63.654060000000001</v>
      </c>
      <c r="I15869" s="221"/>
      <c r="J15869" s="221"/>
    </row>
    <row r="15870" spans="1:10" s="15" customFormat="1" ht="24" hidden="1" customHeight="1" outlineLevel="1" x14ac:dyDescent="0.25">
      <c r="A15870" s="18">
        <v>3056</v>
      </c>
      <c r="B15870" s="4" t="s">
        <v>44</v>
      </c>
      <c r="C15870" s="38" t="s">
        <v>8747</v>
      </c>
      <c r="D15870" s="18">
        <v>2023</v>
      </c>
      <c r="E15870" s="18" t="s">
        <v>0</v>
      </c>
      <c r="F15870" s="41">
        <v>1</v>
      </c>
      <c r="G15870" s="41">
        <v>100</v>
      </c>
      <c r="H15870" s="41">
        <v>81.327500000000001</v>
      </c>
      <c r="I15870" s="221"/>
      <c r="J15870" s="221"/>
    </row>
    <row r="15871" spans="1:10" s="15" customFormat="1" ht="24" hidden="1" customHeight="1" outlineLevel="1" x14ac:dyDescent="0.25">
      <c r="A15871" s="18">
        <v>3058</v>
      </c>
      <c r="B15871" s="4" t="s">
        <v>44</v>
      </c>
      <c r="C15871" s="38" t="s">
        <v>9155</v>
      </c>
      <c r="D15871" s="18">
        <v>2023</v>
      </c>
      <c r="E15871" s="18" t="s">
        <v>0</v>
      </c>
      <c r="F15871" s="41">
        <v>1</v>
      </c>
      <c r="G15871" s="41">
        <v>85</v>
      </c>
      <c r="H15871" s="41">
        <v>74.907390000000007</v>
      </c>
      <c r="I15871" s="221"/>
      <c r="J15871" s="221"/>
    </row>
    <row r="15872" spans="1:10" s="15" customFormat="1" ht="24" hidden="1" customHeight="1" outlineLevel="1" x14ac:dyDescent="0.25">
      <c r="A15872" s="18">
        <v>1009</v>
      </c>
      <c r="B15872" s="4" t="s">
        <v>44</v>
      </c>
      <c r="C15872" s="38" t="s">
        <v>8749</v>
      </c>
      <c r="D15872" s="18">
        <v>2023</v>
      </c>
      <c r="E15872" s="18" t="s">
        <v>0</v>
      </c>
      <c r="F15872" s="41">
        <v>1</v>
      </c>
      <c r="G15872" s="41">
        <v>15</v>
      </c>
      <c r="H15872" s="41">
        <v>67.736909999999995</v>
      </c>
      <c r="I15872" s="221"/>
      <c r="J15872" s="221"/>
    </row>
    <row r="15873" spans="1:10" s="15" customFormat="1" ht="24" hidden="1" customHeight="1" outlineLevel="1" x14ac:dyDescent="0.25">
      <c r="A15873" s="18">
        <v>5152</v>
      </c>
      <c r="B15873" s="4" t="s">
        <v>44</v>
      </c>
      <c r="C15873" s="38" t="s">
        <v>8751</v>
      </c>
      <c r="D15873" s="18">
        <v>2023</v>
      </c>
      <c r="E15873" s="18" t="s">
        <v>0</v>
      </c>
      <c r="F15873" s="41">
        <v>1</v>
      </c>
      <c r="G15873" s="41">
        <v>60</v>
      </c>
      <c r="H15873" s="41">
        <v>92.114779999999996</v>
      </c>
      <c r="I15873" s="221"/>
      <c r="J15873" s="221"/>
    </row>
    <row r="15874" spans="1:10" s="15" customFormat="1" ht="24" hidden="1" customHeight="1" outlineLevel="1" x14ac:dyDescent="0.25">
      <c r="A15874" s="18">
        <v>752</v>
      </c>
      <c r="B15874" s="4" t="s">
        <v>44</v>
      </c>
      <c r="C15874" s="38" t="s">
        <v>8752</v>
      </c>
      <c r="D15874" s="18">
        <v>2023</v>
      </c>
      <c r="E15874" s="18" t="s">
        <v>0</v>
      </c>
      <c r="F15874" s="41">
        <v>1</v>
      </c>
      <c r="G15874" s="41">
        <v>20</v>
      </c>
      <c r="H15874" s="41">
        <v>73.324029999999993</v>
      </c>
      <c r="I15874" s="221"/>
      <c r="J15874" s="221"/>
    </row>
    <row r="15875" spans="1:10" s="15" customFormat="1" ht="24" hidden="1" customHeight="1" outlineLevel="1" x14ac:dyDescent="0.25">
      <c r="A15875" s="18">
        <v>5511</v>
      </c>
      <c r="B15875" s="4" t="s">
        <v>44</v>
      </c>
      <c r="C15875" s="38" t="s">
        <v>9156</v>
      </c>
      <c r="D15875" s="18">
        <v>2023</v>
      </c>
      <c r="E15875" s="18" t="s">
        <v>0</v>
      </c>
      <c r="F15875" s="41">
        <v>1</v>
      </c>
      <c r="G15875" s="41">
        <v>150</v>
      </c>
      <c r="H15875" s="41">
        <v>96.441810000000004</v>
      </c>
      <c r="I15875" s="221"/>
      <c r="J15875" s="221"/>
    </row>
    <row r="15876" spans="1:10" s="15" customFormat="1" ht="24" hidden="1" customHeight="1" outlineLevel="1" x14ac:dyDescent="0.25">
      <c r="A15876" s="18">
        <v>3300</v>
      </c>
      <c r="B15876" s="4" t="s">
        <v>44</v>
      </c>
      <c r="C15876" s="38" t="s">
        <v>8756</v>
      </c>
      <c r="D15876" s="18">
        <v>2023</v>
      </c>
      <c r="E15876" s="18" t="s">
        <v>0</v>
      </c>
      <c r="F15876" s="41">
        <v>1</v>
      </c>
      <c r="G15876" s="41">
        <v>15</v>
      </c>
      <c r="H15876" s="41">
        <v>70.616810000000001</v>
      </c>
      <c r="I15876" s="221"/>
      <c r="J15876" s="221"/>
    </row>
    <row r="15877" spans="1:10" s="15" customFormat="1" ht="24" hidden="1" customHeight="1" outlineLevel="1" x14ac:dyDescent="0.25">
      <c r="A15877" s="18">
        <v>3282</v>
      </c>
      <c r="B15877" s="4" t="s">
        <v>44</v>
      </c>
      <c r="C15877" s="38" t="s">
        <v>8757</v>
      </c>
      <c r="D15877" s="18">
        <v>2023</v>
      </c>
      <c r="E15877" s="18" t="s">
        <v>0</v>
      </c>
      <c r="F15877" s="41">
        <v>1</v>
      </c>
      <c r="G15877" s="41">
        <v>15</v>
      </c>
      <c r="H15877" s="41">
        <v>71.386769999999999</v>
      </c>
      <c r="I15877" s="221"/>
      <c r="J15877" s="221"/>
    </row>
    <row r="15878" spans="1:10" s="15" customFormat="1" ht="24" hidden="1" customHeight="1" outlineLevel="1" x14ac:dyDescent="0.25">
      <c r="A15878" s="18">
        <v>1993</v>
      </c>
      <c r="B15878" s="4" t="s">
        <v>44</v>
      </c>
      <c r="C15878" s="38" t="s">
        <v>8758</v>
      </c>
      <c r="D15878" s="18">
        <v>2023</v>
      </c>
      <c r="E15878" s="18" t="s">
        <v>0</v>
      </c>
      <c r="F15878" s="41">
        <v>1</v>
      </c>
      <c r="G15878" s="41">
        <v>7</v>
      </c>
      <c r="H15878" s="41">
        <v>51.768560000000001</v>
      </c>
      <c r="I15878" s="221"/>
      <c r="J15878" s="221"/>
    </row>
    <row r="15879" spans="1:10" s="15" customFormat="1" ht="24" hidden="1" customHeight="1" outlineLevel="1" x14ac:dyDescent="0.25">
      <c r="A15879" s="18">
        <v>3144</v>
      </c>
      <c r="B15879" s="4" t="s">
        <v>44</v>
      </c>
      <c r="C15879" s="38" t="s">
        <v>8759</v>
      </c>
      <c r="D15879" s="18">
        <v>2023</v>
      </c>
      <c r="E15879" s="18" t="s">
        <v>0</v>
      </c>
      <c r="F15879" s="41">
        <v>1</v>
      </c>
      <c r="G15879" s="41">
        <v>100</v>
      </c>
      <c r="H15879" s="41">
        <v>81.907530000000008</v>
      </c>
      <c r="I15879" s="221"/>
      <c r="J15879" s="221"/>
    </row>
    <row r="15880" spans="1:10" s="15" customFormat="1" ht="24" hidden="1" customHeight="1" outlineLevel="1" x14ac:dyDescent="0.25">
      <c r="A15880" s="18">
        <v>2204</v>
      </c>
      <c r="B15880" s="4" t="s">
        <v>44</v>
      </c>
      <c r="C15880" s="38" t="s">
        <v>8760</v>
      </c>
      <c r="D15880" s="18">
        <v>2023</v>
      </c>
      <c r="E15880" s="18" t="s">
        <v>0</v>
      </c>
      <c r="F15880" s="41">
        <v>1</v>
      </c>
      <c r="G15880" s="41">
        <v>20</v>
      </c>
      <c r="H15880" s="41">
        <v>119.85052</v>
      </c>
      <c r="I15880" s="221"/>
      <c r="J15880" s="221"/>
    </row>
    <row r="15881" spans="1:10" s="15" customFormat="1" ht="24" hidden="1" customHeight="1" outlineLevel="1" x14ac:dyDescent="0.25">
      <c r="A15881" s="18">
        <v>973</v>
      </c>
      <c r="B15881" s="4" t="s">
        <v>44</v>
      </c>
      <c r="C15881" s="38" t="s">
        <v>8761</v>
      </c>
      <c r="D15881" s="18">
        <v>2023</v>
      </c>
      <c r="E15881" s="18" t="s">
        <v>0</v>
      </c>
      <c r="F15881" s="41">
        <v>4</v>
      </c>
      <c r="G15881" s="41">
        <v>73</v>
      </c>
      <c r="H15881" s="41">
        <v>345.25711999999999</v>
      </c>
      <c r="I15881" s="221"/>
      <c r="J15881" s="221"/>
    </row>
    <row r="15882" spans="1:10" s="15" customFormat="1" ht="24" hidden="1" customHeight="1" outlineLevel="1" x14ac:dyDescent="0.25">
      <c r="A15882" s="18">
        <v>906</v>
      </c>
      <c r="B15882" s="4" t="s">
        <v>44</v>
      </c>
      <c r="C15882" s="38" t="s">
        <v>9157</v>
      </c>
      <c r="D15882" s="18">
        <v>2023</v>
      </c>
      <c r="E15882" s="18" t="s">
        <v>0</v>
      </c>
      <c r="F15882" s="41">
        <v>2</v>
      </c>
      <c r="G15882" s="41">
        <v>24</v>
      </c>
      <c r="H15882" s="41">
        <v>239.64518000000001</v>
      </c>
      <c r="I15882" s="221"/>
      <c r="J15882" s="221"/>
    </row>
    <row r="15883" spans="1:10" s="15" customFormat="1" ht="24" hidden="1" customHeight="1" outlineLevel="1" x14ac:dyDescent="0.25">
      <c r="A15883" s="18">
        <v>3111</v>
      </c>
      <c r="B15883" s="4" t="s">
        <v>44</v>
      </c>
      <c r="C15883" s="38" t="s">
        <v>9158</v>
      </c>
      <c r="D15883" s="18">
        <v>2023</v>
      </c>
      <c r="E15883" s="18" t="s">
        <v>0</v>
      </c>
      <c r="F15883" s="41">
        <v>1</v>
      </c>
      <c r="G15883" s="41">
        <v>150</v>
      </c>
      <c r="H15883" s="41">
        <v>87.193569999999994</v>
      </c>
      <c r="I15883" s="221"/>
      <c r="J15883" s="221"/>
    </row>
    <row r="15884" spans="1:10" s="15" customFormat="1" ht="24" hidden="1" customHeight="1" outlineLevel="1" x14ac:dyDescent="0.25">
      <c r="A15884" s="18">
        <v>5797</v>
      </c>
      <c r="B15884" s="4" t="s">
        <v>44</v>
      </c>
      <c r="C15884" s="38" t="s">
        <v>9353</v>
      </c>
      <c r="D15884" s="18">
        <v>2023</v>
      </c>
      <c r="E15884" s="18" t="s">
        <v>0</v>
      </c>
      <c r="F15884" s="41">
        <v>1</v>
      </c>
      <c r="G15884" s="41">
        <v>35</v>
      </c>
      <c r="H15884" s="41">
        <v>73.79795</v>
      </c>
      <c r="I15884" s="221"/>
      <c r="J15884" s="221"/>
    </row>
    <row r="15885" spans="1:10" s="15" customFormat="1" ht="24" hidden="1" customHeight="1" outlineLevel="1" x14ac:dyDescent="0.25">
      <c r="A15885" s="18">
        <v>1878</v>
      </c>
      <c r="B15885" s="4" t="s">
        <v>44</v>
      </c>
      <c r="C15885" s="38" t="s">
        <v>8765</v>
      </c>
      <c r="D15885" s="18">
        <v>2023</v>
      </c>
      <c r="E15885" s="18" t="s">
        <v>0</v>
      </c>
      <c r="F15885" s="41">
        <v>1</v>
      </c>
      <c r="G15885" s="41">
        <v>15</v>
      </c>
      <c r="H15885" s="41">
        <v>65.241060000000004</v>
      </c>
      <c r="I15885" s="221"/>
      <c r="J15885" s="221"/>
    </row>
    <row r="15886" spans="1:10" s="15" customFormat="1" ht="24" hidden="1" customHeight="1" outlineLevel="1" x14ac:dyDescent="0.25">
      <c r="A15886" s="18">
        <v>5854</v>
      </c>
      <c r="B15886" s="4" t="s">
        <v>44</v>
      </c>
      <c r="C15886" s="38" t="s">
        <v>8766</v>
      </c>
      <c r="D15886" s="18">
        <v>2023</v>
      </c>
      <c r="E15886" s="18" t="s">
        <v>0</v>
      </c>
      <c r="F15886" s="41">
        <v>1</v>
      </c>
      <c r="G15886" s="41">
        <v>13</v>
      </c>
      <c r="H15886" s="41">
        <v>64.707419999999999</v>
      </c>
      <c r="I15886" s="221"/>
      <c r="J15886" s="221"/>
    </row>
    <row r="15887" spans="1:10" s="15" customFormat="1" ht="24" hidden="1" customHeight="1" outlineLevel="1" x14ac:dyDescent="0.25">
      <c r="A15887" s="18">
        <v>3314</v>
      </c>
      <c r="B15887" s="4" t="s">
        <v>44</v>
      </c>
      <c r="C15887" s="38" t="s">
        <v>8767</v>
      </c>
      <c r="D15887" s="18">
        <v>2023</v>
      </c>
      <c r="E15887" s="18" t="s">
        <v>0</v>
      </c>
      <c r="F15887" s="41">
        <v>1</v>
      </c>
      <c r="G15887" s="41">
        <v>15</v>
      </c>
      <c r="H15887" s="41">
        <v>66.606399999999994</v>
      </c>
      <c r="I15887" s="221"/>
      <c r="J15887" s="221"/>
    </row>
    <row r="15888" spans="1:10" s="15" customFormat="1" ht="24" hidden="1" customHeight="1" outlineLevel="1" x14ac:dyDescent="0.25">
      <c r="A15888" s="18">
        <v>2578</v>
      </c>
      <c r="B15888" s="4" t="s">
        <v>44</v>
      </c>
      <c r="C15888" s="38" t="s">
        <v>8768</v>
      </c>
      <c r="D15888" s="18">
        <v>2023</v>
      </c>
      <c r="E15888" s="18" t="s">
        <v>0</v>
      </c>
      <c r="F15888" s="41">
        <v>1</v>
      </c>
      <c r="G15888" s="41">
        <v>7</v>
      </c>
      <c r="H15888" s="41">
        <v>70.646789999999996</v>
      </c>
      <c r="I15888" s="221"/>
      <c r="J15888" s="221"/>
    </row>
    <row r="15889" spans="1:10" s="15" customFormat="1" ht="24" hidden="1" customHeight="1" outlineLevel="1" x14ac:dyDescent="0.25">
      <c r="A15889" s="18">
        <v>6034</v>
      </c>
      <c r="B15889" s="4" t="s">
        <v>44</v>
      </c>
      <c r="C15889" s="38" t="s">
        <v>13210</v>
      </c>
      <c r="D15889" s="18">
        <v>2023</v>
      </c>
      <c r="E15889" s="18" t="s">
        <v>0</v>
      </c>
      <c r="F15889" s="41">
        <v>1</v>
      </c>
      <c r="G15889" s="41">
        <v>15</v>
      </c>
      <c r="H15889" s="41">
        <v>39.331699999999998</v>
      </c>
      <c r="I15889" s="221"/>
      <c r="J15889" s="221"/>
    </row>
    <row r="15890" spans="1:10" s="15" customFormat="1" ht="24" hidden="1" customHeight="1" outlineLevel="1" x14ac:dyDescent="0.25">
      <c r="A15890" s="18">
        <v>6035</v>
      </c>
      <c r="B15890" s="4" t="s">
        <v>44</v>
      </c>
      <c r="C15890" s="38" t="s">
        <v>13211</v>
      </c>
      <c r="D15890" s="18">
        <v>2023</v>
      </c>
      <c r="E15890" s="18" t="s">
        <v>0</v>
      </c>
      <c r="F15890" s="41">
        <v>1</v>
      </c>
      <c r="G15890" s="41">
        <v>15</v>
      </c>
      <c r="H15890" s="41">
        <v>39.331699999999998</v>
      </c>
      <c r="I15890" s="221"/>
      <c r="J15890" s="221"/>
    </row>
    <row r="15891" spans="1:10" s="15" customFormat="1" ht="24" hidden="1" customHeight="1" outlineLevel="1" x14ac:dyDescent="0.25">
      <c r="A15891" s="18">
        <v>6036</v>
      </c>
      <c r="B15891" s="4" t="s">
        <v>44</v>
      </c>
      <c r="C15891" s="38" t="s">
        <v>13212</v>
      </c>
      <c r="D15891" s="18">
        <v>2023</v>
      </c>
      <c r="E15891" s="18" t="s">
        <v>0</v>
      </c>
      <c r="F15891" s="41">
        <v>1</v>
      </c>
      <c r="G15891" s="41">
        <v>24</v>
      </c>
      <c r="H15891" s="41">
        <v>38.288669999999996</v>
      </c>
      <c r="I15891" s="221"/>
      <c r="J15891" s="221"/>
    </row>
    <row r="15892" spans="1:10" s="15" customFormat="1" ht="24" hidden="1" customHeight="1" outlineLevel="1" x14ac:dyDescent="0.25">
      <c r="A15892" s="18">
        <v>6039</v>
      </c>
      <c r="B15892" s="4" t="s">
        <v>44</v>
      </c>
      <c r="C15892" s="38" t="s">
        <v>13213</v>
      </c>
      <c r="D15892" s="18">
        <v>2023</v>
      </c>
      <c r="E15892" s="18" t="s">
        <v>0</v>
      </c>
      <c r="F15892" s="41">
        <v>1</v>
      </c>
      <c r="G15892" s="41">
        <v>10</v>
      </c>
      <c r="H15892" s="41">
        <v>36.741839999999996</v>
      </c>
      <c r="I15892" s="221"/>
      <c r="J15892" s="221"/>
    </row>
    <row r="15893" spans="1:10" s="15" customFormat="1" ht="24" hidden="1" customHeight="1" outlineLevel="1" x14ac:dyDescent="0.25">
      <c r="A15893" s="18">
        <v>6043</v>
      </c>
      <c r="B15893" s="4" t="s">
        <v>44</v>
      </c>
      <c r="C15893" s="38" t="s">
        <v>13214</v>
      </c>
      <c r="D15893" s="18">
        <v>2023</v>
      </c>
      <c r="E15893" s="18" t="s">
        <v>0</v>
      </c>
      <c r="F15893" s="41">
        <v>1</v>
      </c>
      <c r="G15893" s="41">
        <v>15</v>
      </c>
      <c r="H15893" s="41">
        <v>37.551139999999997</v>
      </c>
      <c r="I15893" s="221"/>
      <c r="J15893" s="221"/>
    </row>
    <row r="15894" spans="1:10" s="15" customFormat="1" ht="24" hidden="1" customHeight="1" outlineLevel="1" x14ac:dyDescent="0.25">
      <c r="A15894" s="18">
        <v>6045</v>
      </c>
      <c r="B15894" s="4" t="s">
        <v>44</v>
      </c>
      <c r="C15894" s="38" t="s">
        <v>13215</v>
      </c>
      <c r="D15894" s="18">
        <v>2023</v>
      </c>
      <c r="E15894" s="18" t="s">
        <v>0</v>
      </c>
      <c r="F15894" s="41">
        <v>1</v>
      </c>
      <c r="G15894" s="41">
        <v>45</v>
      </c>
      <c r="H15894" s="41">
        <v>36.741839999999996</v>
      </c>
      <c r="I15894" s="221"/>
      <c r="J15894" s="221"/>
    </row>
    <row r="15895" spans="1:10" s="15" customFormat="1" ht="24" hidden="1" customHeight="1" outlineLevel="1" x14ac:dyDescent="0.25">
      <c r="A15895" s="18">
        <v>6046</v>
      </c>
      <c r="B15895" s="4" t="s">
        <v>44</v>
      </c>
      <c r="C15895" s="38" t="s">
        <v>13216</v>
      </c>
      <c r="D15895" s="18">
        <v>2023</v>
      </c>
      <c r="E15895" s="18" t="s">
        <v>0</v>
      </c>
      <c r="F15895" s="41">
        <v>1</v>
      </c>
      <c r="G15895" s="41">
        <v>15</v>
      </c>
      <c r="H15895" s="41">
        <v>36.741839999999996</v>
      </c>
      <c r="I15895" s="221"/>
      <c r="J15895" s="221"/>
    </row>
    <row r="15896" spans="1:10" s="15" customFormat="1" ht="24" hidden="1" customHeight="1" outlineLevel="1" x14ac:dyDescent="0.25">
      <c r="A15896" s="18">
        <v>6047</v>
      </c>
      <c r="B15896" s="4" t="s">
        <v>44</v>
      </c>
      <c r="C15896" s="38" t="s">
        <v>13217</v>
      </c>
      <c r="D15896" s="18">
        <v>2023</v>
      </c>
      <c r="E15896" s="18" t="s">
        <v>0</v>
      </c>
      <c r="F15896" s="41">
        <v>1</v>
      </c>
      <c r="G15896" s="41">
        <v>15</v>
      </c>
      <c r="H15896" s="41">
        <v>36.741839999999996</v>
      </c>
      <c r="I15896" s="221"/>
      <c r="J15896" s="221"/>
    </row>
    <row r="15897" spans="1:10" s="15" customFormat="1" ht="24" hidden="1" customHeight="1" outlineLevel="1" x14ac:dyDescent="0.25">
      <c r="A15897" s="18">
        <v>6057</v>
      </c>
      <c r="B15897" s="4" t="s">
        <v>44</v>
      </c>
      <c r="C15897" s="38" t="s">
        <v>13218</v>
      </c>
      <c r="D15897" s="18">
        <v>2023</v>
      </c>
      <c r="E15897" s="18" t="s">
        <v>0</v>
      </c>
      <c r="F15897" s="41">
        <v>1</v>
      </c>
      <c r="G15897" s="41">
        <v>12</v>
      </c>
      <c r="H15897" s="41">
        <v>36.741839999999996</v>
      </c>
      <c r="I15897" s="221"/>
      <c r="J15897" s="221"/>
    </row>
    <row r="15898" spans="1:10" s="15" customFormat="1" ht="24" hidden="1" customHeight="1" outlineLevel="1" x14ac:dyDescent="0.25">
      <c r="A15898" s="18">
        <v>2786</v>
      </c>
      <c r="B15898" s="4" t="s">
        <v>44</v>
      </c>
      <c r="C15898" s="38" t="s">
        <v>13219</v>
      </c>
      <c r="D15898" s="18">
        <v>2023</v>
      </c>
      <c r="E15898" s="18" t="s">
        <v>0</v>
      </c>
      <c r="F15898" s="41">
        <v>1</v>
      </c>
      <c r="G15898" s="41">
        <v>7</v>
      </c>
      <c r="H15898" s="41">
        <v>16.47411</v>
      </c>
      <c r="I15898" s="221"/>
      <c r="J15898" s="221"/>
    </row>
    <row r="15899" spans="1:10" s="15" customFormat="1" ht="24" hidden="1" customHeight="1" outlineLevel="1" x14ac:dyDescent="0.25">
      <c r="A15899" s="18">
        <v>6061</v>
      </c>
      <c r="B15899" s="4" t="s">
        <v>44</v>
      </c>
      <c r="C15899" s="38" t="s">
        <v>13220</v>
      </c>
      <c r="D15899" s="18">
        <v>2023</v>
      </c>
      <c r="E15899" s="18" t="s">
        <v>0</v>
      </c>
      <c r="F15899" s="41">
        <v>1</v>
      </c>
      <c r="G15899" s="41">
        <v>15</v>
      </c>
      <c r="H15899" s="41">
        <v>37.848309999999998</v>
      </c>
      <c r="I15899" s="221"/>
      <c r="J15899" s="221"/>
    </row>
    <row r="15900" spans="1:10" s="15" customFormat="1" ht="24" hidden="1" customHeight="1" outlineLevel="1" x14ac:dyDescent="0.25">
      <c r="A15900" s="18">
        <v>6062</v>
      </c>
      <c r="B15900" s="4" t="s">
        <v>44</v>
      </c>
      <c r="C15900" s="38" t="s">
        <v>13221</v>
      </c>
      <c r="D15900" s="18">
        <v>2023</v>
      </c>
      <c r="E15900" s="18" t="s">
        <v>0</v>
      </c>
      <c r="F15900" s="41">
        <v>1</v>
      </c>
      <c r="G15900" s="41">
        <v>50</v>
      </c>
      <c r="H15900" s="41">
        <v>37.61665</v>
      </c>
      <c r="I15900" s="221"/>
      <c r="J15900" s="221"/>
    </row>
    <row r="15901" spans="1:10" s="15" customFormat="1" ht="24" hidden="1" customHeight="1" outlineLevel="1" x14ac:dyDescent="0.25">
      <c r="A15901" s="18">
        <v>6063</v>
      </c>
      <c r="B15901" s="4" t="s">
        <v>44</v>
      </c>
      <c r="C15901" s="38" t="s">
        <v>13222</v>
      </c>
      <c r="D15901" s="18">
        <v>2023</v>
      </c>
      <c r="E15901" s="18" t="s">
        <v>0</v>
      </c>
      <c r="F15901" s="41">
        <v>1</v>
      </c>
      <c r="G15901" s="41">
        <v>15</v>
      </c>
      <c r="H15901" s="41">
        <v>37.610120000000002</v>
      </c>
      <c r="I15901" s="221"/>
      <c r="J15901" s="221"/>
    </row>
    <row r="15902" spans="1:10" s="15" customFormat="1" ht="24" hidden="1" customHeight="1" outlineLevel="1" x14ac:dyDescent="0.25">
      <c r="A15902" s="18">
        <v>2322</v>
      </c>
      <c r="B15902" s="4" t="s">
        <v>44</v>
      </c>
      <c r="C15902" s="38" t="s">
        <v>13223</v>
      </c>
      <c r="D15902" s="18">
        <v>2023</v>
      </c>
      <c r="E15902" s="18" t="s">
        <v>0</v>
      </c>
      <c r="F15902" s="41">
        <v>1</v>
      </c>
      <c r="G15902" s="41">
        <v>15</v>
      </c>
      <c r="H15902" s="41">
        <v>37.489889999999995</v>
      </c>
      <c r="I15902" s="221"/>
      <c r="J15902" s="221"/>
    </row>
    <row r="15903" spans="1:10" s="15" customFormat="1" ht="24" hidden="1" customHeight="1" outlineLevel="1" x14ac:dyDescent="0.25">
      <c r="A15903" s="18">
        <v>6088</v>
      </c>
      <c r="B15903" s="4" t="s">
        <v>44</v>
      </c>
      <c r="C15903" s="38" t="s">
        <v>13224</v>
      </c>
      <c r="D15903" s="18">
        <v>2023</v>
      </c>
      <c r="E15903" s="18" t="s">
        <v>0</v>
      </c>
      <c r="F15903" s="41">
        <v>1</v>
      </c>
      <c r="G15903" s="41">
        <v>15</v>
      </c>
      <c r="H15903" s="41">
        <v>37.494619999999998</v>
      </c>
      <c r="I15903" s="221"/>
      <c r="J15903" s="221"/>
    </row>
    <row r="15904" spans="1:10" s="15" customFormat="1" ht="24" hidden="1" customHeight="1" outlineLevel="1" x14ac:dyDescent="0.25">
      <c r="A15904" s="18">
        <v>2271</v>
      </c>
      <c r="B15904" s="4" t="s">
        <v>44</v>
      </c>
      <c r="C15904" s="38" t="s">
        <v>13225</v>
      </c>
      <c r="D15904" s="18">
        <v>2023</v>
      </c>
      <c r="E15904" s="18" t="s">
        <v>0</v>
      </c>
      <c r="F15904" s="41">
        <v>1</v>
      </c>
      <c r="G15904" s="41">
        <v>15</v>
      </c>
      <c r="H15904" s="41">
        <v>37.709240000000001</v>
      </c>
      <c r="I15904" s="221"/>
      <c r="J15904" s="221"/>
    </row>
    <row r="15905" spans="1:10" s="15" customFormat="1" ht="24" hidden="1" customHeight="1" outlineLevel="1" x14ac:dyDescent="0.25">
      <c r="A15905" s="18">
        <v>6110</v>
      </c>
      <c r="B15905" s="4" t="s">
        <v>44</v>
      </c>
      <c r="C15905" s="38" t="s">
        <v>13226</v>
      </c>
      <c r="D15905" s="18">
        <v>2023</v>
      </c>
      <c r="E15905" s="18" t="s">
        <v>0</v>
      </c>
      <c r="F15905" s="41">
        <v>1</v>
      </c>
      <c r="G15905" s="41">
        <v>15</v>
      </c>
      <c r="H15905" s="41">
        <v>37.524010000000004</v>
      </c>
      <c r="I15905" s="221"/>
      <c r="J15905" s="221"/>
    </row>
    <row r="15906" spans="1:10" s="15" customFormat="1" ht="24" hidden="1" customHeight="1" outlineLevel="1" x14ac:dyDescent="0.25">
      <c r="A15906" s="18">
        <v>6113</v>
      </c>
      <c r="B15906" s="4" t="s">
        <v>44</v>
      </c>
      <c r="C15906" s="38" t="s">
        <v>13227</v>
      </c>
      <c r="D15906" s="18">
        <v>2023</v>
      </c>
      <c r="E15906" s="18" t="s">
        <v>0</v>
      </c>
      <c r="F15906" s="41">
        <v>1</v>
      </c>
      <c r="G15906" s="41">
        <v>10</v>
      </c>
      <c r="H15906" s="41">
        <v>37.524010000000004</v>
      </c>
      <c r="I15906" s="221"/>
      <c r="J15906" s="221"/>
    </row>
    <row r="15907" spans="1:10" s="15" customFormat="1" ht="24" hidden="1" customHeight="1" outlineLevel="1" x14ac:dyDescent="0.25">
      <c r="A15907" s="18">
        <v>6115</v>
      </c>
      <c r="B15907" s="4" t="s">
        <v>44</v>
      </c>
      <c r="C15907" s="38" t="s">
        <v>13228</v>
      </c>
      <c r="D15907" s="18">
        <v>2023</v>
      </c>
      <c r="E15907" s="18" t="s">
        <v>0</v>
      </c>
      <c r="F15907" s="41">
        <v>1</v>
      </c>
      <c r="G15907" s="41">
        <v>15</v>
      </c>
      <c r="H15907" s="41">
        <v>37.570339999999995</v>
      </c>
      <c r="I15907" s="221"/>
      <c r="J15907" s="221"/>
    </row>
    <row r="15908" spans="1:10" s="15" customFormat="1" ht="24" hidden="1" customHeight="1" outlineLevel="1" x14ac:dyDescent="0.25">
      <c r="A15908" s="18">
        <v>6117</v>
      </c>
      <c r="B15908" s="4" t="s">
        <v>44</v>
      </c>
      <c r="C15908" s="38" t="s">
        <v>13229</v>
      </c>
      <c r="D15908" s="18">
        <v>2023</v>
      </c>
      <c r="E15908" s="18" t="s">
        <v>0</v>
      </c>
      <c r="F15908" s="41">
        <v>1</v>
      </c>
      <c r="G15908" s="41">
        <v>12</v>
      </c>
      <c r="H15908" s="41">
        <v>37.570339999999995</v>
      </c>
      <c r="I15908" s="221"/>
      <c r="J15908" s="221"/>
    </row>
    <row r="15909" spans="1:10" s="15" customFormat="1" ht="24" hidden="1" customHeight="1" outlineLevel="1" x14ac:dyDescent="0.25">
      <c r="A15909" s="18">
        <v>6118</v>
      </c>
      <c r="B15909" s="4" t="s">
        <v>44</v>
      </c>
      <c r="C15909" s="38" t="s">
        <v>13230</v>
      </c>
      <c r="D15909" s="18">
        <v>2023</v>
      </c>
      <c r="E15909" s="18" t="s">
        <v>0</v>
      </c>
      <c r="F15909" s="41">
        <v>1</v>
      </c>
      <c r="G15909" s="41">
        <v>15</v>
      </c>
      <c r="H15909" s="41">
        <v>37.570339999999995</v>
      </c>
      <c r="I15909" s="221"/>
      <c r="J15909" s="221"/>
    </row>
    <row r="15910" spans="1:10" s="15" customFormat="1" ht="24" hidden="1" customHeight="1" outlineLevel="1" x14ac:dyDescent="0.25">
      <c r="A15910" s="18">
        <v>575</v>
      </c>
      <c r="B15910" s="4" t="s">
        <v>44</v>
      </c>
      <c r="C15910" s="38" t="s">
        <v>13231</v>
      </c>
      <c r="D15910" s="18">
        <v>2023</v>
      </c>
      <c r="E15910" s="18" t="s">
        <v>0</v>
      </c>
      <c r="F15910" s="41">
        <v>1</v>
      </c>
      <c r="G15910" s="41">
        <v>15</v>
      </c>
      <c r="H15910" s="41">
        <v>36.606400000000001</v>
      </c>
      <c r="I15910" s="221"/>
      <c r="J15910" s="221"/>
    </row>
    <row r="15911" spans="1:10" s="15" customFormat="1" ht="24" hidden="1" customHeight="1" outlineLevel="1" x14ac:dyDescent="0.25">
      <c r="A15911" s="18">
        <v>6121</v>
      </c>
      <c r="B15911" s="4" t="s">
        <v>44</v>
      </c>
      <c r="C15911" s="38" t="s">
        <v>13232</v>
      </c>
      <c r="D15911" s="18">
        <v>2023</v>
      </c>
      <c r="E15911" s="18" t="s">
        <v>0</v>
      </c>
      <c r="F15911" s="41">
        <v>1</v>
      </c>
      <c r="G15911" s="41">
        <v>15</v>
      </c>
      <c r="H15911" s="41">
        <v>36.606400000000001</v>
      </c>
      <c r="I15911" s="221"/>
      <c r="J15911" s="221"/>
    </row>
    <row r="15912" spans="1:10" s="15" customFormat="1" ht="24" hidden="1" customHeight="1" outlineLevel="1" x14ac:dyDescent="0.25">
      <c r="A15912" s="18">
        <v>6129</v>
      </c>
      <c r="B15912" s="4" t="s">
        <v>44</v>
      </c>
      <c r="C15912" s="38" t="s">
        <v>13233</v>
      </c>
      <c r="D15912" s="18">
        <v>2023</v>
      </c>
      <c r="E15912" s="18" t="s">
        <v>0</v>
      </c>
      <c r="F15912" s="41">
        <v>1</v>
      </c>
      <c r="G15912" s="41">
        <v>13</v>
      </c>
      <c r="H15912" s="41">
        <v>13.530790000000001</v>
      </c>
      <c r="I15912" s="221"/>
      <c r="J15912" s="221"/>
    </row>
    <row r="15913" spans="1:10" s="15" customFormat="1" ht="24" hidden="1" customHeight="1" outlineLevel="1" x14ac:dyDescent="0.25">
      <c r="A15913" s="18">
        <v>6131</v>
      </c>
      <c r="B15913" s="4" t="s">
        <v>44</v>
      </c>
      <c r="C15913" s="38" t="s">
        <v>13234</v>
      </c>
      <c r="D15913" s="18">
        <v>2023</v>
      </c>
      <c r="E15913" s="18" t="s">
        <v>0</v>
      </c>
      <c r="F15913" s="41">
        <v>1</v>
      </c>
      <c r="G15913" s="41">
        <v>75</v>
      </c>
      <c r="H15913" s="41">
        <v>39.194989999999997</v>
      </c>
      <c r="I15913" s="221"/>
      <c r="J15913" s="221"/>
    </row>
    <row r="15914" spans="1:10" s="15" customFormat="1" ht="24" hidden="1" customHeight="1" outlineLevel="1" x14ac:dyDescent="0.25">
      <c r="A15914" s="18">
        <v>6132</v>
      </c>
      <c r="B15914" s="4" t="s">
        <v>44</v>
      </c>
      <c r="C15914" s="38" t="s">
        <v>13235</v>
      </c>
      <c r="D15914" s="18">
        <v>2023</v>
      </c>
      <c r="E15914" s="18" t="s">
        <v>0</v>
      </c>
      <c r="F15914" s="41">
        <v>1</v>
      </c>
      <c r="G15914" s="41">
        <v>15</v>
      </c>
      <c r="H15914" s="41">
        <v>37.023699999999998</v>
      </c>
      <c r="I15914" s="221"/>
      <c r="J15914" s="221"/>
    </row>
    <row r="15915" spans="1:10" s="15" customFormat="1" ht="24" hidden="1" customHeight="1" outlineLevel="1" x14ac:dyDescent="0.25">
      <c r="A15915" s="18">
        <v>2359</v>
      </c>
      <c r="B15915" s="4" t="s">
        <v>44</v>
      </c>
      <c r="C15915" s="38" t="s">
        <v>13236</v>
      </c>
      <c r="D15915" s="18">
        <v>2023</v>
      </c>
      <c r="E15915" s="18" t="s">
        <v>0</v>
      </c>
      <c r="F15915" s="41">
        <v>1</v>
      </c>
      <c r="G15915" s="41">
        <v>6</v>
      </c>
      <c r="H15915" s="41">
        <v>37.250749999999996</v>
      </c>
      <c r="I15915" s="221"/>
      <c r="J15915" s="221"/>
    </row>
    <row r="15916" spans="1:10" s="15" customFormat="1" ht="24" hidden="1" customHeight="1" outlineLevel="1" x14ac:dyDescent="0.25">
      <c r="A15916" s="18">
        <v>6139</v>
      </c>
      <c r="B15916" s="4" t="s">
        <v>44</v>
      </c>
      <c r="C15916" s="38" t="s">
        <v>13237</v>
      </c>
      <c r="D15916" s="18">
        <v>2023</v>
      </c>
      <c r="E15916" s="18" t="s">
        <v>0</v>
      </c>
      <c r="F15916" s="41">
        <v>1</v>
      </c>
      <c r="G15916" s="41">
        <v>15</v>
      </c>
      <c r="H15916" s="41">
        <v>36.972749999999998</v>
      </c>
      <c r="I15916" s="221"/>
      <c r="J15916" s="221"/>
    </row>
    <row r="15917" spans="1:10" s="15" customFormat="1" ht="24" hidden="1" customHeight="1" outlineLevel="1" x14ac:dyDescent="0.25">
      <c r="A15917" s="18">
        <v>6140</v>
      </c>
      <c r="B15917" s="4" t="s">
        <v>44</v>
      </c>
      <c r="C15917" s="38" t="s">
        <v>13238</v>
      </c>
      <c r="D15917" s="18">
        <v>2023</v>
      </c>
      <c r="E15917" s="18" t="s">
        <v>0</v>
      </c>
      <c r="F15917" s="41">
        <v>1</v>
      </c>
      <c r="G15917" s="41">
        <v>12</v>
      </c>
      <c r="H15917" s="41">
        <v>20.281970000000001</v>
      </c>
      <c r="I15917" s="221"/>
      <c r="J15917" s="221"/>
    </row>
    <row r="15918" spans="1:10" s="15" customFormat="1" ht="24" hidden="1" customHeight="1" outlineLevel="1" x14ac:dyDescent="0.25">
      <c r="A15918" s="18">
        <v>6156</v>
      </c>
      <c r="B15918" s="4" t="s">
        <v>44</v>
      </c>
      <c r="C15918" s="38" t="s">
        <v>13239</v>
      </c>
      <c r="D15918" s="18">
        <v>2023</v>
      </c>
      <c r="E15918" s="18" t="s">
        <v>0</v>
      </c>
      <c r="F15918" s="41">
        <v>1</v>
      </c>
      <c r="G15918" s="41">
        <v>15</v>
      </c>
      <c r="H15918" s="41">
        <v>37.047010000000007</v>
      </c>
      <c r="I15918" s="221"/>
      <c r="J15918" s="221"/>
    </row>
    <row r="15919" spans="1:10" s="15" customFormat="1" ht="24" hidden="1" customHeight="1" outlineLevel="1" x14ac:dyDescent="0.25">
      <c r="A15919" s="18">
        <v>6157</v>
      </c>
      <c r="B15919" s="4" t="s">
        <v>44</v>
      </c>
      <c r="C15919" s="38" t="s">
        <v>13240</v>
      </c>
      <c r="D15919" s="18">
        <v>2023</v>
      </c>
      <c r="E15919" s="18" t="s">
        <v>0</v>
      </c>
      <c r="F15919" s="41">
        <v>1</v>
      </c>
      <c r="G15919" s="41">
        <v>15</v>
      </c>
      <c r="H15919" s="41">
        <v>37.047089999999997</v>
      </c>
      <c r="I15919" s="221"/>
      <c r="J15919" s="221"/>
    </row>
    <row r="15920" spans="1:10" s="15" customFormat="1" ht="24" hidden="1" customHeight="1" outlineLevel="1" x14ac:dyDescent="0.25">
      <c r="A15920" s="18">
        <v>3975</v>
      </c>
      <c r="B15920" s="4" t="s">
        <v>44</v>
      </c>
      <c r="C15920" s="38" t="s">
        <v>13241</v>
      </c>
      <c r="D15920" s="18">
        <v>2023</v>
      </c>
      <c r="E15920" s="18" t="s">
        <v>0</v>
      </c>
      <c r="F15920" s="41">
        <v>3</v>
      </c>
      <c r="G15920" s="41">
        <v>37</v>
      </c>
      <c r="H15920" s="41">
        <v>56.099679999999999</v>
      </c>
      <c r="I15920" s="221"/>
      <c r="J15920" s="221"/>
    </row>
    <row r="15921" spans="1:10" s="15" customFormat="1" ht="24" hidden="1" customHeight="1" outlineLevel="1" x14ac:dyDescent="0.25">
      <c r="A15921" s="18">
        <v>6160</v>
      </c>
      <c r="B15921" s="4" t="s">
        <v>44</v>
      </c>
      <c r="C15921" s="38" t="s">
        <v>13242</v>
      </c>
      <c r="D15921" s="18">
        <v>2023</v>
      </c>
      <c r="E15921" s="18" t="s">
        <v>0</v>
      </c>
      <c r="F15921" s="41">
        <v>1</v>
      </c>
      <c r="G15921" s="41">
        <v>10</v>
      </c>
      <c r="H15921" s="41">
        <v>37.076430000000002</v>
      </c>
      <c r="I15921" s="221"/>
      <c r="J15921" s="221"/>
    </row>
    <row r="15922" spans="1:10" s="15" customFormat="1" ht="24" hidden="1" customHeight="1" outlineLevel="1" x14ac:dyDescent="0.25">
      <c r="A15922" s="18">
        <v>1045</v>
      </c>
      <c r="B15922" s="4" t="s">
        <v>44</v>
      </c>
      <c r="C15922" s="38" t="s">
        <v>13243</v>
      </c>
      <c r="D15922" s="18">
        <v>2023</v>
      </c>
      <c r="E15922" s="18" t="s">
        <v>0</v>
      </c>
      <c r="F15922" s="41">
        <v>1</v>
      </c>
      <c r="G15922" s="41">
        <v>15</v>
      </c>
      <c r="H15922" s="41">
        <v>36.968620000000001</v>
      </c>
      <c r="I15922" s="221"/>
      <c r="J15922" s="221"/>
    </row>
    <row r="15923" spans="1:10" s="15" customFormat="1" ht="24" hidden="1" customHeight="1" outlineLevel="1" x14ac:dyDescent="0.25">
      <c r="A15923" s="18">
        <v>4923</v>
      </c>
      <c r="B15923" s="4" t="s">
        <v>44</v>
      </c>
      <c r="C15923" s="38" t="s">
        <v>13244</v>
      </c>
      <c r="D15923" s="18">
        <v>2023</v>
      </c>
      <c r="E15923" s="18" t="s">
        <v>0</v>
      </c>
      <c r="F15923" s="41">
        <v>1</v>
      </c>
      <c r="G15923" s="41">
        <v>15</v>
      </c>
      <c r="H15923" s="41">
        <v>40.451309999999999</v>
      </c>
      <c r="I15923" s="221"/>
      <c r="J15923" s="221"/>
    </row>
    <row r="15924" spans="1:10" s="15" customFormat="1" ht="24" hidden="1" customHeight="1" outlineLevel="1" x14ac:dyDescent="0.25">
      <c r="A15924" s="18">
        <v>1166</v>
      </c>
      <c r="B15924" s="4" t="s">
        <v>44</v>
      </c>
      <c r="C15924" s="38" t="s">
        <v>13245</v>
      </c>
      <c r="D15924" s="18">
        <v>2023</v>
      </c>
      <c r="E15924" s="18" t="s">
        <v>0</v>
      </c>
      <c r="F15924" s="41">
        <v>1</v>
      </c>
      <c r="G15924" s="41">
        <v>13</v>
      </c>
      <c r="H15924" s="41">
        <v>38.736699999999999</v>
      </c>
      <c r="I15924" s="221"/>
      <c r="J15924" s="221"/>
    </row>
    <row r="15925" spans="1:10" s="15" customFormat="1" ht="24" hidden="1" customHeight="1" outlineLevel="1" x14ac:dyDescent="0.25">
      <c r="A15925" s="18">
        <v>4924</v>
      </c>
      <c r="B15925" s="4" t="s">
        <v>44</v>
      </c>
      <c r="C15925" s="38" t="s">
        <v>13246</v>
      </c>
      <c r="D15925" s="18">
        <v>2023</v>
      </c>
      <c r="E15925" s="18" t="s">
        <v>0</v>
      </c>
      <c r="F15925" s="41">
        <v>1</v>
      </c>
      <c r="G15925" s="41">
        <v>50</v>
      </c>
      <c r="H15925" s="41">
        <v>46.205860000000001</v>
      </c>
      <c r="I15925" s="221"/>
      <c r="J15925" s="221"/>
    </row>
    <row r="15926" spans="1:10" s="15" customFormat="1" ht="24" hidden="1" customHeight="1" outlineLevel="1" x14ac:dyDescent="0.25">
      <c r="A15926" s="18">
        <v>1139</v>
      </c>
      <c r="B15926" s="4" t="s">
        <v>44</v>
      </c>
      <c r="C15926" s="38" t="s">
        <v>13247</v>
      </c>
      <c r="D15926" s="18">
        <v>2023</v>
      </c>
      <c r="E15926" s="18" t="s">
        <v>0</v>
      </c>
      <c r="F15926" s="41">
        <v>1</v>
      </c>
      <c r="G15926" s="41">
        <v>15</v>
      </c>
      <c r="H15926" s="41">
        <v>38.015250000000002</v>
      </c>
      <c r="I15926" s="221"/>
      <c r="J15926" s="221"/>
    </row>
    <row r="15927" spans="1:10" s="15" customFormat="1" ht="24" hidden="1" customHeight="1" outlineLevel="1" x14ac:dyDescent="0.25">
      <c r="A15927" s="18">
        <v>1255</v>
      </c>
      <c r="B15927" s="4" t="s">
        <v>44</v>
      </c>
      <c r="C15927" s="38" t="s">
        <v>13248</v>
      </c>
      <c r="D15927" s="18">
        <v>2023</v>
      </c>
      <c r="E15927" s="18" t="s">
        <v>0</v>
      </c>
      <c r="F15927" s="41">
        <v>1</v>
      </c>
      <c r="G15927" s="41">
        <v>4</v>
      </c>
      <c r="H15927" s="41">
        <v>38.011670000000002</v>
      </c>
      <c r="I15927" s="221"/>
      <c r="J15927" s="221"/>
    </row>
    <row r="15928" spans="1:10" s="15" customFormat="1" ht="24" hidden="1" customHeight="1" outlineLevel="1" x14ac:dyDescent="0.25">
      <c r="A15928" s="18">
        <v>4928</v>
      </c>
      <c r="B15928" s="4" t="s">
        <v>44</v>
      </c>
      <c r="C15928" s="38" t="s">
        <v>13249</v>
      </c>
      <c r="D15928" s="18">
        <v>2023</v>
      </c>
      <c r="E15928" s="18" t="s">
        <v>0</v>
      </c>
      <c r="F15928" s="41">
        <v>1</v>
      </c>
      <c r="G15928" s="41">
        <v>1</v>
      </c>
      <c r="H15928" s="41">
        <v>38.011670000000002</v>
      </c>
      <c r="I15928" s="221"/>
      <c r="J15928" s="221"/>
    </row>
    <row r="15929" spans="1:10" s="15" customFormat="1" ht="24" hidden="1" customHeight="1" outlineLevel="1" x14ac:dyDescent="0.25">
      <c r="A15929" s="18">
        <v>4932</v>
      </c>
      <c r="B15929" s="4" t="s">
        <v>44</v>
      </c>
      <c r="C15929" s="38" t="s">
        <v>13250</v>
      </c>
      <c r="D15929" s="18">
        <v>2023</v>
      </c>
      <c r="E15929" s="18" t="s">
        <v>0</v>
      </c>
      <c r="F15929" s="41">
        <v>1</v>
      </c>
      <c r="G15929" s="41">
        <v>14</v>
      </c>
      <c r="H15929" s="41">
        <v>51.80641</v>
      </c>
      <c r="I15929" s="221"/>
      <c r="J15929" s="221"/>
    </row>
    <row r="15930" spans="1:10" s="15" customFormat="1" ht="24" hidden="1" customHeight="1" outlineLevel="1" x14ac:dyDescent="0.25">
      <c r="A15930" s="18">
        <v>4933</v>
      </c>
      <c r="B15930" s="4" t="s">
        <v>44</v>
      </c>
      <c r="C15930" s="38" t="s">
        <v>13251</v>
      </c>
      <c r="D15930" s="18">
        <v>2023</v>
      </c>
      <c r="E15930" s="18" t="s">
        <v>0</v>
      </c>
      <c r="F15930" s="41">
        <v>1</v>
      </c>
      <c r="G15930" s="41">
        <v>14</v>
      </c>
      <c r="H15930" s="41">
        <v>51.80641</v>
      </c>
      <c r="I15930" s="221"/>
      <c r="J15930" s="221"/>
    </row>
    <row r="15931" spans="1:10" s="15" customFormat="1" ht="24" hidden="1" customHeight="1" outlineLevel="1" x14ac:dyDescent="0.25">
      <c r="A15931" s="18">
        <v>714</v>
      </c>
      <c r="B15931" s="4" t="s">
        <v>44</v>
      </c>
      <c r="C15931" s="38" t="s">
        <v>13252</v>
      </c>
      <c r="D15931" s="18">
        <v>2023</v>
      </c>
      <c r="E15931" s="18" t="s">
        <v>0</v>
      </c>
      <c r="F15931" s="41">
        <v>1</v>
      </c>
      <c r="G15931" s="41">
        <v>15</v>
      </c>
      <c r="H15931" s="41">
        <v>51.81035</v>
      </c>
      <c r="I15931" s="221"/>
      <c r="J15931" s="221"/>
    </row>
    <row r="15932" spans="1:10" s="15" customFormat="1" ht="24" hidden="1" customHeight="1" outlineLevel="1" x14ac:dyDescent="0.25">
      <c r="A15932" s="18">
        <v>1338</v>
      </c>
      <c r="B15932" s="4" t="s">
        <v>44</v>
      </c>
      <c r="C15932" s="38" t="s">
        <v>13253</v>
      </c>
      <c r="D15932" s="18">
        <v>2023</v>
      </c>
      <c r="E15932" s="18" t="s">
        <v>0</v>
      </c>
      <c r="F15932" s="41">
        <v>1</v>
      </c>
      <c r="G15932" s="41">
        <v>5</v>
      </c>
      <c r="H15932" s="41">
        <v>51.825310000000002</v>
      </c>
      <c r="I15932" s="221"/>
      <c r="J15932" s="221"/>
    </row>
    <row r="15933" spans="1:10" s="15" customFormat="1" ht="24" hidden="1" customHeight="1" outlineLevel="1" x14ac:dyDescent="0.25">
      <c r="A15933" s="18">
        <v>4936</v>
      </c>
      <c r="B15933" s="4" t="s">
        <v>44</v>
      </c>
      <c r="C15933" s="38" t="s">
        <v>13254</v>
      </c>
      <c r="D15933" s="18">
        <v>2023</v>
      </c>
      <c r="E15933" s="18" t="s">
        <v>0</v>
      </c>
      <c r="F15933" s="41">
        <v>1</v>
      </c>
      <c r="G15933" s="41">
        <v>13</v>
      </c>
      <c r="H15933" s="41">
        <v>62.067680000000003</v>
      </c>
      <c r="I15933" s="221"/>
      <c r="J15933" s="221"/>
    </row>
    <row r="15934" spans="1:10" s="15" customFormat="1" ht="24" hidden="1" customHeight="1" outlineLevel="1" x14ac:dyDescent="0.25">
      <c r="A15934" s="18">
        <v>4937</v>
      </c>
      <c r="B15934" s="4" t="s">
        <v>44</v>
      </c>
      <c r="C15934" s="38" t="s">
        <v>13255</v>
      </c>
      <c r="D15934" s="18">
        <v>2023</v>
      </c>
      <c r="E15934" s="18" t="s">
        <v>0</v>
      </c>
      <c r="F15934" s="41">
        <v>1</v>
      </c>
      <c r="G15934" s="41">
        <v>15</v>
      </c>
      <c r="H15934" s="41">
        <v>44.899929999999998</v>
      </c>
      <c r="I15934" s="221"/>
      <c r="J15934" s="221"/>
    </row>
    <row r="15935" spans="1:10" s="15" customFormat="1" ht="24" hidden="1" customHeight="1" outlineLevel="1" x14ac:dyDescent="0.25">
      <c r="A15935" s="18">
        <v>4938</v>
      </c>
      <c r="B15935" s="4" t="s">
        <v>44</v>
      </c>
      <c r="C15935" s="38" t="s">
        <v>13256</v>
      </c>
      <c r="D15935" s="18">
        <v>2023</v>
      </c>
      <c r="E15935" s="18" t="s">
        <v>0</v>
      </c>
      <c r="F15935" s="41">
        <v>1</v>
      </c>
      <c r="G15935" s="41">
        <v>15</v>
      </c>
      <c r="H15935" s="41">
        <v>38</v>
      </c>
      <c r="I15935" s="221"/>
      <c r="J15935" s="221"/>
    </row>
    <row r="15936" spans="1:10" s="15" customFormat="1" ht="24" hidden="1" customHeight="1" outlineLevel="1" x14ac:dyDescent="0.25">
      <c r="A15936" s="18">
        <v>4939</v>
      </c>
      <c r="B15936" s="4" t="s">
        <v>44</v>
      </c>
      <c r="C15936" s="38" t="s">
        <v>13257</v>
      </c>
      <c r="D15936" s="18">
        <v>2023</v>
      </c>
      <c r="E15936" s="18" t="s">
        <v>0</v>
      </c>
      <c r="F15936" s="41">
        <v>1</v>
      </c>
      <c r="G15936" s="41">
        <v>12</v>
      </c>
      <c r="H15936" s="41">
        <v>38</v>
      </c>
      <c r="I15936" s="221"/>
      <c r="J15936" s="221"/>
    </row>
    <row r="15937" spans="1:10" s="15" customFormat="1" ht="24" hidden="1" customHeight="1" outlineLevel="1" x14ac:dyDescent="0.25">
      <c r="A15937" s="18">
        <v>1438</v>
      </c>
      <c r="B15937" s="4" t="s">
        <v>44</v>
      </c>
      <c r="C15937" s="38" t="s">
        <v>13258</v>
      </c>
      <c r="D15937" s="18">
        <v>2023</v>
      </c>
      <c r="E15937" s="18" t="s">
        <v>0</v>
      </c>
      <c r="F15937" s="41">
        <v>1</v>
      </c>
      <c r="G15937" s="41">
        <v>3</v>
      </c>
      <c r="H15937" s="41">
        <v>40</v>
      </c>
      <c r="I15937" s="221"/>
      <c r="J15937" s="221"/>
    </row>
    <row r="15938" spans="1:10" s="15" customFormat="1" ht="24" hidden="1" customHeight="1" outlineLevel="1" x14ac:dyDescent="0.25">
      <c r="A15938" s="18">
        <v>1377</v>
      </c>
      <c r="B15938" s="4" t="s">
        <v>44</v>
      </c>
      <c r="C15938" s="38" t="s">
        <v>13259</v>
      </c>
      <c r="D15938" s="18">
        <v>2023</v>
      </c>
      <c r="E15938" s="18" t="s">
        <v>0</v>
      </c>
      <c r="F15938" s="41">
        <v>1</v>
      </c>
      <c r="G15938" s="41">
        <v>3</v>
      </c>
      <c r="H15938" s="41">
        <v>36</v>
      </c>
      <c r="I15938" s="221"/>
      <c r="J15938" s="221"/>
    </row>
    <row r="15939" spans="1:10" s="15" customFormat="1" ht="24" hidden="1" customHeight="1" outlineLevel="1" x14ac:dyDescent="0.25">
      <c r="A15939" s="18">
        <v>4951</v>
      </c>
      <c r="B15939" s="4" t="s">
        <v>44</v>
      </c>
      <c r="C15939" s="38" t="s">
        <v>13260</v>
      </c>
      <c r="D15939" s="18">
        <v>2023</v>
      </c>
      <c r="E15939" s="18" t="s">
        <v>0</v>
      </c>
      <c r="F15939" s="41">
        <v>1</v>
      </c>
      <c r="G15939" s="41">
        <v>15</v>
      </c>
      <c r="H15939" s="41">
        <v>43</v>
      </c>
      <c r="I15939" s="221"/>
      <c r="J15939" s="221"/>
    </row>
    <row r="15940" spans="1:10" s="15" customFormat="1" ht="24" hidden="1" customHeight="1" outlineLevel="1" x14ac:dyDescent="0.25">
      <c r="A15940" s="18">
        <v>1358</v>
      </c>
      <c r="B15940" s="4" t="s">
        <v>44</v>
      </c>
      <c r="C15940" s="38" t="s">
        <v>13261</v>
      </c>
      <c r="D15940" s="18">
        <v>2023</v>
      </c>
      <c r="E15940" s="18" t="s">
        <v>0</v>
      </c>
      <c r="F15940" s="41">
        <v>1</v>
      </c>
      <c r="G15940" s="41">
        <v>15</v>
      </c>
      <c r="H15940" s="41">
        <v>38</v>
      </c>
      <c r="I15940" s="221"/>
      <c r="J15940" s="221"/>
    </row>
    <row r="15941" spans="1:10" s="15" customFormat="1" ht="24" hidden="1" customHeight="1" outlineLevel="1" x14ac:dyDescent="0.25">
      <c r="A15941" s="18">
        <v>4935</v>
      </c>
      <c r="B15941" s="4" t="s">
        <v>44</v>
      </c>
      <c r="C15941" s="38" t="s">
        <v>13262</v>
      </c>
      <c r="D15941" s="18">
        <v>2023</v>
      </c>
      <c r="E15941" s="18" t="s">
        <v>0</v>
      </c>
      <c r="F15941" s="41">
        <v>1</v>
      </c>
      <c r="G15941" s="41">
        <v>13</v>
      </c>
      <c r="H15941" s="41">
        <v>42</v>
      </c>
      <c r="I15941" s="221"/>
      <c r="J15941" s="221"/>
    </row>
    <row r="15942" spans="1:10" s="15" customFormat="1" ht="24" hidden="1" customHeight="1" outlineLevel="1" x14ac:dyDescent="0.25">
      <c r="A15942" s="18">
        <v>4952</v>
      </c>
      <c r="B15942" s="4" t="s">
        <v>44</v>
      </c>
      <c r="C15942" s="38" t="s">
        <v>13263</v>
      </c>
      <c r="D15942" s="18">
        <v>2023</v>
      </c>
      <c r="E15942" s="18" t="s">
        <v>0</v>
      </c>
      <c r="F15942" s="41">
        <v>1</v>
      </c>
      <c r="G15942" s="41">
        <v>50</v>
      </c>
      <c r="H15942" s="41">
        <v>37</v>
      </c>
      <c r="I15942" s="221"/>
      <c r="J15942" s="221"/>
    </row>
    <row r="15943" spans="1:10" s="15" customFormat="1" ht="24" hidden="1" customHeight="1" outlineLevel="1" x14ac:dyDescent="0.25">
      <c r="A15943" s="18">
        <v>4953</v>
      </c>
      <c r="B15943" s="4" t="s">
        <v>44</v>
      </c>
      <c r="C15943" s="38" t="s">
        <v>13264</v>
      </c>
      <c r="D15943" s="18">
        <v>2023</v>
      </c>
      <c r="E15943" s="18" t="s">
        <v>0</v>
      </c>
      <c r="F15943" s="41">
        <v>1</v>
      </c>
      <c r="G15943" s="41">
        <v>7.5</v>
      </c>
      <c r="H15943" s="41">
        <v>38</v>
      </c>
      <c r="I15943" s="221"/>
      <c r="J15943" s="221"/>
    </row>
    <row r="15944" spans="1:10" s="15" customFormat="1" ht="24" hidden="1" customHeight="1" outlineLevel="1" x14ac:dyDescent="0.25">
      <c r="A15944" s="18">
        <v>4954</v>
      </c>
      <c r="B15944" s="4" t="s">
        <v>44</v>
      </c>
      <c r="C15944" s="38" t="s">
        <v>13265</v>
      </c>
      <c r="D15944" s="18">
        <v>2023</v>
      </c>
      <c r="E15944" s="18" t="s">
        <v>0</v>
      </c>
      <c r="F15944" s="41">
        <v>1</v>
      </c>
      <c r="G15944" s="41">
        <v>15</v>
      </c>
      <c r="H15944" s="41">
        <v>38</v>
      </c>
      <c r="I15944" s="221"/>
      <c r="J15944" s="221"/>
    </row>
    <row r="15945" spans="1:10" s="15" customFormat="1" ht="24" hidden="1" customHeight="1" outlineLevel="1" x14ac:dyDescent="0.25">
      <c r="A15945" s="18">
        <v>876</v>
      </c>
      <c r="B15945" s="4" t="s">
        <v>44</v>
      </c>
      <c r="C15945" s="38" t="s">
        <v>13266</v>
      </c>
      <c r="D15945" s="18">
        <v>2023</v>
      </c>
      <c r="E15945" s="18" t="s">
        <v>0</v>
      </c>
      <c r="F15945" s="41">
        <v>1</v>
      </c>
      <c r="G15945" s="41">
        <v>15</v>
      </c>
      <c r="H15945" s="41">
        <v>38</v>
      </c>
      <c r="I15945" s="221"/>
      <c r="J15945" s="221"/>
    </row>
    <row r="15946" spans="1:10" s="15" customFormat="1" ht="24" hidden="1" customHeight="1" outlineLevel="1" x14ac:dyDescent="0.25">
      <c r="A15946" s="18">
        <v>1480</v>
      </c>
      <c r="B15946" s="4" t="s">
        <v>44</v>
      </c>
      <c r="C15946" s="38" t="s">
        <v>13267</v>
      </c>
      <c r="D15946" s="18">
        <v>2023</v>
      </c>
      <c r="E15946" s="18" t="s">
        <v>0</v>
      </c>
      <c r="F15946" s="41">
        <v>1</v>
      </c>
      <c r="G15946" s="41">
        <v>3</v>
      </c>
      <c r="H15946" s="41">
        <v>38</v>
      </c>
      <c r="I15946" s="221"/>
      <c r="J15946" s="221"/>
    </row>
    <row r="15947" spans="1:10" s="15" customFormat="1" ht="24" hidden="1" customHeight="1" outlineLevel="1" x14ac:dyDescent="0.25">
      <c r="A15947" s="18">
        <v>1481</v>
      </c>
      <c r="B15947" s="4" t="s">
        <v>44</v>
      </c>
      <c r="C15947" s="38" t="s">
        <v>13268</v>
      </c>
      <c r="D15947" s="18">
        <v>2023</v>
      </c>
      <c r="E15947" s="18" t="s">
        <v>0</v>
      </c>
      <c r="F15947" s="41">
        <v>1</v>
      </c>
      <c r="G15947" s="41">
        <v>3</v>
      </c>
      <c r="H15947" s="41">
        <v>38</v>
      </c>
      <c r="I15947" s="221"/>
      <c r="J15947" s="221"/>
    </row>
    <row r="15948" spans="1:10" s="15" customFormat="1" ht="24" hidden="1" customHeight="1" outlineLevel="1" x14ac:dyDescent="0.25">
      <c r="A15948" s="18">
        <v>4940</v>
      </c>
      <c r="B15948" s="4" t="s">
        <v>44</v>
      </c>
      <c r="C15948" s="38" t="s">
        <v>13269</v>
      </c>
      <c r="D15948" s="18">
        <v>2023</v>
      </c>
      <c r="E15948" s="18" t="s">
        <v>0</v>
      </c>
      <c r="F15948" s="41">
        <v>1</v>
      </c>
      <c r="G15948" s="41">
        <v>15</v>
      </c>
      <c r="H15948" s="41">
        <v>37</v>
      </c>
      <c r="I15948" s="221"/>
      <c r="J15948" s="221"/>
    </row>
    <row r="15949" spans="1:10" s="15" customFormat="1" ht="24" hidden="1" customHeight="1" outlineLevel="1" x14ac:dyDescent="0.25">
      <c r="A15949" s="18">
        <v>4941</v>
      </c>
      <c r="B15949" s="4" t="s">
        <v>44</v>
      </c>
      <c r="C15949" s="38" t="s">
        <v>13270</v>
      </c>
      <c r="D15949" s="18">
        <v>2023</v>
      </c>
      <c r="E15949" s="18" t="s">
        <v>0</v>
      </c>
      <c r="F15949" s="41">
        <v>1</v>
      </c>
      <c r="G15949" s="41">
        <v>10</v>
      </c>
      <c r="H15949" s="41">
        <v>37</v>
      </c>
      <c r="I15949" s="221"/>
      <c r="J15949" s="221"/>
    </row>
    <row r="15950" spans="1:10" s="15" customFormat="1" ht="24" hidden="1" customHeight="1" outlineLevel="1" x14ac:dyDescent="0.25">
      <c r="A15950" s="18">
        <v>4942</v>
      </c>
      <c r="B15950" s="4" t="s">
        <v>44</v>
      </c>
      <c r="C15950" s="38" t="s">
        <v>13271</v>
      </c>
      <c r="D15950" s="18">
        <v>2023</v>
      </c>
      <c r="E15950" s="18" t="s">
        <v>0</v>
      </c>
      <c r="F15950" s="41">
        <v>1</v>
      </c>
      <c r="G15950" s="41">
        <v>11</v>
      </c>
      <c r="H15950" s="41">
        <v>36</v>
      </c>
      <c r="I15950" s="221"/>
      <c r="J15950" s="221"/>
    </row>
    <row r="15951" spans="1:10" s="15" customFormat="1" ht="24" hidden="1" customHeight="1" outlineLevel="1" x14ac:dyDescent="0.25">
      <c r="A15951" s="18">
        <v>4943</v>
      </c>
      <c r="B15951" s="4" t="s">
        <v>44</v>
      </c>
      <c r="C15951" s="38" t="s">
        <v>13272</v>
      </c>
      <c r="D15951" s="18">
        <v>2023</v>
      </c>
      <c r="E15951" s="18" t="s">
        <v>0</v>
      </c>
      <c r="F15951" s="41">
        <v>1</v>
      </c>
      <c r="G15951" s="41">
        <v>14.85</v>
      </c>
      <c r="H15951" s="41">
        <v>36</v>
      </c>
      <c r="I15951" s="221"/>
      <c r="J15951" s="221"/>
    </row>
    <row r="15952" spans="1:10" s="15" customFormat="1" ht="24" hidden="1" customHeight="1" outlineLevel="1" x14ac:dyDescent="0.25">
      <c r="A15952" s="18">
        <v>1762</v>
      </c>
      <c r="B15952" s="4" t="s">
        <v>44</v>
      </c>
      <c r="C15952" s="38" t="s">
        <v>13273</v>
      </c>
      <c r="D15952" s="18">
        <v>2023</v>
      </c>
      <c r="E15952" s="18" t="s">
        <v>0</v>
      </c>
      <c r="F15952" s="41">
        <v>1</v>
      </c>
      <c r="G15952" s="41">
        <v>10</v>
      </c>
      <c r="H15952" s="41">
        <v>36</v>
      </c>
      <c r="I15952" s="221"/>
      <c r="J15952" s="221"/>
    </row>
    <row r="15953" spans="1:10" s="15" customFormat="1" ht="24" hidden="1" customHeight="1" outlineLevel="1" x14ac:dyDescent="0.25">
      <c r="A15953" s="18">
        <v>4944</v>
      </c>
      <c r="B15953" s="4" t="s">
        <v>44</v>
      </c>
      <c r="C15953" s="38" t="s">
        <v>13274</v>
      </c>
      <c r="D15953" s="18">
        <v>2023</v>
      </c>
      <c r="E15953" s="18" t="s">
        <v>0</v>
      </c>
      <c r="F15953" s="41">
        <v>1</v>
      </c>
      <c r="G15953" s="41">
        <v>10</v>
      </c>
      <c r="H15953" s="41">
        <v>37</v>
      </c>
      <c r="I15953" s="221"/>
      <c r="J15953" s="221"/>
    </row>
    <row r="15954" spans="1:10" s="15" customFormat="1" ht="24" hidden="1" customHeight="1" outlineLevel="1" x14ac:dyDescent="0.25">
      <c r="A15954" s="18">
        <v>2297</v>
      </c>
      <c r="B15954" s="4" t="s">
        <v>44</v>
      </c>
      <c r="C15954" s="38" t="s">
        <v>13275</v>
      </c>
      <c r="D15954" s="18">
        <v>2023</v>
      </c>
      <c r="E15954" s="18" t="s">
        <v>0</v>
      </c>
      <c r="F15954" s="41">
        <v>1</v>
      </c>
      <c r="G15954" s="41">
        <v>5</v>
      </c>
      <c r="H15954" s="41">
        <v>41</v>
      </c>
      <c r="I15954" s="221"/>
      <c r="J15954" s="221"/>
    </row>
    <row r="15955" spans="1:10" s="15" customFormat="1" ht="24" hidden="1" customHeight="1" outlineLevel="1" x14ac:dyDescent="0.25">
      <c r="A15955" s="18">
        <v>4945</v>
      </c>
      <c r="B15955" s="4" t="s">
        <v>44</v>
      </c>
      <c r="C15955" s="38" t="s">
        <v>13276</v>
      </c>
      <c r="D15955" s="18">
        <v>2023</v>
      </c>
      <c r="E15955" s="18" t="s">
        <v>0</v>
      </c>
      <c r="F15955" s="41">
        <v>1</v>
      </c>
      <c r="G15955" s="41">
        <v>15</v>
      </c>
      <c r="H15955" s="41">
        <v>44</v>
      </c>
      <c r="I15955" s="221"/>
      <c r="J15955" s="221"/>
    </row>
    <row r="15956" spans="1:10" s="15" customFormat="1" ht="24" hidden="1" customHeight="1" outlineLevel="1" x14ac:dyDescent="0.25">
      <c r="A15956" s="18">
        <v>1741</v>
      </c>
      <c r="B15956" s="4" t="s">
        <v>44</v>
      </c>
      <c r="C15956" s="38" t="s">
        <v>13277</v>
      </c>
      <c r="D15956" s="18">
        <v>2023</v>
      </c>
      <c r="E15956" s="18" t="s">
        <v>0</v>
      </c>
      <c r="F15956" s="41">
        <v>1</v>
      </c>
      <c r="G15956" s="41">
        <v>5</v>
      </c>
      <c r="H15956" s="41">
        <v>42</v>
      </c>
      <c r="I15956" s="221"/>
      <c r="J15956" s="221"/>
    </row>
    <row r="15957" spans="1:10" s="15" customFormat="1" ht="24" hidden="1" customHeight="1" outlineLevel="1" x14ac:dyDescent="0.25">
      <c r="A15957" s="18">
        <v>4946</v>
      </c>
      <c r="B15957" s="4" t="s">
        <v>44</v>
      </c>
      <c r="C15957" s="38" t="s">
        <v>13278</v>
      </c>
      <c r="D15957" s="18">
        <v>2023</v>
      </c>
      <c r="E15957" s="18" t="s">
        <v>0</v>
      </c>
      <c r="F15957" s="41">
        <v>1</v>
      </c>
      <c r="G15957" s="41">
        <v>13</v>
      </c>
      <c r="H15957" s="41">
        <v>41</v>
      </c>
      <c r="I15957" s="221"/>
      <c r="J15957" s="221"/>
    </row>
    <row r="15958" spans="1:10" s="15" customFormat="1" ht="24" hidden="1" customHeight="1" outlineLevel="1" x14ac:dyDescent="0.25">
      <c r="A15958" s="18">
        <v>1614</v>
      </c>
      <c r="B15958" s="4" t="s">
        <v>44</v>
      </c>
      <c r="C15958" s="38" t="s">
        <v>13279</v>
      </c>
      <c r="D15958" s="18">
        <v>2023</v>
      </c>
      <c r="E15958" s="18" t="s">
        <v>0</v>
      </c>
      <c r="F15958" s="41">
        <v>1</v>
      </c>
      <c r="G15958" s="41">
        <v>5</v>
      </c>
      <c r="H15958" s="41">
        <v>48</v>
      </c>
      <c r="I15958" s="221"/>
      <c r="J15958" s="221"/>
    </row>
    <row r="15959" spans="1:10" s="15" customFormat="1" ht="24" hidden="1" customHeight="1" outlineLevel="1" x14ac:dyDescent="0.25">
      <c r="A15959" s="18">
        <v>4947</v>
      </c>
      <c r="B15959" s="4" t="s">
        <v>44</v>
      </c>
      <c r="C15959" s="38" t="s">
        <v>13280</v>
      </c>
      <c r="D15959" s="18">
        <v>2023</v>
      </c>
      <c r="E15959" s="18" t="s">
        <v>0</v>
      </c>
      <c r="F15959" s="41">
        <v>1</v>
      </c>
      <c r="G15959" s="41">
        <v>12</v>
      </c>
      <c r="H15959" s="41">
        <v>36</v>
      </c>
      <c r="I15959" s="221"/>
      <c r="J15959" s="221"/>
    </row>
    <row r="15960" spans="1:10" s="15" customFormat="1" ht="24" hidden="1" customHeight="1" outlineLevel="1" x14ac:dyDescent="0.25">
      <c r="A15960" s="18">
        <v>4948</v>
      </c>
      <c r="B15960" s="4" t="s">
        <v>44</v>
      </c>
      <c r="C15960" s="38" t="s">
        <v>13281</v>
      </c>
      <c r="D15960" s="18">
        <v>2023</v>
      </c>
      <c r="E15960" s="18" t="s">
        <v>0</v>
      </c>
      <c r="F15960" s="41">
        <v>1</v>
      </c>
      <c r="G15960" s="41">
        <v>15</v>
      </c>
      <c r="H15960" s="41">
        <v>36</v>
      </c>
      <c r="I15960" s="221"/>
      <c r="J15960" s="221"/>
    </row>
    <row r="15961" spans="1:10" s="15" customFormat="1" ht="24" hidden="1" customHeight="1" outlineLevel="1" x14ac:dyDescent="0.25">
      <c r="A15961" s="18">
        <v>836</v>
      </c>
      <c r="B15961" s="4" t="s">
        <v>44</v>
      </c>
      <c r="C15961" s="38" t="s">
        <v>13282</v>
      </c>
      <c r="D15961" s="18">
        <v>2023</v>
      </c>
      <c r="E15961" s="18" t="s">
        <v>0</v>
      </c>
      <c r="F15961" s="41">
        <v>1</v>
      </c>
      <c r="G15961" s="41">
        <v>15</v>
      </c>
      <c r="H15961" s="41">
        <v>36</v>
      </c>
      <c r="I15961" s="221"/>
      <c r="J15961" s="221"/>
    </row>
    <row r="15962" spans="1:10" s="15" customFormat="1" ht="24" hidden="1" customHeight="1" outlineLevel="1" x14ac:dyDescent="0.25">
      <c r="A15962" s="18">
        <v>4956</v>
      </c>
      <c r="B15962" s="4" t="s">
        <v>44</v>
      </c>
      <c r="C15962" s="38" t="s">
        <v>13283</v>
      </c>
      <c r="D15962" s="18">
        <v>2023</v>
      </c>
      <c r="E15962" s="18" t="s">
        <v>0</v>
      </c>
      <c r="F15962" s="41">
        <v>1</v>
      </c>
      <c r="G15962" s="41">
        <v>10</v>
      </c>
      <c r="H15962" s="41">
        <v>37</v>
      </c>
      <c r="I15962" s="221"/>
      <c r="J15962" s="221"/>
    </row>
    <row r="15963" spans="1:10" s="15" customFormat="1" ht="24" hidden="1" customHeight="1" outlineLevel="1" x14ac:dyDescent="0.25">
      <c r="A15963" s="18">
        <v>4957</v>
      </c>
      <c r="B15963" s="4" t="s">
        <v>44</v>
      </c>
      <c r="C15963" s="38" t="s">
        <v>13284</v>
      </c>
      <c r="D15963" s="18">
        <v>2023</v>
      </c>
      <c r="E15963" s="18" t="s">
        <v>0</v>
      </c>
      <c r="F15963" s="41">
        <v>1</v>
      </c>
      <c r="G15963" s="41">
        <v>10</v>
      </c>
      <c r="H15963" s="41">
        <v>37</v>
      </c>
      <c r="I15963" s="221"/>
      <c r="J15963" s="221"/>
    </row>
    <row r="15964" spans="1:10" s="15" customFormat="1" ht="24" hidden="1" customHeight="1" outlineLevel="1" x14ac:dyDescent="0.25">
      <c r="A15964" s="18">
        <v>4958</v>
      </c>
      <c r="B15964" s="4" t="s">
        <v>44</v>
      </c>
      <c r="C15964" s="38" t="s">
        <v>13285</v>
      </c>
      <c r="D15964" s="18">
        <v>2023</v>
      </c>
      <c r="E15964" s="18" t="s">
        <v>0</v>
      </c>
      <c r="F15964" s="41">
        <v>1</v>
      </c>
      <c r="G15964" s="41">
        <v>25</v>
      </c>
      <c r="H15964" s="41">
        <v>40</v>
      </c>
      <c r="I15964" s="221"/>
      <c r="J15964" s="221"/>
    </row>
    <row r="15965" spans="1:10" s="15" customFormat="1" ht="24" hidden="1" customHeight="1" outlineLevel="1" x14ac:dyDescent="0.25">
      <c r="A15965" s="18">
        <v>1891</v>
      </c>
      <c r="B15965" s="4" t="s">
        <v>44</v>
      </c>
      <c r="C15965" s="38" t="s">
        <v>13286</v>
      </c>
      <c r="D15965" s="18">
        <v>2023</v>
      </c>
      <c r="E15965" s="18" t="s">
        <v>0</v>
      </c>
      <c r="F15965" s="41">
        <v>1</v>
      </c>
      <c r="G15965" s="41">
        <v>7</v>
      </c>
      <c r="H15965" s="41">
        <v>38</v>
      </c>
      <c r="I15965" s="221"/>
      <c r="J15965" s="221"/>
    </row>
    <row r="15966" spans="1:10" s="15" customFormat="1" ht="24" hidden="1" customHeight="1" outlineLevel="1" x14ac:dyDescent="0.25">
      <c r="A15966" s="18">
        <v>4959</v>
      </c>
      <c r="B15966" s="4" t="s">
        <v>44</v>
      </c>
      <c r="C15966" s="38" t="s">
        <v>13287</v>
      </c>
      <c r="D15966" s="18">
        <v>2023</v>
      </c>
      <c r="E15966" s="18" t="s">
        <v>0</v>
      </c>
      <c r="F15966" s="41">
        <v>1</v>
      </c>
      <c r="G15966" s="41">
        <v>14</v>
      </c>
      <c r="H15966" s="41">
        <v>37</v>
      </c>
      <c r="I15966" s="221"/>
      <c r="J15966" s="221"/>
    </row>
    <row r="15967" spans="1:10" s="15" customFormat="1" ht="24" hidden="1" customHeight="1" outlineLevel="1" x14ac:dyDescent="0.25">
      <c r="A15967" s="18">
        <v>1799</v>
      </c>
      <c r="B15967" s="4" t="s">
        <v>44</v>
      </c>
      <c r="C15967" s="38" t="s">
        <v>13288</v>
      </c>
      <c r="D15967" s="18">
        <v>2023</v>
      </c>
      <c r="E15967" s="18" t="s">
        <v>0</v>
      </c>
      <c r="F15967" s="41">
        <v>1</v>
      </c>
      <c r="G15967" s="41">
        <v>5</v>
      </c>
      <c r="H15967" s="41">
        <v>37</v>
      </c>
      <c r="I15967" s="221"/>
      <c r="J15967" s="221"/>
    </row>
    <row r="15968" spans="1:10" s="15" customFormat="1" ht="24" hidden="1" customHeight="1" outlineLevel="1" x14ac:dyDescent="0.25">
      <c r="A15968" s="18">
        <v>4960</v>
      </c>
      <c r="B15968" s="4" t="s">
        <v>44</v>
      </c>
      <c r="C15968" s="38" t="s">
        <v>13289</v>
      </c>
      <c r="D15968" s="18">
        <v>2023</v>
      </c>
      <c r="E15968" s="18" t="s">
        <v>0</v>
      </c>
      <c r="F15968" s="41">
        <v>1</v>
      </c>
      <c r="G15968" s="41">
        <v>13</v>
      </c>
      <c r="H15968" s="41">
        <v>45</v>
      </c>
      <c r="I15968" s="221"/>
      <c r="J15968" s="221"/>
    </row>
    <row r="15969" spans="1:10" s="15" customFormat="1" ht="24" hidden="1" customHeight="1" outlineLevel="1" x14ac:dyDescent="0.25">
      <c r="A15969" s="18">
        <v>4961</v>
      </c>
      <c r="B15969" s="4" t="s">
        <v>44</v>
      </c>
      <c r="C15969" s="38" t="s">
        <v>13290</v>
      </c>
      <c r="D15969" s="18">
        <v>2023</v>
      </c>
      <c r="E15969" s="18" t="s">
        <v>0</v>
      </c>
      <c r="F15969" s="41">
        <v>1</v>
      </c>
      <c r="G15969" s="41">
        <v>15</v>
      </c>
      <c r="H15969" s="41">
        <v>36</v>
      </c>
      <c r="I15969" s="221"/>
      <c r="J15969" s="221"/>
    </row>
    <row r="15970" spans="1:10" s="15" customFormat="1" ht="24" hidden="1" customHeight="1" outlineLevel="1" x14ac:dyDescent="0.25">
      <c r="A15970" s="18">
        <v>4964</v>
      </c>
      <c r="B15970" s="4" t="s">
        <v>44</v>
      </c>
      <c r="C15970" s="38" t="s">
        <v>13291</v>
      </c>
      <c r="D15970" s="18">
        <v>2023</v>
      </c>
      <c r="E15970" s="18" t="s">
        <v>0</v>
      </c>
      <c r="F15970" s="41">
        <v>1</v>
      </c>
      <c r="G15970" s="41">
        <v>15</v>
      </c>
      <c r="H15970" s="41">
        <v>36</v>
      </c>
      <c r="I15970" s="221"/>
      <c r="J15970" s="221"/>
    </row>
    <row r="15971" spans="1:10" s="15" customFormat="1" ht="24" hidden="1" customHeight="1" outlineLevel="1" x14ac:dyDescent="0.25">
      <c r="A15971" s="18">
        <v>4965</v>
      </c>
      <c r="B15971" s="4" t="s">
        <v>44</v>
      </c>
      <c r="C15971" s="38" t="s">
        <v>13292</v>
      </c>
      <c r="D15971" s="18">
        <v>2023</v>
      </c>
      <c r="E15971" s="18" t="s">
        <v>0</v>
      </c>
      <c r="F15971" s="41">
        <v>1</v>
      </c>
      <c r="G15971" s="41">
        <v>4</v>
      </c>
      <c r="H15971" s="41">
        <v>36</v>
      </c>
      <c r="I15971" s="221"/>
      <c r="J15971" s="221"/>
    </row>
    <row r="15972" spans="1:10" s="15" customFormat="1" ht="24" hidden="1" customHeight="1" outlineLevel="1" x14ac:dyDescent="0.25">
      <c r="A15972" s="18">
        <v>947</v>
      </c>
      <c r="B15972" s="4" t="s">
        <v>44</v>
      </c>
      <c r="C15972" s="38" t="s">
        <v>13293</v>
      </c>
      <c r="D15972" s="18">
        <v>2023</v>
      </c>
      <c r="E15972" s="18" t="s">
        <v>0</v>
      </c>
      <c r="F15972" s="41">
        <v>1</v>
      </c>
      <c r="G15972" s="41">
        <v>15</v>
      </c>
      <c r="H15972" s="41">
        <v>37</v>
      </c>
      <c r="I15972" s="221"/>
      <c r="J15972" s="221"/>
    </row>
    <row r="15973" spans="1:10" s="15" customFormat="1" ht="24" hidden="1" customHeight="1" outlineLevel="1" x14ac:dyDescent="0.25">
      <c r="A15973" s="18">
        <v>935</v>
      </c>
      <c r="B15973" s="4" t="s">
        <v>44</v>
      </c>
      <c r="C15973" s="38" t="s">
        <v>13294</v>
      </c>
      <c r="D15973" s="18">
        <v>2023</v>
      </c>
      <c r="E15973" s="18" t="s">
        <v>0</v>
      </c>
      <c r="F15973" s="41">
        <v>1</v>
      </c>
      <c r="G15973" s="41">
        <v>15</v>
      </c>
      <c r="H15973" s="41">
        <v>37</v>
      </c>
      <c r="I15973" s="221"/>
      <c r="J15973" s="221"/>
    </row>
    <row r="15974" spans="1:10" s="15" customFormat="1" ht="24" hidden="1" customHeight="1" outlineLevel="1" x14ac:dyDescent="0.25">
      <c r="A15974" s="18">
        <v>2465</v>
      </c>
      <c r="B15974" s="4" t="s">
        <v>44</v>
      </c>
      <c r="C15974" s="38" t="s">
        <v>13295</v>
      </c>
      <c r="D15974" s="18">
        <v>2023</v>
      </c>
      <c r="E15974" s="18" t="s">
        <v>0</v>
      </c>
      <c r="F15974" s="41">
        <v>1</v>
      </c>
      <c r="G15974" s="41">
        <v>8</v>
      </c>
      <c r="H15974" s="41">
        <v>46</v>
      </c>
      <c r="I15974" s="221"/>
      <c r="J15974" s="221"/>
    </row>
    <row r="15975" spans="1:10" s="15" customFormat="1" ht="24" hidden="1" customHeight="1" outlineLevel="1" x14ac:dyDescent="0.25">
      <c r="A15975" s="18">
        <v>4984</v>
      </c>
      <c r="B15975" s="4" t="s">
        <v>44</v>
      </c>
      <c r="C15975" s="38" t="s">
        <v>13296</v>
      </c>
      <c r="D15975" s="18">
        <v>2023</v>
      </c>
      <c r="E15975" s="18" t="s">
        <v>0</v>
      </c>
      <c r="F15975" s="41">
        <v>1</v>
      </c>
      <c r="G15975" s="41">
        <v>15</v>
      </c>
      <c r="H15975" s="41">
        <v>40</v>
      </c>
      <c r="I15975" s="221"/>
      <c r="J15975" s="221"/>
    </row>
    <row r="15976" spans="1:10" s="15" customFormat="1" ht="24" hidden="1" customHeight="1" outlineLevel="1" x14ac:dyDescent="0.25">
      <c r="A15976" s="18">
        <v>2018</v>
      </c>
      <c r="B15976" s="4" t="s">
        <v>44</v>
      </c>
      <c r="C15976" s="38" t="s">
        <v>13297</v>
      </c>
      <c r="D15976" s="18">
        <v>2023</v>
      </c>
      <c r="E15976" s="18" t="s">
        <v>0</v>
      </c>
      <c r="F15976" s="41">
        <v>1</v>
      </c>
      <c r="G15976" s="41">
        <v>3</v>
      </c>
      <c r="H15976" s="41">
        <v>40</v>
      </c>
      <c r="I15976" s="221"/>
      <c r="J15976" s="221"/>
    </row>
    <row r="15977" spans="1:10" s="15" customFormat="1" ht="24" hidden="1" customHeight="1" outlineLevel="1" x14ac:dyDescent="0.25">
      <c r="A15977" s="18">
        <v>4966</v>
      </c>
      <c r="B15977" s="4" t="s">
        <v>44</v>
      </c>
      <c r="C15977" s="38" t="s">
        <v>13298</v>
      </c>
      <c r="D15977" s="18">
        <v>2023</v>
      </c>
      <c r="E15977" s="18" t="s">
        <v>0</v>
      </c>
      <c r="F15977" s="41">
        <v>1</v>
      </c>
      <c r="G15977" s="41">
        <v>15</v>
      </c>
      <c r="H15977" s="41">
        <v>45</v>
      </c>
      <c r="I15977" s="221"/>
      <c r="J15977" s="221"/>
    </row>
    <row r="15978" spans="1:10" s="15" customFormat="1" ht="24" hidden="1" customHeight="1" outlineLevel="1" x14ac:dyDescent="0.25">
      <c r="A15978" s="18">
        <v>4967</v>
      </c>
      <c r="B15978" s="4" t="s">
        <v>44</v>
      </c>
      <c r="C15978" s="38" t="s">
        <v>13299</v>
      </c>
      <c r="D15978" s="18">
        <v>2023</v>
      </c>
      <c r="E15978" s="18" t="s">
        <v>0</v>
      </c>
      <c r="F15978" s="41">
        <v>1</v>
      </c>
      <c r="G15978" s="41">
        <v>15</v>
      </c>
      <c r="H15978" s="41">
        <v>41</v>
      </c>
      <c r="I15978" s="221"/>
      <c r="J15978" s="221"/>
    </row>
    <row r="15979" spans="1:10" s="15" customFormat="1" ht="24" hidden="1" customHeight="1" outlineLevel="1" x14ac:dyDescent="0.25">
      <c r="A15979" s="18">
        <v>4968</v>
      </c>
      <c r="B15979" s="4" t="s">
        <v>44</v>
      </c>
      <c r="C15979" s="38" t="s">
        <v>13300</v>
      </c>
      <c r="D15979" s="18">
        <v>2023</v>
      </c>
      <c r="E15979" s="18" t="s">
        <v>0</v>
      </c>
      <c r="F15979" s="41">
        <v>1</v>
      </c>
      <c r="G15979" s="41">
        <v>15</v>
      </c>
      <c r="H15979" s="41">
        <v>46</v>
      </c>
      <c r="I15979" s="221"/>
      <c r="J15979" s="221"/>
    </row>
    <row r="15980" spans="1:10" s="15" customFormat="1" ht="24" hidden="1" customHeight="1" outlineLevel="1" x14ac:dyDescent="0.25">
      <c r="A15980" s="18">
        <v>4969</v>
      </c>
      <c r="B15980" s="4" t="s">
        <v>44</v>
      </c>
      <c r="C15980" s="38" t="s">
        <v>13301</v>
      </c>
      <c r="D15980" s="18">
        <v>2023</v>
      </c>
      <c r="E15980" s="18" t="s">
        <v>0</v>
      </c>
      <c r="F15980" s="41">
        <v>1</v>
      </c>
      <c r="G15980" s="41">
        <v>100</v>
      </c>
      <c r="H15980" s="41">
        <v>61</v>
      </c>
      <c r="I15980" s="221"/>
      <c r="J15980" s="221"/>
    </row>
    <row r="15981" spans="1:10" s="15" customFormat="1" ht="24" hidden="1" customHeight="1" outlineLevel="1" x14ac:dyDescent="0.25">
      <c r="A15981" s="18">
        <v>4970</v>
      </c>
      <c r="B15981" s="4" t="s">
        <v>44</v>
      </c>
      <c r="C15981" s="38" t="s">
        <v>13302</v>
      </c>
      <c r="D15981" s="18">
        <v>2023</v>
      </c>
      <c r="E15981" s="18" t="s">
        <v>0</v>
      </c>
      <c r="F15981" s="41">
        <v>1</v>
      </c>
      <c r="G15981" s="41">
        <v>7.5</v>
      </c>
      <c r="H15981" s="41">
        <v>36</v>
      </c>
      <c r="I15981" s="221"/>
      <c r="J15981" s="221"/>
    </row>
    <row r="15982" spans="1:10" s="15" customFormat="1" ht="24" hidden="1" customHeight="1" outlineLevel="1" x14ac:dyDescent="0.25">
      <c r="A15982" s="18">
        <v>4971</v>
      </c>
      <c r="B15982" s="4" t="s">
        <v>44</v>
      </c>
      <c r="C15982" s="38" t="s">
        <v>13303</v>
      </c>
      <c r="D15982" s="18">
        <v>2023</v>
      </c>
      <c r="E15982" s="18" t="s">
        <v>0</v>
      </c>
      <c r="F15982" s="41">
        <v>1</v>
      </c>
      <c r="G15982" s="41">
        <v>15</v>
      </c>
      <c r="H15982" s="41">
        <v>36</v>
      </c>
      <c r="I15982" s="221"/>
      <c r="J15982" s="221"/>
    </row>
    <row r="15983" spans="1:10" s="15" customFormat="1" ht="24" hidden="1" customHeight="1" outlineLevel="1" x14ac:dyDescent="0.25">
      <c r="A15983" s="18">
        <v>4972</v>
      </c>
      <c r="B15983" s="4" t="s">
        <v>44</v>
      </c>
      <c r="C15983" s="38" t="s">
        <v>13304</v>
      </c>
      <c r="D15983" s="18">
        <v>2023</v>
      </c>
      <c r="E15983" s="18" t="s">
        <v>0</v>
      </c>
      <c r="F15983" s="41">
        <v>1</v>
      </c>
      <c r="G15983" s="41">
        <v>15</v>
      </c>
      <c r="H15983" s="41">
        <v>40</v>
      </c>
      <c r="I15983" s="221"/>
      <c r="J15983" s="221"/>
    </row>
    <row r="15984" spans="1:10" s="15" customFormat="1" ht="24" hidden="1" customHeight="1" outlineLevel="1" x14ac:dyDescent="0.25">
      <c r="A15984" s="18">
        <v>4973</v>
      </c>
      <c r="B15984" s="4" t="s">
        <v>44</v>
      </c>
      <c r="C15984" s="38" t="s">
        <v>13305</v>
      </c>
      <c r="D15984" s="18">
        <v>2023</v>
      </c>
      <c r="E15984" s="18" t="s">
        <v>0</v>
      </c>
      <c r="F15984" s="41">
        <v>1</v>
      </c>
      <c r="G15984" s="41">
        <v>15</v>
      </c>
      <c r="H15984" s="41">
        <v>40</v>
      </c>
      <c r="I15984" s="221"/>
      <c r="J15984" s="221"/>
    </row>
    <row r="15985" spans="1:10" s="15" customFormat="1" ht="24" hidden="1" customHeight="1" outlineLevel="1" x14ac:dyDescent="0.25">
      <c r="A15985" s="18">
        <v>4974</v>
      </c>
      <c r="B15985" s="4" t="s">
        <v>44</v>
      </c>
      <c r="C15985" s="38" t="s">
        <v>13306</v>
      </c>
      <c r="D15985" s="18">
        <v>2023</v>
      </c>
      <c r="E15985" s="18" t="s">
        <v>0</v>
      </c>
      <c r="F15985" s="41">
        <v>1</v>
      </c>
      <c r="G15985" s="41">
        <v>16</v>
      </c>
      <c r="H15985" s="41">
        <v>38</v>
      </c>
      <c r="I15985" s="221"/>
      <c r="J15985" s="221"/>
    </row>
    <row r="15986" spans="1:10" s="15" customFormat="1" ht="24" hidden="1" customHeight="1" outlineLevel="1" x14ac:dyDescent="0.25">
      <c r="A15986" s="18">
        <v>4979</v>
      </c>
      <c r="B15986" s="4" t="s">
        <v>44</v>
      </c>
      <c r="C15986" s="38" t="s">
        <v>13307</v>
      </c>
      <c r="D15986" s="18">
        <v>2023</v>
      </c>
      <c r="E15986" s="18" t="s">
        <v>0</v>
      </c>
      <c r="F15986" s="41">
        <v>1</v>
      </c>
      <c r="G15986" s="41">
        <v>14</v>
      </c>
      <c r="H15986" s="41">
        <v>40</v>
      </c>
      <c r="I15986" s="221"/>
      <c r="J15986" s="221"/>
    </row>
    <row r="15987" spans="1:10" s="15" customFormat="1" ht="24" hidden="1" customHeight="1" outlineLevel="1" x14ac:dyDescent="0.25">
      <c r="A15987" s="18">
        <v>4980</v>
      </c>
      <c r="B15987" s="4" t="s">
        <v>44</v>
      </c>
      <c r="C15987" s="38" t="s">
        <v>13308</v>
      </c>
      <c r="D15987" s="18">
        <v>2023</v>
      </c>
      <c r="E15987" s="18" t="s">
        <v>0</v>
      </c>
      <c r="F15987" s="41">
        <v>1</v>
      </c>
      <c r="G15987" s="41">
        <v>15</v>
      </c>
      <c r="H15987" s="41">
        <v>56</v>
      </c>
      <c r="I15987" s="221"/>
      <c r="J15987" s="221"/>
    </row>
    <row r="15988" spans="1:10" s="15" customFormat="1" ht="24" hidden="1" customHeight="1" outlineLevel="1" x14ac:dyDescent="0.25">
      <c r="A15988" s="18">
        <v>2070</v>
      </c>
      <c r="B15988" s="4" t="s">
        <v>44</v>
      </c>
      <c r="C15988" s="38" t="s">
        <v>13309</v>
      </c>
      <c r="D15988" s="18">
        <v>2023</v>
      </c>
      <c r="E15988" s="18" t="s">
        <v>0</v>
      </c>
      <c r="F15988" s="41">
        <v>1</v>
      </c>
      <c r="G15988" s="41">
        <v>5</v>
      </c>
      <c r="H15988" s="41">
        <v>41</v>
      </c>
      <c r="I15988" s="221"/>
      <c r="J15988" s="221"/>
    </row>
    <row r="15989" spans="1:10" s="15" customFormat="1" ht="24" hidden="1" customHeight="1" outlineLevel="1" x14ac:dyDescent="0.25">
      <c r="A15989" s="18">
        <v>4982</v>
      </c>
      <c r="B15989" s="4" t="s">
        <v>44</v>
      </c>
      <c r="C15989" s="38" t="s">
        <v>13310</v>
      </c>
      <c r="D15989" s="18">
        <v>2023</v>
      </c>
      <c r="E15989" s="18" t="s">
        <v>0</v>
      </c>
      <c r="F15989" s="41">
        <v>1</v>
      </c>
      <c r="G15989" s="41">
        <v>75</v>
      </c>
      <c r="H15989" s="41">
        <v>68</v>
      </c>
      <c r="I15989" s="221"/>
      <c r="J15989" s="221"/>
    </row>
    <row r="15990" spans="1:10" s="15" customFormat="1" ht="24" hidden="1" customHeight="1" outlineLevel="1" x14ac:dyDescent="0.25">
      <c r="A15990" s="18">
        <v>4983</v>
      </c>
      <c r="B15990" s="4" t="s">
        <v>44</v>
      </c>
      <c r="C15990" s="38" t="s">
        <v>13311</v>
      </c>
      <c r="D15990" s="18">
        <v>2023</v>
      </c>
      <c r="E15990" s="18" t="s">
        <v>0</v>
      </c>
      <c r="F15990" s="41">
        <v>1</v>
      </c>
      <c r="G15990" s="41">
        <v>10</v>
      </c>
      <c r="H15990" s="41">
        <v>40</v>
      </c>
      <c r="I15990" s="221"/>
      <c r="J15990" s="221"/>
    </row>
    <row r="15991" spans="1:10" s="15" customFormat="1" ht="24" hidden="1" customHeight="1" outlineLevel="1" x14ac:dyDescent="0.25">
      <c r="A15991" s="18">
        <v>2168</v>
      </c>
      <c r="B15991" s="4" t="s">
        <v>44</v>
      </c>
      <c r="C15991" s="38" t="s">
        <v>13312</v>
      </c>
      <c r="D15991" s="18">
        <v>2023</v>
      </c>
      <c r="E15991" s="18" t="s">
        <v>0</v>
      </c>
      <c r="F15991" s="41">
        <v>1</v>
      </c>
      <c r="G15991" s="41">
        <v>5</v>
      </c>
      <c r="H15991" s="41">
        <v>58</v>
      </c>
      <c r="I15991" s="221"/>
      <c r="J15991" s="221"/>
    </row>
    <row r="15992" spans="1:10" s="15" customFormat="1" ht="24" hidden="1" customHeight="1" outlineLevel="1" x14ac:dyDescent="0.25">
      <c r="A15992" s="18">
        <v>2263</v>
      </c>
      <c r="B15992" s="4" t="s">
        <v>44</v>
      </c>
      <c r="C15992" s="38" t="s">
        <v>13313</v>
      </c>
      <c r="D15992" s="18">
        <v>2023</v>
      </c>
      <c r="E15992" s="18" t="s">
        <v>0</v>
      </c>
      <c r="F15992" s="41">
        <v>1</v>
      </c>
      <c r="G15992" s="41">
        <v>13</v>
      </c>
      <c r="H15992" s="41">
        <v>47</v>
      </c>
      <c r="I15992" s="221"/>
      <c r="J15992" s="221"/>
    </row>
    <row r="15993" spans="1:10" s="15" customFormat="1" ht="24" hidden="1" customHeight="1" outlineLevel="1" x14ac:dyDescent="0.25">
      <c r="A15993" s="18">
        <v>4985</v>
      </c>
      <c r="B15993" s="4" t="s">
        <v>44</v>
      </c>
      <c r="C15993" s="38" t="s">
        <v>13314</v>
      </c>
      <c r="D15993" s="18">
        <v>2023</v>
      </c>
      <c r="E15993" s="18" t="s">
        <v>0</v>
      </c>
      <c r="F15993" s="41">
        <v>1</v>
      </c>
      <c r="G15993" s="41">
        <v>15</v>
      </c>
      <c r="H15993" s="41">
        <v>36</v>
      </c>
      <c r="I15993" s="221"/>
      <c r="J15993" s="221"/>
    </row>
    <row r="15994" spans="1:10" s="15" customFormat="1" ht="24" hidden="1" customHeight="1" outlineLevel="1" x14ac:dyDescent="0.25">
      <c r="A15994" s="18">
        <v>2304</v>
      </c>
      <c r="B15994" s="4" t="s">
        <v>44</v>
      </c>
      <c r="C15994" s="38" t="s">
        <v>13315</v>
      </c>
      <c r="D15994" s="18">
        <v>2023</v>
      </c>
      <c r="E15994" s="18" t="s">
        <v>0</v>
      </c>
      <c r="F15994" s="41">
        <v>1</v>
      </c>
      <c r="G15994" s="41">
        <v>3</v>
      </c>
      <c r="H15994" s="41">
        <v>39</v>
      </c>
      <c r="I15994" s="221"/>
      <c r="J15994" s="221"/>
    </row>
    <row r="15995" spans="1:10" s="15" customFormat="1" ht="24" hidden="1" customHeight="1" outlineLevel="1" x14ac:dyDescent="0.25">
      <c r="A15995" s="18">
        <v>2307</v>
      </c>
      <c r="B15995" s="4" t="s">
        <v>44</v>
      </c>
      <c r="C15995" s="38" t="s">
        <v>13316</v>
      </c>
      <c r="D15995" s="18">
        <v>2023</v>
      </c>
      <c r="E15995" s="18" t="s">
        <v>0</v>
      </c>
      <c r="F15995" s="41">
        <v>1</v>
      </c>
      <c r="G15995" s="41">
        <v>15</v>
      </c>
      <c r="H15995" s="41">
        <v>42</v>
      </c>
      <c r="I15995" s="221"/>
      <c r="J15995" s="221"/>
    </row>
    <row r="15996" spans="1:10" s="15" customFormat="1" ht="24" hidden="1" customHeight="1" outlineLevel="1" x14ac:dyDescent="0.25">
      <c r="A15996" s="18">
        <v>1482</v>
      </c>
      <c r="B15996" s="4" t="s">
        <v>44</v>
      </c>
      <c r="C15996" s="38" t="s">
        <v>13317</v>
      </c>
      <c r="D15996" s="18">
        <v>2023</v>
      </c>
      <c r="E15996" s="18" t="s">
        <v>0</v>
      </c>
      <c r="F15996" s="41">
        <v>1</v>
      </c>
      <c r="G15996" s="41">
        <v>3</v>
      </c>
      <c r="H15996" s="41">
        <v>47</v>
      </c>
      <c r="I15996" s="221"/>
      <c r="J15996" s="221"/>
    </row>
    <row r="15997" spans="1:10" s="15" customFormat="1" ht="24" hidden="1" customHeight="1" outlineLevel="1" x14ac:dyDescent="0.25">
      <c r="A15997" s="18">
        <v>4986</v>
      </c>
      <c r="B15997" s="4" t="s">
        <v>44</v>
      </c>
      <c r="C15997" s="38" t="s">
        <v>13318</v>
      </c>
      <c r="D15997" s="18">
        <v>2023</v>
      </c>
      <c r="E15997" s="18" t="s">
        <v>0</v>
      </c>
      <c r="F15997" s="41">
        <v>1</v>
      </c>
      <c r="G15997" s="41">
        <v>10</v>
      </c>
      <c r="H15997" s="41">
        <v>41</v>
      </c>
      <c r="I15997" s="221"/>
      <c r="J15997" s="221"/>
    </row>
    <row r="15998" spans="1:10" s="15" customFormat="1" ht="24" hidden="1" customHeight="1" outlineLevel="1" x14ac:dyDescent="0.25">
      <c r="A15998" s="18">
        <v>2345</v>
      </c>
      <c r="B15998" s="4" t="s">
        <v>44</v>
      </c>
      <c r="C15998" s="38" t="s">
        <v>13319</v>
      </c>
      <c r="D15998" s="18">
        <v>2023</v>
      </c>
      <c r="E15998" s="18" t="s">
        <v>0</v>
      </c>
      <c r="F15998" s="41">
        <v>1</v>
      </c>
      <c r="G15998" s="41">
        <v>15</v>
      </c>
      <c r="H15998" s="41">
        <v>40</v>
      </c>
      <c r="I15998" s="221"/>
      <c r="J15998" s="221"/>
    </row>
    <row r="15999" spans="1:10" s="15" customFormat="1" ht="24" hidden="1" customHeight="1" outlineLevel="1" x14ac:dyDescent="0.25">
      <c r="A15999" s="18">
        <v>2255</v>
      </c>
      <c r="B15999" s="4" t="s">
        <v>44</v>
      </c>
      <c r="C15999" s="38" t="s">
        <v>13320</v>
      </c>
      <c r="D15999" s="18">
        <v>2023</v>
      </c>
      <c r="E15999" s="18" t="s">
        <v>0</v>
      </c>
      <c r="F15999" s="41">
        <v>1</v>
      </c>
      <c r="G15999" s="41">
        <v>9</v>
      </c>
      <c r="H15999" s="41">
        <v>38</v>
      </c>
      <c r="I15999" s="221"/>
      <c r="J15999" s="221"/>
    </row>
    <row r="16000" spans="1:10" s="15" customFormat="1" ht="24" hidden="1" customHeight="1" outlineLevel="1" x14ac:dyDescent="0.25">
      <c r="A16000" s="18">
        <v>4989</v>
      </c>
      <c r="B16000" s="4" t="s">
        <v>44</v>
      </c>
      <c r="C16000" s="38" t="s">
        <v>13321</v>
      </c>
      <c r="D16000" s="18">
        <v>2023</v>
      </c>
      <c r="E16000" s="18" t="s">
        <v>0</v>
      </c>
      <c r="F16000" s="41">
        <v>1</v>
      </c>
      <c r="G16000" s="41">
        <v>10</v>
      </c>
      <c r="H16000" s="41">
        <v>38</v>
      </c>
      <c r="I16000" s="221"/>
      <c r="J16000" s="221"/>
    </row>
    <row r="16001" spans="1:10" s="15" customFormat="1" ht="24" hidden="1" customHeight="1" outlineLevel="1" x14ac:dyDescent="0.25">
      <c r="A16001" s="18">
        <v>2361</v>
      </c>
      <c r="B16001" s="4" t="s">
        <v>44</v>
      </c>
      <c r="C16001" s="38" t="s">
        <v>13322</v>
      </c>
      <c r="D16001" s="18">
        <v>2023</v>
      </c>
      <c r="E16001" s="18" t="s">
        <v>0</v>
      </c>
      <c r="F16001" s="41">
        <v>1</v>
      </c>
      <c r="G16001" s="41">
        <v>4</v>
      </c>
      <c r="H16001" s="41">
        <v>40</v>
      </c>
      <c r="I16001" s="221"/>
      <c r="J16001" s="221"/>
    </row>
    <row r="16002" spans="1:10" s="15" customFormat="1" ht="24" hidden="1" customHeight="1" outlineLevel="1" x14ac:dyDescent="0.25">
      <c r="A16002" s="18">
        <v>4995</v>
      </c>
      <c r="B16002" s="4" t="s">
        <v>44</v>
      </c>
      <c r="C16002" s="38" t="s">
        <v>13323</v>
      </c>
      <c r="D16002" s="18">
        <v>2023</v>
      </c>
      <c r="E16002" s="18" t="s">
        <v>0</v>
      </c>
      <c r="F16002" s="41">
        <v>1</v>
      </c>
      <c r="G16002" s="41">
        <v>10</v>
      </c>
      <c r="H16002" s="41">
        <v>41</v>
      </c>
      <c r="I16002" s="221"/>
      <c r="J16002" s="221"/>
    </row>
    <row r="16003" spans="1:10" s="15" customFormat="1" ht="24" hidden="1" customHeight="1" outlineLevel="1" x14ac:dyDescent="0.25">
      <c r="A16003" s="18">
        <v>4997</v>
      </c>
      <c r="B16003" s="4" t="s">
        <v>44</v>
      </c>
      <c r="C16003" s="38" t="s">
        <v>13324</v>
      </c>
      <c r="D16003" s="18">
        <v>2023</v>
      </c>
      <c r="E16003" s="18" t="s">
        <v>0</v>
      </c>
      <c r="F16003" s="41">
        <v>1</v>
      </c>
      <c r="G16003" s="41">
        <v>10</v>
      </c>
      <c r="H16003" s="41">
        <v>41</v>
      </c>
      <c r="I16003" s="221"/>
      <c r="J16003" s="221"/>
    </row>
    <row r="16004" spans="1:10" s="15" customFormat="1" ht="24" hidden="1" customHeight="1" outlineLevel="1" x14ac:dyDescent="0.25">
      <c r="A16004" s="18">
        <v>2403</v>
      </c>
      <c r="B16004" s="4" t="s">
        <v>44</v>
      </c>
      <c r="C16004" s="38" t="s">
        <v>13325</v>
      </c>
      <c r="D16004" s="18">
        <v>2023</v>
      </c>
      <c r="E16004" s="18" t="s">
        <v>0</v>
      </c>
      <c r="F16004" s="41">
        <v>1</v>
      </c>
      <c r="G16004" s="41">
        <v>2</v>
      </c>
      <c r="H16004" s="41">
        <v>40</v>
      </c>
      <c r="I16004" s="221"/>
      <c r="J16004" s="221"/>
    </row>
    <row r="16005" spans="1:10" s="15" customFormat="1" ht="24" hidden="1" customHeight="1" outlineLevel="1" x14ac:dyDescent="0.25">
      <c r="A16005" s="18">
        <v>4998</v>
      </c>
      <c r="B16005" s="4" t="s">
        <v>44</v>
      </c>
      <c r="C16005" s="38" t="s">
        <v>13326</v>
      </c>
      <c r="D16005" s="18">
        <v>2023</v>
      </c>
      <c r="E16005" s="18" t="s">
        <v>0</v>
      </c>
      <c r="F16005" s="41">
        <v>1</v>
      </c>
      <c r="G16005" s="41">
        <v>13</v>
      </c>
      <c r="H16005" s="41">
        <v>38</v>
      </c>
      <c r="I16005" s="221"/>
      <c r="J16005" s="221"/>
    </row>
    <row r="16006" spans="1:10" s="15" customFormat="1" ht="24" hidden="1" customHeight="1" outlineLevel="1" x14ac:dyDescent="0.25">
      <c r="A16006" s="18">
        <v>4999</v>
      </c>
      <c r="B16006" s="4" t="s">
        <v>44</v>
      </c>
      <c r="C16006" s="38" t="s">
        <v>13327</v>
      </c>
      <c r="D16006" s="18">
        <v>2023</v>
      </c>
      <c r="E16006" s="18" t="s">
        <v>0</v>
      </c>
      <c r="F16006" s="41">
        <v>1</v>
      </c>
      <c r="G16006" s="41">
        <v>15</v>
      </c>
      <c r="H16006" s="41">
        <v>43</v>
      </c>
      <c r="I16006" s="221"/>
      <c r="J16006" s="221"/>
    </row>
    <row r="16007" spans="1:10" s="15" customFormat="1" ht="24" hidden="1" customHeight="1" outlineLevel="1" x14ac:dyDescent="0.25">
      <c r="A16007" s="18">
        <v>2783</v>
      </c>
      <c r="B16007" s="4" t="s">
        <v>44</v>
      </c>
      <c r="C16007" s="38" t="s">
        <v>13328</v>
      </c>
      <c r="D16007" s="18">
        <v>2023</v>
      </c>
      <c r="E16007" s="18" t="s">
        <v>0</v>
      </c>
      <c r="F16007" s="41">
        <v>1</v>
      </c>
      <c r="G16007" s="41">
        <v>5</v>
      </c>
      <c r="H16007" s="41">
        <v>43</v>
      </c>
      <c r="I16007" s="221"/>
      <c r="J16007" s="221"/>
    </row>
    <row r="16008" spans="1:10" s="15" customFormat="1" ht="24" hidden="1" customHeight="1" outlineLevel="1" x14ac:dyDescent="0.25">
      <c r="A16008" s="18">
        <v>5000</v>
      </c>
      <c r="B16008" s="4" t="s">
        <v>44</v>
      </c>
      <c r="C16008" s="38" t="s">
        <v>13329</v>
      </c>
      <c r="D16008" s="18">
        <v>2023</v>
      </c>
      <c r="E16008" s="18" t="s">
        <v>0</v>
      </c>
      <c r="F16008" s="41">
        <v>1</v>
      </c>
      <c r="G16008" s="41">
        <v>10</v>
      </c>
      <c r="H16008" s="41">
        <v>40</v>
      </c>
      <c r="I16008" s="221"/>
      <c r="J16008" s="221"/>
    </row>
    <row r="16009" spans="1:10" s="15" customFormat="1" ht="24" hidden="1" customHeight="1" outlineLevel="1" x14ac:dyDescent="0.25">
      <c r="A16009" s="18">
        <v>2428</v>
      </c>
      <c r="B16009" s="4" t="s">
        <v>44</v>
      </c>
      <c r="C16009" s="38" t="s">
        <v>13330</v>
      </c>
      <c r="D16009" s="18">
        <v>2023</v>
      </c>
      <c r="E16009" s="18" t="s">
        <v>0</v>
      </c>
      <c r="F16009" s="41">
        <v>1</v>
      </c>
      <c r="G16009" s="41">
        <v>5</v>
      </c>
      <c r="H16009" s="41">
        <v>37</v>
      </c>
      <c r="I16009" s="221"/>
      <c r="J16009" s="221"/>
    </row>
    <row r="16010" spans="1:10" s="15" customFormat="1" ht="24" hidden="1" customHeight="1" outlineLevel="1" x14ac:dyDescent="0.25">
      <c r="A16010" s="18">
        <v>5001</v>
      </c>
      <c r="B16010" s="4" t="s">
        <v>44</v>
      </c>
      <c r="C16010" s="38" t="s">
        <v>13331</v>
      </c>
      <c r="D16010" s="18">
        <v>2023</v>
      </c>
      <c r="E16010" s="18" t="s">
        <v>0</v>
      </c>
      <c r="F16010" s="41">
        <v>1</v>
      </c>
      <c r="G16010" s="41">
        <v>15</v>
      </c>
      <c r="H16010" s="41">
        <v>37</v>
      </c>
      <c r="I16010" s="221"/>
      <c r="J16010" s="221"/>
    </row>
    <row r="16011" spans="1:10" s="15" customFormat="1" ht="24" hidden="1" customHeight="1" outlineLevel="1" x14ac:dyDescent="0.25">
      <c r="A16011" s="18">
        <v>5003</v>
      </c>
      <c r="B16011" s="4" t="s">
        <v>44</v>
      </c>
      <c r="C16011" s="38" t="s">
        <v>13332</v>
      </c>
      <c r="D16011" s="18">
        <v>2023</v>
      </c>
      <c r="E16011" s="18" t="s">
        <v>0</v>
      </c>
      <c r="F16011" s="41">
        <v>1</v>
      </c>
      <c r="G16011" s="41">
        <v>15</v>
      </c>
      <c r="H16011" s="41">
        <v>49</v>
      </c>
      <c r="I16011" s="221"/>
      <c r="J16011" s="221"/>
    </row>
    <row r="16012" spans="1:10" s="15" customFormat="1" ht="24" hidden="1" customHeight="1" outlineLevel="1" x14ac:dyDescent="0.25">
      <c r="A16012" s="18">
        <v>5004</v>
      </c>
      <c r="B16012" s="4" t="s">
        <v>44</v>
      </c>
      <c r="C16012" s="38" t="s">
        <v>13333</v>
      </c>
      <c r="D16012" s="18">
        <v>2023</v>
      </c>
      <c r="E16012" s="18" t="s">
        <v>0</v>
      </c>
      <c r="F16012" s="41">
        <v>1</v>
      </c>
      <c r="G16012" s="41">
        <v>15</v>
      </c>
      <c r="H16012" s="41">
        <v>61</v>
      </c>
      <c r="I16012" s="221"/>
      <c r="J16012" s="221"/>
    </row>
    <row r="16013" spans="1:10" s="15" customFormat="1" ht="24" hidden="1" customHeight="1" outlineLevel="1" x14ac:dyDescent="0.25">
      <c r="A16013" s="18">
        <v>2816</v>
      </c>
      <c r="B16013" s="4" t="s">
        <v>44</v>
      </c>
      <c r="C16013" s="38" t="s">
        <v>13334</v>
      </c>
      <c r="D16013" s="18">
        <v>2023</v>
      </c>
      <c r="E16013" s="18" t="s">
        <v>0</v>
      </c>
      <c r="F16013" s="41">
        <v>1</v>
      </c>
      <c r="G16013" s="41">
        <v>5</v>
      </c>
      <c r="H16013" s="41">
        <v>45</v>
      </c>
      <c r="I16013" s="221"/>
      <c r="J16013" s="221"/>
    </row>
    <row r="16014" spans="1:10" s="15" customFormat="1" ht="24" hidden="1" customHeight="1" outlineLevel="1" x14ac:dyDescent="0.25">
      <c r="A16014" s="18">
        <v>5005</v>
      </c>
      <c r="B16014" s="4" t="s">
        <v>44</v>
      </c>
      <c r="C16014" s="38" t="s">
        <v>13335</v>
      </c>
      <c r="D16014" s="18">
        <v>2023</v>
      </c>
      <c r="E16014" s="18" t="s">
        <v>0</v>
      </c>
      <c r="F16014" s="41">
        <v>1</v>
      </c>
      <c r="G16014" s="41">
        <v>10</v>
      </c>
      <c r="H16014" s="41">
        <v>55</v>
      </c>
      <c r="I16014" s="221"/>
      <c r="J16014" s="221"/>
    </row>
    <row r="16015" spans="1:10" s="15" customFormat="1" ht="24" hidden="1" customHeight="1" outlineLevel="1" x14ac:dyDescent="0.25">
      <c r="A16015" s="18">
        <v>5006</v>
      </c>
      <c r="B16015" s="4" t="s">
        <v>44</v>
      </c>
      <c r="C16015" s="38" t="s">
        <v>13336</v>
      </c>
      <c r="D16015" s="18">
        <v>2023</v>
      </c>
      <c r="E16015" s="18" t="s">
        <v>0</v>
      </c>
      <c r="F16015" s="41">
        <v>1</v>
      </c>
      <c r="G16015" s="41">
        <v>15</v>
      </c>
      <c r="H16015" s="41">
        <v>40</v>
      </c>
      <c r="I16015" s="221"/>
      <c r="J16015" s="221"/>
    </row>
    <row r="16016" spans="1:10" s="15" customFormat="1" ht="24" hidden="1" customHeight="1" outlineLevel="1" x14ac:dyDescent="0.25">
      <c r="A16016" s="18">
        <v>5007</v>
      </c>
      <c r="B16016" s="4" t="s">
        <v>44</v>
      </c>
      <c r="C16016" s="38" t="s">
        <v>13337</v>
      </c>
      <c r="D16016" s="18">
        <v>2023</v>
      </c>
      <c r="E16016" s="18" t="s">
        <v>0</v>
      </c>
      <c r="F16016" s="41">
        <v>1</v>
      </c>
      <c r="G16016" s="41">
        <v>15</v>
      </c>
      <c r="H16016" s="41">
        <v>45</v>
      </c>
      <c r="I16016" s="221"/>
      <c r="J16016" s="221"/>
    </row>
    <row r="16017" spans="1:10" s="15" customFormat="1" ht="24" hidden="1" customHeight="1" outlineLevel="1" x14ac:dyDescent="0.25">
      <c r="A16017" s="18">
        <v>5008</v>
      </c>
      <c r="B16017" s="4" t="s">
        <v>44</v>
      </c>
      <c r="C16017" s="38" t="s">
        <v>13338</v>
      </c>
      <c r="D16017" s="18">
        <v>2023</v>
      </c>
      <c r="E16017" s="18" t="s">
        <v>0</v>
      </c>
      <c r="F16017" s="41">
        <v>1</v>
      </c>
      <c r="G16017" s="41">
        <v>15</v>
      </c>
      <c r="H16017" s="41">
        <v>47</v>
      </c>
      <c r="I16017" s="221"/>
      <c r="J16017" s="221"/>
    </row>
    <row r="16018" spans="1:10" s="15" customFormat="1" ht="24" hidden="1" customHeight="1" outlineLevel="1" x14ac:dyDescent="0.25">
      <c r="A16018" s="18">
        <v>5009</v>
      </c>
      <c r="B16018" s="4" t="s">
        <v>44</v>
      </c>
      <c r="C16018" s="38" t="s">
        <v>13339</v>
      </c>
      <c r="D16018" s="18">
        <v>2023</v>
      </c>
      <c r="E16018" s="18" t="s">
        <v>0</v>
      </c>
      <c r="F16018" s="41">
        <v>1</v>
      </c>
      <c r="G16018" s="41">
        <v>15</v>
      </c>
      <c r="H16018" s="41">
        <v>37</v>
      </c>
      <c r="I16018" s="221"/>
      <c r="J16018" s="221"/>
    </row>
    <row r="16019" spans="1:10" s="15" customFormat="1" ht="24" hidden="1" customHeight="1" outlineLevel="1" x14ac:dyDescent="0.25">
      <c r="A16019" s="18">
        <v>707</v>
      </c>
      <c r="B16019" s="4" t="s">
        <v>44</v>
      </c>
      <c r="C16019" s="38" t="s">
        <v>9159</v>
      </c>
      <c r="D16019" s="18">
        <v>2023</v>
      </c>
      <c r="E16019" s="18" t="s">
        <v>0</v>
      </c>
      <c r="F16019" s="41">
        <v>1</v>
      </c>
      <c r="G16019" s="41">
        <v>15</v>
      </c>
      <c r="H16019" s="41">
        <v>35.244</v>
      </c>
      <c r="I16019" s="221"/>
      <c r="J16019" s="221"/>
    </row>
    <row r="16020" spans="1:10" s="15" customFormat="1" ht="24" hidden="1" customHeight="1" outlineLevel="1" x14ac:dyDescent="0.25">
      <c r="A16020" s="18">
        <v>1137</v>
      </c>
      <c r="B16020" s="4" t="s">
        <v>44</v>
      </c>
      <c r="C16020" s="38" t="s">
        <v>8769</v>
      </c>
      <c r="D16020" s="18">
        <v>2023</v>
      </c>
      <c r="E16020" s="18" t="s">
        <v>0</v>
      </c>
      <c r="F16020" s="41">
        <v>1</v>
      </c>
      <c r="G16020" s="41">
        <v>15</v>
      </c>
      <c r="H16020" s="41">
        <v>26.356000000000002</v>
      </c>
      <c r="I16020" s="221"/>
      <c r="J16020" s="221"/>
    </row>
    <row r="16021" spans="1:10" s="15" customFormat="1" ht="24" hidden="1" customHeight="1" outlineLevel="1" x14ac:dyDescent="0.25">
      <c r="A16021" s="18">
        <v>515</v>
      </c>
      <c r="B16021" s="4" t="s">
        <v>44</v>
      </c>
      <c r="C16021" s="38" t="s">
        <v>9160</v>
      </c>
      <c r="D16021" s="18">
        <v>2023</v>
      </c>
      <c r="E16021" s="18" t="s">
        <v>0</v>
      </c>
      <c r="F16021" s="41">
        <v>1</v>
      </c>
      <c r="G16021" s="41">
        <v>15</v>
      </c>
      <c r="H16021" s="41">
        <v>44.902000000000001</v>
      </c>
      <c r="I16021" s="221"/>
      <c r="J16021" s="221"/>
    </row>
    <row r="16022" spans="1:10" s="15" customFormat="1" ht="24" hidden="1" customHeight="1" outlineLevel="1" x14ac:dyDescent="0.25">
      <c r="A16022" s="18">
        <v>1164</v>
      </c>
      <c r="B16022" s="4" t="s">
        <v>44</v>
      </c>
      <c r="C16022" s="38" t="s">
        <v>8770</v>
      </c>
      <c r="D16022" s="18">
        <v>2023</v>
      </c>
      <c r="E16022" s="18" t="s">
        <v>0</v>
      </c>
      <c r="F16022" s="41">
        <v>1</v>
      </c>
      <c r="G16022" s="41">
        <v>15</v>
      </c>
      <c r="H16022" s="41">
        <v>32.621009999999998</v>
      </c>
      <c r="I16022" s="221"/>
      <c r="J16022" s="221"/>
    </row>
    <row r="16023" spans="1:10" s="15" customFormat="1" ht="24" hidden="1" customHeight="1" outlineLevel="1" x14ac:dyDescent="0.25">
      <c r="A16023" s="18">
        <v>978</v>
      </c>
      <c r="B16023" s="4" t="s">
        <v>44</v>
      </c>
      <c r="C16023" s="38" t="s">
        <v>8771</v>
      </c>
      <c r="D16023" s="18">
        <v>2023</v>
      </c>
      <c r="E16023" s="18" t="s">
        <v>0</v>
      </c>
      <c r="F16023" s="41">
        <v>1</v>
      </c>
      <c r="G16023" s="41">
        <v>15</v>
      </c>
      <c r="H16023" s="41">
        <v>36.474539999999998</v>
      </c>
      <c r="I16023" s="221"/>
      <c r="J16023" s="221"/>
    </row>
    <row r="16024" spans="1:10" s="15" customFormat="1" ht="24" hidden="1" customHeight="1" outlineLevel="1" x14ac:dyDescent="0.25">
      <c r="A16024" s="18">
        <v>621</v>
      </c>
      <c r="B16024" s="4" t="s">
        <v>44</v>
      </c>
      <c r="C16024" s="38" t="s">
        <v>9161</v>
      </c>
      <c r="D16024" s="18">
        <v>2023</v>
      </c>
      <c r="E16024" s="18" t="s">
        <v>0</v>
      </c>
      <c r="F16024" s="41">
        <v>1</v>
      </c>
      <c r="G16024" s="41">
        <v>15</v>
      </c>
      <c r="H16024" s="41">
        <v>51.437249999999999</v>
      </c>
      <c r="I16024" s="221"/>
      <c r="J16024" s="221"/>
    </row>
    <row r="16025" spans="1:10" s="15" customFormat="1" ht="24" hidden="1" customHeight="1" outlineLevel="1" x14ac:dyDescent="0.25">
      <c r="A16025" s="18">
        <v>3274</v>
      </c>
      <c r="B16025" s="4" t="s">
        <v>44</v>
      </c>
      <c r="C16025" s="38" t="s">
        <v>8772</v>
      </c>
      <c r="D16025" s="18">
        <v>2023</v>
      </c>
      <c r="E16025" s="18" t="s">
        <v>0</v>
      </c>
      <c r="F16025" s="41">
        <v>1</v>
      </c>
      <c r="G16025" s="41">
        <v>14.5</v>
      </c>
      <c r="H16025" s="41">
        <v>34.376390000000001</v>
      </c>
      <c r="I16025" s="221"/>
      <c r="J16025" s="221"/>
    </row>
    <row r="16026" spans="1:10" s="15" customFormat="1" ht="24" hidden="1" customHeight="1" outlineLevel="1" x14ac:dyDescent="0.25">
      <c r="A16026" s="18">
        <v>3112</v>
      </c>
      <c r="B16026" s="4" t="s">
        <v>44</v>
      </c>
      <c r="C16026" s="38" t="s">
        <v>13340</v>
      </c>
      <c r="D16026" s="18">
        <v>2023</v>
      </c>
      <c r="E16026" s="18" t="s">
        <v>0</v>
      </c>
      <c r="F16026" s="41">
        <v>1</v>
      </c>
      <c r="G16026" s="41">
        <v>50</v>
      </c>
      <c r="H16026" s="41">
        <v>30.324770000000001</v>
      </c>
      <c r="I16026" s="221"/>
      <c r="J16026" s="221"/>
    </row>
    <row r="16027" spans="1:10" s="15" customFormat="1" ht="24" hidden="1" customHeight="1" outlineLevel="1" x14ac:dyDescent="0.25">
      <c r="A16027" s="18">
        <v>3221</v>
      </c>
      <c r="B16027" s="4" t="s">
        <v>44</v>
      </c>
      <c r="C16027" s="38" t="s">
        <v>8774</v>
      </c>
      <c r="D16027" s="18">
        <v>2023</v>
      </c>
      <c r="E16027" s="18" t="s">
        <v>0</v>
      </c>
      <c r="F16027" s="41">
        <v>1</v>
      </c>
      <c r="G16027" s="41">
        <v>15</v>
      </c>
      <c r="H16027" s="41">
        <v>89.95872</v>
      </c>
      <c r="I16027" s="221"/>
      <c r="J16027" s="221"/>
    </row>
    <row r="16028" spans="1:10" s="15" customFormat="1" ht="24" hidden="1" customHeight="1" outlineLevel="1" x14ac:dyDescent="0.25">
      <c r="A16028" s="18">
        <v>682</v>
      </c>
      <c r="B16028" s="4" t="s">
        <v>44</v>
      </c>
      <c r="C16028" s="38" t="s">
        <v>9162</v>
      </c>
      <c r="D16028" s="18">
        <v>2023</v>
      </c>
      <c r="E16028" s="18" t="s">
        <v>0</v>
      </c>
      <c r="F16028" s="41">
        <v>1</v>
      </c>
      <c r="G16028" s="41">
        <v>12</v>
      </c>
      <c r="H16028" s="41">
        <v>65.289000000000001</v>
      </c>
      <c r="I16028" s="221"/>
      <c r="J16028" s="221"/>
    </row>
    <row r="16029" spans="1:10" s="15" customFormat="1" ht="24" hidden="1" customHeight="1" outlineLevel="1" x14ac:dyDescent="0.25">
      <c r="A16029" s="18">
        <v>2833</v>
      </c>
      <c r="B16029" s="4" t="s">
        <v>44</v>
      </c>
      <c r="C16029" s="38" t="s">
        <v>9163</v>
      </c>
      <c r="D16029" s="18">
        <v>2023</v>
      </c>
      <c r="E16029" s="18" t="s">
        <v>0</v>
      </c>
      <c r="F16029" s="41">
        <v>1</v>
      </c>
      <c r="G16029" s="41">
        <v>6</v>
      </c>
      <c r="H16029" s="41">
        <v>65.369</v>
      </c>
      <c r="I16029" s="221"/>
      <c r="J16029" s="221"/>
    </row>
    <row r="16030" spans="1:10" s="15" customFormat="1" ht="24" hidden="1" customHeight="1" outlineLevel="1" x14ac:dyDescent="0.25">
      <c r="A16030" s="18">
        <v>835</v>
      </c>
      <c r="B16030" s="4" t="s">
        <v>44</v>
      </c>
      <c r="C16030" s="38" t="s">
        <v>9164</v>
      </c>
      <c r="D16030" s="18">
        <v>2023</v>
      </c>
      <c r="E16030" s="18" t="s">
        <v>0</v>
      </c>
      <c r="F16030" s="41">
        <v>1</v>
      </c>
      <c r="G16030" s="41">
        <v>15</v>
      </c>
      <c r="H16030" s="41">
        <v>62.344999999999999</v>
      </c>
      <c r="I16030" s="221"/>
      <c r="J16030" s="221"/>
    </row>
    <row r="16031" spans="1:10" s="15" customFormat="1" ht="24" hidden="1" customHeight="1" outlineLevel="1" x14ac:dyDescent="0.25">
      <c r="A16031" s="18">
        <v>2828</v>
      </c>
      <c r="B16031" s="4" t="s">
        <v>44</v>
      </c>
      <c r="C16031" s="38" t="s">
        <v>9165</v>
      </c>
      <c r="D16031" s="18">
        <v>2023</v>
      </c>
      <c r="E16031" s="18" t="s">
        <v>0</v>
      </c>
      <c r="F16031" s="41">
        <v>1</v>
      </c>
      <c r="G16031" s="41">
        <v>25.3</v>
      </c>
      <c r="H16031" s="41">
        <v>125.321</v>
      </c>
      <c r="I16031" s="221"/>
      <c r="J16031" s="221"/>
    </row>
    <row r="16032" spans="1:10" s="15" customFormat="1" ht="24" hidden="1" customHeight="1" outlineLevel="1" x14ac:dyDescent="0.25">
      <c r="A16032" s="18">
        <v>657</v>
      </c>
      <c r="B16032" s="4" t="s">
        <v>44</v>
      </c>
      <c r="C16032" s="38" t="s">
        <v>9166</v>
      </c>
      <c r="D16032" s="18">
        <v>2023</v>
      </c>
      <c r="E16032" s="18" t="s">
        <v>0</v>
      </c>
      <c r="F16032" s="41">
        <v>1</v>
      </c>
      <c r="G16032" s="41">
        <v>15</v>
      </c>
      <c r="H16032" s="41">
        <v>38.5</v>
      </c>
      <c r="I16032" s="221"/>
      <c r="J16032" s="221"/>
    </row>
    <row r="16033" spans="1:10" s="15" customFormat="1" ht="24" hidden="1" customHeight="1" outlineLevel="1" x14ac:dyDescent="0.25">
      <c r="A16033" s="18">
        <v>1038</v>
      </c>
      <c r="B16033" s="4" t="s">
        <v>44</v>
      </c>
      <c r="C16033" s="38" t="s">
        <v>8775</v>
      </c>
      <c r="D16033" s="18">
        <v>2023</v>
      </c>
      <c r="E16033" s="18" t="s">
        <v>0</v>
      </c>
      <c r="F16033" s="41">
        <v>1</v>
      </c>
      <c r="G16033" s="41">
        <v>15</v>
      </c>
      <c r="H16033" s="41">
        <v>43.437069999999999</v>
      </c>
      <c r="I16033" s="221"/>
      <c r="J16033" s="221"/>
    </row>
    <row r="16034" spans="1:10" s="15" customFormat="1" ht="24" hidden="1" customHeight="1" outlineLevel="1" x14ac:dyDescent="0.25">
      <c r="A16034" s="18">
        <v>613</v>
      </c>
      <c r="B16034" s="4" t="s">
        <v>44</v>
      </c>
      <c r="C16034" s="38" t="s">
        <v>8776</v>
      </c>
      <c r="D16034" s="18">
        <v>2023</v>
      </c>
      <c r="E16034" s="18" t="s">
        <v>0</v>
      </c>
      <c r="F16034" s="41">
        <v>1</v>
      </c>
      <c r="G16034" s="41">
        <v>15</v>
      </c>
      <c r="H16034" s="41">
        <v>38.531869999999998</v>
      </c>
      <c r="I16034" s="221"/>
      <c r="J16034" s="221"/>
    </row>
    <row r="16035" spans="1:10" s="15" customFormat="1" ht="24" hidden="1" customHeight="1" outlineLevel="1" x14ac:dyDescent="0.25">
      <c r="A16035" s="18">
        <v>3124</v>
      </c>
      <c r="B16035" s="4" t="s">
        <v>44</v>
      </c>
      <c r="C16035" s="38" t="s">
        <v>8778</v>
      </c>
      <c r="D16035" s="18">
        <v>2023</v>
      </c>
      <c r="E16035" s="18" t="s">
        <v>0</v>
      </c>
      <c r="F16035" s="41">
        <v>1</v>
      </c>
      <c r="G16035" s="41">
        <v>50</v>
      </c>
      <c r="H16035" s="41">
        <v>31.32122</v>
      </c>
      <c r="I16035" s="221"/>
      <c r="J16035" s="221"/>
    </row>
    <row r="16036" spans="1:10" s="15" customFormat="1" ht="24" hidden="1" customHeight="1" outlineLevel="1" x14ac:dyDescent="0.25">
      <c r="A16036" s="18">
        <v>670</v>
      </c>
      <c r="B16036" s="4" t="s">
        <v>44</v>
      </c>
      <c r="C16036" s="38" t="s">
        <v>9168</v>
      </c>
      <c r="D16036" s="18">
        <v>2023</v>
      </c>
      <c r="E16036" s="18" t="s">
        <v>0</v>
      </c>
      <c r="F16036" s="41">
        <v>1</v>
      </c>
      <c r="G16036" s="41">
        <v>15</v>
      </c>
      <c r="H16036" s="41">
        <v>75</v>
      </c>
      <c r="I16036" s="221"/>
      <c r="J16036" s="221"/>
    </row>
    <row r="16037" spans="1:10" s="15" customFormat="1" ht="24" hidden="1" customHeight="1" outlineLevel="1" x14ac:dyDescent="0.25">
      <c r="A16037" s="18">
        <v>692</v>
      </c>
      <c r="B16037" s="4" t="s">
        <v>44</v>
      </c>
      <c r="C16037" s="38" t="s">
        <v>8779</v>
      </c>
      <c r="D16037" s="18">
        <v>2023</v>
      </c>
      <c r="E16037" s="18" t="s">
        <v>0</v>
      </c>
      <c r="F16037" s="41">
        <v>1</v>
      </c>
      <c r="G16037" s="41">
        <v>10</v>
      </c>
      <c r="H16037" s="41">
        <v>84.792450000000002</v>
      </c>
      <c r="I16037" s="221"/>
      <c r="J16037" s="221"/>
    </row>
    <row r="16038" spans="1:10" s="15" customFormat="1" ht="24" hidden="1" customHeight="1" outlineLevel="1" x14ac:dyDescent="0.25">
      <c r="A16038" s="18">
        <v>1175</v>
      </c>
      <c r="B16038" s="4" t="s">
        <v>44</v>
      </c>
      <c r="C16038" s="38" t="s">
        <v>9169</v>
      </c>
      <c r="D16038" s="18">
        <v>2023</v>
      </c>
      <c r="E16038" s="18" t="s">
        <v>0</v>
      </c>
      <c r="F16038" s="41">
        <v>1</v>
      </c>
      <c r="G16038" s="41">
        <v>15</v>
      </c>
      <c r="H16038" s="41">
        <v>54.341000000000001</v>
      </c>
      <c r="I16038" s="221"/>
      <c r="J16038" s="221"/>
    </row>
    <row r="16039" spans="1:10" s="15" customFormat="1" ht="24" hidden="1" customHeight="1" outlineLevel="1" x14ac:dyDescent="0.25">
      <c r="A16039" s="18">
        <v>3196</v>
      </c>
      <c r="B16039" s="4" t="s">
        <v>44</v>
      </c>
      <c r="C16039" s="38" t="s">
        <v>9170</v>
      </c>
      <c r="D16039" s="18">
        <v>2023</v>
      </c>
      <c r="E16039" s="18" t="s">
        <v>0</v>
      </c>
      <c r="F16039" s="41">
        <v>2</v>
      </c>
      <c r="G16039" s="41">
        <v>7</v>
      </c>
      <c r="H16039" s="41">
        <v>165</v>
      </c>
      <c r="I16039" s="221"/>
      <c r="J16039" s="221"/>
    </row>
    <row r="16040" spans="1:10" s="15" customFormat="1" ht="24" hidden="1" customHeight="1" outlineLevel="1" x14ac:dyDescent="0.25">
      <c r="A16040" s="18">
        <v>3276</v>
      </c>
      <c r="B16040" s="4" t="s">
        <v>44</v>
      </c>
      <c r="C16040" s="38" t="s">
        <v>8780</v>
      </c>
      <c r="D16040" s="18">
        <v>2023</v>
      </c>
      <c r="E16040" s="18" t="s">
        <v>0</v>
      </c>
      <c r="F16040" s="41">
        <v>1</v>
      </c>
      <c r="G16040" s="41">
        <v>14.85</v>
      </c>
      <c r="H16040" s="41">
        <v>37.5</v>
      </c>
      <c r="I16040" s="221"/>
      <c r="J16040" s="221"/>
    </row>
    <row r="16041" spans="1:10" s="15" customFormat="1" ht="24" hidden="1" customHeight="1" outlineLevel="1" x14ac:dyDescent="0.25">
      <c r="A16041" s="18">
        <v>908</v>
      </c>
      <c r="B16041" s="4" t="s">
        <v>44</v>
      </c>
      <c r="C16041" s="38" t="s">
        <v>13341</v>
      </c>
      <c r="D16041" s="18">
        <v>2023</v>
      </c>
      <c r="E16041" s="18" t="s">
        <v>0</v>
      </c>
      <c r="F16041" s="41">
        <v>1</v>
      </c>
      <c r="G16041" s="41">
        <v>13.5</v>
      </c>
      <c r="H16041" s="41">
        <v>42.750579999999999</v>
      </c>
      <c r="I16041" s="221"/>
      <c r="J16041" s="221"/>
    </row>
    <row r="16042" spans="1:10" s="15" customFormat="1" ht="24" hidden="1" customHeight="1" outlineLevel="1" x14ac:dyDescent="0.25">
      <c r="A16042" s="18">
        <v>683</v>
      </c>
      <c r="B16042" s="4" t="s">
        <v>44</v>
      </c>
      <c r="C16042" s="38" t="s">
        <v>13342</v>
      </c>
      <c r="D16042" s="18">
        <v>2023</v>
      </c>
      <c r="E16042" s="18" t="s">
        <v>0</v>
      </c>
      <c r="F16042" s="41">
        <v>1</v>
      </c>
      <c r="G16042" s="41">
        <v>7</v>
      </c>
      <c r="H16042" s="41">
        <v>36.553600000000003</v>
      </c>
      <c r="I16042" s="221"/>
      <c r="J16042" s="221"/>
    </row>
    <row r="16043" spans="1:10" s="15" customFormat="1" ht="24" hidden="1" customHeight="1" outlineLevel="1" x14ac:dyDescent="0.25">
      <c r="A16043" s="18">
        <v>3128</v>
      </c>
      <c r="B16043" s="4" t="s">
        <v>44</v>
      </c>
      <c r="C16043" s="38" t="s">
        <v>9172</v>
      </c>
      <c r="D16043" s="18">
        <v>2023</v>
      </c>
      <c r="E16043" s="18" t="s">
        <v>0</v>
      </c>
      <c r="F16043" s="41">
        <v>1</v>
      </c>
      <c r="G16043" s="41">
        <v>50</v>
      </c>
      <c r="H16043" s="41">
        <v>44.129260000000002</v>
      </c>
      <c r="I16043" s="221"/>
      <c r="J16043" s="221"/>
    </row>
    <row r="16044" spans="1:10" s="15" customFormat="1" ht="24" hidden="1" customHeight="1" outlineLevel="1" x14ac:dyDescent="0.25">
      <c r="A16044" s="18">
        <v>3286</v>
      </c>
      <c r="B16044" s="4" t="s">
        <v>44</v>
      </c>
      <c r="C16044" s="38" t="s">
        <v>8783</v>
      </c>
      <c r="D16044" s="18">
        <v>2023</v>
      </c>
      <c r="E16044" s="18" t="s">
        <v>0</v>
      </c>
      <c r="F16044" s="41">
        <v>1</v>
      </c>
      <c r="G16044" s="41">
        <v>15</v>
      </c>
      <c r="H16044" s="41">
        <v>36.173999999999999</v>
      </c>
      <c r="I16044" s="221"/>
      <c r="J16044" s="221"/>
    </row>
    <row r="16045" spans="1:10" s="15" customFormat="1" ht="24" hidden="1" customHeight="1" outlineLevel="1" x14ac:dyDescent="0.25">
      <c r="A16045" s="18">
        <v>975</v>
      </c>
      <c r="B16045" s="4" t="s">
        <v>44</v>
      </c>
      <c r="C16045" s="38" t="s">
        <v>8786</v>
      </c>
      <c r="D16045" s="18">
        <v>2023</v>
      </c>
      <c r="E16045" s="18" t="s">
        <v>0</v>
      </c>
      <c r="F16045" s="41">
        <v>1</v>
      </c>
      <c r="G16045" s="41">
        <v>15</v>
      </c>
      <c r="H16045" s="41">
        <v>42.02281</v>
      </c>
      <c r="I16045" s="221"/>
      <c r="J16045" s="221"/>
    </row>
    <row r="16046" spans="1:10" s="15" customFormat="1" ht="24" hidden="1" customHeight="1" outlineLevel="1" x14ac:dyDescent="0.25">
      <c r="A16046" s="18">
        <v>3170</v>
      </c>
      <c r="B16046" s="4" t="s">
        <v>44</v>
      </c>
      <c r="C16046" s="38" t="s">
        <v>9173</v>
      </c>
      <c r="D16046" s="18">
        <v>2023</v>
      </c>
      <c r="E16046" s="18" t="s">
        <v>0</v>
      </c>
      <c r="F16046" s="41">
        <v>2</v>
      </c>
      <c r="G16046" s="41">
        <v>45</v>
      </c>
      <c r="H16046" s="41">
        <v>132.47749999999999</v>
      </c>
      <c r="I16046" s="221"/>
      <c r="J16046" s="221"/>
    </row>
    <row r="16047" spans="1:10" s="15" customFormat="1" ht="24" hidden="1" customHeight="1" outlineLevel="1" x14ac:dyDescent="0.25">
      <c r="A16047" s="18">
        <v>4990</v>
      </c>
      <c r="B16047" s="4" t="s">
        <v>44</v>
      </c>
      <c r="C16047" s="38" t="s">
        <v>9174</v>
      </c>
      <c r="D16047" s="18">
        <v>2023</v>
      </c>
      <c r="E16047" s="18" t="s">
        <v>0</v>
      </c>
      <c r="F16047" s="41">
        <v>1</v>
      </c>
      <c r="G16047" s="41">
        <v>30</v>
      </c>
      <c r="H16047" s="41">
        <v>118</v>
      </c>
      <c r="I16047" s="221"/>
      <c r="J16047" s="221"/>
    </row>
    <row r="16048" spans="1:10" s="15" customFormat="1" ht="24" hidden="1" customHeight="1" outlineLevel="1" x14ac:dyDescent="0.25">
      <c r="A16048" s="18">
        <v>3140</v>
      </c>
      <c r="B16048" s="4" t="s">
        <v>44</v>
      </c>
      <c r="C16048" s="38" t="s">
        <v>9175</v>
      </c>
      <c r="D16048" s="18">
        <v>2023</v>
      </c>
      <c r="E16048" s="18" t="s">
        <v>0</v>
      </c>
      <c r="F16048" s="41">
        <v>1</v>
      </c>
      <c r="G16048" s="41">
        <v>70</v>
      </c>
      <c r="H16048" s="41">
        <v>54.65</v>
      </c>
      <c r="I16048" s="221"/>
      <c r="J16048" s="221"/>
    </row>
    <row r="16049" spans="1:10" s="15" customFormat="1" ht="24" hidden="1" customHeight="1" outlineLevel="1" x14ac:dyDescent="0.25">
      <c r="A16049" s="18">
        <v>3191</v>
      </c>
      <c r="B16049" s="4" t="s">
        <v>44</v>
      </c>
      <c r="C16049" s="38" t="s">
        <v>9176</v>
      </c>
      <c r="D16049" s="18">
        <v>2023</v>
      </c>
      <c r="E16049" s="18" t="s">
        <v>0</v>
      </c>
      <c r="F16049" s="41">
        <v>1</v>
      </c>
      <c r="G16049" s="41">
        <v>15</v>
      </c>
      <c r="H16049" s="41">
        <v>87.991159999999994</v>
      </c>
      <c r="I16049" s="221"/>
      <c r="J16049" s="221"/>
    </row>
    <row r="16050" spans="1:10" s="15" customFormat="1" ht="24" hidden="1" customHeight="1" outlineLevel="1" x14ac:dyDescent="0.25">
      <c r="A16050" s="18">
        <v>4991</v>
      </c>
      <c r="B16050" s="4" t="s">
        <v>44</v>
      </c>
      <c r="C16050" s="38" t="s">
        <v>9178</v>
      </c>
      <c r="D16050" s="18">
        <v>2023</v>
      </c>
      <c r="E16050" s="18" t="s">
        <v>0</v>
      </c>
      <c r="F16050" s="41">
        <v>1</v>
      </c>
      <c r="G16050" s="41">
        <v>30</v>
      </c>
      <c r="H16050" s="41">
        <v>87.650999999999996</v>
      </c>
      <c r="I16050" s="221"/>
      <c r="J16050" s="221"/>
    </row>
    <row r="16051" spans="1:10" s="15" customFormat="1" ht="24" hidden="1" customHeight="1" outlineLevel="1" x14ac:dyDescent="0.25">
      <c r="A16051" s="18">
        <v>4992</v>
      </c>
      <c r="B16051" s="4" t="s">
        <v>44</v>
      </c>
      <c r="C16051" s="38" t="s">
        <v>8788</v>
      </c>
      <c r="D16051" s="18">
        <v>2023</v>
      </c>
      <c r="E16051" s="18" t="s">
        <v>0</v>
      </c>
      <c r="F16051" s="41">
        <v>1</v>
      </c>
      <c r="G16051" s="41">
        <v>20</v>
      </c>
      <c r="H16051" s="41">
        <v>219.02437</v>
      </c>
      <c r="I16051" s="221"/>
      <c r="J16051" s="221"/>
    </row>
    <row r="16052" spans="1:10" s="15" customFormat="1" ht="24" hidden="1" customHeight="1" outlineLevel="1" x14ac:dyDescent="0.25">
      <c r="A16052" s="18">
        <v>3316</v>
      </c>
      <c r="B16052" s="4" t="s">
        <v>44</v>
      </c>
      <c r="C16052" s="38" t="s">
        <v>8789</v>
      </c>
      <c r="D16052" s="18">
        <v>2023</v>
      </c>
      <c r="E16052" s="18" t="s">
        <v>0</v>
      </c>
      <c r="F16052" s="41">
        <v>1</v>
      </c>
      <c r="G16052" s="41">
        <v>7.5</v>
      </c>
      <c r="H16052" s="41">
        <v>35.6</v>
      </c>
      <c r="I16052" s="221"/>
      <c r="J16052" s="221"/>
    </row>
    <row r="16053" spans="1:10" s="15" customFormat="1" ht="24" hidden="1" customHeight="1" outlineLevel="1" x14ac:dyDescent="0.25">
      <c r="A16053" s="18">
        <v>1769</v>
      </c>
      <c r="B16053" s="4" t="s">
        <v>44</v>
      </c>
      <c r="C16053" s="38" t="s">
        <v>8791</v>
      </c>
      <c r="D16053" s="18">
        <v>2023</v>
      </c>
      <c r="E16053" s="18" t="s">
        <v>0</v>
      </c>
      <c r="F16053" s="41">
        <v>1</v>
      </c>
      <c r="G16053" s="41">
        <v>5</v>
      </c>
      <c r="H16053" s="41">
        <v>90.780199999999994</v>
      </c>
      <c r="I16053" s="221"/>
      <c r="J16053" s="221"/>
    </row>
    <row r="16054" spans="1:10" s="15" customFormat="1" ht="24" hidden="1" customHeight="1" outlineLevel="1" x14ac:dyDescent="0.25">
      <c r="A16054" s="18">
        <v>3332</v>
      </c>
      <c r="B16054" s="4" t="s">
        <v>44</v>
      </c>
      <c r="C16054" s="38" t="s">
        <v>8792</v>
      </c>
      <c r="D16054" s="18">
        <v>2023</v>
      </c>
      <c r="E16054" s="18" t="s">
        <v>0</v>
      </c>
      <c r="F16054" s="41">
        <v>1</v>
      </c>
      <c r="G16054" s="41">
        <v>15</v>
      </c>
      <c r="H16054" s="41">
        <v>51.287199999999999</v>
      </c>
      <c r="I16054" s="221"/>
      <c r="J16054" s="221"/>
    </row>
    <row r="16055" spans="1:10" s="15" customFormat="1" ht="24" hidden="1" customHeight="1" outlineLevel="1" x14ac:dyDescent="0.25">
      <c r="A16055" s="18">
        <v>5002</v>
      </c>
      <c r="B16055" s="4" t="s">
        <v>44</v>
      </c>
      <c r="C16055" s="38" t="s">
        <v>9182</v>
      </c>
      <c r="D16055" s="18">
        <v>2023</v>
      </c>
      <c r="E16055" s="18" t="s">
        <v>0</v>
      </c>
      <c r="F16055" s="41">
        <v>1</v>
      </c>
      <c r="G16055" s="41">
        <v>15</v>
      </c>
      <c r="H16055" s="41">
        <v>53.863</v>
      </c>
      <c r="I16055" s="221"/>
      <c r="J16055" s="221"/>
    </row>
    <row r="16056" spans="1:10" s="15" customFormat="1" ht="24" hidden="1" customHeight="1" outlineLevel="1" x14ac:dyDescent="0.25">
      <c r="A16056" s="18">
        <v>3297</v>
      </c>
      <c r="B16056" s="4" t="s">
        <v>44</v>
      </c>
      <c r="C16056" s="38" t="s">
        <v>8794</v>
      </c>
      <c r="D16056" s="18">
        <v>2023</v>
      </c>
      <c r="E16056" s="18" t="s">
        <v>0</v>
      </c>
      <c r="F16056" s="41">
        <v>1</v>
      </c>
      <c r="G16056" s="41">
        <v>15</v>
      </c>
      <c r="H16056" s="41">
        <v>52.863</v>
      </c>
      <c r="I16056" s="221"/>
      <c r="J16056" s="221"/>
    </row>
    <row r="16057" spans="1:10" s="15" customFormat="1" ht="24" hidden="1" customHeight="1" outlineLevel="1" x14ac:dyDescent="0.25">
      <c r="A16057" s="18">
        <v>5010</v>
      </c>
      <c r="B16057" s="4" t="s">
        <v>44</v>
      </c>
      <c r="C16057" s="38" t="s">
        <v>9183</v>
      </c>
      <c r="D16057" s="18">
        <v>2023</v>
      </c>
      <c r="E16057" s="18" t="s">
        <v>0</v>
      </c>
      <c r="F16057" s="41">
        <v>1</v>
      </c>
      <c r="G16057" s="41">
        <v>15</v>
      </c>
      <c r="H16057" s="41">
        <v>95.972440000000006</v>
      </c>
      <c r="I16057" s="221"/>
      <c r="J16057" s="221"/>
    </row>
    <row r="16058" spans="1:10" s="15" customFormat="1" ht="24" hidden="1" customHeight="1" outlineLevel="1" x14ac:dyDescent="0.25">
      <c r="A16058" s="18">
        <v>3229</v>
      </c>
      <c r="B16058" s="4" t="s">
        <v>44</v>
      </c>
      <c r="C16058" s="38" t="s">
        <v>9184</v>
      </c>
      <c r="D16058" s="18">
        <v>2023</v>
      </c>
      <c r="E16058" s="18" t="s">
        <v>0</v>
      </c>
      <c r="F16058" s="41">
        <v>1</v>
      </c>
      <c r="G16058" s="151">
        <v>11.5</v>
      </c>
      <c r="H16058" s="41">
        <v>85.5</v>
      </c>
      <c r="I16058" s="221"/>
      <c r="J16058" s="221"/>
    </row>
    <row r="16059" spans="1:10" s="15" customFormat="1" ht="24" hidden="1" customHeight="1" outlineLevel="1" x14ac:dyDescent="0.25">
      <c r="A16059" s="18">
        <v>505</v>
      </c>
      <c r="B16059" s="4" t="s">
        <v>44</v>
      </c>
      <c r="C16059" s="38" t="s">
        <v>8795</v>
      </c>
      <c r="D16059" s="18">
        <v>2023</v>
      </c>
      <c r="E16059" s="18" t="s">
        <v>0</v>
      </c>
      <c r="F16059" s="41">
        <v>1</v>
      </c>
      <c r="G16059" s="41">
        <v>15</v>
      </c>
      <c r="H16059" s="41">
        <v>105</v>
      </c>
      <c r="I16059" s="221"/>
      <c r="J16059" s="221"/>
    </row>
    <row r="16060" spans="1:10" s="15" customFormat="1" ht="24" hidden="1" customHeight="1" outlineLevel="1" x14ac:dyDescent="0.25">
      <c r="A16060" s="18">
        <v>348</v>
      </c>
      <c r="B16060" s="4" t="s">
        <v>44</v>
      </c>
      <c r="C16060" s="38" t="s">
        <v>8796</v>
      </c>
      <c r="D16060" s="18">
        <v>2023</v>
      </c>
      <c r="E16060" s="18" t="s">
        <v>0</v>
      </c>
      <c r="F16060" s="41">
        <v>1</v>
      </c>
      <c r="G16060" s="41">
        <v>15</v>
      </c>
      <c r="H16060" s="41">
        <v>112</v>
      </c>
      <c r="I16060" s="221"/>
      <c r="J16060" s="221"/>
    </row>
    <row r="16061" spans="1:10" s="15" customFormat="1" ht="24" hidden="1" customHeight="1" outlineLevel="1" x14ac:dyDescent="0.25">
      <c r="A16061" s="18">
        <v>609</v>
      </c>
      <c r="B16061" s="4" t="s">
        <v>44</v>
      </c>
      <c r="C16061" s="38" t="s">
        <v>8798</v>
      </c>
      <c r="D16061" s="18">
        <v>2023</v>
      </c>
      <c r="E16061" s="18" t="s">
        <v>0</v>
      </c>
      <c r="F16061" s="41">
        <v>1</v>
      </c>
      <c r="G16061" s="41">
        <v>45</v>
      </c>
      <c r="H16061" s="41">
        <v>43</v>
      </c>
      <c r="I16061" s="221"/>
      <c r="J16061" s="221"/>
    </row>
    <row r="16062" spans="1:10" s="15" customFormat="1" ht="24" hidden="1" customHeight="1" outlineLevel="1" x14ac:dyDescent="0.25">
      <c r="A16062" s="18">
        <v>3913</v>
      </c>
      <c r="B16062" s="4" t="s">
        <v>44</v>
      </c>
      <c r="C16062" s="38" t="s">
        <v>8799</v>
      </c>
      <c r="D16062" s="18">
        <v>2023</v>
      </c>
      <c r="E16062" s="18" t="s">
        <v>0</v>
      </c>
      <c r="F16062" s="41">
        <v>1</v>
      </c>
      <c r="G16062" s="41">
        <v>15</v>
      </c>
      <c r="H16062" s="41">
        <v>40</v>
      </c>
      <c r="I16062" s="221"/>
      <c r="J16062" s="221"/>
    </row>
    <row r="16063" spans="1:10" s="15" customFormat="1" ht="24" hidden="1" customHeight="1" outlineLevel="1" x14ac:dyDescent="0.25">
      <c r="A16063" s="18">
        <v>3887</v>
      </c>
      <c r="B16063" s="4" t="s">
        <v>44</v>
      </c>
      <c r="C16063" s="38" t="s">
        <v>8800</v>
      </c>
      <c r="D16063" s="18">
        <v>2023</v>
      </c>
      <c r="E16063" s="18" t="s">
        <v>0</v>
      </c>
      <c r="F16063" s="41">
        <v>1</v>
      </c>
      <c r="G16063" s="41">
        <v>15</v>
      </c>
      <c r="H16063" s="41">
        <v>48</v>
      </c>
      <c r="I16063" s="221"/>
      <c r="J16063" s="221"/>
    </row>
    <row r="16064" spans="1:10" s="15" customFormat="1" ht="24" hidden="1" customHeight="1" outlineLevel="1" x14ac:dyDescent="0.25">
      <c r="A16064" s="18">
        <v>3782</v>
      </c>
      <c r="B16064" s="4" t="s">
        <v>44</v>
      </c>
      <c r="C16064" s="38" t="s">
        <v>8801</v>
      </c>
      <c r="D16064" s="18">
        <v>2023</v>
      </c>
      <c r="E16064" s="18" t="s">
        <v>0</v>
      </c>
      <c r="F16064" s="41">
        <v>1</v>
      </c>
      <c r="G16064" s="41">
        <v>15</v>
      </c>
      <c r="H16064" s="41">
        <v>42</v>
      </c>
      <c r="I16064" s="221"/>
      <c r="J16064" s="221"/>
    </row>
    <row r="16065" spans="1:10" s="15" customFormat="1" ht="24" hidden="1" customHeight="1" outlineLevel="1" x14ac:dyDescent="0.25">
      <c r="A16065" s="18">
        <v>3781</v>
      </c>
      <c r="B16065" s="4" t="s">
        <v>44</v>
      </c>
      <c r="C16065" s="38" t="s">
        <v>8802</v>
      </c>
      <c r="D16065" s="18">
        <v>2023</v>
      </c>
      <c r="E16065" s="18" t="s">
        <v>0</v>
      </c>
      <c r="F16065" s="41">
        <v>1</v>
      </c>
      <c r="G16065" s="41">
        <v>15</v>
      </c>
      <c r="H16065" s="41">
        <v>41</v>
      </c>
      <c r="I16065" s="221"/>
      <c r="J16065" s="221"/>
    </row>
    <row r="16066" spans="1:10" s="15" customFormat="1" ht="24" hidden="1" customHeight="1" outlineLevel="1" x14ac:dyDescent="0.25">
      <c r="A16066" s="18">
        <v>3631</v>
      </c>
      <c r="B16066" s="4" t="s">
        <v>44</v>
      </c>
      <c r="C16066" s="38" t="s">
        <v>8803</v>
      </c>
      <c r="D16066" s="18">
        <v>2023</v>
      </c>
      <c r="E16066" s="18" t="s">
        <v>0</v>
      </c>
      <c r="F16066" s="41">
        <v>1</v>
      </c>
      <c r="G16066" s="41">
        <v>15</v>
      </c>
      <c r="H16066" s="41">
        <v>24</v>
      </c>
      <c r="I16066" s="221"/>
      <c r="J16066" s="221"/>
    </row>
    <row r="16067" spans="1:10" s="15" customFormat="1" ht="24" hidden="1" customHeight="1" outlineLevel="1" x14ac:dyDescent="0.25">
      <c r="A16067" s="18">
        <v>3525</v>
      </c>
      <c r="B16067" s="4" t="s">
        <v>44</v>
      </c>
      <c r="C16067" s="38" t="s">
        <v>8804</v>
      </c>
      <c r="D16067" s="18">
        <v>2023</v>
      </c>
      <c r="E16067" s="18" t="s">
        <v>0</v>
      </c>
      <c r="F16067" s="41">
        <v>1</v>
      </c>
      <c r="G16067" s="41">
        <v>15</v>
      </c>
      <c r="H16067" s="41">
        <v>42</v>
      </c>
      <c r="I16067" s="221"/>
      <c r="J16067" s="221"/>
    </row>
    <row r="16068" spans="1:10" s="15" customFormat="1" ht="24" hidden="1" customHeight="1" outlineLevel="1" x14ac:dyDescent="0.25">
      <c r="A16068" s="18">
        <v>3440</v>
      </c>
      <c r="B16068" s="4" t="s">
        <v>44</v>
      </c>
      <c r="C16068" s="38" t="s">
        <v>8805</v>
      </c>
      <c r="D16068" s="18">
        <v>2023</v>
      </c>
      <c r="E16068" s="18" t="s">
        <v>0</v>
      </c>
      <c r="F16068" s="41">
        <v>1</v>
      </c>
      <c r="G16068" s="41">
        <v>15</v>
      </c>
      <c r="H16068" s="41">
        <v>41</v>
      </c>
      <c r="I16068" s="221"/>
      <c r="J16068" s="221"/>
    </row>
    <row r="16069" spans="1:10" s="15" customFormat="1" ht="24" hidden="1" customHeight="1" outlineLevel="1" x14ac:dyDescent="0.25">
      <c r="A16069" s="18">
        <v>3563</v>
      </c>
      <c r="B16069" s="4" t="s">
        <v>44</v>
      </c>
      <c r="C16069" s="38" t="s">
        <v>8806</v>
      </c>
      <c r="D16069" s="18">
        <v>2023</v>
      </c>
      <c r="E16069" s="18" t="s">
        <v>0</v>
      </c>
      <c r="F16069" s="41">
        <v>1</v>
      </c>
      <c r="G16069" s="41">
        <v>15</v>
      </c>
      <c r="H16069" s="41">
        <v>25</v>
      </c>
      <c r="I16069" s="221"/>
      <c r="J16069" s="221"/>
    </row>
    <row r="16070" spans="1:10" s="15" customFormat="1" ht="24" hidden="1" customHeight="1" outlineLevel="1" x14ac:dyDescent="0.25">
      <c r="A16070" s="18">
        <v>3414</v>
      </c>
      <c r="B16070" s="4" t="s">
        <v>44</v>
      </c>
      <c r="C16070" s="38" t="s">
        <v>8807</v>
      </c>
      <c r="D16070" s="18">
        <v>2023</v>
      </c>
      <c r="E16070" s="18" t="s">
        <v>0</v>
      </c>
      <c r="F16070" s="41">
        <v>3</v>
      </c>
      <c r="G16070" s="41">
        <v>45</v>
      </c>
      <c r="H16070" s="41">
        <v>130</v>
      </c>
      <c r="I16070" s="221"/>
      <c r="J16070" s="221"/>
    </row>
    <row r="16071" spans="1:10" s="15" customFormat="1" ht="24" hidden="1" customHeight="1" outlineLevel="1" x14ac:dyDescent="0.25">
      <c r="A16071" s="18">
        <v>3938</v>
      </c>
      <c r="B16071" s="4" t="s">
        <v>44</v>
      </c>
      <c r="C16071" s="38" t="s">
        <v>8808</v>
      </c>
      <c r="D16071" s="18">
        <v>2023</v>
      </c>
      <c r="E16071" s="18" t="s">
        <v>0</v>
      </c>
      <c r="F16071" s="41">
        <v>1</v>
      </c>
      <c r="G16071" s="41">
        <v>10</v>
      </c>
      <c r="H16071" s="41">
        <v>43</v>
      </c>
      <c r="I16071" s="221"/>
      <c r="J16071" s="221"/>
    </row>
    <row r="16072" spans="1:10" s="15" customFormat="1" ht="24" hidden="1" customHeight="1" outlineLevel="1" x14ac:dyDescent="0.25">
      <c r="A16072" s="18">
        <v>3556</v>
      </c>
      <c r="B16072" s="4" t="s">
        <v>44</v>
      </c>
      <c r="C16072" s="38" t="s">
        <v>8809</v>
      </c>
      <c r="D16072" s="18">
        <v>2023</v>
      </c>
      <c r="E16072" s="18" t="s">
        <v>0</v>
      </c>
      <c r="F16072" s="41">
        <v>1</v>
      </c>
      <c r="G16072" s="41">
        <v>15</v>
      </c>
      <c r="H16072" s="41">
        <v>44</v>
      </c>
      <c r="I16072" s="221"/>
      <c r="J16072" s="221"/>
    </row>
    <row r="16073" spans="1:10" s="15" customFormat="1" ht="24" hidden="1" customHeight="1" outlineLevel="1" x14ac:dyDescent="0.25">
      <c r="A16073" s="18">
        <v>3555</v>
      </c>
      <c r="B16073" s="4" t="s">
        <v>44</v>
      </c>
      <c r="C16073" s="38" t="s">
        <v>8810</v>
      </c>
      <c r="D16073" s="18">
        <v>2023</v>
      </c>
      <c r="E16073" s="18" t="s">
        <v>0</v>
      </c>
      <c r="F16073" s="41">
        <v>1</v>
      </c>
      <c r="G16073" s="41">
        <v>15</v>
      </c>
      <c r="H16073" s="41">
        <v>48</v>
      </c>
      <c r="I16073" s="221"/>
      <c r="J16073" s="221"/>
    </row>
    <row r="16074" spans="1:10" s="15" customFormat="1" ht="24" hidden="1" customHeight="1" outlineLevel="1" x14ac:dyDescent="0.25">
      <c r="A16074" s="18">
        <v>4421</v>
      </c>
      <c r="B16074" s="4" t="s">
        <v>44</v>
      </c>
      <c r="C16074" s="38" t="s">
        <v>8811</v>
      </c>
      <c r="D16074" s="18">
        <v>2023</v>
      </c>
      <c r="E16074" s="18" t="s">
        <v>0</v>
      </c>
      <c r="F16074" s="41">
        <v>1</v>
      </c>
      <c r="G16074" s="41">
        <v>15</v>
      </c>
      <c r="H16074" s="41">
        <v>45</v>
      </c>
      <c r="I16074" s="221"/>
      <c r="J16074" s="221"/>
    </row>
    <row r="16075" spans="1:10" s="15" customFormat="1" ht="24" hidden="1" customHeight="1" outlineLevel="1" x14ac:dyDescent="0.25">
      <c r="A16075" s="18">
        <v>3862</v>
      </c>
      <c r="B16075" s="4" t="s">
        <v>44</v>
      </c>
      <c r="C16075" s="38" t="s">
        <v>8812</v>
      </c>
      <c r="D16075" s="18">
        <v>2023</v>
      </c>
      <c r="E16075" s="18" t="s">
        <v>0</v>
      </c>
      <c r="F16075" s="41">
        <v>1</v>
      </c>
      <c r="G16075" s="41">
        <v>15</v>
      </c>
      <c r="H16075" s="41">
        <v>40</v>
      </c>
      <c r="I16075" s="221"/>
      <c r="J16075" s="221"/>
    </row>
    <row r="16076" spans="1:10" s="15" customFormat="1" ht="24" hidden="1" customHeight="1" outlineLevel="1" x14ac:dyDescent="0.25">
      <c r="A16076" s="18">
        <v>3562</v>
      </c>
      <c r="B16076" s="4" t="s">
        <v>44</v>
      </c>
      <c r="C16076" s="38" t="s">
        <v>8813</v>
      </c>
      <c r="D16076" s="18">
        <v>2023</v>
      </c>
      <c r="E16076" s="18" t="s">
        <v>0</v>
      </c>
      <c r="F16076" s="41">
        <v>1</v>
      </c>
      <c r="G16076" s="41">
        <v>15</v>
      </c>
      <c r="H16076" s="41">
        <v>49</v>
      </c>
      <c r="I16076" s="221"/>
      <c r="J16076" s="221"/>
    </row>
    <row r="16077" spans="1:10" s="15" customFormat="1" ht="24" hidden="1" customHeight="1" outlineLevel="1" x14ac:dyDescent="0.25">
      <c r="A16077" s="18">
        <v>3526</v>
      </c>
      <c r="B16077" s="4" t="s">
        <v>44</v>
      </c>
      <c r="C16077" s="38" t="s">
        <v>8814</v>
      </c>
      <c r="D16077" s="18">
        <v>2023</v>
      </c>
      <c r="E16077" s="18" t="s">
        <v>0</v>
      </c>
      <c r="F16077" s="41">
        <v>1</v>
      </c>
      <c r="G16077" s="41">
        <v>15</v>
      </c>
      <c r="H16077" s="41">
        <v>41</v>
      </c>
      <c r="I16077" s="221"/>
      <c r="J16077" s="221"/>
    </row>
    <row r="16078" spans="1:10" s="15" customFormat="1" ht="24" hidden="1" customHeight="1" outlineLevel="1" x14ac:dyDescent="0.25">
      <c r="A16078" s="18">
        <v>3536</v>
      </c>
      <c r="B16078" s="4" t="s">
        <v>44</v>
      </c>
      <c r="C16078" s="38" t="s">
        <v>8815</v>
      </c>
      <c r="D16078" s="18">
        <v>2023</v>
      </c>
      <c r="E16078" s="18" t="s">
        <v>0</v>
      </c>
      <c r="F16078" s="41">
        <v>1</v>
      </c>
      <c r="G16078" s="41">
        <v>15</v>
      </c>
      <c r="H16078" s="41">
        <v>46</v>
      </c>
      <c r="I16078" s="221"/>
      <c r="J16078" s="221"/>
    </row>
    <row r="16079" spans="1:10" s="15" customFormat="1" ht="24" hidden="1" customHeight="1" outlineLevel="1" x14ac:dyDescent="0.25">
      <c r="A16079" s="18">
        <v>3569</v>
      </c>
      <c r="B16079" s="4" t="s">
        <v>44</v>
      </c>
      <c r="C16079" s="38" t="s">
        <v>8816</v>
      </c>
      <c r="D16079" s="18">
        <v>2023</v>
      </c>
      <c r="E16079" s="18" t="s">
        <v>0</v>
      </c>
      <c r="F16079" s="41">
        <v>1</v>
      </c>
      <c r="G16079" s="41">
        <v>15</v>
      </c>
      <c r="H16079" s="41">
        <v>44</v>
      </c>
      <c r="I16079" s="221"/>
      <c r="J16079" s="221"/>
    </row>
    <row r="16080" spans="1:10" s="15" customFormat="1" ht="24" hidden="1" customHeight="1" outlineLevel="1" x14ac:dyDescent="0.25">
      <c r="A16080" s="18">
        <v>3828</v>
      </c>
      <c r="B16080" s="4" t="s">
        <v>44</v>
      </c>
      <c r="C16080" s="38" t="s">
        <v>8817</v>
      </c>
      <c r="D16080" s="18">
        <v>2023</v>
      </c>
      <c r="E16080" s="18" t="s">
        <v>0</v>
      </c>
      <c r="F16080" s="41">
        <v>1</v>
      </c>
      <c r="G16080" s="41">
        <v>15</v>
      </c>
      <c r="H16080" s="41">
        <v>45</v>
      </c>
      <c r="I16080" s="221"/>
      <c r="J16080" s="221"/>
    </row>
    <row r="16081" spans="1:10" s="15" customFormat="1" ht="24" hidden="1" customHeight="1" outlineLevel="1" x14ac:dyDescent="0.25">
      <c r="A16081" s="18">
        <v>3835</v>
      </c>
      <c r="B16081" s="4" t="s">
        <v>44</v>
      </c>
      <c r="C16081" s="38" t="s">
        <v>8818</v>
      </c>
      <c r="D16081" s="18">
        <v>2023</v>
      </c>
      <c r="E16081" s="18" t="s">
        <v>0</v>
      </c>
      <c r="F16081" s="41">
        <v>1</v>
      </c>
      <c r="G16081" s="41">
        <v>15</v>
      </c>
      <c r="H16081" s="41">
        <v>44</v>
      </c>
      <c r="I16081" s="221"/>
      <c r="J16081" s="221"/>
    </row>
    <row r="16082" spans="1:10" s="15" customFormat="1" ht="24" hidden="1" customHeight="1" outlineLevel="1" x14ac:dyDescent="0.25">
      <c r="A16082" s="18">
        <v>3818</v>
      </c>
      <c r="B16082" s="4" t="s">
        <v>44</v>
      </c>
      <c r="C16082" s="38" t="s">
        <v>13343</v>
      </c>
      <c r="D16082" s="18">
        <v>2023</v>
      </c>
      <c r="E16082" s="18" t="s">
        <v>0</v>
      </c>
      <c r="F16082" s="41">
        <v>1</v>
      </c>
      <c r="G16082" s="41">
        <v>15</v>
      </c>
      <c r="H16082" s="41">
        <v>41</v>
      </c>
      <c r="I16082" s="221"/>
      <c r="J16082" s="221"/>
    </row>
    <row r="16083" spans="1:10" s="15" customFormat="1" ht="24" hidden="1" customHeight="1" outlineLevel="1" x14ac:dyDescent="0.25">
      <c r="A16083" s="18">
        <v>4422</v>
      </c>
      <c r="B16083" s="4" t="s">
        <v>44</v>
      </c>
      <c r="C16083" s="38" t="s">
        <v>8822</v>
      </c>
      <c r="D16083" s="18">
        <v>2023</v>
      </c>
      <c r="E16083" s="18" t="s">
        <v>0</v>
      </c>
      <c r="F16083" s="41">
        <v>1</v>
      </c>
      <c r="G16083" s="41">
        <v>15</v>
      </c>
      <c r="H16083" s="41">
        <v>45</v>
      </c>
      <c r="I16083" s="221"/>
      <c r="J16083" s="221"/>
    </row>
    <row r="16084" spans="1:10" s="15" customFormat="1" ht="24" hidden="1" customHeight="1" outlineLevel="1" x14ac:dyDescent="0.25">
      <c r="A16084" s="18">
        <v>3621</v>
      </c>
      <c r="B16084" s="4" t="s">
        <v>44</v>
      </c>
      <c r="C16084" s="38" t="s">
        <v>8823</v>
      </c>
      <c r="D16084" s="18">
        <v>2023</v>
      </c>
      <c r="E16084" s="18" t="s">
        <v>0</v>
      </c>
      <c r="F16084" s="41">
        <v>2</v>
      </c>
      <c r="G16084" s="41">
        <v>30</v>
      </c>
      <c r="H16084" s="41">
        <v>88</v>
      </c>
      <c r="I16084" s="221"/>
      <c r="J16084" s="221"/>
    </row>
    <row r="16085" spans="1:10" s="15" customFormat="1" ht="24" hidden="1" customHeight="1" outlineLevel="1" x14ac:dyDescent="0.25">
      <c r="A16085" s="18">
        <v>3524</v>
      </c>
      <c r="B16085" s="4" t="s">
        <v>44</v>
      </c>
      <c r="C16085" s="38" t="s">
        <v>8824</v>
      </c>
      <c r="D16085" s="18">
        <v>2023</v>
      </c>
      <c r="E16085" s="18" t="s">
        <v>0</v>
      </c>
      <c r="F16085" s="41">
        <v>3</v>
      </c>
      <c r="G16085" s="41">
        <v>45</v>
      </c>
      <c r="H16085" s="41">
        <v>128</v>
      </c>
      <c r="I16085" s="221"/>
      <c r="J16085" s="221"/>
    </row>
    <row r="16086" spans="1:10" s="15" customFormat="1" ht="24" hidden="1" customHeight="1" outlineLevel="1" x14ac:dyDescent="0.25">
      <c r="A16086" s="18">
        <v>3342</v>
      </c>
      <c r="B16086" s="4" t="s">
        <v>44</v>
      </c>
      <c r="C16086" s="38" t="s">
        <v>8826</v>
      </c>
      <c r="D16086" s="18">
        <v>2023</v>
      </c>
      <c r="E16086" s="18" t="s">
        <v>0</v>
      </c>
      <c r="F16086" s="41">
        <v>1</v>
      </c>
      <c r="G16086" s="41">
        <v>15</v>
      </c>
      <c r="H16086" s="41">
        <v>43</v>
      </c>
      <c r="I16086" s="221"/>
      <c r="J16086" s="221"/>
    </row>
    <row r="16087" spans="1:10" s="15" customFormat="1" ht="24" hidden="1" customHeight="1" outlineLevel="1" x14ac:dyDescent="0.25">
      <c r="A16087" s="18">
        <v>3004</v>
      </c>
      <c r="B16087" s="4" t="s">
        <v>44</v>
      </c>
      <c r="C16087" s="38" t="s">
        <v>8827</v>
      </c>
      <c r="D16087" s="18">
        <v>2023</v>
      </c>
      <c r="E16087" s="18" t="s">
        <v>0</v>
      </c>
      <c r="F16087" s="41">
        <v>1</v>
      </c>
      <c r="G16087" s="41">
        <v>100</v>
      </c>
      <c r="H16087" s="41">
        <v>53</v>
      </c>
      <c r="I16087" s="221"/>
      <c r="J16087" s="221"/>
    </row>
    <row r="16088" spans="1:10" s="15" customFormat="1" ht="24" hidden="1" customHeight="1" outlineLevel="1" x14ac:dyDescent="0.25">
      <c r="A16088" s="18">
        <v>436</v>
      </c>
      <c r="B16088" s="4" t="s">
        <v>44</v>
      </c>
      <c r="C16088" s="38" t="s">
        <v>8829</v>
      </c>
      <c r="D16088" s="18">
        <v>2023</v>
      </c>
      <c r="E16088" s="18" t="s">
        <v>0</v>
      </c>
      <c r="F16088" s="41">
        <v>1</v>
      </c>
      <c r="G16088" s="41">
        <v>15</v>
      </c>
      <c r="H16088" s="41">
        <v>77</v>
      </c>
      <c r="I16088" s="221"/>
      <c r="J16088" s="221"/>
    </row>
    <row r="16089" spans="1:10" s="15" customFormat="1" ht="24" hidden="1" customHeight="1" outlineLevel="1" x14ac:dyDescent="0.25">
      <c r="A16089" s="18">
        <v>297</v>
      </c>
      <c r="B16089" s="4" t="s">
        <v>44</v>
      </c>
      <c r="C16089" s="38" t="s">
        <v>8830</v>
      </c>
      <c r="D16089" s="18">
        <v>2023</v>
      </c>
      <c r="E16089" s="18" t="s">
        <v>0</v>
      </c>
      <c r="F16089" s="41">
        <v>1</v>
      </c>
      <c r="G16089" s="41">
        <v>15</v>
      </c>
      <c r="H16089" s="41">
        <v>86</v>
      </c>
      <c r="I16089" s="221"/>
      <c r="J16089" s="221"/>
    </row>
    <row r="16090" spans="1:10" s="15" customFormat="1" ht="24" hidden="1" customHeight="1" outlineLevel="1" x14ac:dyDescent="0.25">
      <c r="A16090" s="18">
        <v>436</v>
      </c>
      <c r="B16090" s="4" t="s">
        <v>44</v>
      </c>
      <c r="C16090" s="38" t="s">
        <v>8831</v>
      </c>
      <c r="D16090" s="18">
        <v>2023</v>
      </c>
      <c r="E16090" s="18" t="s">
        <v>0</v>
      </c>
      <c r="F16090" s="41">
        <v>1</v>
      </c>
      <c r="G16090" s="41">
        <v>15</v>
      </c>
      <c r="H16090" s="41">
        <v>73</v>
      </c>
      <c r="I16090" s="221"/>
      <c r="J16090" s="221"/>
    </row>
    <row r="16091" spans="1:10" s="15" customFormat="1" ht="24" hidden="1" customHeight="1" outlineLevel="1" x14ac:dyDescent="0.25">
      <c r="A16091" s="18">
        <v>3696</v>
      </c>
      <c r="B16091" s="4" t="s">
        <v>44</v>
      </c>
      <c r="C16091" s="38" t="s">
        <v>8833</v>
      </c>
      <c r="D16091" s="18">
        <v>2023</v>
      </c>
      <c r="E16091" s="18" t="s">
        <v>0</v>
      </c>
      <c r="F16091" s="41">
        <v>2</v>
      </c>
      <c r="G16091" s="41">
        <v>21</v>
      </c>
      <c r="H16091" s="41">
        <v>56</v>
      </c>
      <c r="I16091" s="221"/>
      <c r="J16091" s="221"/>
    </row>
    <row r="16092" spans="1:10" s="15" customFormat="1" ht="24" hidden="1" customHeight="1" outlineLevel="1" x14ac:dyDescent="0.25">
      <c r="A16092" s="18">
        <v>1105</v>
      </c>
      <c r="B16092" s="4" t="s">
        <v>44</v>
      </c>
      <c r="C16092" s="38" t="s">
        <v>8834</v>
      </c>
      <c r="D16092" s="18">
        <v>2023</v>
      </c>
      <c r="E16092" s="18" t="s">
        <v>0</v>
      </c>
      <c r="F16092" s="41">
        <v>1</v>
      </c>
      <c r="G16092" s="41">
        <v>15</v>
      </c>
      <c r="H16092" s="41">
        <v>45</v>
      </c>
      <c r="I16092" s="221"/>
      <c r="J16092" s="221"/>
    </row>
    <row r="16093" spans="1:10" s="15" customFormat="1" ht="24" hidden="1" customHeight="1" outlineLevel="1" x14ac:dyDescent="0.25">
      <c r="A16093" s="18">
        <v>1073</v>
      </c>
      <c r="B16093" s="4" t="s">
        <v>44</v>
      </c>
      <c r="C16093" s="38" t="s">
        <v>8835</v>
      </c>
      <c r="D16093" s="18">
        <v>2023</v>
      </c>
      <c r="E16093" s="18" t="s">
        <v>0</v>
      </c>
      <c r="F16093" s="41">
        <v>1</v>
      </c>
      <c r="G16093" s="41">
        <v>15</v>
      </c>
      <c r="H16093" s="41">
        <v>45</v>
      </c>
      <c r="I16093" s="221"/>
      <c r="J16093" s="221"/>
    </row>
    <row r="16094" spans="1:10" s="15" customFormat="1" ht="24" hidden="1" customHeight="1" outlineLevel="1" x14ac:dyDescent="0.25">
      <c r="A16094" s="18">
        <v>1096</v>
      </c>
      <c r="B16094" s="4" t="s">
        <v>44</v>
      </c>
      <c r="C16094" s="38" t="s">
        <v>8836</v>
      </c>
      <c r="D16094" s="18">
        <v>2023</v>
      </c>
      <c r="E16094" s="18" t="s">
        <v>0</v>
      </c>
      <c r="F16094" s="41">
        <v>1</v>
      </c>
      <c r="G16094" s="41">
        <v>15</v>
      </c>
      <c r="H16094" s="41">
        <v>48</v>
      </c>
      <c r="I16094" s="221"/>
      <c r="J16094" s="221"/>
    </row>
    <row r="16095" spans="1:10" s="15" customFormat="1" ht="24" hidden="1" customHeight="1" outlineLevel="1" x14ac:dyDescent="0.25">
      <c r="A16095" s="18">
        <v>3109</v>
      </c>
      <c r="B16095" s="4" t="s">
        <v>44</v>
      </c>
      <c r="C16095" s="38" t="s">
        <v>8838</v>
      </c>
      <c r="D16095" s="18">
        <v>2023</v>
      </c>
      <c r="E16095" s="18" t="s">
        <v>0</v>
      </c>
      <c r="F16095" s="41">
        <v>1</v>
      </c>
      <c r="G16095" s="41">
        <v>30</v>
      </c>
      <c r="H16095" s="41">
        <v>46</v>
      </c>
      <c r="I16095" s="221"/>
      <c r="J16095" s="221"/>
    </row>
    <row r="16096" spans="1:10" s="15" customFormat="1" ht="24" hidden="1" customHeight="1" outlineLevel="1" x14ac:dyDescent="0.25">
      <c r="A16096" s="18">
        <v>1305</v>
      </c>
      <c r="B16096" s="4" t="s">
        <v>44</v>
      </c>
      <c r="C16096" s="38" t="s">
        <v>8839</v>
      </c>
      <c r="D16096" s="18">
        <v>2023</v>
      </c>
      <c r="E16096" s="18" t="s">
        <v>0</v>
      </c>
      <c r="F16096" s="41">
        <v>1</v>
      </c>
      <c r="G16096" s="41">
        <v>15</v>
      </c>
      <c r="H16096" s="41">
        <v>43</v>
      </c>
      <c r="I16096" s="221"/>
      <c r="J16096" s="221"/>
    </row>
    <row r="16097" spans="1:10" s="15" customFormat="1" ht="24" hidden="1" customHeight="1" outlineLevel="1" x14ac:dyDescent="0.25">
      <c r="A16097" s="18">
        <v>686</v>
      </c>
      <c r="B16097" s="4" t="s">
        <v>44</v>
      </c>
      <c r="C16097" s="38" t="s">
        <v>13344</v>
      </c>
      <c r="D16097" s="18">
        <v>2023</v>
      </c>
      <c r="E16097" s="18" t="s">
        <v>0</v>
      </c>
      <c r="F16097" s="41">
        <v>5</v>
      </c>
      <c r="G16097" s="41">
        <v>50</v>
      </c>
      <c r="H16097" s="41">
        <v>209</v>
      </c>
      <c r="I16097" s="221"/>
      <c r="J16097" s="221"/>
    </row>
    <row r="16098" spans="1:10" s="15" customFormat="1" ht="24" hidden="1" customHeight="1" outlineLevel="1" x14ac:dyDescent="0.25">
      <c r="A16098" s="18">
        <v>571</v>
      </c>
      <c r="B16098" s="4" t="s">
        <v>44</v>
      </c>
      <c r="C16098" s="38" t="s">
        <v>8841</v>
      </c>
      <c r="D16098" s="18">
        <v>2023</v>
      </c>
      <c r="E16098" s="18" t="s">
        <v>0</v>
      </c>
      <c r="F16098" s="41">
        <v>1</v>
      </c>
      <c r="G16098" s="41">
        <v>15</v>
      </c>
      <c r="H16098" s="41">
        <v>77</v>
      </c>
      <c r="I16098" s="221"/>
      <c r="J16098" s="221"/>
    </row>
    <row r="16099" spans="1:10" s="15" customFormat="1" ht="24" hidden="1" customHeight="1" outlineLevel="1" x14ac:dyDescent="0.25">
      <c r="A16099" s="18">
        <v>552</v>
      </c>
      <c r="B16099" s="4" t="s">
        <v>44</v>
      </c>
      <c r="C16099" s="38" t="s">
        <v>8843</v>
      </c>
      <c r="D16099" s="18">
        <v>2023</v>
      </c>
      <c r="E16099" s="18" t="s">
        <v>0</v>
      </c>
      <c r="F16099" s="41">
        <v>1</v>
      </c>
      <c r="G16099" s="41">
        <v>10</v>
      </c>
      <c r="H16099" s="41">
        <v>78</v>
      </c>
      <c r="I16099" s="221"/>
      <c r="J16099" s="221"/>
    </row>
    <row r="16100" spans="1:10" s="15" customFormat="1" ht="24" hidden="1" customHeight="1" outlineLevel="1" x14ac:dyDescent="0.25">
      <c r="A16100" s="18">
        <v>599</v>
      </c>
      <c r="B16100" s="4" t="s">
        <v>44</v>
      </c>
      <c r="C16100" s="38" t="s">
        <v>8844</v>
      </c>
      <c r="D16100" s="18">
        <v>2023</v>
      </c>
      <c r="E16100" s="18" t="s">
        <v>0</v>
      </c>
      <c r="F16100" s="41">
        <v>1</v>
      </c>
      <c r="G16100" s="41">
        <v>15</v>
      </c>
      <c r="H16100" s="41">
        <v>46</v>
      </c>
      <c r="I16100" s="221"/>
      <c r="J16100" s="221"/>
    </row>
    <row r="16101" spans="1:10" s="15" customFormat="1" ht="24" hidden="1" customHeight="1" outlineLevel="1" x14ac:dyDescent="0.25">
      <c r="A16101" s="18">
        <v>627</v>
      </c>
      <c r="B16101" s="4" t="s">
        <v>44</v>
      </c>
      <c r="C16101" s="38" t="s">
        <v>8845</v>
      </c>
      <c r="D16101" s="18">
        <v>2023</v>
      </c>
      <c r="E16101" s="18" t="s">
        <v>0</v>
      </c>
      <c r="F16101" s="41">
        <v>1</v>
      </c>
      <c r="G16101" s="41">
        <v>15</v>
      </c>
      <c r="H16101" s="41">
        <v>44</v>
      </c>
      <c r="I16101" s="221"/>
      <c r="J16101" s="221"/>
    </row>
    <row r="16102" spans="1:10" s="15" customFormat="1" ht="24" hidden="1" customHeight="1" outlineLevel="1" x14ac:dyDescent="0.25">
      <c r="A16102" s="18">
        <v>1142</v>
      </c>
      <c r="B16102" s="4" t="s">
        <v>44</v>
      </c>
      <c r="C16102" s="38" t="s">
        <v>8846</v>
      </c>
      <c r="D16102" s="18">
        <v>2023</v>
      </c>
      <c r="E16102" s="18" t="s">
        <v>0</v>
      </c>
      <c r="F16102" s="41">
        <v>1</v>
      </c>
      <c r="G16102" s="41">
        <v>15</v>
      </c>
      <c r="H16102" s="41">
        <v>48</v>
      </c>
      <c r="I16102" s="221"/>
      <c r="J16102" s="221"/>
    </row>
    <row r="16103" spans="1:10" s="15" customFormat="1" ht="24" hidden="1" customHeight="1" outlineLevel="1" x14ac:dyDescent="0.25">
      <c r="A16103" s="18">
        <v>987</v>
      </c>
      <c r="B16103" s="4" t="s">
        <v>44</v>
      </c>
      <c r="C16103" s="38" t="s">
        <v>8847</v>
      </c>
      <c r="D16103" s="18">
        <v>2023</v>
      </c>
      <c r="E16103" s="18" t="s">
        <v>0</v>
      </c>
      <c r="F16103" s="41">
        <v>2</v>
      </c>
      <c r="G16103" s="41">
        <v>30</v>
      </c>
      <c r="H16103" s="41">
        <v>86</v>
      </c>
      <c r="I16103" s="221"/>
      <c r="J16103" s="221"/>
    </row>
    <row r="16104" spans="1:10" s="15" customFormat="1" ht="24" hidden="1" customHeight="1" outlineLevel="1" x14ac:dyDescent="0.25">
      <c r="A16104" s="18">
        <v>1223</v>
      </c>
      <c r="B16104" s="4" t="s">
        <v>44</v>
      </c>
      <c r="C16104" s="38" t="s">
        <v>8848</v>
      </c>
      <c r="D16104" s="18">
        <v>2023</v>
      </c>
      <c r="E16104" s="18" t="s">
        <v>0</v>
      </c>
      <c r="F16104" s="41">
        <v>1</v>
      </c>
      <c r="G16104" s="41">
        <v>15</v>
      </c>
      <c r="H16104" s="41">
        <v>48</v>
      </c>
      <c r="I16104" s="221"/>
      <c r="J16104" s="221"/>
    </row>
    <row r="16105" spans="1:10" s="15" customFormat="1" ht="24" hidden="1" customHeight="1" outlineLevel="1" x14ac:dyDescent="0.25">
      <c r="A16105" s="18">
        <v>1240</v>
      </c>
      <c r="B16105" s="4" t="s">
        <v>44</v>
      </c>
      <c r="C16105" s="38" t="s">
        <v>8849</v>
      </c>
      <c r="D16105" s="18">
        <v>2023</v>
      </c>
      <c r="E16105" s="18" t="s">
        <v>0</v>
      </c>
      <c r="F16105" s="41">
        <v>1</v>
      </c>
      <c r="G16105" s="41">
        <v>15</v>
      </c>
      <c r="H16105" s="41">
        <v>47</v>
      </c>
      <c r="I16105" s="221"/>
      <c r="J16105" s="221"/>
    </row>
    <row r="16106" spans="1:10" s="15" customFormat="1" ht="24" hidden="1" customHeight="1" outlineLevel="1" x14ac:dyDescent="0.25">
      <c r="A16106" s="18">
        <v>1241</v>
      </c>
      <c r="B16106" s="4" t="s">
        <v>44</v>
      </c>
      <c r="C16106" s="38" t="s">
        <v>8850</v>
      </c>
      <c r="D16106" s="18">
        <v>2023</v>
      </c>
      <c r="E16106" s="18" t="s">
        <v>0</v>
      </c>
      <c r="F16106" s="41">
        <v>1</v>
      </c>
      <c r="G16106" s="41">
        <v>15</v>
      </c>
      <c r="H16106" s="41">
        <v>45</v>
      </c>
      <c r="I16106" s="221"/>
      <c r="J16106" s="221"/>
    </row>
    <row r="16107" spans="1:10" s="15" customFormat="1" ht="24" hidden="1" customHeight="1" outlineLevel="1" x14ac:dyDescent="0.25">
      <c r="A16107" s="18">
        <v>1268</v>
      </c>
      <c r="B16107" s="4" t="s">
        <v>44</v>
      </c>
      <c r="C16107" s="38" t="s">
        <v>8851</v>
      </c>
      <c r="D16107" s="18">
        <v>2023</v>
      </c>
      <c r="E16107" s="18" t="s">
        <v>0</v>
      </c>
      <c r="F16107" s="41">
        <v>1</v>
      </c>
      <c r="G16107" s="41">
        <v>15</v>
      </c>
      <c r="H16107" s="41">
        <v>43</v>
      </c>
      <c r="I16107" s="221"/>
      <c r="J16107" s="221"/>
    </row>
    <row r="16108" spans="1:10" s="15" customFormat="1" ht="24" hidden="1" customHeight="1" outlineLevel="1" x14ac:dyDescent="0.25">
      <c r="A16108" s="18">
        <v>1025</v>
      </c>
      <c r="B16108" s="4" t="s">
        <v>44</v>
      </c>
      <c r="C16108" s="38" t="s">
        <v>8852</v>
      </c>
      <c r="D16108" s="18">
        <v>2023</v>
      </c>
      <c r="E16108" s="18" t="s">
        <v>0</v>
      </c>
      <c r="F16108" s="41">
        <v>1</v>
      </c>
      <c r="G16108" s="41">
        <v>15</v>
      </c>
      <c r="H16108" s="41">
        <v>44</v>
      </c>
      <c r="I16108" s="221"/>
      <c r="J16108" s="221"/>
    </row>
    <row r="16109" spans="1:10" s="15" customFormat="1" ht="24" hidden="1" customHeight="1" outlineLevel="1" x14ac:dyDescent="0.25">
      <c r="A16109" s="18">
        <v>654</v>
      </c>
      <c r="B16109" s="4" t="s">
        <v>44</v>
      </c>
      <c r="C16109" s="38" t="s">
        <v>8855</v>
      </c>
      <c r="D16109" s="18">
        <v>2023</v>
      </c>
      <c r="E16109" s="18" t="s">
        <v>0</v>
      </c>
      <c r="F16109" s="41">
        <v>2</v>
      </c>
      <c r="G16109" s="41">
        <v>30</v>
      </c>
      <c r="H16109" s="41">
        <v>93</v>
      </c>
      <c r="I16109" s="221"/>
      <c r="J16109" s="221"/>
    </row>
    <row r="16110" spans="1:10" s="15" customFormat="1" ht="24" hidden="1" customHeight="1" outlineLevel="1" x14ac:dyDescent="0.25">
      <c r="A16110" s="18">
        <v>724</v>
      </c>
      <c r="B16110" s="4" t="s">
        <v>44</v>
      </c>
      <c r="C16110" s="38" t="s">
        <v>8856</v>
      </c>
      <c r="D16110" s="18">
        <v>2023</v>
      </c>
      <c r="E16110" s="18" t="s">
        <v>0</v>
      </c>
      <c r="F16110" s="41">
        <v>2</v>
      </c>
      <c r="G16110" s="41">
        <v>20</v>
      </c>
      <c r="H16110" s="41">
        <v>82</v>
      </c>
      <c r="I16110" s="221"/>
      <c r="J16110" s="221"/>
    </row>
    <row r="16111" spans="1:10" s="15" customFormat="1" ht="24" hidden="1" customHeight="1" outlineLevel="1" x14ac:dyDescent="0.25">
      <c r="A16111" s="18">
        <v>512</v>
      </c>
      <c r="B16111" s="4" t="s">
        <v>44</v>
      </c>
      <c r="C16111" s="38" t="s">
        <v>8857</v>
      </c>
      <c r="D16111" s="18">
        <v>2023</v>
      </c>
      <c r="E16111" s="18" t="s">
        <v>0</v>
      </c>
      <c r="F16111" s="41">
        <v>1</v>
      </c>
      <c r="G16111" s="41">
        <v>14.5</v>
      </c>
      <c r="H16111" s="41">
        <v>129</v>
      </c>
      <c r="I16111" s="221"/>
      <c r="J16111" s="221"/>
    </row>
    <row r="16112" spans="1:10" s="15" customFormat="1" ht="24" hidden="1" customHeight="1" outlineLevel="1" x14ac:dyDescent="0.25">
      <c r="A16112" s="18">
        <v>398</v>
      </c>
      <c r="B16112" s="4" t="s">
        <v>44</v>
      </c>
      <c r="C16112" s="38" t="s">
        <v>8858</v>
      </c>
      <c r="D16112" s="18">
        <v>2023</v>
      </c>
      <c r="E16112" s="18" t="s">
        <v>0</v>
      </c>
      <c r="F16112" s="41">
        <v>1</v>
      </c>
      <c r="G16112" s="41">
        <v>15</v>
      </c>
      <c r="H16112" s="41">
        <v>115</v>
      </c>
      <c r="I16112" s="221"/>
      <c r="J16112" s="221"/>
    </row>
    <row r="16113" spans="1:10" s="15" customFormat="1" ht="24" hidden="1" customHeight="1" outlineLevel="1" x14ac:dyDescent="0.25">
      <c r="A16113" s="18">
        <v>366</v>
      </c>
      <c r="B16113" s="4" t="s">
        <v>44</v>
      </c>
      <c r="C16113" s="38" t="s">
        <v>8859</v>
      </c>
      <c r="D16113" s="18">
        <v>2023</v>
      </c>
      <c r="E16113" s="18" t="s">
        <v>0</v>
      </c>
      <c r="F16113" s="41">
        <v>1</v>
      </c>
      <c r="G16113" s="41">
        <v>15</v>
      </c>
      <c r="H16113" s="41">
        <v>102</v>
      </c>
      <c r="I16113" s="221"/>
      <c r="J16113" s="221"/>
    </row>
    <row r="16114" spans="1:10" s="15" customFormat="1" ht="24" hidden="1" customHeight="1" outlineLevel="1" x14ac:dyDescent="0.25">
      <c r="A16114" s="18">
        <v>405</v>
      </c>
      <c r="B16114" s="4" t="s">
        <v>44</v>
      </c>
      <c r="C16114" s="38" t="s">
        <v>8860</v>
      </c>
      <c r="D16114" s="18">
        <v>2023</v>
      </c>
      <c r="E16114" s="18" t="s">
        <v>0</v>
      </c>
      <c r="F16114" s="41">
        <v>1</v>
      </c>
      <c r="G16114" s="41">
        <v>15</v>
      </c>
      <c r="H16114" s="41">
        <v>95</v>
      </c>
      <c r="I16114" s="221"/>
      <c r="J16114" s="221"/>
    </row>
    <row r="16115" spans="1:10" s="15" customFormat="1" ht="24" hidden="1" customHeight="1" outlineLevel="1" x14ac:dyDescent="0.25">
      <c r="A16115" s="18">
        <v>446</v>
      </c>
      <c r="B16115" s="4" t="s">
        <v>44</v>
      </c>
      <c r="C16115" s="38" t="s">
        <v>8862</v>
      </c>
      <c r="D16115" s="18">
        <v>2023</v>
      </c>
      <c r="E16115" s="18" t="s">
        <v>0</v>
      </c>
      <c r="F16115" s="41">
        <v>1</v>
      </c>
      <c r="G16115" s="41">
        <v>15</v>
      </c>
      <c r="H16115" s="41">
        <v>94</v>
      </c>
      <c r="I16115" s="221"/>
      <c r="J16115" s="221"/>
    </row>
    <row r="16116" spans="1:10" s="15" customFormat="1" ht="24" hidden="1" customHeight="1" outlineLevel="1" x14ac:dyDescent="0.25">
      <c r="A16116" s="18">
        <v>2817</v>
      </c>
      <c r="B16116" s="4" t="s">
        <v>44</v>
      </c>
      <c r="C16116" s="38" t="s">
        <v>8863</v>
      </c>
      <c r="D16116" s="18">
        <v>2023</v>
      </c>
      <c r="E16116" s="18" t="s">
        <v>0</v>
      </c>
      <c r="F16116" s="41">
        <v>1</v>
      </c>
      <c r="G16116" s="41">
        <v>15</v>
      </c>
      <c r="H16116" s="41">
        <v>122</v>
      </c>
      <c r="I16116" s="221"/>
      <c r="J16116" s="221"/>
    </row>
    <row r="16117" spans="1:10" s="15" customFormat="1" ht="24" hidden="1" customHeight="1" outlineLevel="1" x14ac:dyDescent="0.25">
      <c r="A16117" s="18">
        <v>1041</v>
      </c>
      <c r="B16117" s="4" t="s">
        <v>44</v>
      </c>
      <c r="C16117" s="38" t="s">
        <v>8864</v>
      </c>
      <c r="D16117" s="18">
        <v>2023</v>
      </c>
      <c r="E16117" s="18" t="s">
        <v>0</v>
      </c>
      <c r="F16117" s="41">
        <v>5</v>
      </c>
      <c r="G16117" s="41">
        <v>50</v>
      </c>
      <c r="H16117" s="41">
        <v>351</v>
      </c>
      <c r="I16117" s="221"/>
      <c r="J16117" s="221"/>
    </row>
    <row r="16118" spans="1:10" s="15" customFormat="1" ht="24" hidden="1" customHeight="1" outlineLevel="1" x14ac:dyDescent="0.25">
      <c r="A16118" s="18">
        <v>510</v>
      </c>
      <c r="B16118" s="4" t="s">
        <v>44</v>
      </c>
      <c r="C16118" s="38" t="s">
        <v>8865</v>
      </c>
      <c r="D16118" s="18">
        <v>2023</v>
      </c>
      <c r="E16118" s="18" t="s">
        <v>0</v>
      </c>
      <c r="F16118" s="41">
        <v>9</v>
      </c>
      <c r="G16118" s="41">
        <v>94</v>
      </c>
      <c r="H16118" s="41">
        <v>649</v>
      </c>
      <c r="I16118" s="221"/>
      <c r="J16118" s="221"/>
    </row>
    <row r="16119" spans="1:10" s="15" customFormat="1" ht="24" hidden="1" customHeight="1" outlineLevel="1" x14ac:dyDescent="0.25">
      <c r="A16119" s="18">
        <v>977</v>
      </c>
      <c r="B16119" s="4" t="s">
        <v>44</v>
      </c>
      <c r="C16119" s="38" t="s">
        <v>8866</v>
      </c>
      <c r="D16119" s="18">
        <v>2023</v>
      </c>
      <c r="E16119" s="18" t="s">
        <v>0</v>
      </c>
      <c r="F16119" s="41">
        <v>5</v>
      </c>
      <c r="G16119" s="41">
        <v>50</v>
      </c>
      <c r="H16119" s="41">
        <v>345</v>
      </c>
      <c r="I16119" s="221"/>
      <c r="J16119" s="221"/>
    </row>
    <row r="16120" spans="1:10" s="15" customFormat="1" ht="24" hidden="1" customHeight="1" outlineLevel="1" x14ac:dyDescent="0.25">
      <c r="A16120" s="18">
        <v>1005</v>
      </c>
      <c r="B16120" s="4" t="s">
        <v>44</v>
      </c>
      <c r="C16120" s="38" t="s">
        <v>8867</v>
      </c>
      <c r="D16120" s="18">
        <v>2023</v>
      </c>
      <c r="E16120" s="18" t="s">
        <v>0</v>
      </c>
      <c r="F16120" s="41">
        <v>1</v>
      </c>
      <c r="G16120" s="41">
        <v>15</v>
      </c>
      <c r="H16120" s="41">
        <v>43</v>
      </c>
      <c r="I16120" s="221"/>
      <c r="J16120" s="221"/>
    </row>
    <row r="16121" spans="1:10" s="15" customFormat="1" ht="24" hidden="1" customHeight="1" outlineLevel="1" x14ac:dyDescent="0.25">
      <c r="A16121" s="18">
        <v>770</v>
      </c>
      <c r="B16121" s="4" t="s">
        <v>44</v>
      </c>
      <c r="C16121" s="38" t="s">
        <v>8868</v>
      </c>
      <c r="D16121" s="18">
        <v>2023</v>
      </c>
      <c r="E16121" s="18" t="s">
        <v>0</v>
      </c>
      <c r="F16121" s="41">
        <v>1</v>
      </c>
      <c r="G16121" s="41">
        <v>15</v>
      </c>
      <c r="H16121" s="41">
        <v>43</v>
      </c>
      <c r="I16121" s="221"/>
      <c r="J16121" s="221"/>
    </row>
    <row r="16122" spans="1:10" s="15" customFormat="1" ht="24" hidden="1" customHeight="1" outlineLevel="1" x14ac:dyDescent="0.25">
      <c r="A16122" s="18">
        <v>1085</v>
      </c>
      <c r="B16122" s="4" t="s">
        <v>44</v>
      </c>
      <c r="C16122" s="38" t="s">
        <v>8869</v>
      </c>
      <c r="D16122" s="18">
        <v>2023</v>
      </c>
      <c r="E16122" s="18" t="s">
        <v>0</v>
      </c>
      <c r="F16122" s="41">
        <v>2</v>
      </c>
      <c r="G16122" s="41">
        <v>30</v>
      </c>
      <c r="H16122" s="41">
        <v>83</v>
      </c>
      <c r="I16122" s="221"/>
      <c r="J16122" s="221"/>
    </row>
    <row r="16123" spans="1:10" s="15" customFormat="1" ht="24" hidden="1" customHeight="1" outlineLevel="1" x14ac:dyDescent="0.25">
      <c r="A16123" s="18">
        <v>550</v>
      </c>
      <c r="B16123" s="4" t="s">
        <v>44</v>
      </c>
      <c r="C16123" s="38" t="s">
        <v>8871</v>
      </c>
      <c r="D16123" s="18">
        <v>2023</v>
      </c>
      <c r="E16123" s="18" t="s">
        <v>0</v>
      </c>
      <c r="F16123" s="41">
        <v>2</v>
      </c>
      <c r="G16123" s="41">
        <v>30</v>
      </c>
      <c r="H16123" s="41">
        <v>83</v>
      </c>
      <c r="I16123" s="221"/>
      <c r="J16123" s="221"/>
    </row>
    <row r="16124" spans="1:10" s="15" customFormat="1" ht="24" hidden="1" customHeight="1" outlineLevel="1" x14ac:dyDescent="0.25">
      <c r="A16124" s="18">
        <v>976</v>
      </c>
      <c r="B16124" s="4" t="s">
        <v>44</v>
      </c>
      <c r="C16124" s="38" t="s">
        <v>8872</v>
      </c>
      <c r="D16124" s="18">
        <v>2023</v>
      </c>
      <c r="E16124" s="18" t="s">
        <v>0</v>
      </c>
      <c r="F16124" s="41">
        <v>1</v>
      </c>
      <c r="G16124" s="41">
        <v>15</v>
      </c>
      <c r="H16124" s="41">
        <v>43</v>
      </c>
      <c r="I16124" s="221"/>
      <c r="J16124" s="221"/>
    </row>
    <row r="16125" spans="1:10" s="15" customFormat="1" ht="24" hidden="1" customHeight="1" outlineLevel="1" x14ac:dyDescent="0.25">
      <c r="A16125" s="18">
        <v>1282</v>
      </c>
      <c r="B16125" s="4" t="s">
        <v>44</v>
      </c>
      <c r="C16125" s="38" t="s">
        <v>8873</v>
      </c>
      <c r="D16125" s="18">
        <v>2023</v>
      </c>
      <c r="E16125" s="18" t="s">
        <v>0</v>
      </c>
      <c r="F16125" s="41">
        <v>1</v>
      </c>
      <c r="G16125" s="41">
        <v>15</v>
      </c>
      <c r="H16125" s="41">
        <v>43</v>
      </c>
      <c r="I16125" s="221"/>
      <c r="J16125" s="221"/>
    </row>
    <row r="16126" spans="1:10" s="15" customFormat="1" ht="24" hidden="1" customHeight="1" outlineLevel="1" x14ac:dyDescent="0.25">
      <c r="A16126" s="18">
        <v>1676</v>
      </c>
      <c r="B16126" s="4" t="s">
        <v>44</v>
      </c>
      <c r="C16126" s="38" t="s">
        <v>8875</v>
      </c>
      <c r="D16126" s="18">
        <v>2023</v>
      </c>
      <c r="E16126" s="18" t="s">
        <v>0</v>
      </c>
      <c r="F16126" s="41">
        <v>1</v>
      </c>
      <c r="G16126" s="41">
        <v>15</v>
      </c>
      <c r="H16126" s="41">
        <v>43</v>
      </c>
      <c r="I16126" s="221"/>
      <c r="J16126" s="221"/>
    </row>
    <row r="16127" spans="1:10" s="15" customFormat="1" ht="24" hidden="1" customHeight="1" outlineLevel="1" x14ac:dyDescent="0.25">
      <c r="A16127" s="18">
        <v>1743</v>
      </c>
      <c r="B16127" s="4" t="s">
        <v>44</v>
      </c>
      <c r="C16127" s="38" t="s">
        <v>8876</v>
      </c>
      <c r="D16127" s="18">
        <v>2023</v>
      </c>
      <c r="E16127" s="18" t="s">
        <v>0</v>
      </c>
      <c r="F16127" s="41">
        <v>1</v>
      </c>
      <c r="G16127" s="41">
        <v>10</v>
      </c>
      <c r="H16127" s="41">
        <v>44</v>
      </c>
      <c r="I16127" s="221"/>
      <c r="J16127" s="221"/>
    </row>
    <row r="16128" spans="1:10" s="15" customFormat="1" ht="24" hidden="1" customHeight="1" outlineLevel="1" x14ac:dyDescent="0.25">
      <c r="A16128" s="18">
        <v>625</v>
      </c>
      <c r="B16128" s="4" t="s">
        <v>44</v>
      </c>
      <c r="C16128" s="38" t="s">
        <v>8877</v>
      </c>
      <c r="D16128" s="18">
        <v>2023</v>
      </c>
      <c r="E16128" s="18" t="s">
        <v>0</v>
      </c>
      <c r="F16128" s="41">
        <v>1</v>
      </c>
      <c r="G16128" s="41">
        <v>15</v>
      </c>
      <c r="H16128" s="41">
        <v>40</v>
      </c>
      <c r="I16128" s="221"/>
      <c r="J16128" s="221"/>
    </row>
    <row r="16129" spans="1:10" s="15" customFormat="1" ht="24" hidden="1" customHeight="1" outlineLevel="1" x14ac:dyDescent="0.25">
      <c r="A16129" s="18">
        <v>1019</v>
      </c>
      <c r="B16129" s="4" t="s">
        <v>44</v>
      </c>
      <c r="C16129" s="38" t="s">
        <v>8878</v>
      </c>
      <c r="D16129" s="18">
        <v>2023</v>
      </c>
      <c r="E16129" s="18" t="s">
        <v>0</v>
      </c>
      <c r="F16129" s="41">
        <v>1</v>
      </c>
      <c r="G16129" s="41">
        <v>15</v>
      </c>
      <c r="H16129" s="41">
        <v>44</v>
      </c>
      <c r="I16129" s="221"/>
      <c r="J16129" s="221"/>
    </row>
    <row r="16130" spans="1:10" s="15" customFormat="1" ht="24" hidden="1" customHeight="1" outlineLevel="1" x14ac:dyDescent="0.25">
      <c r="A16130" s="18">
        <v>3123</v>
      </c>
      <c r="B16130" s="4" t="s">
        <v>44</v>
      </c>
      <c r="C16130" s="38" t="s">
        <v>8879</v>
      </c>
      <c r="D16130" s="18">
        <v>2023</v>
      </c>
      <c r="E16130" s="18" t="s">
        <v>0</v>
      </c>
      <c r="F16130" s="41">
        <v>1</v>
      </c>
      <c r="G16130" s="41">
        <v>150</v>
      </c>
      <c r="H16130" s="41">
        <v>40</v>
      </c>
      <c r="I16130" s="221"/>
      <c r="J16130" s="221"/>
    </row>
    <row r="16131" spans="1:10" s="15" customFormat="1" ht="24" hidden="1" customHeight="1" outlineLevel="1" x14ac:dyDescent="0.25">
      <c r="A16131" s="18">
        <v>3009</v>
      </c>
      <c r="B16131" s="4" t="s">
        <v>44</v>
      </c>
      <c r="C16131" s="38" t="s">
        <v>8880</v>
      </c>
      <c r="D16131" s="18">
        <v>2023</v>
      </c>
      <c r="E16131" s="18" t="s">
        <v>0</v>
      </c>
      <c r="F16131" s="41">
        <v>3</v>
      </c>
      <c r="G16131" s="41">
        <v>450</v>
      </c>
      <c r="H16131" s="41">
        <v>134</v>
      </c>
      <c r="I16131" s="221"/>
      <c r="J16131" s="221"/>
    </row>
    <row r="16132" spans="1:10" s="15" customFormat="1" ht="24" hidden="1" customHeight="1" outlineLevel="1" x14ac:dyDescent="0.25">
      <c r="A16132" s="18">
        <v>1453</v>
      </c>
      <c r="B16132" s="4" t="s">
        <v>44</v>
      </c>
      <c r="C16132" s="38" t="s">
        <v>8881</v>
      </c>
      <c r="D16132" s="18">
        <v>2023</v>
      </c>
      <c r="E16132" s="18" t="s">
        <v>0</v>
      </c>
      <c r="F16132" s="41">
        <v>1</v>
      </c>
      <c r="G16132" s="41">
        <v>15</v>
      </c>
      <c r="H16132" s="41">
        <v>39</v>
      </c>
      <c r="I16132" s="221"/>
      <c r="J16132" s="221"/>
    </row>
    <row r="16133" spans="1:10" s="15" customFormat="1" ht="24" hidden="1" customHeight="1" outlineLevel="1" x14ac:dyDescent="0.25">
      <c r="A16133" s="18">
        <v>3284</v>
      </c>
      <c r="B16133" s="4" t="s">
        <v>44</v>
      </c>
      <c r="C16133" s="38" t="s">
        <v>8882</v>
      </c>
      <c r="D16133" s="18">
        <v>2023</v>
      </c>
      <c r="E16133" s="18" t="s">
        <v>0</v>
      </c>
      <c r="F16133" s="41">
        <v>1</v>
      </c>
      <c r="G16133" s="41">
        <v>15</v>
      </c>
      <c r="H16133" s="41">
        <v>41</v>
      </c>
      <c r="I16133" s="221"/>
      <c r="J16133" s="221"/>
    </row>
    <row r="16134" spans="1:10" s="15" customFormat="1" ht="24" hidden="1" customHeight="1" outlineLevel="1" x14ac:dyDescent="0.25">
      <c r="A16134" s="18">
        <v>1191</v>
      </c>
      <c r="B16134" s="4" t="s">
        <v>44</v>
      </c>
      <c r="C16134" s="38" t="s">
        <v>8883</v>
      </c>
      <c r="D16134" s="18">
        <v>2023</v>
      </c>
      <c r="E16134" s="18" t="s">
        <v>0</v>
      </c>
      <c r="F16134" s="41">
        <v>1</v>
      </c>
      <c r="G16134" s="41">
        <v>15</v>
      </c>
      <c r="H16134" s="41">
        <v>42</v>
      </c>
      <c r="I16134" s="221"/>
      <c r="J16134" s="221"/>
    </row>
    <row r="16135" spans="1:10" s="15" customFormat="1" ht="24" hidden="1" customHeight="1" outlineLevel="1" x14ac:dyDescent="0.25">
      <c r="A16135" s="18">
        <v>1054</v>
      </c>
      <c r="B16135" s="4" t="s">
        <v>44</v>
      </c>
      <c r="C16135" s="38" t="s">
        <v>8884</v>
      </c>
      <c r="D16135" s="18">
        <v>2023</v>
      </c>
      <c r="E16135" s="18" t="s">
        <v>0</v>
      </c>
      <c r="F16135" s="41">
        <v>1</v>
      </c>
      <c r="G16135" s="41">
        <v>15</v>
      </c>
      <c r="H16135" s="41">
        <v>47</v>
      </c>
      <c r="I16135" s="221"/>
      <c r="J16135" s="221"/>
    </row>
    <row r="16136" spans="1:10" s="15" customFormat="1" ht="24" hidden="1" customHeight="1" outlineLevel="1" x14ac:dyDescent="0.25">
      <c r="A16136" s="18">
        <v>1910</v>
      </c>
      <c r="B16136" s="4" t="s">
        <v>44</v>
      </c>
      <c r="C16136" s="38" t="s">
        <v>8886</v>
      </c>
      <c r="D16136" s="18">
        <v>2023</v>
      </c>
      <c r="E16136" s="18" t="s">
        <v>0</v>
      </c>
      <c r="F16136" s="41">
        <v>1</v>
      </c>
      <c r="G16136" s="41">
        <v>5</v>
      </c>
      <c r="H16136" s="41">
        <v>39</v>
      </c>
      <c r="I16136" s="221"/>
      <c r="J16136" s="221"/>
    </row>
    <row r="16137" spans="1:10" s="15" customFormat="1" ht="24" hidden="1" customHeight="1" outlineLevel="1" x14ac:dyDescent="0.25">
      <c r="A16137" s="18">
        <v>680</v>
      </c>
      <c r="B16137" s="4" t="s">
        <v>44</v>
      </c>
      <c r="C16137" s="38" t="s">
        <v>8887</v>
      </c>
      <c r="D16137" s="18">
        <v>2023</v>
      </c>
      <c r="E16137" s="18" t="s">
        <v>0</v>
      </c>
      <c r="F16137" s="41">
        <v>1</v>
      </c>
      <c r="G16137" s="41">
        <v>15</v>
      </c>
      <c r="H16137" s="41">
        <v>47</v>
      </c>
      <c r="I16137" s="221"/>
      <c r="J16137" s="221"/>
    </row>
    <row r="16138" spans="1:10" s="15" customFormat="1" ht="24" hidden="1" customHeight="1" outlineLevel="1" x14ac:dyDescent="0.25">
      <c r="A16138" s="18">
        <v>3344</v>
      </c>
      <c r="B16138" s="4" t="s">
        <v>44</v>
      </c>
      <c r="C16138" s="38" t="s">
        <v>8888</v>
      </c>
      <c r="D16138" s="18">
        <v>2023</v>
      </c>
      <c r="E16138" s="18" t="s">
        <v>0</v>
      </c>
      <c r="F16138" s="41">
        <v>1</v>
      </c>
      <c r="G16138" s="41">
        <v>15</v>
      </c>
      <c r="H16138" s="41">
        <v>56</v>
      </c>
      <c r="I16138" s="221"/>
      <c r="J16138" s="221"/>
    </row>
    <row r="16139" spans="1:10" s="15" customFormat="1" ht="24" hidden="1" customHeight="1" outlineLevel="1" x14ac:dyDescent="0.25">
      <c r="A16139" s="18">
        <v>668</v>
      </c>
      <c r="B16139" s="4" t="s">
        <v>44</v>
      </c>
      <c r="C16139" s="38" t="s">
        <v>8890</v>
      </c>
      <c r="D16139" s="18">
        <v>2023</v>
      </c>
      <c r="E16139" s="18" t="s">
        <v>0</v>
      </c>
      <c r="F16139" s="41">
        <v>3</v>
      </c>
      <c r="G16139" s="41">
        <v>45</v>
      </c>
      <c r="H16139" s="41">
        <v>132</v>
      </c>
      <c r="I16139" s="221"/>
      <c r="J16139" s="221"/>
    </row>
    <row r="16140" spans="1:10" s="15" customFormat="1" ht="24" hidden="1" customHeight="1" outlineLevel="1" x14ac:dyDescent="0.25">
      <c r="A16140" s="18">
        <v>3416</v>
      </c>
      <c r="B16140" s="4" t="s">
        <v>44</v>
      </c>
      <c r="C16140" s="38" t="s">
        <v>8891</v>
      </c>
      <c r="D16140" s="18">
        <v>2023</v>
      </c>
      <c r="E16140" s="18" t="s">
        <v>0</v>
      </c>
      <c r="F16140" s="41">
        <v>1</v>
      </c>
      <c r="G16140" s="41">
        <v>15</v>
      </c>
      <c r="H16140" s="41">
        <v>47</v>
      </c>
      <c r="I16140" s="221"/>
      <c r="J16140" s="221"/>
    </row>
    <row r="16141" spans="1:10" s="15" customFormat="1" ht="24" hidden="1" customHeight="1" outlineLevel="1" x14ac:dyDescent="0.25">
      <c r="A16141" s="18">
        <v>3089</v>
      </c>
      <c r="B16141" s="4" t="s">
        <v>44</v>
      </c>
      <c r="C16141" s="38" t="s">
        <v>8892</v>
      </c>
      <c r="D16141" s="18">
        <v>2023</v>
      </c>
      <c r="E16141" s="18" t="s">
        <v>0</v>
      </c>
      <c r="F16141" s="41">
        <v>1</v>
      </c>
      <c r="G16141" s="41">
        <v>100</v>
      </c>
      <c r="H16141" s="41">
        <v>53</v>
      </c>
      <c r="I16141" s="221"/>
      <c r="J16141" s="221"/>
    </row>
    <row r="16142" spans="1:10" s="15" customFormat="1" ht="24" hidden="1" customHeight="1" outlineLevel="1" x14ac:dyDescent="0.25">
      <c r="A16142" s="18">
        <v>1325</v>
      </c>
      <c r="B16142" s="4" t="s">
        <v>44</v>
      </c>
      <c r="C16142" s="38" t="s">
        <v>8893</v>
      </c>
      <c r="D16142" s="18">
        <v>2023</v>
      </c>
      <c r="E16142" s="18" t="s">
        <v>0</v>
      </c>
      <c r="F16142" s="41">
        <v>1</v>
      </c>
      <c r="G16142" s="41">
        <v>15</v>
      </c>
      <c r="H16142" s="41">
        <v>39</v>
      </c>
      <c r="I16142" s="221"/>
      <c r="J16142" s="221"/>
    </row>
    <row r="16143" spans="1:10" s="15" customFormat="1" ht="24" hidden="1" customHeight="1" outlineLevel="1" x14ac:dyDescent="0.25">
      <c r="A16143" s="18">
        <v>4453</v>
      </c>
      <c r="B16143" s="4" t="s">
        <v>44</v>
      </c>
      <c r="C16143" s="38" t="s">
        <v>8894</v>
      </c>
      <c r="D16143" s="18">
        <v>2023</v>
      </c>
      <c r="E16143" s="18" t="s">
        <v>0</v>
      </c>
      <c r="F16143" s="41">
        <v>1</v>
      </c>
      <c r="G16143" s="41">
        <v>15</v>
      </c>
      <c r="H16143" s="41">
        <v>40</v>
      </c>
      <c r="I16143" s="221"/>
      <c r="J16143" s="221"/>
    </row>
    <row r="16144" spans="1:10" s="15" customFormat="1" ht="24" hidden="1" customHeight="1" outlineLevel="1" x14ac:dyDescent="0.25">
      <c r="A16144" s="18">
        <v>3285</v>
      </c>
      <c r="B16144" s="4" t="s">
        <v>44</v>
      </c>
      <c r="C16144" s="38" t="s">
        <v>8895</v>
      </c>
      <c r="D16144" s="18">
        <v>2023</v>
      </c>
      <c r="E16144" s="18" t="s">
        <v>0</v>
      </c>
      <c r="F16144" s="41">
        <v>1</v>
      </c>
      <c r="G16144" s="41">
        <v>15</v>
      </c>
      <c r="H16144" s="41">
        <v>40</v>
      </c>
      <c r="I16144" s="221"/>
      <c r="J16144" s="221"/>
    </row>
    <row r="16145" spans="1:10" s="15" customFormat="1" ht="24" hidden="1" customHeight="1" outlineLevel="1" x14ac:dyDescent="0.25">
      <c r="A16145" s="18">
        <v>1555</v>
      </c>
      <c r="B16145" s="4" t="s">
        <v>44</v>
      </c>
      <c r="C16145" s="38" t="s">
        <v>8896</v>
      </c>
      <c r="D16145" s="18">
        <v>2023</v>
      </c>
      <c r="E16145" s="18" t="s">
        <v>0</v>
      </c>
      <c r="F16145" s="41">
        <v>1</v>
      </c>
      <c r="G16145" s="41">
        <v>15</v>
      </c>
      <c r="H16145" s="41">
        <v>40</v>
      </c>
      <c r="I16145" s="221"/>
      <c r="J16145" s="221"/>
    </row>
    <row r="16146" spans="1:10" s="15" customFormat="1" ht="24" hidden="1" customHeight="1" outlineLevel="1" x14ac:dyDescent="0.25">
      <c r="A16146" s="18">
        <v>4456</v>
      </c>
      <c r="B16146" s="4" t="s">
        <v>44</v>
      </c>
      <c r="C16146" s="38" t="s">
        <v>8897</v>
      </c>
      <c r="D16146" s="18">
        <v>2023</v>
      </c>
      <c r="E16146" s="18" t="s">
        <v>0</v>
      </c>
      <c r="F16146" s="41">
        <v>1</v>
      </c>
      <c r="G16146" s="41">
        <v>15</v>
      </c>
      <c r="H16146" s="41">
        <v>40</v>
      </c>
      <c r="I16146" s="221"/>
      <c r="J16146" s="221"/>
    </row>
    <row r="16147" spans="1:10" s="15" customFormat="1" ht="24" hidden="1" customHeight="1" outlineLevel="1" x14ac:dyDescent="0.25">
      <c r="A16147" s="18">
        <v>4454</v>
      </c>
      <c r="B16147" s="4" t="s">
        <v>44</v>
      </c>
      <c r="C16147" s="38" t="s">
        <v>8898</v>
      </c>
      <c r="D16147" s="18">
        <v>2023</v>
      </c>
      <c r="E16147" s="18" t="s">
        <v>0</v>
      </c>
      <c r="F16147" s="41">
        <v>1</v>
      </c>
      <c r="G16147" s="41">
        <v>15</v>
      </c>
      <c r="H16147" s="41">
        <v>41</v>
      </c>
      <c r="I16147" s="221"/>
      <c r="J16147" s="221"/>
    </row>
    <row r="16148" spans="1:10" s="15" customFormat="1" ht="24" hidden="1" customHeight="1" outlineLevel="1" x14ac:dyDescent="0.25">
      <c r="A16148" s="18">
        <v>3304</v>
      </c>
      <c r="B16148" s="4" t="s">
        <v>44</v>
      </c>
      <c r="C16148" s="38" t="s">
        <v>8899</v>
      </c>
      <c r="D16148" s="18">
        <v>2023</v>
      </c>
      <c r="E16148" s="18" t="s">
        <v>0</v>
      </c>
      <c r="F16148" s="41">
        <v>1</v>
      </c>
      <c r="G16148" s="41">
        <v>15</v>
      </c>
      <c r="H16148" s="41">
        <v>41</v>
      </c>
      <c r="I16148" s="221"/>
      <c r="J16148" s="221"/>
    </row>
    <row r="16149" spans="1:10" s="15" customFormat="1" ht="24" hidden="1" customHeight="1" outlineLevel="1" x14ac:dyDescent="0.25">
      <c r="A16149" s="18">
        <v>3247</v>
      </c>
      <c r="B16149" s="4" t="s">
        <v>44</v>
      </c>
      <c r="C16149" s="38" t="s">
        <v>8900</v>
      </c>
      <c r="D16149" s="18">
        <v>2023</v>
      </c>
      <c r="E16149" s="18" t="s">
        <v>0</v>
      </c>
      <c r="F16149" s="41">
        <v>1</v>
      </c>
      <c r="G16149" s="41">
        <v>15</v>
      </c>
      <c r="H16149" s="41">
        <v>50</v>
      </c>
      <c r="I16149" s="221"/>
      <c r="J16149" s="221"/>
    </row>
    <row r="16150" spans="1:10" s="15" customFormat="1" ht="24" hidden="1" customHeight="1" outlineLevel="1" x14ac:dyDescent="0.25">
      <c r="A16150" s="18">
        <v>3053</v>
      </c>
      <c r="B16150" s="4" t="s">
        <v>44</v>
      </c>
      <c r="C16150" s="38" t="s">
        <v>8902</v>
      </c>
      <c r="D16150" s="18">
        <v>2023</v>
      </c>
      <c r="E16150" s="18" t="s">
        <v>0</v>
      </c>
      <c r="F16150" s="41">
        <v>1</v>
      </c>
      <c r="G16150" s="41">
        <v>100</v>
      </c>
      <c r="H16150" s="41">
        <v>46</v>
      </c>
      <c r="I16150" s="221"/>
      <c r="J16150" s="221"/>
    </row>
    <row r="16151" spans="1:10" s="15" customFormat="1" ht="24" hidden="1" customHeight="1" outlineLevel="1" x14ac:dyDescent="0.25">
      <c r="A16151" s="18">
        <v>1181</v>
      </c>
      <c r="B16151" s="4" t="s">
        <v>44</v>
      </c>
      <c r="C16151" s="38" t="s">
        <v>8904</v>
      </c>
      <c r="D16151" s="18">
        <v>2023</v>
      </c>
      <c r="E16151" s="18" t="s">
        <v>0</v>
      </c>
      <c r="F16151" s="41">
        <v>1</v>
      </c>
      <c r="G16151" s="41">
        <v>15</v>
      </c>
      <c r="H16151" s="41">
        <v>40</v>
      </c>
      <c r="I16151" s="221"/>
      <c r="J16151" s="221"/>
    </row>
    <row r="16152" spans="1:10" s="15" customFormat="1" ht="24" hidden="1" customHeight="1" outlineLevel="1" x14ac:dyDescent="0.25">
      <c r="A16152" s="18">
        <v>1317</v>
      </c>
      <c r="B16152" s="4" t="s">
        <v>44</v>
      </c>
      <c r="C16152" s="38" t="s">
        <v>8905</v>
      </c>
      <c r="D16152" s="18">
        <v>2023</v>
      </c>
      <c r="E16152" s="18" t="s">
        <v>0</v>
      </c>
      <c r="F16152" s="41">
        <v>1</v>
      </c>
      <c r="G16152" s="41">
        <v>15</v>
      </c>
      <c r="H16152" s="41">
        <v>49</v>
      </c>
      <c r="I16152" s="221"/>
      <c r="J16152" s="221"/>
    </row>
    <row r="16153" spans="1:10" s="15" customFormat="1" ht="24" hidden="1" customHeight="1" outlineLevel="1" x14ac:dyDescent="0.25">
      <c r="A16153" s="18">
        <v>3302</v>
      </c>
      <c r="B16153" s="4" t="s">
        <v>44</v>
      </c>
      <c r="C16153" s="38" t="s">
        <v>8907</v>
      </c>
      <c r="D16153" s="18">
        <v>2023</v>
      </c>
      <c r="E16153" s="18" t="s">
        <v>0</v>
      </c>
      <c r="F16153" s="41">
        <v>1</v>
      </c>
      <c r="G16153" s="41">
        <v>10</v>
      </c>
      <c r="H16153" s="41">
        <v>44</v>
      </c>
      <c r="I16153" s="221"/>
      <c r="J16153" s="221"/>
    </row>
    <row r="16154" spans="1:10" s="15" customFormat="1" ht="24" hidden="1" customHeight="1" outlineLevel="1" x14ac:dyDescent="0.25">
      <c r="A16154" s="18">
        <v>3308</v>
      </c>
      <c r="B16154" s="4" t="s">
        <v>44</v>
      </c>
      <c r="C16154" s="38" t="s">
        <v>8909</v>
      </c>
      <c r="D16154" s="18">
        <v>2023</v>
      </c>
      <c r="E16154" s="18" t="s">
        <v>0</v>
      </c>
      <c r="F16154" s="41">
        <v>1</v>
      </c>
      <c r="G16154" s="41">
        <v>5</v>
      </c>
      <c r="H16154" s="41">
        <v>42</v>
      </c>
      <c r="I16154" s="221"/>
      <c r="J16154" s="221"/>
    </row>
    <row r="16155" spans="1:10" s="15" customFormat="1" ht="24" hidden="1" customHeight="1" outlineLevel="1" x14ac:dyDescent="0.25">
      <c r="A16155" s="18">
        <v>477</v>
      </c>
      <c r="B16155" s="4" t="s">
        <v>44</v>
      </c>
      <c r="C16155" s="38" t="s">
        <v>8910</v>
      </c>
      <c r="D16155" s="18">
        <v>2023</v>
      </c>
      <c r="E16155" s="18" t="s">
        <v>0</v>
      </c>
      <c r="F16155" s="41">
        <v>1</v>
      </c>
      <c r="G16155" s="41">
        <v>15</v>
      </c>
      <c r="H16155" s="41">
        <v>41</v>
      </c>
      <c r="I16155" s="221"/>
      <c r="J16155" s="221"/>
    </row>
    <row r="16156" spans="1:10" s="15" customFormat="1" ht="24" hidden="1" customHeight="1" outlineLevel="1" x14ac:dyDescent="0.25">
      <c r="A16156" s="18">
        <v>2100</v>
      </c>
      <c r="B16156" s="4" t="s">
        <v>44</v>
      </c>
      <c r="C16156" s="38" t="s">
        <v>8911</v>
      </c>
      <c r="D16156" s="18">
        <v>2023</v>
      </c>
      <c r="E16156" s="18" t="s">
        <v>0</v>
      </c>
      <c r="F16156" s="41">
        <v>1</v>
      </c>
      <c r="G16156" s="41">
        <v>15</v>
      </c>
      <c r="H16156" s="41">
        <v>40</v>
      </c>
      <c r="I16156" s="221"/>
      <c r="J16156" s="221"/>
    </row>
    <row r="16157" spans="1:10" s="15" customFormat="1" ht="24" hidden="1" customHeight="1" outlineLevel="1" x14ac:dyDescent="0.25">
      <c r="A16157" s="18">
        <v>563</v>
      </c>
      <c r="B16157" s="4" t="s">
        <v>44</v>
      </c>
      <c r="C16157" s="38" t="s">
        <v>8912</v>
      </c>
      <c r="D16157" s="18">
        <v>2023</v>
      </c>
      <c r="E16157" s="18" t="s">
        <v>0</v>
      </c>
      <c r="F16157" s="41">
        <v>1</v>
      </c>
      <c r="G16157" s="41">
        <v>15</v>
      </c>
      <c r="H16157" s="41">
        <v>45</v>
      </c>
      <c r="I16157" s="221"/>
      <c r="J16157" s="221"/>
    </row>
    <row r="16158" spans="1:10" s="15" customFormat="1" ht="24" hidden="1" customHeight="1" outlineLevel="1" x14ac:dyDescent="0.25">
      <c r="A16158" s="18">
        <v>610</v>
      </c>
      <c r="B16158" s="4" t="s">
        <v>44</v>
      </c>
      <c r="C16158" s="38" t="s">
        <v>8913</v>
      </c>
      <c r="D16158" s="18">
        <v>2023</v>
      </c>
      <c r="E16158" s="18" t="s">
        <v>0</v>
      </c>
      <c r="F16158" s="41">
        <v>1</v>
      </c>
      <c r="G16158" s="41">
        <v>15</v>
      </c>
      <c r="H16158" s="41">
        <v>46</v>
      </c>
      <c r="I16158" s="221"/>
      <c r="J16158" s="221"/>
    </row>
    <row r="16159" spans="1:10" s="15" customFormat="1" ht="24" hidden="1" customHeight="1" outlineLevel="1" x14ac:dyDescent="0.25">
      <c r="A16159" s="18">
        <v>3037</v>
      </c>
      <c r="B16159" s="4" t="s">
        <v>44</v>
      </c>
      <c r="C16159" s="38" t="s">
        <v>8914</v>
      </c>
      <c r="D16159" s="18">
        <v>2023</v>
      </c>
      <c r="E16159" s="18" t="s">
        <v>0</v>
      </c>
      <c r="F16159" s="41">
        <v>1</v>
      </c>
      <c r="G16159" s="41">
        <v>100</v>
      </c>
      <c r="H16159" s="41">
        <v>40</v>
      </c>
      <c r="I16159" s="221"/>
      <c r="J16159" s="221"/>
    </row>
    <row r="16160" spans="1:10" s="15" customFormat="1" ht="24" hidden="1" customHeight="1" outlineLevel="1" x14ac:dyDescent="0.25">
      <c r="A16160" s="18">
        <v>3074</v>
      </c>
      <c r="B16160" s="4" t="s">
        <v>44</v>
      </c>
      <c r="C16160" s="38" t="s">
        <v>8915</v>
      </c>
      <c r="D16160" s="18">
        <v>2023</v>
      </c>
      <c r="E16160" s="18" t="s">
        <v>0</v>
      </c>
      <c r="F16160" s="41">
        <v>1</v>
      </c>
      <c r="G16160" s="41">
        <v>150</v>
      </c>
      <c r="H16160" s="41">
        <v>53</v>
      </c>
      <c r="I16160" s="221"/>
      <c r="J16160" s="221"/>
    </row>
    <row r="16161" spans="1:10" s="15" customFormat="1" ht="24" hidden="1" customHeight="1" outlineLevel="1" x14ac:dyDescent="0.25">
      <c r="A16161" s="18">
        <v>697</v>
      </c>
      <c r="B16161" s="4" t="s">
        <v>44</v>
      </c>
      <c r="C16161" s="38" t="s">
        <v>8916</v>
      </c>
      <c r="D16161" s="18">
        <v>2023</v>
      </c>
      <c r="E16161" s="18" t="s">
        <v>0</v>
      </c>
      <c r="F16161" s="41">
        <v>1</v>
      </c>
      <c r="G16161" s="41">
        <v>15</v>
      </c>
      <c r="H16161" s="41">
        <v>40</v>
      </c>
      <c r="I16161" s="221"/>
      <c r="J16161" s="221"/>
    </row>
    <row r="16162" spans="1:10" s="15" customFormat="1" ht="24" hidden="1" customHeight="1" outlineLevel="1" x14ac:dyDescent="0.25">
      <c r="A16162" s="18">
        <v>1617</v>
      </c>
      <c r="B16162" s="4" t="s">
        <v>44</v>
      </c>
      <c r="C16162" s="38" t="s">
        <v>8917</v>
      </c>
      <c r="D16162" s="18">
        <v>2023</v>
      </c>
      <c r="E16162" s="18" t="s">
        <v>0</v>
      </c>
      <c r="F16162" s="41">
        <v>1</v>
      </c>
      <c r="G16162" s="41">
        <v>30</v>
      </c>
      <c r="H16162" s="41">
        <v>44</v>
      </c>
      <c r="I16162" s="221"/>
      <c r="J16162" s="221"/>
    </row>
    <row r="16163" spans="1:10" s="15" customFormat="1" ht="24" hidden="1" customHeight="1" outlineLevel="1" x14ac:dyDescent="0.25">
      <c r="A16163" s="18">
        <v>2847</v>
      </c>
      <c r="B16163" s="4" t="s">
        <v>44</v>
      </c>
      <c r="C16163" s="38" t="s">
        <v>8918</v>
      </c>
      <c r="D16163" s="18">
        <v>2023</v>
      </c>
      <c r="E16163" s="18" t="s">
        <v>0</v>
      </c>
      <c r="F16163" s="41">
        <v>1</v>
      </c>
      <c r="G16163" s="41">
        <v>15</v>
      </c>
      <c r="H16163" s="41">
        <v>40</v>
      </c>
      <c r="I16163" s="221"/>
      <c r="J16163" s="221"/>
    </row>
    <row r="16164" spans="1:10" s="15" customFormat="1" ht="24" hidden="1" customHeight="1" outlineLevel="1" x14ac:dyDescent="0.25">
      <c r="A16164" s="18">
        <v>2377</v>
      </c>
      <c r="B16164" s="4" t="s">
        <v>44</v>
      </c>
      <c r="C16164" s="38" t="s">
        <v>8920</v>
      </c>
      <c r="D16164" s="18">
        <v>2023</v>
      </c>
      <c r="E16164" s="18" t="s">
        <v>0</v>
      </c>
      <c r="F16164" s="41">
        <v>1</v>
      </c>
      <c r="G16164" s="41">
        <v>21</v>
      </c>
      <c r="H16164" s="41">
        <v>41</v>
      </c>
      <c r="I16164" s="221"/>
      <c r="J16164" s="221"/>
    </row>
    <row r="16165" spans="1:10" s="15" customFormat="1" ht="24" hidden="1" customHeight="1" outlineLevel="1" x14ac:dyDescent="0.25">
      <c r="A16165" s="18">
        <v>2872</v>
      </c>
      <c r="B16165" s="4" t="s">
        <v>44</v>
      </c>
      <c r="C16165" s="38" t="s">
        <v>8921</v>
      </c>
      <c r="D16165" s="18">
        <v>2023</v>
      </c>
      <c r="E16165" s="18" t="s">
        <v>0</v>
      </c>
      <c r="F16165" s="41">
        <v>1</v>
      </c>
      <c r="G16165" s="41">
        <v>15</v>
      </c>
      <c r="H16165" s="41">
        <v>58</v>
      </c>
      <c r="I16165" s="221"/>
      <c r="J16165" s="221"/>
    </row>
    <row r="16166" spans="1:10" s="15" customFormat="1" ht="24" hidden="1" customHeight="1" outlineLevel="1" x14ac:dyDescent="0.25">
      <c r="A16166" s="18">
        <v>3245</v>
      </c>
      <c r="B16166" s="4" t="s">
        <v>44</v>
      </c>
      <c r="C16166" s="38" t="s">
        <v>8922</v>
      </c>
      <c r="D16166" s="18">
        <v>2023</v>
      </c>
      <c r="E16166" s="18" t="s">
        <v>0</v>
      </c>
      <c r="F16166" s="41">
        <v>1</v>
      </c>
      <c r="G16166" s="41">
        <v>15</v>
      </c>
      <c r="H16166" s="41">
        <v>53</v>
      </c>
      <c r="I16166" s="221"/>
      <c r="J16166" s="221"/>
    </row>
    <row r="16167" spans="1:10" s="15" customFormat="1" ht="24" hidden="1" customHeight="1" outlineLevel="1" x14ac:dyDescent="0.25">
      <c r="A16167" s="18">
        <v>2420</v>
      </c>
      <c r="B16167" s="4" t="s">
        <v>44</v>
      </c>
      <c r="C16167" s="38" t="s">
        <v>8923</v>
      </c>
      <c r="D16167" s="18">
        <v>2023</v>
      </c>
      <c r="E16167" s="18" t="s">
        <v>0</v>
      </c>
      <c r="F16167" s="41">
        <v>1</v>
      </c>
      <c r="G16167" s="41">
        <v>8</v>
      </c>
      <c r="H16167" s="41">
        <v>40</v>
      </c>
      <c r="I16167" s="221"/>
      <c r="J16167" s="221"/>
    </row>
    <row r="16168" spans="1:10" s="15" customFormat="1" ht="24" hidden="1" customHeight="1" outlineLevel="1" x14ac:dyDescent="0.25">
      <c r="A16168" s="18">
        <v>1631</v>
      </c>
      <c r="B16168" s="4" t="s">
        <v>44</v>
      </c>
      <c r="C16168" s="38" t="s">
        <v>8924</v>
      </c>
      <c r="D16168" s="18">
        <v>2023</v>
      </c>
      <c r="E16168" s="18" t="s">
        <v>0</v>
      </c>
      <c r="F16168" s="41">
        <v>2</v>
      </c>
      <c r="G16168" s="41">
        <v>30</v>
      </c>
      <c r="H16168" s="41">
        <v>96</v>
      </c>
      <c r="I16168" s="221"/>
      <c r="J16168" s="221"/>
    </row>
    <row r="16169" spans="1:10" s="15" customFormat="1" ht="24" hidden="1" customHeight="1" outlineLevel="1" x14ac:dyDescent="0.25">
      <c r="A16169" s="18">
        <v>2879</v>
      </c>
      <c r="B16169" s="4" t="s">
        <v>44</v>
      </c>
      <c r="C16169" s="38" t="s">
        <v>8925</v>
      </c>
      <c r="D16169" s="18">
        <v>2023</v>
      </c>
      <c r="E16169" s="18" t="s">
        <v>0</v>
      </c>
      <c r="F16169" s="41">
        <v>1</v>
      </c>
      <c r="G16169" s="41">
        <v>15</v>
      </c>
      <c r="H16169" s="41">
        <v>41</v>
      </c>
      <c r="I16169" s="221"/>
      <c r="J16169" s="221"/>
    </row>
    <row r="16170" spans="1:10" s="15" customFormat="1" ht="24" hidden="1" customHeight="1" outlineLevel="1" x14ac:dyDescent="0.25">
      <c r="A16170" s="18">
        <v>2873</v>
      </c>
      <c r="B16170" s="4" t="s">
        <v>44</v>
      </c>
      <c r="C16170" s="38" t="s">
        <v>8926</v>
      </c>
      <c r="D16170" s="18">
        <v>2023</v>
      </c>
      <c r="E16170" s="18" t="s">
        <v>0</v>
      </c>
      <c r="F16170" s="41">
        <v>1</v>
      </c>
      <c r="G16170" s="41">
        <v>15</v>
      </c>
      <c r="H16170" s="41">
        <v>45</v>
      </c>
      <c r="I16170" s="221"/>
      <c r="J16170" s="221"/>
    </row>
    <row r="16171" spans="1:10" s="15" customFormat="1" ht="24" hidden="1" customHeight="1" outlineLevel="1" x14ac:dyDescent="0.25">
      <c r="A16171" s="18">
        <v>3295</v>
      </c>
      <c r="B16171" s="4" t="s">
        <v>44</v>
      </c>
      <c r="C16171" s="38" t="s">
        <v>13345</v>
      </c>
      <c r="D16171" s="18">
        <v>2023</v>
      </c>
      <c r="E16171" s="18" t="s">
        <v>0</v>
      </c>
      <c r="F16171" s="41">
        <v>1</v>
      </c>
      <c r="G16171" s="41">
        <v>5</v>
      </c>
      <c r="H16171" s="41">
        <v>46</v>
      </c>
      <c r="I16171" s="221"/>
      <c r="J16171" s="221"/>
    </row>
    <row r="16172" spans="1:10" s="15" customFormat="1" ht="24" hidden="1" customHeight="1" outlineLevel="1" x14ac:dyDescent="0.25">
      <c r="A16172" s="18">
        <v>1958</v>
      </c>
      <c r="B16172" s="4" t="s">
        <v>44</v>
      </c>
      <c r="C16172" s="38" t="s">
        <v>8929</v>
      </c>
      <c r="D16172" s="18">
        <v>2023</v>
      </c>
      <c r="E16172" s="18" t="s">
        <v>0</v>
      </c>
      <c r="F16172" s="41">
        <v>1</v>
      </c>
      <c r="G16172" s="41">
        <v>10</v>
      </c>
      <c r="H16172" s="41">
        <v>51</v>
      </c>
      <c r="I16172" s="221"/>
      <c r="J16172" s="221"/>
    </row>
    <row r="16173" spans="1:10" s="15" customFormat="1" ht="24" hidden="1" customHeight="1" outlineLevel="1" x14ac:dyDescent="0.25">
      <c r="A16173" s="18">
        <v>3307</v>
      </c>
      <c r="B16173" s="4" t="s">
        <v>44</v>
      </c>
      <c r="C16173" s="38" t="s">
        <v>8930</v>
      </c>
      <c r="D16173" s="18">
        <v>2023</v>
      </c>
      <c r="E16173" s="18" t="s">
        <v>0</v>
      </c>
      <c r="F16173" s="41">
        <v>1</v>
      </c>
      <c r="G16173" s="41">
        <v>5</v>
      </c>
      <c r="H16173" s="41">
        <v>40</v>
      </c>
      <c r="I16173" s="221"/>
      <c r="J16173" s="221"/>
    </row>
    <row r="16174" spans="1:10" s="15" customFormat="1" ht="24" hidden="1" customHeight="1" outlineLevel="1" x14ac:dyDescent="0.25">
      <c r="A16174" s="18">
        <v>2054</v>
      </c>
      <c r="B16174" s="4" t="s">
        <v>44</v>
      </c>
      <c r="C16174" s="38" t="s">
        <v>8931</v>
      </c>
      <c r="D16174" s="18">
        <v>2023</v>
      </c>
      <c r="E16174" s="18" t="s">
        <v>0</v>
      </c>
      <c r="F16174" s="41">
        <v>1</v>
      </c>
      <c r="G16174" s="41">
        <v>15</v>
      </c>
      <c r="H16174" s="41">
        <v>41</v>
      </c>
      <c r="I16174" s="221"/>
      <c r="J16174" s="221"/>
    </row>
    <row r="16175" spans="1:10" s="15" customFormat="1" ht="24" hidden="1" customHeight="1" outlineLevel="1" x14ac:dyDescent="0.25">
      <c r="A16175" s="18">
        <v>1062</v>
      </c>
      <c r="B16175" s="4" t="s">
        <v>44</v>
      </c>
      <c r="C16175" s="38" t="s">
        <v>8933</v>
      </c>
      <c r="D16175" s="18">
        <v>2023</v>
      </c>
      <c r="E16175" s="18" t="s">
        <v>0</v>
      </c>
      <c r="F16175" s="41">
        <v>1</v>
      </c>
      <c r="G16175" s="41">
        <v>15</v>
      </c>
      <c r="H16175" s="41">
        <v>44</v>
      </c>
      <c r="I16175" s="221"/>
      <c r="J16175" s="221"/>
    </row>
    <row r="16176" spans="1:10" s="15" customFormat="1" ht="24" hidden="1" customHeight="1" outlineLevel="1" x14ac:dyDescent="0.25">
      <c r="A16176" s="18">
        <v>1321</v>
      </c>
      <c r="B16176" s="4" t="s">
        <v>44</v>
      </c>
      <c r="C16176" s="38" t="s">
        <v>8934</v>
      </c>
      <c r="D16176" s="18">
        <v>2023</v>
      </c>
      <c r="E16176" s="18" t="s">
        <v>0</v>
      </c>
      <c r="F16176" s="41">
        <v>1</v>
      </c>
      <c r="G16176" s="41">
        <v>20</v>
      </c>
      <c r="H16176" s="41">
        <v>47</v>
      </c>
      <c r="I16176" s="221"/>
      <c r="J16176" s="221"/>
    </row>
    <row r="16177" spans="1:10" s="15" customFormat="1" ht="24" hidden="1" customHeight="1" outlineLevel="1" x14ac:dyDescent="0.25">
      <c r="A16177" s="18">
        <v>1930</v>
      </c>
      <c r="B16177" s="4" t="s">
        <v>44</v>
      </c>
      <c r="C16177" s="38" t="s">
        <v>8936</v>
      </c>
      <c r="D16177" s="18">
        <v>2023</v>
      </c>
      <c r="E16177" s="18" t="s">
        <v>0</v>
      </c>
      <c r="F16177" s="41">
        <v>1</v>
      </c>
      <c r="G16177" s="41">
        <v>15</v>
      </c>
      <c r="H16177" s="41">
        <v>41</v>
      </c>
      <c r="I16177" s="221"/>
      <c r="J16177" s="221"/>
    </row>
    <row r="16178" spans="1:10" s="15" customFormat="1" ht="24" hidden="1" customHeight="1" outlineLevel="1" x14ac:dyDescent="0.25">
      <c r="A16178" s="18">
        <v>2841</v>
      </c>
      <c r="B16178" s="4" t="s">
        <v>44</v>
      </c>
      <c r="C16178" s="38" t="s">
        <v>8937</v>
      </c>
      <c r="D16178" s="18">
        <v>2023</v>
      </c>
      <c r="E16178" s="18" t="s">
        <v>0</v>
      </c>
      <c r="F16178" s="41">
        <v>1</v>
      </c>
      <c r="G16178" s="41">
        <v>30</v>
      </c>
      <c r="H16178" s="41">
        <v>43</v>
      </c>
      <c r="I16178" s="221"/>
      <c r="J16178" s="221"/>
    </row>
    <row r="16179" spans="1:10" s="15" customFormat="1" ht="24" hidden="1" customHeight="1" outlineLevel="1" x14ac:dyDescent="0.25">
      <c r="A16179" s="18">
        <v>2027</v>
      </c>
      <c r="B16179" s="4" t="s">
        <v>44</v>
      </c>
      <c r="C16179" s="38" t="s">
        <v>8938</v>
      </c>
      <c r="D16179" s="18">
        <v>2023</v>
      </c>
      <c r="E16179" s="18" t="s">
        <v>0</v>
      </c>
      <c r="F16179" s="41">
        <v>1</v>
      </c>
      <c r="G16179" s="41">
        <v>5</v>
      </c>
      <c r="H16179" s="41">
        <v>43</v>
      </c>
      <c r="I16179" s="221"/>
      <c r="J16179" s="221"/>
    </row>
    <row r="16180" spans="1:10" s="15" customFormat="1" ht="24" hidden="1" customHeight="1" outlineLevel="1" x14ac:dyDescent="0.25">
      <c r="A16180" s="18">
        <v>2031</v>
      </c>
      <c r="B16180" s="4" t="s">
        <v>44</v>
      </c>
      <c r="C16180" s="38" t="s">
        <v>8939</v>
      </c>
      <c r="D16180" s="18">
        <v>2023</v>
      </c>
      <c r="E16180" s="18" t="s">
        <v>0</v>
      </c>
      <c r="F16180" s="41">
        <v>2</v>
      </c>
      <c r="G16180" s="41">
        <v>30</v>
      </c>
      <c r="H16180" s="41">
        <v>80</v>
      </c>
      <c r="I16180" s="221"/>
      <c r="J16180" s="221"/>
    </row>
    <row r="16181" spans="1:10" s="15" customFormat="1" ht="24" hidden="1" customHeight="1" outlineLevel="1" x14ac:dyDescent="0.25">
      <c r="A16181" s="18">
        <v>2858</v>
      </c>
      <c r="B16181" s="4" t="s">
        <v>44</v>
      </c>
      <c r="C16181" s="38" t="s">
        <v>8940</v>
      </c>
      <c r="D16181" s="18">
        <v>2023</v>
      </c>
      <c r="E16181" s="18" t="s">
        <v>0</v>
      </c>
      <c r="F16181" s="41">
        <v>1</v>
      </c>
      <c r="G16181" s="41">
        <v>15</v>
      </c>
      <c r="H16181" s="41">
        <v>41</v>
      </c>
      <c r="I16181" s="221"/>
      <c r="J16181" s="221"/>
    </row>
    <row r="16182" spans="1:10" s="15" customFormat="1" ht="24" hidden="1" customHeight="1" outlineLevel="1" x14ac:dyDescent="0.25">
      <c r="A16182" s="18">
        <v>4489</v>
      </c>
      <c r="B16182" s="4" t="s">
        <v>44</v>
      </c>
      <c r="C16182" s="38" t="s">
        <v>8941</v>
      </c>
      <c r="D16182" s="18">
        <v>2023</v>
      </c>
      <c r="E16182" s="18" t="s">
        <v>0</v>
      </c>
      <c r="F16182" s="41">
        <v>1</v>
      </c>
      <c r="G16182" s="41">
        <v>15</v>
      </c>
      <c r="H16182" s="41">
        <v>41</v>
      </c>
      <c r="I16182" s="221"/>
      <c r="J16182" s="221"/>
    </row>
    <row r="16183" spans="1:10" s="15" customFormat="1" ht="24" hidden="1" customHeight="1" outlineLevel="1" x14ac:dyDescent="0.25">
      <c r="A16183" s="18">
        <v>2082</v>
      </c>
      <c r="B16183" s="4" t="s">
        <v>44</v>
      </c>
      <c r="C16183" s="38" t="s">
        <v>8942</v>
      </c>
      <c r="D16183" s="18">
        <v>2023</v>
      </c>
      <c r="E16183" s="18" t="s">
        <v>0</v>
      </c>
      <c r="F16183" s="41">
        <v>1</v>
      </c>
      <c r="G16183" s="41">
        <v>7</v>
      </c>
      <c r="H16183" s="41">
        <v>42</v>
      </c>
      <c r="I16183" s="221"/>
      <c r="J16183" s="221"/>
    </row>
    <row r="16184" spans="1:10" s="15" customFormat="1" ht="24" hidden="1" customHeight="1" outlineLevel="1" x14ac:dyDescent="0.25">
      <c r="A16184" s="18">
        <v>2867</v>
      </c>
      <c r="B16184" s="4" t="s">
        <v>44</v>
      </c>
      <c r="C16184" s="38" t="s">
        <v>8943</v>
      </c>
      <c r="D16184" s="18">
        <v>2023</v>
      </c>
      <c r="E16184" s="18" t="s">
        <v>0</v>
      </c>
      <c r="F16184" s="41">
        <v>1</v>
      </c>
      <c r="G16184" s="41">
        <v>15</v>
      </c>
      <c r="H16184" s="41">
        <v>40</v>
      </c>
      <c r="I16184" s="221"/>
      <c r="J16184" s="221"/>
    </row>
    <row r="16185" spans="1:10" s="15" customFormat="1" ht="24" hidden="1" customHeight="1" outlineLevel="1" x14ac:dyDescent="0.25">
      <c r="A16185" s="18">
        <v>2882</v>
      </c>
      <c r="B16185" s="4" t="s">
        <v>44</v>
      </c>
      <c r="C16185" s="38" t="s">
        <v>8944</v>
      </c>
      <c r="D16185" s="18">
        <v>2023</v>
      </c>
      <c r="E16185" s="18" t="s">
        <v>0</v>
      </c>
      <c r="F16185" s="41">
        <v>1</v>
      </c>
      <c r="G16185" s="41">
        <v>15</v>
      </c>
      <c r="H16185" s="41">
        <v>41</v>
      </c>
      <c r="I16185" s="221"/>
      <c r="J16185" s="221"/>
    </row>
    <row r="16186" spans="1:10" s="15" customFormat="1" ht="24" hidden="1" customHeight="1" outlineLevel="1" x14ac:dyDescent="0.25">
      <c r="A16186" s="18">
        <v>2386</v>
      </c>
      <c r="B16186" s="4" t="s">
        <v>44</v>
      </c>
      <c r="C16186" s="38" t="s">
        <v>8945</v>
      </c>
      <c r="D16186" s="18">
        <v>2023</v>
      </c>
      <c r="E16186" s="18" t="s">
        <v>0</v>
      </c>
      <c r="F16186" s="41">
        <v>1</v>
      </c>
      <c r="G16186" s="41">
        <v>5</v>
      </c>
      <c r="H16186" s="41">
        <v>41</v>
      </c>
      <c r="I16186" s="221"/>
      <c r="J16186" s="221"/>
    </row>
    <row r="16187" spans="1:10" s="15" customFormat="1" ht="24" hidden="1" customHeight="1" outlineLevel="1" x14ac:dyDescent="0.25">
      <c r="A16187" s="18">
        <v>2526</v>
      </c>
      <c r="B16187" s="4" t="s">
        <v>44</v>
      </c>
      <c r="C16187" s="38" t="s">
        <v>8946</v>
      </c>
      <c r="D16187" s="18">
        <v>2023</v>
      </c>
      <c r="E16187" s="18" t="s">
        <v>0</v>
      </c>
      <c r="F16187" s="41">
        <v>1</v>
      </c>
      <c r="G16187" s="41">
        <v>5</v>
      </c>
      <c r="H16187" s="41">
        <v>41</v>
      </c>
      <c r="I16187" s="221"/>
      <c r="J16187" s="221"/>
    </row>
    <row r="16188" spans="1:10" s="15" customFormat="1" ht="24" hidden="1" customHeight="1" outlineLevel="1" x14ac:dyDescent="0.25">
      <c r="A16188" s="18">
        <v>2554</v>
      </c>
      <c r="B16188" s="4" t="s">
        <v>44</v>
      </c>
      <c r="C16188" s="38" t="s">
        <v>8947</v>
      </c>
      <c r="D16188" s="18">
        <v>2023</v>
      </c>
      <c r="E16188" s="18" t="s">
        <v>0</v>
      </c>
      <c r="F16188" s="41">
        <v>1</v>
      </c>
      <c r="G16188" s="41">
        <v>5</v>
      </c>
      <c r="H16188" s="41">
        <v>41</v>
      </c>
      <c r="I16188" s="221"/>
      <c r="J16188" s="221"/>
    </row>
    <row r="16189" spans="1:10" s="15" customFormat="1" ht="24" hidden="1" customHeight="1" outlineLevel="1" x14ac:dyDescent="0.25">
      <c r="A16189" s="18">
        <v>2571</v>
      </c>
      <c r="B16189" s="4" t="s">
        <v>44</v>
      </c>
      <c r="C16189" s="38" t="s">
        <v>8948</v>
      </c>
      <c r="D16189" s="18">
        <v>2023</v>
      </c>
      <c r="E16189" s="18" t="s">
        <v>0</v>
      </c>
      <c r="F16189" s="41">
        <v>1</v>
      </c>
      <c r="G16189" s="41">
        <v>10</v>
      </c>
      <c r="H16189" s="41">
        <v>30</v>
      </c>
      <c r="I16189" s="221"/>
      <c r="J16189" s="221"/>
    </row>
    <row r="16190" spans="1:10" s="15" customFormat="1" ht="24" hidden="1" customHeight="1" outlineLevel="1" x14ac:dyDescent="0.25">
      <c r="A16190" s="18">
        <v>3305</v>
      </c>
      <c r="B16190" s="4" t="s">
        <v>44</v>
      </c>
      <c r="C16190" s="38" t="s">
        <v>8951</v>
      </c>
      <c r="D16190" s="18">
        <v>2023</v>
      </c>
      <c r="E16190" s="18" t="s">
        <v>0</v>
      </c>
      <c r="F16190" s="41">
        <v>1</v>
      </c>
      <c r="G16190" s="41">
        <v>15</v>
      </c>
      <c r="H16190" s="41">
        <v>42</v>
      </c>
      <c r="I16190" s="221"/>
      <c r="J16190" s="221"/>
    </row>
    <row r="16191" spans="1:10" s="15" customFormat="1" ht="24" hidden="1" customHeight="1" outlineLevel="1" x14ac:dyDescent="0.25">
      <c r="A16191" s="18">
        <v>983</v>
      </c>
      <c r="B16191" s="4" t="s">
        <v>44</v>
      </c>
      <c r="C16191" s="38" t="s">
        <v>8952</v>
      </c>
      <c r="D16191" s="18">
        <v>2023</v>
      </c>
      <c r="E16191" s="18" t="s">
        <v>0</v>
      </c>
      <c r="F16191" s="41">
        <v>1</v>
      </c>
      <c r="G16191" s="41">
        <v>15</v>
      </c>
      <c r="H16191" s="41">
        <v>41</v>
      </c>
      <c r="I16191" s="221"/>
      <c r="J16191" s="221"/>
    </row>
    <row r="16192" spans="1:10" s="15" customFormat="1" ht="24" hidden="1" customHeight="1" outlineLevel="1" x14ac:dyDescent="0.25">
      <c r="A16192" s="18">
        <v>877</v>
      </c>
      <c r="B16192" s="4" t="s">
        <v>44</v>
      </c>
      <c r="C16192" s="38" t="s">
        <v>8954</v>
      </c>
      <c r="D16192" s="18">
        <v>2023</v>
      </c>
      <c r="E16192" s="18" t="s">
        <v>0</v>
      </c>
      <c r="F16192" s="41">
        <v>1</v>
      </c>
      <c r="G16192" s="41">
        <v>15</v>
      </c>
      <c r="H16192" s="41">
        <v>44.574080000000002</v>
      </c>
      <c r="I16192" s="221"/>
      <c r="J16192" s="221"/>
    </row>
    <row r="16193" spans="1:10" s="15" customFormat="1" ht="24" hidden="1" customHeight="1" outlineLevel="1" x14ac:dyDescent="0.25">
      <c r="A16193" s="18">
        <v>2026</v>
      </c>
      <c r="B16193" s="4" t="s">
        <v>44</v>
      </c>
      <c r="C16193" s="38" t="s">
        <v>8955</v>
      </c>
      <c r="D16193" s="18">
        <v>2023</v>
      </c>
      <c r="E16193" s="18" t="s">
        <v>0</v>
      </c>
      <c r="F16193" s="41">
        <v>1</v>
      </c>
      <c r="G16193" s="41">
        <v>5</v>
      </c>
      <c r="H16193" s="41">
        <v>45.850290000000001</v>
      </c>
      <c r="I16193" s="221"/>
      <c r="J16193" s="221"/>
    </row>
    <row r="16194" spans="1:10" s="15" customFormat="1" ht="24" hidden="1" customHeight="1" outlineLevel="1" x14ac:dyDescent="0.25">
      <c r="A16194" s="18">
        <v>2421</v>
      </c>
      <c r="B16194" s="4" t="s">
        <v>44</v>
      </c>
      <c r="C16194" s="38" t="s">
        <v>8956</v>
      </c>
      <c r="D16194" s="18">
        <v>2023</v>
      </c>
      <c r="E16194" s="18" t="s">
        <v>0</v>
      </c>
      <c r="F16194" s="41">
        <v>1</v>
      </c>
      <c r="G16194" s="41">
        <v>25</v>
      </c>
      <c r="H16194" s="41">
        <v>41.434619999999995</v>
      </c>
      <c r="I16194" s="221"/>
      <c r="J16194" s="221"/>
    </row>
    <row r="16195" spans="1:10" s="15" customFormat="1" ht="24" hidden="1" customHeight="1" outlineLevel="1" x14ac:dyDescent="0.25">
      <c r="A16195" s="18">
        <v>2871</v>
      </c>
      <c r="B16195" s="4" t="s">
        <v>44</v>
      </c>
      <c r="C16195" s="38" t="s">
        <v>8957</v>
      </c>
      <c r="D16195" s="18">
        <v>2023</v>
      </c>
      <c r="E16195" s="18" t="s">
        <v>0</v>
      </c>
      <c r="F16195" s="41">
        <v>1</v>
      </c>
      <c r="G16195" s="41">
        <v>15</v>
      </c>
      <c r="H16195" s="41">
        <v>46.750619999999998</v>
      </c>
      <c r="I16195" s="221"/>
      <c r="J16195" s="221"/>
    </row>
    <row r="16196" spans="1:10" s="15" customFormat="1" ht="24" hidden="1" customHeight="1" outlineLevel="1" x14ac:dyDescent="0.25">
      <c r="A16196" s="18">
        <v>2511</v>
      </c>
      <c r="B16196" s="4" t="s">
        <v>44</v>
      </c>
      <c r="C16196" s="38" t="s">
        <v>8958</v>
      </c>
      <c r="D16196" s="18">
        <v>2023</v>
      </c>
      <c r="E16196" s="18" t="s">
        <v>0</v>
      </c>
      <c r="F16196" s="41">
        <v>1</v>
      </c>
      <c r="G16196" s="41">
        <v>20</v>
      </c>
      <c r="H16196" s="41">
        <v>41.214260000000003</v>
      </c>
      <c r="I16196" s="221"/>
      <c r="J16196" s="221"/>
    </row>
    <row r="16197" spans="1:10" s="15" customFormat="1" ht="24" hidden="1" customHeight="1" outlineLevel="1" x14ac:dyDescent="0.25">
      <c r="A16197" s="18">
        <v>2313</v>
      </c>
      <c r="B16197" s="4" t="s">
        <v>44</v>
      </c>
      <c r="C16197" s="38" t="s">
        <v>8959</v>
      </c>
      <c r="D16197" s="18">
        <v>2023</v>
      </c>
      <c r="E16197" s="18" t="s">
        <v>0</v>
      </c>
      <c r="F16197" s="41">
        <v>1</v>
      </c>
      <c r="G16197" s="41">
        <v>3</v>
      </c>
      <c r="H16197" s="41">
        <v>46.552530000000004</v>
      </c>
      <c r="I16197" s="221"/>
      <c r="J16197" s="221"/>
    </row>
    <row r="16198" spans="1:10" s="15" customFormat="1" ht="24" hidden="1" customHeight="1" outlineLevel="1" x14ac:dyDescent="0.25">
      <c r="A16198" s="18">
        <v>2836</v>
      </c>
      <c r="B16198" s="4" t="s">
        <v>44</v>
      </c>
      <c r="C16198" s="38" t="s">
        <v>8960</v>
      </c>
      <c r="D16198" s="18">
        <v>2023</v>
      </c>
      <c r="E16198" s="18" t="s">
        <v>0</v>
      </c>
      <c r="F16198" s="41">
        <v>1</v>
      </c>
      <c r="G16198" s="41">
        <v>30</v>
      </c>
      <c r="H16198" s="41">
        <v>41.598839999999996</v>
      </c>
      <c r="I16198" s="221"/>
      <c r="J16198" s="221"/>
    </row>
    <row r="16199" spans="1:10" s="15" customFormat="1" ht="24" hidden="1" customHeight="1" outlineLevel="1" x14ac:dyDescent="0.25">
      <c r="A16199" s="18">
        <v>2559</v>
      </c>
      <c r="B16199" s="4" t="s">
        <v>44</v>
      </c>
      <c r="C16199" s="38" t="s">
        <v>8961</v>
      </c>
      <c r="D16199" s="18">
        <v>2023</v>
      </c>
      <c r="E16199" s="18" t="s">
        <v>0</v>
      </c>
      <c r="F16199" s="41">
        <v>1</v>
      </c>
      <c r="G16199" s="41">
        <v>35</v>
      </c>
      <c r="H16199" s="41">
        <v>42.317500000000003</v>
      </c>
      <c r="I16199" s="221"/>
      <c r="J16199" s="221"/>
    </row>
    <row r="16200" spans="1:10" s="15" customFormat="1" ht="24" hidden="1" customHeight="1" outlineLevel="1" x14ac:dyDescent="0.25">
      <c r="A16200" s="18">
        <v>2886</v>
      </c>
      <c r="B16200" s="4" t="s">
        <v>44</v>
      </c>
      <c r="C16200" s="38" t="s">
        <v>8962</v>
      </c>
      <c r="D16200" s="18">
        <v>2023</v>
      </c>
      <c r="E16200" s="18" t="s">
        <v>0</v>
      </c>
      <c r="F16200" s="41">
        <v>1</v>
      </c>
      <c r="G16200" s="41">
        <v>15</v>
      </c>
      <c r="H16200" s="41">
        <v>70.790140000000008</v>
      </c>
      <c r="I16200" s="221"/>
      <c r="J16200" s="221"/>
    </row>
    <row r="16201" spans="1:10" s="15" customFormat="1" ht="24" hidden="1" customHeight="1" outlineLevel="1" x14ac:dyDescent="0.25">
      <c r="A16201" s="18">
        <v>2606</v>
      </c>
      <c r="B16201" s="4" t="s">
        <v>44</v>
      </c>
      <c r="C16201" s="38" t="s">
        <v>8963</v>
      </c>
      <c r="D16201" s="18">
        <v>2023</v>
      </c>
      <c r="E16201" s="18" t="s">
        <v>0</v>
      </c>
      <c r="F16201" s="41">
        <v>1</v>
      </c>
      <c r="G16201" s="41">
        <v>15</v>
      </c>
      <c r="H16201" s="41">
        <v>40.95776</v>
      </c>
      <c r="I16201" s="221"/>
      <c r="J16201" s="221"/>
    </row>
    <row r="16202" spans="1:10" s="15" customFormat="1" ht="24" hidden="1" customHeight="1" outlineLevel="1" x14ac:dyDescent="0.25">
      <c r="A16202" s="18">
        <v>4523</v>
      </c>
      <c r="B16202" s="4" t="s">
        <v>44</v>
      </c>
      <c r="C16202" s="38" t="s">
        <v>8965</v>
      </c>
      <c r="D16202" s="18">
        <v>2023</v>
      </c>
      <c r="E16202" s="18" t="s">
        <v>0</v>
      </c>
      <c r="F16202" s="41">
        <v>1</v>
      </c>
      <c r="G16202" s="41">
        <v>50</v>
      </c>
      <c r="H16202" s="41">
        <v>57</v>
      </c>
      <c r="I16202" s="221"/>
      <c r="J16202" s="221"/>
    </row>
    <row r="16203" spans="1:10" s="15" customFormat="1" ht="24" hidden="1" customHeight="1" outlineLevel="1" x14ac:dyDescent="0.25">
      <c r="A16203" s="18">
        <v>4522</v>
      </c>
      <c r="B16203" s="4" t="s">
        <v>44</v>
      </c>
      <c r="C16203" s="38" t="s">
        <v>8966</v>
      </c>
      <c r="D16203" s="18">
        <v>2023</v>
      </c>
      <c r="E16203" s="18" t="s">
        <v>0</v>
      </c>
      <c r="F16203" s="41">
        <v>1</v>
      </c>
      <c r="G16203" s="41">
        <v>15</v>
      </c>
      <c r="H16203" s="41">
        <v>57</v>
      </c>
      <c r="I16203" s="221"/>
      <c r="J16203" s="221"/>
    </row>
    <row r="16204" spans="1:10" s="15" customFormat="1" ht="24" hidden="1" customHeight="1" outlineLevel="1" x14ac:dyDescent="0.25">
      <c r="A16204" s="18">
        <v>3313</v>
      </c>
      <c r="B16204" s="4" t="s">
        <v>44</v>
      </c>
      <c r="C16204" s="38" t="s">
        <v>8967</v>
      </c>
      <c r="D16204" s="18">
        <v>2023</v>
      </c>
      <c r="E16204" s="18" t="s">
        <v>0</v>
      </c>
      <c r="F16204" s="41">
        <v>1</v>
      </c>
      <c r="G16204" s="41">
        <v>15</v>
      </c>
      <c r="H16204" s="41">
        <v>39</v>
      </c>
      <c r="I16204" s="221"/>
      <c r="J16204" s="221"/>
    </row>
    <row r="16205" spans="1:10" s="15" customFormat="1" ht="24" hidden="1" customHeight="1" outlineLevel="1" x14ac:dyDescent="0.25">
      <c r="A16205" s="18">
        <v>2870</v>
      </c>
      <c r="B16205" s="4" t="s">
        <v>44</v>
      </c>
      <c r="C16205" s="38" t="s">
        <v>8968</v>
      </c>
      <c r="D16205" s="18">
        <v>2023</v>
      </c>
      <c r="E16205" s="18" t="s">
        <v>0</v>
      </c>
      <c r="F16205" s="41">
        <v>1</v>
      </c>
      <c r="G16205" s="41">
        <v>15</v>
      </c>
      <c r="H16205" s="41">
        <v>38</v>
      </c>
      <c r="I16205" s="221"/>
      <c r="J16205" s="221"/>
    </row>
    <row r="16206" spans="1:10" s="15" customFormat="1" ht="24" hidden="1" customHeight="1" outlineLevel="1" x14ac:dyDescent="0.25">
      <c r="A16206" s="18">
        <v>3324</v>
      </c>
      <c r="B16206" s="4" t="s">
        <v>44</v>
      </c>
      <c r="C16206" s="38" t="s">
        <v>8969</v>
      </c>
      <c r="D16206" s="18">
        <v>2023</v>
      </c>
      <c r="E16206" s="18" t="s">
        <v>0</v>
      </c>
      <c r="F16206" s="41">
        <v>1</v>
      </c>
      <c r="G16206" s="41">
        <v>30</v>
      </c>
      <c r="H16206" s="41">
        <v>44</v>
      </c>
      <c r="I16206" s="221"/>
      <c r="J16206" s="221"/>
    </row>
    <row r="16207" spans="1:10" s="15" customFormat="1" ht="24" hidden="1" customHeight="1" outlineLevel="1" x14ac:dyDescent="0.25">
      <c r="A16207" s="18">
        <v>1942</v>
      </c>
      <c r="B16207" s="4" t="s">
        <v>44</v>
      </c>
      <c r="C16207" s="38" t="s">
        <v>8970</v>
      </c>
      <c r="D16207" s="18">
        <v>2023</v>
      </c>
      <c r="E16207" s="18" t="s">
        <v>0</v>
      </c>
      <c r="F16207" s="41">
        <v>2</v>
      </c>
      <c r="G16207" s="41">
        <v>25</v>
      </c>
      <c r="H16207" s="41">
        <v>60</v>
      </c>
      <c r="I16207" s="221"/>
      <c r="J16207" s="221"/>
    </row>
    <row r="16208" spans="1:10" s="15" customFormat="1" ht="24" hidden="1" customHeight="1" outlineLevel="1" x14ac:dyDescent="0.25">
      <c r="A16208" s="18">
        <v>3091</v>
      </c>
      <c r="B16208" s="4" t="s">
        <v>44</v>
      </c>
      <c r="C16208" s="38" t="s">
        <v>8971</v>
      </c>
      <c r="D16208" s="18">
        <v>2023</v>
      </c>
      <c r="E16208" s="18" t="s">
        <v>0</v>
      </c>
      <c r="F16208" s="41">
        <v>1</v>
      </c>
      <c r="G16208" s="41">
        <v>50</v>
      </c>
      <c r="H16208" s="41">
        <v>42</v>
      </c>
      <c r="I16208" s="221"/>
      <c r="J16208" s="221"/>
    </row>
    <row r="16209" spans="1:10" s="15" customFormat="1" ht="24" hidden="1" customHeight="1" outlineLevel="1" x14ac:dyDescent="0.25">
      <c r="A16209" s="18">
        <v>4504</v>
      </c>
      <c r="B16209" s="4" t="s">
        <v>44</v>
      </c>
      <c r="C16209" s="38" t="s">
        <v>8972</v>
      </c>
      <c r="D16209" s="18">
        <v>2023</v>
      </c>
      <c r="E16209" s="18" t="s">
        <v>0</v>
      </c>
      <c r="F16209" s="41">
        <v>1</v>
      </c>
      <c r="G16209" s="41">
        <v>15</v>
      </c>
      <c r="H16209" s="41">
        <v>41</v>
      </c>
      <c r="I16209" s="221"/>
      <c r="J16209" s="221"/>
    </row>
    <row r="16210" spans="1:10" s="15" customFormat="1" ht="24" hidden="1" customHeight="1" outlineLevel="1" x14ac:dyDescent="0.25">
      <c r="A16210" s="18">
        <v>4524</v>
      </c>
      <c r="B16210" s="4" t="s">
        <v>44</v>
      </c>
      <c r="C16210" s="38" t="s">
        <v>8973</v>
      </c>
      <c r="D16210" s="18">
        <v>2023</v>
      </c>
      <c r="E16210" s="18" t="s">
        <v>0</v>
      </c>
      <c r="F16210" s="41">
        <v>1</v>
      </c>
      <c r="G16210" s="41">
        <v>13</v>
      </c>
      <c r="H16210" s="41">
        <v>42</v>
      </c>
      <c r="I16210" s="221"/>
      <c r="J16210" s="221"/>
    </row>
    <row r="16211" spans="1:10" s="15" customFormat="1" ht="24" hidden="1" customHeight="1" outlineLevel="1" x14ac:dyDescent="0.25">
      <c r="A16211" s="18">
        <v>4596</v>
      </c>
      <c r="B16211" s="4" t="s">
        <v>44</v>
      </c>
      <c r="C16211" s="38" t="s">
        <v>8975</v>
      </c>
      <c r="D16211" s="18">
        <v>2023</v>
      </c>
      <c r="E16211" s="18" t="s">
        <v>0</v>
      </c>
      <c r="F16211" s="41">
        <v>1</v>
      </c>
      <c r="G16211" s="41">
        <v>15</v>
      </c>
      <c r="H16211" s="41">
        <v>40</v>
      </c>
      <c r="I16211" s="221"/>
      <c r="J16211" s="221"/>
    </row>
    <row r="16212" spans="1:10" s="15" customFormat="1" ht="24" hidden="1" customHeight="1" outlineLevel="1" x14ac:dyDescent="0.25">
      <c r="A16212" s="18">
        <v>4597</v>
      </c>
      <c r="B16212" s="4" t="s">
        <v>44</v>
      </c>
      <c r="C16212" s="38" t="s">
        <v>8976</v>
      </c>
      <c r="D16212" s="18">
        <v>2023</v>
      </c>
      <c r="E16212" s="18" t="s">
        <v>0</v>
      </c>
      <c r="F16212" s="41">
        <v>1</v>
      </c>
      <c r="G16212" s="41">
        <v>15</v>
      </c>
      <c r="H16212" s="41">
        <v>128</v>
      </c>
      <c r="I16212" s="221"/>
      <c r="J16212" s="221"/>
    </row>
    <row r="16213" spans="1:10" s="15" customFormat="1" ht="24" hidden="1" customHeight="1" outlineLevel="1" x14ac:dyDescent="0.25">
      <c r="A16213" s="18">
        <v>4598</v>
      </c>
      <c r="B16213" s="4" t="s">
        <v>44</v>
      </c>
      <c r="C16213" s="38" t="s">
        <v>8977</v>
      </c>
      <c r="D16213" s="18">
        <v>2023</v>
      </c>
      <c r="E16213" s="18" t="s">
        <v>0</v>
      </c>
      <c r="F16213" s="41">
        <v>2</v>
      </c>
      <c r="G16213" s="41">
        <v>30</v>
      </c>
      <c r="H16213" s="41">
        <v>132</v>
      </c>
      <c r="I16213" s="221"/>
      <c r="J16213" s="221"/>
    </row>
    <row r="16214" spans="1:10" s="15" customFormat="1" ht="24" hidden="1" customHeight="1" outlineLevel="1" x14ac:dyDescent="0.25">
      <c r="A16214" s="18">
        <v>523</v>
      </c>
      <c r="B16214" s="4" t="s">
        <v>44</v>
      </c>
      <c r="C16214" s="38" t="s">
        <v>8979</v>
      </c>
      <c r="D16214" s="18">
        <v>2023</v>
      </c>
      <c r="E16214" s="18" t="s">
        <v>0</v>
      </c>
      <c r="F16214" s="41">
        <v>1</v>
      </c>
      <c r="G16214" s="41">
        <v>15</v>
      </c>
      <c r="H16214" s="41">
        <v>98</v>
      </c>
      <c r="I16214" s="221"/>
      <c r="J16214" s="221"/>
    </row>
    <row r="16215" spans="1:10" s="15" customFormat="1" ht="24" hidden="1" customHeight="1" outlineLevel="1" x14ac:dyDescent="0.25">
      <c r="A16215" s="18">
        <v>529</v>
      </c>
      <c r="B16215" s="4" t="s">
        <v>44</v>
      </c>
      <c r="C16215" s="38" t="s">
        <v>8980</v>
      </c>
      <c r="D16215" s="18">
        <v>2023</v>
      </c>
      <c r="E16215" s="18" t="s">
        <v>0</v>
      </c>
      <c r="F16215" s="41">
        <v>1</v>
      </c>
      <c r="G16215" s="41">
        <v>15</v>
      </c>
      <c r="H16215" s="41">
        <v>94</v>
      </c>
      <c r="I16215" s="221"/>
      <c r="J16215" s="221"/>
    </row>
    <row r="16216" spans="1:10" s="15" customFormat="1" ht="24" hidden="1" customHeight="1" outlineLevel="1" x14ac:dyDescent="0.25">
      <c r="A16216" s="18">
        <v>435</v>
      </c>
      <c r="B16216" s="4" t="s">
        <v>44</v>
      </c>
      <c r="C16216" s="38" t="s">
        <v>8981</v>
      </c>
      <c r="D16216" s="18">
        <v>2023</v>
      </c>
      <c r="E16216" s="18" t="s">
        <v>0</v>
      </c>
      <c r="F16216" s="41">
        <v>1</v>
      </c>
      <c r="G16216" s="41">
        <v>15</v>
      </c>
      <c r="H16216" s="41">
        <v>123</v>
      </c>
      <c r="I16216" s="221"/>
      <c r="J16216" s="221"/>
    </row>
    <row r="16217" spans="1:10" s="15" customFormat="1" ht="24" hidden="1" customHeight="1" outlineLevel="1" x14ac:dyDescent="0.25">
      <c r="A16217" s="18">
        <v>3185</v>
      </c>
      <c r="B16217" s="4" t="s">
        <v>44</v>
      </c>
      <c r="C16217" s="38" t="s">
        <v>8982</v>
      </c>
      <c r="D16217" s="18">
        <v>2023</v>
      </c>
      <c r="E16217" s="18" t="s">
        <v>0</v>
      </c>
      <c r="F16217" s="41">
        <v>1</v>
      </c>
      <c r="G16217" s="41">
        <v>15</v>
      </c>
      <c r="H16217" s="41">
        <v>101</v>
      </c>
      <c r="I16217" s="221"/>
      <c r="J16217" s="221"/>
    </row>
    <row r="16218" spans="1:10" s="15" customFormat="1" ht="24" hidden="1" customHeight="1" outlineLevel="1" x14ac:dyDescent="0.25">
      <c r="A16218" s="18">
        <v>410</v>
      </c>
      <c r="B16218" s="4" t="s">
        <v>44</v>
      </c>
      <c r="C16218" s="38" t="s">
        <v>8983</v>
      </c>
      <c r="D16218" s="18">
        <v>2023</v>
      </c>
      <c r="E16218" s="18" t="s">
        <v>0</v>
      </c>
      <c r="F16218" s="41">
        <v>1</v>
      </c>
      <c r="G16218" s="41">
        <v>10</v>
      </c>
      <c r="H16218" s="41">
        <v>113</v>
      </c>
      <c r="I16218" s="221"/>
      <c r="J16218" s="221"/>
    </row>
    <row r="16219" spans="1:10" s="15" customFormat="1" ht="24" hidden="1" customHeight="1" outlineLevel="1" x14ac:dyDescent="0.25">
      <c r="A16219" s="18">
        <v>2536</v>
      </c>
      <c r="B16219" s="4" t="s">
        <v>44</v>
      </c>
      <c r="C16219" s="38" t="s">
        <v>8984</v>
      </c>
      <c r="D16219" s="18">
        <v>2023</v>
      </c>
      <c r="E16219" s="18" t="s">
        <v>0</v>
      </c>
      <c r="F16219" s="41">
        <v>1</v>
      </c>
      <c r="G16219" s="41">
        <v>5</v>
      </c>
      <c r="H16219" s="41">
        <v>39</v>
      </c>
      <c r="I16219" s="221"/>
      <c r="J16219" s="221"/>
    </row>
    <row r="16220" spans="1:10" s="15" customFormat="1" ht="24" hidden="1" customHeight="1" outlineLevel="1" x14ac:dyDescent="0.25">
      <c r="A16220" s="18">
        <v>2604</v>
      </c>
      <c r="B16220" s="4" t="s">
        <v>44</v>
      </c>
      <c r="C16220" s="38" t="s">
        <v>8985</v>
      </c>
      <c r="D16220" s="18">
        <v>2023</v>
      </c>
      <c r="E16220" s="18" t="s">
        <v>0</v>
      </c>
      <c r="F16220" s="41">
        <v>1</v>
      </c>
      <c r="G16220" s="41">
        <v>5</v>
      </c>
      <c r="H16220" s="41">
        <v>41</v>
      </c>
      <c r="I16220" s="221"/>
      <c r="J16220" s="221"/>
    </row>
    <row r="16221" spans="1:10" s="15" customFormat="1" ht="24" hidden="1" customHeight="1" outlineLevel="1" x14ac:dyDescent="0.25">
      <c r="A16221" s="18">
        <v>2890</v>
      </c>
      <c r="B16221" s="4" t="s">
        <v>44</v>
      </c>
      <c r="C16221" s="38" t="s">
        <v>8986</v>
      </c>
      <c r="D16221" s="18">
        <v>2023</v>
      </c>
      <c r="E16221" s="18" t="s">
        <v>0</v>
      </c>
      <c r="F16221" s="41">
        <v>1</v>
      </c>
      <c r="G16221" s="41">
        <v>15</v>
      </c>
      <c r="H16221" s="41">
        <v>40</v>
      </c>
      <c r="I16221" s="221"/>
      <c r="J16221" s="221"/>
    </row>
    <row r="16222" spans="1:10" s="15" customFormat="1" ht="24" hidden="1" customHeight="1" outlineLevel="1" x14ac:dyDescent="0.25">
      <c r="A16222" s="18">
        <v>2236</v>
      </c>
      <c r="B16222" s="4" t="s">
        <v>44</v>
      </c>
      <c r="C16222" s="38" t="s">
        <v>8988</v>
      </c>
      <c r="D16222" s="18">
        <v>2023</v>
      </c>
      <c r="E16222" s="18" t="s">
        <v>0</v>
      </c>
      <c r="F16222" s="41">
        <v>1</v>
      </c>
      <c r="G16222" s="41">
        <v>5</v>
      </c>
      <c r="H16222" s="41">
        <v>43</v>
      </c>
      <c r="I16222" s="221"/>
      <c r="J16222" s="221"/>
    </row>
    <row r="16223" spans="1:10" s="15" customFormat="1" ht="24" hidden="1" customHeight="1" outlineLevel="1" x14ac:dyDescent="0.25">
      <c r="A16223" s="18">
        <v>2875</v>
      </c>
      <c r="B16223" s="4" t="s">
        <v>44</v>
      </c>
      <c r="C16223" s="38" t="s">
        <v>8989</v>
      </c>
      <c r="D16223" s="18">
        <v>2023</v>
      </c>
      <c r="E16223" s="18" t="s">
        <v>0</v>
      </c>
      <c r="F16223" s="41">
        <v>1</v>
      </c>
      <c r="G16223" s="41">
        <v>15</v>
      </c>
      <c r="H16223" s="41">
        <v>40</v>
      </c>
      <c r="I16223" s="221"/>
      <c r="J16223" s="221"/>
    </row>
    <row r="16224" spans="1:10" s="15" customFormat="1" ht="24" hidden="1" customHeight="1" outlineLevel="1" x14ac:dyDescent="0.25">
      <c r="A16224" s="18">
        <v>2869</v>
      </c>
      <c r="B16224" s="4" t="s">
        <v>44</v>
      </c>
      <c r="C16224" s="38" t="s">
        <v>8990</v>
      </c>
      <c r="D16224" s="18">
        <v>2023</v>
      </c>
      <c r="E16224" s="18" t="s">
        <v>0</v>
      </c>
      <c r="F16224" s="41">
        <v>1</v>
      </c>
      <c r="G16224" s="41">
        <v>15</v>
      </c>
      <c r="H16224" s="41">
        <v>42</v>
      </c>
      <c r="I16224" s="221"/>
      <c r="J16224" s="221"/>
    </row>
    <row r="16225" spans="1:10" s="15" customFormat="1" ht="24" hidden="1" customHeight="1" outlineLevel="1" x14ac:dyDescent="0.25">
      <c r="A16225" s="18">
        <v>2860</v>
      </c>
      <c r="B16225" s="4" t="s">
        <v>44</v>
      </c>
      <c r="C16225" s="38" t="s">
        <v>8993</v>
      </c>
      <c r="D16225" s="18">
        <v>2023</v>
      </c>
      <c r="E16225" s="18" t="s">
        <v>0</v>
      </c>
      <c r="F16225" s="41">
        <v>1</v>
      </c>
      <c r="G16225" s="41">
        <v>15</v>
      </c>
      <c r="H16225" s="41">
        <v>38</v>
      </c>
      <c r="I16225" s="221"/>
      <c r="J16225" s="221"/>
    </row>
    <row r="16226" spans="1:10" s="15" customFormat="1" ht="24" hidden="1" customHeight="1" outlineLevel="1" x14ac:dyDescent="0.25">
      <c r="A16226" s="18">
        <v>2866</v>
      </c>
      <c r="B16226" s="4" t="s">
        <v>44</v>
      </c>
      <c r="C16226" s="38" t="s">
        <v>8994</v>
      </c>
      <c r="D16226" s="18">
        <v>2023</v>
      </c>
      <c r="E16226" s="18" t="s">
        <v>0</v>
      </c>
      <c r="F16226" s="41">
        <v>1</v>
      </c>
      <c r="G16226" s="41">
        <v>15</v>
      </c>
      <c r="H16226" s="41">
        <v>40</v>
      </c>
      <c r="I16226" s="221"/>
      <c r="J16226" s="221"/>
    </row>
    <row r="16227" spans="1:10" s="15" customFormat="1" ht="24" hidden="1" customHeight="1" outlineLevel="1" x14ac:dyDescent="0.25">
      <c r="A16227" s="18">
        <v>2864</v>
      </c>
      <c r="B16227" s="4" t="s">
        <v>44</v>
      </c>
      <c r="C16227" s="38" t="s">
        <v>8996</v>
      </c>
      <c r="D16227" s="18">
        <v>2023</v>
      </c>
      <c r="E16227" s="18" t="s">
        <v>0</v>
      </c>
      <c r="F16227" s="41">
        <v>1</v>
      </c>
      <c r="G16227" s="41">
        <v>15</v>
      </c>
      <c r="H16227" s="41">
        <v>41</v>
      </c>
      <c r="I16227" s="221"/>
      <c r="J16227" s="221"/>
    </row>
    <row r="16228" spans="1:10" s="15" customFormat="1" ht="24" hidden="1" customHeight="1" outlineLevel="1" x14ac:dyDescent="0.25">
      <c r="A16228" s="18">
        <v>2284</v>
      </c>
      <c r="B16228" s="4" t="s">
        <v>44</v>
      </c>
      <c r="C16228" s="38" t="s">
        <v>8997</v>
      </c>
      <c r="D16228" s="18">
        <v>2023</v>
      </c>
      <c r="E16228" s="18" t="s">
        <v>0</v>
      </c>
      <c r="F16228" s="41">
        <v>1</v>
      </c>
      <c r="G16228" s="41">
        <v>15</v>
      </c>
      <c r="H16228" s="41">
        <v>40</v>
      </c>
      <c r="I16228" s="221"/>
      <c r="J16228" s="221"/>
    </row>
    <row r="16229" spans="1:10" s="15" customFormat="1" ht="24" hidden="1" customHeight="1" outlineLevel="1" x14ac:dyDescent="0.25">
      <c r="A16229" s="18">
        <v>2876</v>
      </c>
      <c r="B16229" s="4" t="s">
        <v>44</v>
      </c>
      <c r="C16229" s="38" t="s">
        <v>8999</v>
      </c>
      <c r="D16229" s="18">
        <v>2023</v>
      </c>
      <c r="E16229" s="18" t="s">
        <v>0</v>
      </c>
      <c r="F16229" s="41">
        <v>1</v>
      </c>
      <c r="G16229" s="41">
        <v>15</v>
      </c>
      <c r="H16229" s="41">
        <v>38</v>
      </c>
      <c r="I16229" s="221"/>
      <c r="J16229" s="221"/>
    </row>
    <row r="16230" spans="1:10" s="15" customFormat="1" ht="24" hidden="1" customHeight="1" outlineLevel="1" x14ac:dyDescent="0.25">
      <c r="A16230" s="18">
        <v>2840</v>
      </c>
      <c r="B16230" s="4" t="s">
        <v>44</v>
      </c>
      <c r="C16230" s="38" t="s">
        <v>9000</v>
      </c>
      <c r="D16230" s="18">
        <v>2023</v>
      </c>
      <c r="E16230" s="18" t="s">
        <v>0</v>
      </c>
      <c r="F16230" s="41">
        <v>1</v>
      </c>
      <c r="G16230" s="41">
        <v>15</v>
      </c>
      <c r="H16230" s="41">
        <v>39</v>
      </c>
      <c r="I16230" s="221"/>
      <c r="J16230" s="221"/>
    </row>
    <row r="16231" spans="1:10" s="15" customFormat="1" ht="24" hidden="1" customHeight="1" outlineLevel="1" x14ac:dyDescent="0.25">
      <c r="A16231" s="18">
        <v>3151</v>
      </c>
      <c r="B16231" s="4" t="s">
        <v>44</v>
      </c>
      <c r="C16231" s="38" t="s">
        <v>9001</v>
      </c>
      <c r="D16231" s="18">
        <v>2023</v>
      </c>
      <c r="E16231" s="18" t="s">
        <v>0</v>
      </c>
      <c r="F16231" s="41">
        <v>1</v>
      </c>
      <c r="G16231" s="41">
        <v>50</v>
      </c>
      <c r="H16231" s="41">
        <v>39</v>
      </c>
      <c r="I16231" s="221"/>
      <c r="J16231" s="221"/>
    </row>
    <row r="16232" spans="1:10" s="15" customFormat="1" ht="24" hidden="1" customHeight="1" outlineLevel="1" x14ac:dyDescent="0.25">
      <c r="A16232" s="18">
        <v>3322</v>
      </c>
      <c r="B16232" s="4" t="s">
        <v>44</v>
      </c>
      <c r="C16232" s="38" t="s">
        <v>9002</v>
      </c>
      <c r="D16232" s="18">
        <v>2023</v>
      </c>
      <c r="E16232" s="18" t="s">
        <v>0</v>
      </c>
      <c r="F16232" s="41">
        <v>1</v>
      </c>
      <c r="G16232" s="41">
        <v>7</v>
      </c>
      <c r="H16232" s="41">
        <v>39</v>
      </c>
      <c r="I16232" s="221"/>
      <c r="J16232" s="221"/>
    </row>
    <row r="16233" spans="1:10" s="15" customFormat="1" ht="24" hidden="1" customHeight="1" outlineLevel="1" x14ac:dyDescent="0.25">
      <c r="A16233" s="18">
        <v>2650</v>
      </c>
      <c r="B16233" s="4" t="s">
        <v>44</v>
      </c>
      <c r="C16233" s="38" t="s">
        <v>9003</v>
      </c>
      <c r="D16233" s="18">
        <v>2023</v>
      </c>
      <c r="E16233" s="18" t="s">
        <v>0</v>
      </c>
      <c r="F16233" s="41">
        <v>1</v>
      </c>
      <c r="G16233" s="41">
        <v>12</v>
      </c>
      <c r="H16233" s="41">
        <v>40</v>
      </c>
      <c r="I16233" s="221"/>
      <c r="J16233" s="221"/>
    </row>
    <row r="16234" spans="1:10" s="15" customFormat="1" ht="24" hidden="1" customHeight="1" outlineLevel="1" x14ac:dyDescent="0.25">
      <c r="A16234" s="18">
        <v>4557</v>
      </c>
      <c r="B16234" s="4" t="s">
        <v>44</v>
      </c>
      <c r="C16234" s="38" t="s">
        <v>9004</v>
      </c>
      <c r="D16234" s="18">
        <v>2023</v>
      </c>
      <c r="E16234" s="18" t="s">
        <v>0</v>
      </c>
      <c r="F16234" s="41">
        <v>1</v>
      </c>
      <c r="G16234" s="41">
        <v>15</v>
      </c>
      <c r="H16234" s="41">
        <v>41</v>
      </c>
      <c r="I16234" s="221"/>
      <c r="J16234" s="221"/>
    </row>
    <row r="16235" spans="1:10" s="15" customFormat="1" ht="24" hidden="1" customHeight="1" outlineLevel="1" x14ac:dyDescent="0.25">
      <c r="A16235" s="18">
        <v>4580</v>
      </c>
      <c r="B16235" s="4" t="s">
        <v>44</v>
      </c>
      <c r="C16235" s="38" t="s">
        <v>9005</v>
      </c>
      <c r="D16235" s="18">
        <v>2023</v>
      </c>
      <c r="E16235" s="18" t="s">
        <v>0</v>
      </c>
      <c r="F16235" s="41">
        <v>1</v>
      </c>
      <c r="G16235" s="41">
        <v>10</v>
      </c>
      <c r="H16235" s="41">
        <v>131</v>
      </c>
      <c r="I16235" s="221"/>
      <c r="J16235" s="221"/>
    </row>
    <row r="16236" spans="1:10" s="15" customFormat="1" ht="24" hidden="1" customHeight="1" outlineLevel="1" x14ac:dyDescent="0.25">
      <c r="A16236" s="18">
        <v>286</v>
      </c>
      <c r="B16236" s="4" t="s">
        <v>44</v>
      </c>
      <c r="C16236" s="38" t="s">
        <v>9007</v>
      </c>
      <c r="D16236" s="18">
        <v>2023</v>
      </c>
      <c r="E16236" s="18" t="s">
        <v>0</v>
      </c>
      <c r="F16236" s="41">
        <v>1</v>
      </c>
      <c r="G16236" s="41">
        <v>15</v>
      </c>
      <c r="H16236" s="41">
        <v>137.07008999999999</v>
      </c>
      <c r="I16236" s="221"/>
      <c r="J16236" s="221"/>
    </row>
    <row r="16237" spans="1:10" s="15" customFormat="1" ht="24" hidden="1" customHeight="1" outlineLevel="1" x14ac:dyDescent="0.25">
      <c r="A16237" s="18">
        <v>485</v>
      </c>
      <c r="B16237" s="4" t="s">
        <v>44</v>
      </c>
      <c r="C16237" s="38" t="s">
        <v>9008</v>
      </c>
      <c r="D16237" s="18">
        <v>2023</v>
      </c>
      <c r="E16237" s="18" t="s">
        <v>0</v>
      </c>
      <c r="F16237" s="41">
        <v>1</v>
      </c>
      <c r="G16237" s="41">
        <v>15</v>
      </c>
      <c r="H16237" s="41">
        <v>70.801470000000009</v>
      </c>
      <c r="I16237" s="221"/>
      <c r="J16237" s="221"/>
    </row>
    <row r="16238" spans="1:10" s="15" customFormat="1" ht="24" hidden="1" customHeight="1" outlineLevel="1" x14ac:dyDescent="0.25">
      <c r="A16238" s="18">
        <v>1047</v>
      </c>
      <c r="B16238" s="4" t="s">
        <v>44</v>
      </c>
      <c r="C16238" s="38" t="s">
        <v>9009</v>
      </c>
      <c r="D16238" s="18">
        <v>2023</v>
      </c>
      <c r="E16238" s="18" t="s">
        <v>0</v>
      </c>
      <c r="F16238" s="41">
        <v>1</v>
      </c>
      <c r="G16238" s="41">
        <v>15</v>
      </c>
      <c r="H16238" s="41">
        <v>92.725610000000003</v>
      </c>
      <c r="I16238" s="221"/>
      <c r="J16238" s="221"/>
    </row>
    <row r="16239" spans="1:10" s="15" customFormat="1" ht="24" hidden="1" customHeight="1" outlineLevel="1" x14ac:dyDescent="0.25">
      <c r="A16239" s="18">
        <v>891</v>
      </c>
      <c r="B16239" s="4" t="s">
        <v>44</v>
      </c>
      <c r="C16239" s="38" t="s">
        <v>9010</v>
      </c>
      <c r="D16239" s="18">
        <v>2023</v>
      </c>
      <c r="E16239" s="18" t="s">
        <v>0</v>
      </c>
      <c r="F16239" s="41">
        <v>1</v>
      </c>
      <c r="G16239" s="41">
        <v>15</v>
      </c>
      <c r="H16239" s="41">
        <v>86.023890000000009</v>
      </c>
      <c r="I16239" s="221"/>
      <c r="J16239" s="221"/>
    </row>
    <row r="16240" spans="1:10" s="15" customFormat="1" ht="24" hidden="1" customHeight="1" outlineLevel="1" x14ac:dyDescent="0.25">
      <c r="A16240" s="18">
        <v>296</v>
      </c>
      <c r="B16240" s="4" t="s">
        <v>44</v>
      </c>
      <c r="C16240" s="38" t="s">
        <v>9013</v>
      </c>
      <c r="D16240" s="18">
        <v>2023</v>
      </c>
      <c r="E16240" s="18" t="s">
        <v>0</v>
      </c>
      <c r="F16240" s="41">
        <v>1</v>
      </c>
      <c r="G16240" s="41">
        <v>15</v>
      </c>
      <c r="H16240" s="41">
        <v>98.232410000000002</v>
      </c>
      <c r="I16240" s="221"/>
      <c r="J16240" s="221"/>
    </row>
    <row r="16241" spans="1:10" s="15" customFormat="1" ht="24" hidden="1" customHeight="1" outlineLevel="1" x14ac:dyDescent="0.25">
      <c r="A16241" s="18">
        <v>557</v>
      </c>
      <c r="B16241" s="4" t="s">
        <v>44</v>
      </c>
      <c r="C16241" s="38" t="s">
        <v>9014</v>
      </c>
      <c r="D16241" s="18">
        <v>2023</v>
      </c>
      <c r="E16241" s="18" t="s">
        <v>0</v>
      </c>
      <c r="F16241" s="41">
        <v>1</v>
      </c>
      <c r="G16241" s="41">
        <v>15</v>
      </c>
      <c r="H16241" s="41">
        <v>96.069239999999994</v>
      </c>
      <c r="I16241" s="221"/>
      <c r="J16241" s="221"/>
    </row>
    <row r="16242" spans="1:10" s="15" customFormat="1" ht="24" hidden="1" customHeight="1" outlineLevel="1" x14ac:dyDescent="0.25">
      <c r="A16242" s="18">
        <v>819</v>
      </c>
      <c r="B16242" s="4" t="s">
        <v>44</v>
      </c>
      <c r="C16242" s="38" t="s">
        <v>9015</v>
      </c>
      <c r="D16242" s="18">
        <v>2023</v>
      </c>
      <c r="E16242" s="18" t="s">
        <v>0</v>
      </c>
      <c r="F16242" s="41">
        <v>5</v>
      </c>
      <c r="G16242" s="41">
        <v>90</v>
      </c>
      <c r="H16242" s="41">
        <v>320.31252999999998</v>
      </c>
      <c r="I16242" s="221"/>
      <c r="J16242" s="221"/>
    </row>
    <row r="16243" spans="1:10" s="15" customFormat="1" ht="24" hidden="1" customHeight="1" outlineLevel="1" x14ac:dyDescent="0.25">
      <c r="A16243" s="18">
        <v>3003</v>
      </c>
      <c r="B16243" s="4" t="s">
        <v>44</v>
      </c>
      <c r="C16243" s="38" t="s">
        <v>9090</v>
      </c>
      <c r="D16243" s="18">
        <v>2023</v>
      </c>
      <c r="E16243" s="18" t="s">
        <v>0</v>
      </c>
      <c r="F16243" s="41">
        <v>1</v>
      </c>
      <c r="G16243" s="41">
        <v>150</v>
      </c>
      <c r="H16243" s="41">
        <v>124.681</v>
      </c>
      <c r="I16243" s="221"/>
      <c r="J16243" s="221"/>
    </row>
    <row r="16244" spans="1:10" s="15" customFormat="1" ht="24" hidden="1" customHeight="1" outlineLevel="1" x14ac:dyDescent="0.25">
      <c r="A16244" s="18">
        <v>3394</v>
      </c>
      <c r="B16244" s="4" t="s">
        <v>44</v>
      </c>
      <c r="C16244" s="38" t="s">
        <v>9091</v>
      </c>
      <c r="D16244" s="18">
        <v>2023</v>
      </c>
      <c r="E16244" s="18" t="s">
        <v>0</v>
      </c>
      <c r="F16244" s="41">
        <v>1</v>
      </c>
      <c r="G16244" s="41">
        <v>150</v>
      </c>
      <c r="H16244" s="41">
        <v>131.661</v>
      </c>
      <c r="I16244" s="221"/>
      <c r="J16244" s="221"/>
    </row>
    <row r="16245" spans="1:10" s="15" customFormat="1" ht="24" hidden="1" customHeight="1" outlineLevel="1" x14ac:dyDescent="0.25">
      <c r="A16245" s="18">
        <v>738</v>
      </c>
      <c r="B16245" s="4" t="s">
        <v>44</v>
      </c>
      <c r="C16245" s="38" t="s">
        <v>9186</v>
      </c>
      <c r="D16245" s="18">
        <v>2023</v>
      </c>
      <c r="E16245" s="18" t="s">
        <v>0</v>
      </c>
      <c r="F16245" s="41">
        <v>2</v>
      </c>
      <c r="G16245" s="41">
        <v>23</v>
      </c>
      <c r="H16245" s="41">
        <v>123</v>
      </c>
      <c r="I16245" s="221"/>
      <c r="J16245" s="221"/>
    </row>
    <row r="16246" spans="1:10" s="15" customFormat="1" ht="24" hidden="1" customHeight="1" outlineLevel="1" x14ac:dyDescent="0.25">
      <c r="A16246" s="18">
        <v>3857</v>
      </c>
      <c r="B16246" s="4" t="s">
        <v>44</v>
      </c>
      <c r="C16246" s="38" t="s">
        <v>9187</v>
      </c>
      <c r="D16246" s="18">
        <v>2023</v>
      </c>
      <c r="E16246" s="18" t="s">
        <v>0</v>
      </c>
      <c r="F16246" s="41">
        <v>1</v>
      </c>
      <c r="G16246" s="41">
        <v>10</v>
      </c>
      <c r="H16246" s="41">
        <v>45.536960000000001</v>
      </c>
      <c r="I16246" s="221"/>
      <c r="J16246" s="221"/>
    </row>
    <row r="16247" spans="1:10" s="15" customFormat="1" ht="24" hidden="1" customHeight="1" outlineLevel="1" x14ac:dyDescent="0.25">
      <c r="A16247" s="18">
        <v>3813</v>
      </c>
      <c r="B16247" s="4" t="s">
        <v>44</v>
      </c>
      <c r="C16247" s="38" t="s">
        <v>9188</v>
      </c>
      <c r="D16247" s="18">
        <v>2023</v>
      </c>
      <c r="E16247" s="18" t="s">
        <v>0</v>
      </c>
      <c r="F16247" s="41">
        <v>1</v>
      </c>
      <c r="G16247" s="41">
        <v>15</v>
      </c>
      <c r="H16247" s="41">
        <v>46.02758</v>
      </c>
      <c r="I16247" s="221"/>
      <c r="J16247" s="221"/>
    </row>
    <row r="16248" spans="1:10" s="15" customFormat="1" ht="24" hidden="1" customHeight="1" outlineLevel="1" x14ac:dyDescent="0.25">
      <c r="A16248" s="18">
        <v>3439</v>
      </c>
      <c r="B16248" s="4" t="s">
        <v>44</v>
      </c>
      <c r="C16248" s="38" t="s">
        <v>9092</v>
      </c>
      <c r="D16248" s="18">
        <v>2023</v>
      </c>
      <c r="E16248" s="18" t="s">
        <v>0</v>
      </c>
      <c r="F16248" s="41">
        <v>2</v>
      </c>
      <c r="G16248" s="41">
        <v>30</v>
      </c>
      <c r="H16248" s="41">
        <v>87.462239999999994</v>
      </c>
      <c r="I16248" s="221"/>
      <c r="J16248" s="221"/>
    </row>
    <row r="16249" spans="1:10" s="15" customFormat="1" ht="24" hidden="1" customHeight="1" outlineLevel="1" x14ac:dyDescent="0.25">
      <c r="A16249" s="18">
        <v>3372</v>
      </c>
      <c r="B16249" s="4" t="s">
        <v>44</v>
      </c>
      <c r="C16249" s="38" t="s">
        <v>9189</v>
      </c>
      <c r="D16249" s="18">
        <v>2023</v>
      </c>
      <c r="E16249" s="18" t="s">
        <v>0</v>
      </c>
      <c r="F16249" s="41">
        <v>1</v>
      </c>
      <c r="G16249" s="41">
        <v>15</v>
      </c>
      <c r="H16249" s="41">
        <v>45.666360000000005</v>
      </c>
      <c r="I16249" s="221"/>
      <c r="J16249" s="221"/>
    </row>
    <row r="16250" spans="1:10" s="15" customFormat="1" ht="24" hidden="1" customHeight="1" outlineLevel="1" x14ac:dyDescent="0.25">
      <c r="A16250" s="18">
        <v>1342</v>
      </c>
      <c r="B16250" s="4" t="s">
        <v>44</v>
      </c>
      <c r="C16250" s="38" t="s">
        <v>9190</v>
      </c>
      <c r="D16250" s="18">
        <v>2023</v>
      </c>
      <c r="E16250" s="18" t="s">
        <v>0</v>
      </c>
      <c r="F16250" s="41">
        <v>2</v>
      </c>
      <c r="G16250" s="41">
        <v>30</v>
      </c>
      <c r="H16250" s="41">
        <v>81.812550000000002</v>
      </c>
      <c r="I16250" s="221"/>
      <c r="J16250" s="221"/>
    </row>
    <row r="16251" spans="1:10" s="15" customFormat="1" ht="24" hidden="1" customHeight="1" outlineLevel="1" x14ac:dyDescent="0.25">
      <c r="A16251" s="18">
        <v>362</v>
      </c>
      <c r="B16251" s="4" t="s">
        <v>44</v>
      </c>
      <c r="C16251" s="38" t="s">
        <v>9191</v>
      </c>
      <c r="D16251" s="18">
        <v>2023</v>
      </c>
      <c r="E16251" s="18" t="s">
        <v>0</v>
      </c>
      <c r="F16251" s="41">
        <v>1</v>
      </c>
      <c r="G16251" s="41">
        <v>15</v>
      </c>
      <c r="H16251" s="41">
        <v>43.916999999999994</v>
      </c>
      <c r="I16251" s="221"/>
      <c r="J16251" s="221"/>
    </row>
    <row r="16252" spans="1:10" s="15" customFormat="1" ht="24" hidden="1" customHeight="1" outlineLevel="1" x14ac:dyDescent="0.25">
      <c r="A16252" s="18">
        <v>3064</v>
      </c>
      <c r="B16252" s="4" t="s">
        <v>44</v>
      </c>
      <c r="C16252" s="38" t="s">
        <v>9192</v>
      </c>
      <c r="D16252" s="18">
        <v>2023</v>
      </c>
      <c r="E16252" s="18" t="s">
        <v>0</v>
      </c>
      <c r="F16252" s="41">
        <v>1</v>
      </c>
      <c r="G16252" s="41">
        <v>95</v>
      </c>
      <c r="H16252" s="41">
        <v>112.95549000000001</v>
      </c>
      <c r="I16252" s="221"/>
      <c r="J16252" s="221"/>
    </row>
    <row r="16253" spans="1:10" s="15" customFormat="1" ht="24" hidden="1" customHeight="1" outlineLevel="1" x14ac:dyDescent="0.25">
      <c r="A16253" s="18">
        <v>1039</v>
      </c>
      <c r="B16253" s="4" t="s">
        <v>44</v>
      </c>
      <c r="C16253" s="38" t="s">
        <v>9193</v>
      </c>
      <c r="D16253" s="18">
        <v>2023</v>
      </c>
      <c r="E16253" s="18" t="s">
        <v>0</v>
      </c>
      <c r="F16253" s="41">
        <v>1</v>
      </c>
      <c r="G16253" s="41">
        <v>15</v>
      </c>
      <c r="H16253" s="41">
        <v>49.931740000000005</v>
      </c>
      <c r="I16253" s="221"/>
      <c r="J16253" s="221"/>
    </row>
    <row r="16254" spans="1:10" s="15" customFormat="1" ht="24" hidden="1" customHeight="1" outlineLevel="1" x14ac:dyDescent="0.25">
      <c r="A16254" s="18">
        <v>937</v>
      </c>
      <c r="B16254" s="4" t="s">
        <v>44</v>
      </c>
      <c r="C16254" s="38" t="s">
        <v>9094</v>
      </c>
      <c r="D16254" s="18">
        <v>2023</v>
      </c>
      <c r="E16254" s="18" t="s">
        <v>0</v>
      </c>
      <c r="F16254" s="41">
        <v>1</v>
      </c>
      <c r="G16254" s="41">
        <v>150</v>
      </c>
      <c r="H16254" s="41">
        <v>28.277200000000001</v>
      </c>
      <c r="I16254" s="221"/>
      <c r="J16254" s="221"/>
    </row>
    <row r="16255" spans="1:10" s="15" customFormat="1" ht="24" hidden="1" customHeight="1" outlineLevel="1" x14ac:dyDescent="0.25">
      <c r="A16255" s="18">
        <v>1185</v>
      </c>
      <c r="B16255" s="4" t="s">
        <v>44</v>
      </c>
      <c r="C16255" s="38" t="s">
        <v>9194</v>
      </c>
      <c r="D16255" s="18">
        <v>2023</v>
      </c>
      <c r="E16255" s="18" t="s">
        <v>0</v>
      </c>
      <c r="F16255" s="41">
        <v>1</v>
      </c>
      <c r="G16255" s="41">
        <v>15</v>
      </c>
      <c r="H16255" s="41">
        <v>49.67033</v>
      </c>
      <c r="I16255" s="221"/>
      <c r="J16255" s="221"/>
    </row>
    <row r="16256" spans="1:10" s="15" customFormat="1" ht="24" hidden="1" customHeight="1" outlineLevel="1" x14ac:dyDescent="0.25">
      <c r="A16256" s="18">
        <v>579</v>
      </c>
      <c r="B16256" s="4" t="s">
        <v>44</v>
      </c>
      <c r="C16256" s="38" t="s">
        <v>9096</v>
      </c>
      <c r="D16256" s="18">
        <v>2023</v>
      </c>
      <c r="E16256" s="18" t="s">
        <v>0</v>
      </c>
      <c r="F16256" s="41">
        <v>22</v>
      </c>
      <c r="G16256" s="41">
        <v>330</v>
      </c>
      <c r="H16256" s="41">
        <v>1436</v>
      </c>
      <c r="I16256" s="221"/>
      <c r="J16256" s="221"/>
    </row>
    <row r="16257" spans="1:10" s="15" customFormat="1" ht="24" hidden="1" customHeight="1" outlineLevel="1" x14ac:dyDescent="0.25">
      <c r="A16257" s="18">
        <v>862</v>
      </c>
      <c r="B16257" s="4" t="s">
        <v>44</v>
      </c>
      <c r="C16257" s="38" t="s">
        <v>9197</v>
      </c>
      <c r="D16257" s="18">
        <v>2023</v>
      </c>
      <c r="E16257" s="18" t="s">
        <v>0</v>
      </c>
      <c r="F16257" s="41">
        <v>1</v>
      </c>
      <c r="G16257" s="41">
        <v>15</v>
      </c>
      <c r="H16257" s="41">
        <v>46.905290000000001</v>
      </c>
      <c r="I16257" s="221"/>
      <c r="J16257" s="221"/>
    </row>
    <row r="16258" spans="1:10" s="15" customFormat="1" ht="24" hidden="1" customHeight="1" outlineLevel="1" x14ac:dyDescent="0.25">
      <c r="A16258" s="18">
        <v>1013</v>
      </c>
      <c r="B16258" s="4" t="s">
        <v>44</v>
      </c>
      <c r="C16258" s="38" t="s">
        <v>9198</v>
      </c>
      <c r="D16258" s="18">
        <v>2023</v>
      </c>
      <c r="E16258" s="18" t="s">
        <v>0</v>
      </c>
      <c r="F16258" s="41">
        <v>1</v>
      </c>
      <c r="G16258" s="41">
        <v>15</v>
      </c>
      <c r="H16258" s="41">
        <v>47.756</v>
      </c>
      <c r="I16258" s="221"/>
      <c r="J16258" s="221"/>
    </row>
    <row r="16259" spans="1:10" s="15" customFormat="1" ht="24" hidden="1" customHeight="1" outlineLevel="1" x14ac:dyDescent="0.25">
      <c r="A16259" s="18">
        <v>796</v>
      </c>
      <c r="B16259" s="4" t="s">
        <v>44</v>
      </c>
      <c r="C16259" s="38" t="s">
        <v>9099</v>
      </c>
      <c r="D16259" s="18">
        <v>2023</v>
      </c>
      <c r="E16259" s="18" t="s">
        <v>0</v>
      </c>
      <c r="F16259" s="41">
        <v>3</v>
      </c>
      <c r="G16259" s="41">
        <v>45</v>
      </c>
      <c r="H16259" s="41">
        <v>182</v>
      </c>
      <c r="I16259" s="221"/>
      <c r="J16259" s="221"/>
    </row>
    <row r="16260" spans="1:10" s="15" customFormat="1" ht="24" hidden="1" customHeight="1" outlineLevel="1" x14ac:dyDescent="0.25">
      <c r="A16260" s="18">
        <v>787</v>
      </c>
      <c r="B16260" s="4" t="s">
        <v>44</v>
      </c>
      <c r="C16260" s="38" t="s">
        <v>9199</v>
      </c>
      <c r="D16260" s="18">
        <v>2023</v>
      </c>
      <c r="E16260" s="18" t="s">
        <v>0</v>
      </c>
      <c r="F16260" s="41">
        <v>1</v>
      </c>
      <c r="G16260" s="41">
        <v>15</v>
      </c>
      <c r="H16260" s="41">
        <v>76.421419999999998</v>
      </c>
      <c r="I16260" s="221"/>
      <c r="J16260" s="221"/>
    </row>
    <row r="16261" spans="1:10" s="15" customFormat="1" ht="24" hidden="1" customHeight="1" outlineLevel="1" x14ac:dyDescent="0.25">
      <c r="A16261" s="18">
        <v>468</v>
      </c>
      <c r="B16261" s="4" t="s">
        <v>44</v>
      </c>
      <c r="C16261" s="38" t="s">
        <v>9200</v>
      </c>
      <c r="D16261" s="18">
        <v>2023</v>
      </c>
      <c r="E16261" s="18" t="s">
        <v>0</v>
      </c>
      <c r="F16261" s="41">
        <v>1</v>
      </c>
      <c r="G16261" s="41">
        <v>10</v>
      </c>
      <c r="H16261" s="41">
        <v>103.59699999999999</v>
      </c>
      <c r="I16261" s="221"/>
      <c r="J16261" s="221"/>
    </row>
    <row r="16262" spans="1:10" s="15" customFormat="1" ht="24" hidden="1" customHeight="1" outlineLevel="1" x14ac:dyDescent="0.25">
      <c r="A16262" s="18">
        <v>1029</v>
      </c>
      <c r="B16262" s="4" t="s">
        <v>44</v>
      </c>
      <c r="C16262" s="38" t="s">
        <v>9201</v>
      </c>
      <c r="D16262" s="18">
        <v>2023</v>
      </c>
      <c r="E16262" s="18" t="s">
        <v>0</v>
      </c>
      <c r="F16262" s="41">
        <v>1</v>
      </c>
      <c r="G16262" s="41">
        <v>15</v>
      </c>
      <c r="H16262" s="41">
        <v>42.236980000000003</v>
      </c>
      <c r="I16262" s="221"/>
      <c r="J16262" s="221"/>
    </row>
    <row r="16263" spans="1:10" s="15" customFormat="1" ht="24" hidden="1" customHeight="1" outlineLevel="1" x14ac:dyDescent="0.25">
      <c r="A16263" s="18">
        <v>444</v>
      </c>
      <c r="B16263" s="4" t="s">
        <v>44</v>
      </c>
      <c r="C16263" s="38" t="s">
        <v>9202</v>
      </c>
      <c r="D16263" s="18">
        <v>2023</v>
      </c>
      <c r="E16263" s="18" t="s">
        <v>0</v>
      </c>
      <c r="F16263" s="41">
        <v>1</v>
      </c>
      <c r="G16263" s="41">
        <v>15</v>
      </c>
      <c r="H16263" s="41">
        <v>46.421599999999998</v>
      </c>
      <c r="I16263" s="221"/>
      <c r="J16263" s="221"/>
    </row>
    <row r="16264" spans="1:10" s="15" customFormat="1" ht="24" hidden="1" customHeight="1" outlineLevel="1" x14ac:dyDescent="0.25">
      <c r="A16264" s="18">
        <v>1229</v>
      </c>
      <c r="B16264" s="4" t="s">
        <v>44</v>
      </c>
      <c r="C16264" s="38" t="s">
        <v>9203</v>
      </c>
      <c r="D16264" s="18">
        <v>2023</v>
      </c>
      <c r="E16264" s="18" t="s">
        <v>0</v>
      </c>
      <c r="F16264" s="41">
        <v>1</v>
      </c>
      <c r="G16264" s="41">
        <v>15</v>
      </c>
      <c r="H16264" s="41">
        <v>42.388179999999998</v>
      </c>
      <c r="I16264" s="221"/>
      <c r="J16264" s="221"/>
    </row>
    <row r="16265" spans="1:10" s="15" customFormat="1" ht="24" hidden="1" customHeight="1" outlineLevel="1" x14ac:dyDescent="0.25">
      <c r="A16265" s="18">
        <v>1060</v>
      </c>
      <c r="B16265" s="4" t="s">
        <v>44</v>
      </c>
      <c r="C16265" s="38" t="s">
        <v>9204</v>
      </c>
      <c r="D16265" s="18">
        <v>2023</v>
      </c>
      <c r="E16265" s="18" t="s">
        <v>0</v>
      </c>
      <c r="F16265" s="41">
        <v>1</v>
      </c>
      <c r="G16265" s="41">
        <v>15</v>
      </c>
      <c r="H16265" s="41">
        <v>43.25506</v>
      </c>
      <c r="I16265" s="221"/>
      <c r="J16265" s="221"/>
    </row>
    <row r="16266" spans="1:10" s="15" customFormat="1" ht="24" hidden="1" customHeight="1" outlineLevel="1" x14ac:dyDescent="0.25">
      <c r="A16266" s="18">
        <v>3254</v>
      </c>
      <c r="B16266" s="4" t="s">
        <v>44</v>
      </c>
      <c r="C16266" s="38" t="s">
        <v>9100</v>
      </c>
      <c r="D16266" s="18">
        <v>2023</v>
      </c>
      <c r="E16266" s="18" t="s">
        <v>0</v>
      </c>
      <c r="F16266" s="41">
        <v>1</v>
      </c>
      <c r="G16266" s="41">
        <v>15</v>
      </c>
      <c r="H16266" s="41">
        <v>47.211080000000003</v>
      </c>
      <c r="I16266" s="221"/>
      <c r="J16266" s="221"/>
    </row>
    <row r="16267" spans="1:10" s="15" customFormat="1" ht="24" hidden="1" customHeight="1" outlineLevel="1" x14ac:dyDescent="0.25">
      <c r="A16267" s="18">
        <v>1251</v>
      </c>
      <c r="B16267" s="4" t="s">
        <v>44</v>
      </c>
      <c r="C16267" s="38" t="s">
        <v>9205</v>
      </c>
      <c r="D16267" s="18">
        <v>2023</v>
      </c>
      <c r="E16267" s="18" t="s">
        <v>0</v>
      </c>
      <c r="F16267" s="41">
        <v>1</v>
      </c>
      <c r="G16267" s="41">
        <v>15</v>
      </c>
      <c r="H16267" s="41">
        <v>42.106530000000006</v>
      </c>
      <c r="I16267" s="221"/>
      <c r="J16267" s="221"/>
    </row>
    <row r="16268" spans="1:10" s="15" customFormat="1" ht="24" hidden="1" customHeight="1" outlineLevel="1" x14ac:dyDescent="0.25">
      <c r="A16268" s="18">
        <v>1287</v>
      </c>
      <c r="B16268" s="4" t="s">
        <v>44</v>
      </c>
      <c r="C16268" s="38" t="s">
        <v>9206</v>
      </c>
      <c r="D16268" s="18">
        <v>2023</v>
      </c>
      <c r="E16268" s="18" t="s">
        <v>0</v>
      </c>
      <c r="F16268" s="41">
        <v>1</v>
      </c>
      <c r="G16268" s="41">
        <v>5</v>
      </c>
      <c r="H16268" s="41">
        <v>42.732850000000006</v>
      </c>
      <c r="I16268" s="221"/>
      <c r="J16268" s="221"/>
    </row>
    <row r="16269" spans="1:10" s="15" customFormat="1" ht="24" hidden="1" customHeight="1" outlineLevel="1" x14ac:dyDescent="0.25">
      <c r="A16269" s="18">
        <v>1988</v>
      </c>
      <c r="B16269" s="4" t="s">
        <v>44</v>
      </c>
      <c r="C16269" s="38" t="s">
        <v>9207</v>
      </c>
      <c r="D16269" s="18">
        <v>2023</v>
      </c>
      <c r="E16269" s="18" t="s">
        <v>0</v>
      </c>
      <c r="F16269" s="41">
        <v>1</v>
      </c>
      <c r="G16269" s="41">
        <v>3</v>
      </c>
      <c r="H16269" s="41">
        <v>42.980469999999997</v>
      </c>
      <c r="I16269" s="221"/>
      <c r="J16269" s="221"/>
    </row>
    <row r="16270" spans="1:10" s="15" customFormat="1" ht="24" hidden="1" customHeight="1" outlineLevel="1" x14ac:dyDescent="0.25">
      <c r="A16270" s="18">
        <v>3258</v>
      </c>
      <c r="B16270" s="4" t="s">
        <v>44</v>
      </c>
      <c r="C16270" s="38" t="s">
        <v>9208</v>
      </c>
      <c r="D16270" s="18">
        <v>2023</v>
      </c>
      <c r="E16270" s="18" t="s">
        <v>0</v>
      </c>
      <c r="F16270" s="41">
        <v>1</v>
      </c>
      <c r="G16270" s="41">
        <v>15</v>
      </c>
      <c r="H16270" s="41">
        <v>42.945360000000001</v>
      </c>
      <c r="I16270" s="221"/>
      <c r="J16270" s="221"/>
    </row>
    <row r="16271" spans="1:10" s="15" customFormat="1" ht="24" hidden="1" customHeight="1" outlineLevel="1" x14ac:dyDescent="0.25">
      <c r="A16271" s="18">
        <v>3085</v>
      </c>
      <c r="B16271" s="4" t="s">
        <v>44</v>
      </c>
      <c r="C16271" s="38" t="s">
        <v>9102</v>
      </c>
      <c r="D16271" s="18">
        <v>2023</v>
      </c>
      <c r="E16271" s="18" t="s">
        <v>0</v>
      </c>
      <c r="F16271" s="41">
        <v>1</v>
      </c>
      <c r="G16271" s="41">
        <v>149</v>
      </c>
      <c r="H16271" s="41">
        <v>44.855969999999999</v>
      </c>
      <c r="I16271" s="221"/>
      <c r="J16271" s="221"/>
    </row>
    <row r="16272" spans="1:10" s="15" customFormat="1" ht="24" hidden="1" customHeight="1" outlineLevel="1" x14ac:dyDescent="0.25">
      <c r="A16272" s="18">
        <v>400</v>
      </c>
      <c r="B16272" s="4" t="s">
        <v>44</v>
      </c>
      <c r="C16272" s="38" t="s">
        <v>9209</v>
      </c>
      <c r="D16272" s="18">
        <v>2023</v>
      </c>
      <c r="E16272" s="18" t="s">
        <v>0</v>
      </c>
      <c r="F16272" s="41">
        <v>1</v>
      </c>
      <c r="G16272" s="41">
        <v>15</v>
      </c>
      <c r="H16272" s="41">
        <v>40.623520000000006</v>
      </c>
      <c r="I16272" s="221"/>
      <c r="J16272" s="221"/>
    </row>
    <row r="16273" spans="1:10" s="15" customFormat="1" ht="24" hidden="1" customHeight="1" outlineLevel="1" x14ac:dyDescent="0.25">
      <c r="A16273" s="18">
        <v>3415</v>
      </c>
      <c r="B16273" s="4" t="s">
        <v>44</v>
      </c>
      <c r="C16273" s="38" t="s">
        <v>9210</v>
      </c>
      <c r="D16273" s="18">
        <v>2023</v>
      </c>
      <c r="E16273" s="18" t="s">
        <v>0</v>
      </c>
      <c r="F16273" s="41">
        <v>1</v>
      </c>
      <c r="G16273" s="41">
        <v>15</v>
      </c>
      <c r="H16273" s="41">
        <v>38.224119999999999</v>
      </c>
      <c r="I16273" s="221"/>
      <c r="J16273" s="221"/>
    </row>
    <row r="16274" spans="1:10" s="15" customFormat="1" ht="24" hidden="1" customHeight="1" outlineLevel="1" x14ac:dyDescent="0.25">
      <c r="A16274" s="18">
        <v>3017</v>
      </c>
      <c r="B16274" s="4" t="s">
        <v>44</v>
      </c>
      <c r="C16274" s="38" t="s">
        <v>9211</v>
      </c>
      <c r="D16274" s="18">
        <v>2023</v>
      </c>
      <c r="E16274" s="18" t="s">
        <v>0</v>
      </c>
      <c r="F16274" s="41">
        <v>1</v>
      </c>
      <c r="G16274" s="41">
        <v>150</v>
      </c>
      <c r="H16274" s="41">
        <v>55.811769999999996</v>
      </c>
      <c r="I16274" s="221"/>
      <c r="J16274" s="221"/>
    </row>
    <row r="16275" spans="1:10" s="15" customFormat="1" ht="24" hidden="1" customHeight="1" outlineLevel="1" x14ac:dyDescent="0.25">
      <c r="A16275" s="18">
        <v>3291</v>
      </c>
      <c r="B16275" s="4" t="s">
        <v>44</v>
      </c>
      <c r="C16275" s="38" t="s">
        <v>9212</v>
      </c>
      <c r="D16275" s="18">
        <v>2023</v>
      </c>
      <c r="E16275" s="18" t="s">
        <v>0</v>
      </c>
      <c r="F16275" s="41">
        <v>1</v>
      </c>
      <c r="G16275" s="41">
        <v>10</v>
      </c>
      <c r="H16275" s="41">
        <v>39.968510000000002</v>
      </c>
      <c r="I16275" s="221"/>
      <c r="J16275" s="221"/>
    </row>
    <row r="16276" spans="1:10" s="15" customFormat="1" ht="24" hidden="1" customHeight="1" outlineLevel="1" x14ac:dyDescent="0.25">
      <c r="A16276" s="18">
        <v>1636</v>
      </c>
      <c r="B16276" s="4" t="s">
        <v>44</v>
      </c>
      <c r="C16276" s="38" t="s">
        <v>9213</v>
      </c>
      <c r="D16276" s="18">
        <v>2023</v>
      </c>
      <c r="E16276" s="18" t="s">
        <v>0</v>
      </c>
      <c r="F16276" s="41">
        <v>1</v>
      </c>
      <c r="G16276" s="41">
        <v>6.5</v>
      </c>
      <c r="H16276" s="41">
        <v>39.764090000000003</v>
      </c>
      <c r="I16276" s="221"/>
      <c r="J16276" s="221"/>
    </row>
    <row r="16277" spans="1:10" s="15" customFormat="1" ht="24" hidden="1" customHeight="1" outlineLevel="1" x14ac:dyDescent="0.25">
      <c r="A16277" s="18">
        <v>4455</v>
      </c>
      <c r="B16277" s="4" t="s">
        <v>44</v>
      </c>
      <c r="C16277" s="38" t="s">
        <v>9214</v>
      </c>
      <c r="D16277" s="18">
        <v>2023</v>
      </c>
      <c r="E16277" s="18" t="s">
        <v>0</v>
      </c>
      <c r="F16277" s="41">
        <v>1</v>
      </c>
      <c r="G16277" s="41">
        <v>50</v>
      </c>
      <c r="H16277" s="41">
        <v>41.218519999999998</v>
      </c>
      <c r="I16277" s="221"/>
      <c r="J16277" s="221"/>
    </row>
    <row r="16278" spans="1:10" s="15" customFormat="1" ht="24" hidden="1" customHeight="1" outlineLevel="1" x14ac:dyDescent="0.25">
      <c r="A16278" s="18">
        <v>1183</v>
      </c>
      <c r="B16278" s="4" t="s">
        <v>44</v>
      </c>
      <c r="C16278" s="38" t="s">
        <v>9104</v>
      </c>
      <c r="D16278" s="18">
        <v>2023</v>
      </c>
      <c r="E16278" s="18" t="s">
        <v>0</v>
      </c>
      <c r="F16278" s="41">
        <v>5</v>
      </c>
      <c r="G16278" s="41">
        <v>110</v>
      </c>
      <c r="H16278" s="41">
        <v>330.67351000000002</v>
      </c>
      <c r="I16278" s="221"/>
      <c r="J16278" s="221"/>
    </row>
    <row r="16279" spans="1:10" s="15" customFormat="1" ht="24" hidden="1" customHeight="1" outlineLevel="1" x14ac:dyDescent="0.25">
      <c r="A16279" s="18">
        <v>4503</v>
      </c>
      <c r="B16279" s="4" t="s">
        <v>44</v>
      </c>
      <c r="C16279" s="38" t="s">
        <v>9215</v>
      </c>
      <c r="D16279" s="18">
        <v>2023</v>
      </c>
      <c r="E16279" s="18" t="s">
        <v>0</v>
      </c>
      <c r="F16279" s="41">
        <v>6</v>
      </c>
      <c r="G16279" s="41">
        <v>900</v>
      </c>
      <c r="H16279" s="41">
        <v>695.21793000000002</v>
      </c>
      <c r="I16279" s="221"/>
      <c r="J16279" s="221"/>
    </row>
    <row r="16280" spans="1:10" s="15" customFormat="1" ht="24" hidden="1" customHeight="1" outlineLevel="1" x14ac:dyDescent="0.25">
      <c r="A16280" s="18">
        <v>2966</v>
      </c>
      <c r="B16280" s="4" t="s">
        <v>44</v>
      </c>
      <c r="C16280" s="38" t="s">
        <v>9217</v>
      </c>
      <c r="D16280" s="18">
        <v>2023</v>
      </c>
      <c r="E16280" s="18" t="s">
        <v>0</v>
      </c>
      <c r="F16280" s="41">
        <v>1</v>
      </c>
      <c r="G16280" s="41">
        <v>150</v>
      </c>
      <c r="H16280" s="41">
        <v>145.45563000000001</v>
      </c>
      <c r="I16280" s="221"/>
      <c r="J16280" s="221"/>
    </row>
    <row r="16281" spans="1:10" s="15" customFormat="1" ht="24" hidden="1" customHeight="1" outlineLevel="1" x14ac:dyDescent="0.25">
      <c r="A16281" s="18">
        <v>465</v>
      </c>
      <c r="B16281" s="4" t="s">
        <v>44</v>
      </c>
      <c r="C16281" s="38" t="s">
        <v>9105</v>
      </c>
      <c r="D16281" s="18">
        <v>2023</v>
      </c>
      <c r="E16281" s="18" t="s">
        <v>0</v>
      </c>
      <c r="F16281" s="41">
        <v>7</v>
      </c>
      <c r="G16281" s="41">
        <v>120</v>
      </c>
      <c r="H16281" s="41">
        <v>286.30392000000001</v>
      </c>
      <c r="I16281" s="221"/>
      <c r="J16281" s="221"/>
    </row>
    <row r="16282" spans="1:10" s="15" customFormat="1" ht="24" hidden="1" customHeight="1" outlineLevel="1" x14ac:dyDescent="0.25">
      <c r="A16282" s="18">
        <v>331</v>
      </c>
      <c r="B16282" s="4" t="s">
        <v>44</v>
      </c>
      <c r="C16282" s="38" t="s">
        <v>9218</v>
      </c>
      <c r="D16282" s="18">
        <v>2023</v>
      </c>
      <c r="E16282" s="18" t="s">
        <v>0</v>
      </c>
      <c r="F16282" s="41">
        <v>1</v>
      </c>
      <c r="G16282" s="41">
        <v>15</v>
      </c>
      <c r="H16282" s="41">
        <v>114.78354</v>
      </c>
      <c r="I16282" s="221"/>
      <c r="J16282" s="221"/>
    </row>
    <row r="16283" spans="1:10" s="15" customFormat="1" ht="24" hidden="1" customHeight="1" outlineLevel="1" x14ac:dyDescent="0.25">
      <c r="A16283" s="18">
        <v>3041</v>
      </c>
      <c r="B16283" s="4" t="s">
        <v>44</v>
      </c>
      <c r="C16283" s="38" t="s">
        <v>9108</v>
      </c>
      <c r="D16283" s="18">
        <v>2023</v>
      </c>
      <c r="E16283" s="18" t="s">
        <v>0</v>
      </c>
      <c r="F16283" s="41">
        <v>2</v>
      </c>
      <c r="G16283" s="41">
        <v>120</v>
      </c>
      <c r="H16283" s="41">
        <v>149.80371</v>
      </c>
      <c r="I16283" s="221"/>
      <c r="J16283" s="221"/>
    </row>
    <row r="16284" spans="1:10" s="15" customFormat="1" ht="24" hidden="1" customHeight="1" outlineLevel="1" x14ac:dyDescent="0.25">
      <c r="A16284" s="18">
        <v>3127</v>
      </c>
      <c r="B16284" s="4" t="s">
        <v>44</v>
      </c>
      <c r="C16284" s="38" t="s">
        <v>9109</v>
      </c>
      <c r="D16284" s="18">
        <v>2023</v>
      </c>
      <c r="E16284" s="18" t="s">
        <v>0</v>
      </c>
      <c r="F16284" s="41">
        <v>3</v>
      </c>
      <c r="G16284" s="41">
        <v>450</v>
      </c>
      <c r="H16284" s="41">
        <v>370.04579000000001</v>
      </c>
      <c r="I16284" s="221"/>
      <c r="J16284" s="221"/>
    </row>
    <row r="16285" spans="1:10" s="15" customFormat="1" ht="24" hidden="1" customHeight="1" outlineLevel="1" x14ac:dyDescent="0.25">
      <c r="A16285" s="18">
        <v>1577</v>
      </c>
      <c r="B16285" s="4" t="s">
        <v>44</v>
      </c>
      <c r="C16285" s="38" t="s">
        <v>13346</v>
      </c>
      <c r="D16285" s="18">
        <v>2023</v>
      </c>
      <c r="E16285" s="18" t="s">
        <v>0</v>
      </c>
      <c r="F16285" s="41">
        <v>42</v>
      </c>
      <c r="G16285" s="151">
        <v>274.5</v>
      </c>
      <c r="H16285" s="41">
        <v>1527.1090000000002</v>
      </c>
      <c r="I16285" s="221"/>
      <c r="J16285" s="221"/>
    </row>
    <row r="16286" spans="1:10" s="15" customFormat="1" ht="24" hidden="1" customHeight="1" outlineLevel="1" x14ac:dyDescent="0.25">
      <c r="A16286" s="18">
        <v>1712</v>
      </c>
      <c r="B16286" s="4" t="s">
        <v>44</v>
      </c>
      <c r="C16286" s="38" t="s">
        <v>13347</v>
      </c>
      <c r="D16286" s="18">
        <v>2023</v>
      </c>
      <c r="E16286" s="18" t="s">
        <v>0</v>
      </c>
      <c r="F16286" s="41">
        <v>27</v>
      </c>
      <c r="G16286" s="41">
        <v>159</v>
      </c>
      <c r="H16286" s="41">
        <v>947.55516999999998</v>
      </c>
      <c r="I16286" s="221"/>
      <c r="J16286" s="221"/>
    </row>
    <row r="16287" spans="1:10" s="15" customFormat="1" ht="24" hidden="1" customHeight="1" outlineLevel="1" x14ac:dyDescent="0.25">
      <c r="A16287" s="18">
        <v>4423</v>
      </c>
      <c r="B16287" s="4" t="s">
        <v>44</v>
      </c>
      <c r="C16287" s="38" t="s">
        <v>13348</v>
      </c>
      <c r="D16287" s="18">
        <v>2023</v>
      </c>
      <c r="E16287" s="18" t="s">
        <v>0</v>
      </c>
      <c r="F16287" s="41">
        <v>1</v>
      </c>
      <c r="G16287" s="41">
        <v>10</v>
      </c>
      <c r="H16287" s="41">
        <v>36.816590000000005</v>
      </c>
      <c r="I16287" s="221"/>
      <c r="J16287" s="221"/>
    </row>
    <row r="16288" spans="1:10" s="15" customFormat="1" ht="24" hidden="1" customHeight="1" outlineLevel="1" x14ac:dyDescent="0.25">
      <c r="A16288" s="18">
        <v>4429</v>
      </c>
      <c r="B16288" s="4" t="s">
        <v>44</v>
      </c>
      <c r="C16288" s="38" t="s">
        <v>13349</v>
      </c>
      <c r="D16288" s="18">
        <v>2023</v>
      </c>
      <c r="E16288" s="18" t="s">
        <v>0</v>
      </c>
      <c r="F16288" s="41">
        <v>1</v>
      </c>
      <c r="G16288" s="41">
        <v>15</v>
      </c>
      <c r="H16288" s="41">
        <v>35.392600000000002</v>
      </c>
      <c r="I16288" s="221"/>
      <c r="J16288" s="221"/>
    </row>
    <row r="16289" spans="1:10" s="15" customFormat="1" ht="24" hidden="1" customHeight="1" outlineLevel="1" x14ac:dyDescent="0.25">
      <c r="A16289" s="18">
        <v>4425</v>
      </c>
      <c r="B16289" s="4" t="s">
        <v>44</v>
      </c>
      <c r="C16289" s="38" t="s">
        <v>13350</v>
      </c>
      <c r="D16289" s="18">
        <v>2023</v>
      </c>
      <c r="E16289" s="18" t="s">
        <v>0</v>
      </c>
      <c r="F16289" s="41">
        <v>1</v>
      </c>
      <c r="G16289" s="41">
        <v>10</v>
      </c>
      <c r="H16289" s="41">
        <v>37.903939999999999</v>
      </c>
      <c r="I16289" s="221"/>
      <c r="J16289" s="221"/>
    </row>
    <row r="16290" spans="1:10" s="15" customFormat="1" ht="24" hidden="1" customHeight="1" outlineLevel="1" x14ac:dyDescent="0.25">
      <c r="A16290" s="18">
        <v>1665</v>
      </c>
      <c r="B16290" s="4" t="s">
        <v>44</v>
      </c>
      <c r="C16290" s="38" t="s">
        <v>13351</v>
      </c>
      <c r="D16290" s="18">
        <v>2023</v>
      </c>
      <c r="E16290" s="18" t="s">
        <v>0</v>
      </c>
      <c r="F16290" s="41">
        <v>1</v>
      </c>
      <c r="G16290" s="41">
        <v>1</v>
      </c>
      <c r="H16290" s="41">
        <v>35.988</v>
      </c>
      <c r="I16290" s="221"/>
      <c r="J16290" s="221"/>
    </row>
    <row r="16291" spans="1:10" s="15" customFormat="1" ht="24" hidden="1" customHeight="1" outlineLevel="1" x14ac:dyDescent="0.25">
      <c r="A16291" s="18">
        <v>1483</v>
      </c>
      <c r="B16291" s="4" t="s">
        <v>44</v>
      </c>
      <c r="C16291" s="38" t="s">
        <v>13352</v>
      </c>
      <c r="D16291" s="18">
        <v>2023</v>
      </c>
      <c r="E16291" s="18" t="s">
        <v>0</v>
      </c>
      <c r="F16291" s="41">
        <v>1</v>
      </c>
      <c r="G16291" s="41">
        <v>1</v>
      </c>
      <c r="H16291" s="41">
        <v>36.102870000000003</v>
      </c>
      <c r="I16291" s="221"/>
      <c r="J16291" s="221"/>
    </row>
    <row r="16292" spans="1:10" s="15" customFormat="1" ht="24" hidden="1" customHeight="1" outlineLevel="1" x14ac:dyDescent="0.25">
      <c r="A16292" s="18">
        <v>1564</v>
      </c>
      <c r="B16292" s="4" t="s">
        <v>44</v>
      </c>
      <c r="C16292" s="38" t="s">
        <v>13353</v>
      </c>
      <c r="D16292" s="18">
        <v>2023</v>
      </c>
      <c r="E16292" s="18" t="s">
        <v>0</v>
      </c>
      <c r="F16292" s="41">
        <v>1</v>
      </c>
      <c r="G16292" s="41">
        <v>2</v>
      </c>
      <c r="H16292" s="41">
        <v>36.007690000000004</v>
      </c>
      <c r="I16292" s="221"/>
      <c r="J16292" s="221"/>
    </row>
    <row r="16293" spans="1:10" s="15" customFormat="1" ht="24" hidden="1" customHeight="1" outlineLevel="1" x14ac:dyDescent="0.25">
      <c r="A16293" s="18">
        <v>4424</v>
      </c>
      <c r="B16293" s="4" t="s">
        <v>44</v>
      </c>
      <c r="C16293" s="38" t="s">
        <v>13354</v>
      </c>
      <c r="D16293" s="18">
        <v>2023</v>
      </c>
      <c r="E16293" s="18" t="s">
        <v>0</v>
      </c>
      <c r="F16293" s="41">
        <v>3</v>
      </c>
      <c r="G16293" s="41">
        <v>45</v>
      </c>
      <c r="H16293" s="41">
        <v>108.26279</v>
      </c>
      <c r="I16293" s="221"/>
      <c r="J16293" s="221"/>
    </row>
    <row r="16294" spans="1:10" s="15" customFormat="1" ht="24" hidden="1" customHeight="1" outlineLevel="1" x14ac:dyDescent="0.25">
      <c r="A16294" s="18">
        <v>4430</v>
      </c>
      <c r="B16294" s="4" t="s">
        <v>44</v>
      </c>
      <c r="C16294" s="38" t="s">
        <v>13356</v>
      </c>
      <c r="D16294" s="18">
        <v>2023</v>
      </c>
      <c r="E16294" s="18" t="s">
        <v>0</v>
      </c>
      <c r="F16294" s="41">
        <v>2</v>
      </c>
      <c r="G16294" s="41">
        <v>10</v>
      </c>
      <c r="H16294" s="41">
        <v>72.786379999999994</v>
      </c>
      <c r="I16294" s="221"/>
      <c r="J16294" s="221"/>
    </row>
    <row r="16295" spans="1:10" s="15" customFormat="1" ht="24" hidden="1" customHeight="1" outlineLevel="1" x14ac:dyDescent="0.25">
      <c r="A16295" s="18">
        <v>1286</v>
      </c>
      <c r="B16295" s="4" t="s">
        <v>44</v>
      </c>
      <c r="C16295" s="38" t="s">
        <v>13357</v>
      </c>
      <c r="D16295" s="18">
        <v>2023</v>
      </c>
      <c r="E16295" s="18" t="s">
        <v>0</v>
      </c>
      <c r="F16295" s="41">
        <v>14</v>
      </c>
      <c r="G16295" s="41">
        <v>40</v>
      </c>
      <c r="H16295" s="41">
        <v>342.20168000000001</v>
      </c>
      <c r="I16295" s="221"/>
      <c r="J16295" s="221"/>
    </row>
    <row r="16296" spans="1:10" s="15" customFormat="1" ht="24" hidden="1" customHeight="1" outlineLevel="1" x14ac:dyDescent="0.25">
      <c r="A16296" s="18">
        <v>1835</v>
      </c>
      <c r="B16296" s="4" t="s">
        <v>44</v>
      </c>
      <c r="C16296" s="38" t="s">
        <v>13358</v>
      </c>
      <c r="D16296" s="18">
        <v>2023</v>
      </c>
      <c r="E16296" s="18" t="s">
        <v>0</v>
      </c>
      <c r="F16296" s="41">
        <v>17</v>
      </c>
      <c r="G16296" s="41">
        <v>60</v>
      </c>
      <c r="H16296" s="41">
        <v>602.30194000000006</v>
      </c>
      <c r="I16296" s="221"/>
      <c r="J16296" s="221"/>
    </row>
    <row r="16297" spans="1:10" s="15" customFormat="1" ht="24" hidden="1" customHeight="1" outlineLevel="1" x14ac:dyDescent="0.25">
      <c r="A16297" s="18">
        <v>4439</v>
      </c>
      <c r="B16297" s="4" t="s">
        <v>44</v>
      </c>
      <c r="C16297" s="38" t="s">
        <v>13359</v>
      </c>
      <c r="D16297" s="18">
        <v>2023</v>
      </c>
      <c r="E16297" s="18" t="s">
        <v>0</v>
      </c>
      <c r="F16297" s="41">
        <v>4</v>
      </c>
      <c r="G16297" s="41">
        <v>60</v>
      </c>
      <c r="H16297" s="41">
        <v>141.70251000000002</v>
      </c>
      <c r="I16297" s="221"/>
      <c r="J16297" s="221"/>
    </row>
    <row r="16298" spans="1:10" s="15" customFormat="1" ht="24" hidden="1" customHeight="1" outlineLevel="1" x14ac:dyDescent="0.25">
      <c r="A16298" s="18">
        <v>4435</v>
      </c>
      <c r="B16298" s="4" t="s">
        <v>44</v>
      </c>
      <c r="C16298" s="38" t="s">
        <v>13360</v>
      </c>
      <c r="D16298" s="18">
        <v>2023</v>
      </c>
      <c r="E16298" s="18" t="s">
        <v>0</v>
      </c>
      <c r="F16298" s="41">
        <v>5</v>
      </c>
      <c r="G16298" s="41">
        <v>45</v>
      </c>
      <c r="H16298" s="41">
        <v>178.52566000000002</v>
      </c>
      <c r="I16298" s="221"/>
      <c r="J16298" s="221"/>
    </row>
    <row r="16299" spans="1:10" s="15" customFormat="1" ht="24" hidden="1" customHeight="1" outlineLevel="1" x14ac:dyDescent="0.25">
      <c r="A16299" s="18">
        <v>4440</v>
      </c>
      <c r="B16299" s="4" t="s">
        <v>44</v>
      </c>
      <c r="C16299" s="38" t="s">
        <v>13361</v>
      </c>
      <c r="D16299" s="18">
        <v>2023</v>
      </c>
      <c r="E16299" s="18" t="s">
        <v>0</v>
      </c>
      <c r="F16299" s="41">
        <v>2</v>
      </c>
      <c r="G16299" s="41">
        <v>30</v>
      </c>
      <c r="H16299" s="41">
        <v>71.25054999999999</v>
      </c>
      <c r="I16299" s="221"/>
      <c r="J16299" s="221"/>
    </row>
    <row r="16300" spans="1:10" s="15" customFormat="1" ht="78.75" hidden="1" outlineLevel="1" x14ac:dyDescent="0.25">
      <c r="A16300" s="18">
        <v>1833</v>
      </c>
      <c r="B16300" s="4" t="s">
        <v>44</v>
      </c>
      <c r="C16300" s="38" t="s">
        <v>13362</v>
      </c>
      <c r="D16300" s="18">
        <v>2023</v>
      </c>
      <c r="E16300" s="18" t="s">
        <v>0</v>
      </c>
      <c r="F16300" s="41">
        <v>4</v>
      </c>
      <c r="G16300" s="41">
        <v>33</v>
      </c>
      <c r="H16300" s="41">
        <v>142.83330000000001</v>
      </c>
      <c r="I16300" s="221"/>
      <c r="J16300" s="221"/>
    </row>
    <row r="16301" spans="1:10" s="15" customFormat="1" ht="24" hidden="1" customHeight="1" outlineLevel="1" x14ac:dyDescent="0.25">
      <c r="A16301" s="18">
        <v>4438</v>
      </c>
      <c r="B16301" s="4" t="s">
        <v>44</v>
      </c>
      <c r="C16301" s="38" t="s">
        <v>13363</v>
      </c>
      <c r="D16301" s="18">
        <v>2023</v>
      </c>
      <c r="E16301" s="18" t="s">
        <v>0</v>
      </c>
      <c r="F16301" s="41">
        <v>2</v>
      </c>
      <c r="G16301" s="41">
        <v>30</v>
      </c>
      <c r="H16301" s="41">
        <v>72.049139999999994</v>
      </c>
      <c r="I16301" s="221"/>
      <c r="J16301" s="221"/>
    </row>
    <row r="16302" spans="1:10" s="15" customFormat="1" ht="24" hidden="1" customHeight="1" outlineLevel="1" x14ac:dyDescent="0.25">
      <c r="A16302" s="18">
        <v>4437</v>
      </c>
      <c r="B16302" s="4" t="s">
        <v>44</v>
      </c>
      <c r="C16302" s="38" t="s">
        <v>13364</v>
      </c>
      <c r="D16302" s="18">
        <v>2023</v>
      </c>
      <c r="E16302" s="18" t="s">
        <v>0</v>
      </c>
      <c r="F16302" s="41">
        <v>1</v>
      </c>
      <c r="G16302" s="41">
        <v>15</v>
      </c>
      <c r="H16302" s="41">
        <v>35.968530000000001</v>
      </c>
      <c r="I16302" s="221"/>
      <c r="J16302" s="221"/>
    </row>
    <row r="16303" spans="1:10" s="15" customFormat="1" ht="24" hidden="1" customHeight="1" outlineLevel="1" x14ac:dyDescent="0.25">
      <c r="A16303" s="18">
        <v>4442</v>
      </c>
      <c r="B16303" s="4" t="s">
        <v>44</v>
      </c>
      <c r="C16303" s="38" t="s">
        <v>13365</v>
      </c>
      <c r="D16303" s="18">
        <v>2023</v>
      </c>
      <c r="E16303" s="18" t="s">
        <v>0</v>
      </c>
      <c r="F16303" s="41">
        <v>1</v>
      </c>
      <c r="G16303" s="41">
        <v>10</v>
      </c>
      <c r="H16303" s="41">
        <v>35.854959999999998</v>
      </c>
      <c r="I16303" s="221"/>
      <c r="J16303" s="221"/>
    </row>
    <row r="16304" spans="1:10" s="15" customFormat="1" ht="24" hidden="1" customHeight="1" outlineLevel="1" x14ac:dyDescent="0.25">
      <c r="A16304" s="18">
        <v>4441</v>
      </c>
      <c r="B16304" s="4" t="s">
        <v>44</v>
      </c>
      <c r="C16304" s="38" t="s">
        <v>13366</v>
      </c>
      <c r="D16304" s="18">
        <v>2023</v>
      </c>
      <c r="E16304" s="18" t="s">
        <v>0</v>
      </c>
      <c r="F16304" s="41">
        <v>1</v>
      </c>
      <c r="G16304" s="41">
        <v>15</v>
      </c>
      <c r="H16304" s="41">
        <v>35.740960000000001</v>
      </c>
      <c r="I16304" s="221"/>
      <c r="J16304" s="221"/>
    </row>
    <row r="16305" spans="1:10" s="15" customFormat="1" ht="24" hidden="1" customHeight="1" outlineLevel="1" x14ac:dyDescent="0.25">
      <c r="A16305" s="18">
        <v>1897</v>
      </c>
      <c r="B16305" s="4" t="s">
        <v>44</v>
      </c>
      <c r="C16305" s="38" t="s">
        <v>13367</v>
      </c>
      <c r="D16305" s="18">
        <v>2023</v>
      </c>
      <c r="E16305" s="18" t="s">
        <v>0</v>
      </c>
      <c r="F16305" s="41">
        <v>1</v>
      </c>
      <c r="G16305" s="41">
        <v>10</v>
      </c>
      <c r="H16305" s="41">
        <v>35.854680000000002</v>
      </c>
      <c r="I16305" s="221"/>
      <c r="J16305" s="221"/>
    </row>
    <row r="16306" spans="1:10" s="15" customFormat="1" ht="24" hidden="1" customHeight="1" outlineLevel="1" x14ac:dyDescent="0.25">
      <c r="A16306" s="18">
        <v>4447</v>
      </c>
      <c r="B16306" s="4" t="s">
        <v>44</v>
      </c>
      <c r="C16306" s="38" t="s">
        <v>13368</v>
      </c>
      <c r="D16306" s="18">
        <v>2023</v>
      </c>
      <c r="E16306" s="18" t="s">
        <v>0</v>
      </c>
      <c r="F16306" s="41">
        <v>1</v>
      </c>
      <c r="G16306" s="41">
        <v>150</v>
      </c>
      <c r="H16306" s="41">
        <v>35.456949999999999</v>
      </c>
      <c r="I16306" s="221"/>
      <c r="J16306" s="221"/>
    </row>
    <row r="16307" spans="1:10" s="15" customFormat="1" ht="24" hidden="1" customHeight="1" outlineLevel="1" x14ac:dyDescent="0.25">
      <c r="A16307" s="18">
        <v>343</v>
      </c>
      <c r="B16307" s="4" t="s">
        <v>44</v>
      </c>
      <c r="C16307" s="38" t="s">
        <v>13369</v>
      </c>
      <c r="D16307" s="18">
        <v>2023</v>
      </c>
      <c r="E16307" s="18" t="s">
        <v>0</v>
      </c>
      <c r="F16307" s="41">
        <v>1</v>
      </c>
      <c r="G16307" s="41">
        <v>15</v>
      </c>
      <c r="H16307" s="41">
        <v>35.299059999999997</v>
      </c>
      <c r="I16307" s="221"/>
      <c r="J16307" s="221"/>
    </row>
    <row r="16308" spans="1:10" s="15" customFormat="1" ht="24" hidden="1" customHeight="1" outlineLevel="1" x14ac:dyDescent="0.25">
      <c r="A16308" s="18">
        <v>1380</v>
      </c>
      <c r="B16308" s="4" t="s">
        <v>44</v>
      </c>
      <c r="C16308" s="38" t="s">
        <v>13370</v>
      </c>
      <c r="D16308" s="18">
        <v>2023</v>
      </c>
      <c r="E16308" s="18" t="s">
        <v>0</v>
      </c>
      <c r="F16308" s="41">
        <v>1</v>
      </c>
      <c r="G16308" s="41">
        <v>5</v>
      </c>
      <c r="H16308" s="41">
        <v>35.456949999999999</v>
      </c>
      <c r="I16308" s="221"/>
      <c r="J16308" s="221"/>
    </row>
    <row r="16309" spans="1:10" s="15" customFormat="1" ht="24" hidden="1" customHeight="1" outlineLevel="1" x14ac:dyDescent="0.25">
      <c r="A16309" s="18">
        <v>4446</v>
      </c>
      <c r="B16309" s="4" t="s">
        <v>44</v>
      </c>
      <c r="C16309" s="38" t="s">
        <v>13371</v>
      </c>
      <c r="D16309" s="18">
        <v>2023</v>
      </c>
      <c r="E16309" s="18" t="s">
        <v>0</v>
      </c>
      <c r="F16309" s="41">
        <v>1</v>
      </c>
      <c r="G16309" s="41">
        <v>150</v>
      </c>
      <c r="H16309" s="41">
        <v>35.456949999999999</v>
      </c>
      <c r="I16309" s="221"/>
      <c r="J16309" s="221"/>
    </row>
    <row r="16310" spans="1:10" s="15" customFormat="1" ht="24" hidden="1" customHeight="1" outlineLevel="1" x14ac:dyDescent="0.25">
      <c r="A16310" s="18">
        <v>4449</v>
      </c>
      <c r="B16310" s="4" t="s">
        <v>44</v>
      </c>
      <c r="C16310" s="38" t="s">
        <v>13372</v>
      </c>
      <c r="D16310" s="18">
        <v>2023</v>
      </c>
      <c r="E16310" s="18" t="s">
        <v>0</v>
      </c>
      <c r="F16310" s="41">
        <v>1</v>
      </c>
      <c r="G16310" s="41">
        <v>15</v>
      </c>
      <c r="H16310" s="41">
        <v>24.608820000000001</v>
      </c>
      <c r="I16310" s="221"/>
      <c r="J16310" s="221"/>
    </row>
    <row r="16311" spans="1:10" s="15" customFormat="1" ht="24" hidden="1" customHeight="1" outlineLevel="1" x14ac:dyDescent="0.25">
      <c r="A16311" s="18">
        <v>4444</v>
      </c>
      <c r="B16311" s="4" t="s">
        <v>44</v>
      </c>
      <c r="C16311" s="38" t="s">
        <v>13373</v>
      </c>
      <c r="D16311" s="18">
        <v>2023</v>
      </c>
      <c r="E16311" s="18" t="s">
        <v>0</v>
      </c>
      <c r="F16311" s="41">
        <v>2</v>
      </c>
      <c r="G16311" s="41">
        <v>30</v>
      </c>
      <c r="H16311" s="41">
        <v>72.478760000000008</v>
      </c>
      <c r="I16311" s="221"/>
      <c r="J16311" s="221"/>
    </row>
    <row r="16312" spans="1:10" s="15" customFormat="1" ht="24" hidden="1" customHeight="1" outlineLevel="1" x14ac:dyDescent="0.25">
      <c r="A16312" s="18">
        <v>4445</v>
      </c>
      <c r="B16312" s="4" t="s">
        <v>44</v>
      </c>
      <c r="C16312" s="38" t="s">
        <v>13374</v>
      </c>
      <c r="D16312" s="18">
        <v>2023</v>
      </c>
      <c r="E16312" s="18" t="s">
        <v>0</v>
      </c>
      <c r="F16312" s="41">
        <v>2</v>
      </c>
      <c r="G16312" s="41">
        <v>25</v>
      </c>
      <c r="H16312" s="41">
        <v>72.479070000000007</v>
      </c>
      <c r="I16312" s="221"/>
      <c r="J16312" s="221"/>
    </row>
    <row r="16313" spans="1:10" s="15" customFormat="1" ht="24" hidden="1" customHeight="1" outlineLevel="1" x14ac:dyDescent="0.25">
      <c r="A16313" s="18">
        <v>1645</v>
      </c>
      <c r="B16313" s="4" t="s">
        <v>44</v>
      </c>
      <c r="C16313" s="38" t="s">
        <v>13375</v>
      </c>
      <c r="D16313" s="18">
        <v>2023</v>
      </c>
      <c r="E16313" s="18" t="s">
        <v>0</v>
      </c>
      <c r="F16313" s="41">
        <v>1</v>
      </c>
      <c r="G16313" s="41">
        <v>1</v>
      </c>
      <c r="H16313" s="41">
        <v>37.317280000000004</v>
      </c>
      <c r="I16313" s="221"/>
      <c r="J16313" s="221"/>
    </row>
    <row r="16314" spans="1:10" s="15" customFormat="1" ht="24" hidden="1" customHeight="1" outlineLevel="1" x14ac:dyDescent="0.25">
      <c r="A16314" s="18">
        <v>4448</v>
      </c>
      <c r="B16314" s="4" t="s">
        <v>44</v>
      </c>
      <c r="C16314" s="38" t="s">
        <v>13376</v>
      </c>
      <c r="D16314" s="18">
        <v>2023</v>
      </c>
      <c r="E16314" s="18" t="s">
        <v>0</v>
      </c>
      <c r="F16314" s="41">
        <v>1</v>
      </c>
      <c r="G16314" s="41">
        <v>15</v>
      </c>
      <c r="H16314" s="41">
        <v>36.283999999999999</v>
      </c>
      <c r="I16314" s="221"/>
      <c r="J16314" s="221"/>
    </row>
    <row r="16315" spans="1:10" s="15" customFormat="1" ht="24" hidden="1" customHeight="1" outlineLevel="1" x14ac:dyDescent="0.25">
      <c r="A16315" s="18">
        <v>1924</v>
      </c>
      <c r="B16315" s="4" t="s">
        <v>44</v>
      </c>
      <c r="C16315" s="38" t="s">
        <v>13377</v>
      </c>
      <c r="D16315" s="18">
        <v>2023</v>
      </c>
      <c r="E16315" s="18" t="s">
        <v>0</v>
      </c>
      <c r="F16315" s="41">
        <v>8</v>
      </c>
      <c r="G16315" s="41">
        <v>108</v>
      </c>
      <c r="H16315" s="41">
        <v>282.9846</v>
      </c>
      <c r="I16315" s="221"/>
      <c r="J16315" s="221"/>
    </row>
    <row r="16316" spans="1:10" s="15" customFormat="1" ht="24" hidden="1" customHeight="1" outlineLevel="1" x14ac:dyDescent="0.25">
      <c r="A16316" s="18">
        <v>1989</v>
      </c>
      <c r="B16316" s="4" t="s">
        <v>44</v>
      </c>
      <c r="C16316" s="38" t="s">
        <v>13378</v>
      </c>
      <c r="D16316" s="18">
        <v>2023</v>
      </c>
      <c r="E16316" s="18" t="s">
        <v>0</v>
      </c>
      <c r="F16316" s="41">
        <v>5</v>
      </c>
      <c r="G16316" s="41">
        <v>51</v>
      </c>
      <c r="H16316" s="41">
        <v>176.89002000000002</v>
      </c>
      <c r="I16316" s="221"/>
      <c r="J16316" s="221"/>
    </row>
    <row r="16317" spans="1:10" s="15" customFormat="1" ht="24" hidden="1" customHeight="1" outlineLevel="1" x14ac:dyDescent="0.25">
      <c r="A16317" s="18">
        <v>1934</v>
      </c>
      <c r="B16317" s="4" t="s">
        <v>44</v>
      </c>
      <c r="C16317" s="38" t="s">
        <v>13379</v>
      </c>
      <c r="D16317" s="18">
        <v>2023</v>
      </c>
      <c r="E16317" s="18" t="s">
        <v>0</v>
      </c>
      <c r="F16317" s="41">
        <v>3</v>
      </c>
      <c r="G16317" s="41">
        <v>30</v>
      </c>
      <c r="H16317" s="41">
        <v>105.8974</v>
      </c>
      <c r="I16317" s="221"/>
      <c r="J16317" s="221"/>
    </row>
    <row r="16318" spans="1:10" s="15" customFormat="1" ht="24" hidden="1" customHeight="1" outlineLevel="1" x14ac:dyDescent="0.25">
      <c r="A16318" s="18">
        <v>2024</v>
      </c>
      <c r="B16318" s="4" t="s">
        <v>44</v>
      </c>
      <c r="C16318" s="38" t="s">
        <v>13380</v>
      </c>
      <c r="D16318" s="18">
        <v>2023</v>
      </c>
      <c r="E16318" s="18" t="s">
        <v>0</v>
      </c>
      <c r="F16318" s="41">
        <v>8</v>
      </c>
      <c r="G16318" s="41">
        <v>100</v>
      </c>
      <c r="H16318" s="41">
        <v>282.90573000000001</v>
      </c>
      <c r="I16318" s="221"/>
      <c r="J16318" s="221"/>
    </row>
    <row r="16319" spans="1:10" s="15" customFormat="1" ht="24" hidden="1" customHeight="1" outlineLevel="1" x14ac:dyDescent="0.25">
      <c r="A16319" s="18">
        <v>785</v>
      </c>
      <c r="B16319" s="4" t="s">
        <v>44</v>
      </c>
      <c r="C16319" s="38" t="s">
        <v>13381</v>
      </c>
      <c r="D16319" s="18">
        <v>2023</v>
      </c>
      <c r="E16319" s="18" t="s">
        <v>0</v>
      </c>
      <c r="F16319" s="41">
        <v>18</v>
      </c>
      <c r="G16319" s="41">
        <v>15</v>
      </c>
      <c r="H16319" s="41">
        <v>632.10910000000001</v>
      </c>
      <c r="I16319" s="221"/>
      <c r="J16319" s="221"/>
    </row>
    <row r="16320" spans="1:10" s="15" customFormat="1" ht="24" hidden="1" customHeight="1" outlineLevel="1" x14ac:dyDescent="0.25">
      <c r="A16320" s="18">
        <v>4463</v>
      </c>
      <c r="B16320" s="4" t="s">
        <v>44</v>
      </c>
      <c r="C16320" s="38" t="s">
        <v>13382</v>
      </c>
      <c r="D16320" s="18">
        <v>2023</v>
      </c>
      <c r="E16320" s="18" t="s">
        <v>0</v>
      </c>
      <c r="F16320" s="41">
        <v>1</v>
      </c>
      <c r="G16320" s="41">
        <v>6</v>
      </c>
      <c r="H16320" s="41">
        <v>35.761000000000003</v>
      </c>
      <c r="I16320" s="221"/>
      <c r="J16320" s="221"/>
    </row>
    <row r="16321" spans="1:10" s="15" customFormat="1" ht="24" hidden="1" customHeight="1" outlineLevel="1" x14ac:dyDescent="0.25">
      <c r="A16321" s="18">
        <v>4466</v>
      </c>
      <c r="B16321" s="4" t="s">
        <v>44</v>
      </c>
      <c r="C16321" s="38" t="s">
        <v>13383</v>
      </c>
      <c r="D16321" s="18">
        <v>2023</v>
      </c>
      <c r="E16321" s="18" t="s">
        <v>0</v>
      </c>
      <c r="F16321" s="41">
        <v>1</v>
      </c>
      <c r="G16321" s="41">
        <v>75</v>
      </c>
      <c r="H16321" s="41">
        <v>35.421990000000001</v>
      </c>
      <c r="I16321" s="221"/>
      <c r="J16321" s="221"/>
    </row>
    <row r="16322" spans="1:10" s="15" customFormat="1" ht="24" hidden="1" customHeight="1" outlineLevel="1" x14ac:dyDescent="0.25">
      <c r="A16322" s="18">
        <v>4458</v>
      </c>
      <c r="B16322" s="4" t="s">
        <v>44</v>
      </c>
      <c r="C16322" s="38" t="s">
        <v>13384</v>
      </c>
      <c r="D16322" s="18">
        <v>2023</v>
      </c>
      <c r="E16322" s="18" t="s">
        <v>0</v>
      </c>
      <c r="F16322" s="41">
        <v>4</v>
      </c>
      <c r="G16322" s="41">
        <v>60</v>
      </c>
      <c r="H16322" s="41">
        <v>142.43102999999999</v>
      </c>
      <c r="I16322" s="221"/>
      <c r="J16322" s="221"/>
    </row>
    <row r="16323" spans="1:10" s="15" customFormat="1" ht="24" hidden="1" customHeight="1" outlineLevel="1" x14ac:dyDescent="0.25">
      <c r="A16323" s="18">
        <v>4457</v>
      </c>
      <c r="B16323" s="4" t="s">
        <v>44</v>
      </c>
      <c r="C16323" s="38" t="s">
        <v>13385</v>
      </c>
      <c r="D16323" s="18">
        <v>2023</v>
      </c>
      <c r="E16323" s="18" t="s">
        <v>0</v>
      </c>
      <c r="F16323" s="41">
        <v>2</v>
      </c>
      <c r="G16323" s="41">
        <v>30</v>
      </c>
      <c r="H16323" s="41">
        <v>70.466630000000009</v>
      </c>
      <c r="I16323" s="221"/>
      <c r="J16323" s="221"/>
    </row>
    <row r="16324" spans="1:10" s="15" customFormat="1" ht="24" hidden="1" customHeight="1" outlineLevel="1" x14ac:dyDescent="0.25">
      <c r="A16324" s="18">
        <v>4468</v>
      </c>
      <c r="B16324" s="4" t="s">
        <v>44</v>
      </c>
      <c r="C16324" s="38" t="s">
        <v>13386</v>
      </c>
      <c r="D16324" s="18">
        <v>2023</v>
      </c>
      <c r="E16324" s="18" t="s">
        <v>0</v>
      </c>
      <c r="F16324" s="41">
        <v>1</v>
      </c>
      <c r="G16324" s="41">
        <v>15</v>
      </c>
      <c r="H16324" s="41">
        <v>36.278509999999997</v>
      </c>
      <c r="I16324" s="221"/>
      <c r="J16324" s="221"/>
    </row>
    <row r="16325" spans="1:10" s="15" customFormat="1" ht="24" hidden="1" customHeight="1" outlineLevel="1" x14ac:dyDescent="0.25">
      <c r="A16325" s="18">
        <v>2029</v>
      </c>
      <c r="B16325" s="4" t="s">
        <v>44</v>
      </c>
      <c r="C16325" s="38" t="s">
        <v>13387</v>
      </c>
      <c r="D16325" s="18">
        <v>2023</v>
      </c>
      <c r="E16325" s="18" t="s">
        <v>0</v>
      </c>
      <c r="F16325" s="41">
        <v>9</v>
      </c>
      <c r="G16325" s="41">
        <v>128</v>
      </c>
      <c r="H16325" s="41">
        <v>319.14630999999997</v>
      </c>
      <c r="I16325" s="221"/>
      <c r="J16325" s="221"/>
    </row>
    <row r="16326" spans="1:10" s="15" customFormat="1" ht="24" hidden="1" customHeight="1" outlineLevel="1" x14ac:dyDescent="0.25">
      <c r="A16326" s="18">
        <v>2084</v>
      </c>
      <c r="B16326" s="4" t="s">
        <v>44</v>
      </c>
      <c r="C16326" s="38" t="s">
        <v>13388</v>
      </c>
      <c r="D16326" s="18">
        <v>2023</v>
      </c>
      <c r="E16326" s="18" t="s">
        <v>0</v>
      </c>
      <c r="F16326" s="41">
        <v>3</v>
      </c>
      <c r="G16326" s="41">
        <v>35</v>
      </c>
      <c r="H16326" s="41">
        <v>106.10614</v>
      </c>
      <c r="I16326" s="221"/>
      <c r="J16326" s="221"/>
    </row>
    <row r="16327" spans="1:10" s="15" customFormat="1" ht="24" hidden="1" customHeight="1" outlineLevel="1" x14ac:dyDescent="0.25">
      <c r="A16327" s="18">
        <v>2062</v>
      </c>
      <c r="B16327" s="4" t="s">
        <v>44</v>
      </c>
      <c r="C16327" s="38" t="s">
        <v>13389</v>
      </c>
      <c r="D16327" s="18">
        <v>2023</v>
      </c>
      <c r="E16327" s="18" t="s">
        <v>0</v>
      </c>
      <c r="F16327" s="41">
        <v>16</v>
      </c>
      <c r="G16327" s="41">
        <v>173</v>
      </c>
      <c r="H16327" s="41">
        <v>563.15170999999998</v>
      </c>
      <c r="I16327" s="221"/>
      <c r="J16327" s="221"/>
    </row>
    <row r="16328" spans="1:10" s="15" customFormat="1" ht="24" hidden="1" customHeight="1" outlineLevel="1" x14ac:dyDescent="0.25">
      <c r="A16328" s="18">
        <v>2123</v>
      </c>
      <c r="B16328" s="4" t="s">
        <v>44</v>
      </c>
      <c r="C16328" s="38" t="s">
        <v>13390</v>
      </c>
      <c r="D16328" s="18">
        <v>2023</v>
      </c>
      <c r="E16328" s="18" t="s">
        <v>0</v>
      </c>
      <c r="F16328" s="41">
        <v>19</v>
      </c>
      <c r="G16328" s="41">
        <v>215</v>
      </c>
      <c r="H16328" s="41">
        <v>667.92280000000005</v>
      </c>
      <c r="I16328" s="221"/>
      <c r="J16328" s="221"/>
    </row>
    <row r="16329" spans="1:10" s="15" customFormat="1" ht="24" hidden="1" customHeight="1" outlineLevel="1" x14ac:dyDescent="0.25">
      <c r="A16329" s="18">
        <v>4461</v>
      </c>
      <c r="B16329" s="4" t="s">
        <v>44</v>
      </c>
      <c r="C16329" s="38" t="s">
        <v>13391</v>
      </c>
      <c r="D16329" s="18">
        <v>2023</v>
      </c>
      <c r="E16329" s="18" t="s">
        <v>0</v>
      </c>
      <c r="F16329" s="41">
        <v>1</v>
      </c>
      <c r="G16329" s="41">
        <v>15</v>
      </c>
      <c r="H16329" s="41">
        <v>35.424190000000003</v>
      </c>
      <c r="I16329" s="221"/>
      <c r="J16329" s="221"/>
    </row>
    <row r="16330" spans="1:10" s="15" customFormat="1" ht="24" hidden="1" customHeight="1" outlineLevel="1" x14ac:dyDescent="0.25">
      <c r="A16330" s="18">
        <v>4469</v>
      </c>
      <c r="B16330" s="4" t="s">
        <v>44</v>
      </c>
      <c r="C16330" s="38" t="s">
        <v>13392</v>
      </c>
      <c r="D16330" s="18">
        <v>2023</v>
      </c>
      <c r="E16330" s="18" t="s">
        <v>0</v>
      </c>
      <c r="F16330" s="41">
        <v>1</v>
      </c>
      <c r="G16330" s="41">
        <v>20</v>
      </c>
      <c r="H16330" s="41">
        <v>35.287269999999999</v>
      </c>
      <c r="I16330" s="221"/>
      <c r="J16330" s="221"/>
    </row>
    <row r="16331" spans="1:10" s="15" customFormat="1" ht="24" hidden="1" customHeight="1" outlineLevel="1" x14ac:dyDescent="0.25">
      <c r="A16331" s="18">
        <v>4460</v>
      </c>
      <c r="B16331" s="4" t="s">
        <v>44</v>
      </c>
      <c r="C16331" s="38" t="s">
        <v>13393</v>
      </c>
      <c r="D16331" s="18">
        <v>2023</v>
      </c>
      <c r="E16331" s="18" t="s">
        <v>0</v>
      </c>
      <c r="F16331" s="41">
        <v>1</v>
      </c>
      <c r="G16331" s="41">
        <v>10</v>
      </c>
      <c r="H16331" s="41">
        <v>35.664709999999999</v>
      </c>
      <c r="I16331" s="221"/>
      <c r="J16331" s="221"/>
    </row>
    <row r="16332" spans="1:10" s="15" customFormat="1" ht="24" hidden="1" customHeight="1" outlineLevel="1" x14ac:dyDescent="0.25">
      <c r="A16332" s="18">
        <v>4464</v>
      </c>
      <c r="B16332" s="4" t="s">
        <v>44</v>
      </c>
      <c r="C16332" s="38" t="s">
        <v>13394</v>
      </c>
      <c r="D16332" s="18">
        <v>2023</v>
      </c>
      <c r="E16332" s="18" t="s">
        <v>0</v>
      </c>
      <c r="F16332" s="41">
        <v>1</v>
      </c>
      <c r="G16332" s="41">
        <v>10</v>
      </c>
      <c r="H16332" s="41">
        <v>35.644710000000003</v>
      </c>
      <c r="I16332" s="221"/>
      <c r="J16332" s="221"/>
    </row>
    <row r="16333" spans="1:10" s="15" customFormat="1" ht="24" hidden="1" customHeight="1" outlineLevel="1" x14ac:dyDescent="0.25">
      <c r="A16333" s="18">
        <v>4467</v>
      </c>
      <c r="B16333" s="4" t="s">
        <v>44</v>
      </c>
      <c r="C16333" s="38" t="s">
        <v>13395</v>
      </c>
      <c r="D16333" s="18">
        <v>2023</v>
      </c>
      <c r="E16333" s="18" t="s">
        <v>0</v>
      </c>
      <c r="F16333" s="41">
        <v>1</v>
      </c>
      <c r="G16333" s="41">
        <v>35</v>
      </c>
      <c r="H16333" s="41">
        <v>35.516390000000001</v>
      </c>
      <c r="I16333" s="221"/>
      <c r="J16333" s="221"/>
    </row>
    <row r="16334" spans="1:10" s="15" customFormat="1" ht="24" hidden="1" customHeight="1" outlineLevel="1" x14ac:dyDescent="0.25">
      <c r="A16334" s="18">
        <v>4465</v>
      </c>
      <c r="B16334" s="4" t="s">
        <v>44</v>
      </c>
      <c r="C16334" s="38" t="s">
        <v>13396</v>
      </c>
      <c r="D16334" s="18">
        <v>2023</v>
      </c>
      <c r="E16334" s="18" t="s">
        <v>0</v>
      </c>
      <c r="F16334" s="41">
        <v>1</v>
      </c>
      <c r="G16334" s="41">
        <v>10</v>
      </c>
      <c r="H16334" s="41">
        <v>35.287419999999997</v>
      </c>
      <c r="I16334" s="221"/>
      <c r="J16334" s="221"/>
    </row>
    <row r="16335" spans="1:10" s="15" customFormat="1" ht="24" hidden="1" customHeight="1" outlineLevel="1" x14ac:dyDescent="0.25">
      <c r="A16335" s="18">
        <v>2057</v>
      </c>
      <c r="B16335" s="4" t="s">
        <v>44</v>
      </c>
      <c r="C16335" s="38" t="s">
        <v>13397</v>
      </c>
      <c r="D16335" s="18">
        <v>2023</v>
      </c>
      <c r="E16335" s="18" t="s">
        <v>0</v>
      </c>
      <c r="F16335" s="41">
        <v>1</v>
      </c>
      <c r="G16335" s="41">
        <v>2</v>
      </c>
      <c r="H16335" s="41">
        <v>35.86647</v>
      </c>
      <c r="I16335" s="221"/>
      <c r="J16335" s="221"/>
    </row>
    <row r="16336" spans="1:10" s="15" customFormat="1" ht="24" hidden="1" customHeight="1" outlineLevel="1" x14ac:dyDescent="0.25">
      <c r="A16336" s="18">
        <v>4462</v>
      </c>
      <c r="B16336" s="4" t="s">
        <v>44</v>
      </c>
      <c r="C16336" s="38" t="s">
        <v>13398</v>
      </c>
      <c r="D16336" s="18">
        <v>2023</v>
      </c>
      <c r="E16336" s="18" t="s">
        <v>0</v>
      </c>
      <c r="F16336" s="41">
        <v>1</v>
      </c>
      <c r="G16336" s="41">
        <v>10</v>
      </c>
      <c r="H16336" s="41">
        <v>35.86647</v>
      </c>
      <c r="I16336" s="221"/>
      <c r="J16336" s="221"/>
    </row>
    <row r="16337" spans="1:10" s="15" customFormat="1" ht="24" hidden="1" customHeight="1" outlineLevel="1" x14ac:dyDescent="0.25">
      <c r="A16337" s="18">
        <v>851</v>
      </c>
      <c r="B16337" s="4" t="s">
        <v>44</v>
      </c>
      <c r="C16337" s="38" t="s">
        <v>13399</v>
      </c>
      <c r="D16337" s="18">
        <v>2023</v>
      </c>
      <c r="E16337" s="18" t="s">
        <v>0</v>
      </c>
      <c r="F16337" s="41">
        <v>8</v>
      </c>
      <c r="G16337" s="41">
        <v>130</v>
      </c>
      <c r="H16337" s="41">
        <v>290.85193999999996</v>
      </c>
      <c r="I16337" s="221"/>
      <c r="J16337" s="221"/>
    </row>
    <row r="16338" spans="1:10" s="15" customFormat="1" ht="24" hidden="1" customHeight="1" outlineLevel="1" x14ac:dyDescent="0.25">
      <c r="A16338" s="18">
        <v>4476</v>
      </c>
      <c r="B16338" s="4" t="s">
        <v>44</v>
      </c>
      <c r="C16338" s="38" t="s">
        <v>13400</v>
      </c>
      <c r="D16338" s="18">
        <v>2023</v>
      </c>
      <c r="E16338" s="18" t="s">
        <v>0</v>
      </c>
      <c r="F16338" s="41">
        <v>1</v>
      </c>
      <c r="G16338" s="41">
        <v>10</v>
      </c>
      <c r="H16338" s="41">
        <v>35.699199999999998</v>
      </c>
      <c r="I16338" s="221"/>
      <c r="J16338" s="221"/>
    </row>
    <row r="16339" spans="1:10" s="15" customFormat="1" ht="24" hidden="1" customHeight="1" outlineLevel="1" x14ac:dyDescent="0.25">
      <c r="A16339" s="18">
        <v>2148</v>
      </c>
      <c r="B16339" s="4" t="s">
        <v>44</v>
      </c>
      <c r="C16339" s="38" t="s">
        <v>13401</v>
      </c>
      <c r="D16339" s="18">
        <v>2023</v>
      </c>
      <c r="E16339" s="18" t="s">
        <v>0</v>
      </c>
      <c r="F16339" s="41">
        <v>9</v>
      </c>
      <c r="G16339" s="41">
        <v>108</v>
      </c>
      <c r="H16339" s="41">
        <v>317.64612</v>
      </c>
      <c r="I16339" s="221"/>
      <c r="J16339" s="221"/>
    </row>
    <row r="16340" spans="1:10" s="15" customFormat="1" ht="24" hidden="1" customHeight="1" outlineLevel="1" x14ac:dyDescent="0.25">
      <c r="A16340" s="18">
        <v>2150</v>
      </c>
      <c r="B16340" s="4" t="s">
        <v>44</v>
      </c>
      <c r="C16340" s="38" t="s">
        <v>13402</v>
      </c>
      <c r="D16340" s="18">
        <v>2023</v>
      </c>
      <c r="E16340" s="18" t="s">
        <v>0</v>
      </c>
      <c r="F16340" s="41">
        <v>8</v>
      </c>
      <c r="G16340" s="41">
        <v>85</v>
      </c>
      <c r="H16340" s="41">
        <v>283.16235</v>
      </c>
      <c r="I16340" s="221"/>
      <c r="J16340" s="221"/>
    </row>
    <row r="16341" spans="1:10" s="15" customFormat="1" ht="24" hidden="1" customHeight="1" outlineLevel="1" x14ac:dyDescent="0.25">
      <c r="A16341" s="18">
        <v>2287</v>
      </c>
      <c r="B16341" s="4" t="s">
        <v>44</v>
      </c>
      <c r="C16341" s="38" t="s">
        <v>13403</v>
      </c>
      <c r="D16341" s="18">
        <v>2023</v>
      </c>
      <c r="E16341" s="18" t="s">
        <v>0</v>
      </c>
      <c r="F16341" s="41">
        <v>3</v>
      </c>
      <c r="G16341" s="41">
        <v>30</v>
      </c>
      <c r="H16341" s="41">
        <v>107.46227999999999</v>
      </c>
      <c r="I16341" s="221"/>
      <c r="J16341" s="221"/>
    </row>
    <row r="16342" spans="1:10" s="15" customFormat="1" ht="24" hidden="1" customHeight="1" outlineLevel="1" x14ac:dyDescent="0.25">
      <c r="A16342" s="18">
        <v>2303</v>
      </c>
      <c r="B16342" s="4" t="s">
        <v>44</v>
      </c>
      <c r="C16342" s="38" t="s">
        <v>13404</v>
      </c>
      <c r="D16342" s="18">
        <v>2023</v>
      </c>
      <c r="E16342" s="18" t="s">
        <v>0</v>
      </c>
      <c r="F16342" s="41">
        <v>20</v>
      </c>
      <c r="G16342" s="41">
        <v>255</v>
      </c>
      <c r="H16342" s="41">
        <v>706.08231000000001</v>
      </c>
      <c r="I16342" s="221"/>
      <c r="J16342" s="221"/>
    </row>
    <row r="16343" spans="1:10" s="15" customFormat="1" ht="24" hidden="1" customHeight="1" outlineLevel="1" x14ac:dyDescent="0.25">
      <c r="A16343" s="18">
        <v>4471</v>
      </c>
      <c r="B16343" s="4" t="s">
        <v>44</v>
      </c>
      <c r="C16343" s="38" t="s">
        <v>13405</v>
      </c>
      <c r="D16343" s="18">
        <v>2023</v>
      </c>
      <c r="E16343" s="18" t="s">
        <v>0</v>
      </c>
      <c r="F16343" s="41">
        <v>1</v>
      </c>
      <c r="G16343" s="41">
        <v>15</v>
      </c>
      <c r="H16343" s="41">
        <v>35.344500000000004</v>
      </c>
      <c r="I16343" s="221"/>
      <c r="J16343" s="221"/>
    </row>
    <row r="16344" spans="1:10" s="15" customFormat="1" ht="24" hidden="1" customHeight="1" outlineLevel="1" x14ac:dyDescent="0.25">
      <c r="A16344" s="18">
        <v>2248</v>
      </c>
      <c r="B16344" s="4" t="s">
        <v>44</v>
      </c>
      <c r="C16344" s="38" t="s">
        <v>13406</v>
      </c>
      <c r="D16344" s="18">
        <v>2023</v>
      </c>
      <c r="E16344" s="18" t="s">
        <v>0</v>
      </c>
      <c r="F16344" s="41">
        <v>4</v>
      </c>
      <c r="G16344" s="41">
        <v>60</v>
      </c>
      <c r="H16344" s="41">
        <v>141.45919000000001</v>
      </c>
      <c r="I16344" s="221"/>
      <c r="J16344" s="221"/>
    </row>
    <row r="16345" spans="1:10" s="15" customFormat="1" ht="24" hidden="1" customHeight="1" outlineLevel="1" x14ac:dyDescent="0.25">
      <c r="A16345" s="18">
        <v>2285</v>
      </c>
      <c r="B16345" s="4" t="s">
        <v>44</v>
      </c>
      <c r="C16345" s="38" t="s">
        <v>13407</v>
      </c>
      <c r="D16345" s="18">
        <v>2023</v>
      </c>
      <c r="E16345" s="18" t="s">
        <v>0</v>
      </c>
      <c r="F16345" s="41">
        <v>8</v>
      </c>
      <c r="G16345" s="41">
        <v>110</v>
      </c>
      <c r="H16345" s="41">
        <v>283.77024</v>
      </c>
      <c r="I16345" s="221"/>
      <c r="J16345" s="221"/>
    </row>
    <row r="16346" spans="1:10" s="15" customFormat="1" ht="24" hidden="1" customHeight="1" outlineLevel="1" x14ac:dyDescent="0.25">
      <c r="A16346" s="18">
        <v>2212</v>
      </c>
      <c r="B16346" s="4" t="s">
        <v>44</v>
      </c>
      <c r="C16346" s="38" t="s">
        <v>13408</v>
      </c>
      <c r="D16346" s="18">
        <v>2023</v>
      </c>
      <c r="E16346" s="18" t="s">
        <v>0</v>
      </c>
      <c r="F16346" s="41">
        <v>1</v>
      </c>
      <c r="G16346" s="41">
        <v>1</v>
      </c>
      <c r="H16346" s="41">
        <v>35.452169999999995</v>
      </c>
      <c r="I16346" s="221"/>
      <c r="J16346" s="221"/>
    </row>
    <row r="16347" spans="1:10" s="15" customFormat="1" ht="24" hidden="1" customHeight="1" outlineLevel="1" x14ac:dyDescent="0.25">
      <c r="A16347" s="18">
        <v>4472</v>
      </c>
      <c r="B16347" s="4" t="s">
        <v>44</v>
      </c>
      <c r="C16347" s="38" t="s">
        <v>13409</v>
      </c>
      <c r="D16347" s="18">
        <v>2023</v>
      </c>
      <c r="E16347" s="18" t="s">
        <v>0</v>
      </c>
      <c r="F16347" s="41">
        <v>1</v>
      </c>
      <c r="G16347" s="41">
        <v>15</v>
      </c>
      <c r="H16347" s="41">
        <v>35.452169999999995</v>
      </c>
      <c r="I16347" s="221"/>
      <c r="J16347" s="221"/>
    </row>
    <row r="16348" spans="1:10" s="15" customFormat="1" ht="24" hidden="1" customHeight="1" outlineLevel="1" x14ac:dyDescent="0.25">
      <c r="A16348" s="18">
        <v>4473</v>
      </c>
      <c r="B16348" s="4" t="s">
        <v>44</v>
      </c>
      <c r="C16348" s="38" t="s">
        <v>13410</v>
      </c>
      <c r="D16348" s="18">
        <v>2023</v>
      </c>
      <c r="E16348" s="18" t="s">
        <v>0</v>
      </c>
      <c r="F16348" s="41">
        <v>1</v>
      </c>
      <c r="G16348" s="41">
        <v>15</v>
      </c>
      <c r="H16348" s="41">
        <v>37.340510000000002</v>
      </c>
      <c r="I16348" s="221"/>
      <c r="J16348" s="221"/>
    </row>
    <row r="16349" spans="1:10" s="15" customFormat="1" ht="24" hidden="1" customHeight="1" outlineLevel="1" x14ac:dyDescent="0.25">
      <c r="A16349" s="18">
        <v>4479</v>
      </c>
      <c r="B16349" s="4" t="s">
        <v>44</v>
      </c>
      <c r="C16349" s="38" t="s">
        <v>13411</v>
      </c>
      <c r="D16349" s="18">
        <v>2023</v>
      </c>
      <c r="E16349" s="18" t="s">
        <v>0</v>
      </c>
      <c r="F16349" s="41">
        <v>1</v>
      </c>
      <c r="G16349" s="41">
        <v>15</v>
      </c>
      <c r="H16349" s="41">
        <v>37.340510000000002</v>
      </c>
      <c r="I16349" s="221"/>
      <c r="J16349" s="221"/>
    </row>
    <row r="16350" spans="1:10" s="15" customFormat="1" ht="24" hidden="1" customHeight="1" outlineLevel="1" x14ac:dyDescent="0.25">
      <c r="A16350" s="18">
        <v>4480</v>
      </c>
      <c r="B16350" s="4" t="s">
        <v>44</v>
      </c>
      <c r="C16350" s="38" t="s">
        <v>13412</v>
      </c>
      <c r="D16350" s="18">
        <v>2023</v>
      </c>
      <c r="E16350" s="18" t="s">
        <v>0</v>
      </c>
      <c r="F16350" s="41">
        <v>1</v>
      </c>
      <c r="G16350" s="41">
        <v>15</v>
      </c>
      <c r="H16350" s="41">
        <v>37.340510000000002</v>
      </c>
      <c r="I16350" s="221"/>
      <c r="J16350" s="221"/>
    </row>
    <row r="16351" spans="1:10" s="15" customFormat="1" ht="24" hidden="1" customHeight="1" outlineLevel="1" x14ac:dyDescent="0.25">
      <c r="A16351" s="18">
        <v>4481</v>
      </c>
      <c r="B16351" s="4" t="s">
        <v>44</v>
      </c>
      <c r="C16351" s="38" t="s">
        <v>13413</v>
      </c>
      <c r="D16351" s="18">
        <v>2023</v>
      </c>
      <c r="E16351" s="18" t="s">
        <v>0</v>
      </c>
      <c r="F16351" s="41">
        <v>1</v>
      </c>
      <c r="G16351" s="41">
        <v>13</v>
      </c>
      <c r="H16351" s="41">
        <v>34.958749999999995</v>
      </c>
      <c r="I16351" s="221"/>
      <c r="J16351" s="221"/>
    </row>
    <row r="16352" spans="1:10" s="15" customFormat="1" ht="24" hidden="1" customHeight="1" outlineLevel="1" x14ac:dyDescent="0.25">
      <c r="A16352" s="18">
        <v>4478</v>
      </c>
      <c r="B16352" s="4" t="s">
        <v>44</v>
      </c>
      <c r="C16352" s="38" t="s">
        <v>13414</v>
      </c>
      <c r="D16352" s="18">
        <v>2023</v>
      </c>
      <c r="E16352" s="18" t="s">
        <v>0</v>
      </c>
      <c r="F16352" s="41">
        <v>1</v>
      </c>
      <c r="G16352" s="41">
        <v>10</v>
      </c>
      <c r="H16352" s="41">
        <v>35.542720000000003</v>
      </c>
      <c r="I16352" s="221"/>
      <c r="J16352" s="221"/>
    </row>
    <row r="16353" spans="1:10" s="15" customFormat="1" ht="24" hidden="1" customHeight="1" outlineLevel="1" x14ac:dyDescent="0.25">
      <c r="A16353" s="18">
        <v>4477</v>
      </c>
      <c r="B16353" s="4" t="s">
        <v>44</v>
      </c>
      <c r="C16353" s="38" t="s">
        <v>13415</v>
      </c>
      <c r="D16353" s="18">
        <v>2023</v>
      </c>
      <c r="E16353" s="18" t="s">
        <v>0</v>
      </c>
      <c r="F16353" s="41">
        <v>1</v>
      </c>
      <c r="G16353" s="41">
        <v>15</v>
      </c>
      <c r="H16353" s="41">
        <v>35.724989999999998</v>
      </c>
      <c r="I16353" s="221"/>
      <c r="J16353" s="221"/>
    </row>
    <row r="16354" spans="1:10" s="15" customFormat="1" ht="24" hidden="1" customHeight="1" outlineLevel="1" x14ac:dyDescent="0.25">
      <c r="A16354" s="18">
        <v>4483</v>
      </c>
      <c r="B16354" s="4" t="s">
        <v>44</v>
      </c>
      <c r="C16354" s="38" t="s">
        <v>13416</v>
      </c>
      <c r="D16354" s="18">
        <v>2023</v>
      </c>
      <c r="E16354" s="18" t="s">
        <v>0</v>
      </c>
      <c r="F16354" s="41">
        <v>1</v>
      </c>
      <c r="G16354" s="41">
        <v>10</v>
      </c>
      <c r="H16354" s="41">
        <v>35.633330000000001</v>
      </c>
      <c r="I16354" s="221"/>
      <c r="J16354" s="221"/>
    </row>
    <row r="16355" spans="1:10" s="15" customFormat="1" ht="24" hidden="1" customHeight="1" outlineLevel="1" x14ac:dyDescent="0.25">
      <c r="A16355" s="18">
        <v>4474</v>
      </c>
      <c r="B16355" s="4" t="s">
        <v>44</v>
      </c>
      <c r="C16355" s="38" t="s">
        <v>13417</v>
      </c>
      <c r="D16355" s="18">
        <v>2023</v>
      </c>
      <c r="E16355" s="18" t="s">
        <v>0</v>
      </c>
      <c r="F16355" s="41">
        <v>1</v>
      </c>
      <c r="G16355" s="41">
        <v>15</v>
      </c>
      <c r="H16355" s="41">
        <v>35.633330000000001</v>
      </c>
      <c r="I16355" s="221"/>
      <c r="J16355" s="221"/>
    </row>
    <row r="16356" spans="1:10" s="15" customFormat="1" ht="24" hidden="1" customHeight="1" outlineLevel="1" x14ac:dyDescent="0.25">
      <c r="A16356" s="18">
        <v>4475</v>
      </c>
      <c r="B16356" s="4" t="s">
        <v>44</v>
      </c>
      <c r="C16356" s="38" t="s">
        <v>13418</v>
      </c>
      <c r="D16356" s="18">
        <v>2023</v>
      </c>
      <c r="E16356" s="18" t="s">
        <v>0</v>
      </c>
      <c r="F16356" s="41">
        <v>1</v>
      </c>
      <c r="G16356" s="41">
        <v>15</v>
      </c>
      <c r="H16356" s="41">
        <v>35.633330000000001</v>
      </c>
      <c r="I16356" s="221"/>
      <c r="J16356" s="221"/>
    </row>
    <row r="16357" spans="1:10" s="15" customFormat="1" ht="24" hidden="1" customHeight="1" outlineLevel="1" x14ac:dyDescent="0.25">
      <c r="A16357" s="18">
        <v>4482</v>
      </c>
      <c r="B16357" s="4" t="s">
        <v>44</v>
      </c>
      <c r="C16357" s="38" t="s">
        <v>13419</v>
      </c>
      <c r="D16357" s="18">
        <v>2023</v>
      </c>
      <c r="E16357" s="18" t="s">
        <v>0</v>
      </c>
      <c r="F16357" s="41">
        <v>1</v>
      </c>
      <c r="G16357" s="41">
        <v>15</v>
      </c>
      <c r="H16357" s="41">
        <v>35.633479999999999</v>
      </c>
      <c r="I16357" s="221"/>
      <c r="J16357" s="221"/>
    </row>
    <row r="16358" spans="1:10" s="15" customFormat="1" ht="24" hidden="1" customHeight="1" outlineLevel="1" x14ac:dyDescent="0.25">
      <c r="A16358" s="18">
        <v>4488</v>
      </c>
      <c r="B16358" s="4" t="s">
        <v>44</v>
      </c>
      <c r="C16358" s="38" t="s">
        <v>13420</v>
      </c>
      <c r="D16358" s="18">
        <v>2023</v>
      </c>
      <c r="E16358" s="18" t="s">
        <v>0</v>
      </c>
      <c r="F16358" s="41">
        <v>1</v>
      </c>
      <c r="G16358" s="41">
        <v>100</v>
      </c>
      <c r="H16358" s="41">
        <v>37.201520000000002</v>
      </c>
      <c r="I16358" s="221"/>
      <c r="J16358" s="221"/>
    </row>
    <row r="16359" spans="1:10" s="15" customFormat="1" ht="24" hidden="1" customHeight="1" outlineLevel="1" x14ac:dyDescent="0.25">
      <c r="A16359" s="18">
        <v>2331</v>
      </c>
      <c r="B16359" s="4" t="s">
        <v>44</v>
      </c>
      <c r="C16359" s="38" t="s">
        <v>13421</v>
      </c>
      <c r="D16359" s="18">
        <v>2023</v>
      </c>
      <c r="E16359" s="18" t="s">
        <v>0</v>
      </c>
      <c r="F16359" s="41">
        <v>15</v>
      </c>
      <c r="G16359" s="41">
        <v>215</v>
      </c>
      <c r="H16359" s="41">
        <v>545.85574000000008</v>
      </c>
      <c r="I16359" s="221"/>
      <c r="J16359" s="221"/>
    </row>
    <row r="16360" spans="1:10" s="15" customFormat="1" ht="24" hidden="1" customHeight="1" outlineLevel="1" x14ac:dyDescent="0.25">
      <c r="A16360" s="18">
        <v>1083</v>
      </c>
      <c r="B16360" s="4" t="s">
        <v>44</v>
      </c>
      <c r="C16360" s="38" t="s">
        <v>13422</v>
      </c>
      <c r="D16360" s="18">
        <v>2023</v>
      </c>
      <c r="E16360" s="18" t="s">
        <v>0</v>
      </c>
      <c r="F16360" s="41">
        <v>3</v>
      </c>
      <c r="G16360" s="41">
        <v>15</v>
      </c>
      <c r="H16360" s="41">
        <v>109.34752</v>
      </c>
      <c r="I16360" s="221"/>
      <c r="J16360" s="221"/>
    </row>
    <row r="16361" spans="1:10" s="15" customFormat="1" ht="24" hidden="1" customHeight="1" outlineLevel="1" x14ac:dyDescent="0.25">
      <c r="A16361" s="18">
        <v>4499</v>
      </c>
      <c r="B16361" s="4" t="s">
        <v>44</v>
      </c>
      <c r="C16361" s="38" t="s">
        <v>13423</v>
      </c>
      <c r="D16361" s="18">
        <v>2023</v>
      </c>
      <c r="E16361" s="18" t="s">
        <v>0</v>
      </c>
      <c r="F16361" s="41">
        <v>1</v>
      </c>
      <c r="G16361" s="41">
        <v>150</v>
      </c>
      <c r="H16361" s="41">
        <v>35.781970000000001</v>
      </c>
      <c r="I16361" s="221"/>
      <c r="J16361" s="221"/>
    </row>
    <row r="16362" spans="1:10" s="15" customFormat="1" ht="24" hidden="1" customHeight="1" outlineLevel="1" x14ac:dyDescent="0.25">
      <c r="A16362" s="18">
        <v>4497</v>
      </c>
      <c r="B16362" s="4" t="s">
        <v>44</v>
      </c>
      <c r="C16362" s="38" t="s">
        <v>13424</v>
      </c>
      <c r="D16362" s="18">
        <v>2023</v>
      </c>
      <c r="E16362" s="18" t="s">
        <v>0</v>
      </c>
      <c r="F16362" s="41">
        <v>1</v>
      </c>
      <c r="G16362" s="41">
        <v>15</v>
      </c>
      <c r="H16362" s="41">
        <v>35.971540000000005</v>
      </c>
      <c r="I16362" s="221"/>
      <c r="J16362" s="221"/>
    </row>
    <row r="16363" spans="1:10" s="15" customFormat="1" ht="24" hidden="1" customHeight="1" outlineLevel="1" x14ac:dyDescent="0.25">
      <c r="A16363" s="18">
        <v>1967</v>
      </c>
      <c r="B16363" s="4" t="s">
        <v>44</v>
      </c>
      <c r="C16363" s="38" t="s">
        <v>13425</v>
      </c>
      <c r="D16363" s="18">
        <v>2023</v>
      </c>
      <c r="E16363" s="18" t="s">
        <v>0</v>
      </c>
      <c r="F16363" s="41">
        <v>1</v>
      </c>
      <c r="G16363" s="41">
        <v>15</v>
      </c>
      <c r="H16363" s="41">
        <v>35.971540000000005</v>
      </c>
      <c r="I16363" s="221"/>
      <c r="J16363" s="221"/>
    </row>
    <row r="16364" spans="1:10" s="15" customFormat="1" ht="24" hidden="1" customHeight="1" outlineLevel="1" x14ac:dyDescent="0.25">
      <c r="A16364" s="18">
        <v>2389</v>
      </c>
      <c r="B16364" s="4" t="s">
        <v>44</v>
      </c>
      <c r="C16364" s="38" t="s">
        <v>13426</v>
      </c>
      <c r="D16364" s="18">
        <v>2023</v>
      </c>
      <c r="E16364" s="18" t="s">
        <v>0</v>
      </c>
      <c r="F16364" s="41">
        <v>9</v>
      </c>
      <c r="G16364" s="41">
        <v>125</v>
      </c>
      <c r="H16364" s="41">
        <v>320.63796000000002</v>
      </c>
      <c r="I16364" s="221"/>
      <c r="J16364" s="221"/>
    </row>
    <row r="16365" spans="1:10" s="15" customFormat="1" ht="24" hidden="1" customHeight="1" outlineLevel="1" x14ac:dyDescent="0.25">
      <c r="A16365" s="18">
        <v>2430</v>
      </c>
      <c r="B16365" s="4" t="s">
        <v>44</v>
      </c>
      <c r="C16365" s="38" t="s">
        <v>13427</v>
      </c>
      <c r="D16365" s="18">
        <v>2023</v>
      </c>
      <c r="E16365" s="18" t="s">
        <v>0</v>
      </c>
      <c r="F16365" s="41">
        <v>7</v>
      </c>
      <c r="G16365" s="41">
        <v>97</v>
      </c>
      <c r="H16365" s="41">
        <v>247.90595000000002</v>
      </c>
      <c r="I16365" s="221"/>
      <c r="J16365" s="221"/>
    </row>
    <row r="16366" spans="1:10" s="15" customFormat="1" ht="24" hidden="1" customHeight="1" outlineLevel="1" x14ac:dyDescent="0.25">
      <c r="A16366" s="18">
        <v>2467</v>
      </c>
      <c r="B16366" s="4" t="s">
        <v>44</v>
      </c>
      <c r="C16366" s="38" t="s">
        <v>13428</v>
      </c>
      <c r="D16366" s="18">
        <v>2023</v>
      </c>
      <c r="E16366" s="18" t="s">
        <v>0</v>
      </c>
      <c r="F16366" s="41">
        <v>10</v>
      </c>
      <c r="G16366" s="41">
        <v>144</v>
      </c>
      <c r="H16366" s="41">
        <v>354.91770000000002</v>
      </c>
      <c r="I16366" s="221"/>
      <c r="J16366" s="221"/>
    </row>
    <row r="16367" spans="1:10" s="15" customFormat="1" ht="24" hidden="1" customHeight="1" outlineLevel="1" x14ac:dyDescent="0.25">
      <c r="A16367" s="18">
        <v>2508</v>
      </c>
      <c r="B16367" s="4" t="s">
        <v>44</v>
      </c>
      <c r="C16367" s="38" t="s">
        <v>13429</v>
      </c>
      <c r="D16367" s="18">
        <v>2023</v>
      </c>
      <c r="E16367" s="18" t="s">
        <v>0</v>
      </c>
      <c r="F16367" s="41">
        <v>3</v>
      </c>
      <c r="G16367" s="41">
        <v>25</v>
      </c>
      <c r="H16367" s="41">
        <v>106.45422000000001</v>
      </c>
      <c r="I16367" s="221"/>
      <c r="J16367" s="221"/>
    </row>
    <row r="16368" spans="1:10" s="15" customFormat="1" ht="24" hidden="1" customHeight="1" outlineLevel="1" x14ac:dyDescent="0.25">
      <c r="A16368" s="18">
        <v>2566</v>
      </c>
      <c r="B16368" s="4" t="s">
        <v>44</v>
      </c>
      <c r="C16368" s="38" t="s">
        <v>13430</v>
      </c>
      <c r="D16368" s="18">
        <v>2023</v>
      </c>
      <c r="E16368" s="18" t="s">
        <v>0</v>
      </c>
      <c r="F16368" s="41">
        <v>16</v>
      </c>
      <c r="G16368" s="41">
        <v>225</v>
      </c>
      <c r="H16368" s="41">
        <v>567.27828</v>
      </c>
      <c r="I16368" s="221"/>
      <c r="J16368" s="221"/>
    </row>
    <row r="16369" spans="1:10" s="15" customFormat="1" ht="24" hidden="1" customHeight="1" outlineLevel="1" x14ac:dyDescent="0.25">
      <c r="A16369" s="18">
        <v>4495</v>
      </c>
      <c r="B16369" s="4" t="s">
        <v>44</v>
      </c>
      <c r="C16369" s="38" t="s">
        <v>13431</v>
      </c>
      <c r="D16369" s="18">
        <v>2023</v>
      </c>
      <c r="E16369" s="18" t="s">
        <v>0</v>
      </c>
      <c r="F16369" s="41">
        <v>1</v>
      </c>
      <c r="G16369" s="41">
        <v>13</v>
      </c>
      <c r="H16369" s="41">
        <v>35.830359999999999</v>
      </c>
      <c r="I16369" s="221"/>
      <c r="J16369" s="221"/>
    </row>
    <row r="16370" spans="1:10" s="15" customFormat="1" ht="24" hidden="1" customHeight="1" outlineLevel="1" x14ac:dyDescent="0.25">
      <c r="A16370" s="18">
        <v>4491</v>
      </c>
      <c r="B16370" s="4" t="s">
        <v>44</v>
      </c>
      <c r="C16370" s="38" t="s">
        <v>13432</v>
      </c>
      <c r="D16370" s="18">
        <v>2023</v>
      </c>
      <c r="E16370" s="18" t="s">
        <v>0</v>
      </c>
      <c r="F16370" s="41">
        <v>1</v>
      </c>
      <c r="G16370" s="41">
        <v>7.5</v>
      </c>
      <c r="H16370" s="41">
        <v>35.67906</v>
      </c>
      <c r="I16370" s="221"/>
      <c r="J16370" s="221"/>
    </row>
    <row r="16371" spans="1:10" s="15" customFormat="1" ht="24" hidden="1" customHeight="1" outlineLevel="1" x14ac:dyDescent="0.25">
      <c r="A16371" s="18">
        <v>4494</v>
      </c>
      <c r="B16371" s="4" t="s">
        <v>44</v>
      </c>
      <c r="C16371" s="38" t="s">
        <v>13433</v>
      </c>
      <c r="D16371" s="18">
        <v>2023</v>
      </c>
      <c r="E16371" s="18" t="s">
        <v>0</v>
      </c>
      <c r="F16371" s="41">
        <v>1</v>
      </c>
      <c r="G16371" s="41">
        <v>10</v>
      </c>
      <c r="H16371" s="41">
        <v>36.344000000000001</v>
      </c>
      <c r="I16371" s="221"/>
      <c r="J16371" s="221"/>
    </row>
    <row r="16372" spans="1:10" s="15" customFormat="1" ht="24" hidden="1" customHeight="1" outlineLevel="1" x14ac:dyDescent="0.25">
      <c r="A16372" s="18">
        <v>2294</v>
      </c>
      <c r="B16372" s="4" t="s">
        <v>44</v>
      </c>
      <c r="C16372" s="38" t="s">
        <v>13434</v>
      </c>
      <c r="D16372" s="18">
        <v>2023</v>
      </c>
      <c r="E16372" s="18" t="s">
        <v>0</v>
      </c>
      <c r="F16372" s="41">
        <v>1</v>
      </c>
      <c r="G16372" s="41">
        <v>3</v>
      </c>
      <c r="H16372" s="41">
        <v>36.528619999999997</v>
      </c>
      <c r="I16372" s="221"/>
      <c r="J16372" s="221"/>
    </row>
    <row r="16373" spans="1:10" s="15" customFormat="1" ht="24" hidden="1" customHeight="1" outlineLevel="1" x14ac:dyDescent="0.25">
      <c r="A16373" s="18">
        <v>4496</v>
      </c>
      <c r="B16373" s="4" t="s">
        <v>44</v>
      </c>
      <c r="C16373" s="38" t="s">
        <v>13435</v>
      </c>
      <c r="D16373" s="18">
        <v>2023</v>
      </c>
      <c r="E16373" s="18" t="s">
        <v>0</v>
      </c>
      <c r="F16373" s="41">
        <v>1</v>
      </c>
      <c r="G16373" s="41">
        <v>10</v>
      </c>
      <c r="H16373" s="41">
        <v>37.104469999999999</v>
      </c>
      <c r="I16373" s="221"/>
      <c r="J16373" s="221"/>
    </row>
    <row r="16374" spans="1:10" s="15" customFormat="1" ht="24" hidden="1" customHeight="1" outlineLevel="1" x14ac:dyDescent="0.25">
      <c r="A16374" s="18">
        <v>4507</v>
      </c>
      <c r="B16374" s="4" t="s">
        <v>44</v>
      </c>
      <c r="C16374" s="38" t="s">
        <v>13436</v>
      </c>
      <c r="D16374" s="18">
        <v>2023</v>
      </c>
      <c r="E16374" s="18" t="s">
        <v>0</v>
      </c>
      <c r="F16374" s="41">
        <v>1</v>
      </c>
      <c r="G16374" s="41">
        <v>15</v>
      </c>
      <c r="H16374" s="41">
        <v>36.301930000000006</v>
      </c>
      <c r="I16374" s="221"/>
      <c r="J16374" s="221"/>
    </row>
    <row r="16375" spans="1:10" s="15" customFormat="1" ht="24" hidden="1" customHeight="1" outlineLevel="1" x14ac:dyDescent="0.25">
      <c r="A16375" s="18">
        <v>2519</v>
      </c>
      <c r="B16375" s="4" t="s">
        <v>44</v>
      </c>
      <c r="C16375" s="38" t="s">
        <v>13437</v>
      </c>
      <c r="D16375" s="18">
        <v>2023</v>
      </c>
      <c r="E16375" s="18" t="s">
        <v>0</v>
      </c>
      <c r="F16375" s="41">
        <v>6</v>
      </c>
      <c r="G16375" s="41">
        <v>80</v>
      </c>
      <c r="H16375" s="41">
        <v>215.57162</v>
      </c>
      <c r="I16375" s="221"/>
      <c r="J16375" s="221"/>
    </row>
    <row r="16376" spans="1:10" s="15" customFormat="1" ht="24" hidden="1" customHeight="1" outlineLevel="1" x14ac:dyDescent="0.25">
      <c r="A16376" s="18">
        <v>2562</v>
      </c>
      <c r="B16376" s="4" t="s">
        <v>44</v>
      </c>
      <c r="C16376" s="38" t="s">
        <v>13438</v>
      </c>
      <c r="D16376" s="18">
        <v>2023</v>
      </c>
      <c r="E16376" s="18" t="s">
        <v>0</v>
      </c>
      <c r="F16376" s="41">
        <v>4</v>
      </c>
      <c r="G16376" s="41">
        <v>55</v>
      </c>
      <c r="H16376" s="41">
        <v>143.88156999999998</v>
      </c>
      <c r="I16376" s="221"/>
      <c r="J16376" s="221"/>
    </row>
    <row r="16377" spans="1:10" s="15" customFormat="1" ht="24" hidden="1" customHeight="1" outlineLevel="1" x14ac:dyDescent="0.25">
      <c r="A16377" s="18">
        <v>4517</v>
      </c>
      <c r="B16377" s="4" t="s">
        <v>44</v>
      </c>
      <c r="C16377" s="38" t="s">
        <v>13439</v>
      </c>
      <c r="D16377" s="18">
        <v>2023</v>
      </c>
      <c r="E16377" s="18" t="s">
        <v>0</v>
      </c>
      <c r="F16377" s="41">
        <v>1</v>
      </c>
      <c r="G16377" s="41">
        <v>15</v>
      </c>
      <c r="H16377" s="41">
        <v>35.922999999999995</v>
      </c>
      <c r="I16377" s="221"/>
      <c r="J16377" s="221"/>
    </row>
    <row r="16378" spans="1:10" s="15" customFormat="1" ht="24" hidden="1" customHeight="1" outlineLevel="1" x14ac:dyDescent="0.25">
      <c r="A16378" s="18">
        <v>4518</v>
      </c>
      <c r="B16378" s="4" t="s">
        <v>44</v>
      </c>
      <c r="C16378" s="38" t="s">
        <v>13440</v>
      </c>
      <c r="D16378" s="18">
        <v>2023</v>
      </c>
      <c r="E16378" s="18" t="s">
        <v>0</v>
      </c>
      <c r="F16378" s="41">
        <v>1</v>
      </c>
      <c r="G16378" s="41">
        <v>15</v>
      </c>
      <c r="H16378" s="41">
        <v>35.923030000000004</v>
      </c>
      <c r="I16378" s="221"/>
      <c r="J16378" s="221"/>
    </row>
    <row r="16379" spans="1:10" s="15" customFormat="1" ht="24" hidden="1" customHeight="1" outlineLevel="1" x14ac:dyDescent="0.25">
      <c r="A16379" s="18">
        <v>4520</v>
      </c>
      <c r="B16379" s="4" t="s">
        <v>44</v>
      </c>
      <c r="C16379" s="38" t="s">
        <v>13441</v>
      </c>
      <c r="D16379" s="18">
        <v>2023</v>
      </c>
      <c r="E16379" s="18" t="s">
        <v>0</v>
      </c>
      <c r="F16379" s="41">
        <v>14</v>
      </c>
      <c r="G16379" s="41">
        <v>210</v>
      </c>
      <c r="H16379" s="41">
        <v>502.70212999999995</v>
      </c>
      <c r="I16379" s="221"/>
      <c r="J16379" s="221"/>
    </row>
    <row r="16380" spans="1:10" s="15" customFormat="1" ht="24" hidden="1" customHeight="1" outlineLevel="1" x14ac:dyDescent="0.25">
      <c r="A16380" s="18">
        <v>2613</v>
      </c>
      <c r="B16380" s="4" t="s">
        <v>44</v>
      </c>
      <c r="C16380" s="38" t="s">
        <v>13442</v>
      </c>
      <c r="D16380" s="18">
        <v>2023</v>
      </c>
      <c r="E16380" s="18" t="s">
        <v>0</v>
      </c>
      <c r="F16380" s="41">
        <v>21</v>
      </c>
      <c r="G16380" s="41">
        <v>235</v>
      </c>
      <c r="H16380" s="41">
        <v>756.71927000000005</v>
      </c>
      <c r="I16380" s="221"/>
      <c r="J16380" s="221"/>
    </row>
    <row r="16381" spans="1:10" s="15" customFormat="1" ht="24" hidden="1" customHeight="1" outlineLevel="1" x14ac:dyDescent="0.25">
      <c r="A16381" s="18">
        <v>2608</v>
      </c>
      <c r="B16381" s="4" t="s">
        <v>44</v>
      </c>
      <c r="C16381" s="38" t="s">
        <v>13443</v>
      </c>
      <c r="D16381" s="18">
        <v>2023</v>
      </c>
      <c r="E16381" s="18" t="s">
        <v>0</v>
      </c>
      <c r="F16381" s="41">
        <v>1</v>
      </c>
      <c r="G16381" s="41">
        <v>10</v>
      </c>
      <c r="H16381" s="41">
        <v>35.79748</v>
      </c>
      <c r="I16381" s="221"/>
      <c r="J16381" s="221"/>
    </row>
    <row r="16382" spans="1:10" s="15" customFormat="1" ht="24" hidden="1" customHeight="1" outlineLevel="1" x14ac:dyDescent="0.25">
      <c r="A16382" s="18">
        <v>4509</v>
      </c>
      <c r="B16382" s="4" t="s">
        <v>44</v>
      </c>
      <c r="C16382" s="38" t="s">
        <v>13444</v>
      </c>
      <c r="D16382" s="18">
        <v>2023</v>
      </c>
      <c r="E16382" s="18" t="s">
        <v>0</v>
      </c>
      <c r="F16382" s="41">
        <v>1</v>
      </c>
      <c r="G16382" s="41">
        <v>15</v>
      </c>
      <c r="H16382" s="41">
        <v>36.189100000000003</v>
      </c>
      <c r="I16382" s="221"/>
      <c r="J16382" s="221"/>
    </row>
    <row r="16383" spans="1:10" s="15" customFormat="1" ht="24" hidden="1" customHeight="1" outlineLevel="1" x14ac:dyDescent="0.25">
      <c r="A16383" s="18">
        <v>4505</v>
      </c>
      <c r="B16383" s="4" t="s">
        <v>44</v>
      </c>
      <c r="C16383" s="38" t="s">
        <v>13445</v>
      </c>
      <c r="D16383" s="18">
        <v>2023</v>
      </c>
      <c r="E16383" s="18" t="s">
        <v>0</v>
      </c>
      <c r="F16383" s="41">
        <v>1</v>
      </c>
      <c r="G16383" s="41">
        <v>13</v>
      </c>
      <c r="H16383" s="41">
        <v>36.189100000000003</v>
      </c>
      <c r="I16383" s="221"/>
      <c r="J16383" s="221"/>
    </row>
    <row r="16384" spans="1:10" s="15" customFormat="1" ht="24" hidden="1" customHeight="1" outlineLevel="1" x14ac:dyDescent="0.25">
      <c r="A16384" s="18">
        <v>4511</v>
      </c>
      <c r="B16384" s="4" t="s">
        <v>44</v>
      </c>
      <c r="C16384" s="38" t="s">
        <v>13446</v>
      </c>
      <c r="D16384" s="18">
        <v>2023</v>
      </c>
      <c r="E16384" s="18" t="s">
        <v>0</v>
      </c>
      <c r="F16384" s="41">
        <v>1</v>
      </c>
      <c r="G16384" s="41">
        <v>15</v>
      </c>
      <c r="H16384" s="41">
        <v>35.94153</v>
      </c>
      <c r="I16384" s="221"/>
      <c r="J16384" s="221"/>
    </row>
    <row r="16385" spans="1:10" s="15" customFormat="1" ht="24" hidden="1" customHeight="1" outlineLevel="1" x14ac:dyDescent="0.25">
      <c r="A16385" s="18">
        <v>4510</v>
      </c>
      <c r="B16385" s="4" t="s">
        <v>44</v>
      </c>
      <c r="C16385" s="38" t="s">
        <v>13447</v>
      </c>
      <c r="D16385" s="18">
        <v>2023</v>
      </c>
      <c r="E16385" s="18" t="s">
        <v>0</v>
      </c>
      <c r="F16385" s="41">
        <v>1</v>
      </c>
      <c r="G16385" s="41">
        <v>5</v>
      </c>
      <c r="H16385" s="41">
        <v>24.967010000000002</v>
      </c>
      <c r="I16385" s="221"/>
      <c r="J16385" s="221"/>
    </row>
    <row r="16386" spans="1:10" s="15" customFormat="1" ht="24" hidden="1" customHeight="1" outlineLevel="1" x14ac:dyDescent="0.25">
      <c r="A16386" s="18">
        <v>2599</v>
      </c>
      <c r="B16386" s="4" t="s">
        <v>44</v>
      </c>
      <c r="C16386" s="38" t="s">
        <v>13448</v>
      </c>
      <c r="D16386" s="18">
        <v>2023</v>
      </c>
      <c r="E16386" s="18" t="s">
        <v>0</v>
      </c>
      <c r="F16386" s="41">
        <v>1</v>
      </c>
      <c r="G16386" s="41">
        <v>3</v>
      </c>
      <c r="H16386" s="41">
        <v>35.94153</v>
      </c>
      <c r="I16386" s="221"/>
      <c r="J16386" s="221"/>
    </row>
    <row r="16387" spans="1:10" s="15" customFormat="1" ht="24" hidden="1" customHeight="1" outlineLevel="1" x14ac:dyDescent="0.25">
      <c r="A16387" s="18">
        <v>4516</v>
      </c>
      <c r="B16387" s="4" t="s">
        <v>44</v>
      </c>
      <c r="C16387" s="38" t="s">
        <v>13449</v>
      </c>
      <c r="D16387" s="18">
        <v>2023</v>
      </c>
      <c r="E16387" s="18" t="s">
        <v>0</v>
      </c>
      <c r="F16387" s="41">
        <v>1</v>
      </c>
      <c r="G16387" s="41">
        <v>15</v>
      </c>
      <c r="H16387" s="41">
        <v>35.941479999999999</v>
      </c>
      <c r="I16387" s="221"/>
      <c r="J16387" s="221"/>
    </row>
    <row r="16388" spans="1:10" s="15" customFormat="1" ht="24" hidden="1" customHeight="1" outlineLevel="1" x14ac:dyDescent="0.25">
      <c r="A16388" s="18">
        <v>4512</v>
      </c>
      <c r="B16388" s="4" t="s">
        <v>44</v>
      </c>
      <c r="C16388" s="38" t="s">
        <v>13450</v>
      </c>
      <c r="D16388" s="18">
        <v>2023</v>
      </c>
      <c r="E16388" s="18" t="s">
        <v>0</v>
      </c>
      <c r="F16388" s="41">
        <v>1</v>
      </c>
      <c r="G16388" s="41">
        <v>25</v>
      </c>
      <c r="H16388" s="41">
        <v>35.941569999999999</v>
      </c>
      <c r="I16388" s="221"/>
      <c r="J16388" s="221"/>
    </row>
    <row r="16389" spans="1:10" s="15" customFormat="1" ht="24" hidden="1" customHeight="1" outlineLevel="1" x14ac:dyDescent="0.25">
      <c r="A16389" s="18">
        <v>4501</v>
      </c>
      <c r="B16389" s="4" t="s">
        <v>44</v>
      </c>
      <c r="C16389" s="38" t="s">
        <v>13451</v>
      </c>
      <c r="D16389" s="18">
        <v>2023</v>
      </c>
      <c r="E16389" s="18" t="s">
        <v>0</v>
      </c>
      <c r="F16389" s="41">
        <v>1</v>
      </c>
      <c r="G16389" s="41">
        <v>15</v>
      </c>
      <c r="H16389" s="41">
        <v>39.891169999999995</v>
      </c>
      <c r="I16389" s="221"/>
      <c r="J16389" s="221"/>
    </row>
    <row r="16390" spans="1:10" s="15" customFormat="1" ht="24" hidden="1" customHeight="1" outlineLevel="1" x14ac:dyDescent="0.25">
      <c r="A16390" s="18">
        <v>4519</v>
      </c>
      <c r="B16390" s="4" t="s">
        <v>44</v>
      </c>
      <c r="C16390" s="38" t="s">
        <v>13452</v>
      </c>
      <c r="D16390" s="18">
        <v>2023</v>
      </c>
      <c r="E16390" s="18" t="s">
        <v>0</v>
      </c>
      <c r="F16390" s="41">
        <v>1</v>
      </c>
      <c r="G16390" s="41">
        <v>5</v>
      </c>
      <c r="H16390" s="41">
        <v>35.626288000000002</v>
      </c>
      <c r="I16390" s="221"/>
      <c r="J16390" s="221"/>
    </row>
    <row r="16391" spans="1:10" s="15" customFormat="1" ht="24" hidden="1" customHeight="1" outlineLevel="1" x14ac:dyDescent="0.25">
      <c r="A16391" s="18">
        <v>4514</v>
      </c>
      <c r="B16391" s="4" t="s">
        <v>44</v>
      </c>
      <c r="C16391" s="38" t="s">
        <v>13453</v>
      </c>
      <c r="D16391" s="18">
        <v>2023</v>
      </c>
      <c r="E16391" s="18" t="s">
        <v>0</v>
      </c>
      <c r="F16391" s="41">
        <v>1</v>
      </c>
      <c r="G16391" s="41">
        <v>15</v>
      </c>
      <c r="H16391" s="41">
        <v>36.262889999999999</v>
      </c>
      <c r="I16391" s="221"/>
      <c r="J16391" s="221"/>
    </row>
    <row r="16392" spans="1:10" s="15" customFormat="1" ht="24" hidden="1" customHeight="1" outlineLevel="1" x14ac:dyDescent="0.25">
      <c r="A16392" s="18">
        <v>4530</v>
      </c>
      <c r="B16392" s="4" t="s">
        <v>44</v>
      </c>
      <c r="C16392" s="38" t="s">
        <v>13454</v>
      </c>
      <c r="D16392" s="18">
        <v>2023</v>
      </c>
      <c r="E16392" s="18" t="s">
        <v>0</v>
      </c>
      <c r="F16392" s="41">
        <v>1</v>
      </c>
      <c r="G16392" s="41">
        <v>15</v>
      </c>
      <c r="H16392" s="41">
        <v>36.06277</v>
      </c>
      <c r="I16392" s="221"/>
      <c r="J16392" s="221"/>
    </row>
    <row r="16393" spans="1:10" s="15" customFormat="1" ht="24" hidden="1" customHeight="1" outlineLevel="1" x14ac:dyDescent="0.25">
      <c r="A16393" s="18">
        <v>2124</v>
      </c>
      <c r="B16393" s="4" t="s">
        <v>44</v>
      </c>
      <c r="C16393" s="38" t="s">
        <v>13455</v>
      </c>
      <c r="D16393" s="18">
        <v>2023</v>
      </c>
      <c r="E16393" s="18" t="s">
        <v>0</v>
      </c>
      <c r="F16393" s="41">
        <v>1</v>
      </c>
      <c r="G16393" s="41">
        <v>15</v>
      </c>
      <c r="H16393" s="41">
        <v>36.062780000000004</v>
      </c>
      <c r="I16393" s="221"/>
      <c r="J16393" s="221"/>
    </row>
    <row r="16394" spans="1:10" s="15" customFormat="1" ht="24" hidden="1" customHeight="1" outlineLevel="1" x14ac:dyDescent="0.25">
      <c r="A16394" s="18">
        <v>4531</v>
      </c>
      <c r="B16394" s="4" t="s">
        <v>44</v>
      </c>
      <c r="C16394" s="38" t="s">
        <v>13456</v>
      </c>
      <c r="D16394" s="18">
        <v>2023</v>
      </c>
      <c r="E16394" s="18" t="s">
        <v>0</v>
      </c>
      <c r="F16394" s="41">
        <v>1</v>
      </c>
      <c r="G16394" s="41">
        <v>15</v>
      </c>
      <c r="H16394" s="41">
        <v>35.916700000000006</v>
      </c>
      <c r="I16394" s="221"/>
      <c r="J16394" s="221"/>
    </row>
    <row r="16395" spans="1:10" s="15" customFormat="1" ht="24" hidden="1" customHeight="1" outlineLevel="1" x14ac:dyDescent="0.25">
      <c r="A16395" s="18">
        <v>4536</v>
      </c>
      <c r="B16395" s="4" t="s">
        <v>44</v>
      </c>
      <c r="C16395" s="38" t="s">
        <v>13457</v>
      </c>
      <c r="D16395" s="18">
        <v>2023</v>
      </c>
      <c r="E16395" s="18" t="s">
        <v>0</v>
      </c>
      <c r="F16395" s="41">
        <v>1</v>
      </c>
      <c r="G16395" s="41">
        <v>70</v>
      </c>
      <c r="H16395" s="41">
        <v>38.308219999999999</v>
      </c>
      <c r="I16395" s="221"/>
      <c r="J16395" s="221"/>
    </row>
    <row r="16396" spans="1:10" s="15" customFormat="1" ht="24" hidden="1" customHeight="1" outlineLevel="1" x14ac:dyDescent="0.25">
      <c r="A16396" s="18">
        <v>2838</v>
      </c>
      <c r="B16396" s="4" t="s">
        <v>44</v>
      </c>
      <c r="C16396" s="38" t="s">
        <v>13458</v>
      </c>
      <c r="D16396" s="18">
        <v>2023</v>
      </c>
      <c r="E16396" s="18" t="s">
        <v>0</v>
      </c>
      <c r="F16396" s="41">
        <v>2</v>
      </c>
      <c r="G16396" s="41">
        <v>20</v>
      </c>
      <c r="H16396" s="41">
        <v>72.125579999999999</v>
      </c>
      <c r="I16396" s="221"/>
      <c r="J16396" s="221"/>
    </row>
    <row r="16397" spans="1:10" s="15" customFormat="1" ht="24" hidden="1" customHeight="1" outlineLevel="1" x14ac:dyDescent="0.25">
      <c r="A16397" s="18">
        <v>4532</v>
      </c>
      <c r="B16397" s="4" t="s">
        <v>44</v>
      </c>
      <c r="C16397" s="38" t="s">
        <v>13459</v>
      </c>
      <c r="D16397" s="18">
        <v>2023</v>
      </c>
      <c r="E16397" s="18" t="s">
        <v>0</v>
      </c>
      <c r="F16397" s="41">
        <v>1</v>
      </c>
      <c r="G16397" s="41">
        <v>15</v>
      </c>
      <c r="H16397" s="41">
        <v>35.916700000000006</v>
      </c>
      <c r="I16397" s="221"/>
      <c r="J16397" s="221"/>
    </row>
    <row r="16398" spans="1:10" s="15" customFormat="1" ht="24" hidden="1" customHeight="1" outlineLevel="1" x14ac:dyDescent="0.25">
      <c r="A16398" s="18">
        <v>2560</v>
      </c>
      <c r="B16398" s="4" t="s">
        <v>44</v>
      </c>
      <c r="C16398" s="38" t="s">
        <v>13460</v>
      </c>
      <c r="D16398" s="18">
        <v>2023</v>
      </c>
      <c r="E16398" s="18" t="s">
        <v>0</v>
      </c>
      <c r="F16398" s="41">
        <v>1</v>
      </c>
      <c r="G16398" s="41">
        <v>5</v>
      </c>
      <c r="H16398" s="41">
        <v>36.06277</v>
      </c>
      <c r="I16398" s="221"/>
      <c r="J16398" s="221"/>
    </row>
    <row r="16399" spans="1:10" s="15" customFormat="1" ht="24" hidden="1" customHeight="1" outlineLevel="1" x14ac:dyDescent="0.25">
      <c r="A16399" s="18">
        <v>4528</v>
      </c>
      <c r="B16399" s="4" t="s">
        <v>44</v>
      </c>
      <c r="C16399" s="38" t="s">
        <v>13461</v>
      </c>
      <c r="D16399" s="18">
        <v>2023</v>
      </c>
      <c r="E16399" s="18" t="s">
        <v>0</v>
      </c>
      <c r="F16399" s="41">
        <v>1</v>
      </c>
      <c r="G16399" s="41">
        <v>15</v>
      </c>
      <c r="H16399" s="41">
        <v>36.062780000000004</v>
      </c>
      <c r="I16399" s="221"/>
      <c r="J16399" s="221"/>
    </row>
    <row r="16400" spans="1:10" s="15" customFormat="1" ht="24" hidden="1" customHeight="1" outlineLevel="1" x14ac:dyDescent="0.25">
      <c r="A16400" s="18">
        <v>4533</v>
      </c>
      <c r="B16400" s="4" t="s">
        <v>44</v>
      </c>
      <c r="C16400" s="38" t="s">
        <v>13462</v>
      </c>
      <c r="D16400" s="18">
        <v>2023</v>
      </c>
      <c r="E16400" s="18" t="s">
        <v>0</v>
      </c>
      <c r="F16400" s="41">
        <v>1</v>
      </c>
      <c r="G16400" s="41">
        <v>15</v>
      </c>
      <c r="H16400" s="41">
        <v>35.916709999999995</v>
      </c>
      <c r="I16400" s="221"/>
      <c r="J16400" s="221"/>
    </row>
    <row r="16401" spans="1:10" s="15" customFormat="1" ht="24" hidden="1" customHeight="1" outlineLevel="1" x14ac:dyDescent="0.25">
      <c r="A16401" s="18">
        <v>4508</v>
      </c>
      <c r="B16401" s="4" t="s">
        <v>44</v>
      </c>
      <c r="C16401" s="38" t="s">
        <v>13463</v>
      </c>
      <c r="D16401" s="18">
        <v>2023</v>
      </c>
      <c r="E16401" s="18" t="s">
        <v>0</v>
      </c>
      <c r="F16401" s="41">
        <v>1</v>
      </c>
      <c r="G16401" s="41">
        <v>15</v>
      </c>
      <c r="H16401" s="41">
        <v>37.666819999999994</v>
      </c>
      <c r="I16401" s="221"/>
      <c r="J16401" s="221"/>
    </row>
    <row r="16402" spans="1:10" s="15" customFormat="1" ht="24" hidden="1" customHeight="1" outlineLevel="1" x14ac:dyDescent="0.25">
      <c r="A16402" s="18">
        <v>2609</v>
      </c>
      <c r="B16402" s="4" t="s">
        <v>44</v>
      </c>
      <c r="C16402" s="38" t="s">
        <v>13464</v>
      </c>
      <c r="D16402" s="18">
        <v>2023</v>
      </c>
      <c r="E16402" s="18" t="s">
        <v>0</v>
      </c>
      <c r="F16402" s="41">
        <v>11</v>
      </c>
      <c r="G16402" s="41">
        <v>160</v>
      </c>
      <c r="H16402" s="41">
        <v>396.54458</v>
      </c>
      <c r="I16402" s="221"/>
      <c r="J16402" s="221"/>
    </row>
    <row r="16403" spans="1:10" s="15" customFormat="1" ht="24" hidden="1" customHeight="1" outlineLevel="1" x14ac:dyDescent="0.25">
      <c r="A16403" s="18">
        <v>4535</v>
      </c>
      <c r="B16403" s="4" t="s">
        <v>44</v>
      </c>
      <c r="C16403" s="38" t="s">
        <v>13465</v>
      </c>
      <c r="D16403" s="18">
        <v>2023</v>
      </c>
      <c r="E16403" s="18" t="s">
        <v>0</v>
      </c>
      <c r="F16403" s="41">
        <v>6</v>
      </c>
      <c r="G16403" s="41">
        <v>85</v>
      </c>
      <c r="H16403" s="41">
        <v>216.81416000000002</v>
      </c>
      <c r="I16403" s="221"/>
      <c r="J16403" s="221"/>
    </row>
    <row r="16404" spans="1:10" s="15" customFormat="1" ht="24" hidden="1" customHeight="1" outlineLevel="1" x14ac:dyDescent="0.25">
      <c r="A16404" s="18">
        <v>2633</v>
      </c>
      <c r="B16404" s="4" t="s">
        <v>44</v>
      </c>
      <c r="C16404" s="38" t="s">
        <v>13466</v>
      </c>
      <c r="D16404" s="18">
        <v>2023</v>
      </c>
      <c r="E16404" s="18" t="s">
        <v>0</v>
      </c>
      <c r="F16404" s="41">
        <v>7</v>
      </c>
      <c r="G16404" s="41">
        <v>95</v>
      </c>
      <c r="H16404" s="41">
        <v>252.43948999999998</v>
      </c>
      <c r="I16404" s="221"/>
      <c r="J16404" s="221"/>
    </row>
    <row r="16405" spans="1:10" s="15" customFormat="1" ht="24" hidden="1" customHeight="1" outlineLevel="1" x14ac:dyDescent="0.25">
      <c r="A16405" s="18">
        <v>2655</v>
      </c>
      <c r="B16405" s="4" t="s">
        <v>44</v>
      </c>
      <c r="C16405" s="38" t="s">
        <v>13467</v>
      </c>
      <c r="D16405" s="18">
        <v>2023</v>
      </c>
      <c r="E16405" s="18" t="s">
        <v>0</v>
      </c>
      <c r="F16405" s="41">
        <v>18</v>
      </c>
      <c r="G16405" s="151">
        <v>228.5</v>
      </c>
      <c r="H16405" s="41">
        <v>647.08826999999997</v>
      </c>
      <c r="I16405" s="221"/>
      <c r="J16405" s="221"/>
    </row>
    <row r="16406" spans="1:10" s="15" customFormat="1" ht="24" hidden="1" customHeight="1" outlineLevel="1" x14ac:dyDescent="0.25">
      <c r="A16406" s="18">
        <v>2666</v>
      </c>
      <c r="B16406" s="4" t="s">
        <v>44</v>
      </c>
      <c r="C16406" s="38" t="s">
        <v>13468</v>
      </c>
      <c r="D16406" s="18">
        <v>2023</v>
      </c>
      <c r="E16406" s="18" t="s">
        <v>0</v>
      </c>
      <c r="F16406" s="41">
        <v>26</v>
      </c>
      <c r="G16406" s="41">
        <v>361</v>
      </c>
      <c r="H16406" s="41">
        <v>935.81025</v>
      </c>
      <c r="I16406" s="221"/>
      <c r="J16406" s="221"/>
    </row>
    <row r="16407" spans="1:10" s="15" customFormat="1" ht="24" hidden="1" customHeight="1" outlineLevel="1" x14ac:dyDescent="0.25">
      <c r="A16407" s="18">
        <v>4529</v>
      </c>
      <c r="B16407" s="4" t="s">
        <v>44</v>
      </c>
      <c r="C16407" s="38" t="s">
        <v>13469</v>
      </c>
      <c r="D16407" s="18">
        <v>2023</v>
      </c>
      <c r="E16407" s="18" t="s">
        <v>0</v>
      </c>
      <c r="F16407" s="41">
        <v>1</v>
      </c>
      <c r="G16407" s="41">
        <v>13</v>
      </c>
      <c r="H16407" s="41">
        <v>35.904039999999995</v>
      </c>
      <c r="I16407" s="221"/>
      <c r="J16407" s="221"/>
    </row>
    <row r="16408" spans="1:10" s="15" customFormat="1" ht="24" hidden="1" customHeight="1" outlineLevel="1" x14ac:dyDescent="0.25">
      <c r="A16408" s="18">
        <v>4526</v>
      </c>
      <c r="B16408" s="4" t="s">
        <v>44</v>
      </c>
      <c r="C16408" s="38" t="s">
        <v>13470</v>
      </c>
      <c r="D16408" s="18">
        <v>2023</v>
      </c>
      <c r="E16408" s="18" t="s">
        <v>0</v>
      </c>
      <c r="F16408" s="41">
        <v>1</v>
      </c>
      <c r="G16408" s="41">
        <v>15</v>
      </c>
      <c r="H16408" s="41">
        <v>36.022659999999995</v>
      </c>
      <c r="I16408" s="221"/>
      <c r="J16408" s="221"/>
    </row>
    <row r="16409" spans="1:10" s="15" customFormat="1" ht="24" hidden="1" customHeight="1" outlineLevel="1" x14ac:dyDescent="0.25">
      <c r="A16409" s="18">
        <v>4527</v>
      </c>
      <c r="B16409" s="4" t="s">
        <v>44</v>
      </c>
      <c r="C16409" s="38" t="s">
        <v>13471</v>
      </c>
      <c r="D16409" s="18">
        <v>2023</v>
      </c>
      <c r="E16409" s="18" t="s">
        <v>0</v>
      </c>
      <c r="F16409" s="41">
        <v>1</v>
      </c>
      <c r="G16409" s="41">
        <v>14</v>
      </c>
      <c r="H16409" s="41">
        <v>36.022919999999999</v>
      </c>
      <c r="I16409" s="221"/>
      <c r="J16409" s="221"/>
    </row>
    <row r="16410" spans="1:10" s="15" customFormat="1" ht="24" hidden="1" customHeight="1" outlineLevel="1" x14ac:dyDescent="0.25">
      <c r="A16410" s="18">
        <v>4534</v>
      </c>
      <c r="B16410" s="4" t="s">
        <v>44</v>
      </c>
      <c r="C16410" s="38" t="s">
        <v>13472</v>
      </c>
      <c r="D16410" s="18">
        <v>2023</v>
      </c>
      <c r="E16410" s="18" t="s">
        <v>0</v>
      </c>
      <c r="F16410" s="41">
        <v>1</v>
      </c>
      <c r="G16410" s="41">
        <v>10</v>
      </c>
      <c r="H16410" s="41">
        <v>36.022919999999999</v>
      </c>
      <c r="I16410" s="221"/>
      <c r="J16410" s="221"/>
    </row>
    <row r="16411" spans="1:10" s="15" customFormat="1" ht="24" hidden="1" customHeight="1" outlineLevel="1" x14ac:dyDescent="0.25">
      <c r="A16411" s="18">
        <v>2681</v>
      </c>
      <c r="B16411" s="4" t="s">
        <v>44</v>
      </c>
      <c r="C16411" s="38" t="s">
        <v>13473</v>
      </c>
      <c r="D16411" s="18">
        <v>2023</v>
      </c>
      <c r="E16411" s="18" t="s">
        <v>0</v>
      </c>
      <c r="F16411" s="41">
        <v>1</v>
      </c>
      <c r="G16411" s="41">
        <v>15</v>
      </c>
      <c r="H16411" s="41">
        <v>36.361270000000005</v>
      </c>
      <c r="I16411" s="221"/>
      <c r="J16411" s="221"/>
    </row>
    <row r="16412" spans="1:10" s="15" customFormat="1" ht="24" hidden="1" customHeight="1" outlineLevel="1" x14ac:dyDescent="0.25">
      <c r="A16412" s="18">
        <v>4525</v>
      </c>
      <c r="B16412" s="4" t="s">
        <v>44</v>
      </c>
      <c r="C16412" s="38" t="s">
        <v>13474</v>
      </c>
      <c r="D16412" s="18">
        <v>2023</v>
      </c>
      <c r="E16412" s="18" t="s">
        <v>0</v>
      </c>
      <c r="F16412" s="41">
        <v>1</v>
      </c>
      <c r="G16412" s="41">
        <v>10</v>
      </c>
      <c r="H16412" s="41">
        <v>36.439489999999999</v>
      </c>
      <c r="I16412" s="221"/>
      <c r="J16412" s="221"/>
    </row>
    <row r="16413" spans="1:10" s="15" customFormat="1" ht="24" hidden="1" customHeight="1" outlineLevel="1" x14ac:dyDescent="0.25">
      <c r="A16413" s="18">
        <v>2626</v>
      </c>
      <c r="B16413" s="4" t="s">
        <v>44</v>
      </c>
      <c r="C16413" s="38" t="s">
        <v>13475</v>
      </c>
      <c r="D16413" s="18">
        <v>2023</v>
      </c>
      <c r="E16413" s="18" t="s">
        <v>0</v>
      </c>
      <c r="F16413" s="41">
        <v>1</v>
      </c>
      <c r="G16413" s="41">
        <v>1</v>
      </c>
      <c r="H16413" s="41">
        <v>39.267490000000002</v>
      </c>
      <c r="I16413" s="221"/>
      <c r="J16413" s="221"/>
    </row>
    <row r="16414" spans="1:10" s="15" customFormat="1" ht="24" hidden="1" customHeight="1" outlineLevel="1" x14ac:dyDescent="0.25">
      <c r="A16414" s="18">
        <v>4546</v>
      </c>
      <c r="B16414" s="4" t="s">
        <v>44</v>
      </c>
      <c r="C16414" s="38" t="s">
        <v>13476</v>
      </c>
      <c r="D16414" s="18">
        <v>2023</v>
      </c>
      <c r="E16414" s="18" t="s">
        <v>0</v>
      </c>
      <c r="F16414" s="41">
        <v>2</v>
      </c>
      <c r="G16414" s="41">
        <v>27</v>
      </c>
      <c r="H16414" s="41">
        <v>72.610649999999993</v>
      </c>
      <c r="I16414" s="221"/>
      <c r="J16414" s="221"/>
    </row>
    <row r="16415" spans="1:10" s="15" customFormat="1" ht="24" hidden="1" customHeight="1" outlineLevel="1" x14ac:dyDescent="0.25">
      <c r="A16415" s="18">
        <v>2705</v>
      </c>
      <c r="B16415" s="4" t="s">
        <v>44</v>
      </c>
      <c r="C16415" s="38" t="s">
        <v>13477</v>
      </c>
      <c r="D16415" s="18">
        <v>2023</v>
      </c>
      <c r="E16415" s="18" t="s">
        <v>0</v>
      </c>
      <c r="F16415" s="41">
        <v>6</v>
      </c>
      <c r="G16415" s="41">
        <v>70</v>
      </c>
      <c r="H16415" s="41">
        <v>219.56396999999998</v>
      </c>
      <c r="I16415" s="221"/>
      <c r="J16415" s="221"/>
    </row>
    <row r="16416" spans="1:10" s="15" customFormat="1" ht="24" hidden="1" customHeight="1" outlineLevel="1" x14ac:dyDescent="0.25">
      <c r="A16416" s="18">
        <v>4545</v>
      </c>
      <c r="B16416" s="4" t="s">
        <v>44</v>
      </c>
      <c r="C16416" s="38" t="s">
        <v>13478</v>
      </c>
      <c r="D16416" s="18">
        <v>2023</v>
      </c>
      <c r="E16416" s="18" t="s">
        <v>0</v>
      </c>
      <c r="F16416" s="41">
        <v>1</v>
      </c>
      <c r="G16416" s="41">
        <v>15</v>
      </c>
      <c r="H16416" s="41">
        <v>36.305349999999997</v>
      </c>
      <c r="I16416" s="221"/>
      <c r="J16416" s="221"/>
    </row>
    <row r="16417" spans="1:10" s="15" customFormat="1" ht="24" hidden="1" customHeight="1" outlineLevel="1" x14ac:dyDescent="0.25">
      <c r="A16417" s="18">
        <v>1403</v>
      </c>
      <c r="B16417" s="4" t="s">
        <v>44</v>
      </c>
      <c r="C16417" s="38" t="s">
        <v>13479</v>
      </c>
      <c r="D16417" s="18">
        <v>2023</v>
      </c>
      <c r="E16417" s="18" t="s">
        <v>0</v>
      </c>
      <c r="F16417" s="41">
        <v>1</v>
      </c>
      <c r="G16417" s="41">
        <v>5</v>
      </c>
      <c r="H16417" s="41">
        <v>36.305349999999997</v>
      </c>
      <c r="I16417" s="221"/>
      <c r="J16417" s="221"/>
    </row>
    <row r="16418" spans="1:10" s="15" customFormat="1" ht="24" hidden="1" customHeight="1" outlineLevel="1" x14ac:dyDescent="0.25">
      <c r="A16418" s="18">
        <v>4543</v>
      </c>
      <c r="B16418" s="4" t="s">
        <v>44</v>
      </c>
      <c r="C16418" s="38" t="s">
        <v>13480</v>
      </c>
      <c r="D16418" s="18">
        <v>2023</v>
      </c>
      <c r="E16418" s="18" t="s">
        <v>0</v>
      </c>
      <c r="F16418" s="41">
        <v>1</v>
      </c>
      <c r="G16418" s="41">
        <v>15</v>
      </c>
      <c r="H16418" s="41">
        <v>36.230409999999999</v>
      </c>
      <c r="I16418" s="221"/>
      <c r="J16418" s="221"/>
    </row>
    <row r="16419" spans="1:10" s="15" customFormat="1" ht="24" hidden="1" customHeight="1" outlineLevel="1" x14ac:dyDescent="0.25">
      <c r="A16419" s="18">
        <v>4539</v>
      </c>
      <c r="B16419" s="4" t="s">
        <v>44</v>
      </c>
      <c r="C16419" s="38" t="s">
        <v>13481</v>
      </c>
      <c r="D16419" s="18">
        <v>2023</v>
      </c>
      <c r="E16419" s="18" t="s">
        <v>0</v>
      </c>
      <c r="F16419" s="41">
        <v>1</v>
      </c>
      <c r="G16419" s="41">
        <v>15</v>
      </c>
      <c r="H16419" s="41">
        <v>36.305349999999997</v>
      </c>
      <c r="I16419" s="221"/>
      <c r="J16419" s="221"/>
    </row>
    <row r="16420" spans="1:10" s="15" customFormat="1" ht="24" hidden="1" customHeight="1" outlineLevel="1" x14ac:dyDescent="0.25">
      <c r="A16420" s="18">
        <v>2715</v>
      </c>
      <c r="B16420" s="4" t="s">
        <v>44</v>
      </c>
      <c r="C16420" s="38" t="s">
        <v>13482</v>
      </c>
      <c r="D16420" s="18">
        <v>2023</v>
      </c>
      <c r="E16420" s="18" t="s">
        <v>0</v>
      </c>
      <c r="F16420" s="41">
        <v>2</v>
      </c>
      <c r="G16420" s="41">
        <v>30</v>
      </c>
      <c r="H16420" s="41">
        <v>72.460729999999998</v>
      </c>
      <c r="I16420" s="221"/>
      <c r="J16420" s="221"/>
    </row>
    <row r="16421" spans="1:10" s="15" customFormat="1" ht="24" hidden="1" customHeight="1" outlineLevel="1" x14ac:dyDescent="0.25">
      <c r="A16421" s="18">
        <v>2710</v>
      </c>
      <c r="B16421" s="4" t="s">
        <v>44</v>
      </c>
      <c r="C16421" s="38" t="s">
        <v>13483</v>
      </c>
      <c r="D16421" s="18">
        <v>2023</v>
      </c>
      <c r="E16421" s="18" t="s">
        <v>0</v>
      </c>
      <c r="F16421" s="41">
        <v>19</v>
      </c>
      <c r="G16421" s="41">
        <v>258</v>
      </c>
      <c r="H16421" s="41">
        <v>689.20438999999999</v>
      </c>
      <c r="I16421" s="221"/>
      <c r="J16421" s="221"/>
    </row>
    <row r="16422" spans="1:10" s="15" customFormat="1" ht="24" hidden="1" customHeight="1" outlineLevel="1" x14ac:dyDescent="0.25">
      <c r="A16422" s="18">
        <v>4552</v>
      </c>
      <c r="B16422" s="4" t="s">
        <v>44</v>
      </c>
      <c r="C16422" s="38" t="s">
        <v>13484</v>
      </c>
      <c r="D16422" s="18">
        <v>2023</v>
      </c>
      <c r="E16422" s="18" t="s">
        <v>0</v>
      </c>
      <c r="F16422" s="41">
        <v>7</v>
      </c>
      <c r="G16422" s="41">
        <v>95</v>
      </c>
      <c r="H16422" s="41">
        <v>255.64442999999997</v>
      </c>
      <c r="I16422" s="221"/>
      <c r="J16422" s="221"/>
    </row>
    <row r="16423" spans="1:10" s="15" customFormat="1" ht="24" hidden="1" customHeight="1" outlineLevel="1" x14ac:dyDescent="0.25">
      <c r="A16423" s="18">
        <v>4540</v>
      </c>
      <c r="B16423" s="4" t="s">
        <v>44</v>
      </c>
      <c r="C16423" s="38" t="s">
        <v>13485</v>
      </c>
      <c r="D16423" s="18">
        <v>2023</v>
      </c>
      <c r="E16423" s="18" t="s">
        <v>0</v>
      </c>
      <c r="F16423" s="41">
        <v>1</v>
      </c>
      <c r="G16423" s="41">
        <v>10</v>
      </c>
      <c r="H16423" s="41">
        <v>36.915089999999999</v>
      </c>
      <c r="I16423" s="221"/>
      <c r="J16423" s="221"/>
    </row>
    <row r="16424" spans="1:10" s="15" customFormat="1" ht="24" hidden="1" customHeight="1" outlineLevel="1" x14ac:dyDescent="0.25">
      <c r="A16424" s="18">
        <v>2731</v>
      </c>
      <c r="B16424" s="4" t="s">
        <v>44</v>
      </c>
      <c r="C16424" s="38" t="s">
        <v>13486</v>
      </c>
      <c r="D16424" s="18">
        <v>2023</v>
      </c>
      <c r="E16424" s="18" t="s">
        <v>0</v>
      </c>
      <c r="F16424" s="41">
        <v>1</v>
      </c>
      <c r="G16424" s="41">
        <v>10</v>
      </c>
      <c r="H16424" s="41">
        <v>36.912279999999996</v>
      </c>
      <c r="I16424" s="221"/>
      <c r="J16424" s="221"/>
    </row>
    <row r="16425" spans="1:10" s="15" customFormat="1" ht="24" hidden="1" customHeight="1" outlineLevel="1" x14ac:dyDescent="0.25">
      <c r="A16425" s="18">
        <v>4548</v>
      </c>
      <c r="B16425" s="4" t="s">
        <v>44</v>
      </c>
      <c r="C16425" s="38" t="s">
        <v>13487</v>
      </c>
      <c r="D16425" s="18">
        <v>2023</v>
      </c>
      <c r="E16425" s="18" t="s">
        <v>0</v>
      </c>
      <c r="F16425" s="41">
        <v>1</v>
      </c>
      <c r="G16425" s="41">
        <v>10</v>
      </c>
      <c r="H16425" s="41">
        <v>36.582259999999998</v>
      </c>
      <c r="I16425" s="221"/>
      <c r="J16425" s="221"/>
    </row>
    <row r="16426" spans="1:10" s="15" customFormat="1" ht="24" hidden="1" customHeight="1" outlineLevel="1" x14ac:dyDescent="0.25">
      <c r="A16426" s="18">
        <v>4556</v>
      </c>
      <c r="B16426" s="4" t="s">
        <v>44</v>
      </c>
      <c r="C16426" s="38" t="s">
        <v>13488</v>
      </c>
      <c r="D16426" s="18">
        <v>2023</v>
      </c>
      <c r="E16426" s="18" t="s">
        <v>0</v>
      </c>
      <c r="F16426" s="41">
        <v>1</v>
      </c>
      <c r="G16426" s="41">
        <v>15</v>
      </c>
      <c r="H16426" s="41">
        <v>37.242840000000001</v>
      </c>
      <c r="I16426" s="221"/>
      <c r="J16426" s="221"/>
    </row>
    <row r="16427" spans="1:10" s="15" customFormat="1" ht="24" hidden="1" customHeight="1" outlineLevel="1" x14ac:dyDescent="0.25">
      <c r="A16427" s="18">
        <v>4541</v>
      </c>
      <c r="B16427" s="4" t="s">
        <v>44</v>
      </c>
      <c r="C16427" s="38" t="s">
        <v>13489</v>
      </c>
      <c r="D16427" s="18">
        <v>2023</v>
      </c>
      <c r="E16427" s="18" t="s">
        <v>0</v>
      </c>
      <c r="F16427" s="41">
        <v>1</v>
      </c>
      <c r="G16427" s="41">
        <v>10</v>
      </c>
      <c r="H16427" s="41">
        <v>36.582140000000003</v>
      </c>
      <c r="I16427" s="221"/>
      <c r="J16427" s="221"/>
    </row>
    <row r="16428" spans="1:10" s="15" customFormat="1" ht="24" hidden="1" customHeight="1" outlineLevel="1" x14ac:dyDescent="0.25">
      <c r="A16428" s="18">
        <v>4549</v>
      </c>
      <c r="B16428" s="4" t="s">
        <v>44</v>
      </c>
      <c r="C16428" s="38" t="s">
        <v>13490</v>
      </c>
      <c r="D16428" s="18">
        <v>2023</v>
      </c>
      <c r="E16428" s="18" t="s">
        <v>0</v>
      </c>
      <c r="F16428" s="41">
        <v>1</v>
      </c>
      <c r="G16428" s="41">
        <v>10</v>
      </c>
      <c r="H16428" s="41">
        <v>36.681829999999998</v>
      </c>
      <c r="I16428" s="221"/>
      <c r="J16428" s="221"/>
    </row>
    <row r="16429" spans="1:10" s="15" customFormat="1" ht="24" hidden="1" customHeight="1" outlineLevel="1" x14ac:dyDescent="0.25">
      <c r="A16429" s="18">
        <v>4550</v>
      </c>
      <c r="B16429" s="4" t="s">
        <v>44</v>
      </c>
      <c r="C16429" s="38" t="s">
        <v>13491</v>
      </c>
      <c r="D16429" s="18">
        <v>2023</v>
      </c>
      <c r="E16429" s="18" t="s">
        <v>0</v>
      </c>
      <c r="F16429" s="41">
        <v>1</v>
      </c>
      <c r="G16429" s="41">
        <v>14</v>
      </c>
      <c r="H16429" s="41">
        <v>36.417920000000002</v>
      </c>
      <c r="I16429" s="221"/>
      <c r="J16429" s="221"/>
    </row>
    <row r="16430" spans="1:10" s="15" customFormat="1" ht="24" hidden="1" customHeight="1" outlineLevel="1" x14ac:dyDescent="0.25">
      <c r="A16430" s="18">
        <v>4544</v>
      </c>
      <c r="B16430" s="4" t="s">
        <v>44</v>
      </c>
      <c r="C16430" s="38" t="s">
        <v>13492</v>
      </c>
      <c r="D16430" s="18">
        <v>2023</v>
      </c>
      <c r="E16430" s="18" t="s">
        <v>0</v>
      </c>
      <c r="F16430" s="41">
        <v>1</v>
      </c>
      <c r="G16430" s="41">
        <v>15</v>
      </c>
      <c r="H16430" s="41">
        <v>38.886990000000004</v>
      </c>
      <c r="I16430" s="221"/>
      <c r="J16430" s="221"/>
    </row>
    <row r="16431" spans="1:10" s="15" customFormat="1" ht="24" hidden="1" customHeight="1" outlineLevel="1" x14ac:dyDescent="0.25">
      <c r="A16431" s="18">
        <v>2720</v>
      </c>
      <c r="B16431" s="4" t="s">
        <v>44</v>
      </c>
      <c r="C16431" s="38" t="s">
        <v>13493</v>
      </c>
      <c r="D16431" s="18">
        <v>2023</v>
      </c>
      <c r="E16431" s="18" t="s">
        <v>0</v>
      </c>
      <c r="F16431" s="41">
        <v>14</v>
      </c>
      <c r="G16431" s="41">
        <v>174</v>
      </c>
      <c r="H16431" s="41">
        <v>511.15871999999996</v>
      </c>
      <c r="I16431" s="221"/>
      <c r="J16431" s="221"/>
    </row>
    <row r="16432" spans="1:10" s="15" customFormat="1" ht="24" hidden="1" customHeight="1" outlineLevel="1" x14ac:dyDescent="0.25">
      <c r="A16432" s="18">
        <v>4565</v>
      </c>
      <c r="B16432" s="4" t="s">
        <v>44</v>
      </c>
      <c r="C16432" s="38" t="s">
        <v>13494</v>
      </c>
      <c r="D16432" s="18">
        <v>2023</v>
      </c>
      <c r="E16432" s="18" t="s">
        <v>0</v>
      </c>
      <c r="F16432" s="41">
        <v>1</v>
      </c>
      <c r="G16432" s="41">
        <v>15</v>
      </c>
      <c r="H16432" s="41">
        <v>36.63288</v>
      </c>
      <c r="I16432" s="221"/>
      <c r="J16432" s="221"/>
    </row>
    <row r="16433" spans="1:10" s="15" customFormat="1" ht="24" hidden="1" customHeight="1" outlineLevel="1" x14ac:dyDescent="0.25">
      <c r="A16433" s="18">
        <v>2729</v>
      </c>
      <c r="B16433" s="4" t="s">
        <v>44</v>
      </c>
      <c r="C16433" s="38" t="s">
        <v>13495</v>
      </c>
      <c r="D16433" s="18">
        <v>2023</v>
      </c>
      <c r="E16433" s="18" t="s">
        <v>0</v>
      </c>
      <c r="F16433" s="41">
        <v>12</v>
      </c>
      <c r="G16433" s="41">
        <v>155</v>
      </c>
      <c r="H16433" s="41">
        <v>439.10487999999998</v>
      </c>
      <c r="I16433" s="221"/>
      <c r="J16433" s="221"/>
    </row>
    <row r="16434" spans="1:10" s="15" customFormat="1" ht="24" hidden="1" customHeight="1" outlineLevel="1" x14ac:dyDescent="0.25">
      <c r="A16434" s="18">
        <v>4567</v>
      </c>
      <c r="B16434" s="4" t="s">
        <v>44</v>
      </c>
      <c r="C16434" s="38" t="s">
        <v>13496</v>
      </c>
      <c r="D16434" s="18">
        <v>2023</v>
      </c>
      <c r="E16434" s="18" t="s">
        <v>0</v>
      </c>
      <c r="F16434" s="41">
        <v>1</v>
      </c>
      <c r="G16434" s="41">
        <v>15</v>
      </c>
      <c r="H16434" s="41">
        <v>36.63288</v>
      </c>
      <c r="I16434" s="221"/>
      <c r="J16434" s="221"/>
    </row>
    <row r="16435" spans="1:10" s="15" customFormat="1" ht="24" hidden="1" customHeight="1" outlineLevel="1" x14ac:dyDescent="0.25">
      <c r="A16435" s="18">
        <v>2734</v>
      </c>
      <c r="B16435" s="4" t="s">
        <v>44</v>
      </c>
      <c r="C16435" s="38" t="s">
        <v>13497</v>
      </c>
      <c r="D16435" s="18">
        <v>2023</v>
      </c>
      <c r="E16435" s="18" t="s">
        <v>0</v>
      </c>
      <c r="F16435" s="41">
        <v>1</v>
      </c>
      <c r="G16435" s="41">
        <v>15</v>
      </c>
      <c r="H16435" s="41">
        <v>36.496639999999999</v>
      </c>
      <c r="I16435" s="221"/>
      <c r="J16435" s="221"/>
    </row>
    <row r="16436" spans="1:10" s="15" customFormat="1" ht="24" hidden="1" customHeight="1" outlineLevel="1" x14ac:dyDescent="0.25">
      <c r="A16436" s="18">
        <v>2757</v>
      </c>
      <c r="B16436" s="4" t="s">
        <v>44</v>
      </c>
      <c r="C16436" s="38" t="s">
        <v>13498</v>
      </c>
      <c r="D16436" s="18">
        <v>2023</v>
      </c>
      <c r="E16436" s="18" t="s">
        <v>0</v>
      </c>
      <c r="F16436" s="41">
        <v>1</v>
      </c>
      <c r="G16436" s="41">
        <v>15</v>
      </c>
      <c r="H16436" s="41">
        <v>36.63288</v>
      </c>
      <c r="I16436" s="221"/>
      <c r="J16436" s="221"/>
    </row>
    <row r="16437" spans="1:10" s="15" customFormat="1" ht="24" hidden="1" customHeight="1" outlineLevel="1" x14ac:dyDescent="0.25">
      <c r="A16437" s="18">
        <v>2763</v>
      </c>
      <c r="B16437" s="4" t="s">
        <v>44</v>
      </c>
      <c r="C16437" s="38" t="s">
        <v>13499</v>
      </c>
      <c r="D16437" s="18">
        <v>2023</v>
      </c>
      <c r="E16437" s="18" t="s">
        <v>0</v>
      </c>
      <c r="F16437" s="41">
        <v>17</v>
      </c>
      <c r="G16437" s="41">
        <v>119</v>
      </c>
      <c r="H16437" s="41">
        <v>297.82860999999997</v>
      </c>
      <c r="I16437" s="221"/>
      <c r="J16437" s="221"/>
    </row>
    <row r="16438" spans="1:10" s="15" customFormat="1" ht="24" hidden="1" customHeight="1" outlineLevel="1" x14ac:dyDescent="0.25">
      <c r="A16438" s="18">
        <v>2753</v>
      </c>
      <c r="B16438" s="4" t="s">
        <v>44</v>
      </c>
      <c r="C16438" s="38" t="s">
        <v>13500</v>
      </c>
      <c r="D16438" s="18">
        <v>2023</v>
      </c>
      <c r="E16438" s="18" t="s">
        <v>0</v>
      </c>
      <c r="F16438" s="41">
        <v>23</v>
      </c>
      <c r="G16438" s="41">
        <v>287</v>
      </c>
      <c r="H16438" s="41">
        <v>847.40301999999997</v>
      </c>
      <c r="I16438" s="221"/>
      <c r="J16438" s="221"/>
    </row>
    <row r="16439" spans="1:10" s="15" customFormat="1" ht="24" hidden="1" customHeight="1" outlineLevel="1" x14ac:dyDescent="0.25">
      <c r="A16439" s="18">
        <v>2756</v>
      </c>
      <c r="B16439" s="4" t="s">
        <v>44</v>
      </c>
      <c r="C16439" s="38" t="s">
        <v>13501</v>
      </c>
      <c r="D16439" s="18">
        <v>2023</v>
      </c>
      <c r="E16439" s="18" t="s">
        <v>0</v>
      </c>
      <c r="F16439" s="41">
        <v>2</v>
      </c>
      <c r="G16439" s="41">
        <v>30</v>
      </c>
      <c r="H16439" s="41">
        <v>72.994</v>
      </c>
      <c r="I16439" s="221"/>
      <c r="J16439" s="221"/>
    </row>
    <row r="16440" spans="1:10" s="15" customFormat="1" ht="24" hidden="1" customHeight="1" outlineLevel="1" x14ac:dyDescent="0.25">
      <c r="A16440" s="18">
        <v>2781</v>
      </c>
      <c r="B16440" s="4" t="s">
        <v>44</v>
      </c>
      <c r="C16440" s="38" t="s">
        <v>13502</v>
      </c>
      <c r="D16440" s="18">
        <v>2023</v>
      </c>
      <c r="E16440" s="18" t="s">
        <v>0</v>
      </c>
      <c r="F16440" s="41">
        <v>10</v>
      </c>
      <c r="G16440" s="41">
        <v>119</v>
      </c>
      <c r="H16440" s="41">
        <v>361.81075000000004</v>
      </c>
      <c r="I16440" s="221"/>
      <c r="J16440" s="221"/>
    </row>
    <row r="16441" spans="1:10" s="15" customFormat="1" ht="24" hidden="1" customHeight="1" outlineLevel="1" x14ac:dyDescent="0.25">
      <c r="A16441" s="18">
        <v>4561</v>
      </c>
      <c r="B16441" s="4" t="s">
        <v>44</v>
      </c>
      <c r="C16441" s="38" t="s">
        <v>13503</v>
      </c>
      <c r="D16441" s="18">
        <v>2023</v>
      </c>
      <c r="E16441" s="18" t="s">
        <v>0</v>
      </c>
      <c r="F16441" s="41">
        <v>8</v>
      </c>
      <c r="G16441" s="41">
        <v>120</v>
      </c>
      <c r="H16441" s="41">
        <v>291.38715999999999</v>
      </c>
      <c r="I16441" s="221"/>
      <c r="J16441" s="221"/>
    </row>
    <row r="16442" spans="1:10" s="15" customFormat="1" ht="24" hidden="1" customHeight="1" outlineLevel="1" x14ac:dyDescent="0.25">
      <c r="A16442" s="18">
        <v>4563</v>
      </c>
      <c r="B16442" s="4" t="s">
        <v>44</v>
      </c>
      <c r="C16442" s="38" t="s">
        <v>13504</v>
      </c>
      <c r="D16442" s="18">
        <v>2023</v>
      </c>
      <c r="E16442" s="18" t="s">
        <v>0</v>
      </c>
      <c r="F16442" s="41">
        <v>1</v>
      </c>
      <c r="G16442" s="41">
        <v>15</v>
      </c>
      <c r="H16442" s="41">
        <v>37.192450000000001</v>
      </c>
      <c r="I16442" s="221"/>
      <c r="J16442" s="221"/>
    </row>
    <row r="16443" spans="1:10" s="15" customFormat="1" ht="24" hidden="1" customHeight="1" outlineLevel="1" x14ac:dyDescent="0.25">
      <c r="A16443" s="18">
        <v>4562</v>
      </c>
      <c r="B16443" s="4" t="s">
        <v>44</v>
      </c>
      <c r="C16443" s="38" t="s">
        <v>13505</v>
      </c>
      <c r="D16443" s="18">
        <v>2023</v>
      </c>
      <c r="E16443" s="18" t="s">
        <v>0</v>
      </c>
      <c r="F16443" s="41">
        <v>1</v>
      </c>
      <c r="G16443" s="41">
        <v>10</v>
      </c>
      <c r="H16443" s="41">
        <v>37.192599999999999</v>
      </c>
      <c r="I16443" s="221"/>
      <c r="J16443" s="221"/>
    </row>
    <row r="16444" spans="1:10" s="15" customFormat="1" ht="24" hidden="1" customHeight="1" outlineLevel="1" x14ac:dyDescent="0.25">
      <c r="A16444" s="18">
        <v>4574</v>
      </c>
      <c r="B16444" s="4" t="s">
        <v>44</v>
      </c>
      <c r="C16444" s="38" t="s">
        <v>13506</v>
      </c>
      <c r="D16444" s="18">
        <v>2023</v>
      </c>
      <c r="E16444" s="18" t="s">
        <v>0</v>
      </c>
      <c r="F16444" s="41">
        <v>19</v>
      </c>
      <c r="G16444" s="41">
        <v>235</v>
      </c>
      <c r="H16444" s="41">
        <v>674.55306999999993</v>
      </c>
      <c r="I16444" s="221"/>
      <c r="J16444" s="221"/>
    </row>
    <row r="16445" spans="1:10" s="15" customFormat="1" ht="24" hidden="1" customHeight="1" outlineLevel="1" x14ac:dyDescent="0.25">
      <c r="A16445" s="18">
        <v>2796</v>
      </c>
      <c r="B16445" s="4" t="s">
        <v>44</v>
      </c>
      <c r="C16445" s="38" t="s">
        <v>13507</v>
      </c>
      <c r="D16445" s="18">
        <v>2023</v>
      </c>
      <c r="E16445" s="18" t="s">
        <v>0</v>
      </c>
      <c r="F16445" s="41">
        <v>2</v>
      </c>
      <c r="G16445" s="41">
        <v>30</v>
      </c>
      <c r="H16445" s="41">
        <v>70.672440000000009</v>
      </c>
      <c r="I16445" s="221"/>
      <c r="J16445" s="221"/>
    </row>
    <row r="16446" spans="1:10" s="15" customFormat="1" ht="24" hidden="1" customHeight="1" outlineLevel="1" x14ac:dyDescent="0.25">
      <c r="A16446" s="18">
        <v>2803</v>
      </c>
      <c r="B16446" s="4" t="s">
        <v>44</v>
      </c>
      <c r="C16446" s="38" t="s">
        <v>13508</v>
      </c>
      <c r="D16446" s="18">
        <v>2023</v>
      </c>
      <c r="E16446" s="18" t="s">
        <v>0</v>
      </c>
      <c r="F16446" s="41">
        <v>8</v>
      </c>
      <c r="G16446" s="41">
        <v>110</v>
      </c>
      <c r="H16446" s="41">
        <v>287.19521999999995</v>
      </c>
      <c r="I16446" s="221"/>
      <c r="J16446" s="221"/>
    </row>
    <row r="16447" spans="1:10" s="15" customFormat="1" ht="24" hidden="1" customHeight="1" outlineLevel="1" x14ac:dyDescent="0.25">
      <c r="A16447" s="18">
        <v>4568</v>
      </c>
      <c r="B16447" s="4" t="s">
        <v>44</v>
      </c>
      <c r="C16447" s="38" t="s">
        <v>13509</v>
      </c>
      <c r="D16447" s="18">
        <v>2023</v>
      </c>
      <c r="E16447" s="18" t="s">
        <v>0</v>
      </c>
      <c r="F16447" s="41">
        <v>1</v>
      </c>
      <c r="G16447" s="41">
        <v>50</v>
      </c>
      <c r="H16447" s="41">
        <v>36.332160000000002</v>
      </c>
      <c r="I16447" s="221"/>
      <c r="J16447" s="221"/>
    </row>
    <row r="16448" spans="1:10" s="15" customFormat="1" ht="24" hidden="1" customHeight="1" outlineLevel="1" x14ac:dyDescent="0.25">
      <c r="A16448" s="18">
        <v>2797</v>
      </c>
      <c r="B16448" s="4" t="s">
        <v>44</v>
      </c>
      <c r="C16448" s="38" t="s">
        <v>13510</v>
      </c>
      <c r="D16448" s="18">
        <v>2023</v>
      </c>
      <c r="E16448" s="18" t="s">
        <v>0</v>
      </c>
      <c r="F16448" s="41">
        <v>9</v>
      </c>
      <c r="G16448" s="41">
        <v>125</v>
      </c>
      <c r="H16448" s="41">
        <v>317.20653999999996</v>
      </c>
      <c r="I16448" s="221"/>
      <c r="J16448" s="221"/>
    </row>
    <row r="16449" spans="1:10" s="15" customFormat="1" ht="24" hidden="1" customHeight="1" outlineLevel="1" x14ac:dyDescent="0.25">
      <c r="A16449" s="18">
        <v>470</v>
      </c>
      <c r="B16449" s="4" t="s">
        <v>44</v>
      </c>
      <c r="C16449" s="38" t="s">
        <v>13511</v>
      </c>
      <c r="D16449" s="18">
        <v>2023</v>
      </c>
      <c r="E16449" s="18" t="s">
        <v>0</v>
      </c>
      <c r="F16449" s="41">
        <v>1</v>
      </c>
      <c r="G16449" s="41">
        <v>15</v>
      </c>
      <c r="H16449" s="41">
        <v>36.332160000000002</v>
      </c>
      <c r="I16449" s="221"/>
      <c r="J16449" s="221"/>
    </row>
    <row r="16450" spans="1:10" s="15" customFormat="1" ht="24" hidden="1" customHeight="1" outlineLevel="1" x14ac:dyDescent="0.25">
      <c r="A16450" s="18">
        <v>2806</v>
      </c>
      <c r="B16450" s="4" t="s">
        <v>44</v>
      </c>
      <c r="C16450" s="38" t="s">
        <v>13512</v>
      </c>
      <c r="D16450" s="18">
        <v>2023</v>
      </c>
      <c r="E16450" s="18" t="s">
        <v>0</v>
      </c>
      <c r="F16450" s="41">
        <v>3</v>
      </c>
      <c r="G16450" s="41">
        <v>45</v>
      </c>
      <c r="H16450" s="41">
        <v>109.54273000000001</v>
      </c>
      <c r="I16450" s="221"/>
      <c r="J16450" s="221"/>
    </row>
    <row r="16451" spans="1:10" s="15" customFormat="1" ht="24" hidden="1" customHeight="1" outlineLevel="1" x14ac:dyDescent="0.25">
      <c r="A16451" s="18">
        <v>2795</v>
      </c>
      <c r="B16451" s="4" t="s">
        <v>44</v>
      </c>
      <c r="C16451" s="38" t="s">
        <v>13513</v>
      </c>
      <c r="D16451" s="18">
        <v>2023</v>
      </c>
      <c r="E16451" s="18" t="s">
        <v>0</v>
      </c>
      <c r="F16451" s="41">
        <v>31</v>
      </c>
      <c r="G16451" s="41">
        <v>445</v>
      </c>
      <c r="H16451" s="41">
        <v>1096.4110800000001</v>
      </c>
      <c r="I16451" s="221"/>
      <c r="J16451" s="221"/>
    </row>
    <row r="16452" spans="1:10" s="15" customFormat="1" ht="24" hidden="1" customHeight="1" outlineLevel="1" x14ac:dyDescent="0.25">
      <c r="A16452" s="18">
        <v>4570</v>
      </c>
      <c r="B16452" s="4" t="s">
        <v>44</v>
      </c>
      <c r="C16452" s="38" t="s">
        <v>13514</v>
      </c>
      <c r="D16452" s="18">
        <v>2023</v>
      </c>
      <c r="E16452" s="18" t="s">
        <v>0</v>
      </c>
      <c r="F16452" s="41">
        <v>1</v>
      </c>
      <c r="G16452" s="41">
        <v>15</v>
      </c>
      <c r="H16452" s="41">
        <v>36.258130000000001</v>
      </c>
      <c r="I16452" s="221"/>
      <c r="J16452" s="221"/>
    </row>
    <row r="16453" spans="1:10" s="15" customFormat="1" ht="24" hidden="1" customHeight="1" outlineLevel="1" x14ac:dyDescent="0.25">
      <c r="A16453" s="18">
        <v>4573</v>
      </c>
      <c r="B16453" s="4" t="s">
        <v>44</v>
      </c>
      <c r="C16453" s="38" t="s">
        <v>13515</v>
      </c>
      <c r="D16453" s="18">
        <v>2023</v>
      </c>
      <c r="E16453" s="18" t="s">
        <v>0</v>
      </c>
      <c r="F16453" s="41">
        <v>1</v>
      </c>
      <c r="G16453" s="41">
        <v>10</v>
      </c>
      <c r="H16453" s="41">
        <v>37.005679999999998</v>
      </c>
      <c r="I16453" s="221"/>
      <c r="J16453" s="221"/>
    </row>
    <row r="16454" spans="1:10" s="15" customFormat="1" ht="24" hidden="1" customHeight="1" outlineLevel="1" x14ac:dyDescent="0.25">
      <c r="A16454" s="18">
        <v>2773</v>
      </c>
      <c r="B16454" s="4" t="s">
        <v>44</v>
      </c>
      <c r="C16454" s="38" t="s">
        <v>13516</v>
      </c>
      <c r="D16454" s="18">
        <v>2023</v>
      </c>
      <c r="E16454" s="18" t="s">
        <v>0</v>
      </c>
      <c r="F16454" s="41">
        <v>1</v>
      </c>
      <c r="G16454" s="41">
        <v>5</v>
      </c>
      <c r="H16454" s="41">
        <v>37.07199</v>
      </c>
      <c r="I16454" s="221"/>
      <c r="J16454" s="221"/>
    </row>
    <row r="16455" spans="1:10" s="15" customFormat="1" ht="24" hidden="1" customHeight="1" outlineLevel="1" x14ac:dyDescent="0.25">
      <c r="A16455" s="18">
        <v>4575</v>
      </c>
      <c r="B16455" s="4" t="s">
        <v>44</v>
      </c>
      <c r="C16455" s="38" t="s">
        <v>13517</v>
      </c>
      <c r="D16455" s="18">
        <v>2023</v>
      </c>
      <c r="E16455" s="18" t="s">
        <v>0</v>
      </c>
      <c r="F16455" s="41">
        <v>1</v>
      </c>
      <c r="G16455" s="41">
        <v>15</v>
      </c>
      <c r="H16455" s="41">
        <v>36.864570000000001</v>
      </c>
      <c r="I16455" s="221"/>
      <c r="J16455" s="221"/>
    </row>
    <row r="16456" spans="1:10" s="15" customFormat="1" ht="24" hidden="1" customHeight="1" outlineLevel="1" x14ac:dyDescent="0.25">
      <c r="A16456" s="18">
        <v>4572</v>
      </c>
      <c r="B16456" s="4" t="s">
        <v>44</v>
      </c>
      <c r="C16456" s="38" t="s">
        <v>13518</v>
      </c>
      <c r="D16456" s="18">
        <v>2023</v>
      </c>
      <c r="E16456" s="18" t="s">
        <v>0</v>
      </c>
      <c r="F16456" s="41">
        <v>1</v>
      </c>
      <c r="G16456" s="41">
        <v>5</v>
      </c>
      <c r="H16456" s="41">
        <v>35.665639999999996</v>
      </c>
      <c r="I16456" s="221"/>
      <c r="J16456" s="221"/>
    </row>
    <row r="16457" spans="1:10" s="15" customFormat="1" ht="24" hidden="1" customHeight="1" outlineLevel="1" x14ac:dyDescent="0.25">
      <c r="A16457" s="18">
        <v>2794</v>
      </c>
      <c r="B16457" s="4" t="s">
        <v>44</v>
      </c>
      <c r="C16457" s="38" t="s">
        <v>13519</v>
      </c>
      <c r="D16457" s="18">
        <v>2023</v>
      </c>
      <c r="E16457" s="18" t="s">
        <v>0</v>
      </c>
      <c r="F16457" s="41">
        <v>1</v>
      </c>
      <c r="G16457" s="41">
        <v>15</v>
      </c>
      <c r="H16457" s="41">
        <v>35.959980000000002</v>
      </c>
      <c r="I16457" s="221"/>
      <c r="J16457" s="221"/>
    </row>
    <row r="16458" spans="1:10" s="15" customFormat="1" ht="24" hidden="1" customHeight="1" outlineLevel="1" x14ac:dyDescent="0.25">
      <c r="A16458" s="18">
        <v>4571</v>
      </c>
      <c r="B16458" s="4" t="s">
        <v>44</v>
      </c>
      <c r="C16458" s="38" t="s">
        <v>13520</v>
      </c>
      <c r="D16458" s="18">
        <v>2023</v>
      </c>
      <c r="E16458" s="18" t="s">
        <v>0</v>
      </c>
      <c r="F16458" s="41">
        <v>1</v>
      </c>
      <c r="G16458" s="41">
        <v>5</v>
      </c>
      <c r="H16458" s="41">
        <v>35.665649999999999</v>
      </c>
      <c r="I16458" s="221"/>
      <c r="J16458" s="221"/>
    </row>
    <row r="16459" spans="1:10" s="15" customFormat="1" ht="22.5" hidden="1" customHeight="1" outlineLevel="1" x14ac:dyDescent="0.25">
      <c r="A16459" s="90">
        <v>3121</v>
      </c>
      <c r="B16459" s="4" t="s">
        <v>44</v>
      </c>
      <c r="C16459" s="38" t="s">
        <v>9167</v>
      </c>
      <c r="D16459" s="18">
        <v>2023</v>
      </c>
      <c r="E16459" s="18" t="s">
        <v>0</v>
      </c>
      <c r="F16459" s="4">
        <v>1</v>
      </c>
      <c r="G16459" s="41">
        <v>100</v>
      </c>
      <c r="H16459" s="41">
        <v>36.5</v>
      </c>
      <c r="I16459" s="221"/>
      <c r="J16459" s="221"/>
    </row>
    <row r="16460" spans="1:10" s="15" customFormat="1" ht="22.5" hidden="1" customHeight="1" outlineLevel="1" x14ac:dyDescent="0.25">
      <c r="A16460" s="90">
        <v>3015</v>
      </c>
      <c r="B16460" s="4" t="s">
        <v>44</v>
      </c>
      <c r="C16460" s="38" t="s">
        <v>8787</v>
      </c>
      <c r="D16460" s="18">
        <v>2023</v>
      </c>
      <c r="E16460" s="18" t="s">
        <v>0</v>
      </c>
      <c r="F16460" s="4">
        <v>1</v>
      </c>
      <c r="G16460" s="41">
        <v>30</v>
      </c>
      <c r="H16460" s="41">
        <v>510.92072999999999</v>
      </c>
      <c r="I16460" s="221"/>
      <c r="J16460" s="221"/>
    </row>
    <row r="16461" spans="1:10" s="15" customFormat="1" ht="24" hidden="1" customHeight="1" outlineLevel="1" x14ac:dyDescent="0.25">
      <c r="A16461" s="18">
        <v>2807</v>
      </c>
      <c r="B16461" s="4" t="s">
        <v>44</v>
      </c>
      <c r="C16461" s="38" t="s">
        <v>13521</v>
      </c>
      <c r="D16461" s="18">
        <v>2023</v>
      </c>
      <c r="E16461" s="18" t="s">
        <v>0</v>
      </c>
      <c r="F16461" s="41">
        <v>1</v>
      </c>
      <c r="G16461" s="41">
        <v>3</v>
      </c>
      <c r="H16461" s="41">
        <v>35.926699999999997</v>
      </c>
      <c r="I16461" s="221"/>
      <c r="J16461" s="221"/>
    </row>
    <row r="16462" spans="1:10" s="15" customFormat="1" ht="33.75" hidden="1" customHeight="1" outlineLevel="1" x14ac:dyDescent="0.25">
      <c r="A16462" s="18">
        <v>3535</v>
      </c>
      <c r="B16462" s="4" t="s">
        <v>44</v>
      </c>
      <c r="C16462" s="38" t="s">
        <v>13355</v>
      </c>
      <c r="D16462" s="18">
        <v>2023</v>
      </c>
      <c r="E16462" s="18" t="s">
        <v>0</v>
      </c>
      <c r="F16462" s="41">
        <v>1</v>
      </c>
      <c r="G16462" s="41">
        <v>15</v>
      </c>
      <c r="H16462" s="41">
        <v>38.950000000000003</v>
      </c>
      <c r="I16462" s="221"/>
      <c r="J16462" s="221"/>
    </row>
    <row r="16463" spans="1:10" s="15" customFormat="1" ht="19.5" hidden="1" customHeight="1" outlineLevel="1" x14ac:dyDescent="0.25">
      <c r="A16463" s="142">
        <v>9183</v>
      </c>
      <c r="B16463" s="143" t="s">
        <v>44</v>
      </c>
      <c r="C16463" s="144" t="s">
        <v>1371</v>
      </c>
      <c r="D16463" s="145">
        <v>2021</v>
      </c>
      <c r="E16463" s="145"/>
      <c r="F16463" s="143">
        <v>1</v>
      </c>
      <c r="G16463" s="143">
        <v>15</v>
      </c>
      <c r="H16463" s="146">
        <v>87</v>
      </c>
      <c r="I16463" s="221"/>
      <c r="J16463" s="221"/>
    </row>
    <row r="16464" spans="1:10" s="15" customFormat="1" ht="19.5" hidden="1" customHeight="1" outlineLevel="1" x14ac:dyDescent="0.25">
      <c r="A16464" s="45">
        <v>90</v>
      </c>
      <c r="B16464" s="4" t="s">
        <v>44</v>
      </c>
      <c r="C16464" s="22" t="s">
        <v>1372</v>
      </c>
      <c r="D16464" s="18">
        <v>2021</v>
      </c>
      <c r="E16464" s="18"/>
      <c r="F16464" s="4">
        <v>1</v>
      </c>
      <c r="G16464" s="4">
        <v>15</v>
      </c>
      <c r="H16464" s="4">
        <v>58</v>
      </c>
      <c r="I16464" s="201"/>
      <c r="J16464" s="201"/>
    </row>
    <row r="16465" spans="1:10" s="15" customFormat="1" ht="19.5" hidden="1" customHeight="1" outlineLevel="1" x14ac:dyDescent="0.25">
      <c r="A16465" s="46">
        <v>9187</v>
      </c>
      <c r="B16465" s="4" t="s">
        <v>44</v>
      </c>
      <c r="C16465" s="22" t="s">
        <v>1373</v>
      </c>
      <c r="D16465" s="18">
        <v>2021</v>
      </c>
      <c r="E16465" s="18"/>
      <c r="F16465" s="4">
        <v>1</v>
      </c>
      <c r="G16465" s="4">
        <v>15</v>
      </c>
      <c r="H16465" s="4">
        <v>103</v>
      </c>
      <c r="I16465" s="201"/>
      <c r="J16465" s="201"/>
    </row>
    <row r="16466" spans="1:10" s="15" customFormat="1" ht="19.5" hidden="1" customHeight="1" outlineLevel="1" x14ac:dyDescent="0.25">
      <c r="A16466" s="45">
        <v>101</v>
      </c>
      <c r="B16466" s="4" t="s">
        <v>44</v>
      </c>
      <c r="C16466" s="22" t="s">
        <v>1374</v>
      </c>
      <c r="D16466" s="18">
        <v>2021</v>
      </c>
      <c r="E16466" s="18"/>
      <c r="F16466" s="4">
        <v>1</v>
      </c>
      <c r="G16466" s="4">
        <v>15</v>
      </c>
      <c r="H16466" s="4">
        <v>78</v>
      </c>
      <c r="I16466" s="201"/>
      <c r="J16466" s="201"/>
    </row>
    <row r="16467" spans="1:10" s="15" customFormat="1" ht="19.5" hidden="1" customHeight="1" outlineLevel="1" x14ac:dyDescent="0.25">
      <c r="A16467" s="46">
        <v>9185</v>
      </c>
      <c r="B16467" s="4" t="s">
        <v>44</v>
      </c>
      <c r="C16467" s="22" t="s">
        <v>1375</v>
      </c>
      <c r="D16467" s="18">
        <v>2021</v>
      </c>
      <c r="E16467" s="18"/>
      <c r="F16467" s="4">
        <v>1</v>
      </c>
      <c r="G16467" s="4">
        <v>15</v>
      </c>
      <c r="H16467" s="4">
        <v>117</v>
      </c>
      <c r="I16467" s="201"/>
      <c r="J16467" s="201"/>
    </row>
    <row r="16468" spans="1:10" s="15" customFormat="1" ht="19.5" hidden="1" customHeight="1" outlineLevel="1" x14ac:dyDescent="0.25">
      <c r="A16468" s="46">
        <v>9796</v>
      </c>
      <c r="B16468" s="4" t="s">
        <v>44</v>
      </c>
      <c r="C16468" s="22" t="s">
        <v>303</v>
      </c>
      <c r="D16468" s="18">
        <v>2021</v>
      </c>
      <c r="E16468" s="18"/>
      <c r="F16468" s="4">
        <v>1</v>
      </c>
      <c r="G16468" s="4">
        <v>15</v>
      </c>
      <c r="H16468" s="4">
        <v>41</v>
      </c>
      <c r="I16468" s="201"/>
      <c r="J16468" s="201"/>
    </row>
    <row r="16469" spans="1:10" s="15" customFormat="1" ht="19.5" hidden="1" customHeight="1" outlineLevel="1" x14ac:dyDescent="0.25">
      <c r="A16469" s="45">
        <v>173</v>
      </c>
      <c r="B16469" s="4" t="s">
        <v>44</v>
      </c>
      <c r="C16469" s="22" t="s">
        <v>1376</v>
      </c>
      <c r="D16469" s="18">
        <v>2021</v>
      </c>
      <c r="E16469" s="18"/>
      <c r="F16469" s="4">
        <v>1</v>
      </c>
      <c r="G16469" s="4">
        <v>15</v>
      </c>
      <c r="H16469" s="4">
        <v>88</v>
      </c>
      <c r="I16469" s="201"/>
      <c r="J16469" s="201"/>
    </row>
    <row r="16470" spans="1:10" s="15" customFormat="1" ht="19.5" hidden="1" customHeight="1" outlineLevel="1" x14ac:dyDescent="0.25">
      <c r="A16470" s="45">
        <v>86</v>
      </c>
      <c r="B16470" s="4" t="s">
        <v>44</v>
      </c>
      <c r="C16470" s="22" t="s">
        <v>1377</v>
      </c>
      <c r="D16470" s="18">
        <v>2021</v>
      </c>
      <c r="E16470" s="18"/>
      <c r="F16470" s="4">
        <v>1</v>
      </c>
      <c r="G16470" s="4">
        <v>15</v>
      </c>
      <c r="H16470" s="4">
        <v>87</v>
      </c>
      <c r="I16470" s="201"/>
      <c r="J16470" s="201"/>
    </row>
    <row r="16471" spans="1:10" s="15" customFormat="1" ht="19.5" hidden="1" customHeight="1" outlineLevel="1" x14ac:dyDescent="0.25">
      <c r="A16471" s="46">
        <v>9184</v>
      </c>
      <c r="B16471" s="4" t="s">
        <v>44</v>
      </c>
      <c r="C16471" s="22" t="s">
        <v>1378</v>
      </c>
      <c r="D16471" s="18">
        <v>2021</v>
      </c>
      <c r="E16471" s="18"/>
      <c r="F16471" s="4">
        <v>1</v>
      </c>
      <c r="G16471" s="4">
        <v>15</v>
      </c>
      <c r="H16471" s="4">
        <v>74</v>
      </c>
      <c r="I16471" s="201"/>
      <c r="J16471" s="201"/>
    </row>
    <row r="16472" spans="1:10" s="15" customFormat="1" ht="19.5" hidden="1" customHeight="1" outlineLevel="1" x14ac:dyDescent="0.25">
      <c r="A16472" s="46">
        <v>9180</v>
      </c>
      <c r="B16472" s="4" t="s">
        <v>44</v>
      </c>
      <c r="C16472" s="22" t="s">
        <v>1379</v>
      </c>
      <c r="D16472" s="18">
        <v>2021</v>
      </c>
      <c r="E16472" s="18"/>
      <c r="F16472" s="4">
        <v>1</v>
      </c>
      <c r="G16472" s="4">
        <v>10</v>
      </c>
      <c r="H16472" s="4">
        <v>79</v>
      </c>
      <c r="I16472" s="201"/>
      <c r="J16472" s="201"/>
    </row>
    <row r="16473" spans="1:10" s="15" customFormat="1" ht="19.5" hidden="1" customHeight="1" outlineLevel="1" x14ac:dyDescent="0.25">
      <c r="A16473" s="45">
        <v>27</v>
      </c>
      <c r="B16473" s="4" t="s">
        <v>44</v>
      </c>
      <c r="C16473" s="22" t="s">
        <v>1380</v>
      </c>
      <c r="D16473" s="18">
        <v>2021</v>
      </c>
      <c r="E16473" s="18"/>
      <c r="F16473" s="4">
        <v>1</v>
      </c>
      <c r="G16473" s="4">
        <v>7</v>
      </c>
      <c r="H16473" s="4">
        <v>68</v>
      </c>
      <c r="I16473" s="201"/>
      <c r="J16473" s="201"/>
    </row>
    <row r="16474" spans="1:10" s="15" customFormat="1" ht="19.5" hidden="1" customHeight="1" outlineLevel="1" x14ac:dyDescent="0.25">
      <c r="A16474" s="46">
        <v>9191</v>
      </c>
      <c r="B16474" s="4" t="s">
        <v>44</v>
      </c>
      <c r="C16474" s="22" t="s">
        <v>1381</v>
      </c>
      <c r="D16474" s="18">
        <v>2021</v>
      </c>
      <c r="E16474" s="18"/>
      <c r="F16474" s="4">
        <v>1</v>
      </c>
      <c r="G16474" s="4">
        <v>15</v>
      </c>
      <c r="H16474" s="4">
        <v>83</v>
      </c>
      <c r="I16474" s="201"/>
      <c r="J16474" s="201"/>
    </row>
    <row r="16475" spans="1:10" s="15" customFormat="1" ht="19.5" hidden="1" customHeight="1" outlineLevel="1" x14ac:dyDescent="0.25">
      <c r="A16475" s="45">
        <v>1434</v>
      </c>
      <c r="B16475" s="4" t="s">
        <v>44</v>
      </c>
      <c r="C16475" s="22" t="s">
        <v>304</v>
      </c>
      <c r="D16475" s="18">
        <v>2021</v>
      </c>
      <c r="E16475" s="18"/>
      <c r="F16475" s="4">
        <v>1</v>
      </c>
      <c r="G16475" s="4">
        <v>15</v>
      </c>
      <c r="H16475" s="4">
        <v>32</v>
      </c>
      <c r="I16475" s="201"/>
      <c r="J16475" s="201"/>
    </row>
    <row r="16476" spans="1:10" s="15" customFormat="1" ht="19.5" hidden="1" customHeight="1" outlineLevel="1" x14ac:dyDescent="0.25">
      <c r="A16476" s="46">
        <v>9226</v>
      </c>
      <c r="B16476" s="4" t="s">
        <v>44</v>
      </c>
      <c r="C16476" s="22" t="s">
        <v>60</v>
      </c>
      <c r="D16476" s="18">
        <v>2021</v>
      </c>
      <c r="E16476" s="18"/>
      <c r="F16476" s="4">
        <v>1</v>
      </c>
      <c r="G16476" s="4">
        <v>15</v>
      </c>
      <c r="H16476" s="4">
        <v>59</v>
      </c>
      <c r="I16476" s="201"/>
      <c r="J16476" s="201"/>
    </row>
    <row r="16477" spans="1:10" s="15" customFormat="1" ht="19.5" hidden="1" customHeight="1" outlineLevel="1" x14ac:dyDescent="0.25">
      <c r="A16477" s="45">
        <v>76</v>
      </c>
      <c r="B16477" s="4" t="s">
        <v>44</v>
      </c>
      <c r="C16477" s="22" t="s">
        <v>1382</v>
      </c>
      <c r="D16477" s="18">
        <v>2021</v>
      </c>
      <c r="E16477" s="18"/>
      <c r="F16477" s="4">
        <v>1</v>
      </c>
      <c r="G16477" s="4">
        <v>15</v>
      </c>
      <c r="H16477" s="4">
        <v>94</v>
      </c>
      <c r="I16477" s="201"/>
      <c r="J16477" s="201"/>
    </row>
    <row r="16478" spans="1:10" s="15" customFormat="1" ht="19.5" hidden="1" customHeight="1" outlineLevel="1" x14ac:dyDescent="0.25">
      <c r="A16478" s="45">
        <v>1436</v>
      </c>
      <c r="B16478" s="4" t="s">
        <v>44</v>
      </c>
      <c r="C16478" s="22" t="s">
        <v>308</v>
      </c>
      <c r="D16478" s="18">
        <v>2021</v>
      </c>
      <c r="E16478" s="18"/>
      <c r="F16478" s="4">
        <v>1</v>
      </c>
      <c r="G16478" s="4">
        <v>15</v>
      </c>
      <c r="H16478" s="4">
        <v>30</v>
      </c>
      <c r="I16478" s="201"/>
      <c r="J16478" s="201"/>
    </row>
    <row r="16479" spans="1:10" s="15" customFormat="1" ht="19.5" hidden="1" customHeight="1" outlineLevel="1" x14ac:dyDescent="0.25">
      <c r="A16479" s="46">
        <v>9190</v>
      </c>
      <c r="B16479" s="4" t="s">
        <v>44</v>
      </c>
      <c r="C16479" s="22" t="s">
        <v>1383</v>
      </c>
      <c r="D16479" s="18">
        <v>2021</v>
      </c>
      <c r="E16479" s="18"/>
      <c r="F16479" s="4">
        <v>1</v>
      </c>
      <c r="G16479" s="4">
        <v>15</v>
      </c>
      <c r="H16479" s="4">
        <v>84</v>
      </c>
      <c r="I16479" s="201"/>
      <c r="J16479" s="201"/>
    </row>
    <row r="16480" spans="1:10" s="15" customFormat="1" ht="19.5" hidden="1" customHeight="1" outlineLevel="1" x14ac:dyDescent="0.25">
      <c r="A16480" s="46">
        <v>9224</v>
      </c>
      <c r="B16480" s="4" t="s">
        <v>44</v>
      </c>
      <c r="C16480" s="22" t="s">
        <v>1384</v>
      </c>
      <c r="D16480" s="18">
        <v>2021</v>
      </c>
      <c r="E16480" s="18"/>
      <c r="F16480" s="4">
        <v>1</v>
      </c>
      <c r="G16480" s="4">
        <v>7</v>
      </c>
      <c r="H16480" s="4">
        <v>43</v>
      </c>
      <c r="I16480" s="201"/>
      <c r="J16480" s="201"/>
    </row>
    <row r="16481" spans="1:10" s="15" customFormat="1" ht="19.5" hidden="1" customHeight="1" outlineLevel="1" x14ac:dyDescent="0.25">
      <c r="A16481" s="46">
        <v>9246</v>
      </c>
      <c r="B16481" s="4" t="s">
        <v>44</v>
      </c>
      <c r="C16481" s="22" t="s">
        <v>1385</v>
      </c>
      <c r="D16481" s="18">
        <v>2021</v>
      </c>
      <c r="E16481" s="18"/>
      <c r="F16481" s="4">
        <v>1</v>
      </c>
      <c r="G16481" s="4">
        <v>15</v>
      </c>
      <c r="H16481" s="4">
        <v>62</v>
      </c>
      <c r="I16481" s="201"/>
      <c r="J16481" s="201"/>
    </row>
    <row r="16482" spans="1:10" s="15" customFormat="1" ht="19.5" hidden="1" customHeight="1" outlineLevel="1" x14ac:dyDescent="0.25">
      <c r="A16482" s="46">
        <v>9243</v>
      </c>
      <c r="B16482" s="4" t="s">
        <v>44</v>
      </c>
      <c r="C16482" s="22" t="s">
        <v>1386</v>
      </c>
      <c r="D16482" s="18">
        <v>2021</v>
      </c>
      <c r="E16482" s="18"/>
      <c r="F16482" s="4">
        <v>1</v>
      </c>
      <c r="G16482" s="4">
        <v>15</v>
      </c>
      <c r="H16482" s="4">
        <v>59</v>
      </c>
      <c r="I16482" s="201"/>
      <c r="J16482" s="201"/>
    </row>
    <row r="16483" spans="1:10" s="15" customFormat="1" ht="19.5" hidden="1" customHeight="1" outlineLevel="1" x14ac:dyDescent="0.25">
      <c r="A16483" s="46">
        <v>9182</v>
      </c>
      <c r="B16483" s="4" t="s">
        <v>44</v>
      </c>
      <c r="C16483" s="22" t="s">
        <v>1387</v>
      </c>
      <c r="D16483" s="18">
        <v>2021</v>
      </c>
      <c r="E16483" s="18"/>
      <c r="F16483" s="4">
        <v>1</v>
      </c>
      <c r="G16483" s="4">
        <v>15</v>
      </c>
      <c r="H16483" s="4">
        <v>90</v>
      </c>
      <c r="I16483" s="201"/>
      <c r="J16483" s="201"/>
    </row>
    <row r="16484" spans="1:10" s="15" customFormat="1" ht="19.5" hidden="1" customHeight="1" outlineLevel="1" x14ac:dyDescent="0.25">
      <c r="A16484" s="46">
        <v>9186</v>
      </c>
      <c r="B16484" s="4" t="s">
        <v>44</v>
      </c>
      <c r="C16484" s="22" t="s">
        <v>1388</v>
      </c>
      <c r="D16484" s="18">
        <v>2021</v>
      </c>
      <c r="E16484" s="18"/>
      <c r="F16484" s="4">
        <v>1</v>
      </c>
      <c r="G16484" s="4">
        <v>15</v>
      </c>
      <c r="H16484" s="4">
        <v>66</v>
      </c>
      <c r="I16484" s="201"/>
      <c r="J16484" s="201"/>
    </row>
    <row r="16485" spans="1:10" s="15" customFormat="1" ht="19.5" hidden="1" customHeight="1" outlineLevel="1" x14ac:dyDescent="0.25">
      <c r="A16485" s="45">
        <v>99</v>
      </c>
      <c r="B16485" s="4" t="s">
        <v>44</v>
      </c>
      <c r="C16485" s="22" t="s">
        <v>1389</v>
      </c>
      <c r="D16485" s="18">
        <v>2021</v>
      </c>
      <c r="E16485" s="18"/>
      <c r="F16485" s="4">
        <v>1</v>
      </c>
      <c r="G16485" s="4">
        <v>15</v>
      </c>
      <c r="H16485" s="4">
        <v>99</v>
      </c>
      <c r="I16485" s="201"/>
      <c r="J16485" s="201"/>
    </row>
    <row r="16486" spans="1:10" s="15" customFormat="1" ht="19.5" hidden="1" customHeight="1" outlineLevel="1" x14ac:dyDescent="0.25">
      <c r="A16486" s="45">
        <v>83</v>
      </c>
      <c r="B16486" s="4" t="s">
        <v>44</v>
      </c>
      <c r="C16486" s="22" t="s">
        <v>1390</v>
      </c>
      <c r="D16486" s="18">
        <v>2021</v>
      </c>
      <c r="E16486" s="18"/>
      <c r="F16486" s="4">
        <v>1</v>
      </c>
      <c r="G16486" s="4">
        <v>15</v>
      </c>
      <c r="H16486" s="4">
        <v>72</v>
      </c>
      <c r="I16486" s="201"/>
      <c r="J16486" s="201"/>
    </row>
    <row r="16487" spans="1:10" s="15" customFormat="1" ht="19.5" hidden="1" customHeight="1" outlineLevel="1" x14ac:dyDescent="0.25">
      <c r="A16487" s="45">
        <v>1400</v>
      </c>
      <c r="B16487" s="4" t="s">
        <v>44</v>
      </c>
      <c r="C16487" s="22" t="s">
        <v>312</v>
      </c>
      <c r="D16487" s="18">
        <v>2021</v>
      </c>
      <c r="E16487" s="18"/>
      <c r="F16487" s="4">
        <v>1</v>
      </c>
      <c r="G16487" s="4">
        <v>15</v>
      </c>
      <c r="H16487" s="4">
        <v>34</v>
      </c>
      <c r="I16487" s="201"/>
      <c r="J16487" s="201"/>
    </row>
    <row r="16488" spans="1:10" s="15" customFormat="1" ht="19.5" hidden="1" customHeight="1" outlineLevel="1" x14ac:dyDescent="0.25">
      <c r="A16488" s="46">
        <v>9788</v>
      </c>
      <c r="B16488" s="4" t="s">
        <v>44</v>
      </c>
      <c r="C16488" s="22" t="s">
        <v>313</v>
      </c>
      <c r="D16488" s="18">
        <v>2021</v>
      </c>
      <c r="E16488" s="18"/>
      <c r="F16488" s="4">
        <v>1</v>
      </c>
      <c r="G16488" s="4">
        <v>15</v>
      </c>
      <c r="H16488" s="4">
        <v>39</v>
      </c>
      <c r="I16488" s="201"/>
      <c r="J16488" s="201"/>
    </row>
    <row r="16489" spans="1:10" s="15" customFormat="1" ht="19.5" hidden="1" customHeight="1" outlineLevel="1" x14ac:dyDescent="0.25">
      <c r="A16489" s="45">
        <v>1491</v>
      </c>
      <c r="B16489" s="4" t="s">
        <v>44</v>
      </c>
      <c r="C16489" s="22" t="s">
        <v>314</v>
      </c>
      <c r="D16489" s="18">
        <v>2021</v>
      </c>
      <c r="E16489" s="18"/>
      <c r="F16489" s="4">
        <v>1</v>
      </c>
      <c r="G16489" s="4">
        <v>15</v>
      </c>
      <c r="H16489" s="4">
        <v>31</v>
      </c>
      <c r="I16489" s="201"/>
      <c r="J16489" s="201"/>
    </row>
    <row r="16490" spans="1:10" s="15" customFormat="1" ht="19.5" hidden="1" customHeight="1" outlineLevel="1" x14ac:dyDescent="0.25">
      <c r="A16490" s="45">
        <v>110</v>
      </c>
      <c r="B16490" s="4" t="s">
        <v>44</v>
      </c>
      <c r="C16490" s="22" t="s">
        <v>1391</v>
      </c>
      <c r="D16490" s="18">
        <v>2021</v>
      </c>
      <c r="E16490" s="18"/>
      <c r="F16490" s="4">
        <v>1</v>
      </c>
      <c r="G16490" s="4">
        <v>15</v>
      </c>
      <c r="H16490" s="4">
        <v>70</v>
      </c>
      <c r="I16490" s="201"/>
      <c r="J16490" s="201"/>
    </row>
    <row r="16491" spans="1:10" s="15" customFormat="1" ht="19.5" hidden="1" customHeight="1" outlineLevel="1" x14ac:dyDescent="0.25">
      <c r="A16491" s="45">
        <v>113</v>
      </c>
      <c r="B16491" s="4" t="s">
        <v>44</v>
      </c>
      <c r="C16491" s="22" t="s">
        <v>1392</v>
      </c>
      <c r="D16491" s="18">
        <v>2021</v>
      </c>
      <c r="E16491" s="18"/>
      <c r="F16491" s="4">
        <v>1</v>
      </c>
      <c r="G16491" s="4">
        <v>15</v>
      </c>
      <c r="H16491" s="4">
        <v>60</v>
      </c>
      <c r="I16491" s="201"/>
      <c r="J16491" s="201"/>
    </row>
    <row r="16492" spans="1:10" s="15" customFormat="1" ht="19.5" hidden="1" customHeight="1" outlineLevel="1" x14ac:dyDescent="0.25">
      <c r="A16492" s="46">
        <v>9222</v>
      </c>
      <c r="B16492" s="4" t="s">
        <v>44</v>
      </c>
      <c r="C16492" s="22" t="s">
        <v>1393</v>
      </c>
      <c r="D16492" s="18">
        <v>2021</v>
      </c>
      <c r="E16492" s="18"/>
      <c r="F16492" s="4">
        <v>1</v>
      </c>
      <c r="G16492" s="4">
        <v>15</v>
      </c>
      <c r="H16492" s="4">
        <v>88</v>
      </c>
      <c r="I16492" s="201"/>
      <c r="J16492" s="201"/>
    </row>
    <row r="16493" spans="1:10" s="15" customFormat="1" ht="19.5" hidden="1" customHeight="1" outlineLevel="1" x14ac:dyDescent="0.25">
      <c r="A16493" s="46">
        <v>9223</v>
      </c>
      <c r="B16493" s="4" t="s">
        <v>44</v>
      </c>
      <c r="C16493" s="22" t="s">
        <v>1394</v>
      </c>
      <c r="D16493" s="18">
        <v>2021</v>
      </c>
      <c r="E16493" s="18"/>
      <c r="F16493" s="4">
        <v>1</v>
      </c>
      <c r="G16493" s="4">
        <v>15</v>
      </c>
      <c r="H16493" s="4">
        <v>109</v>
      </c>
      <c r="I16493" s="201"/>
      <c r="J16493" s="201"/>
    </row>
    <row r="16494" spans="1:10" s="15" customFormat="1" ht="19.5" hidden="1" customHeight="1" outlineLevel="1" x14ac:dyDescent="0.25">
      <c r="A16494" s="46">
        <v>9189</v>
      </c>
      <c r="B16494" s="4" t="s">
        <v>44</v>
      </c>
      <c r="C16494" s="22" t="s">
        <v>1395</v>
      </c>
      <c r="D16494" s="18">
        <v>2021</v>
      </c>
      <c r="E16494" s="18"/>
      <c r="F16494" s="4">
        <v>1</v>
      </c>
      <c r="G16494" s="4">
        <v>15</v>
      </c>
      <c r="H16494" s="4">
        <v>102</v>
      </c>
      <c r="I16494" s="201"/>
      <c r="J16494" s="201"/>
    </row>
    <row r="16495" spans="1:10" s="15" customFormat="1" ht="19.5" hidden="1" customHeight="1" outlineLevel="1" x14ac:dyDescent="0.25">
      <c r="A16495" s="46">
        <v>9188</v>
      </c>
      <c r="B16495" s="4" t="s">
        <v>44</v>
      </c>
      <c r="C16495" s="22" t="s">
        <v>1396</v>
      </c>
      <c r="D16495" s="18">
        <v>2021</v>
      </c>
      <c r="E16495" s="18"/>
      <c r="F16495" s="4">
        <v>1</v>
      </c>
      <c r="G16495" s="4">
        <v>15</v>
      </c>
      <c r="H16495" s="4">
        <v>107</v>
      </c>
      <c r="I16495" s="201"/>
      <c r="J16495" s="201"/>
    </row>
    <row r="16496" spans="1:10" s="15" customFormat="1" ht="19.5" hidden="1" customHeight="1" outlineLevel="1" x14ac:dyDescent="0.25">
      <c r="A16496" s="45">
        <v>832</v>
      </c>
      <c r="B16496" s="4" t="s">
        <v>44</v>
      </c>
      <c r="C16496" s="22" t="s">
        <v>315</v>
      </c>
      <c r="D16496" s="18">
        <v>2021</v>
      </c>
      <c r="E16496" s="18"/>
      <c r="F16496" s="4">
        <v>1</v>
      </c>
      <c r="G16496" s="4">
        <v>30</v>
      </c>
      <c r="H16496" s="4">
        <v>34</v>
      </c>
      <c r="I16496" s="201"/>
      <c r="J16496" s="201"/>
    </row>
    <row r="16497" spans="1:10" s="15" customFormat="1" ht="19.5" hidden="1" customHeight="1" outlineLevel="1" x14ac:dyDescent="0.25">
      <c r="A16497" s="45">
        <v>1575</v>
      </c>
      <c r="B16497" s="4" t="s">
        <v>44</v>
      </c>
      <c r="C16497" s="22" t="s">
        <v>1397</v>
      </c>
      <c r="D16497" s="18">
        <v>2021</v>
      </c>
      <c r="E16497" s="18"/>
      <c r="F16497" s="4">
        <v>1</v>
      </c>
      <c r="G16497" s="4">
        <v>15</v>
      </c>
      <c r="H16497" s="4">
        <v>112</v>
      </c>
      <c r="I16497" s="201"/>
      <c r="J16497" s="201"/>
    </row>
    <row r="16498" spans="1:10" s="15" customFormat="1" ht="19.5" hidden="1" customHeight="1" outlineLevel="1" x14ac:dyDescent="0.25">
      <c r="A16498" s="45">
        <v>789</v>
      </c>
      <c r="B16498" s="4" t="s">
        <v>44</v>
      </c>
      <c r="C16498" s="22" t="s">
        <v>319</v>
      </c>
      <c r="D16498" s="18">
        <v>2021</v>
      </c>
      <c r="E16498" s="18"/>
      <c r="F16498" s="4">
        <v>1</v>
      </c>
      <c r="G16498" s="4">
        <v>15</v>
      </c>
      <c r="H16498" s="4">
        <v>29</v>
      </c>
      <c r="I16498" s="201"/>
      <c r="J16498" s="201"/>
    </row>
    <row r="16499" spans="1:10" s="15" customFormat="1" ht="19.5" hidden="1" customHeight="1" outlineLevel="1" x14ac:dyDescent="0.25">
      <c r="A16499" s="46">
        <v>9181</v>
      </c>
      <c r="B16499" s="4" t="s">
        <v>44</v>
      </c>
      <c r="C16499" s="22" t="s">
        <v>1398</v>
      </c>
      <c r="D16499" s="18">
        <v>2021</v>
      </c>
      <c r="E16499" s="18"/>
      <c r="F16499" s="4">
        <v>1</v>
      </c>
      <c r="G16499" s="4">
        <v>5</v>
      </c>
      <c r="H16499" s="4">
        <v>116</v>
      </c>
      <c r="I16499" s="201"/>
      <c r="J16499" s="201"/>
    </row>
    <row r="16500" spans="1:10" s="15" customFormat="1" ht="19.5" hidden="1" customHeight="1" outlineLevel="1" x14ac:dyDescent="0.25">
      <c r="A16500" s="45">
        <v>100</v>
      </c>
      <c r="B16500" s="4" t="s">
        <v>44</v>
      </c>
      <c r="C16500" s="22" t="s">
        <v>1399</v>
      </c>
      <c r="D16500" s="18">
        <v>2021</v>
      </c>
      <c r="E16500" s="18"/>
      <c r="F16500" s="4">
        <v>1</v>
      </c>
      <c r="G16500" s="4">
        <v>15</v>
      </c>
      <c r="H16500" s="4">
        <v>110</v>
      </c>
      <c r="I16500" s="201"/>
      <c r="J16500" s="201"/>
    </row>
    <row r="16501" spans="1:10" s="15" customFormat="1" ht="19.5" hidden="1" customHeight="1" outlineLevel="1" x14ac:dyDescent="0.25">
      <c r="A16501" s="45">
        <v>1388</v>
      </c>
      <c r="B16501" s="4" t="s">
        <v>44</v>
      </c>
      <c r="C16501" s="22" t="s">
        <v>320</v>
      </c>
      <c r="D16501" s="18">
        <v>2021</v>
      </c>
      <c r="E16501" s="18"/>
      <c r="F16501" s="4">
        <v>1</v>
      </c>
      <c r="G16501" s="4">
        <v>15</v>
      </c>
      <c r="H16501" s="4">
        <v>52</v>
      </c>
      <c r="I16501" s="201"/>
      <c r="J16501" s="201"/>
    </row>
    <row r="16502" spans="1:10" s="15" customFormat="1" ht="19.5" hidden="1" customHeight="1" outlineLevel="1" x14ac:dyDescent="0.25">
      <c r="A16502" s="45">
        <v>1395</v>
      </c>
      <c r="B16502" s="4" t="s">
        <v>44</v>
      </c>
      <c r="C16502" s="22" t="s">
        <v>321</v>
      </c>
      <c r="D16502" s="18">
        <v>2021</v>
      </c>
      <c r="E16502" s="18"/>
      <c r="F16502" s="4">
        <v>1</v>
      </c>
      <c r="G16502" s="4">
        <v>15</v>
      </c>
      <c r="H16502" s="4">
        <v>41</v>
      </c>
      <c r="I16502" s="201"/>
      <c r="J16502" s="201"/>
    </row>
    <row r="16503" spans="1:10" s="15" customFormat="1" ht="19.5" hidden="1" customHeight="1" outlineLevel="1" x14ac:dyDescent="0.25">
      <c r="A16503" s="45">
        <v>105</v>
      </c>
      <c r="B16503" s="4" t="s">
        <v>44</v>
      </c>
      <c r="C16503" s="22" t="s">
        <v>1400</v>
      </c>
      <c r="D16503" s="18">
        <v>2021</v>
      </c>
      <c r="E16503" s="18"/>
      <c r="F16503" s="4">
        <v>1</v>
      </c>
      <c r="G16503" s="4">
        <v>15</v>
      </c>
      <c r="H16503" s="4">
        <v>109</v>
      </c>
      <c r="I16503" s="201"/>
      <c r="J16503" s="201"/>
    </row>
    <row r="16504" spans="1:10" s="15" customFormat="1" ht="19.5" hidden="1" customHeight="1" outlineLevel="1" x14ac:dyDescent="0.25">
      <c r="A16504" s="46">
        <v>9898</v>
      </c>
      <c r="B16504" s="4" t="s">
        <v>44</v>
      </c>
      <c r="C16504" s="22" t="s">
        <v>1401</v>
      </c>
      <c r="D16504" s="18">
        <v>2021</v>
      </c>
      <c r="E16504" s="18"/>
      <c r="F16504" s="4">
        <v>1</v>
      </c>
      <c r="G16504" s="4">
        <v>7</v>
      </c>
      <c r="H16504" s="4">
        <v>94</v>
      </c>
      <c r="I16504" s="201"/>
      <c r="J16504" s="201"/>
    </row>
    <row r="16505" spans="1:10" s="15" customFormat="1" ht="19.5" hidden="1" customHeight="1" outlineLevel="1" x14ac:dyDescent="0.25">
      <c r="A16505" s="45">
        <v>102</v>
      </c>
      <c r="B16505" s="4" t="s">
        <v>44</v>
      </c>
      <c r="C16505" s="22" t="s">
        <v>1402</v>
      </c>
      <c r="D16505" s="18">
        <v>2021</v>
      </c>
      <c r="E16505" s="18"/>
      <c r="F16505" s="4">
        <v>1</v>
      </c>
      <c r="G16505" s="4">
        <v>15</v>
      </c>
      <c r="H16505" s="4">
        <v>52</v>
      </c>
      <c r="I16505" s="201"/>
      <c r="J16505" s="201"/>
    </row>
    <row r="16506" spans="1:10" s="15" customFormat="1" ht="19.5" hidden="1" customHeight="1" outlineLevel="1" x14ac:dyDescent="0.25">
      <c r="A16506" s="45">
        <v>94</v>
      </c>
      <c r="B16506" s="4" t="s">
        <v>44</v>
      </c>
      <c r="C16506" s="22" t="s">
        <v>1403</v>
      </c>
      <c r="D16506" s="18">
        <v>2021</v>
      </c>
      <c r="E16506" s="18"/>
      <c r="F16506" s="4">
        <v>1</v>
      </c>
      <c r="G16506" s="4">
        <v>15</v>
      </c>
      <c r="H16506" s="4">
        <v>60</v>
      </c>
      <c r="I16506" s="201"/>
      <c r="J16506" s="201"/>
    </row>
    <row r="16507" spans="1:10" s="15" customFormat="1" ht="19.5" hidden="1" customHeight="1" outlineLevel="1" x14ac:dyDescent="0.25">
      <c r="A16507" s="46">
        <v>9968</v>
      </c>
      <c r="B16507" s="4" t="s">
        <v>44</v>
      </c>
      <c r="C16507" s="22" t="s">
        <v>1404</v>
      </c>
      <c r="D16507" s="18">
        <v>2021</v>
      </c>
      <c r="E16507" s="18"/>
      <c r="F16507" s="4">
        <v>1</v>
      </c>
      <c r="G16507" s="4">
        <v>15</v>
      </c>
      <c r="H16507" s="4">
        <v>50</v>
      </c>
      <c r="I16507" s="201"/>
      <c r="J16507" s="201"/>
    </row>
    <row r="16508" spans="1:10" s="15" customFormat="1" ht="19.5" hidden="1" customHeight="1" outlineLevel="1" x14ac:dyDescent="0.25">
      <c r="A16508" s="46">
        <v>9901</v>
      </c>
      <c r="B16508" s="4" t="s">
        <v>44</v>
      </c>
      <c r="C16508" s="22" t="s">
        <v>1405</v>
      </c>
      <c r="D16508" s="18">
        <v>2021</v>
      </c>
      <c r="E16508" s="18"/>
      <c r="F16508" s="4">
        <v>1</v>
      </c>
      <c r="G16508" s="4">
        <v>15</v>
      </c>
      <c r="H16508" s="4">
        <v>53</v>
      </c>
      <c r="I16508" s="201"/>
      <c r="J16508" s="201"/>
    </row>
    <row r="16509" spans="1:10" s="15" customFormat="1" ht="19.5" hidden="1" customHeight="1" outlineLevel="1" x14ac:dyDescent="0.25">
      <c r="A16509" s="45">
        <v>1677</v>
      </c>
      <c r="B16509" s="4" t="s">
        <v>44</v>
      </c>
      <c r="C16509" s="22" t="s">
        <v>1406</v>
      </c>
      <c r="D16509" s="18">
        <v>2021</v>
      </c>
      <c r="E16509" s="18"/>
      <c r="F16509" s="4">
        <v>1</v>
      </c>
      <c r="G16509" s="4">
        <v>15</v>
      </c>
      <c r="H16509" s="4">
        <v>67</v>
      </c>
      <c r="I16509" s="201"/>
      <c r="J16509" s="201"/>
    </row>
    <row r="16510" spans="1:10" s="15" customFormat="1" ht="19.5" hidden="1" customHeight="1" outlineLevel="1" x14ac:dyDescent="0.25">
      <c r="A16510" s="45">
        <v>75</v>
      </c>
      <c r="B16510" s="4" t="s">
        <v>44</v>
      </c>
      <c r="C16510" s="22" t="s">
        <v>1407</v>
      </c>
      <c r="D16510" s="18">
        <v>2021</v>
      </c>
      <c r="E16510" s="18"/>
      <c r="F16510" s="4">
        <v>1</v>
      </c>
      <c r="G16510" s="4">
        <v>15</v>
      </c>
      <c r="H16510" s="4">
        <v>114</v>
      </c>
      <c r="I16510" s="201"/>
      <c r="J16510" s="201"/>
    </row>
    <row r="16511" spans="1:10" s="15" customFormat="1" ht="19.5" hidden="1" customHeight="1" outlineLevel="1" x14ac:dyDescent="0.25">
      <c r="A16511" s="46">
        <v>9900</v>
      </c>
      <c r="B16511" s="4" t="s">
        <v>44</v>
      </c>
      <c r="C16511" s="22" t="s">
        <v>1408</v>
      </c>
      <c r="D16511" s="18">
        <v>2021</v>
      </c>
      <c r="E16511" s="18"/>
      <c r="F16511" s="4">
        <v>1</v>
      </c>
      <c r="G16511" s="4">
        <v>15</v>
      </c>
      <c r="H16511" s="4">
        <v>114</v>
      </c>
      <c r="I16511" s="201"/>
      <c r="J16511" s="201"/>
    </row>
    <row r="16512" spans="1:10" s="15" customFormat="1" ht="19.5" hidden="1" customHeight="1" outlineLevel="1" x14ac:dyDescent="0.25">
      <c r="A16512" s="45">
        <v>120</v>
      </c>
      <c r="B16512" s="4" t="s">
        <v>44</v>
      </c>
      <c r="C16512" s="22" t="s">
        <v>1409</v>
      </c>
      <c r="D16512" s="18">
        <v>2021</v>
      </c>
      <c r="E16512" s="18"/>
      <c r="F16512" s="4">
        <v>1</v>
      </c>
      <c r="G16512" s="4">
        <v>15</v>
      </c>
      <c r="H16512" s="4">
        <v>134</v>
      </c>
      <c r="I16512" s="201"/>
      <c r="J16512" s="201"/>
    </row>
    <row r="16513" spans="1:10" s="15" customFormat="1" ht="19.5" hidden="1" customHeight="1" outlineLevel="1" x14ac:dyDescent="0.25">
      <c r="A16513" s="45">
        <v>73</v>
      </c>
      <c r="B16513" s="4" t="s">
        <v>44</v>
      </c>
      <c r="C16513" s="22" t="s">
        <v>1410</v>
      </c>
      <c r="D16513" s="18">
        <v>2021</v>
      </c>
      <c r="E16513" s="18"/>
      <c r="F16513" s="4">
        <v>1</v>
      </c>
      <c r="G16513" s="4">
        <v>15</v>
      </c>
      <c r="H16513" s="4">
        <v>125</v>
      </c>
      <c r="I16513" s="201"/>
      <c r="J16513" s="201"/>
    </row>
    <row r="16514" spans="1:10" s="15" customFormat="1" ht="19.5" hidden="1" customHeight="1" outlineLevel="1" x14ac:dyDescent="0.25">
      <c r="A16514" s="46">
        <v>9899</v>
      </c>
      <c r="B16514" s="4" t="s">
        <v>44</v>
      </c>
      <c r="C16514" s="22" t="s">
        <v>1411</v>
      </c>
      <c r="D16514" s="18">
        <v>2021</v>
      </c>
      <c r="E16514" s="18"/>
      <c r="F16514" s="4">
        <v>1</v>
      </c>
      <c r="G16514" s="4">
        <v>15</v>
      </c>
      <c r="H16514" s="4">
        <v>96</v>
      </c>
      <c r="I16514" s="201"/>
      <c r="J16514" s="201"/>
    </row>
    <row r="16515" spans="1:10" s="15" customFormat="1" ht="19.5" hidden="1" customHeight="1" outlineLevel="1" x14ac:dyDescent="0.25">
      <c r="A16515" s="46">
        <v>9965</v>
      </c>
      <c r="B16515" s="4" t="s">
        <v>44</v>
      </c>
      <c r="C16515" s="22" t="s">
        <v>1412</v>
      </c>
      <c r="D16515" s="18">
        <v>2021</v>
      </c>
      <c r="E16515" s="18"/>
      <c r="F16515" s="4">
        <v>1</v>
      </c>
      <c r="G16515" s="4">
        <v>50</v>
      </c>
      <c r="H16515" s="4">
        <v>102</v>
      </c>
      <c r="I16515" s="201"/>
      <c r="J16515" s="201"/>
    </row>
    <row r="16516" spans="1:10" s="15" customFormat="1" ht="19.5" hidden="1" customHeight="1" outlineLevel="1" x14ac:dyDescent="0.25">
      <c r="A16516" s="45">
        <v>1362</v>
      </c>
      <c r="B16516" s="4" t="s">
        <v>44</v>
      </c>
      <c r="C16516" s="22" t="s">
        <v>323</v>
      </c>
      <c r="D16516" s="18">
        <v>2021</v>
      </c>
      <c r="E16516" s="18"/>
      <c r="F16516" s="4">
        <v>1</v>
      </c>
      <c r="G16516" s="4">
        <v>15</v>
      </c>
      <c r="H16516" s="4">
        <v>61</v>
      </c>
      <c r="I16516" s="201"/>
      <c r="J16516" s="201"/>
    </row>
    <row r="16517" spans="1:10" s="15" customFormat="1" ht="19.5" hidden="1" customHeight="1" outlineLevel="1" x14ac:dyDescent="0.25">
      <c r="A16517" s="45">
        <v>1405</v>
      </c>
      <c r="B16517" s="4" t="s">
        <v>44</v>
      </c>
      <c r="C16517" s="22" t="s">
        <v>324</v>
      </c>
      <c r="D16517" s="18">
        <v>2021</v>
      </c>
      <c r="E16517" s="18"/>
      <c r="F16517" s="4">
        <v>2</v>
      </c>
      <c r="G16517" s="4">
        <v>30</v>
      </c>
      <c r="H16517" s="4">
        <v>119</v>
      </c>
      <c r="I16517" s="201"/>
      <c r="J16517" s="201"/>
    </row>
    <row r="16518" spans="1:10" s="15" customFormat="1" ht="19.5" hidden="1" customHeight="1" outlineLevel="1" x14ac:dyDescent="0.25">
      <c r="A16518" s="45">
        <v>1418</v>
      </c>
      <c r="B16518" s="4" t="s">
        <v>44</v>
      </c>
      <c r="C16518" s="22" t="s">
        <v>325</v>
      </c>
      <c r="D16518" s="18">
        <v>2021</v>
      </c>
      <c r="E16518" s="18"/>
      <c r="F16518" s="4">
        <v>1</v>
      </c>
      <c r="G16518" s="4">
        <v>15</v>
      </c>
      <c r="H16518" s="4">
        <v>42</v>
      </c>
      <c r="I16518" s="201"/>
      <c r="J16518" s="201"/>
    </row>
    <row r="16519" spans="1:10" s="15" customFormat="1" ht="19.5" hidden="1" customHeight="1" outlineLevel="1" x14ac:dyDescent="0.25">
      <c r="A16519" s="45">
        <v>1430</v>
      </c>
      <c r="B16519" s="4" t="s">
        <v>44</v>
      </c>
      <c r="C16519" s="22" t="s">
        <v>326</v>
      </c>
      <c r="D16519" s="18">
        <v>2021</v>
      </c>
      <c r="E16519" s="18"/>
      <c r="F16519" s="4">
        <v>2</v>
      </c>
      <c r="G16519" s="4">
        <v>30</v>
      </c>
      <c r="H16519" s="4">
        <v>70</v>
      </c>
      <c r="I16519" s="201"/>
      <c r="J16519" s="201"/>
    </row>
    <row r="16520" spans="1:10" s="15" customFormat="1" ht="19.5" hidden="1" customHeight="1" outlineLevel="1" x14ac:dyDescent="0.25">
      <c r="A16520" s="45">
        <v>1396</v>
      </c>
      <c r="B16520" s="4" t="s">
        <v>44</v>
      </c>
      <c r="C16520" s="22" t="s">
        <v>327</v>
      </c>
      <c r="D16520" s="18">
        <v>2021</v>
      </c>
      <c r="E16520" s="18"/>
      <c r="F16520" s="4">
        <v>1</v>
      </c>
      <c r="G16520" s="4">
        <v>15</v>
      </c>
      <c r="H16520" s="4">
        <v>72</v>
      </c>
      <c r="I16520" s="201"/>
      <c r="J16520" s="201"/>
    </row>
    <row r="16521" spans="1:10" s="15" customFormat="1" ht="19.5" hidden="1" customHeight="1" outlineLevel="1" x14ac:dyDescent="0.25">
      <c r="A16521" s="46">
        <v>9789</v>
      </c>
      <c r="B16521" s="4" t="s">
        <v>44</v>
      </c>
      <c r="C16521" s="22" t="s">
        <v>328</v>
      </c>
      <c r="D16521" s="18">
        <v>2021</v>
      </c>
      <c r="E16521" s="18"/>
      <c r="F16521" s="4">
        <v>1</v>
      </c>
      <c r="G16521" s="4">
        <v>15</v>
      </c>
      <c r="H16521" s="4">
        <v>72</v>
      </c>
      <c r="I16521" s="201"/>
      <c r="J16521" s="201"/>
    </row>
    <row r="16522" spans="1:10" s="15" customFormat="1" ht="19.5" hidden="1" customHeight="1" outlineLevel="1" x14ac:dyDescent="0.25">
      <c r="A16522" s="46">
        <v>9967</v>
      </c>
      <c r="B16522" s="4" t="s">
        <v>44</v>
      </c>
      <c r="C16522" s="22" t="s">
        <v>1413</v>
      </c>
      <c r="D16522" s="18">
        <v>2021</v>
      </c>
      <c r="E16522" s="18"/>
      <c r="F16522" s="4">
        <v>1</v>
      </c>
      <c r="G16522" s="4">
        <v>10</v>
      </c>
      <c r="H16522" s="4">
        <v>67</v>
      </c>
      <c r="I16522" s="201"/>
      <c r="J16522" s="201"/>
    </row>
    <row r="16523" spans="1:10" s="15" customFormat="1" ht="19.5" hidden="1" customHeight="1" outlineLevel="1" x14ac:dyDescent="0.25">
      <c r="A16523" s="45">
        <v>1674</v>
      </c>
      <c r="B16523" s="4" t="s">
        <v>44</v>
      </c>
      <c r="C16523" s="22" t="s">
        <v>1414</v>
      </c>
      <c r="D16523" s="18">
        <v>2021</v>
      </c>
      <c r="E16523" s="18"/>
      <c r="F16523" s="4">
        <v>1</v>
      </c>
      <c r="G16523" s="4">
        <v>15</v>
      </c>
      <c r="H16523" s="4">
        <v>63</v>
      </c>
      <c r="I16523" s="201"/>
      <c r="J16523" s="201"/>
    </row>
    <row r="16524" spans="1:10" s="15" customFormat="1" ht="19.5" hidden="1" customHeight="1" outlineLevel="1" x14ac:dyDescent="0.25">
      <c r="A16524" s="46">
        <v>9964</v>
      </c>
      <c r="B16524" s="4" t="s">
        <v>44</v>
      </c>
      <c r="C16524" s="22" t="s">
        <v>1415</v>
      </c>
      <c r="D16524" s="18">
        <v>2021</v>
      </c>
      <c r="E16524" s="18"/>
      <c r="F16524" s="4">
        <v>1</v>
      </c>
      <c r="G16524" s="4">
        <v>30</v>
      </c>
      <c r="H16524" s="4">
        <v>46</v>
      </c>
      <c r="I16524" s="201"/>
      <c r="J16524" s="201"/>
    </row>
    <row r="16525" spans="1:10" s="15" customFormat="1" ht="19.5" hidden="1" customHeight="1" outlineLevel="1" x14ac:dyDescent="0.25">
      <c r="A16525" s="45">
        <v>92</v>
      </c>
      <c r="B16525" s="4" t="s">
        <v>44</v>
      </c>
      <c r="C16525" s="22" t="s">
        <v>1416</v>
      </c>
      <c r="D16525" s="18">
        <v>2021</v>
      </c>
      <c r="E16525" s="18"/>
      <c r="F16525" s="4">
        <v>1</v>
      </c>
      <c r="G16525" s="4">
        <v>15</v>
      </c>
      <c r="H16525" s="4">
        <v>40</v>
      </c>
      <c r="I16525" s="201"/>
      <c r="J16525" s="201"/>
    </row>
    <row r="16526" spans="1:10" s="15" customFormat="1" ht="19.5" hidden="1" customHeight="1" outlineLevel="1" x14ac:dyDescent="0.25">
      <c r="A16526" s="45">
        <v>1557</v>
      </c>
      <c r="B16526" s="4" t="s">
        <v>44</v>
      </c>
      <c r="C16526" s="22" t="s">
        <v>1417</v>
      </c>
      <c r="D16526" s="18">
        <v>2021</v>
      </c>
      <c r="E16526" s="18"/>
      <c r="F16526" s="4">
        <v>1</v>
      </c>
      <c r="G16526" s="4">
        <v>15</v>
      </c>
      <c r="H16526" s="4">
        <v>52</v>
      </c>
      <c r="I16526" s="201"/>
      <c r="J16526" s="201"/>
    </row>
    <row r="16527" spans="1:10" s="15" customFormat="1" ht="19.5" hidden="1" customHeight="1" outlineLevel="1" x14ac:dyDescent="0.25">
      <c r="A16527" s="45">
        <v>1738</v>
      </c>
      <c r="B16527" s="4" t="s">
        <v>44</v>
      </c>
      <c r="C16527" s="22" t="s">
        <v>1418</v>
      </c>
      <c r="D16527" s="18">
        <v>2021</v>
      </c>
      <c r="E16527" s="18"/>
      <c r="F16527" s="4">
        <v>1</v>
      </c>
      <c r="G16527" s="4">
        <v>15</v>
      </c>
      <c r="H16527" s="4">
        <v>45</v>
      </c>
      <c r="I16527" s="201"/>
      <c r="J16527" s="201"/>
    </row>
    <row r="16528" spans="1:10" s="15" customFormat="1" ht="19.5" hidden="1" customHeight="1" outlineLevel="1" x14ac:dyDescent="0.25">
      <c r="A16528" s="46">
        <v>9746</v>
      </c>
      <c r="B16528" s="4" t="s">
        <v>44</v>
      </c>
      <c r="C16528" s="22" t="s">
        <v>332</v>
      </c>
      <c r="D16528" s="18">
        <v>2021</v>
      </c>
      <c r="E16528" s="18"/>
      <c r="F16528" s="4">
        <v>1</v>
      </c>
      <c r="G16528" s="4">
        <v>15</v>
      </c>
      <c r="H16528" s="4">
        <v>43</v>
      </c>
      <c r="I16528" s="201"/>
      <c r="J16528" s="201"/>
    </row>
    <row r="16529" spans="1:10" s="15" customFormat="1" ht="19.5" hidden="1" customHeight="1" outlineLevel="1" x14ac:dyDescent="0.25">
      <c r="A16529" s="45">
        <v>157</v>
      </c>
      <c r="B16529" s="4" t="s">
        <v>44</v>
      </c>
      <c r="C16529" s="22" t="s">
        <v>930</v>
      </c>
      <c r="D16529" s="18">
        <v>2021</v>
      </c>
      <c r="E16529" s="18"/>
      <c r="F16529" s="4">
        <v>1</v>
      </c>
      <c r="G16529" s="4">
        <v>15</v>
      </c>
      <c r="H16529" s="4">
        <v>32</v>
      </c>
      <c r="I16529" s="201"/>
      <c r="J16529" s="201"/>
    </row>
    <row r="16530" spans="1:10" s="15" customFormat="1" ht="19.5" hidden="1" customHeight="1" outlineLevel="1" x14ac:dyDescent="0.25">
      <c r="A16530" s="45">
        <v>1720</v>
      </c>
      <c r="B16530" s="4" t="s">
        <v>44</v>
      </c>
      <c r="C16530" s="22" t="s">
        <v>1419</v>
      </c>
      <c r="D16530" s="18">
        <v>2021</v>
      </c>
      <c r="E16530" s="18"/>
      <c r="F16530" s="4">
        <v>1</v>
      </c>
      <c r="G16530" s="4">
        <v>15</v>
      </c>
      <c r="H16530" s="4">
        <v>47</v>
      </c>
      <c r="I16530" s="201"/>
      <c r="J16530" s="201"/>
    </row>
    <row r="16531" spans="1:10" s="15" customFormat="1" ht="19.5" hidden="1" customHeight="1" outlineLevel="1" x14ac:dyDescent="0.25">
      <c r="A16531" s="45">
        <v>1742</v>
      </c>
      <c r="B16531" s="4" t="s">
        <v>44</v>
      </c>
      <c r="C16531" s="22" t="s">
        <v>1420</v>
      </c>
      <c r="D16531" s="18">
        <v>2021</v>
      </c>
      <c r="E16531" s="18"/>
      <c r="F16531" s="4">
        <v>1</v>
      </c>
      <c r="G16531" s="4">
        <v>15</v>
      </c>
      <c r="H16531" s="4">
        <v>40</v>
      </c>
      <c r="I16531" s="201"/>
      <c r="J16531" s="201"/>
    </row>
    <row r="16532" spans="1:10" s="15" customFormat="1" ht="19.5" hidden="1" customHeight="1" outlineLevel="1" x14ac:dyDescent="0.25">
      <c r="A16532" s="45">
        <v>1678</v>
      </c>
      <c r="B16532" s="4" t="s">
        <v>44</v>
      </c>
      <c r="C16532" s="22" t="s">
        <v>1421</v>
      </c>
      <c r="D16532" s="18">
        <v>2021</v>
      </c>
      <c r="E16532" s="18"/>
      <c r="F16532" s="4">
        <v>1</v>
      </c>
      <c r="G16532" s="4">
        <v>15</v>
      </c>
      <c r="H16532" s="4">
        <v>49</v>
      </c>
      <c r="I16532" s="201"/>
      <c r="J16532" s="201"/>
    </row>
    <row r="16533" spans="1:10" s="15" customFormat="1" ht="19.5" hidden="1" customHeight="1" outlineLevel="1" x14ac:dyDescent="0.25">
      <c r="A16533" s="45">
        <v>1710</v>
      </c>
      <c r="B16533" s="4" t="s">
        <v>44</v>
      </c>
      <c r="C16533" s="22" t="s">
        <v>1422</v>
      </c>
      <c r="D16533" s="18">
        <v>2021</v>
      </c>
      <c r="E16533" s="18"/>
      <c r="F16533" s="4">
        <v>1</v>
      </c>
      <c r="G16533" s="4">
        <v>15</v>
      </c>
      <c r="H16533" s="4">
        <v>45</v>
      </c>
      <c r="I16533" s="201"/>
      <c r="J16533" s="201"/>
    </row>
    <row r="16534" spans="1:10" s="15" customFormat="1" ht="19.5" hidden="1" customHeight="1" outlineLevel="1" x14ac:dyDescent="0.25">
      <c r="A16534" s="46">
        <v>9902</v>
      </c>
      <c r="B16534" s="4" t="s">
        <v>44</v>
      </c>
      <c r="C16534" s="22" t="s">
        <v>1423</v>
      </c>
      <c r="D16534" s="18">
        <v>2021</v>
      </c>
      <c r="E16534" s="18"/>
      <c r="F16534" s="4">
        <v>1</v>
      </c>
      <c r="G16534" s="4">
        <v>15</v>
      </c>
      <c r="H16534" s="4">
        <v>54</v>
      </c>
      <c r="I16534" s="201"/>
      <c r="J16534" s="201"/>
    </row>
    <row r="16535" spans="1:10" s="15" customFormat="1" ht="19.5" hidden="1" customHeight="1" outlineLevel="1" x14ac:dyDescent="0.25">
      <c r="A16535" s="46">
        <v>10308</v>
      </c>
      <c r="B16535" s="4" t="s">
        <v>44</v>
      </c>
      <c r="C16535" s="22" t="s">
        <v>1424</v>
      </c>
      <c r="D16535" s="18">
        <v>2021</v>
      </c>
      <c r="E16535" s="18"/>
      <c r="F16535" s="4">
        <v>2</v>
      </c>
      <c r="G16535" s="4">
        <v>28</v>
      </c>
      <c r="H16535" s="4">
        <v>87</v>
      </c>
      <c r="I16535" s="201"/>
      <c r="J16535" s="201"/>
    </row>
    <row r="16536" spans="1:10" s="15" customFormat="1" ht="19.5" hidden="1" customHeight="1" outlineLevel="1" x14ac:dyDescent="0.25">
      <c r="A16536" s="45">
        <v>1719</v>
      </c>
      <c r="B16536" s="4" t="s">
        <v>44</v>
      </c>
      <c r="C16536" s="22" t="s">
        <v>1425</v>
      </c>
      <c r="D16536" s="18">
        <v>2021</v>
      </c>
      <c r="E16536" s="18"/>
      <c r="F16536" s="4">
        <v>1</v>
      </c>
      <c r="G16536" s="4">
        <v>15</v>
      </c>
      <c r="H16536" s="4">
        <v>43</v>
      </c>
      <c r="I16536" s="201"/>
      <c r="J16536" s="201"/>
    </row>
    <row r="16537" spans="1:10" s="15" customFormat="1" ht="19.5" hidden="1" customHeight="1" outlineLevel="1" x14ac:dyDescent="0.25">
      <c r="A16537" s="46">
        <v>9962</v>
      </c>
      <c r="B16537" s="4" t="s">
        <v>44</v>
      </c>
      <c r="C16537" s="22" t="s">
        <v>1426</v>
      </c>
      <c r="D16537" s="18">
        <v>2021</v>
      </c>
      <c r="E16537" s="18"/>
      <c r="F16537" s="4">
        <v>1</v>
      </c>
      <c r="G16537" s="4">
        <v>50</v>
      </c>
      <c r="H16537" s="4">
        <v>33</v>
      </c>
      <c r="I16537" s="201"/>
      <c r="J16537" s="201"/>
    </row>
    <row r="16538" spans="1:10" s="15" customFormat="1" ht="19.5" hidden="1" customHeight="1" outlineLevel="1" x14ac:dyDescent="0.25">
      <c r="A16538" s="45">
        <v>1574</v>
      </c>
      <c r="B16538" s="4" t="s">
        <v>44</v>
      </c>
      <c r="C16538" s="22" t="s">
        <v>1427</v>
      </c>
      <c r="D16538" s="18">
        <v>2021</v>
      </c>
      <c r="E16538" s="18"/>
      <c r="F16538" s="4">
        <v>1</v>
      </c>
      <c r="G16538" s="4">
        <v>15</v>
      </c>
      <c r="H16538" s="4">
        <v>49</v>
      </c>
      <c r="I16538" s="201"/>
      <c r="J16538" s="201"/>
    </row>
    <row r="16539" spans="1:10" s="15" customFormat="1" ht="19.5" hidden="1" customHeight="1" outlineLevel="1" x14ac:dyDescent="0.25">
      <c r="A16539" s="45">
        <v>1715</v>
      </c>
      <c r="B16539" s="4" t="s">
        <v>44</v>
      </c>
      <c r="C16539" s="22" t="s">
        <v>1428</v>
      </c>
      <c r="D16539" s="18">
        <v>2021</v>
      </c>
      <c r="E16539" s="18"/>
      <c r="F16539" s="4">
        <v>1</v>
      </c>
      <c r="G16539" s="4">
        <v>15</v>
      </c>
      <c r="H16539" s="4">
        <v>49</v>
      </c>
      <c r="I16539" s="201"/>
      <c r="J16539" s="201"/>
    </row>
    <row r="16540" spans="1:10" s="15" customFormat="1" ht="19.5" hidden="1" customHeight="1" outlineLevel="1" x14ac:dyDescent="0.25">
      <c r="A16540" s="45">
        <v>1696</v>
      </c>
      <c r="B16540" s="4" t="s">
        <v>44</v>
      </c>
      <c r="C16540" s="22" t="s">
        <v>1429</v>
      </c>
      <c r="D16540" s="18">
        <v>2021</v>
      </c>
      <c r="E16540" s="18"/>
      <c r="F16540" s="4">
        <v>1</v>
      </c>
      <c r="G16540" s="4">
        <v>15</v>
      </c>
      <c r="H16540" s="4">
        <v>35</v>
      </c>
      <c r="I16540" s="201"/>
      <c r="J16540" s="201"/>
    </row>
    <row r="16541" spans="1:10" s="15" customFormat="1" ht="19.5" hidden="1" customHeight="1" outlineLevel="1" x14ac:dyDescent="0.25">
      <c r="A16541" s="46">
        <v>9966</v>
      </c>
      <c r="B16541" s="4" t="s">
        <v>44</v>
      </c>
      <c r="C16541" s="22" t="s">
        <v>1430</v>
      </c>
      <c r="D16541" s="18">
        <v>2021</v>
      </c>
      <c r="E16541" s="18"/>
      <c r="F16541" s="4">
        <v>1</v>
      </c>
      <c r="G16541" s="4">
        <v>20</v>
      </c>
      <c r="H16541" s="4">
        <v>42</v>
      </c>
      <c r="I16541" s="201"/>
      <c r="J16541" s="201"/>
    </row>
    <row r="16542" spans="1:10" s="15" customFormat="1" ht="19.5" hidden="1" customHeight="1" outlineLevel="1" x14ac:dyDescent="0.25">
      <c r="A16542" s="46">
        <v>9785</v>
      </c>
      <c r="B16542" s="4" t="s">
        <v>44</v>
      </c>
      <c r="C16542" s="22" t="s">
        <v>338</v>
      </c>
      <c r="D16542" s="18">
        <v>2021</v>
      </c>
      <c r="E16542" s="18"/>
      <c r="F16542" s="4">
        <v>1</v>
      </c>
      <c r="G16542" s="4">
        <v>15</v>
      </c>
      <c r="H16542" s="4">
        <v>42</v>
      </c>
      <c r="I16542" s="201"/>
      <c r="J16542" s="201"/>
    </row>
    <row r="16543" spans="1:10" s="15" customFormat="1" ht="19.5" hidden="1" customHeight="1" outlineLevel="1" x14ac:dyDescent="0.25">
      <c r="A16543" s="45">
        <v>830</v>
      </c>
      <c r="B16543" s="4" t="s">
        <v>44</v>
      </c>
      <c r="C16543" s="22" t="s">
        <v>339</v>
      </c>
      <c r="D16543" s="18">
        <v>2021</v>
      </c>
      <c r="E16543" s="18"/>
      <c r="F16543" s="4">
        <v>1</v>
      </c>
      <c r="G16543" s="4">
        <v>10</v>
      </c>
      <c r="H16543" s="4">
        <v>36</v>
      </c>
      <c r="I16543" s="201"/>
      <c r="J16543" s="201"/>
    </row>
    <row r="16544" spans="1:10" s="15" customFormat="1" ht="19.5" hidden="1" customHeight="1" outlineLevel="1" x14ac:dyDescent="0.25">
      <c r="A16544" s="45">
        <v>1391</v>
      </c>
      <c r="B16544" s="4" t="s">
        <v>44</v>
      </c>
      <c r="C16544" s="22" t="s">
        <v>341</v>
      </c>
      <c r="D16544" s="18">
        <v>2021</v>
      </c>
      <c r="E16544" s="18"/>
      <c r="F16544" s="4">
        <v>1</v>
      </c>
      <c r="G16544" s="4">
        <v>30</v>
      </c>
      <c r="H16544" s="4">
        <v>57</v>
      </c>
      <c r="I16544" s="201"/>
      <c r="J16544" s="201"/>
    </row>
    <row r="16545" spans="1:10" s="15" customFormat="1" ht="19.5" hidden="1" customHeight="1" outlineLevel="1" x14ac:dyDescent="0.25">
      <c r="A16545" s="45">
        <v>1697</v>
      </c>
      <c r="B16545" s="4" t="s">
        <v>44</v>
      </c>
      <c r="C16545" s="22" t="s">
        <v>1431</v>
      </c>
      <c r="D16545" s="18">
        <v>2021</v>
      </c>
      <c r="E16545" s="18"/>
      <c r="F16545" s="4">
        <v>1</v>
      </c>
      <c r="G16545" s="4">
        <v>15</v>
      </c>
      <c r="H16545" s="4">
        <v>43</v>
      </c>
      <c r="I16545" s="201"/>
      <c r="J16545" s="201"/>
    </row>
    <row r="16546" spans="1:10" s="15" customFormat="1" ht="19.5" hidden="1" customHeight="1" outlineLevel="1" x14ac:dyDescent="0.25">
      <c r="A16546" s="45">
        <v>1683</v>
      </c>
      <c r="B16546" s="4" t="s">
        <v>44</v>
      </c>
      <c r="C16546" s="22" t="s">
        <v>1432</v>
      </c>
      <c r="D16546" s="18">
        <v>2021</v>
      </c>
      <c r="E16546" s="18"/>
      <c r="F16546" s="4">
        <v>1</v>
      </c>
      <c r="G16546" s="4">
        <v>15</v>
      </c>
      <c r="H16546" s="4">
        <v>41</v>
      </c>
      <c r="I16546" s="201"/>
      <c r="J16546" s="201"/>
    </row>
    <row r="16547" spans="1:10" s="15" customFormat="1" ht="19.5" hidden="1" customHeight="1" outlineLevel="1" x14ac:dyDescent="0.25">
      <c r="A16547" s="45">
        <v>1741</v>
      </c>
      <c r="B16547" s="4" t="s">
        <v>44</v>
      </c>
      <c r="C16547" s="22" t="s">
        <v>1433</v>
      </c>
      <c r="D16547" s="18">
        <v>2021</v>
      </c>
      <c r="E16547" s="18"/>
      <c r="F16547" s="4">
        <v>1</v>
      </c>
      <c r="G16547" s="4">
        <v>15</v>
      </c>
      <c r="H16547" s="4">
        <v>34</v>
      </c>
      <c r="I16547" s="201"/>
      <c r="J16547" s="201"/>
    </row>
    <row r="16548" spans="1:10" s="15" customFormat="1" ht="19.5" hidden="1" customHeight="1" outlineLevel="1" x14ac:dyDescent="0.25">
      <c r="A16548" s="45">
        <v>115</v>
      </c>
      <c r="B16548" s="4" t="s">
        <v>44</v>
      </c>
      <c r="C16548" s="22" t="s">
        <v>1434</v>
      </c>
      <c r="D16548" s="18">
        <v>2021</v>
      </c>
      <c r="E16548" s="18"/>
      <c r="F16548" s="4">
        <v>1</v>
      </c>
      <c r="G16548" s="4">
        <v>15</v>
      </c>
      <c r="H16548" s="4">
        <v>46</v>
      </c>
      <c r="I16548" s="201"/>
      <c r="J16548" s="201"/>
    </row>
    <row r="16549" spans="1:10" s="15" customFormat="1" ht="19.5" hidden="1" customHeight="1" outlineLevel="1" x14ac:dyDescent="0.25">
      <c r="A16549" s="45">
        <v>1728</v>
      </c>
      <c r="B16549" s="4" t="s">
        <v>44</v>
      </c>
      <c r="C16549" s="22" t="s">
        <v>1435</v>
      </c>
      <c r="D16549" s="18">
        <v>2021</v>
      </c>
      <c r="E16549" s="18"/>
      <c r="F16549" s="4">
        <v>1</v>
      </c>
      <c r="G16549" s="4">
        <v>15</v>
      </c>
      <c r="H16549" s="4">
        <v>48</v>
      </c>
      <c r="I16549" s="201"/>
      <c r="J16549" s="201"/>
    </row>
    <row r="16550" spans="1:10" s="15" customFormat="1" ht="19.5" hidden="1" customHeight="1" outlineLevel="1" x14ac:dyDescent="0.25">
      <c r="A16550" s="45">
        <v>1567</v>
      </c>
      <c r="B16550" s="4" t="s">
        <v>44</v>
      </c>
      <c r="C16550" s="22" t="s">
        <v>1436</v>
      </c>
      <c r="D16550" s="18">
        <v>2021</v>
      </c>
      <c r="E16550" s="18"/>
      <c r="F16550" s="4">
        <v>1</v>
      </c>
      <c r="G16550" s="4">
        <v>15</v>
      </c>
      <c r="H16550" s="4">
        <v>52</v>
      </c>
      <c r="I16550" s="201"/>
      <c r="J16550" s="201"/>
    </row>
    <row r="16551" spans="1:10" s="15" customFormat="1" ht="19.5" hidden="1" customHeight="1" outlineLevel="1" x14ac:dyDescent="0.25">
      <c r="A16551" s="45">
        <v>1661</v>
      </c>
      <c r="B16551" s="4" t="s">
        <v>44</v>
      </c>
      <c r="C16551" s="22" t="s">
        <v>1437</v>
      </c>
      <c r="D16551" s="18">
        <v>2021</v>
      </c>
      <c r="E16551" s="18"/>
      <c r="F16551" s="4">
        <v>1</v>
      </c>
      <c r="G16551" s="4">
        <v>15</v>
      </c>
      <c r="H16551" s="4">
        <v>40</v>
      </c>
      <c r="I16551" s="201"/>
      <c r="J16551" s="201"/>
    </row>
    <row r="16552" spans="1:10" s="15" customFormat="1" ht="19.5" hidden="1" customHeight="1" outlineLevel="1" x14ac:dyDescent="0.25">
      <c r="A16552" s="46">
        <v>9903</v>
      </c>
      <c r="B16552" s="4" t="s">
        <v>44</v>
      </c>
      <c r="C16552" s="22" t="s">
        <v>1438</v>
      </c>
      <c r="D16552" s="18">
        <v>2021</v>
      </c>
      <c r="E16552" s="18"/>
      <c r="F16552" s="4">
        <v>1</v>
      </c>
      <c r="G16552" s="4">
        <v>10</v>
      </c>
      <c r="H16552" s="4">
        <v>38</v>
      </c>
      <c r="I16552" s="201"/>
      <c r="J16552" s="201"/>
    </row>
    <row r="16553" spans="1:10" s="15" customFormat="1" ht="19.5" hidden="1" customHeight="1" outlineLevel="1" x14ac:dyDescent="0.25">
      <c r="A16553" s="45">
        <v>1704</v>
      </c>
      <c r="B16553" s="4" t="s">
        <v>44</v>
      </c>
      <c r="C16553" s="22" t="s">
        <v>1439</v>
      </c>
      <c r="D16553" s="18">
        <v>2021</v>
      </c>
      <c r="E16553" s="18"/>
      <c r="F16553" s="4">
        <v>1</v>
      </c>
      <c r="G16553" s="4">
        <v>15</v>
      </c>
      <c r="H16553" s="4">
        <v>36</v>
      </c>
      <c r="I16553" s="201"/>
      <c r="J16553" s="201"/>
    </row>
    <row r="16554" spans="1:10" s="15" customFormat="1" ht="19.5" hidden="1" customHeight="1" outlineLevel="1" x14ac:dyDescent="0.25">
      <c r="A16554" s="45">
        <v>1743</v>
      </c>
      <c r="B16554" s="4" t="s">
        <v>44</v>
      </c>
      <c r="C16554" s="22" t="s">
        <v>1440</v>
      </c>
      <c r="D16554" s="18">
        <v>2021</v>
      </c>
      <c r="E16554" s="18"/>
      <c r="F16554" s="4">
        <v>1</v>
      </c>
      <c r="G16554" s="4">
        <v>15</v>
      </c>
      <c r="H16554" s="4">
        <v>48</v>
      </c>
      <c r="I16554" s="201"/>
      <c r="J16554" s="201"/>
    </row>
    <row r="16555" spans="1:10" s="15" customFormat="1" ht="19.5" hidden="1" customHeight="1" outlineLevel="1" x14ac:dyDescent="0.25">
      <c r="A16555" s="45">
        <v>1703</v>
      </c>
      <c r="B16555" s="4" t="s">
        <v>44</v>
      </c>
      <c r="C16555" s="22" t="s">
        <v>1441</v>
      </c>
      <c r="D16555" s="18">
        <v>2021</v>
      </c>
      <c r="E16555" s="18"/>
      <c r="F16555" s="4">
        <v>1</v>
      </c>
      <c r="G16555" s="4">
        <v>15</v>
      </c>
      <c r="H16555" s="4">
        <v>46</v>
      </c>
      <c r="I16555" s="201"/>
      <c r="J16555" s="201"/>
    </row>
    <row r="16556" spans="1:10" s="15" customFormat="1" ht="19.5" hidden="1" customHeight="1" outlineLevel="1" x14ac:dyDescent="0.25">
      <c r="A16556" s="45">
        <v>109</v>
      </c>
      <c r="B16556" s="4" t="s">
        <v>44</v>
      </c>
      <c r="C16556" s="22" t="s">
        <v>1442</v>
      </c>
      <c r="D16556" s="18">
        <v>2021</v>
      </c>
      <c r="E16556" s="18"/>
      <c r="F16556" s="4">
        <v>1</v>
      </c>
      <c r="G16556" s="4">
        <v>15</v>
      </c>
      <c r="H16556" s="4">
        <v>55</v>
      </c>
      <c r="I16556" s="201"/>
      <c r="J16556" s="201"/>
    </row>
    <row r="16557" spans="1:10" s="15" customFormat="1" ht="19.5" hidden="1" customHeight="1" outlineLevel="1" x14ac:dyDescent="0.25">
      <c r="A16557" s="45">
        <v>95</v>
      </c>
      <c r="B16557" s="4" t="s">
        <v>44</v>
      </c>
      <c r="C16557" s="22" t="s">
        <v>1443</v>
      </c>
      <c r="D16557" s="18">
        <v>2021</v>
      </c>
      <c r="E16557" s="18"/>
      <c r="F16557" s="4">
        <v>1</v>
      </c>
      <c r="G16557" s="4">
        <v>15</v>
      </c>
      <c r="H16557" s="4">
        <v>54</v>
      </c>
      <c r="I16557" s="201"/>
      <c r="J16557" s="201"/>
    </row>
    <row r="16558" spans="1:10" s="15" customFormat="1" ht="19.5" hidden="1" customHeight="1" outlineLevel="1" x14ac:dyDescent="0.25">
      <c r="A16558" s="45">
        <v>1698</v>
      </c>
      <c r="B16558" s="4" t="s">
        <v>44</v>
      </c>
      <c r="C16558" s="22" t="s">
        <v>1444</v>
      </c>
      <c r="D16558" s="18">
        <v>2021</v>
      </c>
      <c r="E16558" s="18"/>
      <c r="F16558" s="4">
        <v>1</v>
      </c>
      <c r="G16558" s="4">
        <v>15</v>
      </c>
      <c r="H16558" s="4">
        <v>41</v>
      </c>
      <c r="I16558" s="201"/>
      <c r="J16558" s="201"/>
    </row>
    <row r="16559" spans="1:10" s="15" customFormat="1" ht="19.5" hidden="1" customHeight="1" outlineLevel="1" x14ac:dyDescent="0.25">
      <c r="A16559" s="45">
        <v>835</v>
      </c>
      <c r="B16559" s="4" t="s">
        <v>44</v>
      </c>
      <c r="C16559" s="22" t="s">
        <v>344</v>
      </c>
      <c r="D16559" s="18">
        <v>2021</v>
      </c>
      <c r="E16559" s="18"/>
      <c r="F16559" s="4">
        <v>1</v>
      </c>
      <c r="G16559" s="4">
        <v>15</v>
      </c>
      <c r="H16559" s="4">
        <v>36</v>
      </c>
      <c r="I16559" s="201"/>
      <c r="J16559" s="201"/>
    </row>
    <row r="16560" spans="1:10" s="15" customFormat="1" ht="19.5" hidden="1" customHeight="1" outlineLevel="1" x14ac:dyDescent="0.25">
      <c r="A16560" s="46">
        <v>9787</v>
      </c>
      <c r="B16560" s="4" t="s">
        <v>44</v>
      </c>
      <c r="C16560" s="22" t="s">
        <v>345</v>
      </c>
      <c r="D16560" s="18">
        <v>2021</v>
      </c>
      <c r="E16560" s="18"/>
      <c r="F16560" s="4">
        <v>1</v>
      </c>
      <c r="G16560" s="4">
        <v>15</v>
      </c>
      <c r="H16560" s="4">
        <v>36</v>
      </c>
      <c r="I16560" s="201"/>
      <c r="J16560" s="201"/>
    </row>
    <row r="16561" spans="1:10" s="15" customFormat="1" ht="19.5" hidden="1" customHeight="1" outlineLevel="1" x14ac:dyDescent="0.25">
      <c r="A16561" s="45">
        <v>1415</v>
      </c>
      <c r="B16561" s="4" t="s">
        <v>44</v>
      </c>
      <c r="C16561" s="22" t="s">
        <v>352</v>
      </c>
      <c r="D16561" s="18">
        <v>2021</v>
      </c>
      <c r="E16561" s="18"/>
      <c r="F16561" s="4">
        <v>1</v>
      </c>
      <c r="G16561" s="4">
        <v>15</v>
      </c>
      <c r="H16561" s="4">
        <v>49</v>
      </c>
      <c r="I16561" s="201"/>
      <c r="J16561" s="201"/>
    </row>
    <row r="16562" spans="1:10" s="15" customFormat="1" ht="19.5" hidden="1" customHeight="1" outlineLevel="1" x14ac:dyDescent="0.25">
      <c r="A16562" s="46">
        <v>9742</v>
      </c>
      <c r="B16562" s="4" t="s">
        <v>44</v>
      </c>
      <c r="C16562" s="22" t="s">
        <v>722</v>
      </c>
      <c r="D16562" s="18">
        <v>2021</v>
      </c>
      <c r="E16562" s="18"/>
      <c r="F16562" s="4">
        <v>1</v>
      </c>
      <c r="G16562" s="4">
        <v>20</v>
      </c>
      <c r="H16562" s="4">
        <v>144</v>
      </c>
      <c r="I16562" s="201"/>
      <c r="J16562" s="201"/>
    </row>
    <row r="16563" spans="1:10" s="15" customFormat="1" ht="19.5" hidden="1" customHeight="1" outlineLevel="1" x14ac:dyDescent="0.25">
      <c r="A16563" s="45">
        <v>1397</v>
      </c>
      <c r="B16563" s="4" t="s">
        <v>44</v>
      </c>
      <c r="C16563" s="22" t="s">
        <v>354</v>
      </c>
      <c r="D16563" s="18">
        <v>2021</v>
      </c>
      <c r="E16563" s="18"/>
      <c r="F16563" s="4">
        <v>1</v>
      </c>
      <c r="G16563" s="4">
        <v>15</v>
      </c>
      <c r="H16563" s="4">
        <v>52</v>
      </c>
      <c r="I16563" s="201"/>
      <c r="J16563" s="201"/>
    </row>
    <row r="16564" spans="1:10" s="15" customFormat="1" ht="19.5" hidden="1" customHeight="1" outlineLevel="1" x14ac:dyDescent="0.25">
      <c r="A16564" s="45">
        <v>1265</v>
      </c>
      <c r="B16564" s="4" t="s">
        <v>44</v>
      </c>
      <c r="C16564" s="22" t="s">
        <v>355</v>
      </c>
      <c r="D16564" s="18">
        <v>2021</v>
      </c>
      <c r="E16564" s="18"/>
      <c r="F16564" s="4">
        <v>1</v>
      </c>
      <c r="G16564" s="4">
        <v>15</v>
      </c>
      <c r="H16564" s="4">
        <v>53</v>
      </c>
      <c r="I16564" s="201"/>
      <c r="J16564" s="201"/>
    </row>
    <row r="16565" spans="1:10" s="15" customFormat="1" ht="19.5" hidden="1" customHeight="1" outlineLevel="1" x14ac:dyDescent="0.25">
      <c r="A16565" s="45">
        <v>829</v>
      </c>
      <c r="B16565" s="4" t="s">
        <v>44</v>
      </c>
      <c r="C16565" s="22" t="s">
        <v>356</v>
      </c>
      <c r="D16565" s="18">
        <v>2021</v>
      </c>
      <c r="E16565" s="18"/>
      <c r="F16565" s="4">
        <v>1</v>
      </c>
      <c r="G16565" s="4">
        <v>15</v>
      </c>
      <c r="H16565" s="4">
        <v>52</v>
      </c>
      <c r="I16565" s="201"/>
      <c r="J16565" s="201"/>
    </row>
    <row r="16566" spans="1:10" s="15" customFormat="1" ht="19.5" hidden="1" customHeight="1" outlineLevel="1" x14ac:dyDescent="0.25">
      <c r="A16566" s="45">
        <v>213</v>
      </c>
      <c r="B16566" s="4" t="s">
        <v>44</v>
      </c>
      <c r="C16566" s="22" t="s">
        <v>1445</v>
      </c>
      <c r="D16566" s="18">
        <v>2021</v>
      </c>
      <c r="E16566" s="18"/>
      <c r="F16566" s="4">
        <v>2</v>
      </c>
      <c r="G16566" s="4">
        <v>10</v>
      </c>
      <c r="H16566" s="4">
        <v>84.909270000000006</v>
      </c>
      <c r="I16566" s="201"/>
      <c r="J16566" s="201"/>
    </row>
    <row r="16567" spans="1:10" s="15" customFormat="1" ht="19.5" hidden="1" customHeight="1" outlineLevel="1" x14ac:dyDescent="0.25">
      <c r="A16567" s="45">
        <v>219</v>
      </c>
      <c r="B16567" s="4" t="s">
        <v>44</v>
      </c>
      <c r="C16567" s="22" t="s">
        <v>1446</v>
      </c>
      <c r="D16567" s="18">
        <v>2021</v>
      </c>
      <c r="E16567" s="18"/>
      <c r="F16567" s="4">
        <v>1</v>
      </c>
      <c r="G16567" s="4">
        <v>15</v>
      </c>
      <c r="H16567" s="4">
        <v>70.043599999999998</v>
      </c>
      <c r="I16567" s="201"/>
      <c r="J16567" s="201"/>
    </row>
    <row r="16568" spans="1:10" s="15" customFormat="1" ht="19.5" hidden="1" customHeight="1" outlineLevel="1" x14ac:dyDescent="0.25">
      <c r="A16568" s="45">
        <v>222</v>
      </c>
      <c r="B16568" s="4" t="s">
        <v>44</v>
      </c>
      <c r="C16568" s="22" t="s">
        <v>1447</v>
      </c>
      <c r="D16568" s="18">
        <v>2021</v>
      </c>
      <c r="E16568" s="18"/>
      <c r="F16568" s="4">
        <v>1</v>
      </c>
      <c r="G16568" s="4">
        <v>15</v>
      </c>
      <c r="H16568" s="4">
        <v>56.446109999999997</v>
      </c>
      <c r="I16568" s="201"/>
      <c r="J16568" s="201"/>
    </row>
    <row r="16569" spans="1:10" s="15" customFormat="1" ht="19.5" hidden="1" customHeight="1" outlineLevel="1" x14ac:dyDescent="0.25">
      <c r="A16569" s="46">
        <v>9004</v>
      </c>
      <c r="B16569" s="4" t="s">
        <v>44</v>
      </c>
      <c r="C16569" s="22" t="s">
        <v>1448</v>
      </c>
      <c r="D16569" s="18">
        <v>2021</v>
      </c>
      <c r="E16569" s="18"/>
      <c r="F16569" s="4">
        <v>1</v>
      </c>
      <c r="G16569" s="4">
        <v>15</v>
      </c>
      <c r="H16569" s="4">
        <v>55.785539999999997</v>
      </c>
      <c r="I16569" s="201"/>
      <c r="J16569" s="201"/>
    </row>
    <row r="16570" spans="1:10" s="15" customFormat="1" ht="19.5" hidden="1" customHeight="1" outlineLevel="1" x14ac:dyDescent="0.25">
      <c r="A16570" s="46">
        <v>9540</v>
      </c>
      <c r="B16570" s="4" t="s">
        <v>44</v>
      </c>
      <c r="C16570" s="22" t="s">
        <v>70</v>
      </c>
      <c r="D16570" s="18">
        <v>2021</v>
      </c>
      <c r="E16570" s="18"/>
      <c r="F16570" s="4">
        <v>1</v>
      </c>
      <c r="G16570" s="4">
        <v>50</v>
      </c>
      <c r="H16570" s="4">
        <v>31.010840000000002</v>
      </c>
      <c r="I16570" s="201"/>
      <c r="J16570" s="201"/>
    </row>
    <row r="16571" spans="1:10" s="15" customFormat="1" ht="19.5" hidden="1" customHeight="1" outlineLevel="1" x14ac:dyDescent="0.25">
      <c r="A16571" s="45">
        <v>188</v>
      </c>
      <c r="B16571" s="4" t="s">
        <v>44</v>
      </c>
      <c r="C16571" s="22" t="s">
        <v>1449</v>
      </c>
      <c r="D16571" s="18">
        <v>2021</v>
      </c>
      <c r="E16571" s="18"/>
      <c r="F16571" s="4">
        <v>1</v>
      </c>
      <c r="G16571" s="4">
        <v>15</v>
      </c>
      <c r="H16571" s="4">
        <v>58.5349</v>
      </c>
      <c r="I16571" s="201"/>
      <c r="J16571" s="201"/>
    </row>
    <row r="16572" spans="1:10" s="15" customFormat="1" ht="19.5" hidden="1" customHeight="1" outlineLevel="1" x14ac:dyDescent="0.25">
      <c r="A16572" s="45">
        <v>184</v>
      </c>
      <c r="B16572" s="4" t="s">
        <v>44</v>
      </c>
      <c r="C16572" s="22" t="s">
        <v>1450</v>
      </c>
      <c r="D16572" s="18">
        <v>2021</v>
      </c>
      <c r="E16572" s="18"/>
      <c r="F16572" s="4">
        <v>1</v>
      </c>
      <c r="G16572" s="4">
        <v>15</v>
      </c>
      <c r="H16572" s="4">
        <v>64.937389999999994</v>
      </c>
      <c r="I16572" s="201"/>
      <c r="J16572" s="201"/>
    </row>
    <row r="16573" spans="1:10" s="15" customFormat="1" ht="19.5" hidden="1" customHeight="1" outlineLevel="1" x14ac:dyDescent="0.25">
      <c r="A16573" s="46">
        <v>9006</v>
      </c>
      <c r="B16573" s="4" t="s">
        <v>44</v>
      </c>
      <c r="C16573" s="22" t="s">
        <v>1451</v>
      </c>
      <c r="D16573" s="18">
        <v>2021</v>
      </c>
      <c r="E16573" s="18"/>
      <c r="F16573" s="4">
        <v>1</v>
      </c>
      <c r="G16573" s="4">
        <v>30</v>
      </c>
      <c r="H16573" s="4">
        <v>53.23395</v>
      </c>
      <c r="I16573" s="201"/>
      <c r="J16573" s="201"/>
    </row>
    <row r="16574" spans="1:10" s="15" customFormat="1" ht="19.5" hidden="1" customHeight="1" outlineLevel="1" x14ac:dyDescent="0.25">
      <c r="A16574" s="46">
        <v>9562</v>
      </c>
      <c r="B16574" s="4" t="s">
        <v>44</v>
      </c>
      <c r="C16574" s="22" t="s">
        <v>213</v>
      </c>
      <c r="D16574" s="18">
        <v>2021</v>
      </c>
      <c r="E16574" s="18"/>
      <c r="F16574" s="4">
        <v>1</v>
      </c>
      <c r="G16574" s="4">
        <v>15</v>
      </c>
      <c r="H16574" s="4">
        <v>24.238510000000002</v>
      </c>
      <c r="I16574" s="201"/>
      <c r="J16574" s="201"/>
    </row>
    <row r="16575" spans="1:10" s="15" customFormat="1" ht="19.5" hidden="1" customHeight="1" outlineLevel="1" x14ac:dyDescent="0.25">
      <c r="A16575" s="45">
        <v>227</v>
      </c>
      <c r="B16575" s="4" t="s">
        <v>44</v>
      </c>
      <c r="C16575" s="22" t="s">
        <v>1452</v>
      </c>
      <c r="D16575" s="18">
        <v>2021</v>
      </c>
      <c r="E16575" s="18"/>
      <c r="F16575" s="4">
        <v>2</v>
      </c>
      <c r="G16575" s="4">
        <v>30</v>
      </c>
      <c r="H16575" s="4">
        <v>89.336590000000001</v>
      </c>
      <c r="I16575" s="201"/>
      <c r="J16575" s="201"/>
    </row>
    <row r="16576" spans="1:10" s="15" customFormat="1" ht="19.5" hidden="1" customHeight="1" outlineLevel="1" x14ac:dyDescent="0.25">
      <c r="A16576" s="45">
        <v>243</v>
      </c>
      <c r="B16576" s="4" t="s">
        <v>44</v>
      </c>
      <c r="C16576" s="22" t="s">
        <v>1453</v>
      </c>
      <c r="D16576" s="18">
        <v>2021</v>
      </c>
      <c r="E16576" s="18"/>
      <c r="F16576" s="4">
        <v>1</v>
      </c>
      <c r="G16576" s="4">
        <v>10</v>
      </c>
      <c r="H16576" s="4">
        <v>30.795819999999999</v>
      </c>
      <c r="I16576" s="201"/>
      <c r="J16576" s="201"/>
    </row>
    <row r="16577" spans="1:10" s="15" customFormat="1" ht="19.5" hidden="1" customHeight="1" outlineLevel="1" x14ac:dyDescent="0.25">
      <c r="A16577" s="45">
        <v>244</v>
      </c>
      <c r="B16577" s="4" t="s">
        <v>44</v>
      </c>
      <c r="C16577" s="22" t="s">
        <v>1454</v>
      </c>
      <c r="D16577" s="18">
        <v>2021</v>
      </c>
      <c r="E16577" s="18"/>
      <c r="F16577" s="4">
        <v>1</v>
      </c>
      <c r="G16577" s="4">
        <v>15</v>
      </c>
      <c r="H16577" s="4">
        <v>79.269419999999997</v>
      </c>
      <c r="I16577" s="201"/>
      <c r="J16577" s="201"/>
    </row>
    <row r="16578" spans="1:10" s="15" customFormat="1" ht="19.5" hidden="1" customHeight="1" outlineLevel="1" x14ac:dyDescent="0.25">
      <c r="A16578" s="45">
        <v>198</v>
      </c>
      <c r="B16578" s="4" t="s">
        <v>44</v>
      </c>
      <c r="C16578" s="22" t="s">
        <v>1455</v>
      </c>
      <c r="D16578" s="18">
        <v>2021</v>
      </c>
      <c r="E16578" s="18"/>
      <c r="F16578" s="4">
        <v>1</v>
      </c>
      <c r="G16578" s="4">
        <v>15</v>
      </c>
      <c r="H16578" s="4">
        <v>33.205640000000002</v>
      </c>
      <c r="I16578" s="201"/>
      <c r="J16578" s="201"/>
    </row>
    <row r="16579" spans="1:10" s="15" customFormat="1" ht="19.5" hidden="1" customHeight="1" outlineLevel="1" x14ac:dyDescent="0.25">
      <c r="A16579" s="46">
        <v>9135</v>
      </c>
      <c r="B16579" s="4" t="s">
        <v>44</v>
      </c>
      <c r="C16579" s="22" t="s">
        <v>1456</v>
      </c>
      <c r="D16579" s="18">
        <v>2021</v>
      </c>
      <c r="E16579" s="18"/>
      <c r="F16579" s="4">
        <v>1</v>
      </c>
      <c r="G16579" s="4">
        <v>9</v>
      </c>
      <c r="H16579" s="4">
        <v>33.50423</v>
      </c>
      <c r="I16579" s="201"/>
      <c r="J16579" s="201"/>
    </row>
    <row r="16580" spans="1:10" s="15" customFormat="1" ht="19.5" hidden="1" customHeight="1" outlineLevel="1" x14ac:dyDescent="0.25">
      <c r="A16580" s="46">
        <v>9134</v>
      </c>
      <c r="B16580" s="4" t="s">
        <v>44</v>
      </c>
      <c r="C16580" s="22" t="s">
        <v>1457</v>
      </c>
      <c r="D16580" s="18">
        <v>2021</v>
      </c>
      <c r="E16580" s="18"/>
      <c r="F16580" s="4">
        <v>1</v>
      </c>
      <c r="G16580" s="4">
        <v>9</v>
      </c>
      <c r="H16580" s="4">
        <v>32.924329999999998</v>
      </c>
      <c r="I16580" s="201"/>
      <c r="J16580" s="201"/>
    </row>
    <row r="16581" spans="1:10" s="15" customFormat="1" ht="19.5" hidden="1" customHeight="1" outlineLevel="1" x14ac:dyDescent="0.25">
      <c r="A16581" s="46">
        <v>9234</v>
      </c>
      <c r="B16581" s="4" t="s">
        <v>44</v>
      </c>
      <c r="C16581" s="22" t="s">
        <v>1458</v>
      </c>
      <c r="D16581" s="18">
        <v>2021</v>
      </c>
      <c r="E16581" s="18"/>
      <c r="F16581" s="4">
        <v>1</v>
      </c>
      <c r="G16581" s="4">
        <v>30</v>
      </c>
      <c r="H16581" s="4">
        <v>42.860419999999998</v>
      </c>
      <c r="I16581" s="201"/>
      <c r="J16581" s="201"/>
    </row>
    <row r="16582" spans="1:10" s="15" customFormat="1" ht="19.5" hidden="1" customHeight="1" outlineLevel="1" x14ac:dyDescent="0.25">
      <c r="A16582" s="45">
        <v>234</v>
      </c>
      <c r="B16582" s="4" t="s">
        <v>44</v>
      </c>
      <c r="C16582" s="22" t="s">
        <v>990</v>
      </c>
      <c r="D16582" s="18">
        <v>2021</v>
      </c>
      <c r="E16582" s="18"/>
      <c r="F16582" s="4">
        <v>2</v>
      </c>
      <c r="G16582" s="4">
        <v>50</v>
      </c>
      <c r="H16582" s="4">
        <v>42.1004</v>
      </c>
      <c r="I16582" s="201"/>
      <c r="J16582" s="201"/>
    </row>
    <row r="16583" spans="1:10" s="15" customFormat="1" ht="19.5" hidden="1" customHeight="1" outlineLevel="1" x14ac:dyDescent="0.25">
      <c r="A16583" s="45">
        <v>237</v>
      </c>
      <c r="B16583" s="4" t="s">
        <v>44</v>
      </c>
      <c r="C16583" s="22" t="s">
        <v>991</v>
      </c>
      <c r="D16583" s="18">
        <v>2021</v>
      </c>
      <c r="E16583" s="18"/>
      <c r="F16583" s="4">
        <v>1</v>
      </c>
      <c r="G16583" s="4">
        <v>35</v>
      </c>
      <c r="H16583" s="4">
        <v>41.028399999999998</v>
      </c>
      <c r="I16583" s="201"/>
      <c r="J16583" s="201"/>
    </row>
    <row r="16584" spans="1:10" s="15" customFormat="1" ht="19.5" hidden="1" customHeight="1" outlineLevel="1" x14ac:dyDescent="0.25">
      <c r="A16584" s="45">
        <v>247</v>
      </c>
      <c r="B16584" s="4" t="s">
        <v>44</v>
      </c>
      <c r="C16584" s="22" t="s">
        <v>992</v>
      </c>
      <c r="D16584" s="18">
        <v>2021</v>
      </c>
      <c r="E16584" s="18"/>
      <c r="F16584" s="4">
        <v>4</v>
      </c>
      <c r="G16584" s="4">
        <v>55</v>
      </c>
      <c r="H16584" s="4">
        <v>120.1448</v>
      </c>
      <c r="I16584" s="201"/>
      <c r="J16584" s="201"/>
    </row>
    <row r="16585" spans="1:10" s="15" customFormat="1" ht="19.5" hidden="1" customHeight="1" outlineLevel="1" x14ac:dyDescent="0.25">
      <c r="A16585" s="18">
        <v>59</v>
      </c>
      <c r="B16585" s="4" t="s">
        <v>44</v>
      </c>
      <c r="C16585" s="22" t="s">
        <v>993</v>
      </c>
      <c r="D16585" s="18">
        <v>2021</v>
      </c>
      <c r="E16585" s="18"/>
      <c r="F16585" s="4">
        <v>2</v>
      </c>
      <c r="G16585" s="4">
        <v>30</v>
      </c>
      <c r="H16585" s="4">
        <v>52.8</v>
      </c>
      <c r="I16585" s="201"/>
      <c r="J16585" s="201"/>
    </row>
    <row r="16586" spans="1:10" s="15" customFormat="1" ht="19.5" hidden="1" customHeight="1" outlineLevel="1" x14ac:dyDescent="0.25">
      <c r="A16586" s="45">
        <v>240</v>
      </c>
      <c r="B16586" s="4" t="s">
        <v>44</v>
      </c>
      <c r="C16586" s="22" t="s">
        <v>994</v>
      </c>
      <c r="D16586" s="18">
        <v>2021</v>
      </c>
      <c r="E16586" s="18"/>
      <c r="F16586" s="4">
        <v>1</v>
      </c>
      <c r="G16586" s="4">
        <v>25</v>
      </c>
      <c r="H16586" s="4">
        <v>53.38</v>
      </c>
      <c r="I16586" s="201"/>
      <c r="J16586" s="201"/>
    </row>
    <row r="16587" spans="1:10" s="15" customFormat="1" ht="19.5" hidden="1" customHeight="1" outlineLevel="1" x14ac:dyDescent="0.25">
      <c r="A16587" s="18">
        <v>224</v>
      </c>
      <c r="B16587" s="4" t="s">
        <v>44</v>
      </c>
      <c r="C16587" s="22" t="s">
        <v>995</v>
      </c>
      <c r="D16587" s="18">
        <v>2021</v>
      </c>
      <c r="E16587" s="18"/>
      <c r="F16587" s="4">
        <v>1</v>
      </c>
      <c r="G16587" s="4">
        <v>10</v>
      </c>
      <c r="H16587" s="4">
        <v>48.12</v>
      </c>
      <c r="I16587" s="201"/>
      <c r="J16587" s="201"/>
    </row>
    <row r="16588" spans="1:10" s="15" customFormat="1" ht="19.5" hidden="1" customHeight="1" outlineLevel="1" x14ac:dyDescent="0.25">
      <c r="A16588" s="45">
        <v>202</v>
      </c>
      <c r="B16588" s="4" t="s">
        <v>44</v>
      </c>
      <c r="C16588" s="22" t="s">
        <v>996</v>
      </c>
      <c r="D16588" s="18">
        <v>2021</v>
      </c>
      <c r="E16588" s="18"/>
      <c r="F16588" s="4">
        <v>1</v>
      </c>
      <c r="G16588" s="4">
        <v>31</v>
      </c>
      <c r="H16588" s="4">
        <v>42.722999999999999</v>
      </c>
      <c r="I16588" s="201"/>
      <c r="J16588" s="201"/>
    </row>
    <row r="16589" spans="1:10" s="15" customFormat="1" ht="19.5" hidden="1" customHeight="1" outlineLevel="1" x14ac:dyDescent="0.25">
      <c r="A16589" s="45">
        <v>205</v>
      </c>
      <c r="B16589" s="4" t="s">
        <v>44</v>
      </c>
      <c r="C16589" s="22" t="s">
        <v>997</v>
      </c>
      <c r="D16589" s="18">
        <v>2021</v>
      </c>
      <c r="E16589" s="18"/>
      <c r="F16589" s="4">
        <v>1</v>
      </c>
      <c r="G16589" s="4">
        <v>23</v>
      </c>
      <c r="H16589" s="4">
        <v>42.051319999999997</v>
      </c>
      <c r="I16589" s="201"/>
      <c r="J16589" s="201"/>
    </row>
    <row r="16590" spans="1:10" s="15" customFormat="1" ht="19.5" hidden="1" customHeight="1" outlineLevel="1" x14ac:dyDescent="0.25">
      <c r="A16590" s="45">
        <v>206</v>
      </c>
      <c r="B16590" s="4" t="s">
        <v>44</v>
      </c>
      <c r="C16590" s="22" t="s">
        <v>998</v>
      </c>
      <c r="D16590" s="18">
        <v>2021</v>
      </c>
      <c r="E16590" s="18"/>
      <c r="F16590" s="4">
        <v>1</v>
      </c>
      <c r="G16590" s="4">
        <v>23</v>
      </c>
      <c r="H16590" s="4">
        <v>42.856999999999999</v>
      </c>
      <c r="I16590" s="201"/>
      <c r="J16590" s="201"/>
    </row>
    <row r="16591" spans="1:10" s="15" customFormat="1" ht="19.5" hidden="1" customHeight="1" outlineLevel="1" x14ac:dyDescent="0.25">
      <c r="A16591" s="45">
        <v>828</v>
      </c>
      <c r="B16591" s="4" t="s">
        <v>44</v>
      </c>
      <c r="C16591" s="22" t="s">
        <v>221</v>
      </c>
      <c r="D16591" s="18">
        <v>2021</v>
      </c>
      <c r="E16591" s="18"/>
      <c r="F16591" s="4">
        <v>1</v>
      </c>
      <c r="G16591" s="4">
        <v>150</v>
      </c>
      <c r="H16591" s="4">
        <v>27.00948</v>
      </c>
      <c r="I16591" s="201"/>
      <c r="J16591" s="201"/>
    </row>
    <row r="16592" spans="1:10" s="15" customFormat="1" ht="19.5" hidden="1" customHeight="1" outlineLevel="1" x14ac:dyDescent="0.25">
      <c r="A16592" s="45">
        <v>814</v>
      </c>
      <c r="B16592" s="4" t="s">
        <v>44</v>
      </c>
      <c r="C16592" s="22" t="s">
        <v>222</v>
      </c>
      <c r="D16592" s="18">
        <v>2021</v>
      </c>
      <c r="E16592" s="18"/>
      <c r="F16592" s="4">
        <v>1</v>
      </c>
      <c r="G16592" s="4">
        <v>15</v>
      </c>
      <c r="H16592" s="4">
        <v>22.197279999999999</v>
      </c>
      <c r="I16592" s="201"/>
      <c r="J16592" s="201"/>
    </row>
    <row r="16593" spans="1:10" s="15" customFormat="1" ht="19.5" hidden="1" customHeight="1" outlineLevel="1" x14ac:dyDescent="0.25">
      <c r="A16593" s="45">
        <v>233</v>
      </c>
      <c r="B16593" s="4" t="s">
        <v>44</v>
      </c>
      <c r="C16593" s="22" t="s">
        <v>1459</v>
      </c>
      <c r="D16593" s="18">
        <v>2021</v>
      </c>
      <c r="E16593" s="18"/>
      <c r="F16593" s="4">
        <v>1</v>
      </c>
      <c r="G16593" s="4">
        <v>15</v>
      </c>
      <c r="H16593" s="4">
        <v>24.210909999999998</v>
      </c>
      <c r="I16593" s="201"/>
      <c r="J16593" s="201"/>
    </row>
    <row r="16594" spans="1:10" s="15" customFormat="1" ht="19.5" hidden="1" customHeight="1" outlineLevel="1" x14ac:dyDescent="0.25">
      <c r="A16594" s="46">
        <v>10097</v>
      </c>
      <c r="B16594" s="4" t="s">
        <v>44</v>
      </c>
      <c r="C16594" s="22" t="s">
        <v>1460</v>
      </c>
      <c r="D16594" s="18">
        <v>2021</v>
      </c>
      <c r="E16594" s="18"/>
      <c r="F16594" s="4">
        <v>1</v>
      </c>
      <c r="G16594" s="4">
        <v>15</v>
      </c>
      <c r="H16594" s="4">
        <v>27.75881</v>
      </c>
      <c r="I16594" s="201"/>
      <c r="J16594" s="201"/>
    </row>
    <row r="16595" spans="1:10" s="15" customFormat="1" ht="19.5" hidden="1" customHeight="1" outlineLevel="1" x14ac:dyDescent="0.25">
      <c r="A16595" s="46">
        <v>10213</v>
      </c>
      <c r="B16595" s="4" t="s">
        <v>44</v>
      </c>
      <c r="C16595" s="22" t="s">
        <v>1461</v>
      </c>
      <c r="D16595" s="18">
        <v>2021</v>
      </c>
      <c r="E16595" s="18"/>
      <c r="F16595" s="4">
        <v>1</v>
      </c>
      <c r="G16595" s="4">
        <v>15</v>
      </c>
      <c r="H16595" s="4">
        <v>27.787790000000001</v>
      </c>
      <c r="I16595" s="201"/>
      <c r="J16595" s="201"/>
    </row>
    <row r="16596" spans="1:10" s="15" customFormat="1" ht="19.5" hidden="1" customHeight="1" outlineLevel="1" x14ac:dyDescent="0.25">
      <c r="A16596" s="46">
        <v>10126</v>
      </c>
      <c r="B16596" s="4" t="s">
        <v>44</v>
      </c>
      <c r="C16596" s="22" t="s">
        <v>1462</v>
      </c>
      <c r="D16596" s="18">
        <v>2021</v>
      </c>
      <c r="E16596" s="18"/>
      <c r="F16596" s="4">
        <v>1</v>
      </c>
      <c r="G16596" s="4">
        <v>15</v>
      </c>
      <c r="H16596" s="4">
        <v>27.758790000000001</v>
      </c>
      <c r="I16596" s="201"/>
      <c r="J16596" s="201"/>
    </row>
    <row r="16597" spans="1:10" s="15" customFormat="1" ht="19.5" hidden="1" customHeight="1" outlineLevel="1" x14ac:dyDescent="0.25">
      <c r="A16597" s="46">
        <v>10237</v>
      </c>
      <c r="B16597" s="4" t="s">
        <v>44</v>
      </c>
      <c r="C16597" s="22" t="s">
        <v>1463</v>
      </c>
      <c r="D16597" s="18">
        <v>2021</v>
      </c>
      <c r="E16597" s="18"/>
      <c r="F16597" s="4">
        <v>1</v>
      </c>
      <c r="G16597" s="4">
        <v>15</v>
      </c>
      <c r="H16597" s="4">
        <v>27.786159999999999</v>
      </c>
      <c r="I16597" s="201"/>
      <c r="J16597" s="201"/>
    </row>
    <row r="16598" spans="1:10" s="15" customFormat="1" ht="19.5" hidden="1" customHeight="1" outlineLevel="1" x14ac:dyDescent="0.25">
      <c r="A16598" s="46">
        <v>10220</v>
      </c>
      <c r="B16598" s="4" t="s">
        <v>44</v>
      </c>
      <c r="C16598" s="22" t="s">
        <v>1464</v>
      </c>
      <c r="D16598" s="18">
        <v>2021</v>
      </c>
      <c r="E16598" s="18"/>
      <c r="F16598" s="4">
        <v>1</v>
      </c>
      <c r="G16598" s="4">
        <v>15</v>
      </c>
      <c r="H16598" s="4">
        <v>27.931370000000001</v>
      </c>
      <c r="I16598" s="201"/>
      <c r="J16598" s="201"/>
    </row>
    <row r="16599" spans="1:10" s="15" customFormat="1" ht="19.5" hidden="1" customHeight="1" outlineLevel="1" x14ac:dyDescent="0.25">
      <c r="A16599" s="46">
        <v>10201</v>
      </c>
      <c r="B16599" s="4" t="s">
        <v>44</v>
      </c>
      <c r="C16599" s="22" t="s">
        <v>1465</v>
      </c>
      <c r="D16599" s="18">
        <v>2021</v>
      </c>
      <c r="E16599" s="18"/>
      <c r="F16599" s="4">
        <v>1</v>
      </c>
      <c r="G16599" s="4">
        <v>15</v>
      </c>
      <c r="H16599" s="4">
        <v>29.229240000000001</v>
      </c>
      <c r="I16599" s="201"/>
      <c r="J16599" s="201"/>
    </row>
    <row r="16600" spans="1:10" s="15" customFormat="1" ht="19.5" hidden="1" customHeight="1" outlineLevel="1" x14ac:dyDescent="0.25">
      <c r="A16600" s="46">
        <v>10221</v>
      </c>
      <c r="B16600" s="4" t="s">
        <v>44</v>
      </c>
      <c r="C16600" s="22" t="s">
        <v>1466</v>
      </c>
      <c r="D16600" s="18">
        <v>2021</v>
      </c>
      <c r="E16600" s="18"/>
      <c r="F16600" s="4">
        <v>1</v>
      </c>
      <c r="G16600" s="4">
        <v>15</v>
      </c>
      <c r="H16600" s="4">
        <v>27.783740000000002</v>
      </c>
      <c r="I16600" s="201"/>
      <c r="J16600" s="201"/>
    </row>
    <row r="16601" spans="1:10" s="15" customFormat="1" ht="19.5" hidden="1" customHeight="1" outlineLevel="1" x14ac:dyDescent="0.25">
      <c r="A16601" s="46">
        <v>10255</v>
      </c>
      <c r="B16601" s="4" t="s">
        <v>44</v>
      </c>
      <c r="C16601" s="22" t="s">
        <v>1467</v>
      </c>
      <c r="D16601" s="18">
        <v>2021</v>
      </c>
      <c r="E16601" s="18"/>
      <c r="F16601" s="4">
        <v>1</v>
      </c>
      <c r="G16601" s="4">
        <v>15</v>
      </c>
      <c r="H16601" s="4">
        <v>28.940899999999999</v>
      </c>
      <c r="I16601" s="201"/>
      <c r="J16601" s="201"/>
    </row>
    <row r="16602" spans="1:10" s="15" customFormat="1" ht="19.5" hidden="1" customHeight="1" outlineLevel="1" x14ac:dyDescent="0.25">
      <c r="A16602" s="46">
        <v>10140</v>
      </c>
      <c r="B16602" s="4" t="s">
        <v>44</v>
      </c>
      <c r="C16602" s="22" t="s">
        <v>1468</v>
      </c>
      <c r="D16602" s="18">
        <v>2021</v>
      </c>
      <c r="E16602" s="18"/>
      <c r="F16602" s="4">
        <v>1</v>
      </c>
      <c r="G16602" s="4">
        <v>15</v>
      </c>
      <c r="H16602" s="4">
        <v>29.940819999999999</v>
      </c>
      <c r="I16602" s="201"/>
      <c r="J16602" s="201"/>
    </row>
    <row r="16603" spans="1:10" s="15" customFormat="1" ht="19.5" hidden="1" customHeight="1" outlineLevel="1" x14ac:dyDescent="0.25">
      <c r="A16603" s="46">
        <v>10096</v>
      </c>
      <c r="B16603" s="4" t="s">
        <v>44</v>
      </c>
      <c r="C16603" s="22" t="s">
        <v>1469</v>
      </c>
      <c r="D16603" s="18">
        <v>2021</v>
      </c>
      <c r="E16603" s="18"/>
      <c r="F16603" s="4">
        <v>1</v>
      </c>
      <c r="G16603" s="4">
        <v>15</v>
      </c>
      <c r="H16603" s="4">
        <v>27.641940000000002</v>
      </c>
      <c r="I16603" s="201"/>
      <c r="J16603" s="201"/>
    </row>
    <row r="16604" spans="1:10" s="15" customFormat="1" ht="19.5" hidden="1" customHeight="1" outlineLevel="1" x14ac:dyDescent="0.25">
      <c r="A16604" s="46">
        <v>10111</v>
      </c>
      <c r="B16604" s="4" t="s">
        <v>44</v>
      </c>
      <c r="C16604" s="22" t="s">
        <v>1470</v>
      </c>
      <c r="D16604" s="18">
        <v>2021</v>
      </c>
      <c r="E16604" s="18"/>
      <c r="F16604" s="4">
        <v>1</v>
      </c>
      <c r="G16604" s="4">
        <v>25</v>
      </c>
      <c r="H16604" s="4">
        <v>32.788139999999999</v>
      </c>
      <c r="I16604" s="201"/>
      <c r="J16604" s="201"/>
    </row>
    <row r="16605" spans="1:10" s="15" customFormat="1" ht="19.5" hidden="1" customHeight="1" outlineLevel="1" x14ac:dyDescent="0.25">
      <c r="A16605" s="46">
        <v>9239</v>
      </c>
      <c r="B16605" s="4" t="s">
        <v>44</v>
      </c>
      <c r="C16605" s="22" t="s">
        <v>1471</v>
      </c>
      <c r="D16605" s="18">
        <v>2021</v>
      </c>
      <c r="E16605" s="18"/>
      <c r="F16605" s="4">
        <v>1</v>
      </c>
      <c r="G16605" s="4">
        <v>15</v>
      </c>
      <c r="H16605" s="4">
        <v>32.64432</v>
      </c>
      <c r="I16605" s="201"/>
      <c r="J16605" s="201"/>
    </row>
    <row r="16606" spans="1:10" s="15" customFormat="1" ht="19.5" hidden="1" customHeight="1" outlineLevel="1" x14ac:dyDescent="0.25">
      <c r="A16606" s="45">
        <v>209</v>
      </c>
      <c r="B16606" s="4" t="s">
        <v>44</v>
      </c>
      <c r="C16606" s="22" t="s">
        <v>1472</v>
      </c>
      <c r="D16606" s="18">
        <v>2021</v>
      </c>
      <c r="E16606" s="18"/>
      <c r="F16606" s="4">
        <v>1</v>
      </c>
      <c r="G16606" s="4">
        <v>15</v>
      </c>
      <c r="H16606" s="4">
        <v>32.414839999999998</v>
      </c>
      <c r="I16606" s="201"/>
      <c r="J16606" s="201"/>
    </row>
    <row r="16607" spans="1:10" s="15" customFormat="1" ht="19.5" hidden="1" customHeight="1" outlineLevel="1" x14ac:dyDescent="0.25">
      <c r="A16607" s="46">
        <v>10210</v>
      </c>
      <c r="B16607" s="4" t="s">
        <v>44</v>
      </c>
      <c r="C16607" s="22" t="s">
        <v>1473</v>
      </c>
      <c r="D16607" s="18">
        <v>2021</v>
      </c>
      <c r="E16607" s="18"/>
      <c r="F16607" s="4">
        <v>1</v>
      </c>
      <c r="G16607" s="4">
        <v>15</v>
      </c>
      <c r="H16607" s="4">
        <v>34.539180000000002</v>
      </c>
      <c r="I16607" s="201"/>
      <c r="J16607" s="201"/>
    </row>
    <row r="16608" spans="1:10" s="15" customFormat="1" ht="19.5" hidden="1" customHeight="1" outlineLevel="1" x14ac:dyDescent="0.25">
      <c r="A16608" s="46">
        <v>10098</v>
      </c>
      <c r="B16608" s="4" t="s">
        <v>44</v>
      </c>
      <c r="C16608" s="22" t="s">
        <v>1474</v>
      </c>
      <c r="D16608" s="18">
        <v>2021</v>
      </c>
      <c r="E16608" s="18"/>
      <c r="F16608" s="4">
        <v>1</v>
      </c>
      <c r="G16608" s="4">
        <v>10</v>
      </c>
      <c r="H16608" s="4">
        <v>39.014000000000003</v>
      </c>
      <c r="I16608" s="201"/>
      <c r="J16608" s="201"/>
    </row>
    <row r="16609" spans="1:10" s="15" customFormat="1" ht="19.5" hidden="1" customHeight="1" outlineLevel="1" x14ac:dyDescent="0.25">
      <c r="A16609" s="46">
        <v>9959</v>
      </c>
      <c r="B16609" s="4" t="s">
        <v>44</v>
      </c>
      <c r="C16609" s="22" t="s">
        <v>1475</v>
      </c>
      <c r="D16609" s="18">
        <v>2021</v>
      </c>
      <c r="E16609" s="18"/>
      <c r="F16609" s="4">
        <v>1</v>
      </c>
      <c r="G16609" s="4">
        <v>10</v>
      </c>
      <c r="H16609" s="4">
        <v>32.373820000000002</v>
      </c>
      <c r="I16609" s="201"/>
      <c r="J16609" s="201"/>
    </row>
    <row r="16610" spans="1:10" s="15" customFormat="1" ht="19.5" hidden="1" customHeight="1" outlineLevel="1" x14ac:dyDescent="0.25">
      <c r="A16610" s="46">
        <v>9542</v>
      </c>
      <c r="B16610" s="4" t="s">
        <v>44</v>
      </c>
      <c r="C16610" s="22" t="s">
        <v>76</v>
      </c>
      <c r="D16610" s="18">
        <v>2021</v>
      </c>
      <c r="E16610" s="18"/>
      <c r="F16610" s="4">
        <v>1</v>
      </c>
      <c r="G16610" s="4">
        <v>15</v>
      </c>
      <c r="H16610" s="4">
        <v>38.942999999999998</v>
      </c>
      <c r="I16610" s="201"/>
      <c r="J16610" s="201"/>
    </row>
    <row r="16611" spans="1:10" s="15" customFormat="1" ht="19.5" hidden="1" customHeight="1" outlineLevel="1" x14ac:dyDescent="0.25">
      <c r="A16611" s="46">
        <v>9563</v>
      </c>
      <c r="B16611" s="4" t="s">
        <v>44</v>
      </c>
      <c r="C16611" s="22" t="s">
        <v>241</v>
      </c>
      <c r="D16611" s="18">
        <v>2021</v>
      </c>
      <c r="E16611" s="18"/>
      <c r="F16611" s="4">
        <v>1</v>
      </c>
      <c r="G16611" s="4">
        <v>15</v>
      </c>
      <c r="H16611" s="4">
        <v>30.483000000000001</v>
      </c>
      <c r="I16611" s="201"/>
      <c r="J16611" s="201"/>
    </row>
    <row r="16612" spans="1:10" s="15" customFormat="1" ht="19.5" hidden="1" customHeight="1" outlineLevel="1" x14ac:dyDescent="0.25">
      <c r="A16612" s="46">
        <v>9554</v>
      </c>
      <c r="B16612" s="4" t="s">
        <v>44</v>
      </c>
      <c r="C16612" s="22" t="s">
        <v>242</v>
      </c>
      <c r="D16612" s="18">
        <v>2021</v>
      </c>
      <c r="E16612" s="18"/>
      <c r="F16612" s="4">
        <v>1</v>
      </c>
      <c r="G16612" s="4">
        <v>15</v>
      </c>
      <c r="H16612" s="4">
        <v>29.59</v>
      </c>
      <c r="I16612" s="201"/>
      <c r="J16612" s="201"/>
    </row>
    <row r="16613" spans="1:10" s="15" customFormat="1" ht="19.5" hidden="1" customHeight="1" outlineLevel="1" x14ac:dyDescent="0.25">
      <c r="A16613" s="46">
        <v>9561</v>
      </c>
      <c r="B16613" s="4" t="s">
        <v>44</v>
      </c>
      <c r="C16613" s="22" t="s">
        <v>243</v>
      </c>
      <c r="D16613" s="18">
        <v>2021</v>
      </c>
      <c r="E16613" s="18"/>
      <c r="F16613" s="4">
        <v>1</v>
      </c>
      <c r="G16613" s="4">
        <v>15</v>
      </c>
      <c r="H16613" s="4">
        <v>28.588000000000001</v>
      </c>
      <c r="I16613" s="201"/>
      <c r="J16613" s="201"/>
    </row>
    <row r="16614" spans="1:10" s="15" customFormat="1" ht="19.5" hidden="1" customHeight="1" outlineLevel="1" x14ac:dyDescent="0.25">
      <c r="A16614" s="46">
        <v>10095</v>
      </c>
      <c r="B16614" s="4" t="s">
        <v>44</v>
      </c>
      <c r="C16614" s="22" t="s">
        <v>1476</v>
      </c>
      <c r="D16614" s="18">
        <v>2021</v>
      </c>
      <c r="E16614" s="18"/>
      <c r="F16614" s="4">
        <v>1</v>
      </c>
      <c r="G16614" s="4">
        <v>15</v>
      </c>
      <c r="H16614" s="4">
        <v>25.181000000000001</v>
      </c>
      <c r="I16614" s="201"/>
      <c r="J16614" s="201"/>
    </row>
    <row r="16615" spans="1:10" s="15" customFormat="1" ht="19.5" hidden="1" customHeight="1" outlineLevel="1" x14ac:dyDescent="0.25">
      <c r="A16615" s="46">
        <v>10165</v>
      </c>
      <c r="B16615" s="4" t="s">
        <v>44</v>
      </c>
      <c r="C16615" s="22" t="s">
        <v>1477</v>
      </c>
      <c r="D16615" s="18">
        <v>2021</v>
      </c>
      <c r="E16615" s="18"/>
      <c r="F16615" s="4">
        <v>1</v>
      </c>
      <c r="G16615" s="4">
        <v>15</v>
      </c>
      <c r="H16615" s="4">
        <v>24.852</v>
      </c>
      <c r="I16615" s="201"/>
      <c r="J16615" s="201"/>
    </row>
    <row r="16616" spans="1:10" s="15" customFormat="1" ht="19.5" hidden="1" customHeight="1" outlineLevel="1" x14ac:dyDescent="0.25">
      <c r="A16616" s="45">
        <v>2043</v>
      </c>
      <c r="B16616" s="4" t="s">
        <v>44</v>
      </c>
      <c r="C16616" s="22" t="s">
        <v>1478</v>
      </c>
      <c r="D16616" s="18">
        <v>2021</v>
      </c>
      <c r="E16616" s="18"/>
      <c r="F16616" s="4">
        <v>1</v>
      </c>
      <c r="G16616" s="4">
        <v>15</v>
      </c>
      <c r="H16616" s="4">
        <v>25.338999999999999</v>
      </c>
      <c r="I16616" s="201"/>
      <c r="J16616" s="201"/>
    </row>
    <row r="16617" spans="1:10" s="15" customFormat="1" ht="19.5" hidden="1" customHeight="1" outlineLevel="1" x14ac:dyDescent="0.25">
      <c r="A16617" s="46">
        <v>10195</v>
      </c>
      <c r="B16617" s="4" t="s">
        <v>44</v>
      </c>
      <c r="C16617" s="22" t="s">
        <v>1479</v>
      </c>
      <c r="D16617" s="18">
        <v>2021</v>
      </c>
      <c r="E16617" s="18"/>
      <c r="F16617" s="4">
        <v>1</v>
      </c>
      <c r="G16617" s="4">
        <v>15</v>
      </c>
      <c r="H16617" s="4">
        <v>24.852</v>
      </c>
      <c r="I16617" s="201"/>
      <c r="J16617" s="201"/>
    </row>
    <row r="16618" spans="1:10" s="15" customFormat="1" ht="19.5" hidden="1" customHeight="1" outlineLevel="1" x14ac:dyDescent="0.25">
      <c r="A16618" s="45">
        <v>826</v>
      </c>
      <c r="B16618" s="4" t="s">
        <v>44</v>
      </c>
      <c r="C16618" s="22" t="s">
        <v>78</v>
      </c>
      <c r="D16618" s="18">
        <v>2021</v>
      </c>
      <c r="E16618" s="18"/>
      <c r="F16618" s="4">
        <v>1</v>
      </c>
      <c r="G16618" s="4">
        <v>15</v>
      </c>
      <c r="H16618" s="4">
        <v>26.571000000000002</v>
      </c>
      <c r="I16618" s="201"/>
      <c r="J16618" s="201"/>
    </row>
    <row r="16619" spans="1:10" s="15" customFormat="1" ht="19.5" hidden="1" customHeight="1" outlineLevel="1" x14ac:dyDescent="0.25">
      <c r="A16619" s="46">
        <v>9560</v>
      </c>
      <c r="B16619" s="4" t="s">
        <v>44</v>
      </c>
      <c r="C16619" s="22" t="s">
        <v>1480</v>
      </c>
      <c r="D16619" s="18">
        <v>2021</v>
      </c>
      <c r="E16619" s="18"/>
      <c r="F16619" s="4">
        <v>1</v>
      </c>
      <c r="G16619" s="4">
        <v>25</v>
      </c>
      <c r="H16619" s="4">
        <v>29.27</v>
      </c>
      <c r="I16619" s="201"/>
      <c r="J16619" s="201"/>
    </row>
    <row r="16620" spans="1:10" s="15" customFormat="1" ht="19.5" hidden="1" customHeight="1" outlineLevel="1" x14ac:dyDescent="0.25">
      <c r="A16620" s="46">
        <v>9543</v>
      </c>
      <c r="B16620" s="4" t="s">
        <v>44</v>
      </c>
      <c r="C16620" s="22" t="s">
        <v>79</v>
      </c>
      <c r="D16620" s="18">
        <v>2021</v>
      </c>
      <c r="E16620" s="18"/>
      <c r="F16620" s="4">
        <v>2</v>
      </c>
      <c r="G16620" s="4">
        <v>30</v>
      </c>
      <c r="H16620" s="4">
        <v>58.712000000000003</v>
      </c>
      <c r="I16620" s="201"/>
      <c r="J16620" s="201"/>
    </row>
    <row r="16621" spans="1:10" s="15" customFormat="1" ht="19.5" hidden="1" customHeight="1" outlineLevel="1" x14ac:dyDescent="0.25">
      <c r="A16621" s="45">
        <v>812</v>
      </c>
      <c r="B16621" s="4" t="s">
        <v>44</v>
      </c>
      <c r="C16621" s="22" t="s">
        <v>80</v>
      </c>
      <c r="D16621" s="18">
        <v>2021</v>
      </c>
      <c r="E16621" s="18"/>
      <c r="F16621" s="4">
        <v>1</v>
      </c>
      <c r="G16621" s="4">
        <v>15</v>
      </c>
      <c r="H16621" s="4">
        <v>27.771000000000001</v>
      </c>
      <c r="I16621" s="201"/>
      <c r="J16621" s="201"/>
    </row>
    <row r="16622" spans="1:10" s="15" customFormat="1" ht="19.5" hidden="1" customHeight="1" outlineLevel="1" x14ac:dyDescent="0.25">
      <c r="A16622" s="46">
        <v>9559</v>
      </c>
      <c r="B16622" s="4" t="s">
        <v>44</v>
      </c>
      <c r="C16622" s="22" t="s">
        <v>245</v>
      </c>
      <c r="D16622" s="18">
        <v>2021</v>
      </c>
      <c r="E16622" s="18"/>
      <c r="F16622" s="4">
        <v>1</v>
      </c>
      <c r="G16622" s="4">
        <v>15</v>
      </c>
      <c r="H16622" s="4">
        <v>30.189</v>
      </c>
      <c r="I16622" s="201"/>
      <c r="J16622" s="201"/>
    </row>
    <row r="16623" spans="1:10" s="15" customFormat="1" ht="19.5" hidden="1" customHeight="1" outlineLevel="1" x14ac:dyDescent="0.25">
      <c r="A16623" s="45">
        <v>1181</v>
      </c>
      <c r="B16623" s="4" t="s">
        <v>44</v>
      </c>
      <c r="C16623" s="22" t="s">
        <v>246</v>
      </c>
      <c r="D16623" s="18">
        <v>2021</v>
      </c>
      <c r="E16623" s="18"/>
      <c r="F16623" s="4">
        <v>2</v>
      </c>
      <c r="G16623" s="4">
        <v>100</v>
      </c>
      <c r="H16623" s="4">
        <v>57.8</v>
      </c>
      <c r="I16623" s="201"/>
      <c r="J16623" s="201"/>
    </row>
    <row r="16624" spans="1:10" s="15" customFormat="1" ht="19.5" hidden="1" customHeight="1" outlineLevel="1" x14ac:dyDescent="0.25">
      <c r="A16624" s="46">
        <v>9221</v>
      </c>
      <c r="B16624" s="4" t="s">
        <v>44</v>
      </c>
      <c r="C16624" s="22" t="s">
        <v>1481</v>
      </c>
      <c r="D16624" s="18">
        <v>2021</v>
      </c>
      <c r="E16624" s="18"/>
      <c r="F16624" s="4">
        <v>1</v>
      </c>
      <c r="G16624" s="4">
        <v>40</v>
      </c>
      <c r="H16624" s="4">
        <v>27.882000000000001</v>
      </c>
      <c r="I16624" s="201"/>
      <c r="J16624" s="201"/>
    </row>
    <row r="16625" spans="1:10" s="15" customFormat="1" ht="19.5" hidden="1" customHeight="1" outlineLevel="1" x14ac:dyDescent="0.25">
      <c r="A16625" s="46">
        <v>9237</v>
      </c>
      <c r="B16625" s="4" t="s">
        <v>44</v>
      </c>
      <c r="C16625" s="22" t="s">
        <v>1482</v>
      </c>
      <c r="D16625" s="18">
        <v>2021</v>
      </c>
      <c r="E16625" s="18"/>
      <c r="F16625" s="4">
        <v>1</v>
      </c>
      <c r="G16625" s="4">
        <v>15</v>
      </c>
      <c r="H16625" s="4">
        <v>27.844999999999999</v>
      </c>
      <c r="I16625" s="201"/>
      <c r="J16625" s="201"/>
    </row>
    <row r="16626" spans="1:10" s="15" customFormat="1" ht="19.5" hidden="1" customHeight="1" outlineLevel="1" x14ac:dyDescent="0.25">
      <c r="A16626" s="46">
        <v>9891</v>
      </c>
      <c r="B16626" s="4" t="s">
        <v>44</v>
      </c>
      <c r="C16626" s="22" t="s">
        <v>1483</v>
      </c>
      <c r="D16626" s="18">
        <v>2021</v>
      </c>
      <c r="E16626" s="18"/>
      <c r="F16626" s="4">
        <v>1</v>
      </c>
      <c r="G16626" s="4">
        <v>148.61000000000001</v>
      </c>
      <c r="H16626" s="4">
        <v>32.459000000000003</v>
      </c>
      <c r="I16626" s="201"/>
      <c r="J16626" s="201"/>
    </row>
    <row r="16627" spans="1:10" s="15" customFormat="1" ht="19.5" hidden="1" customHeight="1" outlineLevel="1" x14ac:dyDescent="0.25">
      <c r="A16627" s="46">
        <v>9546</v>
      </c>
      <c r="B16627" s="4" t="s">
        <v>44</v>
      </c>
      <c r="C16627" s="22" t="s">
        <v>249</v>
      </c>
      <c r="D16627" s="18">
        <v>2021</v>
      </c>
      <c r="E16627" s="18"/>
      <c r="F16627" s="4">
        <v>1</v>
      </c>
      <c r="G16627" s="4">
        <v>15</v>
      </c>
      <c r="H16627" s="4">
        <v>30.114000000000001</v>
      </c>
      <c r="I16627" s="201"/>
      <c r="J16627" s="201"/>
    </row>
    <row r="16628" spans="1:10" s="15" customFormat="1" ht="19.5" hidden="1" customHeight="1" outlineLevel="1" x14ac:dyDescent="0.25">
      <c r="A16628" s="46">
        <v>9550</v>
      </c>
      <c r="B16628" s="4" t="s">
        <v>44</v>
      </c>
      <c r="C16628" s="22" t="s">
        <v>81</v>
      </c>
      <c r="D16628" s="18">
        <v>2021</v>
      </c>
      <c r="E16628" s="18"/>
      <c r="F16628" s="4">
        <v>1</v>
      </c>
      <c r="G16628" s="4">
        <v>15</v>
      </c>
      <c r="H16628" s="4">
        <v>31.558</v>
      </c>
      <c r="I16628" s="201"/>
      <c r="J16628" s="201"/>
    </row>
    <row r="16629" spans="1:10" s="15" customFormat="1" ht="19.5" hidden="1" customHeight="1" outlineLevel="1" x14ac:dyDescent="0.25">
      <c r="A16629" s="46">
        <v>9548</v>
      </c>
      <c r="B16629" s="4" t="s">
        <v>44</v>
      </c>
      <c r="C16629" s="22" t="s">
        <v>82</v>
      </c>
      <c r="D16629" s="18">
        <v>2021</v>
      </c>
      <c r="E16629" s="18"/>
      <c r="F16629" s="4">
        <v>1</v>
      </c>
      <c r="G16629" s="4">
        <v>15</v>
      </c>
      <c r="H16629" s="4">
        <v>34.454999999999998</v>
      </c>
      <c r="I16629" s="201"/>
      <c r="J16629" s="201"/>
    </row>
    <row r="16630" spans="1:10" s="15" customFormat="1" ht="19.5" hidden="1" customHeight="1" outlineLevel="1" x14ac:dyDescent="0.25">
      <c r="A16630" s="46">
        <v>9235</v>
      </c>
      <c r="B16630" s="4" t="s">
        <v>44</v>
      </c>
      <c r="C16630" s="22" t="s">
        <v>1028</v>
      </c>
      <c r="D16630" s="18">
        <v>2021</v>
      </c>
      <c r="E16630" s="18"/>
      <c r="F16630" s="4">
        <v>1</v>
      </c>
      <c r="G16630" s="4">
        <v>15</v>
      </c>
      <c r="H16630" s="4">
        <v>32.5</v>
      </c>
      <c r="I16630" s="201"/>
      <c r="J16630" s="201"/>
    </row>
    <row r="16631" spans="1:10" s="15" customFormat="1" ht="19.5" hidden="1" customHeight="1" outlineLevel="1" x14ac:dyDescent="0.25">
      <c r="A16631" s="46">
        <v>9227</v>
      </c>
      <c r="B16631" s="4" t="s">
        <v>44</v>
      </c>
      <c r="C16631" s="22" t="s">
        <v>1484</v>
      </c>
      <c r="D16631" s="18">
        <v>2021</v>
      </c>
      <c r="E16631" s="18"/>
      <c r="F16631" s="4">
        <v>1</v>
      </c>
      <c r="G16631" s="4">
        <v>15</v>
      </c>
      <c r="H16631" s="4">
        <v>38.81</v>
      </c>
      <c r="I16631" s="201"/>
      <c r="J16631" s="201"/>
    </row>
    <row r="16632" spans="1:10" s="15" customFormat="1" ht="19.5" hidden="1" customHeight="1" outlineLevel="1" x14ac:dyDescent="0.25">
      <c r="A16632" s="46">
        <v>9230</v>
      </c>
      <c r="B16632" s="4" t="s">
        <v>44</v>
      </c>
      <c r="C16632" s="22" t="s">
        <v>1485</v>
      </c>
      <c r="D16632" s="18">
        <v>2021</v>
      </c>
      <c r="E16632" s="18"/>
      <c r="F16632" s="4">
        <v>1</v>
      </c>
      <c r="G16632" s="4">
        <v>10</v>
      </c>
      <c r="H16632" s="4">
        <v>35.609000000000002</v>
      </c>
      <c r="I16632" s="201"/>
      <c r="J16632" s="201"/>
    </row>
    <row r="16633" spans="1:10" s="15" customFormat="1" ht="19.5" hidden="1" customHeight="1" outlineLevel="1" x14ac:dyDescent="0.25">
      <c r="A16633" s="46">
        <v>10130</v>
      </c>
      <c r="B16633" s="4" t="s">
        <v>44</v>
      </c>
      <c r="C16633" s="22" t="s">
        <v>1486</v>
      </c>
      <c r="D16633" s="18">
        <v>2021</v>
      </c>
      <c r="E16633" s="18"/>
      <c r="F16633" s="4">
        <v>1</v>
      </c>
      <c r="G16633" s="4">
        <v>15</v>
      </c>
      <c r="H16633" s="4">
        <v>33.036999999999999</v>
      </c>
      <c r="I16633" s="201"/>
      <c r="J16633" s="201"/>
    </row>
    <row r="16634" spans="1:10" s="15" customFormat="1" ht="19.5" hidden="1" customHeight="1" outlineLevel="1" x14ac:dyDescent="0.25">
      <c r="A16634" s="46">
        <v>10152</v>
      </c>
      <c r="B16634" s="4" t="s">
        <v>44</v>
      </c>
      <c r="C16634" s="22" t="s">
        <v>1487</v>
      </c>
      <c r="D16634" s="18">
        <v>2021</v>
      </c>
      <c r="E16634" s="18"/>
      <c r="F16634" s="4">
        <v>1</v>
      </c>
      <c r="G16634" s="4">
        <v>15</v>
      </c>
      <c r="H16634" s="4">
        <v>24.396999999999998</v>
      </c>
      <c r="I16634" s="201"/>
      <c r="J16634" s="201"/>
    </row>
    <row r="16635" spans="1:10" s="15" customFormat="1" ht="19.5" hidden="1" customHeight="1" outlineLevel="1" x14ac:dyDescent="0.25">
      <c r="A16635" s="46">
        <v>9229</v>
      </c>
      <c r="B16635" s="4" t="s">
        <v>44</v>
      </c>
      <c r="C16635" s="22" t="s">
        <v>1488</v>
      </c>
      <c r="D16635" s="18">
        <v>2021</v>
      </c>
      <c r="E16635" s="18"/>
      <c r="F16635" s="4">
        <v>1</v>
      </c>
      <c r="G16635" s="4">
        <v>15</v>
      </c>
      <c r="H16635" s="4">
        <v>39.927999999999997</v>
      </c>
      <c r="I16635" s="201"/>
      <c r="J16635" s="201"/>
    </row>
    <row r="16636" spans="1:10" s="15" customFormat="1" ht="19.5" hidden="1" customHeight="1" outlineLevel="1" x14ac:dyDescent="0.25">
      <c r="A16636" s="46">
        <v>9539</v>
      </c>
      <c r="B16636" s="4" t="s">
        <v>44</v>
      </c>
      <c r="C16636" s="22" t="s">
        <v>83</v>
      </c>
      <c r="D16636" s="18">
        <v>2021</v>
      </c>
      <c r="E16636" s="18"/>
      <c r="F16636" s="4">
        <v>1</v>
      </c>
      <c r="G16636" s="4">
        <v>15</v>
      </c>
      <c r="H16636" s="4">
        <v>27.373000000000001</v>
      </c>
      <c r="I16636" s="201"/>
      <c r="J16636" s="201"/>
    </row>
    <row r="16637" spans="1:10" s="15" customFormat="1" ht="19.5" hidden="1" customHeight="1" outlineLevel="1" x14ac:dyDescent="0.25">
      <c r="A16637" s="45">
        <v>1170</v>
      </c>
      <c r="B16637" s="4" t="s">
        <v>44</v>
      </c>
      <c r="C16637" s="22" t="s">
        <v>251</v>
      </c>
      <c r="D16637" s="18">
        <v>2021</v>
      </c>
      <c r="E16637" s="18"/>
      <c r="F16637" s="4">
        <v>1</v>
      </c>
      <c r="G16637" s="4">
        <v>60</v>
      </c>
      <c r="H16637" s="4">
        <v>32.5</v>
      </c>
      <c r="I16637" s="201"/>
      <c r="J16637" s="201"/>
    </row>
    <row r="16638" spans="1:10" s="15" customFormat="1" ht="19.5" hidden="1" customHeight="1" outlineLevel="1" x14ac:dyDescent="0.25">
      <c r="A16638" s="46">
        <v>10120</v>
      </c>
      <c r="B16638" s="4" t="s">
        <v>44</v>
      </c>
      <c r="C16638" s="22" t="s">
        <v>1489</v>
      </c>
      <c r="D16638" s="18">
        <v>2021</v>
      </c>
      <c r="E16638" s="18"/>
      <c r="F16638" s="4">
        <v>1</v>
      </c>
      <c r="G16638" s="4">
        <v>15</v>
      </c>
      <c r="H16638" s="4">
        <v>24.029</v>
      </c>
      <c r="I16638" s="201"/>
      <c r="J16638" s="201"/>
    </row>
    <row r="16639" spans="1:10" s="15" customFormat="1" ht="19.5" hidden="1" customHeight="1" outlineLevel="1" x14ac:dyDescent="0.25">
      <c r="A16639" s="46">
        <v>10236</v>
      </c>
      <c r="B16639" s="4" t="s">
        <v>44</v>
      </c>
      <c r="C16639" s="22" t="s">
        <v>1490</v>
      </c>
      <c r="D16639" s="18">
        <v>2021</v>
      </c>
      <c r="E16639" s="18"/>
      <c r="F16639" s="4">
        <v>1</v>
      </c>
      <c r="G16639" s="4">
        <v>15</v>
      </c>
      <c r="H16639" s="4">
        <v>24.029</v>
      </c>
      <c r="I16639" s="201"/>
      <c r="J16639" s="201"/>
    </row>
    <row r="16640" spans="1:10" s="15" customFormat="1" ht="19.5" hidden="1" customHeight="1" outlineLevel="1" x14ac:dyDescent="0.25">
      <c r="A16640" s="46">
        <v>10061</v>
      </c>
      <c r="B16640" s="4" t="s">
        <v>44</v>
      </c>
      <c r="C16640" s="22" t="s">
        <v>1491</v>
      </c>
      <c r="D16640" s="18">
        <v>2021</v>
      </c>
      <c r="E16640" s="18"/>
      <c r="F16640" s="4">
        <v>1</v>
      </c>
      <c r="G16640" s="4">
        <v>15</v>
      </c>
      <c r="H16640" s="4">
        <v>24.018000000000001</v>
      </c>
      <c r="I16640" s="201"/>
      <c r="J16640" s="201"/>
    </row>
    <row r="16641" spans="1:10" s="15" customFormat="1" ht="19.5" hidden="1" customHeight="1" outlineLevel="1" x14ac:dyDescent="0.25">
      <c r="A16641" s="46">
        <v>10118</v>
      </c>
      <c r="B16641" s="4" t="s">
        <v>44</v>
      </c>
      <c r="C16641" s="22" t="s">
        <v>1492</v>
      </c>
      <c r="D16641" s="18">
        <v>2021</v>
      </c>
      <c r="E16641" s="18"/>
      <c r="F16641" s="4">
        <v>1</v>
      </c>
      <c r="G16641" s="4">
        <v>15</v>
      </c>
      <c r="H16641" s="4">
        <v>24.018000000000001</v>
      </c>
      <c r="I16641" s="201"/>
      <c r="J16641" s="201"/>
    </row>
    <row r="16642" spans="1:10" s="15" customFormat="1" ht="19.5" hidden="1" customHeight="1" outlineLevel="1" x14ac:dyDescent="0.25">
      <c r="A16642" s="46">
        <v>10117</v>
      </c>
      <c r="B16642" s="4" t="s">
        <v>44</v>
      </c>
      <c r="C16642" s="22" t="s">
        <v>1493</v>
      </c>
      <c r="D16642" s="18">
        <v>2021</v>
      </c>
      <c r="E16642" s="18"/>
      <c r="F16642" s="4">
        <v>1</v>
      </c>
      <c r="G16642" s="4">
        <v>15</v>
      </c>
      <c r="H16642" s="4">
        <v>25.481999999999999</v>
      </c>
      <c r="I16642" s="201"/>
      <c r="J16642" s="201"/>
    </row>
    <row r="16643" spans="1:10" s="15" customFormat="1" ht="19.5" hidden="1" customHeight="1" outlineLevel="1" x14ac:dyDescent="0.25">
      <c r="A16643" s="46">
        <v>10324</v>
      </c>
      <c r="B16643" s="4" t="s">
        <v>44</v>
      </c>
      <c r="C16643" s="22" t="s">
        <v>1037</v>
      </c>
      <c r="D16643" s="18">
        <v>2021</v>
      </c>
      <c r="E16643" s="18"/>
      <c r="F16643" s="4">
        <v>1</v>
      </c>
      <c r="G16643" s="4">
        <v>15</v>
      </c>
      <c r="H16643" s="4">
        <v>24.51</v>
      </c>
      <c r="I16643" s="201"/>
      <c r="J16643" s="201"/>
    </row>
    <row r="16644" spans="1:10" s="15" customFormat="1" ht="19.5" hidden="1" customHeight="1" outlineLevel="1" x14ac:dyDescent="0.25">
      <c r="A16644" s="46">
        <v>10235</v>
      </c>
      <c r="B16644" s="4" t="s">
        <v>44</v>
      </c>
      <c r="C16644" s="22" t="s">
        <v>1494</v>
      </c>
      <c r="D16644" s="18">
        <v>2021</v>
      </c>
      <c r="E16644" s="18"/>
      <c r="F16644" s="4">
        <v>1</v>
      </c>
      <c r="G16644" s="4">
        <v>15</v>
      </c>
      <c r="H16644" s="4">
        <v>25.475999999999999</v>
      </c>
      <c r="I16644" s="201"/>
      <c r="J16644" s="201"/>
    </row>
    <row r="16645" spans="1:10" s="15" customFormat="1" ht="19.5" hidden="1" customHeight="1" outlineLevel="1" x14ac:dyDescent="0.25">
      <c r="A16645" s="46">
        <v>9158</v>
      </c>
      <c r="B16645" s="4" t="s">
        <v>44</v>
      </c>
      <c r="C16645" s="22" t="s">
        <v>1495</v>
      </c>
      <c r="D16645" s="18">
        <v>2021</v>
      </c>
      <c r="E16645" s="18"/>
      <c r="F16645" s="4">
        <v>1</v>
      </c>
      <c r="G16645" s="4">
        <v>36</v>
      </c>
      <c r="H16645" s="4">
        <v>30.341999999999999</v>
      </c>
      <c r="I16645" s="201"/>
      <c r="J16645" s="201"/>
    </row>
    <row r="16646" spans="1:10" s="15" customFormat="1" ht="19.5" hidden="1" customHeight="1" outlineLevel="1" x14ac:dyDescent="0.25">
      <c r="A16646" s="46">
        <v>10116</v>
      </c>
      <c r="B16646" s="4" t="s">
        <v>44</v>
      </c>
      <c r="C16646" s="22" t="s">
        <v>1496</v>
      </c>
      <c r="D16646" s="18">
        <v>2021</v>
      </c>
      <c r="E16646" s="18"/>
      <c r="F16646" s="4">
        <v>1</v>
      </c>
      <c r="G16646" s="4">
        <v>150</v>
      </c>
      <c r="H16646" s="4">
        <v>32.366</v>
      </c>
      <c r="I16646" s="201"/>
      <c r="J16646" s="201"/>
    </row>
    <row r="16647" spans="1:10" s="15" customFormat="1" ht="19.5" hidden="1" customHeight="1" outlineLevel="1" x14ac:dyDescent="0.25">
      <c r="A16647" s="46">
        <v>9558</v>
      </c>
      <c r="B16647" s="4" t="s">
        <v>44</v>
      </c>
      <c r="C16647" s="22" t="s">
        <v>1497</v>
      </c>
      <c r="D16647" s="18">
        <v>2021</v>
      </c>
      <c r="E16647" s="18"/>
      <c r="F16647" s="4">
        <v>1</v>
      </c>
      <c r="G16647" s="4">
        <v>15</v>
      </c>
      <c r="H16647" s="4">
        <v>28.378</v>
      </c>
      <c r="I16647" s="201"/>
      <c r="J16647" s="201"/>
    </row>
    <row r="16648" spans="1:10" s="15" customFormat="1" ht="19.5" hidden="1" customHeight="1" outlineLevel="1" x14ac:dyDescent="0.25">
      <c r="A16648" s="46">
        <v>9233</v>
      </c>
      <c r="B16648" s="4" t="s">
        <v>44</v>
      </c>
      <c r="C16648" s="22" t="s">
        <v>1498</v>
      </c>
      <c r="D16648" s="18">
        <v>2021</v>
      </c>
      <c r="E16648" s="18"/>
      <c r="F16648" s="4">
        <v>1</v>
      </c>
      <c r="G16648" s="4">
        <v>30</v>
      </c>
      <c r="H16648" s="4">
        <v>31.352</v>
      </c>
      <c r="I16648" s="201"/>
      <c r="J16648" s="201"/>
    </row>
    <row r="16649" spans="1:10" s="15" customFormat="1" ht="19.5" hidden="1" customHeight="1" outlineLevel="1" x14ac:dyDescent="0.25">
      <c r="A16649" s="46">
        <v>9232</v>
      </c>
      <c r="B16649" s="4" t="s">
        <v>44</v>
      </c>
      <c r="C16649" s="22" t="s">
        <v>1499</v>
      </c>
      <c r="D16649" s="18">
        <v>2021</v>
      </c>
      <c r="E16649" s="18"/>
      <c r="F16649" s="4">
        <v>1</v>
      </c>
      <c r="G16649" s="4">
        <v>30</v>
      </c>
      <c r="H16649" s="4">
        <v>29.271999999999998</v>
      </c>
      <c r="I16649" s="201"/>
      <c r="J16649" s="201"/>
    </row>
    <row r="16650" spans="1:10" s="15" customFormat="1" ht="19.5" hidden="1" customHeight="1" outlineLevel="1" x14ac:dyDescent="0.25">
      <c r="A16650" s="46">
        <v>9682</v>
      </c>
      <c r="B16650" s="4" t="s">
        <v>44</v>
      </c>
      <c r="C16650" s="22" t="s">
        <v>86</v>
      </c>
      <c r="D16650" s="18">
        <v>2021</v>
      </c>
      <c r="E16650" s="18"/>
      <c r="F16650" s="4">
        <v>1</v>
      </c>
      <c r="G16650" s="4">
        <v>15</v>
      </c>
      <c r="H16650" s="4">
        <v>29.013999999999999</v>
      </c>
      <c r="I16650" s="201"/>
      <c r="J16650" s="201"/>
    </row>
    <row r="16651" spans="1:10" s="15" customFormat="1" ht="19.5" hidden="1" customHeight="1" outlineLevel="1" x14ac:dyDescent="0.25">
      <c r="A16651" s="46">
        <v>9434</v>
      </c>
      <c r="B16651" s="4" t="s">
        <v>44</v>
      </c>
      <c r="C16651" s="22" t="s">
        <v>87</v>
      </c>
      <c r="D16651" s="18">
        <v>2021</v>
      </c>
      <c r="E16651" s="18"/>
      <c r="F16651" s="4">
        <v>1</v>
      </c>
      <c r="G16651" s="4">
        <v>15</v>
      </c>
      <c r="H16651" s="4">
        <v>27.908999999999999</v>
      </c>
      <c r="I16651" s="201"/>
      <c r="J16651" s="201"/>
    </row>
    <row r="16652" spans="1:10" s="15" customFormat="1" ht="19.5" hidden="1" customHeight="1" outlineLevel="1" x14ac:dyDescent="0.25">
      <c r="A16652" s="46">
        <v>10053</v>
      </c>
      <c r="B16652" s="4" t="s">
        <v>44</v>
      </c>
      <c r="C16652" s="22" t="s">
        <v>1500</v>
      </c>
      <c r="D16652" s="18">
        <v>2021</v>
      </c>
      <c r="E16652" s="18"/>
      <c r="F16652" s="4">
        <v>1</v>
      </c>
      <c r="G16652" s="4">
        <v>14</v>
      </c>
      <c r="H16652" s="4">
        <v>28.36</v>
      </c>
      <c r="I16652" s="201"/>
      <c r="J16652" s="201"/>
    </row>
    <row r="16653" spans="1:10" s="15" customFormat="1" ht="19.5" hidden="1" customHeight="1" outlineLevel="1" x14ac:dyDescent="0.25">
      <c r="A16653" s="46">
        <v>10099</v>
      </c>
      <c r="B16653" s="4" t="s">
        <v>44</v>
      </c>
      <c r="C16653" s="22" t="s">
        <v>1501</v>
      </c>
      <c r="D16653" s="18">
        <v>2021</v>
      </c>
      <c r="E16653" s="18"/>
      <c r="F16653" s="4">
        <v>1</v>
      </c>
      <c r="G16653" s="4">
        <v>14</v>
      </c>
      <c r="H16653" s="4">
        <v>24.640999999999998</v>
      </c>
      <c r="I16653" s="201"/>
      <c r="J16653" s="201"/>
    </row>
    <row r="16654" spans="1:10" s="15" customFormat="1" ht="19.5" hidden="1" customHeight="1" outlineLevel="1" x14ac:dyDescent="0.25">
      <c r="A16654" s="46">
        <v>10252</v>
      </c>
      <c r="B16654" s="4" t="s">
        <v>44</v>
      </c>
      <c r="C16654" s="22" t="s">
        <v>1502</v>
      </c>
      <c r="D16654" s="18">
        <v>2021</v>
      </c>
      <c r="E16654" s="18"/>
      <c r="F16654" s="4">
        <v>1</v>
      </c>
      <c r="G16654" s="4">
        <v>15</v>
      </c>
      <c r="H16654" s="4">
        <v>24.260999999999999</v>
      </c>
      <c r="I16654" s="201"/>
      <c r="J16654" s="201"/>
    </row>
    <row r="16655" spans="1:10" s="15" customFormat="1" ht="19.5" hidden="1" customHeight="1" outlineLevel="1" x14ac:dyDescent="0.25">
      <c r="A16655" s="46">
        <v>9435</v>
      </c>
      <c r="B16655" s="4" t="s">
        <v>44</v>
      </c>
      <c r="C16655" s="22" t="s">
        <v>88</v>
      </c>
      <c r="D16655" s="18">
        <v>2021</v>
      </c>
      <c r="E16655" s="18"/>
      <c r="F16655" s="4">
        <v>1</v>
      </c>
      <c r="G16655" s="4">
        <v>15</v>
      </c>
      <c r="H16655" s="4">
        <v>23.748000000000001</v>
      </c>
      <c r="I16655" s="201"/>
      <c r="J16655" s="201"/>
    </row>
    <row r="16656" spans="1:10" s="15" customFormat="1" ht="19.5" hidden="1" customHeight="1" outlineLevel="1" x14ac:dyDescent="0.25">
      <c r="A16656" s="46">
        <v>10121</v>
      </c>
      <c r="B16656" s="4" t="s">
        <v>44</v>
      </c>
      <c r="C16656" s="22" t="s">
        <v>1503</v>
      </c>
      <c r="D16656" s="18">
        <v>2021</v>
      </c>
      <c r="E16656" s="18"/>
      <c r="F16656" s="4">
        <v>1</v>
      </c>
      <c r="G16656" s="4">
        <v>15</v>
      </c>
      <c r="H16656" s="4">
        <v>26.657</v>
      </c>
      <c r="I16656" s="201"/>
      <c r="J16656" s="201"/>
    </row>
    <row r="16657" spans="1:10" s="15" customFormat="1" ht="19.5" hidden="1" customHeight="1" outlineLevel="1" x14ac:dyDescent="0.25">
      <c r="A16657" s="46">
        <v>10139</v>
      </c>
      <c r="B16657" s="4" t="s">
        <v>44</v>
      </c>
      <c r="C16657" s="22" t="s">
        <v>1504</v>
      </c>
      <c r="D16657" s="18">
        <v>2021</v>
      </c>
      <c r="E16657" s="18"/>
      <c r="F16657" s="4">
        <v>1</v>
      </c>
      <c r="G16657" s="4">
        <v>15</v>
      </c>
      <c r="H16657" s="4">
        <v>25.574000000000002</v>
      </c>
      <c r="I16657" s="201"/>
      <c r="J16657" s="201"/>
    </row>
    <row r="16658" spans="1:10" s="15" customFormat="1" ht="19.5" hidden="1" customHeight="1" outlineLevel="1" x14ac:dyDescent="0.25">
      <c r="A16658" s="18">
        <v>245</v>
      </c>
      <c r="B16658" s="4" t="s">
        <v>44</v>
      </c>
      <c r="C16658" s="22" t="s">
        <v>1062</v>
      </c>
      <c r="D16658" s="18">
        <v>2021</v>
      </c>
      <c r="E16658" s="18"/>
      <c r="F16658" s="4">
        <v>1</v>
      </c>
      <c r="G16658" s="4">
        <v>25</v>
      </c>
      <c r="H16658" s="4">
        <v>25.68</v>
      </c>
      <c r="I16658" s="201"/>
      <c r="J16658" s="201"/>
    </row>
    <row r="16659" spans="1:10" s="15" customFormat="1" ht="19.5" hidden="1" customHeight="1" outlineLevel="1" x14ac:dyDescent="0.25">
      <c r="A16659" s="45">
        <v>836</v>
      </c>
      <c r="B16659" s="4" t="s">
        <v>44</v>
      </c>
      <c r="C16659" s="22" t="s">
        <v>255</v>
      </c>
      <c r="D16659" s="18">
        <v>2021</v>
      </c>
      <c r="E16659" s="18"/>
      <c r="F16659" s="4">
        <v>4</v>
      </c>
      <c r="G16659" s="4">
        <v>150</v>
      </c>
      <c r="H16659" s="4">
        <v>151.77000000000001</v>
      </c>
      <c r="I16659" s="201"/>
      <c r="J16659" s="201"/>
    </row>
    <row r="16660" spans="1:10" s="15" customFormat="1" ht="19.5" hidden="1" customHeight="1" outlineLevel="1" x14ac:dyDescent="0.25">
      <c r="A16660" s="46">
        <v>9093</v>
      </c>
      <c r="B16660" s="4" t="s">
        <v>44</v>
      </c>
      <c r="C16660" s="22" t="s">
        <v>378</v>
      </c>
      <c r="D16660" s="18">
        <v>2021</v>
      </c>
      <c r="E16660" s="18"/>
      <c r="F16660" s="4">
        <v>1</v>
      </c>
      <c r="G16660" s="4" t="s">
        <v>363</v>
      </c>
      <c r="H16660" s="4">
        <v>64</v>
      </c>
      <c r="I16660" s="201"/>
      <c r="J16660" s="201"/>
    </row>
    <row r="16661" spans="1:10" s="15" customFormat="1" ht="19.5" hidden="1" customHeight="1" outlineLevel="1" x14ac:dyDescent="0.25">
      <c r="A16661" s="46">
        <v>9261</v>
      </c>
      <c r="B16661" s="4" t="s">
        <v>44</v>
      </c>
      <c r="C16661" s="22" t="s">
        <v>1505</v>
      </c>
      <c r="D16661" s="18">
        <v>2021</v>
      </c>
      <c r="E16661" s="18"/>
      <c r="F16661" s="4">
        <v>1</v>
      </c>
      <c r="G16661" s="4" t="s">
        <v>358</v>
      </c>
      <c r="H16661" s="4">
        <v>100</v>
      </c>
      <c r="I16661" s="201"/>
      <c r="J16661" s="201"/>
    </row>
    <row r="16662" spans="1:10" s="15" customFormat="1" ht="19.5" hidden="1" customHeight="1" outlineLevel="1" x14ac:dyDescent="0.25">
      <c r="A16662" s="46">
        <v>9258</v>
      </c>
      <c r="B16662" s="4" t="s">
        <v>44</v>
      </c>
      <c r="C16662" s="22" t="s">
        <v>1506</v>
      </c>
      <c r="D16662" s="18">
        <v>2021</v>
      </c>
      <c r="E16662" s="18"/>
      <c r="F16662" s="4">
        <v>1</v>
      </c>
      <c r="G16662" s="4" t="s">
        <v>358</v>
      </c>
      <c r="H16662" s="4">
        <v>98</v>
      </c>
      <c r="I16662" s="201"/>
      <c r="J16662" s="201"/>
    </row>
    <row r="16663" spans="1:10" s="15" customFormat="1" ht="19.5" hidden="1" customHeight="1" outlineLevel="1" x14ac:dyDescent="0.25">
      <c r="A16663" s="46">
        <v>9248</v>
      </c>
      <c r="B16663" s="4" t="s">
        <v>44</v>
      </c>
      <c r="C16663" s="22" t="s">
        <v>1507</v>
      </c>
      <c r="D16663" s="18">
        <v>2021</v>
      </c>
      <c r="E16663" s="18"/>
      <c r="F16663" s="4">
        <v>1</v>
      </c>
      <c r="G16663" s="4" t="s">
        <v>358</v>
      </c>
      <c r="H16663" s="4">
        <v>94</v>
      </c>
      <c r="I16663" s="201"/>
      <c r="J16663" s="201"/>
    </row>
    <row r="16664" spans="1:10" s="15" customFormat="1" ht="19.5" hidden="1" customHeight="1" outlineLevel="1" x14ac:dyDescent="0.25">
      <c r="A16664" s="46">
        <v>9145</v>
      </c>
      <c r="B16664" s="4" t="s">
        <v>44</v>
      </c>
      <c r="C16664" s="22" t="s">
        <v>1508</v>
      </c>
      <c r="D16664" s="18">
        <v>2021</v>
      </c>
      <c r="E16664" s="18"/>
      <c r="F16664" s="4">
        <v>1</v>
      </c>
      <c r="G16664" s="4" t="s">
        <v>358</v>
      </c>
      <c r="H16664" s="4">
        <v>85</v>
      </c>
      <c r="I16664" s="201"/>
      <c r="J16664" s="201"/>
    </row>
    <row r="16665" spans="1:10" s="15" customFormat="1" ht="19.5" hidden="1" customHeight="1" outlineLevel="1" x14ac:dyDescent="0.25">
      <c r="A16665" s="46">
        <v>9143</v>
      </c>
      <c r="B16665" s="4" t="s">
        <v>44</v>
      </c>
      <c r="C16665" s="22" t="s">
        <v>1509</v>
      </c>
      <c r="D16665" s="18">
        <v>2021</v>
      </c>
      <c r="E16665" s="18"/>
      <c r="F16665" s="4">
        <v>1</v>
      </c>
      <c r="G16665" s="4" t="s">
        <v>358</v>
      </c>
      <c r="H16665" s="4">
        <v>102</v>
      </c>
      <c r="I16665" s="201"/>
      <c r="J16665" s="201"/>
    </row>
    <row r="16666" spans="1:10" s="15" customFormat="1" ht="19.5" hidden="1" customHeight="1" outlineLevel="1" x14ac:dyDescent="0.25">
      <c r="A16666" s="46">
        <v>9253</v>
      </c>
      <c r="B16666" s="4" t="s">
        <v>44</v>
      </c>
      <c r="C16666" s="22" t="s">
        <v>1510</v>
      </c>
      <c r="D16666" s="18">
        <v>2021</v>
      </c>
      <c r="E16666" s="18"/>
      <c r="F16666" s="4">
        <v>1</v>
      </c>
      <c r="G16666" s="4" t="s">
        <v>358</v>
      </c>
      <c r="H16666" s="4">
        <v>97</v>
      </c>
      <c r="I16666" s="201"/>
      <c r="J16666" s="201"/>
    </row>
    <row r="16667" spans="1:10" s="15" customFormat="1" ht="19.5" hidden="1" customHeight="1" outlineLevel="1" x14ac:dyDescent="0.25">
      <c r="A16667" s="46">
        <v>9728</v>
      </c>
      <c r="B16667" s="4" t="s">
        <v>44</v>
      </c>
      <c r="C16667" s="22" t="s">
        <v>93</v>
      </c>
      <c r="D16667" s="18">
        <v>2021</v>
      </c>
      <c r="E16667" s="18"/>
      <c r="F16667" s="4">
        <v>1</v>
      </c>
      <c r="G16667" s="4" t="s">
        <v>363</v>
      </c>
      <c r="H16667" s="4">
        <v>15</v>
      </c>
      <c r="I16667" s="201"/>
      <c r="J16667" s="201"/>
    </row>
    <row r="16668" spans="1:10" s="15" customFormat="1" ht="19.5" hidden="1" customHeight="1" outlineLevel="1" x14ac:dyDescent="0.25">
      <c r="A16668" s="46">
        <v>9249</v>
      </c>
      <c r="B16668" s="4" t="s">
        <v>44</v>
      </c>
      <c r="C16668" s="22" t="s">
        <v>1511</v>
      </c>
      <c r="D16668" s="18">
        <v>2021</v>
      </c>
      <c r="E16668" s="18"/>
      <c r="F16668" s="4">
        <v>1</v>
      </c>
      <c r="G16668" s="4" t="s">
        <v>358</v>
      </c>
      <c r="H16668" s="4">
        <v>99</v>
      </c>
      <c r="I16668" s="201"/>
      <c r="J16668" s="201"/>
    </row>
    <row r="16669" spans="1:10" s="15" customFormat="1" ht="19.5" hidden="1" customHeight="1" outlineLevel="1" x14ac:dyDescent="0.25">
      <c r="A16669" s="46">
        <v>9252</v>
      </c>
      <c r="B16669" s="4" t="s">
        <v>44</v>
      </c>
      <c r="C16669" s="22" t="s">
        <v>1512</v>
      </c>
      <c r="D16669" s="18">
        <v>2021</v>
      </c>
      <c r="E16669" s="18"/>
      <c r="F16669" s="4">
        <v>1</v>
      </c>
      <c r="G16669" s="4" t="s">
        <v>358</v>
      </c>
      <c r="H16669" s="4">
        <v>98</v>
      </c>
      <c r="I16669" s="201"/>
      <c r="J16669" s="201"/>
    </row>
    <row r="16670" spans="1:10" s="15" customFormat="1" ht="19.5" hidden="1" customHeight="1" outlineLevel="1" x14ac:dyDescent="0.25">
      <c r="A16670" s="46">
        <v>10033</v>
      </c>
      <c r="B16670" s="4" t="s">
        <v>44</v>
      </c>
      <c r="C16670" s="22" t="s">
        <v>1513</v>
      </c>
      <c r="D16670" s="18">
        <v>2021</v>
      </c>
      <c r="E16670" s="18"/>
      <c r="F16670" s="4">
        <v>1</v>
      </c>
      <c r="G16670" s="4" t="s">
        <v>358</v>
      </c>
      <c r="H16670" s="4">
        <v>97</v>
      </c>
      <c r="I16670" s="201"/>
      <c r="J16670" s="201"/>
    </row>
    <row r="16671" spans="1:10" s="15" customFormat="1" ht="19.5" hidden="1" customHeight="1" outlineLevel="1" x14ac:dyDescent="0.25">
      <c r="A16671" s="46">
        <v>10037</v>
      </c>
      <c r="B16671" s="4" t="s">
        <v>44</v>
      </c>
      <c r="C16671" s="22" t="s">
        <v>1514</v>
      </c>
      <c r="D16671" s="18">
        <v>2021</v>
      </c>
      <c r="E16671" s="18"/>
      <c r="F16671" s="4">
        <v>1</v>
      </c>
      <c r="G16671" s="4" t="s">
        <v>358</v>
      </c>
      <c r="H16671" s="4">
        <v>96</v>
      </c>
      <c r="I16671" s="201"/>
      <c r="J16671" s="201"/>
    </row>
    <row r="16672" spans="1:10" s="15" customFormat="1" ht="19.5" hidden="1" customHeight="1" outlineLevel="1" x14ac:dyDescent="0.25">
      <c r="A16672" s="46">
        <v>10038</v>
      </c>
      <c r="B16672" s="4" t="s">
        <v>44</v>
      </c>
      <c r="C16672" s="22" t="s">
        <v>1515</v>
      </c>
      <c r="D16672" s="18">
        <v>2021</v>
      </c>
      <c r="E16672" s="18"/>
      <c r="F16672" s="4">
        <v>1</v>
      </c>
      <c r="G16672" s="4" t="s">
        <v>358</v>
      </c>
      <c r="H16672" s="4">
        <v>97</v>
      </c>
      <c r="I16672" s="201"/>
      <c r="J16672" s="201"/>
    </row>
    <row r="16673" spans="1:10" s="15" customFormat="1" ht="19.5" hidden="1" customHeight="1" outlineLevel="1" x14ac:dyDescent="0.25">
      <c r="A16673" s="46">
        <v>10040</v>
      </c>
      <c r="B16673" s="4" t="s">
        <v>44</v>
      </c>
      <c r="C16673" s="22" t="s">
        <v>1516</v>
      </c>
      <c r="D16673" s="18">
        <v>2021</v>
      </c>
      <c r="E16673" s="18"/>
      <c r="F16673" s="4">
        <v>1</v>
      </c>
      <c r="G16673" s="4">
        <v>15</v>
      </c>
      <c r="H16673" s="4">
        <v>96</v>
      </c>
      <c r="I16673" s="201"/>
      <c r="J16673" s="201"/>
    </row>
    <row r="16674" spans="1:10" s="15" customFormat="1" ht="19.5" hidden="1" customHeight="1" outlineLevel="1" x14ac:dyDescent="0.25">
      <c r="A16674" s="46">
        <v>9144</v>
      </c>
      <c r="B16674" s="4" t="s">
        <v>44</v>
      </c>
      <c r="C16674" s="22" t="s">
        <v>1517</v>
      </c>
      <c r="D16674" s="18">
        <v>2021</v>
      </c>
      <c r="E16674" s="18"/>
      <c r="F16674" s="4">
        <v>1</v>
      </c>
      <c r="G16674" s="4" t="s">
        <v>358</v>
      </c>
      <c r="H16674" s="4">
        <v>89</v>
      </c>
      <c r="I16674" s="201"/>
      <c r="J16674" s="201"/>
    </row>
    <row r="16675" spans="1:10" s="15" customFormat="1" ht="19.5" hidden="1" customHeight="1" outlineLevel="1" x14ac:dyDescent="0.25">
      <c r="A16675" s="46">
        <v>9247</v>
      </c>
      <c r="B16675" s="4" t="s">
        <v>44</v>
      </c>
      <c r="C16675" s="22" t="s">
        <v>1518</v>
      </c>
      <c r="D16675" s="18">
        <v>2021</v>
      </c>
      <c r="E16675" s="18"/>
      <c r="F16675" s="4">
        <v>1</v>
      </c>
      <c r="G16675" s="4" t="s">
        <v>358</v>
      </c>
      <c r="H16675" s="4">
        <v>100</v>
      </c>
      <c r="I16675" s="201"/>
      <c r="J16675" s="201"/>
    </row>
    <row r="16676" spans="1:10" s="15" customFormat="1" ht="19.5" hidden="1" customHeight="1" outlineLevel="1" x14ac:dyDescent="0.25">
      <c r="A16676" s="46">
        <v>10027</v>
      </c>
      <c r="B16676" s="4" t="s">
        <v>44</v>
      </c>
      <c r="C16676" s="22" t="s">
        <v>1519</v>
      </c>
      <c r="D16676" s="18">
        <v>2021</v>
      </c>
      <c r="E16676" s="18"/>
      <c r="F16676" s="4">
        <v>1</v>
      </c>
      <c r="G16676" s="4" t="s">
        <v>358</v>
      </c>
      <c r="H16676" s="4">
        <v>80</v>
      </c>
      <c r="I16676" s="201"/>
      <c r="J16676" s="201"/>
    </row>
    <row r="16677" spans="1:10" s="15" customFormat="1" ht="19.5" hidden="1" customHeight="1" outlineLevel="1" x14ac:dyDescent="0.25">
      <c r="A16677" s="46">
        <v>9255</v>
      </c>
      <c r="B16677" s="4" t="s">
        <v>44</v>
      </c>
      <c r="C16677" s="22" t="s">
        <v>1520</v>
      </c>
      <c r="D16677" s="18">
        <v>2021</v>
      </c>
      <c r="E16677" s="18"/>
      <c r="F16677" s="4">
        <v>1</v>
      </c>
      <c r="G16677" s="4" t="s">
        <v>358</v>
      </c>
      <c r="H16677" s="4">
        <v>89</v>
      </c>
      <c r="I16677" s="201"/>
      <c r="J16677" s="201"/>
    </row>
    <row r="16678" spans="1:10" s="15" customFormat="1" ht="19.5" hidden="1" customHeight="1" outlineLevel="1" x14ac:dyDescent="0.25">
      <c r="A16678" s="46">
        <v>10031</v>
      </c>
      <c r="B16678" s="4" t="s">
        <v>44</v>
      </c>
      <c r="C16678" s="22" t="s">
        <v>1521</v>
      </c>
      <c r="D16678" s="18">
        <v>2021</v>
      </c>
      <c r="E16678" s="18"/>
      <c r="F16678" s="4">
        <v>1</v>
      </c>
      <c r="G16678" s="4" t="s">
        <v>109</v>
      </c>
      <c r="H16678" s="4">
        <v>97</v>
      </c>
      <c r="I16678" s="201"/>
      <c r="J16678" s="201"/>
    </row>
    <row r="16679" spans="1:10" s="15" customFormat="1" ht="19.5" hidden="1" customHeight="1" outlineLevel="1" x14ac:dyDescent="0.25">
      <c r="A16679" s="46">
        <v>10046</v>
      </c>
      <c r="B16679" s="4" t="s">
        <v>44</v>
      </c>
      <c r="C16679" s="78" t="s">
        <v>1522</v>
      </c>
      <c r="D16679" s="18">
        <v>2021</v>
      </c>
      <c r="E16679" s="18"/>
      <c r="F16679" s="4">
        <v>1</v>
      </c>
      <c r="G16679" s="4" t="s">
        <v>109</v>
      </c>
      <c r="H16679" s="4">
        <v>69</v>
      </c>
      <c r="I16679" s="201"/>
      <c r="J16679" s="201"/>
    </row>
    <row r="16680" spans="1:10" s="15" customFormat="1" ht="19.5" hidden="1" customHeight="1" outlineLevel="1" x14ac:dyDescent="0.25">
      <c r="A16680" s="46">
        <v>10030</v>
      </c>
      <c r="B16680" s="4" t="s">
        <v>44</v>
      </c>
      <c r="C16680" s="22" t="s">
        <v>1523</v>
      </c>
      <c r="D16680" s="18">
        <v>2021</v>
      </c>
      <c r="E16680" s="18"/>
      <c r="F16680" s="4">
        <v>1</v>
      </c>
      <c r="G16680" s="4" t="s">
        <v>358</v>
      </c>
      <c r="H16680" s="4">
        <v>101</v>
      </c>
      <c r="I16680" s="201"/>
      <c r="J16680" s="201"/>
    </row>
    <row r="16681" spans="1:10" s="15" customFormat="1" ht="19.5" hidden="1" customHeight="1" outlineLevel="1" x14ac:dyDescent="0.25">
      <c r="A16681" s="46">
        <v>10032</v>
      </c>
      <c r="B16681" s="4" t="s">
        <v>44</v>
      </c>
      <c r="C16681" s="22" t="s">
        <v>1524</v>
      </c>
      <c r="D16681" s="18">
        <v>2021</v>
      </c>
      <c r="E16681" s="18"/>
      <c r="F16681" s="4">
        <v>1</v>
      </c>
      <c r="G16681" s="4" t="s">
        <v>358</v>
      </c>
      <c r="H16681" s="4">
        <v>96</v>
      </c>
      <c r="I16681" s="201"/>
      <c r="J16681" s="201"/>
    </row>
    <row r="16682" spans="1:10" s="15" customFormat="1" ht="19.5" hidden="1" customHeight="1" outlineLevel="1" x14ac:dyDescent="0.25">
      <c r="A16682" s="45">
        <v>1197</v>
      </c>
      <c r="B16682" s="4" t="s">
        <v>44</v>
      </c>
      <c r="C16682" s="22" t="s">
        <v>387</v>
      </c>
      <c r="D16682" s="18">
        <v>2021</v>
      </c>
      <c r="E16682" s="18"/>
      <c r="F16682" s="4">
        <v>1</v>
      </c>
      <c r="G16682" s="4" t="s">
        <v>358</v>
      </c>
      <c r="H16682" s="4">
        <v>50</v>
      </c>
      <c r="I16682" s="201"/>
      <c r="J16682" s="201"/>
    </row>
    <row r="16683" spans="1:10" s="15" customFormat="1" ht="19.5" hidden="1" customHeight="1" outlineLevel="1" x14ac:dyDescent="0.25">
      <c r="A16683" s="45">
        <v>1262</v>
      </c>
      <c r="B16683" s="4" t="s">
        <v>44</v>
      </c>
      <c r="C16683" s="22" t="s">
        <v>391</v>
      </c>
      <c r="D16683" s="18">
        <v>2021</v>
      </c>
      <c r="E16683" s="18"/>
      <c r="F16683" s="4">
        <v>1</v>
      </c>
      <c r="G16683" s="4">
        <v>30</v>
      </c>
      <c r="H16683" s="4">
        <v>25</v>
      </c>
      <c r="I16683" s="201"/>
      <c r="J16683" s="201"/>
    </row>
    <row r="16684" spans="1:10" s="15" customFormat="1" ht="19.5" hidden="1" customHeight="1" outlineLevel="1" x14ac:dyDescent="0.25">
      <c r="A16684" s="45">
        <v>1199</v>
      </c>
      <c r="B16684" s="4" t="s">
        <v>44</v>
      </c>
      <c r="C16684" s="22" t="s">
        <v>813</v>
      </c>
      <c r="D16684" s="18">
        <v>2021</v>
      </c>
      <c r="E16684" s="18"/>
      <c r="F16684" s="4">
        <v>1</v>
      </c>
      <c r="G16684" s="4" t="s">
        <v>806</v>
      </c>
      <c r="H16684" s="4">
        <v>47</v>
      </c>
      <c r="I16684" s="201"/>
      <c r="J16684" s="201"/>
    </row>
    <row r="16685" spans="1:10" s="15" customFormat="1" ht="19.5" hidden="1" customHeight="1" outlineLevel="1" x14ac:dyDescent="0.25">
      <c r="A16685" s="46">
        <v>10029</v>
      </c>
      <c r="B16685" s="4" t="s">
        <v>44</v>
      </c>
      <c r="C16685" s="22" t="s">
        <v>1525</v>
      </c>
      <c r="D16685" s="18">
        <v>2021</v>
      </c>
      <c r="E16685" s="18"/>
      <c r="F16685" s="4">
        <v>1</v>
      </c>
      <c r="G16685" s="4" t="s">
        <v>358</v>
      </c>
      <c r="H16685" s="4">
        <v>93</v>
      </c>
      <c r="I16685" s="201"/>
      <c r="J16685" s="201"/>
    </row>
    <row r="16686" spans="1:10" s="15" customFormat="1" ht="19.5" hidden="1" customHeight="1" outlineLevel="1" x14ac:dyDescent="0.25">
      <c r="A16686" s="46">
        <v>9776</v>
      </c>
      <c r="B16686" s="4" t="s">
        <v>44</v>
      </c>
      <c r="C16686" s="22" t="s">
        <v>404</v>
      </c>
      <c r="D16686" s="18">
        <v>2021</v>
      </c>
      <c r="E16686" s="18"/>
      <c r="F16686" s="4">
        <v>1</v>
      </c>
      <c r="G16686" s="4" t="s">
        <v>358</v>
      </c>
      <c r="H16686" s="4">
        <v>59</v>
      </c>
      <c r="I16686" s="201"/>
      <c r="J16686" s="201"/>
    </row>
    <row r="16687" spans="1:10" s="15" customFormat="1" ht="19.5" hidden="1" customHeight="1" outlineLevel="1" x14ac:dyDescent="0.25">
      <c r="A16687" s="46">
        <v>9702</v>
      </c>
      <c r="B16687" s="4" t="s">
        <v>44</v>
      </c>
      <c r="C16687" s="22" t="s">
        <v>405</v>
      </c>
      <c r="D16687" s="18">
        <v>2021</v>
      </c>
      <c r="E16687" s="18"/>
      <c r="F16687" s="4">
        <v>1</v>
      </c>
      <c r="G16687" s="4" t="s">
        <v>358</v>
      </c>
      <c r="H16687" s="4">
        <v>60</v>
      </c>
      <c r="I16687" s="201"/>
      <c r="J16687" s="201"/>
    </row>
    <row r="16688" spans="1:10" s="15" customFormat="1" ht="19.5" hidden="1" customHeight="1" outlineLevel="1" x14ac:dyDescent="0.25">
      <c r="A16688" s="46">
        <v>9719</v>
      </c>
      <c r="B16688" s="4" t="s">
        <v>44</v>
      </c>
      <c r="C16688" s="22" t="s">
        <v>406</v>
      </c>
      <c r="D16688" s="18">
        <v>2021</v>
      </c>
      <c r="E16688" s="18"/>
      <c r="F16688" s="4">
        <v>1</v>
      </c>
      <c r="G16688" s="4" t="s">
        <v>358</v>
      </c>
      <c r="H16688" s="4">
        <v>66</v>
      </c>
      <c r="I16688" s="201"/>
      <c r="J16688" s="201"/>
    </row>
    <row r="16689" spans="1:10" s="15" customFormat="1" ht="19.5" hidden="1" customHeight="1" outlineLevel="1" x14ac:dyDescent="0.25">
      <c r="A16689" s="46">
        <v>10050</v>
      </c>
      <c r="B16689" s="4" t="s">
        <v>44</v>
      </c>
      <c r="C16689" s="22" t="s">
        <v>1528</v>
      </c>
      <c r="D16689" s="18">
        <v>2021</v>
      </c>
      <c r="E16689" s="18"/>
      <c r="F16689" s="4">
        <v>1</v>
      </c>
      <c r="G16689" s="4" t="s">
        <v>393</v>
      </c>
      <c r="H16689" s="4">
        <v>98</v>
      </c>
      <c r="I16689" s="201"/>
      <c r="J16689" s="201"/>
    </row>
    <row r="16690" spans="1:10" s="15" customFormat="1" ht="19.5" hidden="1" customHeight="1" outlineLevel="1" x14ac:dyDescent="0.25">
      <c r="A16690" s="45">
        <v>1239</v>
      </c>
      <c r="B16690" s="4" t="s">
        <v>44</v>
      </c>
      <c r="C16690" s="22" t="s">
        <v>407</v>
      </c>
      <c r="D16690" s="18">
        <v>2021</v>
      </c>
      <c r="E16690" s="18"/>
      <c r="F16690" s="4">
        <v>1</v>
      </c>
      <c r="G16690" s="4" t="s">
        <v>358</v>
      </c>
      <c r="H16690" s="4">
        <v>29</v>
      </c>
      <c r="I16690" s="201"/>
      <c r="J16690" s="201"/>
    </row>
    <row r="16691" spans="1:10" s="15" customFormat="1" ht="19.5" hidden="1" customHeight="1" outlineLevel="1" x14ac:dyDescent="0.25">
      <c r="A16691" s="45">
        <v>1222</v>
      </c>
      <c r="B16691" s="4" t="s">
        <v>44</v>
      </c>
      <c r="C16691" s="22" t="s">
        <v>817</v>
      </c>
      <c r="D16691" s="18">
        <v>2021</v>
      </c>
      <c r="E16691" s="18"/>
      <c r="F16691" s="4">
        <v>1</v>
      </c>
      <c r="G16691" s="4" t="s">
        <v>358</v>
      </c>
      <c r="H16691" s="4">
        <v>33</v>
      </c>
      <c r="I16691" s="201"/>
      <c r="J16691" s="201"/>
    </row>
    <row r="16692" spans="1:10" s="15" customFormat="1" ht="19.5" hidden="1" customHeight="1" outlineLevel="1" x14ac:dyDescent="0.25">
      <c r="A16692" s="46">
        <v>9695</v>
      </c>
      <c r="B16692" s="4" t="s">
        <v>44</v>
      </c>
      <c r="C16692" s="22" t="s">
        <v>818</v>
      </c>
      <c r="D16692" s="18">
        <v>2021</v>
      </c>
      <c r="E16692" s="18"/>
      <c r="F16692" s="4">
        <v>1</v>
      </c>
      <c r="G16692" s="4" t="s">
        <v>358</v>
      </c>
      <c r="H16692" s="4">
        <v>32</v>
      </c>
      <c r="I16692" s="201"/>
      <c r="J16692" s="201"/>
    </row>
    <row r="16693" spans="1:10" s="15" customFormat="1" ht="19.5" hidden="1" customHeight="1" outlineLevel="1" x14ac:dyDescent="0.25">
      <c r="A16693" s="46">
        <v>9698</v>
      </c>
      <c r="B16693" s="4" t="s">
        <v>44</v>
      </c>
      <c r="C16693" s="22" t="s">
        <v>819</v>
      </c>
      <c r="D16693" s="18">
        <v>2021</v>
      </c>
      <c r="E16693" s="18"/>
      <c r="F16693" s="4">
        <v>1</v>
      </c>
      <c r="G16693" s="4" t="s">
        <v>358</v>
      </c>
      <c r="H16693" s="4">
        <v>38</v>
      </c>
      <c r="I16693" s="201"/>
      <c r="J16693" s="201"/>
    </row>
    <row r="16694" spans="1:10" s="15" customFormat="1" ht="19.5" hidden="1" customHeight="1" outlineLevel="1" x14ac:dyDescent="0.25">
      <c r="A16694" s="46">
        <v>9257</v>
      </c>
      <c r="B16694" s="4" t="s">
        <v>44</v>
      </c>
      <c r="C16694" s="22" t="s">
        <v>1529</v>
      </c>
      <c r="D16694" s="18">
        <v>2021</v>
      </c>
      <c r="E16694" s="18"/>
      <c r="F16694" s="4">
        <v>1</v>
      </c>
      <c r="G16694" s="4" t="s">
        <v>358</v>
      </c>
      <c r="H16694" s="4">
        <v>49</v>
      </c>
      <c r="I16694" s="201"/>
      <c r="J16694" s="201"/>
    </row>
    <row r="16695" spans="1:10" s="15" customFormat="1" ht="19.5" hidden="1" customHeight="1" outlineLevel="1" x14ac:dyDescent="0.25">
      <c r="A16695" s="46">
        <v>9250</v>
      </c>
      <c r="B16695" s="4" t="s">
        <v>44</v>
      </c>
      <c r="C16695" s="22" t="s">
        <v>1530</v>
      </c>
      <c r="D16695" s="18">
        <v>2021</v>
      </c>
      <c r="E16695" s="18"/>
      <c r="F16695" s="4">
        <v>1</v>
      </c>
      <c r="G16695" s="4" t="s">
        <v>358</v>
      </c>
      <c r="H16695" s="4">
        <v>47</v>
      </c>
      <c r="I16695" s="201"/>
      <c r="J16695" s="201"/>
    </row>
    <row r="16696" spans="1:10" s="15" customFormat="1" ht="19.5" hidden="1" customHeight="1" outlineLevel="1" x14ac:dyDescent="0.25">
      <c r="A16696" s="46">
        <v>9254</v>
      </c>
      <c r="B16696" s="4" t="s">
        <v>44</v>
      </c>
      <c r="C16696" s="22" t="s">
        <v>1531</v>
      </c>
      <c r="D16696" s="18">
        <v>2021</v>
      </c>
      <c r="E16696" s="18"/>
      <c r="F16696" s="4">
        <v>1</v>
      </c>
      <c r="G16696" s="4" t="s">
        <v>358</v>
      </c>
      <c r="H16696" s="4">
        <v>48</v>
      </c>
      <c r="I16696" s="201"/>
      <c r="J16696" s="201"/>
    </row>
    <row r="16697" spans="1:10" s="15" customFormat="1" ht="19.5" hidden="1" customHeight="1" outlineLevel="1" x14ac:dyDescent="0.25">
      <c r="A16697" s="46">
        <v>9800</v>
      </c>
      <c r="B16697" s="4" t="s">
        <v>44</v>
      </c>
      <c r="C16697" s="22" t="s">
        <v>409</v>
      </c>
      <c r="D16697" s="18">
        <v>2021</v>
      </c>
      <c r="E16697" s="18"/>
      <c r="F16697" s="4">
        <v>1</v>
      </c>
      <c r="G16697" s="4" t="s">
        <v>358</v>
      </c>
      <c r="H16697" s="4">
        <v>72</v>
      </c>
      <c r="I16697" s="201"/>
      <c r="J16697" s="201"/>
    </row>
    <row r="16698" spans="1:10" s="15" customFormat="1" ht="19.5" hidden="1" customHeight="1" outlineLevel="1" x14ac:dyDescent="0.25">
      <c r="A16698" s="46">
        <v>9723</v>
      </c>
      <c r="B16698" s="4" t="s">
        <v>44</v>
      </c>
      <c r="C16698" s="22" t="s">
        <v>103</v>
      </c>
      <c r="D16698" s="18">
        <v>2021</v>
      </c>
      <c r="E16698" s="18"/>
      <c r="F16698" s="4">
        <v>1</v>
      </c>
      <c r="G16698" s="4" t="s">
        <v>806</v>
      </c>
      <c r="H16698" s="4">
        <v>78</v>
      </c>
      <c r="I16698" s="201"/>
      <c r="J16698" s="201"/>
    </row>
    <row r="16699" spans="1:10" s="15" customFormat="1" ht="19.5" hidden="1" customHeight="1" outlineLevel="1" x14ac:dyDescent="0.25">
      <c r="A16699" s="46">
        <v>9724</v>
      </c>
      <c r="B16699" s="4" t="s">
        <v>44</v>
      </c>
      <c r="C16699" s="22" t="s">
        <v>104</v>
      </c>
      <c r="D16699" s="18">
        <v>2021</v>
      </c>
      <c r="E16699" s="18"/>
      <c r="F16699" s="4">
        <v>1</v>
      </c>
      <c r="G16699" s="4" t="s">
        <v>806</v>
      </c>
      <c r="H16699" s="4">
        <v>79</v>
      </c>
      <c r="I16699" s="201"/>
      <c r="J16699" s="201"/>
    </row>
    <row r="16700" spans="1:10" s="15" customFormat="1" ht="19.5" hidden="1" customHeight="1" outlineLevel="1" x14ac:dyDescent="0.25">
      <c r="A16700" s="46">
        <v>10035</v>
      </c>
      <c r="B16700" s="4" t="s">
        <v>44</v>
      </c>
      <c r="C16700" s="22" t="s">
        <v>1532</v>
      </c>
      <c r="D16700" s="18">
        <v>2021</v>
      </c>
      <c r="E16700" s="18"/>
      <c r="F16700" s="4">
        <v>1</v>
      </c>
      <c r="G16700" s="4" t="s">
        <v>358</v>
      </c>
      <c r="H16700" s="4">
        <v>52</v>
      </c>
      <c r="I16700" s="201"/>
      <c r="J16700" s="201"/>
    </row>
    <row r="16701" spans="1:10" s="15" customFormat="1" ht="19.5" hidden="1" customHeight="1" outlineLevel="1" x14ac:dyDescent="0.25">
      <c r="A16701" s="46">
        <v>9137</v>
      </c>
      <c r="B16701" s="4" t="s">
        <v>44</v>
      </c>
      <c r="C16701" s="22" t="s">
        <v>1533</v>
      </c>
      <c r="D16701" s="18">
        <v>2021</v>
      </c>
      <c r="E16701" s="18"/>
      <c r="F16701" s="4">
        <v>1</v>
      </c>
      <c r="G16701" s="4" t="s">
        <v>109</v>
      </c>
      <c r="H16701" s="4">
        <v>53</v>
      </c>
      <c r="I16701" s="201"/>
      <c r="J16701" s="201"/>
    </row>
    <row r="16702" spans="1:10" s="15" customFormat="1" ht="19.5" hidden="1" customHeight="1" outlineLevel="1" x14ac:dyDescent="0.25">
      <c r="A16702" s="45">
        <v>9</v>
      </c>
      <c r="B16702" s="4" t="s">
        <v>44</v>
      </c>
      <c r="C16702" s="22" t="s">
        <v>1534</v>
      </c>
      <c r="D16702" s="18">
        <v>2021</v>
      </c>
      <c r="E16702" s="18"/>
      <c r="F16702" s="4">
        <v>1</v>
      </c>
      <c r="G16702" s="4" t="s">
        <v>358</v>
      </c>
      <c r="H16702" s="4">
        <v>53</v>
      </c>
      <c r="I16702" s="201"/>
      <c r="J16702" s="201"/>
    </row>
    <row r="16703" spans="1:10" s="15" customFormat="1" ht="19.5" hidden="1" customHeight="1" outlineLevel="1" x14ac:dyDescent="0.25">
      <c r="A16703" s="45">
        <v>1227</v>
      </c>
      <c r="B16703" s="4" t="s">
        <v>44</v>
      </c>
      <c r="C16703" s="22" t="s">
        <v>410</v>
      </c>
      <c r="D16703" s="18">
        <v>2021</v>
      </c>
      <c r="E16703" s="18"/>
      <c r="F16703" s="4">
        <v>1</v>
      </c>
      <c r="G16703" s="4" t="s">
        <v>358</v>
      </c>
      <c r="H16703" s="4">
        <v>71</v>
      </c>
      <c r="I16703" s="201"/>
      <c r="J16703" s="201"/>
    </row>
    <row r="16704" spans="1:10" s="15" customFormat="1" ht="19.5" hidden="1" customHeight="1" outlineLevel="1" x14ac:dyDescent="0.25">
      <c r="A16704" s="46">
        <v>9697</v>
      </c>
      <c r="B16704" s="4" t="s">
        <v>44</v>
      </c>
      <c r="C16704" s="22" t="s">
        <v>411</v>
      </c>
      <c r="D16704" s="18">
        <v>2021</v>
      </c>
      <c r="E16704" s="18"/>
      <c r="F16704" s="4">
        <v>1</v>
      </c>
      <c r="G16704" s="4" t="s">
        <v>358</v>
      </c>
      <c r="H16704" s="4">
        <v>80</v>
      </c>
      <c r="I16704" s="201"/>
      <c r="J16704" s="201"/>
    </row>
    <row r="16705" spans="1:10" s="15" customFormat="1" ht="19.5" hidden="1" customHeight="1" outlineLevel="1" x14ac:dyDescent="0.25">
      <c r="A16705" s="46">
        <v>9700</v>
      </c>
      <c r="B16705" s="4" t="s">
        <v>44</v>
      </c>
      <c r="C16705" s="22" t="s">
        <v>412</v>
      </c>
      <c r="D16705" s="18">
        <v>2021</v>
      </c>
      <c r="E16705" s="18"/>
      <c r="F16705" s="4">
        <v>1</v>
      </c>
      <c r="G16705" s="4" t="s">
        <v>358</v>
      </c>
      <c r="H16705" s="4">
        <v>81</v>
      </c>
      <c r="I16705" s="201"/>
      <c r="J16705" s="201"/>
    </row>
    <row r="16706" spans="1:10" s="15" customFormat="1" ht="19.5" hidden="1" customHeight="1" outlineLevel="1" x14ac:dyDescent="0.25">
      <c r="A16706" s="46">
        <v>9709</v>
      </c>
      <c r="B16706" s="4" t="s">
        <v>44</v>
      </c>
      <c r="C16706" s="22" t="s">
        <v>413</v>
      </c>
      <c r="D16706" s="18">
        <v>2021</v>
      </c>
      <c r="E16706" s="18"/>
      <c r="F16706" s="4">
        <v>1</v>
      </c>
      <c r="G16706" s="4" t="s">
        <v>358</v>
      </c>
      <c r="H16706" s="4">
        <v>75</v>
      </c>
      <c r="I16706" s="201"/>
      <c r="J16706" s="201"/>
    </row>
    <row r="16707" spans="1:10" s="15" customFormat="1" ht="19.5" hidden="1" customHeight="1" outlineLevel="1" x14ac:dyDescent="0.25">
      <c r="A16707" s="46">
        <v>10036</v>
      </c>
      <c r="B16707" s="4" t="s">
        <v>44</v>
      </c>
      <c r="C16707" s="22" t="s">
        <v>1535</v>
      </c>
      <c r="D16707" s="18">
        <v>2021</v>
      </c>
      <c r="E16707" s="18"/>
      <c r="F16707" s="4">
        <v>1</v>
      </c>
      <c r="G16707" s="4" t="s">
        <v>358</v>
      </c>
      <c r="H16707" s="4">
        <v>69</v>
      </c>
      <c r="I16707" s="201"/>
      <c r="J16707" s="201"/>
    </row>
    <row r="16708" spans="1:10" s="15" customFormat="1" ht="19.5" hidden="1" customHeight="1" outlineLevel="1" x14ac:dyDescent="0.25">
      <c r="A16708" s="46">
        <v>10048</v>
      </c>
      <c r="B16708" s="4" t="s">
        <v>44</v>
      </c>
      <c r="C16708" s="22" t="s">
        <v>1536</v>
      </c>
      <c r="D16708" s="18">
        <v>2021</v>
      </c>
      <c r="E16708" s="18"/>
      <c r="F16708" s="4">
        <v>1</v>
      </c>
      <c r="G16708" s="4" t="s">
        <v>358</v>
      </c>
      <c r="H16708" s="4">
        <v>69</v>
      </c>
      <c r="I16708" s="201"/>
      <c r="J16708" s="201"/>
    </row>
    <row r="16709" spans="1:10" s="15" customFormat="1" ht="19.5" hidden="1" customHeight="1" outlineLevel="1" x14ac:dyDescent="0.25">
      <c r="A16709" s="46">
        <v>10045</v>
      </c>
      <c r="B16709" s="4" t="s">
        <v>44</v>
      </c>
      <c r="C16709" s="22" t="s">
        <v>1537</v>
      </c>
      <c r="D16709" s="18">
        <v>2021</v>
      </c>
      <c r="E16709" s="18"/>
      <c r="F16709" s="4">
        <v>1</v>
      </c>
      <c r="G16709" s="4" t="s">
        <v>358</v>
      </c>
      <c r="H16709" s="4">
        <v>68</v>
      </c>
      <c r="I16709" s="201"/>
      <c r="J16709" s="201"/>
    </row>
    <row r="16710" spans="1:10" s="15" customFormat="1" ht="19.5" hidden="1" customHeight="1" outlineLevel="1" x14ac:dyDescent="0.25">
      <c r="A16710" s="46">
        <v>10041</v>
      </c>
      <c r="B16710" s="4" t="s">
        <v>44</v>
      </c>
      <c r="C16710" s="22" t="s">
        <v>1538</v>
      </c>
      <c r="D16710" s="18">
        <v>2021</v>
      </c>
      <c r="E16710" s="18"/>
      <c r="F16710" s="4">
        <v>1</v>
      </c>
      <c r="G16710" s="4" t="s">
        <v>366</v>
      </c>
      <c r="H16710" s="4">
        <v>57</v>
      </c>
      <c r="I16710" s="201"/>
      <c r="J16710" s="201"/>
    </row>
    <row r="16711" spans="1:10" s="15" customFormat="1" ht="19.5" hidden="1" customHeight="1" outlineLevel="1" x14ac:dyDescent="0.25">
      <c r="A16711" s="46">
        <v>9713</v>
      </c>
      <c r="B16711" s="4" t="s">
        <v>44</v>
      </c>
      <c r="C16711" s="22" t="s">
        <v>414</v>
      </c>
      <c r="D16711" s="18">
        <v>2021</v>
      </c>
      <c r="E16711" s="18"/>
      <c r="F16711" s="4">
        <v>1</v>
      </c>
      <c r="G16711" s="4" t="s">
        <v>358</v>
      </c>
      <c r="H16711" s="4">
        <v>52</v>
      </c>
      <c r="I16711" s="201"/>
      <c r="J16711" s="201"/>
    </row>
    <row r="16712" spans="1:10" s="15" customFormat="1" ht="19.5" hidden="1" customHeight="1" outlineLevel="1" x14ac:dyDescent="0.25">
      <c r="A16712" s="46">
        <v>9149</v>
      </c>
      <c r="B16712" s="4" t="s">
        <v>44</v>
      </c>
      <c r="C16712" s="22" t="s">
        <v>1539</v>
      </c>
      <c r="D16712" s="18">
        <v>2021</v>
      </c>
      <c r="E16712" s="18"/>
      <c r="F16712" s="4">
        <v>1</v>
      </c>
      <c r="G16712" s="4" t="s">
        <v>358</v>
      </c>
      <c r="H16712" s="4">
        <v>64</v>
      </c>
      <c r="I16712" s="201"/>
      <c r="J16712" s="201"/>
    </row>
    <row r="16713" spans="1:10" s="15" customFormat="1" ht="19.5" hidden="1" customHeight="1" outlineLevel="1" x14ac:dyDescent="0.25">
      <c r="A16713" s="46">
        <v>9139</v>
      </c>
      <c r="B16713" s="4" t="s">
        <v>44</v>
      </c>
      <c r="C16713" s="22" t="s">
        <v>1540</v>
      </c>
      <c r="D16713" s="18">
        <v>2021</v>
      </c>
      <c r="E16713" s="18"/>
      <c r="F16713" s="4">
        <v>1</v>
      </c>
      <c r="G16713" s="4" t="s">
        <v>358</v>
      </c>
      <c r="H16713" s="4">
        <v>69</v>
      </c>
      <c r="I16713" s="201"/>
      <c r="J16713" s="201"/>
    </row>
    <row r="16714" spans="1:10" s="15" customFormat="1" ht="19.5" hidden="1" customHeight="1" outlineLevel="1" x14ac:dyDescent="0.25">
      <c r="A16714" s="46">
        <v>9142</v>
      </c>
      <c r="B16714" s="4" t="s">
        <v>44</v>
      </c>
      <c r="C16714" s="22" t="s">
        <v>1541</v>
      </c>
      <c r="D16714" s="18">
        <v>2021</v>
      </c>
      <c r="E16714" s="18"/>
      <c r="F16714" s="4">
        <v>1</v>
      </c>
      <c r="G16714" s="4" t="s">
        <v>358</v>
      </c>
      <c r="H16714" s="4">
        <v>78</v>
      </c>
      <c r="I16714" s="201"/>
      <c r="J16714" s="201"/>
    </row>
    <row r="16715" spans="1:10" s="15" customFormat="1" ht="19.5" hidden="1" customHeight="1" outlineLevel="1" x14ac:dyDescent="0.25">
      <c r="A16715" s="46">
        <v>9140</v>
      </c>
      <c r="B16715" s="4" t="s">
        <v>44</v>
      </c>
      <c r="C16715" s="22" t="s">
        <v>1542</v>
      </c>
      <c r="D16715" s="18">
        <v>2021</v>
      </c>
      <c r="E16715" s="18"/>
      <c r="F16715" s="4">
        <v>1</v>
      </c>
      <c r="G16715" s="4" t="s">
        <v>358</v>
      </c>
      <c r="H16715" s="4">
        <v>56</v>
      </c>
      <c r="I16715" s="201"/>
      <c r="J16715" s="201"/>
    </row>
    <row r="16716" spans="1:10" s="15" customFormat="1" ht="19.5" hidden="1" customHeight="1" outlineLevel="1" x14ac:dyDescent="0.25">
      <c r="A16716" s="46">
        <v>10051</v>
      </c>
      <c r="B16716" s="4" t="s">
        <v>44</v>
      </c>
      <c r="C16716" s="22" t="s">
        <v>1543</v>
      </c>
      <c r="D16716" s="18">
        <v>2021</v>
      </c>
      <c r="E16716" s="18"/>
      <c r="F16716" s="4">
        <v>1</v>
      </c>
      <c r="G16716" s="4" t="s">
        <v>358</v>
      </c>
      <c r="H16716" s="4">
        <v>56</v>
      </c>
      <c r="I16716" s="201"/>
      <c r="J16716" s="201"/>
    </row>
    <row r="16717" spans="1:10" s="15" customFormat="1" ht="19.5" hidden="1" customHeight="1" outlineLevel="1" x14ac:dyDescent="0.25">
      <c r="A16717" s="46">
        <v>9701</v>
      </c>
      <c r="B16717" s="4" t="s">
        <v>44</v>
      </c>
      <c r="C16717" s="22" t="s">
        <v>416</v>
      </c>
      <c r="D16717" s="18">
        <v>2021</v>
      </c>
      <c r="E16717" s="18"/>
      <c r="F16717" s="4">
        <v>1</v>
      </c>
      <c r="G16717" s="4" t="s">
        <v>358</v>
      </c>
      <c r="H16717" s="4">
        <v>68</v>
      </c>
      <c r="I16717" s="201"/>
      <c r="J16717" s="201"/>
    </row>
    <row r="16718" spans="1:10" s="15" customFormat="1" ht="19.5" hidden="1" customHeight="1" outlineLevel="1" x14ac:dyDescent="0.25">
      <c r="A16718" s="46">
        <v>10028</v>
      </c>
      <c r="B16718" s="4" t="s">
        <v>44</v>
      </c>
      <c r="C16718" s="22" t="s">
        <v>1544</v>
      </c>
      <c r="D16718" s="18">
        <v>2021</v>
      </c>
      <c r="E16718" s="18"/>
      <c r="F16718" s="4">
        <v>1</v>
      </c>
      <c r="G16718" s="4" t="s">
        <v>362</v>
      </c>
      <c r="H16718" s="4">
        <v>68</v>
      </c>
      <c r="I16718" s="201"/>
      <c r="J16718" s="201"/>
    </row>
    <row r="16719" spans="1:10" s="15" customFormat="1" ht="19.5" hidden="1" customHeight="1" outlineLevel="1" x14ac:dyDescent="0.25">
      <c r="A16719" s="46">
        <v>10043</v>
      </c>
      <c r="B16719" s="4" t="s">
        <v>44</v>
      </c>
      <c r="C16719" s="22" t="s">
        <v>1545</v>
      </c>
      <c r="D16719" s="18">
        <v>2021</v>
      </c>
      <c r="E16719" s="18"/>
      <c r="F16719" s="4">
        <v>1</v>
      </c>
      <c r="G16719" s="4" t="s">
        <v>358</v>
      </c>
      <c r="H16719" s="4">
        <v>69</v>
      </c>
      <c r="I16719" s="201"/>
      <c r="J16719" s="201"/>
    </row>
    <row r="16720" spans="1:10" s="15" customFormat="1" ht="19.5" hidden="1" customHeight="1" outlineLevel="1" x14ac:dyDescent="0.25">
      <c r="A16720" s="46">
        <v>9726</v>
      </c>
      <c r="B16720" s="4" t="s">
        <v>44</v>
      </c>
      <c r="C16720" s="22" t="s">
        <v>417</v>
      </c>
      <c r="D16720" s="18">
        <v>2021</v>
      </c>
      <c r="E16720" s="18"/>
      <c r="F16720" s="4">
        <v>1</v>
      </c>
      <c r="G16720" s="4" t="s">
        <v>393</v>
      </c>
      <c r="H16720" s="4">
        <v>52</v>
      </c>
      <c r="I16720" s="201"/>
      <c r="J16720" s="201"/>
    </row>
    <row r="16721" spans="1:10" s="15" customFormat="1" ht="19.5" hidden="1" customHeight="1" outlineLevel="1" x14ac:dyDescent="0.25">
      <c r="A16721" s="45">
        <v>1205</v>
      </c>
      <c r="B16721" s="4" t="s">
        <v>44</v>
      </c>
      <c r="C16721" s="22" t="s">
        <v>418</v>
      </c>
      <c r="D16721" s="18">
        <v>2021</v>
      </c>
      <c r="E16721" s="18"/>
      <c r="F16721" s="4">
        <v>1</v>
      </c>
      <c r="G16721" s="4" t="s">
        <v>358</v>
      </c>
      <c r="H16721" s="4">
        <v>50</v>
      </c>
      <c r="I16721" s="201"/>
      <c r="J16721" s="201"/>
    </row>
    <row r="16722" spans="1:10" s="15" customFormat="1" ht="19.5" hidden="1" customHeight="1" outlineLevel="1" x14ac:dyDescent="0.25">
      <c r="A16722" s="45">
        <v>1225</v>
      </c>
      <c r="B16722" s="4" t="s">
        <v>44</v>
      </c>
      <c r="C16722" s="22" t="s">
        <v>419</v>
      </c>
      <c r="D16722" s="18">
        <v>2021</v>
      </c>
      <c r="E16722" s="18"/>
      <c r="F16722" s="4">
        <v>1</v>
      </c>
      <c r="G16722" s="4" t="s">
        <v>358</v>
      </c>
      <c r="H16722" s="4">
        <v>59</v>
      </c>
      <c r="I16722" s="201"/>
      <c r="J16722" s="201"/>
    </row>
    <row r="16723" spans="1:10" s="15" customFormat="1" ht="19.5" hidden="1" customHeight="1" outlineLevel="1" x14ac:dyDescent="0.25">
      <c r="A16723" s="46">
        <v>9465</v>
      </c>
      <c r="B16723" s="4" t="s">
        <v>44</v>
      </c>
      <c r="C16723" s="22" t="s">
        <v>422</v>
      </c>
      <c r="D16723" s="18">
        <v>2021</v>
      </c>
      <c r="E16723" s="18"/>
      <c r="F16723" s="4">
        <v>1</v>
      </c>
      <c r="G16723" s="4">
        <v>15</v>
      </c>
      <c r="H16723" s="4">
        <v>61.137</v>
      </c>
      <c r="I16723" s="201"/>
      <c r="J16723" s="201"/>
    </row>
    <row r="16724" spans="1:10" s="15" customFormat="1" ht="19.5" hidden="1" customHeight="1" outlineLevel="1" x14ac:dyDescent="0.25">
      <c r="A16724" s="46">
        <v>9194</v>
      </c>
      <c r="B16724" s="4" t="s">
        <v>44</v>
      </c>
      <c r="C16724" s="22" t="s">
        <v>1546</v>
      </c>
      <c r="D16724" s="18">
        <v>2021</v>
      </c>
      <c r="E16724" s="18"/>
      <c r="F16724" s="4">
        <v>1</v>
      </c>
      <c r="G16724" s="4">
        <v>15</v>
      </c>
      <c r="H16724" s="4">
        <v>68.972999999999999</v>
      </c>
      <c r="I16724" s="201"/>
      <c r="J16724" s="201"/>
    </row>
    <row r="16725" spans="1:10" s="15" customFormat="1" ht="19.5" hidden="1" customHeight="1" outlineLevel="1" x14ac:dyDescent="0.25">
      <c r="A16725" s="46">
        <v>9457</v>
      </c>
      <c r="B16725" s="4" t="s">
        <v>44</v>
      </c>
      <c r="C16725" s="22" t="s">
        <v>427</v>
      </c>
      <c r="D16725" s="18">
        <v>2021</v>
      </c>
      <c r="E16725" s="18"/>
      <c r="F16725" s="4">
        <v>1</v>
      </c>
      <c r="G16725" s="4">
        <v>15</v>
      </c>
      <c r="H16725" s="4">
        <v>54.597999999999999</v>
      </c>
      <c r="I16725" s="201"/>
      <c r="J16725" s="201"/>
    </row>
    <row r="16726" spans="1:10" s="15" customFormat="1" ht="19.5" hidden="1" customHeight="1" outlineLevel="1" x14ac:dyDescent="0.25">
      <c r="A16726" s="46">
        <v>9203</v>
      </c>
      <c r="B16726" s="4" t="s">
        <v>44</v>
      </c>
      <c r="C16726" s="22" t="s">
        <v>59</v>
      </c>
      <c r="D16726" s="18">
        <v>2021</v>
      </c>
      <c r="E16726" s="18"/>
      <c r="F16726" s="4">
        <v>1</v>
      </c>
      <c r="G16726" s="4">
        <v>30</v>
      </c>
      <c r="H16726" s="4">
        <v>115.923</v>
      </c>
      <c r="I16726" s="201"/>
      <c r="J16726" s="201"/>
    </row>
    <row r="16727" spans="1:10" s="15" customFormat="1" ht="19.5" hidden="1" customHeight="1" outlineLevel="1" x14ac:dyDescent="0.25">
      <c r="A16727" s="46">
        <v>9200</v>
      </c>
      <c r="B16727" s="4" t="s">
        <v>44</v>
      </c>
      <c r="C16727" s="22" t="s">
        <v>1547</v>
      </c>
      <c r="D16727" s="18">
        <v>2021</v>
      </c>
      <c r="E16727" s="18"/>
      <c r="F16727" s="4">
        <v>1</v>
      </c>
      <c r="G16727" s="4">
        <v>15</v>
      </c>
      <c r="H16727" s="4">
        <v>99.54</v>
      </c>
      <c r="I16727" s="201"/>
      <c r="J16727" s="201"/>
    </row>
    <row r="16728" spans="1:10" s="15" customFormat="1" ht="19.5" hidden="1" customHeight="1" outlineLevel="1" x14ac:dyDescent="0.25">
      <c r="A16728" s="46">
        <v>9204</v>
      </c>
      <c r="B16728" s="4" t="s">
        <v>44</v>
      </c>
      <c r="C16728" s="22" t="s">
        <v>1548</v>
      </c>
      <c r="D16728" s="18">
        <v>2021</v>
      </c>
      <c r="E16728" s="18"/>
      <c r="F16728" s="4">
        <v>1</v>
      </c>
      <c r="G16728" s="4">
        <v>15</v>
      </c>
      <c r="H16728" s="4">
        <v>76.141000000000005</v>
      </c>
      <c r="I16728" s="201"/>
      <c r="J16728" s="201"/>
    </row>
    <row r="16729" spans="1:10" s="15" customFormat="1" ht="19.5" hidden="1" customHeight="1" outlineLevel="1" x14ac:dyDescent="0.25">
      <c r="A16729" s="46">
        <v>9205</v>
      </c>
      <c r="B16729" s="4" t="s">
        <v>44</v>
      </c>
      <c r="C16729" s="22" t="s">
        <v>1549</v>
      </c>
      <c r="D16729" s="18">
        <v>2021</v>
      </c>
      <c r="E16729" s="18"/>
      <c r="F16729" s="4">
        <v>1</v>
      </c>
      <c r="G16729" s="4">
        <v>15</v>
      </c>
      <c r="H16729" s="4">
        <v>106.145</v>
      </c>
      <c r="I16729" s="201"/>
      <c r="J16729" s="201"/>
    </row>
    <row r="16730" spans="1:10" s="15" customFormat="1" ht="19.5" hidden="1" customHeight="1" outlineLevel="1" x14ac:dyDescent="0.25">
      <c r="A16730" s="46">
        <v>9202</v>
      </c>
      <c r="B16730" s="4" t="s">
        <v>44</v>
      </c>
      <c r="C16730" s="22" t="s">
        <v>1550</v>
      </c>
      <c r="D16730" s="18">
        <v>2021</v>
      </c>
      <c r="E16730" s="18"/>
      <c r="F16730" s="4">
        <v>1</v>
      </c>
      <c r="G16730" s="4">
        <v>14</v>
      </c>
      <c r="H16730" s="4">
        <v>72.438000000000002</v>
      </c>
      <c r="I16730" s="201"/>
      <c r="J16730" s="201"/>
    </row>
    <row r="16731" spans="1:10" s="15" customFormat="1" ht="19.5" hidden="1" customHeight="1" outlineLevel="1" x14ac:dyDescent="0.25">
      <c r="A16731" s="46">
        <v>9206</v>
      </c>
      <c r="B16731" s="4" t="s">
        <v>44</v>
      </c>
      <c r="C16731" s="22" t="s">
        <v>1551</v>
      </c>
      <c r="D16731" s="18">
        <v>2021</v>
      </c>
      <c r="E16731" s="18"/>
      <c r="F16731" s="4">
        <v>1</v>
      </c>
      <c r="G16731" s="4">
        <v>15</v>
      </c>
      <c r="H16731" s="4">
        <v>102.092</v>
      </c>
      <c r="I16731" s="201"/>
      <c r="J16731" s="201"/>
    </row>
    <row r="16732" spans="1:10" s="15" customFormat="1" ht="19.5" hidden="1" customHeight="1" outlineLevel="1" x14ac:dyDescent="0.25">
      <c r="A16732" s="46">
        <v>9214</v>
      </c>
      <c r="B16732" s="4" t="s">
        <v>44</v>
      </c>
      <c r="C16732" s="22" t="s">
        <v>1552</v>
      </c>
      <c r="D16732" s="18">
        <v>2021</v>
      </c>
      <c r="E16732" s="18"/>
      <c r="F16732" s="4">
        <v>1</v>
      </c>
      <c r="G16732" s="4">
        <v>15</v>
      </c>
      <c r="H16732" s="4">
        <v>77.13</v>
      </c>
      <c r="I16732" s="201"/>
      <c r="J16732" s="201"/>
    </row>
    <row r="16733" spans="1:10" s="15" customFormat="1" ht="19.5" hidden="1" customHeight="1" outlineLevel="1" x14ac:dyDescent="0.25">
      <c r="A16733" s="46">
        <v>9201</v>
      </c>
      <c r="B16733" s="4" t="s">
        <v>44</v>
      </c>
      <c r="C16733" s="22" t="s">
        <v>1553</v>
      </c>
      <c r="D16733" s="18">
        <v>2021</v>
      </c>
      <c r="E16733" s="18"/>
      <c r="F16733" s="4">
        <v>1</v>
      </c>
      <c r="G16733" s="4">
        <v>10</v>
      </c>
      <c r="H16733" s="4">
        <v>37.921999999999997</v>
      </c>
      <c r="I16733" s="201"/>
      <c r="J16733" s="201"/>
    </row>
    <row r="16734" spans="1:10" s="15" customFormat="1" ht="19.5" hidden="1" customHeight="1" outlineLevel="1" x14ac:dyDescent="0.25">
      <c r="A16734" s="46">
        <v>9210</v>
      </c>
      <c r="B16734" s="4" t="s">
        <v>44</v>
      </c>
      <c r="C16734" s="22" t="s">
        <v>1554</v>
      </c>
      <c r="D16734" s="18">
        <v>2021</v>
      </c>
      <c r="E16734" s="18"/>
      <c r="F16734" s="4">
        <v>1</v>
      </c>
      <c r="G16734" s="4">
        <v>15</v>
      </c>
      <c r="H16734" s="4">
        <v>78.116</v>
      </c>
      <c r="I16734" s="201"/>
      <c r="J16734" s="201"/>
    </row>
    <row r="16735" spans="1:10" s="15" customFormat="1" ht="19.5" hidden="1" customHeight="1" outlineLevel="1" x14ac:dyDescent="0.25">
      <c r="A16735" s="46">
        <v>9216</v>
      </c>
      <c r="B16735" s="4" t="s">
        <v>44</v>
      </c>
      <c r="C16735" s="22" t="s">
        <v>1555</v>
      </c>
      <c r="D16735" s="18">
        <v>2021</v>
      </c>
      <c r="E16735" s="18"/>
      <c r="F16735" s="4">
        <v>1</v>
      </c>
      <c r="G16735" s="4">
        <v>15</v>
      </c>
      <c r="H16735" s="4">
        <v>88.655000000000001</v>
      </c>
      <c r="I16735" s="201"/>
      <c r="J16735" s="201"/>
    </row>
    <row r="16736" spans="1:10" s="15" customFormat="1" ht="19.5" hidden="1" customHeight="1" outlineLevel="1" x14ac:dyDescent="0.25">
      <c r="A16736" s="46">
        <v>9467</v>
      </c>
      <c r="B16736" s="4" t="s">
        <v>44</v>
      </c>
      <c r="C16736" s="22" t="s">
        <v>429</v>
      </c>
      <c r="D16736" s="18">
        <v>2021</v>
      </c>
      <c r="E16736" s="18"/>
      <c r="F16736" s="4">
        <v>1</v>
      </c>
      <c r="G16736" s="4">
        <v>15</v>
      </c>
      <c r="H16736" s="4">
        <v>67.900999999999996</v>
      </c>
      <c r="I16736" s="201"/>
      <c r="J16736" s="201"/>
    </row>
    <row r="16737" spans="1:10" s="15" customFormat="1" ht="19.5" hidden="1" customHeight="1" outlineLevel="1" x14ac:dyDescent="0.25">
      <c r="A16737" s="46">
        <v>9470</v>
      </c>
      <c r="B16737" s="4" t="s">
        <v>44</v>
      </c>
      <c r="C16737" s="22" t="s">
        <v>430</v>
      </c>
      <c r="D16737" s="18">
        <v>2021</v>
      </c>
      <c r="E16737" s="18"/>
      <c r="F16737" s="4">
        <v>1</v>
      </c>
      <c r="G16737" s="4">
        <v>15</v>
      </c>
      <c r="H16737" s="4">
        <v>78.055999999999997</v>
      </c>
      <c r="I16737" s="201"/>
      <c r="J16737" s="201"/>
    </row>
    <row r="16738" spans="1:10" s="15" customFormat="1" ht="19.5" hidden="1" customHeight="1" outlineLevel="1" x14ac:dyDescent="0.25">
      <c r="A16738" s="18">
        <v>3</v>
      </c>
      <c r="B16738" s="4" t="s">
        <v>44</v>
      </c>
      <c r="C16738" s="22" t="s">
        <v>431</v>
      </c>
      <c r="D16738" s="18">
        <v>2021</v>
      </c>
      <c r="E16738" s="18"/>
      <c r="F16738" s="4">
        <v>1</v>
      </c>
      <c r="G16738" s="4">
        <v>15</v>
      </c>
      <c r="H16738" s="4">
        <v>62.595999999999997</v>
      </c>
      <c r="I16738" s="201"/>
      <c r="J16738" s="201"/>
    </row>
    <row r="16739" spans="1:10" s="15" customFormat="1" ht="19.5" hidden="1" customHeight="1" outlineLevel="1" x14ac:dyDescent="0.25">
      <c r="A16739" s="46">
        <v>9209</v>
      </c>
      <c r="B16739" s="4" t="s">
        <v>44</v>
      </c>
      <c r="C16739" s="22" t="s">
        <v>1556</v>
      </c>
      <c r="D16739" s="18">
        <v>2021</v>
      </c>
      <c r="E16739" s="18"/>
      <c r="F16739" s="4">
        <v>1</v>
      </c>
      <c r="G16739" s="4">
        <v>10</v>
      </c>
      <c r="H16739" s="4">
        <v>79.283000000000001</v>
      </c>
      <c r="I16739" s="201"/>
      <c r="J16739" s="201"/>
    </row>
    <row r="16740" spans="1:10" s="15" customFormat="1" ht="19.5" hidden="1" customHeight="1" outlineLevel="1" x14ac:dyDescent="0.25">
      <c r="A16740" s="45">
        <v>151</v>
      </c>
      <c r="B16740" s="4" t="s">
        <v>44</v>
      </c>
      <c r="C16740" s="22" t="s">
        <v>1557</v>
      </c>
      <c r="D16740" s="18">
        <v>2021</v>
      </c>
      <c r="E16740" s="18"/>
      <c r="F16740" s="4">
        <v>1</v>
      </c>
      <c r="G16740" s="4">
        <v>15</v>
      </c>
      <c r="H16740" s="4">
        <v>80.277000000000001</v>
      </c>
      <c r="I16740" s="201"/>
      <c r="J16740" s="201"/>
    </row>
    <row r="16741" spans="1:10" s="15" customFormat="1" ht="19.5" hidden="1" customHeight="1" outlineLevel="1" x14ac:dyDescent="0.25">
      <c r="A16741" s="46">
        <v>9218</v>
      </c>
      <c r="B16741" s="4" t="s">
        <v>44</v>
      </c>
      <c r="C16741" s="22" t="s">
        <v>1558</v>
      </c>
      <c r="D16741" s="18">
        <v>2021</v>
      </c>
      <c r="E16741" s="18"/>
      <c r="F16741" s="4">
        <v>1</v>
      </c>
      <c r="G16741" s="4">
        <v>5</v>
      </c>
      <c r="H16741" s="4">
        <v>71.331000000000003</v>
      </c>
      <c r="I16741" s="201"/>
      <c r="J16741" s="201"/>
    </row>
    <row r="16742" spans="1:10" s="15" customFormat="1" ht="19.5" hidden="1" customHeight="1" outlineLevel="1" x14ac:dyDescent="0.25">
      <c r="A16742" s="46">
        <v>9219</v>
      </c>
      <c r="B16742" s="4" t="s">
        <v>44</v>
      </c>
      <c r="C16742" s="22" t="s">
        <v>1559</v>
      </c>
      <c r="D16742" s="18">
        <v>2021</v>
      </c>
      <c r="E16742" s="18"/>
      <c r="F16742" s="4">
        <v>1</v>
      </c>
      <c r="G16742" s="4">
        <v>15</v>
      </c>
      <c r="H16742" s="4">
        <v>71.631</v>
      </c>
      <c r="I16742" s="201"/>
      <c r="J16742" s="201"/>
    </row>
    <row r="16743" spans="1:10" s="15" customFormat="1" ht="19.5" hidden="1" customHeight="1" outlineLevel="1" x14ac:dyDescent="0.25">
      <c r="A16743" s="46">
        <v>9211</v>
      </c>
      <c r="B16743" s="4" t="s">
        <v>44</v>
      </c>
      <c r="C16743" s="22" t="s">
        <v>1560</v>
      </c>
      <c r="D16743" s="18">
        <v>2021</v>
      </c>
      <c r="E16743" s="18"/>
      <c r="F16743" s="4">
        <v>1</v>
      </c>
      <c r="G16743" s="4">
        <v>15</v>
      </c>
      <c r="H16743" s="4">
        <v>79.328999999999994</v>
      </c>
      <c r="I16743" s="201"/>
      <c r="J16743" s="201"/>
    </row>
    <row r="16744" spans="1:10" s="15" customFormat="1" ht="19.5" hidden="1" customHeight="1" outlineLevel="1" x14ac:dyDescent="0.25">
      <c r="A16744" s="46">
        <v>9515</v>
      </c>
      <c r="B16744" s="4" t="s">
        <v>44</v>
      </c>
      <c r="C16744" s="22" t="s">
        <v>432</v>
      </c>
      <c r="D16744" s="18">
        <v>2021</v>
      </c>
      <c r="E16744" s="18"/>
      <c r="F16744" s="4">
        <v>1</v>
      </c>
      <c r="G16744" s="4">
        <v>15</v>
      </c>
      <c r="H16744" s="4">
        <v>42.564</v>
      </c>
      <c r="I16744" s="201"/>
      <c r="J16744" s="201"/>
    </row>
    <row r="16745" spans="1:10" s="15" customFormat="1" ht="19.5" hidden="1" customHeight="1" outlineLevel="1" x14ac:dyDescent="0.25">
      <c r="A16745" s="46">
        <v>9463</v>
      </c>
      <c r="B16745" s="4" t="s">
        <v>44</v>
      </c>
      <c r="C16745" s="22" t="s">
        <v>434</v>
      </c>
      <c r="D16745" s="18">
        <v>2021</v>
      </c>
      <c r="E16745" s="18"/>
      <c r="F16745" s="4">
        <v>1</v>
      </c>
      <c r="G16745" s="4">
        <v>15</v>
      </c>
      <c r="H16745" s="4">
        <v>55.823</v>
      </c>
      <c r="I16745" s="201"/>
      <c r="J16745" s="201"/>
    </row>
    <row r="16746" spans="1:10" s="15" customFormat="1" ht="19.5" hidden="1" customHeight="1" outlineLevel="1" x14ac:dyDescent="0.25">
      <c r="A16746" s="46">
        <v>9215</v>
      </c>
      <c r="B16746" s="4" t="s">
        <v>44</v>
      </c>
      <c r="C16746" s="22" t="s">
        <v>1561</v>
      </c>
      <c r="D16746" s="18">
        <v>2021</v>
      </c>
      <c r="E16746" s="18"/>
      <c r="F16746" s="4">
        <v>1</v>
      </c>
      <c r="G16746" s="4">
        <v>15</v>
      </c>
      <c r="H16746" s="4">
        <v>84.656999999999996</v>
      </c>
      <c r="I16746" s="201"/>
      <c r="J16746" s="201"/>
    </row>
    <row r="16747" spans="1:10" s="15" customFormat="1" ht="19.5" hidden="1" customHeight="1" outlineLevel="1" x14ac:dyDescent="0.25">
      <c r="A16747" s="46">
        <v>9220</v>
      </c>
      <c r="B16747" s="4" t="s">
        <v>44</v>
      </c>
      <c r="C16747" s="22" t="s">
        <v>1562</v>
      </c>
      <c r="D16747" s="18">
        <v>2021</v>
      </c>
      <c r="E16747" s="18"/>
      <c r="F16747" s="4">
        <v>1</v>
      </c>
      <c r="G16747" s="4">
        <v>15</v>
      </c>
      <c r="H16747" s="4">
        <v>101.453</v>
      </c>
      <c r="I16747" s="201"/>
      <c r="J16747" s="201"/>
    </row>
    <row r="16748" spans="1:10" s="15" customFormat="1" ht="19.5" hidden="1" customHeight="1" outlineLevel="1" x14ac:dyDescent="0.25">
      <c r="A16748" s="46">
        <v>9213</v>
      </c>
      <c r="B16748" s="4" t="s">
        <v>44</v>
      </c>
      <c r="C16748" s="22" t="s">
        <v>1563</v>
      </c>
      <c r="D16748" s="18">
        <v>2021</v>
      </c>
      <c r="E16748" s="18"/>
      <c r="F16748" s="4">
        <v>1</v>
      </c>
      <c r="G16748" s="4">
        <v>15</v>
      </c>
      <c r="H16748" s="4">
        <v>78.355000000000004</v>
      </c>
      <c r="I16748" s="201"/>
      <c r="J16748" s="201"/>
    </row>
    <row r="16749" spans="1:10" s="15" customFormat="1" ht="19.5" hidden="1" customHeight="1" outlineLevel="1" x14ac:dyDescent="0.25">
      <c r="A16749" s="46">
        <v>9197</v>
      </c>
      <c r="B16749" s="4" t="s">
        <v>44</v>
      </c>
      <c r="C16749" s="22" t="s">
        <v>1564</v>
      </c>
      <c r="D16749" s="18">
        <v>2021</v>
      </c>
      <c r="E16749" s="18"/>
      <c r="F16749" s="4">
        <v>1</v>
      </c>
      <c r="G16749" s="4">
        <v>15</v>
      </c>
      <c r="H16749" s="4">
        <v>84.855000000000004</v>
      </c>
      <c r="I16749" s="201"/>
      <c r="J16749" s="201"/>
    </row>
    <row r="16750" spans="1:10" s="15" customFormat="1" ht="19.5" hidden="1" customHeight="1" outlineLevel="1" x14ac:dyDescent="0.25">
      <c r="A16750" s="46">
        <v>9193</v>
      </c>
      <c r="B16750" s="4" t="s">
        <v>44</v>
      </c>
      <c r="C16750" s="22" t="s">
        <v>1565</v>
      </c>
      <c r="D16750" s="18">
        <v>2021</v>
      </c>
      <c r="E16750" s="18"/>
      <c r="F16750" s="4">
        <v>1</v>
      </c>
      <c r="G16750" s="4">
        <v>15</v>
      </c>
      <c r="H16750" s="4">
        <v>75.850999999999999</v>
      </c>
      <c r="I16750" s="201"/>
      <c r="J16750" s="201"/>
    </row>
    <row r="16751" spans="1:10" s="15" customFormat="1" ht="19.5" hidden="1" customHeight="1" outlineLevel="1" x14ac:dyDescent="0.25">
      <c r="A16751" s="46">
        <v>9013</v>
      </c>
      <c r="B16751" s="4" t="s">
        <v>44</v>
      </c>
      <c r="C16751" s="22" t="s">
        <v>1566</v>
      </c>
      <c r="D16751" s="18">
        <v>2021</v>
      </c>
      <c r="E16751" s="18"/>
      <c r="F16751" s="4">
        <v>1</v>
      </c>
      <c r="G16751" s="4">
        <v>15</v>
      </c>
      <c r="H16751" s="4">
        <v>94.695999999999998</v>
      </c>
      <c r="I16751" s="201"/>
      <c r="J16751" s="201"/>
    </row>
    <row r="16752" spans="1:10" s="15" customFormat="1" ht="19.5" hidden="1" customHeight="1" outlineLevel="1" x14ac:dyDescent="0.25">
      <c r="A16752" s="18">
        <v>133</v>
      </c>
      <c r="B16752" s="4" t="s">
        <v>44</v>
      </c>
      <c r="C16752" s="22" t="s">
        <v>1567</v>
      </c>
      <c r="D16752" s="18">
        <v>2021</v>
      </c>
      <c r="E16752" s="18"/>
      <c r="F16752" s="4">
        <v>1</v>
      </c>
      <c r="G16752" s="4">
        <v>15</v>
      </c>
      <c r="H16752" s="4">
        <v>85.254999999999995</v>
      </c>
      <c r="I16752" s="201"/>
      <c r="J16752" s="201"/>
    </row>
    <row r="16753" spans="1:10" s="15" customFormat="1" ht="19.5" hidden="1" customHeight="1" outlineLevel="1" x14ac:dyDescent="0.25">
      <c r="A16753" s="46">
        <v>9014</v>
      </c>
      <c r="B16753" s="4" t="s">
        <v>44</v>
      </c>
      <c r="C16753" s="22" t="s">
        <v>1568</v>
      </c>
      <c r="D16753" s="18">
        <v>2021</v>
      </c>
      <c r="E16753" s="18"/>
      <c r="F16753" s="4">
        <v>1</v>
      </c>
      <c r="G16753" s="4">
        <v>10</v>
      </c>
      <c r="H16753" s="4">
        <v>71.600999999999999</v>
      </c>
      <c r="I16753" s="201"/>
      <c r="J16753" s="201"/>
    </row>
    <row r="16754" spans="1:10" s="15" customFormat="1" ht="19.5" hidden="1" customHeight="1" outlineLevel="1" x14ac:dyDescent="0.25">
      <c r="A16754" s="46">
        <v>9195</v>
      </c>
      <c r="B16754" s="4" t="s">
        <v>44</v>
      </c>
      <c r="C16754" s="22" t="s">
        <v>1569</v>
      </c>
      <c r="D16754" s="18">
        <v>2021</v>
      </c>
      <c r="E16754" s="18"/>
      <c r="F16754" s="4">
        <v>1</v>
      </c>
      <c r="G16754" s="4">
        <v>10</v>
      </c>
      <c r="H16754" s="4">
        <v>76.628</v>
      </c>
      <c r="I16754" s="201"/>
      <c r="J16754" s="201"/>
    </row>
    <row r="16755" spans="1:10" s="15" customFormat="1" ht="19.5" hidden="1" customHeight="1" outlineLevel="1" x14ac:dyDescent="0.25">
      <c r="A16755" s="46">
        <v>9015</v>
      </c>
      <c r="B16755" s="4" t="s">
        <v>44</v>
      </c>
      <c r="C16755" s="22" t="s">
        <v>1570</v>
      </c>
      <c r="D16755" s="18">
        <v>2021</v>
      </c>
      <c r="E16755" s="18"/>
      <c r="F16755" s="4">
        <v>1</v>
      </c>
      <c r="G16755" s="4">
        <v>10</v>
      </c>
      <c r="H16755" s="4">
        <v>77.849999999999994</v>
      </c>
      <c r="I16755" s="201"/>
      <c r="J16755" s="201"/>
    </row>
    <row r="16756" spans="1:10" s="15" customFormat="1" ht="19.5" hidden="1" customHeight="1" outlineLevel="1" x14ac:dyDescent="0.25">
      <c r="A16756" s="46">
        <v>9461</v>
      </c>
      <c r="B16756" s="4" t="s">
        <v>44</v>
      </c>
      <c r="C16756" s="22" t="s">
        <v>435</v>
      </c>
      <c r="D16756" s="18">
        <v>2021</v>
      </c>
      <c r="E16756" s="18"/>
      <c r="F16756" s="4">
        <v>1</v>
      </c>
      <c r="G16756" s="4">
        <v>15</v>
      </c>
      <c r="H16756" s="4">
        <v>53.133000000000003</v>
      </c>
      <c r="I16756" s="201"/>
      <c r="J16756" s="201"/>
    </row>
    <row r="16757" spans="1:10" s="15" customFormat="1" ht="19.5" hidden="1" customHeight="1" outlineLevel="1" x14ac:dyDescent="0.25">
      <c r="A16757" s="46">
        <v>9514</v>
      </c>
      <c r="B16757" s="4" t="s">
        <v>44</v>
      </c>
      <c r="C16757" s="22" t="s">
        <v>823</v>
      </c>
      <c r="D16757" s="18">
        <v>2021</v>
      </c>
      <c r="E16757" s="18"/>
      <c r="F16757" s="4">
        <v>16</v>
      </c>
      <c r="G16757" s="4">
        <v>15</v>
      </c>
      <c r="H16757" s="4">
        <v>511.79399999999998</v>
      </c>
      <c r="I16757" s="201"/>
      <c r="J16757" s="201"/>
    </row>
    <row r="16758" spans="1:10" s="15" customFormat="1" ht="19.5" hidden="1" customHeight="1" outlineLevel="1" x14ac:dyDescent="0.25">
      <c r="A16758" s="46">
        <v>9496</v>
      </c>
      <c r="B16758" s="4" t="s">
        <v>44</v>
      </c>
      <c r="C16758" s="22" t="s">
        <v>436</v>
      </c>
      <c r="D16758" s="18">
        <v>2021</v>
      </c>
      <c r="E16758" s="18"/>
      <c r="F16758" s="4">
        <v>1</v>
      </c>
      <c r="G16758" s="4">
        <v>15</v>
      </c>
      <c r="H16758" s="4">
        <v>36.274999999999999</v>
      </c>
      <c r="I16758" s="201"/>
      <c r="J16758" s="201"/>
    </row>
    <row r="16759" spans="1:10" s="15" customFormat="1" ht="19.5" hidden="1" customHeight="1" outlineLevel="1" x14ac:dyDescent="0.25">
      <c r="A16759" s="46">
        <v>9462</v>
      </c>
      <c r="B16759" s="4" t="s">
        <v>44</v>
      </c>
      <c r="C16759" s="22" t="s">
        <v>437</v>
      </c>
      <c r="D16759" s="18">
        <v>2021</v>
      </c>
      <c r="E16759" s="18"/>
      <c r="F16759" s="4">
        <v>1</v>
      </c>
      <c r="G16759" s="4">
        <v>15</v>
      </c>
      <c r="H16759" s="4">
        <v>55.140999999999998</v>
      </c>
      <c r="I16759" s="201"/>
      <c r="J16759" s="201"/>
    </row>
    <row r="16760" spans="1:10" s="15" customFormat="1" ht="19.5" hidden="1" customHeight="1" outlineLevel="1" x14ac:dyDescent="0.25">
      <c r="A16760" s="46">
        <v>9473</v>
      </c>
      <c r="B16760" s="4" t="s">
        <v>44</v>
      </c>
      <c r="C16760" s="22" t="s">
        <v>438</v>
      </c>
      <c r="D16760" s="18">
        <v>2021</v>
      </c>
      <c r="E16760" s="18"/>
      <c r="F16760" s="4">
        <v>1</v>
      </c>
      <c r="G16760" s="4">
        <v>15</v>
      </c>
      <c r="H16760" s="4">
        <v>39.457999999999998</v>
      </c>
      <c r="I16760" s="201"/>
      <c r="J16760" s="201"/>
    </row>
    <row r="16761" spans="1:10" s="15" customFormat="1" ht="19.5" hidden="1" customHeight="1" outlineLevel="1" x14ac:dyDescent="0.25">
      <c r="A16761" s="46">
        <v>9192</v>
      </c>
      <c r="B16761" s="4" t="s">
        <v>44</v>
      </c>
      <c r="C16761" s="22" t="s">
        <v>1571</v>
      </c>
      <c r="D16761" s="18">
        <v>2021</v>
      </c>
      <c r="E16761" s="18"/>
      <c r="F16761" s="4">
        <v>1</v>
      </c>
      <c r="G16761" s="4">
        <v>10</v>
      </c>
      <c r="H16761" s="4">
        <v>88.33</v>
      </c>
      <c r="I16761" s="201"/>
      <c r="J16761" s="201"/>
    </row>
    <row r="16762" spans="1:10" s="15" customFormat="1" ht="19.5" hidden="1" customHeight="1" outlineLevel="1" x14ac:dyDescent="0.25">
      <c r="A16762" s="46">
        <v>9009</v>
      </c>
      <c r="B16762" s="4" t="s">
        <v>44</v>
      </c>
      <c r="C16762" s="22" t="s">
        <v>1572</v>
      </c>
      <c r="D16762" s="18">
        <v>2021</v>
      </c>
      <c r="E16762" s="18"/>
      <c r="F16762" s="4">
        <v>1</v>
      </c>
      <c r="G16762" s="4">
        <v>10</v>
      </c>
      <c r="H16762" s="4">
        <v>79.381</v>
      </c>
      <c r="I16762" s="201"/>
      <c r="J16762" s="201"/>
    </row>
    <row r="16763" spans="1:10" s="15" customFormat="1" ht="19.5" hidden="1" customHeight="1" outlineLevel="1" x14ac:dyDescent="0.25">
      <c r="A16763" s="46">
        <v>9010</v>
      </c>
      <c r="B16763" s="4" t="s">
        <v>44</v>
      </c>
      <c r="C16763" s="22" t="s">
        <v>1573</v>
      </c>
      <c r="D16763" s="18">
        <v>2021</v>
      </c>
      <c r="E16763" s="18"/>
      <c r="F16763" s="4">
        <v>1</v>
      </c>
      <c r="G16763" s="4">
        <v>15</v>
      </c>
      <c r="H16763" s="4">
        <v>40.468000000000004</v>
      </c>
      <c r="I16763" s="201"/>
      <c r="J16763" s="201"/>
    </row>
    <row r="16764" spans="1:10" s="15" customFormat="1" ht="19.5" hidden="1" customHeight="1" outlineLevel="1" x14ac:dyDescent="0.25">
      <c r="A16764" s="46">
        <v>9011</v>
      </c>
      <c r="B16764" s="4" t="s">
        <v>44</v>
      </c>
      <c r="C16764" s="22" t="s">
        <v>1574</v>
      </c>
      <c r="D16764" s="18">
        <v>2021</v>
      </c>
      <c r="E16764" s="18"/>
      <c r="F16764" s="4">
        <v>1</v>
      </c>
      <c r="G16764" s="4">
        <v>10</v>
      </c>
      <c r="H16764" s="4">
        <v>37.433999999999997</v>
      </c>
      <c r="I16764" s="201"/>
      <c r="J16764" s="201"/>
    </row>
    <row r="16765" spans="1:10" s="15" customFormat="1" ht="19.5" hidden="1" customHeight="1" outlineLevel="1" x14ac:dyDescent="0.25">
      <c r="A16765" s="46">
        <v>9196</v>
      </c>
      <c r="B16765" s="4" t="s">
        <v>44</v>
      </c>
      <c r="C16765" s="22" t="s">
        <v>1575</v>
      </c>
      <c r="D16765" s="18">
        <v>2021</v>
      </c>
      <c r="E16765" s="18"/>
      <c r="F16765" s="4">
        <v>1</v>
      </c>
      <c r="G16765" s="4">
        <v>10</v>
      </c>
      <c r="H16765" s="4">
        <v>79.646000000000001</v>
      </c>
      <c r="I16765" s="201"/>
      <c r="J16765" s="201"/>
    </row>
    <row r="16766" spans="1:10" s="15" customFormat="1" ht="19.5" hidden="1" customHeight="1" outlineLevel="1" x14ac:dyDescent="0.25">
      <c r="A16766" s="46">
        <v>9217</v>
      </c>
      <c r="B16766" s="4" t="s">
        <v>44</v>
      </c>
      <c r="C16766" s="22" t="s">
        <v>1576</v>
      </c>
      <c r="D16766" s="18">
        <v>2021</v>
      </c>
      <c r="E16766" s="18"/>
      <c r="F16766" s="4">
        <v>1</v>
      </c>
      <c r="G16766" s="4">
        <v>15</v>
      </c>
      <c r="H16766" s="4">
        <v>73.805999999999997</v>
      </c>
      <c r="I16766" s="201"/>
      <c r="J16766" s="201"/>
    </row>
    <row r="16767" spans="1:10" s="15" customFormat="1" ht="19.5" hidden="1" customHeight="1" outlineLevel="1" x14ac:dyDescent="0.25">
      <c r="A16767" s="46">
        <v>9212</v>
      </c>
      <c r="B16767" s="4" t="s">
        <v>44</v>
      </c>
      <c r="C16767" s="22" t="s">
        <v>1577</v>
      </c>
      <c r="D16767" s="18">
        <v>2021</v>
      </c>
      <c r="E16767" s="18"/>
      <c r="F16767" s="4">
        <v>1</v>
      </c>
      <c r="G16767" s="4">
        <v>15</v>
      </c>
      <c r="H16767" s="4">
        <v>73.007999999999996</v>
      </c>
      <c r="I16767" s="201"/>
      <c r="J16767" s="201"/>
    </row>
    <row r="16768" spans="1:10" s="15" customFormat="1" ht="19.5" hidden="1" customHeight="1" outlineLevel="1" x14ac:dyDescent="0.25">
      <c r="A16768" s="46">
        <v>10287</v>
      </c>
      <c r="B16768" s="4" t="s">
        <v>44</v>
      </c>
      <c r="C16768" s="22" t="s">
        <v>1578</v>
      </c>
      <c r="D16768" s="18">
        <v>2021</v>
      </c>
      <c r="E16768" s="18"/>
      <c r="F16768" s="4">
        <v>1</v>
      </c>
      <c r="G16768" s="4">
        <v>15</v>
      </c>
      <c r="H16768" s="4">
        <v>78.983999999999995</v>
      </c>
      <c r="I16768" s="201"/>
      <c r="J16768" s="201"/>
    </row>
    <row r="16769" spans="1:10" s="15" customFormat="1" ht="19.5" hidden="1" customHeight="1" outlineLevel="1" x14ac:dyDescent="0.25">
      <c r="A16769" s="46">
        <v>9207</v>
      </c>
      <c r="B16769" s="4" t="s">
        <v>44</v>
      </c>
      <c r="C16769" s="22" t="s">
        <v>1579</v>
      </c>
      <c r="D16769" s="18">
        <v>2021</v>
      </c>
      <c r="E16769" s="18"/>
      <c r="F16769" s="4">
        <v>1</v>
      </c>
      <c r="G16769" s="4">
        <v>15</v>
      </c>
      <c r="H16769" s="4">
        <v>30.968</v>
      </c>
      <c r="I16769" s="201"/>
      <c r="J16769" s="201"/>
    </row>
    <row r="16770" spans="1:10" s="15" customFormat="1" ht="19.5" hidden="1" customHeight="1" outlineLevel="1" x14ac:dyDescent="0.25">
      <c r="A16770" s="46">
        <v>9199</v>
      </c>
      <c r="B16770" s="4" t="s">
        <v>44</v>
      </c>
      <c r="C16770" s="22" t="s">
        <v>1580</v>
      </c>
      <c r="D16770" s="18">
        <v>2021</v>
      </c>
      <c r="E16770" s="18"/>
      <c r="F16770" s="4">
        <v>1</v>
      </c>
      <c r="G16770" s="4">
        <v>15</v>
      </c>
      <c r="H16770" s="4">
        <v>27.556000000000001</v>
      </c>
      <c r="I16770" s="201"/>
      <c r="J16770" s="201"/>
    </row>
    <row r="16771" spans="1:10" s="15" customFormat="1" ht="19.5" hidden="1" customHeight="1" outlineLevel="1" x14ac:dyDescent="0.25">
      <c r="A16771" s="46">
        <v>9208</v>
      </c>
      <c r="B16771" s="4" t="s">
        <v>44</v>
      </c>
      <c r="C16771" s="22" t="s">
        <v>1581</v>
      </c>
      <c r="D16771" s="18">
        <v>2021</v>
      </c>
      <c r="E16771" s="18"/>
      <c r="F16771" s="4">
        <v>1</v>
      </c>
      <c r="G16771" s="4">
        <v>15</v>
      </c>
      <c r="H16771" s="4">
        <v>30.588000000000001</v>
      </c>
      <c r="I16771" s="201"/>
      <c r="J16771" s="201"/>
    </row>
    <row r="16772" spans="1:10" s="15" customFormat="1" ht="19.5" hidden="1" customHeight="1" outlineLevel="1" x14ac:dyDescent="0.25">
      <c r="A16772" s="46">
        <v>9482</v>
      </c>
      <c r="B16772" s="4" t="s">
        <v>44</v>
      </c>
      <c r="C16772" s="22" t="s">
        <v>1582</v>
      </c>
      <c r="D16772" s="18">
        <v>2021</v>
      </c>
      <c r="E16772" s="18"/>
      <c r="F16772" s="4">
        <v>1</v>
      </c>
      <c r="G16772" s="4">
        <v>15</v>
      </c>
      <c r="H16772" s="4">
        <v>52.149000000000001</v>
      </c>
      <c r="I16772" s="201"/>
      <c r="J16772" s="201"/>
    </row>
    <row r="16773" spans="1:10" s="15" customFormat="1" ht="19.5" hidden="1" customHeight="1" outlineLevel="1" x14ac:dyDescent="0.25">
      <c r="A16773" s="46">
        <v>9474</v>
      </c>
      <c r="B16773" s="4" t="s">
        <v>44</v>
      </c>
      <c r="C16773" s="22" t="s">
        <v>440</v>
      </c>
      <c r="D16773" s="18">
        <v>2021</v>
      </c>
      <c r="E16773" s="18"/>
      <c r="F16773" s="4">
        <v>1</v>
      </c>
      <c r="G16773" s="4">
        <v>15</v>
      </c>
      <c r="H16773" s="4">
        <v>38.664000000000001</v>
      </c>
      <c r="I16773" s="201"/>
      <c r="J16773" s="201"/>
    </row>
    <row r="16774" spans="1:10" s="15" customFormat="1" ht="19.5" hidden="1" customHeight="1" outlineLevel="1" x14ac:dyDescent="0.25">
      <c r="A16774" s="46">
        <v>9505</v>
      </c>
      <c r="B16774" s="4" t="s">
        <v>44</v>
      </c>
      <c r="C16774" s="22" t="s">
        <v>441</v>
      </c>
      <c r="D16774" s="18">
        <v>2021</v>
      </c>
      <c r="E16774" s="18"/>
      <c r="F16774" s="4">
        <v>1</v>
      </c>
      <c r="G16774" s="4">
        <v>15</v>
      </c>
      <c r="H16774" s="4">
        <v>32.808</v>
      </c>
      <c r="I16774" s="201"/>
      <c r="J16774" s="201"/>
    </row>
    <row r="16775" spans="1:10" s="15" customFormat="1" ht="19.5" hidden="1" customHeight="1" outlineLevel="1" x14ac:dyDescent="0.25">
      <c r="A16775" s="46">
        <v>9460</v>
      </c>
      <c r="B16775" s="4" t="s">
        <v>44</v>
      </c>
      <c r="C16775" s="22" t="s">
        <v>442</v>
      </c>
      <c r="D16775" s="18">
        <v>2021</v>
      </c>
      <c r="E16775" s="18"/>
      <c r="F16775" s="4">
        <v>1</v>
      </c>
      <c r="G16775" s="4">
        <v>15</v>
      </c>
      <c r="H16775" s="4">
        <v>47.776000000000003</v>
      </c>
      <c r="I16775" s="201"/>
      <c r="J16775" s="201"/>
    </row>
    <row r="16776" spans="1:10" s="15" customFormat="1" ht="19.5" hidden="1" customHeight="1" outlineLevel="1" x14ac:dyDescent="0.25">
      <c r="A16776" s="18">
        <v>10901</v>
      </c>
      <c r="B16776" s="4" t="s">
        <v>44</v>
      </c>
      <c r="C16776" s="22" t="s">
        <v>443</v>
      </c>
      <c r="D16776" s="18">
        <v>2021</v>
      </c>
      <c r="E16776" s="18"/>
      <c r="F16776" s="4">
        <v>1</v>
      </c>
      <c r="G16776" s="4">
        <v>15</v>
      </c>
      <c r="H16776" s="4">
        <v>58.378</v>
      </c>
      <c r="I16776" s="201"/>
      <c r="J16776" s="201"/>
    </row>
    <row r="16777" spans="1:10" s="15" customFormat="1" ht="19.5" hidden="1" customHeight="1" outlineLevel="1" x14ac:dyDescent="0.25">
      <c r="A16777" s="46">
        <v>9469</v>
      </c>
      <c r="B16777" s="4" t="s">
        <v>44</v>
      </c>
      <c r="C16777" s="22" t="s">
        <v>444</v>
      </c>
      <c r="D16777" s="18">
        <v>2021</v>
      </c>
      <c r="E16777" s="18"/>
      <c r="F16777" s="4">
        <v>1</v>
      </c>
      <c r="G16777" s="4">
        <v>15</v>
      </c>
      <c r="H16777" s="4">
        <v>43.146000000000001</v>
      </c>
      <c r="I16777" s="201"/>
      <c r="J16777" s="201"/>
    </row>
    <row r="16778" spans="1:10" s="15" customFormat="1" ht="19.5" hidden="1" customHeight="1" outlineLevel="1" x14ac:dyDescent="0.25">
      <c r="A16778" s="46">
        <v>9459</v>
      </c>
      <c r="B16778" s="4" t="s">
        <v>44</v>
      </c>
      <c r="C16778" s="22" t="s">
        <v>445</v>
      </c>
      <c r="D16778" s="18">
        <v>2021</v>
      </c>
      <c r="E16778" s="18"/>
      <c r="F16778" s="4">
        <v>1</v>
      </c>
      <c r="G16778" s="4">
        <v>15</v>
      </c>
      <c r="H16778" s="4">
        <v>51.817</v>
      </c>
      <c r="I16778" s="201"/>
      <c r="J16778" s="201"/>
    </row>
    <row r="16779" spans="1:10" s="15" customFormat="1" ht="19.5" hidden="1" customHeight="1" outlineLevel="1" x14ac:dyDescent="0.25">
      <c r="A16779" s="46">
        <v>10297</v>
      </c>
      <c r="B16779" s="4" t="s">
        <v>44</v>
      </c>
      <c r="C16779" s="22" t="s">
        <v>1583</v>
      </c>
      <c r="D16779" s="18">
        <v>2021</v>
      </c>
      <c r="E16779" s="18"/>
      <c r="F16779" s="4">
        <v>1</v>
      </c>
      <c r="G16779" s="4">
        <v>15</v>
      </c>
      <c r="H16779" s="4">
        <v>37.134999999999998</v>
      </c>
      <c r="I16779" s="201"/>
      <c r="J16779" s="201"/>
    </row>
    <row r="16780" spans="1:10" s="15" customFormat="1" ht="19.5" hidden="1" customHeight="1" outlineLevel="1" x14ac:dyDescent="0.25">
      <c r="A16780" s="46">
        <v>10295</v>
      </c>
      <c r="B16780" s="4" t="s">
        <v>44</v>
      </c>
      <c r="C16780" s="22" t="s">
        <v>1584</v>
      </c>
      <c r="D16780" s="18">
        <v>2021</v>
      </c>
      <c r="E16780" s="18"/>
      <c r="F16780" s="4">
        <v>1</v>
      </c>
      <c r="G16780" s="4">
        <v>15</v>
      </c>
      <c r="H16780" s="4">
        <v>39.101999999999997</v>
      </c>
      <c r="I16780" s="201"/>
      <c r="J16780" s="201"/>
    </row>
    <row r="16781" spans="1:10" s="15" customFormat="1" ht="19.5" hidden="1" customHeight="1" outlineLevel="1" x14ac:dyDescent="0.25">
      <c r="A16781" s="45">
        <v>2201</v>
      </c>
      <c r="B16781" s="4" t="s">
        <v>44</v>
      </c>
      <c r="C16781" s="22" t="s">
        <v>1585</v>
      </c>
      <c r="D16781" s="18">
        <v>2021</v>
      </c>
      <c r="E16781" s="18"/>
      <c r="F16781" s="4">
        <v>1</v>
      </c>
      <c r="G16781" s="4">
        <v>15</v>
      </c>
      <c r="H16781" s="4">
        <v>36.616</v>
      </c>
      <c r="I16781" s="201"/>
      <c r="J16781" s="201"/>
    </row>
    <row r="16782" spans="1:10" s="15" customFormat="1" ht="19.5" hidden="1" customHeight="1" outlineLevel="1" x14ac:dyDescent="0.25">
      <c r="A16782" s="46">
        <v>10302</v>
      </c>
      <c r="B16782" s="4" t="s">
        <v>44</v>
      </c>
      <c r="C16782" s="22" t="s">
        <v>1586</v>
      </c>
      <c r="D16782" s="18">
        <v>2021</v>
      </c>
      <c r="E16782" s="18"/>
      <c r="F16782" s="4">
        <v>1</v>
      </c>
      <c r="G16782" s="4">
        <v>15</v>
      </c>
      <c r="H16782" s="4">
        <v>87.177000000000007</v>
      </c>
      <c r="I16782" s="201"/>
      <c r="J16782" s="201"/>
    </row>
    <row r="16783" spans="1:10" s="15" customFormat="1" ht="19.5" hidden="1" customHeight="1" outlineLevel="1" x14ac:dyDescent="0.25">
      <c r="A16783" s="46">
        <v>10296</v>
      </c>
      <c r="B16783" s="4" t="s">
        <v>44</v>
      </c>
      <c r="C16783" s="22" t="s">
        <v>1587</v>
      </c>
      <c r="D16783" s="18">
        <v>2021</v>
      </c>
      <c r="E16783" s="18"/>
      <c r="F16783" s="4">
        <v>1</v>
      </c>
      <c r="G16783" s="4">
        <v>8</v>
      </c>
      <c r="H16783" s="4">
        <v>36.984000000000002</v>
      </c>
      <c r="I16783" s="201"/>
      <c r="J16783" s="201"/>
    </row>
    <row r="16784" spans="1:10" s="15" customFormat="1" ht="19.5" hidden="1" customHeight="1" outlineLevel="1" x14ac:dyDescent="0.25">
      <c r="A16784" s="46">
        <v>10279</v>
      </c>
      <c r="B16784" s="4" t="s">
        <v>44</v>
      </c>
      <c r="C16784" s="22" t="s">
        <v>1588</v>
      </c>
      <c r="D16784" s="18">
        <v>2021</v>
      </c>
      <c r="E16784" s="18"/>
      <c r="F16784" s="4">
        <v>1</v>
      </c>
      <c r="G16784" s="4">
        <v>15</v>
      </c>
      <c r="H16784" s="4">
        <v>34.131</v>
      </c>
      <c r="I16784" s="201"/>
      <c r="J16784" s="201"/>
    </row>
    <row r="16785" spans="1:10" s="15" customFormat="1" ht="19.5" hidden="1" customHeight="1" outlineLevel="1" x14ac:dyDescent="0.25">
      <c r="A16785" s="46">
        <v>10286</v>
      </c>
      <c r="B16785" s="4" t="s">
        <v>44</v>
      </c>
      <c r="C16785" s="22" t="s">
        <v>1589</v>
      </c>
      <c r="D16785" s="18">
        <v>2021</v>
      </c>
      <c r="E16785" s="18"/>
      <c r="F16785" s="4">
        <v>1</v>
      </c>
      <c r="G16785" s="4">
        <v>15</v>
      </c>
      <c r="H16785" s="4">
        <v>38.25</v>
      </c>
      <c r="I16785" s="201"/>
      <c r="J16785" s="201"/>
    </row>
    <row r="16786" spans="1:10" s="15" customFormat="1" ht="19.5" hidden="1" customHeight="1" outlineLevel="1" x14ac:dyDescent="0.25">
      <c r="A16786" s="46">
        <v>10293</v>
      </c>
      <c r="B16786" s="4" t="s">
        <v>44</v>
      </c>
      <c r="C16786" s="22" t="s">
        <v>1590</v>
      </c>
      <c r="D16786" s="18">
        <v>2021</v>
      </c>
      <c r="E16786" s="18"/>
      <c r="F16786" s="4">
        <v>1</v>
      </c>
      <c r="G16786" s="4">
        <v>15</v>
      </c>
      <c r="H16786" s="4">
        <v>38.798999999999999</v>
      </c>
      <c r="I16786" s="201"/>
      <c r="J16786" s="201"/>
    </row>
    <row r="16787" spans="1:10" s="15" customFormat="1" ht="19.5" hidden="1" customHeight="1" outlineLevel="1" x14ac:dyDescent="0.25">
      <c r="A16787" s="45">
        <v>2202</v>
      </c>
      <c r="B16787" s="4" t="s">
        <v>44</v>
      </c>
      <c r="C16787" s="22" t="s">
        <v>1591</v>
      </c>
      <c r="D16787" s="18">
        <v>2021</v>
      </c>
      <c r="E16787" s="18"/>
      <c r="F16787" s="4">
        <v>1</v>
      </c>
      <c r="G16787" s="4">
        <v>15</v>
      </c>
      <c r="H16787" s="4">
        <v>35.073</v>
      </c>
      <c r="I16787" s="201"/>
      <c r="J16787" s="201"/>
    </row>
    <row r="16788" spans="1:10" s="15" customFormat="1" ht="19.5" hidden="1" customHeight="1" outlineLevel="1" x14ac:dyDescent="0.25">
      <c r="A16788" s="46">
        <v>10294</v>
      </c>
      <c r="B16788" s="4" t="s">
        <v>44</v>
      </c>
      <c r="C16788" s="22" t="s">
        <v>1592</v>
      </c>
      <c r="D16788" s="18">
        <v>2021</v>
      </c>
      <c r="E16788" s="18"/>
      <c r="F16788" s="4">
        <v>1</v>
      </c>
      <c r="G16788" s="4">
        <v>15</v>
      </c>
      <c r="H16788" s="4">
        <v>39.423999999999999</v>
      </c>
      <c r="I16788" s="201"/>
      <c r="J16788" s="201"/>
    </row>
    <row r="16789" spans="1:10" s="15" customFormat="1" ht="19.5" hidden="1" customHeight="1" outlineLevel="1" x14ac:dyDescent="0.25">
      <c r="A16789" s="46">
        <v>10284</v>
      </c>
      <c r="B16789" s="4" t="s">
        <v>44</v>
      </c>
      <c r="C16789" s="22" t="s">
        <v>1593</v>
      </c>
      <c r="D16789" s="18">
        <v>2021</v>
      </c>
      <c r="E16789" s="18"/>
      <c r="F16789" s="4">
        <v>1</v>
      </c>
      <c r="G16789" s="4">
        <v>10</v>
      </c>
      <c r="H16789" s="4">
        <v>36.322000000000003</v>
      </c>
      <c r="I16789" s="201"/>
      <c r="J16789" s="201"/>
    </row>
    <row r="16790" spans="1:10" s="15" customFormat="1" ht="19.5" hidden="1" customHeight="1" outlineLevel="1" x14ac:dyDescent="0.25">
      <c r="A16790" s="46">
        <v>10281</v>
      </c>
      <c r="B16790" s="4" t="s">
        <v>44</v>
      </c>
      <c r="C16790" s="22" t="s">
        <v>1594</v>
      </c>
      <c r="D16790" s="18">
        <v>2021</v>
      </c>
      <c r="E16790" s="18"/>
      <c r="F16790" s="4">
        <v>1</v>
      </c>
      <c r="G16790" s="4">
        <v>15</v>
      </c>
      <c r="H16790" s="4">
        <v>44.668999999999997</v>
      </c>
      <c r="I16790" s="201"/>
      <c r="J16790" s="201"/>
    </row>
    <row r="16791" spans="1:10" s="15" customFormat="1" ht="19.5" hidden="1" customHeight="1" outlineLevel="1" x14ac:dyDescent="0.25">
      <c r="A16791" s="46">
        <v>10292</v>
      </c>
      <c r="B16791" s="4" t="s">
        <v>44</v>
      </c>
      <c r="C16791" s="22" t="s">
        <v>1595</v>
      </c>
      <c r="D16791" s="18">
        <v>2021</v>
      </c>
      <c r="E16791" s="18"/>
      <c r="F16791" s="4">
        <v>1</v>
      </c>
      <c r="G16791" s="4">
        <v>15</v>
      </c>
      <c r="H16791" s="4">
        <v>37.902999999999999</v>
      </c>
      <c r="I16791" s="201"/>
      <c r="J16791" s="201"/>
    </row>
    <row r="16792" spans="1:10" s="15" customFormat="1" ht="19.5" hidden="1" customHeight="1" outlineLevel="1" x14ac:dyDescent="0.25">
      <c r="A16792" s="46">
        <v>10304</v>
      </c>
      <c r="B16792" s="4" t="s">
        <v>44</v>
      </c>
      <c r="C16792" s="22" t="s">
        <v>1596</v>
      </c>
      <c r="D16792" s="18">
        <v>2021</v>
      </c>
      <c r="E16792" s="18"/>
      <c r="F16792" s="4">
        <v>1</v>
      </c>
      <c r="G16792" s="4">
        <v>15</v>
      </c>
      <c r="H16792" s="4">
        <v>28.288</v>
      </c>
      <c r="I16792" s="201"/>
      <c r="J16792" s="201"/>
    </row>
    <row r="16793" spans="1:10" s="15" customFormat="1" ht="19.5" hidden="1" customHeight="1" outlineLevel="1" x14ac:dyDescent="0.25">
      <c r="A16793" s="46">
        <v>9497</v>
      </c>
      <c r="B16793" s="4" t="s">
        <v>44</v>
      </c>
      <c r="C16793" s="22" t="s">
        <v>446</v>
      </c>
      <c r="D16793" s="18">
        <v>2021</v>
      </c>
      <c r="E16793" s="18"/>
      <c r="F16793" s="4">
        <v>3</v>
      </c>
      <c r="G16793" s="4">
        <v>45</v>
      </c>
      <c r="H16793" s="4">
        <v>107.339</v>
      </c>
      <c r="I16793" s="201"/>
      <c r="J16793" s="201"/>
    </row>
    <row r="16794" spans="1:10" s="15" customFormat="1" ht="19.5" hidden="1" customHeight="1" outlineLevel="1" x14ac:dyDescent="0.25">
      <c r="A16794" s="46">
        <v>9510</v>
      </c>
      <c r="B16794" s="4" t="s">
        <v>44</v>
      </c>
      <c r="C16794" s="22" t="s">
        <v>1597</v>
      </c>
      <c r="D16794" s="18">
        <v>2021</v>
      </c>
      <c r="E16794" s="18"/>
      <c r="F16794" s="4">
        <v>1</v>
      </c>
      <c r="G16794" s="4">
        <v>100</v>
      </c>
      <c r="H16794" s="4">
        <v>66.305000000000007</v>
      </c>
      <c r="I16794" s="201"/>
      <c r="J16794" s="201"/>
    </row>
    <row r="16795" spans="1:10" s="15" customFormat="1" ht="19.5" hidden="1" customHeight="1" outlineLevel="1" x14ac:dyDescent="0.25">
      <c r="A16795" s="46">
        <v>10289</v>
      </c>
      <c r="B16795" s="4" t="s">
        <v>44</v>
      </c>
      <c r="C16795" s="22" t="s">
        <v>1598</v>
      </c>
      <c r="D16795" s="18">
        <v>2021</v>
      </c>
      <c r="E16795" s="18"/>
      <c r="F16795" s="4">
        <v>1</v>
      </c>
      <c r="G16795" s="4">
        <v>15</v>
      </c>
      <c r="H16795" s="4">
        <v>32.630000000000003</v>
      </c>
      <c r="I16795" s="201"/>
      <c r="J16795" s="201"/>
    </row>
    <row r="16796" spans="1:10" s="15" customFormat="1" ht="19.5" hidden="1" customHeight="1" outlineLevel="1" x14ac:dyDescent="0.25">
      <c r="A16796" s="46">
        <v>10291</v>
      </c>
      <c r="B16796" s="4" t="s">
        <v>44</v>
      </c>
      <c r="C16796" s="22" t="s">
        <v>1599</v>
      </c>
      <c r="D16796" s="18">
        <v>2021</v>
      </c>
      <c r="E16796" s="18"/>
      <c r="F16796" s="4">
        <v>1</v>
      </c>
      <c r="G16796" s="4">
        <v>10</v>
      </c>
      <c r="H16796" s="4">
        <v>30.379000000000001</v>
      </c>
      <c r="I16796" s="201"/>
      <c r="J16796" s="201"/>
    </row>
    <row r="16797" spans="1:10" s="15" customFormat="1" ht="19.5" hidden="1" customHeight="1" outlineLevel="1" x14ac:dyDescent="0.25">
      <c r="A16797" s="46">
        <v>10282</v>
      </c>
      <c r="B16797" s="4" t="s">
        <v>44</v>
      </c>
      <c r="C16797" s="22" t="s">
        <v>1600</v>
      </c>
      <c r="D16797" s="18">
        <v>2021</v>
      </c>
      <c r="E16797" s="18"/>
      <c r="F16797" s="4">
        <v>1</v>
      </c>
      <c r="G16797" s="4">
        <v>15</v>
      </c>
      <c r="H16797" s="4">
        <v>33.923000000000002</v>
      </c>
      <c r="I16797" s="201"/>
      <c r="J16797" s="201"/>
    </row>
    <row r="16798" spans="1:10" s="15" customFormat="1" ht="19.5" hidden="1" customHeight="1" outlineLevel="1" x14ac:dyDescent="0.25">
      <c r="A16798" s="46">
        <v>10290</v>
      </c>
      <c r="B16798" s="4" t="s">
        <v>44</v>
      </c>
      <c r="C16798" s="22" t="s">
        <v>1601</v>
      </c>
      <c r="D16798" s="18">
        <v>2021</v>
      </c>
      <c r="E16798" s="18"/>
      <c r="F16798" s="4">
        <v>1</v>
      </c>
      <c r="G16798" s="4">
        <v>15</v>
      </c>
      <c r="H16798" s="4">
        <v>33.847999999999999</v>
      </c>
      <c r="I16798" s="201"/>
      <c r="J16798" s="201"/>
    </row>
    <row r="16799" spans="1:10" s="15" customFormat="1" ht="19.5" hidden="1" customHeight="1" outlineLevel="1" x14ac:dyDescent="0.25">
      <c r="A16799" s="46">
        <v>10299</v>
      </c>
      <c r="B16799" s="4" t="s">
        <v>44</v>
      </c>
      <c r="C16799" s="22" t="s">
        <v>1602</v>
      </c>
      <c r="D16799" s="18">
        <v>2021</v>
      </c>
      <c r="E16799" s="18"/>
      <c r="F16799" s="4">
        <v>1</v>
      </c>
      <c r="G16799" s="4">
        <v>15</v>
      </c>
      <c r="H16799" s="4">
        <v>31.143000000000001</v>
      </c>
      <c r="I16799" s="201"/>
      <c r="J16799" s="201"/>
    </row>
    <row r="16800" spans="1:10" s="15" customFormat="1" ht="19.5" hidden="1" customHeight="1" outlineLevel="1" x14ac:dyDescent="0.25">
      <c r="A16800" s="46">
        <v>10298</v>
      </c>
      <c r="B16800" s="4" t="s">
        <v>44</v>
      </c>
      <c r="C16800" s="22" t="s">
        <v>1603</v>
      </c>
      <c r="D16800" s="18">
        <v>2021</v>
      </c>
      <c r="E16800" s="18"/>
      <c r="F16800" s="4">
        <v>1</v>
      </c>
      <c r="G16800" s="4">
        <v>15</v>
      </c>
      <c r="H16800" s="4">
        <v>29.890999999999998</v>
      </c>
      <c r="I16800" s="201"/>
      <c r="J16800" s="201"/>
    </row>
    <row r="16801" spans="1:10" s="15" customFormat="1" ht="19.5" hidden="1" customHeight="1" outlineLevel="1" x14ac:dyDescent="0.25">
      <c r="A16801" s="46">
        <v>10305</v>
      </c>
      <c r="B16801" s="4" t="s">
        <v>44</v>
      </c>
      <c r="C16801" s="22" t="s">
        <v>1604</v>
      </c>
      <c r="D16801" s="18">
        <v>2021</v>
      </c>
      <c r="E16801" s="18"/>
      <c r="F16801" s="4">
        <v>1</v>
      </c>
      <c r="G16801" s="4">
        <v>15</v>
      </c>
      <c r="H16801" s="4">
        <v>32.515999999999998</v>
      </c>
      <c r="I16801" s="201"/>
      <c r="J16801" s="201"/>
    </row>
    <row r="16802" spans="1:10" s="15" customFormat="1" ht="19.5" hidden="1" customHeight="1" outlineLevel="1" x14ac:dyDescent="0.25">
      <c r="A16802" s="46">
        <v>10303</v>
      </c>
      <c r="B16802" s="4" t="s">
        <v>44</v>
      </c>
      <c r="C16802" s="22" t="s">
        <v>1605</v>
      </c>
      <c r="D16802" s="18">
        <v>2021</v>
      </c>
      <c r="E16802" s="18"/>
      <c r="F16802" s="4">
        <v>1</v>
      </c>
      <c r="G16802" s="4">
        <v>15</v>
      </c>
      <c r="H16802" s="4">
        <v>32.505000000000003</v>
      </c>
      <c r="I16802" s="201"/>
      <c r="J16802" s="201"/>
    </row>
    <row r="16803" spans="1:10" s="15" customFormat="1" ht="19.5" hidden="1" customHeight="1" outlineLevel="1" x14ac:dyDescent="0.25">
      <c r="A16803" s="46">
        <v>10285</v>
      </c>
      <c r="B16803" s="4" t="s">
        <v>44</v>
      </c>
      <c r="C16803" s="22" t="s">
        <v>1606</v>
      </c>
      <c r="D16803" s="18">
        <v>2021</v>
      </c>
      <c r="E16803" s="18"/>
      <c r="F16803" s="4">
        <v>1</v>
      </c>
      <c r="G16803" s="4">
        <v>15</v>
      </c>
      <c r="H16803" s="4">
        <v>35.957000000000001</v>
      </c>
      <c r="I16803" s="201"/>
      <c r="J16803" s="201"/>
    </row>
    <row r="16804" spans="1:10" s="15" customFormat="1" ht="19.5" hidden="1" customHeight="1" outlineLevel="1" x14ac:dyDescent="0.25">
      <c r="A16804" s="46">
        <v>10307</v>
      </c>
      <c r="B16804" s="4" t="s">
        <v>44</v>
      </c>
      <c r="C16804" s="22" t="s">
        <v>1607</v>
      </c>
      <c r="D16804" s="18">
        <v>2021</v>
      </c>
      <c r="E16804" s="18"/>
      <c r="F16804" s="4">
        <v>1</v>
      </c>
      <c r="G16804" s="4">
        <v>3.12</v>
      </c>
      <c r="H16804" s="4">
        <v>24.797999999999998</v>
      </c>
      <c r="I16804" s="201"/>
      <c r="J16804" s="201"/>
    </row>
    <row r="16805" spans="1:10" s="15" customFormat="1" ht="19.5" hidden="1" customHeight="1" outlineLevel="1" x14ac:dyDescent="0.25">
      <c r="A16805" s="46">
        <v>9501</v>
      </c>
      <c r="B16805" s="4" t="s">
        <v>44</v>
      </c>
      <c r="C16805" s="22" t="s">
        <v>901</v>
      </c>
      <c r="D16805" s="18">
        <v>2021</v>
      </c>
      <c r="E16805" s="18"/>
      <c r="F16805" s="4">
        <v>3</v>
      </c>
      <c r="G16805" s="4">
        <v>115</v>
      </c>
      <c r="H16805" s="4">
        <v>72.733000000000004</v>
      </c>
      <c r="I16805" s="201"/>
      <c r="J16805" s="201"/>
    </row>
    <row r="16806" spans="1:10" s="15" customFormat="1" ht="19.5" hidden="1" customHeight="1" outlineLevel="1" x14ac:dyDescent="0.25">
      <c r="A16806" s="46">
        <v>9481</v>
      </c>
      <c r="B16806" s="4" t="s">
        <v>44</v>
      </c>
      <c r="C16806" s="22" t="s">
        <v>1608</v>
      </c>
      <c r="D16806" s="18">
        <v>2021</v>
      </c>
      <c r="E16806" s="18"/>
      <c r="F16806" s="4">
        <v>1</v>
      </c>
      <c r="G16806" s="4">
        <v>7.5</v>
      </c>
      <c r="H16806" s="4">
        <v>54.896999999999998</v>
      </c>
      <c r="I16806" s="201"/>
      <c r="J16806" s="201"/>
    </row>
    <row r="16807" spans="1:10" s="15" customFormat="1" ht="19.5" hidden="1" customHeight="1" outlineLevel="1" x14ac:dyDescent="0.25">
      <c r="A16807" s="46">
        <v>10283</v>
      </c>
      <c r="B16807" s="4" t="s">
        <v>44</v>
      </c>
      <c r="C16807" s="22" t="s">
        <v>1609</v>
      </c>
      <c r="D16807" s="18">
        <v>2021</v>
      </c>
      <c r="E16807" s="18"/>
      <c r="F16807" s="4">
        <v>1</v>
      </c>
      <c r="G16807" s="4">
        <v>15</v>
      </c>
      <c r="H16807" s="4">
        <v>31.998000000000001</v>
      </c>
      <c r="I16807" s="201"/>
      <c r="J16807" s="201"/>
    </row>
    <row r="16808" spans="1:10" s="15" customFormat="1" ht="19.5" hidden="1" customHeight="1" outlineLevel="1" x14ac:dyDescent="0.25">
      <c r="A16808" s="46">
        <v>9466</v>
      </c>
      <c r="B16808" s="4" t="s">
        <v>44</v>
      </c>
      <c r="C16808" s="22" t="s">
        <v>1610</v>
      </c>
      <c r="D16808" s="18">
        <v>2021</v>
      </c>
      <c r="E16808" s="18"/>
      <c r="F16808" s="4">
        <v>1</v>
      </c>
      <c r="G16808" s="4">
        <v>15</v>
      </c>
      <c r="H16808" s="4">
        <v>53.488</v>
      </c>
      <c r="I16808" s="201"/>
      <c r="J16808" s="201"/>
    </row>
    <row r="16809" spans="1:10" s="15" customFormat="1" ht="19.5" hidden="1" customHeight="1" outlineLevel="1" x14ac:dyDescent="0.25">
      <c r="A16809" s="46">
        <v>9503</v>
      </c>
      <c r="B16809" s="4" t="s">
        <v>44</v>
      </c>
      <c r="C16809" s="22" t="s">
        <v>450</v>
      </c>
      <c r="D16809" s="18">
        <v>2021</v>
      </c>
      <c r="E16809" s="18"/>
      <c r="F16809" s="4">
        <v>1</v>
      </c>
      <c r="G16809" s="4">
        <v>100</v>
      </c>
      <c r="H16809" s="4">
        <v>52.945</v>
      </c>
      <c r="I16809" s="201"/>
      <c r="J16809" s="201"/>
    </row>
    <row r="16810" spans="1:10" s="15" customFormat="1" ht="19.5" hidden="1" customHeight="1" outlineLevel="1" x14ac:dyDescent="0.25">
      <c r="A16810" s="46">
        <v>10280</v>
      </c>
      <c r="B16810" s="4" t="s">
        <v>44</v>
      </c>
      <c r="C16810" s="22" t="s">
        <v>1611</v>
      </c>
      <c r="D16810" s="18">
        <v>2021</v>
      </c>
      <c r="E16810" s="18"/>
      <c r="F16810" s="4">
        <v>1</v>
      </c>
      <c r="G16810" s="4">
        <v>15</v>
      </c>
      <c r="H16810" s="4">
        <v>32.570999999999998</v>
      </c>
      <c r="I16810" s="201"/>
      <c r="J16810" s="201"/>
    </row>
    <row r="16811" spans="1:10" s="15" customFormat="1" ht="19.5" hidden="1" customHeight="1" outlineLevel="1" x14ac:dyDescent="0.25">
      <c r="A16811" s="46">
        <v>10277</v>
      </c>
      <c r="B16811" s="4" t="s">
        <v>44</v>
      </c>
      <c r="C16811" s="22" t="s">
        <v>1612</v>
      </c>
      <c r="D16811" s="18">
        <v>2021</v>
      </c>
      <c r="E16811" s="18"/>
      <c r="F16811" s="4">
        <v>1</v>
      </c>
      <c r="G16811" s="4">
        <v>15</v>
      </c>
      <c r="H16811" s="4">
        <v>34.75</v>
      </c>
      <c r="I16811" s="201"/>
      <c r="J16811" s="201"/>
    </row>
    <row r="16812" spans="1:10" s="15" customFormat="1" ht="19.5" hidden="1" customHeight="1" outlineLevel="1" x14ac:dyDescent="0.25">
      <c r="A16812" s="46">
        <v>10301</v>
      </c>
      <c r="B16812" s="4" t="s">
        <v>44</v>
      </c>
      <c r="C16812" s="22" t="s">
        <v>1613</v>
      </c>
      <c r="D16812" s="18">
        <v>2021</v>
      </c>
      <c r="E16812" s="18"/>
      <c r="F16812" s="4">
        <v>1</v>
      </c>
      <c r="G16812" s="4">
        <v>15</v>
      </c>
      <c r="H16812" s="4">
        <v>35.503999999999998</v>
      </c>
      <c r="I16812" s="201"/>
      <c r="J16812" s="201"/>
    </row>
    <row r="16813" spans="1:10" s="15" customFormat="1" ht="19.5" hidden="1" customHeight="1" outlineLevel="1" x14ac:dyDescent="0.25">
      <c r="A16813" s="46">
        <v>9502</v>
      </c>
      <c r="B16813" s="4" t="s">
        <v>44</v>
      </c>
      <c r="C16813" s="22" t="s">
        <v>452</v>
      </c>
      <c r="D16813" s="18">
        <v>2021</v>
      </c>
      <c r="E16813" s="18"/>
      <c r="F16813" s="4">
        <v>1</v>
      </c>
      <c r="G16813" s="4">
        <v>15</v>
      </c>
      <c r="H16813" s="4">
        <v>102.81</v>
      </c>
      <c r="I16813" s="201"/>
      <c r="J16813" s="201"/>
    </row>
    <row r="16814" spans="1:10" s="15" customFormat="1" ht="19.5" hidden="1" customHeight="1" outlineLevel="1" x14ac:dyDescent="0.25">
      <c r="A16814" s="46">
        <v>9495</v>
      </c>
      <c r="B16814" s="4" t="s">
        <v>44</v>
      </c>
      <c r="C16814" s="22" t="s">
        <v>453</v>
      </c>
      <c r="D16814" s="18">
        <v>2021</v>
      </c>
      <c r="E16814" s="18"/>
      <c r="F16814" s="4">
        <v>1</v>
      </c>
      <c r="G16814" s="4">
        <v>15</v>
      </c>
      <c r="H16814" s="4">
        <v>165.33600000000001</v>
      </c>
      <c r="I16814" s="201"/>
      <c r="J16814" s="201"/>
    </row>
    <row r="16815" spans="1:10" s="15" customFormat="1" ht="19.5" hidden="1" customHeight="1" outlineLevel="1" x14ac:dyDescent="0.25">
      <c r="A16815" s="46">
        <v>9103</v>
      </c>
      <c r="B16815" s="4" t="s">
        <v>44</v>
      </c>
      <c r="C16815" s="22" t="s">
        <v>1614</v>
      </c>
      <c r="D16815" s="18">
        <v>2021</v>
      </c>
      <c r="E16815" s="18"/>
      <c r="F16815" s="4">
        <v>1</v>
      </c>
      <c r="G16815" s="4">
        <v>15</v>
      </c>
      <c r="H16815" s="4">
        <v>32.177</v>
      </c>
      <c r="I16815" s="201"/>
      <c r="J16815" s="201"/>
    </row>
    <row r="16816" spans="1:10" s="15" customFormat="1" ht="19.5" hidden="1" customHeight="1" outlineLevel="1" x14ac:dyDescent="0.25">
      <c r="A16816" s="46">
        <v>9499</v>
      </c>
      <c r="B16816" s="4" t="s">
        <v>44</v>
      </c>
      <c r="C16816" s="22" t="s">
        <v>454</v>
      </c>
      <c r="D16816" s="18">
        <v>2021</v>
      </c>
      <c r="E16816" s="18"/>
      <c r="F16816" s="4">
        <v>1</v>
      </c>
      <c r="G16816" s="4">
        <v>15</v>
      </c>
      <c r="H16816" s="4">
        <v>59.594000000000001</v>
      </c>
      <c r="I16816" s="201"/>
      <c r="J16816" s="201"/>
    </row>
    <row r="16817" spans="1:10" s="15" customFormat="1" ht="19.5" hidden="1" customHeight="1" outlineLevel="1" x14ac:dyDescent="0.25">
      <c r="A16817" s="46">
        <v>9102</v>
      </c>
      <c r="B16817" s="4" t="s">
        <v>44</v>
      </c>
      <c r="C16817" s="22" t="s">
        <v>1615</v>
      </c>
      <c r="D16817" s="18">
        <v>2021</v>
      </c>
      <c r="E16817" s="18"/>
      <c r="F16817" s="4">
        <v>1</v>
      </c>
      <c r="G16817" s="4">
        <v>15</v>
      </c>
      <c r="H16817" s="4">
        <v>38.570999999999998</v>
      </c>
      <c r="I16817" s="201"/>
      <c r="J16817" s="201"/>
    </row>
    <row r="16818" spans="1:10" s="15" customFormat="1" ht="19.5" hidden="1" customHeight="1" outlineLevel="1" x14ac:dyDescent="0.25">
      <c r="A16818" s="46">
        <v>9500</v>
      </c>
      <c r="B16818" s="4" t="s">
        <v>44</v>
      </c>
      <c r="C16818" s="22" t="s">
        <v>455</v>
      </c>
      <c r="D16818" s="18">
        <v>2021</v>
      </c>
      <c r="E16818" s="18"/>
      <c r="F16818" s="4">
        <v>1</v>
      </c>
      <c r="G16818" s="4">
        <v>15</v>
      </c>
      <c r="H16818" s="4">
        <v>49.920999999999999</v>
      </c>
      <c r="I16818" s="201"/>
      <c r="J16818" s="201"/>
    </row>
    <row r="16819" spans="1:10" s="15" customFormat="1" ht="19.5" hidden="1" customHeight="1" outlineLevel="1" x14ac:dyDescent="0.25">
      <c r="A16819" s="46">
        <v>9478</v>
      </c>
      <c r="B16819" s="4" t="s">
        <v>44</v>
      </c>
      <c r="C16819" s="22" t="s">
        <v>456</v>
      </c>
      <c r="D16819" s="18">
        <v>2021</v>
      </c>
      <c r="E16819" s="18"/>
      <c r="F16819" s="4">
        <v>1</v>
      </c>
      <c r="G16819" s="4">
        <v>15</v>
      </c>
      <c r="H16819" s="4">
        <v>89.468999999999994</v>
      </c>
      <c r="I16819" s="201"/>
      <c r="J16819" s="201"/>
    </row>
    <row r="16820" spans="1:10" s="15" customFormat="1" ht="19.5" hidden="1" customHeight="1" outlineLevel="1" x14ac:dyDescent="0.25">
      <c r="A16820" s="46">
        <v>10288</v>
      </c>
      <c r="B16820" s="4" t="s">
        <v>44</v>
      </c>
      <c r="C16820" s="22" t="s">
        <v>1616</v>
      </c>
      <c r="D16820" s="18">
        <v>2021</v>
      </c>
      <c r="E16820" s="18"/>
      <c r="F16820" s="4">
        <v>1</v>
      </c>
      <c r="G16820" s="4">
        <v>15</v>
      </c>
      <c r="H16820" s="4">
        <v>27.81</v>
      </c>
      <c r="I16820" s="201"/>
      <c r="J16820" s="201"/>
    </row>
    <row r="16821" spans="1:10" s="15" customFormat="1" ht="19.5" hidden="1" customHeight="1" outlineLevel="1" x14ac:dyDescent="0.25">
      <c r="A16821" s="46">
        <v>10300</v>
      </c>
      <c r="B16821" s="4" t="s">
        <v>44</v>
      </c>
      <c r="C16821" s="22" t="s">
        <v>1617</v>
      </c>
      <c r="D16821" s="18">
        <v>2021</v>
      </c>
      <c r="E16821" s="18"/>
      <c r="F16821" s="4">
        <v>1</v>
      </c>
      <c r="G16821" s="4">
        <v>10</v>
      </c>
      <c r="H16821" s="4">
        <v>31.899000000000001</v>
      </c>
      <c r="I16821" s="201"/>
      <c r="J16821" s="201"/>
    </row>
    <row r="16822" spans="1:10" s="15" customFormat="1" ht="19.5" hidden="1" customHeight="1" outlineLevel="1" x14ac:dyDescent="0.25">
      <c r="A16822" s="45">
        <v>2204</v>
      </c>
      <c r="B16822" s="4" t="s">
        <v>44</v>
      </c>
      <c r="C16822" s="22" t="s">
        <v>1618</v>
      </c>
      <c r="D16822" s="18">
        <v>2021</v>
      </c>
      <c r="E16822" s="18"/>
      <c r="F16822" s="4">
        <v>1</v>
      </c>
      <c r="G16822" s="4">
        <v>15</v>
      </c>
      <c r="H16822" s="4">
        <v>30.672999999999998</v>
      </c>
      <c r="I16822" s="201"/>
      <c r="J16822" s="201"/>
    </row>
    <row r="16823" spans="1:10" s="15" customFormat="1" ht="19.5" hidden="1" customHeight="1" outlineLevel="1" x14ac:dyDescent="0.25">
      <c r="A16823" s="46">
        <v>10306</v>
      </c>
      <c r="B16823" s="4" t="s">
        <v>44</v>
      </c>
      <c r="C16823" s="22" t="s">
        <v>1619</v>
      </c>
      <c r="D16823" s="18">
        <v>2021</v>
      </c>
      <c r="E16823" s="18"/>
      <c r="F16823" s="4">
        <v>1</v>
      </c>
      <c r="G16823" s="4">
        <v>15</v>
      </c>
      <c r="H16823" s="4">
        <v>30.878</v>
      </c>
      <c r="I16823" s="201"/>
      <c r="J16823" s="201"/>
    </row>
    <row r="16824" spans="1:10" s="15" customFormat="1" ht="19.5" hidden="1" customHeight="1" outlineLevel="1" x14ac:dyDescent="0.25">
      <c r="A16824" s="46">
        <v>10278</v>
      </c>
      <c r="B16824" s="4" t="s">
        <v>44</v>
      </c>
      <c r="C16824" s="22" t="s">
        <v>1620</v>
      </c>
      <c r="D16824" s="18">
        <v>2021</v>
      </c>
      <c r="E16824" s="18"/>
      <c r="F16824" s="4">
        <v>1</v>
      </c>
      <c r="G16824" s="4">
        <v>15</v>
      </c>
      <c r="H16824" s="4">
        <v>34.567999999999998</v>
      </c>
      <c r="I16824" s="201"/>
      <c r="J16824" s="201"/>
    </row>
    <row r="16825" spans="1:10" s="15" customFormat="1" ht="19.5" hidden="1" customHeight="1" outlineLevel="1" x14ac:dyDescent="0.25">
      <c r="A16825" s="45">
        <v>362</v>
      </c>
      <c r="B16825" s="4" t="s">
        <v>44</v>
      </c>
      <c r="C16825" s="22" t="s">
        <v>459</v>
      </c>
      <c r="D16825" s="18">
        <v>2021</v>
      </c>
      <c r="E16825" s="18"/>
      <c r="F16825" s="4">
        <v>1</v>
      </c>
      <c r="G16825" s="4">
        <v>15</v>
      </c>
      <c r="H16825" s="4">
        <v>38</v>
      </c>
      <c r="I16825" s="201"/>
      <c r="J16825" s="201"/>
    </row>
    <row r="16826" spans="1:10" s="15" customFormat="1" ht="19.5" hidden="1" customHeight="1" outlineLevel="1" x14ac:dyDescent="0.25">
      <c r="A16826" s="46">
        <v>9433</v>
      </c>
      <c r="B16826" s="4" t="s">
        <v>44</v>
      </c>
      <c r="C16826" s="22" t="s">
        <v>460</v>
      </c>
      <c r="D16826" s="18">
        <v>2021</v>
      </c>
      <c r="E16826" s="18"/>
      <c r="F16826" s="4">
        <v>1</v>
      </c>
      <c r="G16826" s="4">
        <v>15</v>
      </c>
      <c r="H16826" s="4">
        <v>25</v>
      </c>
      <c r="I16826" s="201"/>
      <c r="J16826" s="201"/>
    </row>
    <row r="16827" spans="1:10" s="15" customFormat="1" ht="19.5" hidden="1" customHeight="1" outlineLevel="1" x14ac:dyDescent="0.25">
      <c r="A16827" s="46">
        <v>9321</v>
      </c>
      <c r="B16827" s="4" t="s">
        <v>44</v>
      </c>
      <c r="C16827" s="22" t="s">
        <v>461</v>
      </c>
      <c r="D16827" s="18">
        <v>2021</v>
      </c>
      <c r="E16827" s="18"/>
      <c r="F16827" s="4">
        <v>1</v>
      </c>
      <c r="G16827" s="4">
        <v>15</v>
      </c>
      <c r="H16827" s="4">
        <v>30</v>
      </c>
      <c r="I16827" s="201"/>
      <c r="J16827" s="201"/>
    </row>
    <row r="16828" spans="1:10" s="15" customFormat="1" ht="19.5" hidden="1" customHeight="1" outlineLevel="1" x14ac:dyDescent="0.25">
      <c r="A16828" s="45">
        <v>1124</v>
      </c>
      <c r="B16828" s="4" t="s">
        <v>44</v>
      </c>
      <c r="C16828" s="22" t="s">
        <v>462</v>
      </c>
      <c r="D16828" s="18">
        <v>2021</v>
      </c>
      <c r="E16828" s="18"/>
      <c r="F16828" s="4">
        <v>1</v>
      </c>
      <c r="G16828" s="4">
        <v>150</v>
      </c>
      <c r="H16828" s="4">
        <v>23</v>
      </c>
      <c r="I16828" s="201"/>
      <c r="J16828" s="201"/>
    </row>
    <row r="16829" spans="1:10" s="15" customFormat="1" ht="19.5" hidden="1" customHeight="1" outlineLevel="1" x14ac:dyDescent="0.25">
      <c r="A16829" s="46">
        <v>9451</v>
      </c>
      <c r="B16829" s="4" t="s">
        <v>44</v>
      </c>
      <c r="C16829" s="22" t="s">
        <v>723</v>
      </c>
      <c r="D16829" s="18">
        <v>2021</v>
      </c>
      <c r="E16829" s="18"/>
      <c r="F16829" s="4">
        <v>1</v>
      </c>
      <c r="G16829" s="4">
        <v>150</v>
      </c>
      <c r="H16829" s="4">
        <v>25</v>
      </c>
      <c r="I16829" s="201"/>
      <c r="J16829" s="201"/>
    </row>
    <row r="16830" spans="1:10" s="15" customFormat="1" ht="19.5" hidden="1" customHeight="1" outlineLevel="1" x14ac:dyDescent="0.25">
      <c r="A16830" s="46">
        <v>9087</v>
      </c>
      <c r="B16830" s="4" t="s">
        <v>44</v>
      </c>
      <c r="C16830" s="22" t="s">
        <v>465</v>
      </c>
      <c r="D16830" s="18">
        <v>2021</v>
      </c>
      <c r="E16830" s="18"/>
      <c r="F16830" s="4">
        <v>1</v>
      </c>
      <c r="G16830" s="4">
        <v>15</v>
      </c>
      <c r="H16830" s="4">
        <v>39</v>
      </c>
      <c r="I16830" s="201"/>
      <c r="J16830" s="201"/>
    </row>
    <row r="16831" spans="1:10" s="15" customFormat="1" ht="19.5" hidden="1" customHeight="1" outlineLevel="1" x14ac:dyDescent="0.25">
      <c r="A16831" s="46">
        <v>9300</v>
      </c>
      <c r="B16831" s="4" t="s">
        <v>44</v>
      </c>
      <c r="C16831" s="22" t="s">
        <v>466</v>
      </c>
      <c r="D16831" s="18">
        <v>2021</v>
      </c>
      <c r="E16831" s="18"/>
      <c r="F16831" s="4">
        <v>1</v>
      </c>
      <c r="G16831" s="4">
        <v>15</v>
      </c>
      <c r="H16831" s="4">
        <v>38</v>
      </c>
      <c r="I16831" s="201"/>
      <c r="J16831" s="201"/>
    </row>
    <row r="16832" spans="1:10" s="15" customFormat="1" ht="19.5" hidden="1" customHeight="1" outlineLevel="1" x14ac:dyDescent="0.25">
      <c r="A16832" s="45">
        <v>543</v>
      </c>
      <c r="B16832" s="4" t="s">
        <v>44</v>
      </c>
      <c r="C16832" s="22" t="s">
        <v>468</v>
      </c>
      <c r="D16832" s="18">
        <v>2021</v>
      </c>
      <c r="E16832" s="18"/>
      <c r="F16832" s="4">
        <v>1</v>
      </c>
      <c r="G16832" s="4">
        <v>40</v>
      </c>
      <c r="H16832" s="4">
        <v>39</v>
      </c>
      <c r="I16832" s="201"/>
      <c r="J16832" s="201"/>
    </row>
    <row r="16833" spans="1:10" s="15" customFormat="1" ht="19.5" hidden="1" customHeight="1" outlineLevel="1" x14ac:dyDescent="0.25">
      <c r="A16833" s="46">
        <v>10124</v>
      </c>
      <c r="B16833" s="4" t="s">
        <v>44</v>
      </c>
      <c r="C16833" s="22" t="s">
        <v>1621</v>
      </c>
      <c r="D16833" s="18">
        <v>2021</v>
      </c>
      <c r="E16833" s="18"/>
      <c r="F16833" s="4">
        <v>1</v>
      </c>
      <c r="G16833" s="4">
        <v>15</v>
      </c>
      <c r="H16833" s="4">
        <v>26</v>
      </c>
      <c r="I16833" s="201"/>
      <c r="J16833" s="201"/>
    </row>
    <row r="16834" spans="1:10" s="15" customFormat="1" ht="19.5" hidden="1" customHeight="1" outlineLevel="1" x14ac:dyDescent="0.25">
      <c r="A16834" s="46">
        <v>10125</v>
      </c>
      <c r="B16834" s="4" t="s">
        <v>44</v>
      </c>
      <c r="C16834" s="22" t="s">
        <v>1622</v>
      </c>
      <c r="D16834" s="18">
        <v>2021</v>
      </c>
      <c r="E16834" s="18"/>
      <c r="F16834" s="4">
        <v>1</v>
      </c>
      <c r="G16834" s="4">
        <v>15</v>
      </c>
      <c r="H16834" s="4">
        <v>26</v>
      </c>
      <c r="I16834" s="201"/>
      <c r="J16834" s="201"/>
    </row>
    <row r="16835" spans="1:10" s="15" customFormat="1" ht="19.5" hidden="1" customHeight="1" outlineLevel="1" x14ac:dyDescent="0.25">
      <c r="A16835" s="46">
        <v>10154</v>
      </c>
      <c r="B16835" s="4" t="s">
        <v>44</v>
      </c>
      <c r="C16835" s="22" t="s">
        <v>1623</v>
      </c>
      <c r="D16835" s="18">
        <v>2021</v>
      </c>
      <c r="E16835" s="18"/>
      <c r="F16835" s="4">
        <v>1</v>
      </c>
      <c r="G16835" s="4">
        <v>15</v>
      </c>
      <c r="H16835" s="4">
        <v>26</v>
      </c>
      <c r="I16835" s="201"/>
      <c r="J16835" s="201"/>
    </row>
    <row r="16836" spans="1:10" s="15" customFormat="1" ht="19.5" hidden="1" customHeight="1" outlineLevel="1" x14ac:dyDescent="0.25">
      <c r="A16836" s="46">
        <v>10159</v>
      </c>
      <c r="B16836" s="4" t="s">
        <v>44</v>
      </c>
      <c r="C16836" s="22" t="s">
        <v>1624</v>
      </c>
      <c r="D16836" s="18">
        <v>2021</v>
      </c>
      <c r="E16836" s="18"/>
      <c r="F16836" s="4">
        <v>1</v>
      </c>
      <c r="G16836" s="4">
        <v>15</v>
      </c>
      <c r="H16836" s="4">
        <v>26</v>
      </c>
      <c r="I16836" s="201"/>
      <c r="J16836" s="201"/>
    </row>
    <row r="16837" spans="1:10" s="15" customFormat="1" ht="19.5" hidden="1" customHeight="1" outlineLevel="1" x14ac:dyDescent="0.25">
      <c r="A16837" s="46">
        <v>10181</v>
      </c>
      <c r="B16837" s="4" t="s">
        <v>44</v>
      </c>
      <c r="C16837" s="22" t="s">
        <v>1625</v>
      </c>
      <c r="D16837" s="18">
        <v>2021</v>
      </c>
      <c r="E16837" s="18"/>
      <c r="F16837" s="4">
        <v>1</v>
      </c>
      <c r="G16837" s="4">
        <v>15</v>
      </c>
      <c r="H16837" s="4">
        <v>26</v>
      </c>
      <c r="I16837" s="201"/>
      <c r="J16837" s="201"/>
    </row>
    <row r="16838" spans="1:10" s="15" customFormat="1" ht="19.5" hidden="1" customHeight="1" outlineLevel="1" x14ac:dyDescent="0.25">
      <c r="A16838" s="46">
        <v>10127</v>
      </c>
      <c r="B16838" s="4" t="s">
        <v>44</v>
      </c>
      <c r="C16838" s="22" t="s">
        <v>1626</v>
      </c>
      <c r="D16838" s="18">
        <v>2021</v>
      </c>
      <c r="E16838" s="18"/>
      <c r="F16838" s="4">
        <v>1</v>
      </c>
      <c r="G16838" s="4">
        <v>15</v>
      </c>
      <c r="H16838" s="4">
        <v>26</v>
      </c>
      <c r="I16838" s="201"/>
      <c r="J16838" s="201"/>
    </row>
    <row r="16839" spans="1:10" s="15" customFormat="1" ht="19.5" hidden="1" customHeight="1" outlineLevel="1" x14ac:dyDescent="0.25">
      <c r="A16839" s="46">
        <v>10129</v>
      </c>
      <c r="B16839" s="4" t="s">
        <v>44</v>
      </c>
      <c r="C16839" s="22" t="s">
        <v>1627</v>
      </c>
      <c r="D16839" s="18">
        <v>2021</v>
      </c>
      <c r="E16839" s="18"/>
      <c r="F16839" s="4">
        <v>1</v>
      </c>
      <c r="G16839" s="4">
        <v>15</v>
      </c>
      <c r="H16839" s="4">
        <v>27</v>
      </c>
      <c r="I16839" s="201"/>
      <c r="J16839" s="201"/>
    </row>
    <row r="16840" spans="1:10" s="15" customFormat="1" ht="19.5" hidden="1" customHeight="1" outlineLevel="1" x14ac:dyDescent="0.25">
      <c r="A16840" s="46">
        <v>10133</v>
      </c>
      <c r="B16840" s="4" t="s">
        <v>44</v>
      </c>
      <c r="C16840" s="22" t="s">
        <v>1628</v>
      </c>
      <c r="D16840" s="18">
        <v>2021</v>
      </c>
      <c r="E16840" s="18"/>
      <c r="F16840" s="4">
        <v>1</v>
      </c>
      <c r="G16840" s="4">
        <v>15</v>
      </c>
      <c r="H16840" s="4">
        <v>26</v>
      </c>
      <c r="I16840" s="201"/>
      <c r="J16840" s="201"/>
    </row>
    <row r="16841" spans="1:10" s="15" customFormat="1" ht="19.5" hidden="1" customHeight="1" outlineLevel="1" x14ac:dyDescent="0.25">
      <c r="A16841" s="46">
        <v>10134</v>
      </c>
      <c r="B16841" s="4" t="s">
        <v>44</v>
      </c>
      <c r="C16841" s="22" t="s">
        <v>1629</v>
      </c>
      <c r="D16841" s="18">
        <v>2021</v>
      </c>
      <c r="E16841" s="18"/>
      <c r="F16841" s="4">
        <v>1</v>
      </c>
      <c r="G16841" s="4">
        <v>15</v>
      </c>
      <c r="H16841" s="4">
        <v>26</v>
      </c>
      <c r="I16841" s="201"/>
      <c r="J16841" s="201"/>
    </row>
    <row r="16842" spans="1:10" s="15" customFormat="1" ht="19.5" hidden="1" customHeight="1" outlineLevel="1" x14ac:dyDescent="0.25">
      <c r="A16842" s="46">
        <v>10155</v>
      </c>
      <c r="B16842" s="4" t="s">
        <v>44</v>
      </c>
      <c r="C16842" s="22" t="s">
        <v>1630</v>
      </c>
      <c r="D16842" s="18">
        <v>2021</v>
      </c>
      <c r="E16842" s="18"/>
      <c r="F16842" s="4">
        <v>1</v>
      </c>
      <c r="G16842" s="4">
        <v>7</v>
      </c>
      <c r="H16842" s="4">
        <v>26</v>
      </c>
      <c r="I16842" s="201"/>
      <c r="J16842" s="201"/>
    </row>
    <row r="16843" spans="1:10" s="15" customFormat="1" ht="19.5" hidden="1" customHeight="1" outlineLevel="1" x14ac:dyDescent="0.25">
      <c r="A16843" s="45">
        <v>2089</v>
      </c>
      <c r="B16843" s="4" t="s">
        <v>44</v>
      </c>
      <c r="C16843" s="22" t="s">
        <v>1631</v>
      </c>
      <c r="D16843" s="18">
        <v>2021</v>
      </c>
      <c r="E16843" s="18"/>
      <c r="F16843" s="4">
        <v>1</v>
      </c>
      <c r="G16843" s="4">
        <v>14</v>
      </c>
      <c r="H16843" s="4">
        <v>27</v>
      </c>
      <c r="I16843" s="201"/>
      <c r="J16843" s="201"/>
    </row>
    <row r="16844" spans="1:10" s="15" customFormat="1" ht="19.5" hidden="1" customHeight="1" outlineLevel="1" x14ac:dyDescent="0.25">
      <c r="A16844" s="46">
        <v>10158</v>
      </c>
      <c r="B16844" s="4" t="s">
        <v>44</v>
      </c>
      <c r="C16844" s="22" t="s">
        <v>1632</v>
      </c>
      <c r="D16844" s="18">
        <v>2021</v>
      </c>
      <c r="E16844" s="18"/>
      <c r="F16844" s="4">
        <v>1</v>
      </c>
      <c r="G16844" s="4">
        <v>15</v>
      </c>
      <c r="H16844" s="4">
        <v>26</v>
      </c>
      <c r="I16844" s="201"/>
      <c r="J16844" s="201"/>
    </row>
    <row r="16845" spans="1:10" s="15" customFormat="1" ht="19.5" hidden="1" customHeight="1" outlineLevel="1" x14ac:dyDescent="0.25">
      <c r="A16845" s="45">
        <v>2094</v>
      </c>
      <c r="B16845" s="4" t="s">
        <v>44</v>
      </c>
      <c r="C16845" s="22" t="s">
        <v>1633</v>
      </c>
      <c r="D16845" s="18">
        <v>2021</v>
      </c>
      <c r="E16845" s="18"/>
      <c r="F16845" s="4">
        <v>1</v>
      </c>
      <c r="G16845" s="4">
        <v>15</v>
      </c>
      <c r="H16845" s="4">
        <v>26</v>
      </c>
      <c r="I16845" s="201"/>
      <c r="J16845" s="201"/>
    </row>
    <row r="16846" spans="1:10" s="15" customFormat="1" ht="19.5" hidden="1" customHeight="1" outlineLevel="1" x14ac:dyDescent="0.25">
      <c r="A16846" s="46">
        <v>10172</v>
      </c>
      <c r="B16846" s="4" t="s">
        <v>44</v>
      </c>
      <c r="C16846" s="22" t="s">
        <v>1634</v>
      </c>
      <c r="D16846" s="18">
        <v>2021</v>
      </c>
      <c r="E16846" s="18"/>
      <c r="F16846" s="4">
        <v>1</v>
      </c>
      <c r="G16846" s="4">
        <v>15</v>
      </c>
      <c r="H16846" s="4">
        <v>26</v>
      </c>
      <c r="I16846" s="201"/>
      <c r="J16846" s="201"/>
    </row>
    <row r="16847" spans="1:10" s="15" customFormat="1" ht="19.5" hidden="1" customHeight="1" outlineLevel="1" x14ac:dyDescent="0.25">
      <c r="A16847" s="46">
        <v>10175</v>
      </c>
      <c r="B16847" s="4" t="s">
        <v>44</v>
      </c>
      <c r="C16847" s="22" t="s">
        <v>1635</v>
      </c>
      <c r="D16847" s="18">
        <v>2021</v>
      </c>
      <c r="E16847" s="18"/>
      <c r="F16847" s="4">
        <v>1</v>
      </c>
      <c r="G16847" s="4">
        <v>30</v>
      </c>
      <c r="H16847" s="4">
        <v>27</v>
      </c>
      <c r="I16847" s="201"/>
      <c r="J16847" s="201"/>
    </row>
    <row r="16848" spans="1:10" s="15" customFormat="1" ht="19.5" hidden="1" customHeight="1" outlineLevel="1" x14ac:dyDescent="0.25">
      <c r="A16848" s="46">
        <v>10179</v>
      </c>
      <c r="B16848" s="4" t="s">
        <v>44</v>
      </c>
      <c r="C16848" s="22" t="s">
        <v>1636</v>
      </c>
      <c r="D16848" s="18">
        <v>2021</v>
      </c>
      <c r="E16848" s="18"/>
      <c r="F16848" s="4">
        <v>1</v>
      </c>
      <c r="G16848" s="4">
        <v>15</v>
      </c>
      <c r="H16848" s="4">
        <v>26</v>
      </c>
      <c r="I16848" s="201"/>
      <c r="J16848" s="201"/>
    </row>
    <row r="16849" spans="1:10" s="15" customFormat="1" ht="19.5" hidden="1" customHeight="1" outlineLevel="1" x14ac:dyDescent="0.25">
      <c r="A16849" s="46">
        <v>10184</v>
      </c>
      <c r="B16849" s="4" t="s">
        <v>44</v>
      </c>
      <c r="C16849" s="22" t="s">
        <v>1637</v>
      </c>
      <c r="D16849" s="18">
        <v>2021</v>
      </c>
      <c r="E16849" s="18"/>
      <c r="F16849" s="4">
        <v>1</v>
      </c>
      <c r="G16849" s="4">
        <v>15</v>
      </c>
      <c r="H16849" s="4">
        <v>27</v>
      </c>
      <c r="I16849" s="201"/>
      <c r="J16849" s="201"/>
    </row>
    <row r="16850" spans="1:10" s="15" customFormat="1" ht="19.5" hidden="1" customHeight="1" outlineLevel="1" x14ac:dyDescent="0.25">
      <c r="A16850" s="46">
        <v>10191</v>
      </c>
      <c r="B16850" s="4" t="s">
        <v>44</v>
      </c>
      <c r="C16850" s="22" t="s">
        <v>1638</v>
      </c>
      <c r="D16850" s="18">
        <v>2021</v>
      </c>
      <c r="E16850" s="18"/>
      <c r="F16850" s="4">
        <v>1</v>
      </c>
      <c r="G16850" s="4">
        <v>15</v>
      </c>
      <c r="H16850" s="4">
        <v>26</v>
      </c>
      <c r="I16850" s="201"/>
      <c r="J16850" s="201"/>
    </row>
    <row r="16851" spans="1:10" s="15" customFormat="1" ht="19.5" hidden="1" customHeight="1" outlineLevel="1" x14ac:dyDescent="0.25">
      <c r="A16851" s="46">
        <v>10200</v>
      </c>
      <c r="B16851" s="4" t="s">
        <v>44</v>
      </c>
      <c r="C16851" s="22" t="s">
        <v>1639</v>
      </c>
      <c r="D16851" s="18">
        <v>2021</v>
      </c>
      <c r="E16851" s="18"/>
      <c r="F16851" s="4">
        <v>1</v>
      </c>
      <c r="G16851" s="4">
        <v>15</v>
      </c>
      <c r="H16851" s="4">
        <v>26</v>
      </c>
      <c r="I16851" s="201"/>
      <c r="J16851" s="201"/>
    </row>
    <row r="16852" spans="1:10" s="15" customFormat="1" ht="19.5" hidden="1" customHeight="1" outlineLevel="1" x14ac:dyDescent="0.25">
      <c r="A16852" s="46">
        <v>10066</v>
      </c>
      <c r="B16852" s="4" t="s">
        <v>44</v>
      </c>
      <c r="C16852" s="22" t="s">
        <v>1640</v>
      </c>
      <c r="D16852" s="18">
        <v>2021</v>
      </c>
      <c r="E16852" s="18"/>
      <c r="F16852" s="4">
        <v>1</v>
      </c>
      <c r="G16852" s="4">
        <v>15</v>
      </c>
      <c r="H16852" s="4">
        <v>38</v>
      </c>
      <c r="I16852" s="201"/>
      <c r="J16852" s="201"/>
    </row>
    <row r="16853" spans="1:10" s="15" customFormat="1" ht="19.5" hidden="1" customHeight="1" outlineLevel="1" x14ac:dyDescent="0.25">
      <c r="A16853" s="46">
        <v>10078</v>
      </c>
      <c r="B16853" s="4" t="s">
        <v>44</v>
      </c>
      <c r="C16853" s="22" t="s">
        <v>1641</v>
      </c>
      <c r="D16853" s="18">
        <v>2021</v>
      </c>
      <c r="E16853" s="18"/>
      <c r="F16853" s="4">
        <v>1</v>
      </c>
      <c r="G16853" s="4">
        <v>15</v>
      </c>
      <c r="H16853" s="4">
        <v>34</v>
      </c>
      <c r="I16853" s="201"/>
      <c r="J16853" s="201"/>
    </row>
    <row r="16854" spans="1:10" s="15" customFormat="1" ht="19.5" hidden="1" customHeight="1" outlineLevel="1" x14ac:dyDescent="0.25">
      <c r="A16854" s="45">
        <v>2069</v>
      </c>
      <c r="B16854" s="4" t="s">
        <v>44</v>
      </c>
      <c r="C16854" s="22" t="s">
        <v>1642</v>
      </c>
      <c r="D16854" s="18">
        <v>2021</v>
      </c>
      <c r="E16854" s="18"/>
      <c r="F16854" s="4">
        <v>1</v>
      </c>
      <c r="G16854" s="4">
        <v>15</v>
      </c>
      <c r="H16854" s="4">
        <v>27</v>
      </c>
      <c r="I16854" s="201"/>
      <c r="J16854" s="201"/>
    </row>
    <row r="16855" spans="1:10" s="15" customFormat="1" ht="19.5" hidden="1" customHeight="1" outlineLevel="1" x14ac:dyDescent="0.25">
      <c r="A16855" s="46">
        <v>10128</v>
      </c>
      <c r="B16855" s="4" t="s">
        <v>44</v>
      </c>
      <c r="C16855" s="22" t="s">
        <v>1643</v>
      </c>
      <c r="D16855" s="18">
        <v>2021</v>
      </c>
      <c r="E16855" s="18"/>
      <c r="F16855" s="4">
        <v>1</v>
      </c>
      <c r="G16855" s="4">
        <v>15</v>
      </c>
      <c r="H16855" s="4">
        <v>26</v>
      </c>
      <c r="I16855" s="201"/>
      <c r="J16855" s="201"/>
    </row>
    <row r="16856" spans="1:10" s="15" customFormat="1" ht="19.5" hidden="1" customHeight="1" outlineLevel="1" x14ac:dyDescent="0.25">
      <c r="A16856" s="46">
        <v>10131</v>
      </c>
      <c r="B16856" s="4" t="s">
        <v>44</v>
      </c>
      <c r="C16856" s="22" t="s">
        <v>1644</v>
      </c>
      <c r="D16856" s="18">
        <v>2021</v>
      </c>
      <c r="E16856" s="18"/>
      <c r="F16856" s="4">
        <v>1</v>
      </c>
      <c r="G16856" s="4">
        <v>15</v>
      </c>
      <c r="H16856" s="4">
        <v>27</v>
      </c>
      <c r="I16856" s="201"/>
      <c r="J16856" s="201"/>
    </row>
    <row r="16857" spans="1:10" s="15" customFormat="1" ht="19.5" hidden="1" customHeight="1" outlineLevel="1" x14ac:dyDescent="0.25">
      <c r="A16857" s="46">
        <v>10136</v>
      </c>
      <c r="B16857" s="4" t="s">
        <v>44</v>
      </c>
      <c r="C16857" s="22" t="s">
        <v>1645</v>
      </c>
      <c r="D16857" s="18">
        <v>2021</v>
      </c>
      <c r="E16857" s="18"/>
      <c r="F16857" s="4">
        <v>1</v>
      </c>
      <c r="G16857" s="4">
        <v>15</v>
      </c>
      <c r="H16857" s="4">
        <v>26</v>
      </c>
      <c r="I16857" s="201"/>
      <c r="J16857" s="201"/>
    </row>
    <row r="16858" spans="1:10" s="15" customFormat="1" ht="19.5" hidden="1" customHeight="1" outlineLevel="1" x14ac:dyDescent="0.25">
      <c r="A16858" s="46">
        <v>10137</v>
      </c>
      <c r="B16858" s="4" t="s">
        <v>44</v>
      </c>
      <c r="C16858" s="22" t="s">
        <v>1646</v>
      </c>
      <c r="D16858" s="18">
        <v>2021</v>
      </c>
      <c r="E16858" s="18"/>
      <c r="F16858" s="4">
        <v>1</v>
      </c>
      <c r="G16858" s="4">
        <v>15</v>
      </c>
      <c r="H16858" s="4">
        <v>26</v>
      </c>
      <c r="I16858" s="201"/>
      <c r="J16858" s="201"/>
    </row>
    <row r="16859" spans="1:10" s="15" customFormat="1" ht="19.5" hidden="1" customHeight="1" outlineLevel="1" x14ac:dyDescent="0.25">
      <c r="A16859" s="46">
        <v>10144</v>
      </c>
      <c r="B16859" s="4" t="s">
        <v>44</v>
      </c>
      <c r="C16859" s="22" t="s">
        <v>1647</v>
      </c>
      <c r="D16859" s="18">
        <v>2021</v>
      </c>
      <c r="E16859" s="18"/>
      <c r="F16859" s="4">
        <v>1</v>
      </c>
      <c r="G16859" s="4">
        <v>30</v>
      </c>
      <c r="H16859" s="4">
        <v>26</v>
      </c>
      <c r="I16859" s="201"/>
      <c r="J16859" s="201"/>
    </row>
    <row r="16860" spans="1:10" s="15" customFormat="1" ht="19.5" hidden="1" customHeight="1" outlineLevel="1" x14ac:dyDescent="0.25">
      <c r="A16860" s="46">
        <v>10150</v>
      </c>
      <c r="B16860" s="4" t="s">
        <v>44</v>
      </c>
      <c r="C16860" s="22" t="s">
        <v>1648</v>
      </c>
      <c r="D16860" s="18">
        <v>2021</v>
      </c>
      <c r="E16860" s="18"/>
      <c r="F16860" s="4">
        <v>1</v>
      </c>
      <c r="G16860" s="4">
        <v>15</v>
      </c>
      <c r="H16860" s="4">
        <v>26</v>
      </c>
      <c r="I16860" s="201"/>
      <c r="J16860" s="201"/>
    </row>
    <row r="16861" spans="1:10" s="15" customFormat="1" ht="19.5" hidden="1" customHeight="1" outlineLevel="1" x14ac:dyDescent="0.25">
      <c r="A16861" s="46">
        <v>10151</v>
      </c>
      <c r="B16861" s="4" t="s">
        <v>44</v>
      </c>
      <c r="C16861" s="22" t="s">
        <v>1649</v>
      </c>
      <c r="D16861" s="18">
        <v>2021</v>
      </c>
      <c r="E16861" s="18"/>
      <c r="F16861" s="4">
        <v>1</v>
      </c>
      <c r="G16861" s="4">
        <v>5</v>
      </c>
      <c r="H16861" s="4">
        <v>25</v>
      </c>
      <c r="I16861" s="201"/>
      <c r="J16861" s="201"/>
    </row>
    <row r="16862" spans="1:10" s="15" customFormat="1" ht="19.5" hidden="1" customHeight="1" outlineLevel="1" x14ac:dyDescent="0.25">
      <c r="A16862" s="46">
        <v>10162</v>
      </c>
      <c r="B16862" s="4" t="s">
        <v>44</v>
      </c>
      <c r="C16862" s="22" t="s">
        <v>1650</v>
      </c>
      <c r="D16862" s="18">
        <v>2021</v>
      </c>
      <c r="E16862" s="18"/>
      <c r="F16862" s="4">
        <v>1</v>
      </c>
      <c r="G16862" s="4">
        <v>15</v>
      </c>
      <c r="H16862" s="4">
        <v>27</v>
      </c>
      <c r="I16862" s="201"/>
      <c r="J16862" s="201"/>
    </row>
    <row r="16863" spans="1:10" s="15" customFormat="1" ht="19.5" hidden="1" customHeight="1" outlineLevel="1" x14ac:dyDescent="0.25">
      <c r="A16863" s="46">
        <v>10168</v>
      </c>
      <c r="B16863" s="4" t="s">
        <v>44</v>
      </c>
      <c r="C16863" s="22" t="s">
        <v>1651</v>
      </c>
      <c r="D16863" s="18">
        <v>2021</v>
      </c>
      <c r="E16863" s="18"/>
      <c r="F16863" s="4">
        <v>1</v>
      </c>
      <c r="G16863" s="4">
        <v>15</v>
      </c>
      <c r="H16863" s="4">
        <v>26</v>
      </c>
      <c r="I16863" s="201"/>
      <c r="J16863" s="201"/>
    </row>
    <row r="16864" spans="1:10" s="15" customFormat="1" ht="19.5" hidden="1" customHeight="1" outlineLevel="1" x14ac:dyDescent="0.25">
      <c r="A16864" s="46">
        <v>10169</v>
      </c>
      <c r="B16864" s="4" t="s">
        <v>44</v>
      </c>
      <c r="C16864" s="22" t="s">
        <v>1652</v>
      </c>
      <c r="D16864" s="18">
        <v>2021</v>
      </c>
      <c r="E16864" s="18"/>
      <c r="F16864" s="4">
        <v>1</v>
      </c>
      <c r="G16864" s="4">
        <v>15</v>
      </c>
      <c r="H16864" s="4">
        <v>26</v>
      </c>
      <c r="I16864" s="201"/>
      <c r="J16864" s="201"/>
    </row>
    <row r="16865" spans="1:10" s="15" customFormat="1" ht="19.5" hidden="1" customHeight="1" outlineLevel="1" x14ac:dyDescent="0.25">
      <c r="A16865" s="46">
        <v>10170</v>
      </c>
      <c r="B16865" s="4" t="s">
        <v>44</v>
      </c>
      <c r="C16865" s="22" t="s">
        <v>1653</v>
      </c>
      <c r="D16865" s="18">
        <v>2021</v>
      </c>
      <c r="E16865" s="18"/>
      <c r="F16865" s="4">
        <v>1</v>
      </c>
      <c r="G16865" s="4">
        <v>15</v>
      </c>
      <c r="H16865" s="4">
        <v>26</v>
      </c>
      <c r="I16865" s="201"/>
      <c r="J16865" s="201"/>
    </row>
    <row r="16866" spans="1:10" s="15" customFormat="1" ht="19.5" hidden="1" customHeight="1" outlineLevel="1" x14ac:dyDescent="0.25">
      <c r="A16866" s="46">
        <v>10171</v>
      </c>
      <c r="B16866" s="4" t="s">
        <v>44</v>
      </c>
      <c r="C16866" s="22" t="s">
        <v>1654</v>
      </c>
      <c r="D16866" s="18">
        <v>2021</v>
      </c>
      <c r="E16866" s="18"/>
      <c r="F16866" s="4">
        <v>1</v>
      </c>
      <c r="G16866" s="4">
        <v>15</v>
      </c>
      <c r="H16866" s="4">
        <v>27</v>
      </c>
      <c r="I16866" s="201"/>
      <c r="J16866" s="201"/>
    </row>
    <row r="16867" spans="1:10" s="15" customFormat="1" ht="19.5" hidden="1" customHeight="1" outlineLevel="1" x14ac:dyDescent="0.25">
      <c r="A16867" s="46">
        <v>10178</v>
      </c>
      <c r="B16867" s="4" t="s">
        <v>44</v>
      </c>
      <c r="C16867" s="22" t="s">
        <v>1655</v>
      </c>
      <c r="D16867" s="18">
        <v>2021</v>
      </c>
      <c r="E16867" s="18"/>
      <c r="F16867" s="4">
        <v>1</v>
      </c>
      <c r="G16867" s="4">
        <v>15</v>
      </c>
      <c r="H16867" s="4">
        <v>27</v>
      </c>
      <c r="I16867" s="201"/>
      <c r="J16867" s="201"/>
    </row>
    <row r="16868" spans="1:10" s="15" customFormat="1" ht="19.5" hidden="1" customHeight="1" outlineLevel="1" x14ac:dyDescent="0.25">
      <c r="A16868" s="46">
        <v>10188</v>
      </c>
      <c r="B16868" s="4" t="s">
        <v>44</v>
      </c>
      <c r="C16868" s="22" t="s">
        <v>1656</v>
      </c>
      <c r="D16868" s="18">
        <v>2021</v>
      </c>
      <c r="E16868" s="18"/>
      <c r="F16868" s="4">
        <v>1</v>
      </c>
      <c r="G16868" s="4">
        <v>15</v>
      </c>
      <c r="H16868" s="4">
        <v>26</v>
      </c>
      <c r="I16868" s="201"/>
      <c r="J16868" s="201"/>
    </row>
    <row r="16869" spans="1:10" s="15" customFormat="1" ht="19.5" hidden="1" customHeight="1" outlineLevel="1" x14ac:dyDescent="0.25">
      <c r="A16869" s="46">
        <v>10189</v>
      </c>
      <c r="B16869" s="4" t="s">
        <v>44</v>
      </c>
      <c r="C16869" s="22" t="s">
        <v>1657</v>
      </c>
      <c r="D16869" s="18">
        <v>2021</v>
      </c>
      <c r="E16869" s="18"/>
      <c r="F16869" s="4">
        <v>1</v>
      </c>
      <c r="G16869" s="4">
        <v>15</v>
      </c>
      <c r="H16869" s="4">
        <v>26</v>
      </c>
      <c r="I16869" s="201"/>
      <c r="J16869" s="201"/>
    </row>
    <row r="16870" spans="1:10" s="15" customFormat="1" ht="19.5" hidden="1" customHeight="1" outlineLevel="1" x14ac:dyDescent="0.25">
      <c r="A16870" s="46">
        <v>10190</v>
      </c>
      <c r="B16870" s="4" t="s">
        <v>44</v>
      </c>
      <c r="C16870" s="22" t="s">
        <v>1658</v>
      </c>
      <c r="D16870" s="18">
        <v>2021</v>
      </c>
      <c r="E16870" s="18"/>
      <c r="F16870" s="4">
        <v>1</v>
      </c>
      <c r="G16870" s="4">
        <v>15</v>
      </c>
      <c r="H16870" s="4">
        <v>26</v>
      </c>
      <c r="I16870" s="201"/>
      <c r="J16870" s="201"/>
    </row>
    <row r="16871" spans="1:10" s="15" customFormat="1" ht="19.5" hidden="1" customHeight="1" outlineLevel="1" x14ac:dyDescent="0.25">
      <c r="A16871" s="46">
        <v>10193</v>
      </c>
      <c r="B16871" s="4" t="s">
        <v>44</v>
      </c>
      <c r="C16871" s="22" t="s">
        <v>1659</v>
      </c>
      <c r="D16871" s="18">
        <v>2021</v>
      </c>
      <c r="E16871" s="18"/>
      <c r="F16871" s="4">
        <v>1</v>
      </c>
      <c r="G16871" s="4">
        <v>15</v>
      </c>
      <c r="H16871" s="4">
        <v>26</v>
      </c>
      <c r="I16871" s="201"/>
      <c r="J16871" s="201"/>
    </row>
    <row r="16872" spans="1:10" s="15" customFormat="1" ht="19.5" hidden="1" customHeight="1" outlineLevel="1" x14ac:dyDescent="0.25">
      <c r="A16872" s="46">
        <v>10325</v>
      </c>
      <c r="B16872" s="4" t="s">
        <v>44</v>
      </c>
      <c r="C16872" s="22" t="s">
        <v>1660</v>
      </c>
      <c r="D16872" s="18">
        <v>2021</v>
      </c>
      <c r="E16872" s="18"/>
      <c r="F16872" s="4">
        <v>2</v>
      </c>
      <c r="G16872" s="4">
        <v>30</v>
      </c>
      <c r="H16872" s="4">
        <v>48</v>
      </c>
      <c r="I16872" s="201"/>
      <c r="J16872" s="201"/>
    </row>
    <row r="16873" spans="1:10" s="15" customFormat="1" ht="19.5" hidden="1" customHeight="1" outlineLevel="1" x14ac:dyDescent="0.25">
      <c r="A16873" s="46">
        <v>10326</v>
      </c>
      <c r="B16873" s="4" t="s">
        <v>44</v>
      </c>
      <c r="C16873" s="22" t="s">
        <v>1661</v>
      </c>
      <c r="D16873" s="18">
        <v>2021</v>
      </c>
      <c r="E16873" s="18"/>
      <c r="F16873" s="4">
        <v>2</v>
      </c>
      <c r="G16873" s="4">
        <v>30</v>
      </c>
      <c r="H16873" s="4">
        <v>50</v>
      </c>
      <c r="I16873" s="201"/>
      <c r="J16873" s="201"/>
    </row>
    <row r="16874" spans="1:10" s="15" customFormat="1" ht="19.5" hidden="1" customHeight="1" outlineLevel="1" x14ac:dyDescent="0.25">
      <c r="A16874" s="46">
        <v>10203</v>
      </c>
      <c r="B16874" s="4" t="s">
        <v>44</v>
      </c>
      <c r="C16874" s="22" t="s">
        <v>1662</v>
      </c>
      <c r="D16874" s="18">
        <v>2021</v>
      </c>
      <c r="E16874" s="18"/>
      <c r="F16874" s="4">
        <v>3</v>
      </c>
      <c r="G16874" s="4">
        <v>45</v>
      </c>
      <c r="H16874" s="4">
        <v>75</v>
      </c>
      <c r="I16874" s="201"/>
      <c r="J16874" s="201"/>
    </row>
    <row r="16875" spans="1:10" s="15" customFormat="1" ht="19.5" hidden="1" customHeight="1" outlineLevel="1" x14ac:dyDescent="0.25">
      <c r="A16875" s="46">
        <v>10329</v>
      </c>
      <c r="B16875" s="4" t="s">
        <v>44</v>
      </c>
      <c r="C16875" s="22" t="s">
        <v>1663</v>
      </c>
      <c r="D16875" s="18">
        <v>2021</v>
      </c>
      <c r="E16875" s="18"/>
      <c r="F16875" s="4">
        <v>2</v>
      </c>
      <c r="G16875" s="4">
        <v>30</v>
      </c>
      <c r="H16875" s="4">
        <v>50</v>
      </c>
      <c r="I16875" s="201"/>
      <c r="J16875" s="201"/>
    </row>
    <row r="16876" spans="1:10" s="15" customFormat="1" ht="19.5" hidden="1" customHeight="1" outlineLevel="1" x14ac:dyDescent="0.25">
      <c r="A16876" s="46">
        <v>10330</v>
      </c>
      <c r="B16876" s="4" t="s">
        <v>44</v>
      </c>
      <c r="C16876" s="22" t="s">
        <v>1664</v>
      </c>
      <c r="D16876" s="18">
        <v>2021</v>
      </c>
      <c r="E16876" s="18"/>
      <c r="F16876" s="4">
        <v>6</v>
      </c>
      <c r="G16876" s="4">
        <v>90</v>
      </c>
      <c r="H16876" s="4">
        <v>138</v>
      </c>
      <c r="I16876" s="201"/>
      <c r="J16876" s="201"/>
    </row>
    <row r="16877" spans="1:10" s="15" customFormat="1" ht="19.5" hidden="1" customHeight="1" outlineLevel="1" x14ac:dyDescent="0.25">
      <c r="A16877" s="46">
        <v>10208</v>
      </c>
      <c r="B16877" s="4" t="s">
        <v>44</v>
      </c>
      <c r="C16877" s="22" t="s">
        <v>1665</v>
      </c>
      <c r="D16877" s="18">
        <v>2021</v>
      </c>
      <c r="E16877" s="18"/>
      <c r="F16877" s="4">
        <v>2</v>
      </c>
      <c r="G16877" s="4">
        <v>30</v>
      </c>
      <c r="H16877" s="4">
        <v>51</v>
      </c>
      <c r="I16877" s="201"/>
      <c r="J16877" s="201"/>
    </row>
    <row r="16878" spans="1:10" s="15" customFormat="1" ht="19.5" hidden="1" customHeight="1" outlineLevel="1" x14ac:dyDescent="0.25">
      <c r="A16878" s="46">
        <v>10333</v>
      </c>
      <c r="B16878" s="4" t="s">
        <v>44</v>
      </c>
      <c r="C16878" s="22" t="s">
        <v>1199</v>
      </c>
      <c r="D16878" s="18">
        <v>2021</v>
      </c>
      <c r="E16878" s="18"/>
      <c r="F16878" s="4">
        <v>1</v>
      </c>
      <c r="G16878" s="4">
        <v>30</v>
      </c>
      <c r="H16878" s="4">
        <v>25</v>
      </c>
      <c r="I16878" s="201"/>
      <c r="J16878" s="201"/>
    </row>
    <row r="16879" spans="1:10" s="15" customFormat="1" ht="19.5" hidden="1" customHeight="1" outlineLevel="1" x14ac:dyDescent="0.25">
      <c r="A16879" s="46">
        <v>10160</v>
      </c>
      <c r="B16879" s="4" t="s">
        <v>44</v>
      </c>
      <c r="C16879" s="22" t="s">
        <v>1666</v>
      </c>
      <c r="D16879" s="18">
        <v>2021</v>
      </c>
      <c r="E16879" s="18"/>
      <c r="F16879" s="4">
        <v>1</v>
      </c>
      <c r="G16879" s="4">
        <v>15</v>
      </c>
      <c r="H16879" s="4">
        <v>26</v>
      </c>
      <c r="I16879" s="201"/>
      <c r="J16879" s="201"/>
    </row>
    <row r="16880" spans="1:10" s="15" customFormat="1" ht="19.5" hidden="1" customHeight="1" outlineLevel="1" x14ac:dyDescent="0.25">
      <c r="A16880" s="46">
        <v>10331</v>
      </c>
      <c r="B16880" s="4" t="s">
        <v>44</v>
      </c>
      <c r="C16880" s="22" t="s">
        <v>1667</v>
      </c>
      <c r="D16880" s="18">
        <v>2021</v>
      </c>
      <c r="E16880" s="18"/>
      <c r="F16880" s="4">
        <v>4</v>
      </c>
      <c r="G16880" s="4">
        <v>60</v>
      </c>
      <c r="H16880" s="4">
        <v>101</v>
      </c>
      <c r="I16880" s="201"/>
      <c r="J16880" s="201"/>
    </row>
    <row r="16881" spans="1:10" s="15" customFormat="1" ht="19.5" hidden="1" customHeight="1" outlineLevel="1" x14ac:dyDescent="0.25">
      <c r="A16881" s="46">
        <v>10207</v>
      </c>
      <c r="B16881" s="4" t="s">
        <v>44</v>
      </c>
      <c r="C16881" s="22" t="s">
        <v>1668</v>
      </c>
      <c r="D16881" s="18">
        <v>2021</v>
      </c>
      <c r="E16881" s="18"/>
      <c r="F16881" s="4">
        <v>3</v>
      </c>
      <c r="G16881" s="4">
        <v>45</v>
      </c>
      <c r="H16881" s="4">
        <v>76</v>
      </c>
      <c r="I16881" s="201"/>
      <c r="J16881" s="201"/>
    </row>
    <row r="16882" spans="1:10" s="15" customFormat="1" ht="19.5" hidden="1" customHeight="1" outlineLevel="1" x14ac:dyDescent="0.25">
      <c r="A16882" s="46">
        <v>10204</v>
      </c>
      <c r="B16882" s="4" t="s">
        <v>44</v>
      </c>
      <c r="C16882" s="22" t="s">
        <v>1669</v>
      </c>
      <c r="D16882" s="18">
        <v>2021</v>
      </c>
      <c r="E16882" s="18"/>
      <c r="F16882" s="4">
        <v>2</v>
      </c>
      <c r="G16882" s="4">
        <v>30</v>
      </c>
      <c r="H16882" s="4">
        <v>50</v>
      </c>
      <c r="I16882" s="201"/>
      <c r="J16882" s="201"/>
    </row>
    <row r="16883" spans="1:10" s="15" customFormat="1" ht="19.5" hidden="1" customHeight="1" outlineLevel="1" x14ac:dyDescent="0.25">
      <c r="A16883" s="46">
        <v>10227</v>
      </c>
      <c r="B16883" s="4" t="s">
        <v>44</v>
      </c>
      <c r="C16883" s="22" t="s">
        <v>1670</v>
      </c>
      <c r="D16883" s="18">
        <v>2021</v>
      </c>
      <c r="E16883" s="18"/>
      <c r="F16883" s="4">
        <v>2</v>
      </c>
      <c r="G16883" s="4">
        <v>30</v>
      </c>
      <c r="H16883" s="4">
        <v>51</v>
      </c>
      <c r="I16883" s="201"/>
      <c r="J16883" s="201"/>
    </row>
    <row r="16884" spans="1:10" s="15" customFormat="1" ht="19.5" hidden="1" customHeight="1" outlineLevel="1" x14ac:dyDescent="0.25">
      <c r="A16884" s="46">
        <v>10205</v>
      </c>
      <c r="B16884" s="4" t="s">
        <v>44</v>
      </c>
      <c r="C16884" s="22" t="s">
        <v>1671</v>
      </c>
      <c r="D16884" s="18">
        <v>2021</v>
      </c>
      <c r="E16884" s="18"/>
      <c r="F16884" s="4">
        <v>3</v>
      </c>
      <c r="G16884" s="4">
        <v>30</v>
      </c>
      <c r="H16884" s="4">
        <v>71</v>
      </c>
      <c r="I16884" s="201"/>
      <c r="J16884" s="201"/>
    </row>
    <row r="16885" spans="1:10" s="15" customFormat="1" ht="19.5" hidden="1" customHeight="1" outlineLevel="1" x14ac:dyDescent="0.25">
      <c r="A16885" s="46">
        <v>10206</v>
      </c>
      <c r="B16885" s="4" t="s">
        <v>44</v>
      </c>
      <c r="C16885" s="22" t="s">
        <v>1672</v>
      </c>
      <c r="D16885" s="18">
        <v>2021</v>
      </c>
      <c r="E16885" s="18"/>
      <c r="F16885" s="4">
        <v>3</v>
      </c>
      <c r="G16885" s="4">
        <v>15</v>
      </c>
      <c r="H16885" s="4">
        <v>70</v>
      </c>
      <c r="I16885" s="201"/>
      <c r="J16885" s="201"/>
    </row>
    <row r="16886" spans="1:10" s="15" customFormat="1" ht="19.5" hidden="1" customHeight="1" outlineLevel="1" x14ac:dyDescent="0.25">
      <c r="A16886" s="46">
        <v>10336</v>
      </c>
      <c r="B16886" s="4" t="s">
        <v>44</v>
      </c>
      <c r="C16886" s="22" t="s">
        <v>1673</v>
      </c>
      <c r="D16886" s="18">
        <v>2021</v>
      </c>
      <c r="E16886" s="18"/>
      <c r="F16886" s="4">
        <v>3</v>
      </c>
      <c r="G16886" s="4">
        <v>45</v>
      </c>
      <c r="H16886" s="4">
        <v>76</v>
      </c>
      <c r="I16886" s="201"/>
      <c r="J16886" s="201"/>
    </row>
    <row r="16887" spans="1:10" s="15" customFormat="1" ht="19.5" hidden="1" customHeight="1" outlineLevel="1" x14ac:dyDescent="0.25">
      <c r="A16887" s="46">
        <v>10332</v>
      </c>
      <c r="B16887" s="4" t="s">
        <v>44</v>
      </c>
      <c r="C16887" s="22" t="s">
        <v>1674</v>
      </c>
      <c r="D16887" s="18">
        <v>2021</v>
      </c>
      <c r="E16887" s="18"/>
      <c r="F16887" s="4">
        <v>2</v>
      </c>
      <c r="G16887" s="4">
        <v>30</v>
      </c>
      <c r="H16887" s="4">
        <v>57</v>
      </c>
      <c r="I16887" s="201"/>
      <c r="J16887" s="201"/>
    </row>
    <row r="16888" spans="1:10" s="15" customFormat="1" ht="19.5" hidden="1" customHeight="1" outlineLevel="1" x14ac:dyDescent="0.25">
      <c r="A16888" s="46">
        <v>10335</v>
      </c>
      <c r="B16888" s="4" t="s">
        <v>44</v>
      </c>
      <c r="C16888" s="22" t="s">
        <v>1675</v>
      </c>
      <c r="D16888" s="18">
        <v>2021</v>
      </c>
      <c r="E16888" s="18"/>
      <c r="F16888" s="4">
        <v>2</v>
      </c>
      <c r="G16888" s="4">
        <v>20</v>
      </c>
      <c r="H16888" s="4">
        <v>51</v>
      </c>
      <c r="I16888" s="201"/>
      <c r="J16888" s="201"/>
    </row>
    <row r="16889" spans="1:10" s="15" customFormat="1" ht="19.5" hidden="1" customHeight="1" outlineLevel="1" x14ac:dyDescent="0.25">
      <c r="A16889" s="46">
        <v>9318</v>
      </c>
      <c r="B16889" s="4" t="s">
        <v>44</v>
      </c>
      <c r="C16889" s="22" t="s">
        <v>470</v>
      </c>
      <c r="D16889" s="18">
        <v>2021</v>
      </c>
      <c r="E16889" s="18"/>
      <c r="F16889" s="4">
        <v>1</v>
      </c>
      <c r="G16889" s="4">
        <v>15</v>
      </c>
      <c r="H16889" s="4">
        <v>28</v>
      </c>
      <c r="I16889" s="201"/>
      <c r="J16889" s="201"/>
    </row>
    <row r="16890" spans="1:10" s="15" customFormat="1" ht="19.5" hidden="1" customHeight="1" outlineLevel="1" x14ac:dyDescent="0.25">
      <c r="A16890" s="46">
        <v>10059</v>
      </c>
      <c r="B16890" s="4" t="s">
        <v>44</v>
      </c>
      <c r="C16890" s="22" t="s">
        <v>1676</v>
      </c>
      <c r="D16890" s="18">
        <v>2021</v>
      </c>
      <c r="E16890" s="18"/>
      <c r="F16890" s="4">
        <v>1</v>
      </c>
      <c r="G16890" s="4">
        <v>15</v>
      </c>
      <c r="H16890" s="4">
        <v>38</v>
      </c>
      <c r="I16890" s="201"/>
      <c r="J16890" s="201"/>
    </row>
    <row r="16891" spans="1:10" s="15" customFormat="1" ht="19.5" hidden="1" customHeight="1" outlineLevel="1" x14ac:dyDescent="0.25">
      <c r="A16891" s="46">
        <v>10093</v>
      </c>
      <c r="B16891" s="4" t="s">
        <v>44</v>
      </c>
      <c r="C16891" s="22" t="s">
        <v>1677</v>
      </c>
      <c r="D16891" s="18">
        <v>2021</v>
      </c>
      <c r="E16891" s="18"/>
      <c r="F16891" s="4">
        <v>1</v>
      </c>
      <c r="G16891" s="4">
        <v>15</v>
      </c>
      <c r="H16891" s="4">
        <v>32</v>
      </c>
      <c r="I16891" s="201"/>
      <c r="J16891" s="201"/>
    </row>
    <row r="16892" spans="1:10" s="15" customFormat="1" ht="19.5" hidden="1" customHeight="1" outlineLevel="1" x14ac:dyDescent="0.25">
      <c r="A16892" s="46">
        <v>10092</v>
      </c>
      <c r="B16892" s="4" t="s">
        <v>44</v>
      </c>
      <c r="C16892" s="22" t="s">
        <v>1678</v>
      </c>
      <c r="D16892" s="18">
        <v>2021</v>
      </c>
      <c r="E16892" s="18"/>
      <c r="F16892" s="4">
        <v>1</v>
      </c>
      <c r="G16892" s="4">
        <v>15</v>
      </c>
      <c r="H16892" s="4">
        <v>34</v>
      </c>
      <c r="I16892" s="201"/>
      <c r="J16892" s="201"/>
    </row>
    <row r="16893" spans="1:10" s="15" customFormat="1" ht="19.5" hidden="1" customHeight="1" outlineLevel="1" x14ac:dyDescent="0.25">
      <c r="A16893" s="46">
        <v>10081</v>
      </c>
      <c r="B16893" s="4" t="s">
        <v>44</v>
      </c>
      <c r="C16893" s="22" t="s">
        <v>1679</v>
      </c>
      <c r="D16893" s="18">
        <v>2021</v>
      </c>
      <c r="E16893" s="18"/>
      <c r="F16893" s="4">
        <v>1</v>
      </c>
      <c r="G16893" s="4">
        <v>15</v>
      </c>
      <c r="H16893" s="4">
        <v>34</v>
      </c>
      <c r="I16893" s="201"/>
      <c r="J16893" s="201"/>
    </row>
    <row r="16894" spans="1:10" s="15" customFormat="1" ht="19.5" hidden="1" customHeight="1" outlineLevel="1" x14ac:dyDescent="0.25">
      <c r="A16894" s="46">
        <v>10088</v>
      </c>
      <c r="B16894" s="4" t="s">
        <v>44</v>
      </c>
      <c r="C16894" s="22" t="s">
        <v>1680</v>
      </c>
      <c r="D16894" s="18">
        <v>2021</v>
      </c>
      <c r="E16894" s="18"/>
      <c r="F16894" s="4">
        <v>1</v>
      </c>
      <c r="G16894" s="4">
        <v>15</v>
      </c>
      <c r="H16894" s="4">
        <v>32</v>
      </c>
      <c r="I16894" s="201"/>
      <c r="J16894" s="201"/>
    </row>
    <row r="16895" spans="1:10" s="15" customFormat="1" ht="19.5" hidden="1" customHeight="1" outlineLevel="1" x14ac:dyDescent="0.25">
      <c r="A16895" s="46">
        <v>10089</v>
      </c>
      <c r="B16895" s="4" t="s">
        <v>44</v>
      </c>
      <c r="C16895" s="22" t="s">
        <v>1681</v>
      </c>
      <c r="D16895" s="18">
        <v>2021</v>
      </c>
      <c r="E16895" s="18"/>
      <c r="F16895" s="4">
        <v>1</v>
      </c>
      <c r="G16895" s="4">
        <v>15</v>
      </c>
      <c r="H16895" s="4">
        <v>31</v>
      </c>
      <c r="I16895" s="201"/>
      <c r="J16895" s="201"/>
    </row>
    <row r="16896" spans="1:10" s="15" customFormat="1" ht="19.5" hidden="1" customHeight="1" outlineLevel="1" x14ac:dyDescent="0.25">
      <c r="A16896" s="46">
        <v>9378</v>
      </c>
      <c r="B16896" s="4" t="s">
        <v>44</v>
      </c>
      <c r="C16896" s="22" t="s">
        <v>472</v>
      </c>
      <c r="D16896" s="18">
        <v>2021</v>
      </c>
      <c r="E16896" s="18"/>
      <c r="F16896" s="4">
        <v>1</v>
      </c>
      <c r="G16896" s="4">
        <v>8</v>
      </c>
      <c r="H16896" s="4">
        <v>42</v>
      </c>
      <c r="I16896" s="201"/>
      <c r="J16896" s="201"/>
    </row>
    <row r="16897" spans="1:10" s="15" customFormat="1" ht="19.5" hidden="1" customHeight="1" outlineLevel="1" x14ac:dyDescent="0.25">
      <c r="A16897" s="46">
        <v>9290</v>
      </c>
      <c r="B16897" s="4" t="s">
        <v>44</v>
      </c>
      <c r="C16897" s="22" t="s">
        <v>474</v>
      </c>
      <c r="D16897" s="18">
        <v>2021</v>
      </c>
      <c r="E16897" s="18"/>
      <c r="F16897" s="4">
        <v>1</v>
      </c>
      <c r="G16897" s="4">
        <v>30</v>
      </c>
      <c r="H16897" s="4">
        <v>22</v>
      </c>
      <c r="I16897" s="201"/>
      <c r="J16897" s="201"/>
    </row>
    <row r="16898" spans="1:10" s="15" customFormat="1" ht="19.5" hidden="1" customHeight="1" outlineLevel="1" x14ac:dyDescent="0.25">
      <c r="A16898" s="18">
        <v>10900</v>
      </c>
      <c r="B16898" s="4" t="s">
        <v>44</v>
      </c>
      <c r="C16898" s="22" t="s">
        <v>476</v>
      </c>
      <c r="D16898" s="18">
        <v>2021</v>
      </c>
      <c r="E16898" s="18"/>
      <c r="F16898" s="4">
        <v>1</v>
      </c>
      <c r="G16898" s="4">
        <v>15</v>
      </c>
      <c r="H16898" s="4">
        <v>26</v>
      </c>
      <c r="I16898" s="201"/>
      <c r="J16898" s="201"/>
    </row>
    <row r="16899" spans="1:10" s="15" customFormat="1" ht="19.5" hidden="1" customHeight="1" outlineLevel="1" x14ac:dyDescent="0.25">
      <c r="A16899" s="46">
        <v>9480</v>
      </c>
      <c r="B16899" s="4" t="s">
        <v>44</v>
      </c>
      <c r="C16899" s="22" t="s">
        <v>480</v>
      </c>
      <c r="D16899" s="18">
        <v>2021</v>
      </c>
      <c r="E16899" s="18"/>
      <c r="F16899" s="4">
        <v>1</v>
      </c>
      <c r="G16899" s="4">
        <v>15</v>
      </c>
      <c r="H16899" s="4">
        <v>28</v>
      </c>
      <c r="I16899" s="201"/>
      <c r="J16899" s="201"/>
    </row>
    <row r="16900" spans="1:10" s="15" customFormat="1" ht="19.5" hidden="1" customHeight="1" outlineLevel="1" x14ac:dyDescent="0.25">
      <c r="A16900" s="46">
        <v>9409</v>
      </c>
      <c r="B16900" s="4" t="s">
        <v>44</v>
      </c>
      <c r="C16900" s="22" t="s">
        <v>481</v>
      </c>
      <c r="D16900" s="18">
        <v>2021</v>
      </c>
      <c r="E16900" s="18"/>
      <c r="F16900" s="4">
        <v>1</v>
      </c>
      <c r="G16900" s="4">
        <v>15</v>
      </c>
      <c r="H16900" s="4">
        <v>34</v>
      </c>
      <c r="I16900" s="201"/>
      <c r="J16900" s="201"/>
    </row>
    <row r="16901" spans="1:10" s="15" customFormat="1" ht="19.5" hidden="1" customHeight="1" outlineLevel="1" x14ac:dyDescent="0.25">
      <c r="A16901" s="46">
        <v>10058</v>
      </c>
      <c r="B16901" s="4" t="s">
        <v>44</v>
      </c>
      <c r="C16901" s="22" t="s">
        <v>1682</v>
      </c>
      <c r="D16901" s="18">
        <v>2021</v>
      </c>
      <c r="E16901" s="18"/>
      <c r="F16901" s="4">
        <v>1</v>
      </c>
      <c r="G16901" s="4">
        <v>40</v>
      </c>
      <c r="H16901" s="4">
        <v>27</v>
      </c>
      <c r="I16901" s="201"/>
      <c r="J16901" s="201"/>
    </row>
    <row r="16902" spans="1:10" s="15" customFormat="1" ht="19.5" hidden="1" customHeight="1" outlineLevel="1" x14ac:dyDescent="0.25">
      <c r="A16902" s="46">
        <v>10060</v>
      </c>
      <c r="B16902" s="4" t="s">
        <v>44</v>
      </c>
      <c r="C16902" s="22" t="s">
        <v>1683</v>
      </c>
      <c r="D16902" s="18">
        <v>2021</v>
      </c>
      <c r="E16902" s="18"/>
      <c r="F16902" s="4">
        <v>1</v>
      </c>
      <c r="G16902" s="4">
        <v>15</v>
      </c>
      <c r="H16902" s="4">
        <v>27</v>
      </c>
      <c r="I16902" s="201"/>
      <c r="J16902" s="201"/>
    </row>
    <row r="16903" spans="1:10" s="15" customFormat="1" ht="19.5" hidden="1" customHeight="1" outlineLevel="1" x14ac:dyDescent="0.25">
      <c r="A16903" s="46">
        <v>10074</v>
      </c>
      <c r="B16903" s="4" t="s">
        <v>44</v>
      </c>
      <c r="C16903" s="22" t="s">
        <v>1684</v>
      </c>
      <c r="D16903" s="18">
        <v>2021</v>
      </c>
      <c r="E16903" s="18"/>
      <c r="F16903" s="4">
        <v>1</v>
      </c>
      <c r="G16903" s="4">
        <v>15</v>
      </c>
      <c r="H16903" s="4">
        <v>26</v>
      </c>
      <c r="I16903" s="201"/>
      <c r="J16903" s="201"/>
    </row>
    <row r="16904" spans="1:10" s="15" customFormat="1" ht="19.5" hidden="1" customHeight="1" outlineLevel="1" x14ac:dyDescent="0.25">
      <c r="A16904" s="46">
        <v>10079</v>
      </c>
      <c r="B16904" s="4" t="s">
        <v>44</v>
      </c>
      <c r="C16904" s="22" t="s">
        <v>1685</v>
      </c>
      <c r="D16904" s="18">
        <v>2021</v>
      </c>
      <c r="E16904" s="18"/>
      <c r="F16904" s="4">
        <v>1</v>
      </c>
      <c r="G16904" s="4">
        <v>15</v>
      </c>
      <c r="H16904" s="4">
        <v>23</v>
      </c>
      <c r="I16904" s="201"/>
      <c r="J16904" s="201"/>
    </row>
    <row r="16905" spans="1:10" s="15" customFormat="1" ht="19.5" hidden="1" customHeight="1" outlineLevel="1" x14ac:dyDescent="0.25">
      <c r="A16905" s="46">
        <v>9656</v>
      </c>
      <c r="B16905" s="4" t="s">
        <v>44</v>
      </c>
      <c r="C16905" s="22" t="s">
        <v>485</v>
      </c>
      <c r="D16905" s="18">
        <v>2021</v>
      </c>
      <c r="E16905" s="18"/>
      <c r="F16905" s="4">
        <v>1</v>
      </c>
      <c r="G16905" s="4">
        <v>140</v>
      </c>
      <c r="H16905" s="4">
        <v>24</v>
      </c>
      <c r="I16905" s="201"/>
      <c r="J16905" s="201"/>
    </row>
    <row r="16906" spans="1:10" s="15" customFormat="1" ht="19.5" hidden="1" customHeight="1" outlineLevel="1" x14ac:dyDescent="0.25">
      <c r="A16906" s="45">
        <v>358</v>
      </c>
      <c r="B16906" s="4" t="s">
        <v>44</v>
      </c>
      <c r="C16906" s="22" t="s">
        <v>1686</v>
      </c>
      <c r="D16906" s="18">
        <v>2021</v>
      </c>
      <c r="E16906" s="18"/>
      <c r="F16906" s="4">
        <v>1</v>
      </c>
      <c r="G16906" s="4">
        <v>15</v>
      </c>
      <c r="H16906" s="4">
        <v>29</v>
      </c>
      <c r="I16906" s="201"/>
      <c r="J16906" s="201"/>
    </row>
    <row r="16907" spans="1:10" s="15" customFormat="1" ht="19.5" hidden="1" customHeight="1" outlineLevel="1" x14ac:dyDescent="0.25">
      <c r="A16907" s="46">
        <v>9438</v>
      </c>
      <c r="B16907" s="4" t="s">
        <v>44</v>
      </c>
      <c r="C16907" s="22" t="s">
        <v>488</v>
      </c>
      <c r="D16907" s="18">
        <v>2021</v>
      </c>
      <c r="E16907" s="18"/>
      <c r="F16907" s="4">
        <v>1</v>
      </c>
      <c r="G16907" s="4">
        <v>15</v>
      </c>
      <c r="H16907" s="4">
        <v>25</v>
      </c>
      <c r="I16907" s="201"/>
      <c r="J16907" s="201"/>
    </row>
    <row r="16908" spans="1:10" s="15" customFormat="1" ht="19.5" hidden="1" customHeight="1" outlineLevel="1" x14ac:dyDescent="0.25">
      <c r="A16908" s="46">
        <v>10106</v>
      </c>
      <c r="B16908" s="4" t="s">
        <v>44</v>
      </c>
      <c r="C16908" s="22" t="s">
        <v>1687</v>
      </c>
      <c r="D16908" s="18">
        <v>2021</v>
      </c>
      <c r="E16908" s="18"/>
      <c r="F16908" s="4">
        <v>1</v>
      </c>
      <c r="G16908" s="4">
        <v>8</v>
      </c>
      <c r="H16908" s="4">
        <v>23</v>
      </c>
      <c r="I16908" s="201"/>
      <c r="J16908" s="201"/>
    </row>
    <row r="16909" spans="1:10" s="15" customFormat="1" ht="19.5" hidden="1" customHeight="1" outlineLevel="1" x14ac:dyDescent="0.25">
      <c r="A16909" s="46">
        <v>10105</v>
      </c>
      <c r="B16909" s="4" t="s">
        <v>44</v>
      </c>
      <c r="C16909" s="22" t="s">
        <v>1688</v>
      </c>
      <c r="D16909" s="18">
        <v>2021</v>
      </c>
      <c r="E16909" s="18"/>
      <c r="F16909" s="4">
        <v>1</v>
      </c>
      <c r="G16909" s="4">
        <v>5</v>
      </c>
      <c r="H16909" s="4">
        <v>21</v>
      </c>
      <c r="I16909" s="201"/>
      <c r="J16909" s="201"/>
    </row>
    <row r="16910" spans="1:10" s="15" customFormat="1" ht="19.5" hidden="1" customHeight="1" outlineLevel="1" x14ac:dyDescent="0.25">
      <c r="A16910" s="46">
        <v>10322</v>
      </c>
      <c r="B16910" s="4" t="s">
        <v>44</v>
      </c>
      <c r="C16910" s="22" t="s">
        <v>1689</v>
      </c>
      <c r="D16910" s="18">
        <v>2021</v>
      </c>
      <c r="E16910" s="18"/>
      <c r="F16910" s="4">
        <v>10</v>
      </c>
      <c r="G16910" s="4">
        <v>230</v>
      </c>
      <c r="H16910" s="4">
        <v>333</v>
      </c>
      <c r="I16910" s="201"/>
      <c r="J16910" s="201"/>
    </row>
    <row r="16911" spans="1:10" s="15" customFormat="1" ht="19.5" hidden="1" customHeight="1" outlineLevel="1" x14ac:dyDescent="0.25">
      <c r="A16911" s="18">
        <v>10906</v>
      </c>
      <c r="B16911" s="4" t="s">
        <v>44</v>
      </c>
      <c r="C16911" s="22" t="s">
        <v>1205</v>
      </c>
      <c r="D16911" s="18">
        <v>2021</v>
      </c>
      <c r="E16911" s="18"/>
      <c r="F16911" s="4">
        <v>75</v>
      </c>
      <c r="G16911" s="4">
        <v>1215</v>
      </c>
      <c r="H16911" s="4">
        <v>1844</v>
      </c>
      <c r="I16911" s="201"/>
      <c r="J16911" s="201"/>
    </row>
    <row r="16912" spans="1:10" s="15" customFormat="1" ht="19.5" hidden="1" customHeight="1" outlineLevel="1" x14ac:dyDescent="0.25">
      <c r="A16912" s="46">
        <v>9392</v>
      </c>
      <c r="B16912" s="4" t="s">
        <v>44</v>
      </c>
      <c r="C16912" s="22" t="s">
        <v>495</v>
      </c>
      <c r="D16912" s="18">
        <v>2021</v>
      </c>
      <c r="E16912" s="18"/>
      <c r="F16912" s="4">
        <v>1</v>
      </c>
      <c r="G16912" s="4">
        <v>15</v>
      </c>
      <c r="H16912" s="4">
        <v>32</v>
      </c>
      <c r="I16912" s="201"/>
      <c r="J16912" s="201"/>
    </row>
    <row r="16913" spans="1:10" s="15" customFormat="1" ht="19.5" hidden="1" customHeight="1" outlineLevel="1" x14ac:dyDescent="0.25">
      <c r="A16913" s="46">
        <v>9332</v>
      </c>
      <c r="B16913" s="4" t="s">
        <v>44</v>
      </c>
      <c r="C16913" s="22" t="s">
        <v>496</v>
      </c>
      <c r="D16913" s="18">
        <v>2021</v>
      </c>
      <c r="E16913" s="18"/>
      <c r="F16913" s="4">
        <v>1</v>
      </c>
      <c r="G16913" s="4">
        <v>14</v>
      </c>
      <c r="H16913" s="4">
        <v>27</v>
      </c>
      <c r="I16913" s="201"/>
      <c r="J16913" s="201"/>
    </row>
    <row r="16914" spans="1:10" s="15" customFormat="1" ht="19.5" hidden="1" customHeight="1" outlineLevel="1" x14ac:dyDescent="0.25">
      <c r="A16914" s="46">
        <v>9086</v>
      </c>
      <c r="B16914" s="4" t="s">
        <v>44</v>
      </c>
      <c r="C16914" s="22" t="s">
        <v>497</v>
      </c>
      <c r="D16914" s="18">
        <v>2021</v>
      </c>
      <c r="E16914" s="18"/>
      <c r="F16914" s="4">
        <v>1</v>
      </c>
      <c r="G16914" s="4">
        <v>30</v>
      </c>
      <c r="H16914" s="4">
        <v>24</v>
      </c>
      <c r="I16914" s="201"/>
      <c r="J16914" s="201"/>
    </row>
    <row r="16915" spans="1:10" s="15" customFormat="1" ht="19.5" hidden="1" customHeight="1" outlineLevel="1" x14ac:dyDescent="0.25">
      <c r="A16915" s="46">
        <v>9323</v>
      </c>
      <c r="B16915" s="4" t="s">
        <v>44</v>
      </c>
      <c r="C16915" s="22" t="s">
        <v>498</v>
      </c>
      <c r="D16915" s="18">
        <v>2021</v>
      </c>
      <c r="E16915" s="18"/>
      <c r="F16915" s="4">
        <v>1</v>
      </c>
      <c r="G16915" s="4">
        <v>15</v>
      </c>
      <c r="H16915" s="4">
        <v>27</v>
      </c>
      <c r="I16915" s="201"/>
      <c r="J16915" s="201"/>
    </row>
    <row r="16916" spans="1:10" s="15" customFormat="1" ht="19.5" hidden="1" customHeight="1" outlineLevel="1" x14ac:dyDescent="0.25">
      <c r="A16916" s="46">
        <v>9397</v>
      </c>
      <c r="B16916" s="4" t="s">
        <v>44</v>
      </c>
      <c r="C16916" s="22" t="s">
        <v>1690</v>
      </c>
      <c r="D16916" s="18">
        <v>2021</v>
      </c>
      <c r="E16916" s="18"/>
      <c r="F16916" s="4">
        <v>1</v>
      </c>
      <c r="G16916" s="4">
        <v>15</v>
      </c>
      <c r="H16916" s="4">
        <v>27</v>
      </c>
      <c r="I16916" s="201"/>
      <c r="J16916" s="201"/>
    </row>
    <row r="16917" spans="1:10" s="15" customFormat="1" ht="19.5" hidden="1" customHeight="1" outlineLevel="1" x14ac:dyDescent="0.25">
      <c r="A16917" s="46">
        <v>9674</v>
      </c>
      <c r="B16917" s="4" t="s">
        <v>44</v>
      </c>
      <c r="C16917" s="22" t="s">
        <v>500</v>
      </c>
      <c r="D16917" s="18">
        <v>2021</v>
      </c>
      <c r="E16917" s="18"/>
      <c r="F16917" s="4">
        <v>1</v>
      </c>
      <c r="G16917" s="4">
        <v>50</v>
      </c>
      <c r="H16917" s="4">
        <v>27</v>
      </c>
      <c r="I16917" s="201"/>
      <c r="J16917" s="201"/>
    </row>
    <row r="16918" spans="1:10" s="15" customFormat="1" ht="19.5" hidden="1" customHeight="1" outlineLevel="1" x14ac:dyDescent="0.25">
      <c r="A16918" s="45">
        <v>351</v>
      </c>
      <c r="B16918" s="4" t="s">
        <v>44</v>
      </c>
      <c r="C16918" s="22" t="s">
        <v>501</v>
      </c>
      <c r="D16918" s="18">
        <v>2021</v>
      </c>
      <c r="E16918" s="18"/>
      <c r="F16918" s="4">
        <v>1</v>
      </c>
      <c r="G16918" s="4">
        <v>15</v>
      </c>
      <c r="H16918" s="4">
        <v>27</v>
      </c>
      <c r="I16918" s="201"/>
      <c r="J16918" s="201"/>
    </row>
    <row r="16919" spans="1:10" s="15" customFormat="1" ht="19.5" hidden="1" customHeight="1" outlineLevel="1" x14ac:dyDescent="0.25">
      <c r="A16919" s="46">
        <v>9331</v>
      </c>
      <c r="B16919" s="4" t="s">
        <v>44</v>
      </c>
      <c r="C16919" s="22" t="s">
        <v>502</v>
      </c>
      <c r="D16919" s="18">
        <v>2021</v>
      </c>
      <c r="E16919" s="18"/>
      <c r="F16919" s="4">
        <v>2</v>
      </c>
      <c r="G16919" s="4">
        <v>25</v>
      </c>
      <c r="H16919" s="4">
        <v>51</v>
      </c>
      <c r="I16919" s="201"/>
      <c r="J16919" s="201"/>
    </row>
    <row r="16920" spans="1:10" s="15" customFormat="1" ht="19.5" hidden="1" customHeight="1" outlineLevel="1" x14ac:dyDescent="0.25">
      <c r="A16920" s="46">
        <v>9270</v>
      </c>
      <c r="B16920" s="4" t="s">
        <v>44</v>
      </c>
      <c r="C16920" s="22" t="s">
        <v>503</v>
      </c>
      <c r="D16920" s="18">
        <v>2021</v>
      </c>
      <c r="E16920" s="18"/>
      <c r="F16920" s="4">
        <v>2</v>
      </c>
      <c r="G16920" s="4">
        <v>30</v>
      </c>
      <c r="H16920" s="4">
        <v>45</v>
      </c>
      <c r="I16920" s="201"/>
      <c r="J16920" s="201"/>
    </row>
    <row r="16921" spans="1:10" s="15" customFormat="1" ht="19.5" hidden="1" customHeight="1" outlineLevel="1" x14ac:dyDescent="0.25">
      <c r="A16921" s="46">
        <v>9895</v>
      </c>
      <c r="B16921" s="4" t="s">
        <v>44</v>
      </c>
      <c r="C16921" s="22" t="s">
        <v>1691</v>
      </c>
      <c r="D16921" s="18">
        <v>2021</v>
      </c>
      <c r="E16921" s="18"/>
      <c r="F16921" s="4">
        <v>1</v>
      </c>
      <c r="G16921" s="4">
        <v>80</v>
      </c>
      <c r="H16921" s="4">
        <v>21</v>
      </c>
      <c r="I16921" s="201"/>
      <c r="J16921" s="201"/>
    </row>
    <row r="16922" spans="1:10" s="15" customFormat="1" ht="19.5" hidden="1" customHeight="1" outlineLevel="1" x14ac:dyDescent="0.25">
      <c r="A16922" s="46">
        <v>10087</v>
      </c>
      <c r="B16922" s="4" t="s">
        <v>44</v>
      </c>
      <c r="C16922" s="22" t="s">
        <v>1692</v>
      </c>
      <c r="D16922" s="18">
        <v>2021</v>
      </c>
      <c r="E16922" s="18"/>
      <c r="F16922" s="4">
        <v>1</v>
      </c>
      <c r="G16922" s="4">
        <v>15</v>
      </c>
      <c r="H16922" s="4">
        <v>23</v>
      </c>
      <c r="I16922" s="201"/>
      <c r="J16922" s="201"/>
    </row>
    <row r="16923" spans="1:10" s="15" customFormat="1" ht="19.5" hidden="1" customHeight="1" outlineLevel="1" x14ac:dyDescent="0.25">
      <c r="A16923" s="45">
        <v>526</v>
      </c>
      <c r="B16923" s="4" t="s">
        <v>44</v>
      </c>
      <c r="C16923" s="22" t="s">
        <v>504</v>
      </c>
      <c r="D16923" s="18">
        <v>2021</v>
      </c>
      <c r="E16923" s="18"/>
      <c r="F16923" s="4">
        <v>1</v>
      </c>
      <c r="G16923" s="4">
        <v>15</v>
      </c>
      <c r="H16923" s="4">
        <v>26</v>
      </c>
      <c r="I16923" s="201"/>
      <c r="J16923" s="201"/>
    </row>
    <row r="16924" spans="1:10" s="15" customFormat="1" ht="19.5" hidden="1" customHeight="1" outlineLevel="1" x14ac:dyDescent="0.25">
      <c r="A16924" s="46">
        <v>10072</v>
      </c>
      <c r="B16924" s="4" t="s">
        <v>44</v>
      </c>
      <c r="C16924" s="22" t="s">
        <v>1693</v>
      </c>
      <c r="D16924" s="18">
        <v>2021</v>
      </c>
      <c r="E16924" s="18"/>
      <c r="F16924" s="4">
        <v>1</v>
      </c>
      <c r="G16924" s="4">
        <v>15</v>
      </c>
      <c r="H16924" s="4">
        <v>30</v>
      </c>
      <c r="I16924" s="201"/>
      <c r="J16924" s="201"/>
    </row>
    <row r="16925" spans="1:10" s="15" customFormat="1" ht="19.5" hidden="1" customHeight="1" outlineLevel="1" x14ac:dyDescent="0.25">
      <c r="A16925" s="46">
        <v>10094</v>
      </c>
      <c r="B16925" s="4" t="s">
        <v>44</v>
      </c>
      <c r="C16925" s="22" t="s">
        <v>1694</v>
      </c>
      <c r="D16925" s="18">
        <v>2021</v>
      </c>
      <c r="E16925" s="18"/>
      <c r="F16925" s="4">
        <v>1</v>
      </c>
      <c r="G16925" s="4">
        <v>2.4</v>
      </c>
      <c r="H16925" s="4">
        <v>27</v>
      </c>
      <c r="I16925" s="201"/>
      <c r="J16925" s="201"/>
    </row>
    <row r="16926" spans="1:10" s="15" customFormat="1" ht="19.5" hidden="1" customHeight="1" outlineLevel="1" x14ac:dyDescent="0.25">
      <c r="A16926" s="46">
        <v>10084</v>
      </c>
      <c r="B16926" s="4" t="s">
        <v>44</v>
      </c>
      <c r="C16926" s="22" t="s">
        <v>1695</v>
      </c>
      <c r="D16926" s="18">
        <v>2021</v>
      </c>
      <c r="E16926" s="18"/>
      <c r="F16926" s="4">
        <v>1</v>
      </c>
      <c r="G16926" s="4">
        <v>15</v>
      </c>
      <c r="H16926" s="4">
        <v>28</v>
      </c>
      <c r="I16926" s="201"/>
      <c r="J16926" s="201"/>
    </row>
    <row r="16927" spans="1:10" s="15" customFormat="1" ht="19.5" hidden="1" customHeight="1" outlineLevel="1" x14ac:dyDescent="0.25">
      <c r="A16927" s="46">
        <v>9653</v>
      </c>
      <c r="B16927" s="4" t="s">
        <v>44</v>
      </c>
      <c r="C16927" s="22" t="s">
        <v>506</v>
      </c>
      <c r="D16927" s="18">
        <v>2021</v>
      </c>
      <c r="E16927" s="18"/>
      <c r="F16927" s="4">
        <v>1</v>
      </c>
      <c r="G16927" s="4">
        <v>150</v>
      </c>
      <c r="H16927" s="4">
        <v>27</v>
      </c>
      <c r="I16927" s="201"/>
      <c r="J16927" s="201"/>
    </row>
    <row r="16928" spans="1:10" s="15" customFormat="1" ht="19.5" hidden="1" customHeight="1" outlineLevel="1" x14ac:dyDescent="0.25">
      <c r="A16928" s="46">
        <v>9296</v>
      </c>
      <c r="B16928" s="4" t="s">
        <v>44</v>
      </c>
      <c r="C16928" s="22" t="s">
        <v>507</v>
      </c>
      <c r="D16928" s="18">
        <v>2021</v>
      </c>
      <c r="E16928" s="18"/>
      <c r="F16928" s="4">
        <v>1</v>
      </c>
      <c r="G16928" s="4">
        <v>15</v>
      </c>
      <c r="H16928" s="4">
        <v>18</v>
      </c>
      <c r="I16928" s="201"/>
      <c r="J16928" s="201"/>
    </row>
    <row r="16929" spans="1:10" s="15" customFormat="1" ht="19.5" hidden="1" customHeight="1" outlineLevel="1" x14ac:dyDescent="0.25">
      <c r="A16929" s="46">
        <v>9413</v>
      </c>
      <c r="B16929" s="4" t="s">
        <v>44</v>
      </c>
      <c r="C16929" s="22" t="s">
        <v>508</v>
      </c>
      <c r="D16929" s="18">
        <v>2021</v>
      </c>
      <c r="E16929" s="18"/>
      <c r="F16929" s="4">
        <v>1</v>
      </c>
      <c r="G16929" s="4">
        <v>150</v>
      </c>
      <c r="H16929" s="4">
        <v>31</v>
      </c>
      <c r="I16929" s="201"/>
      <c r="J16929" s="201"/>
    </row>
    <row r="16930" spans="1:10" s="15" customFormat="1" ht="19.5" hidden="1" customHeight="1" outlineLevel="1" x14ac:dyDescent="0.25">
      <c r="A16930" s="46">
        <v>9320</v>
      </c>
      <c r="B16930" s="4" t="s">
        <v>44</v>
      </c>
      <c r="C16930" s="22" t="s">
        <v>509</v>
      </c>
      <c r="D16930" s="18">
        <v>2021</v>
      </c>
      <c r="E16930" s="18"/>
      <c r="F16930" s="4">
        <v>1</v>
      </c>
      <c r="G16930" s="4">
        <v>15</v>
      </c>
      <c r="H16930" s="4">
        <v>31</v>
      </c>
      <c r="I16930" s="201"/>
      <c r="J16930" s="201"/>
    </row>
    <row r="16931" spans="1:10" s="15" customFormat="1" ht="19.5" hidden="1" customHeight="1" outlineLevel="1" x14ac:dyDescent="0.25">
      <c r="A16931" s="46">
        <v>9411</v>
      </c>
      <c r="B16931" s="4" t="s">
        <v>44</v>
      </c>
      <c r="C16931" s="22" t="s">
        <v>510</v>
      </c>
      <c r="D16931" s="18">
        <v>2021</v>
      </c>
      <c r="E16931" s="18"/>
      <c r="F16931" s="4">
        <v>1</v>
      </c>
      <c r="G16931" s="4">
        <v>15</v>
      </c>
      <c r="H16931" s="4">
        <v>29</v>
      </c>
      <c r="I16931" s="201"/>
      <c r="J16931" s="201"/>
    </row>
    <row r="16932" spans="1:10" s="15" customFormat="1" ht="19.5" hidden="1" customHeight="1" outlineLevel="1" x14ac:dyDescent="0.25">
      <c r="A16932" s="46">
        <v>9416</v>
      </c>
      <c r="B16932" s="4" t="s">
        <v>44</v>
      </c>
      <c r="C16932" s="22" t="s">
        <v>511</v>
      </c>
      <c r="D16932" s="18">
        <v>2021</v>
      </c>
      <c r="E16932" s="18"/>
      <c r="F16932" s="4">
        <v>1</v>
      </c>
      <c r="G16932" s="4">
        <v>20</v>
      </c>
      <c r="H16932" s="4">
        <v>31</v>
      </c>
      <c r="I16932" s="201"/>
      <c r="J16932" s="201"/>
    </row>
    <row r="16933" spans="1:10" s="15" customFormat="1" ht="19.5" hidden="1" customHeight="1" outlineLevel="1" x14ac:dyDescent="0.25">
      <c r="A16933" s="45">
        <v>335</v>
      </c>
      <c r="B16933" s="4" t="s">
        <v>44</v>
      </c>
      <c r="C16933" s="22" t="s">
        <v>836</v>
      </c>
      <c r="D16933" s="18">
        <v>2021</v>
      </c>
      <c r="E16933" s="18"/>
      <c r="F16933" s="4">
        <v>1</v>
      </c>
      <c r="G16933" s="4">
        <v>15</v>
      </c>
      <c r="H16933" s="4">
        <v>27</v>
      </c>
      <c r="I16933" s="201"/>
      <c r="J16933" s="201"/>
    </row>
    <row r="16934" spans="1:10" s="15" customFormat="1" ht="19.5" hidden="1" customHeight="1" outlineLevel="1" x14ac:dyDescent="0.25">
      <c r="A16934" s="46">
        <v>9400</v>
      </c>
      <c r="B16934" s="4" t="s">
        <v>44</v>
      </c>
      <c r="C16934" s="22" t="s">
        <v>837</v>
      </c>
      <c r="D16934" s="18">
        <v>2021</v>
      </c>
      <c r="E16934" s="18"/>
      <c r="F16934" s="4">
        <v>1</v>
      </c>
      <c r="G16934" s="4">
        <v>45</v>
      </c>
      <c r="H16934" s="4">
        <v>28</v>
      </c>
      <c r="I16934" s="201"/>
      <c r="J16934" s="201"/>
    </row>
    <row r="16935" spans="1:10" s="15" customFormat="1" ht="19.5" hidden="1" customHeight="1" outlineLevel="1" x14ac:dyDescent="0.25">
      <c r="A16935" s="45">
        <v>334</v>
      </c>
      <c r="B16935" s="4" t="s">
        <v>44</v>
      </c>
      <c r="C16935" s="22" t="s">
        <v>838</v>
      </c>
      <c r="D16935" s="18">
        <v>2021</v>
      </c>
      <c r="E16935" s="18"/>
      <c r="F16935" s="4">
        <v>1</v>
      </c>
      <c r="G16935" s="4">
        <v>15</v>
      </c>
      <c r="H16935" s="4">
        <v>27</v>
      </c>
      <c r="I16935" s="201"/>
      <c r="J16935" s="201"/>
    </row>
    <row r="16936" spans="1:10" s="15" customFormat="1" ht="19.5" hidden="1" customHeight="1" outlineLevel="1" x14ac:dyDescent="0.25">
      <c r="A16936" s="46">
        <v>9405</v>
      </c>
      <c r="B16936" s="4" t="s">
        <v>44</v>
      </c>
      <c r="C16936" s="22" t="s">
        <v>512</v>
      </c>
      <c r="D16936" s="18">
        <v>2021</v>
      </c>
      <c r="E16936" s="18"/>
      <c r="F16936" s="4">
        <v>1</v>
      </c>
      <c r="G16936" s="4">
        <v>15</v>
      </c>
      <c r="H16936" s="4">
        <v>34</v>
      </c>
      <c r="I16936" s="201"/>
      <c r="J16936" s="201"/>
    </row>
    <row r="16937" spans="1:10" s="15" customFormat="1" ht="19.5" hidden="1" customHeight="1" outlineLevel="1" x14ac:dyDescent="0.25">
      <c r="A16937" s="46">
        <v>9327</v>
      </c>
      <c r="B16937" s="4" t="s">
        <v>44</v>
      </c>
      <c r="C16937" s="22" t="s">
        <v>513</v>
      </c>
      <c r="D16937" s="18">
        <v>2021</v>
      </c>
      <c r="E16937" s="18"/>
      <c r="F16937" s="4">
        <v>1</v>
      </c>
      <c r="G16937" s="4">
        <v>15</v>
      </c>
      <c r="H16937" s="4">
        <v>34</v>
      </c>
      <c r="I16937" s="201"/>
      <c r="J16937" s="201"/>
    </row>
    <row r="16938" spans="1:10" s="15" customFormat="1" ht="19.5" hidden="1" customHeight="1" outlineLevel="1" x14ac:dyDescent="0.25">
      <c r="A16938" s="46">
        <v>9293</v>
      </c>
      <c r="B16938" s="4" t="s">
        <v>44</v>
      </c>
      <c r="C16938" s="22" t="s">
        <v>514</v>
      </c>
      <c r="D16938" s="18">
        <v>2021</v>
      </c>
      <c r="E16938" s="18"/>
      <c r="F16938" s="4">
        <v>1</v>
      </c>
      <c r="G16938" s="4">
        <v>15</v>
      </c>
      <c r="H16938" s="4">
        <v>33</v>
      </c>
      <c r="I16938" s="201"/>
      <c r="J16938" s="201"/>
    </row>
    <row r="16939" spans="1:10" s="15" customFormat="1" ht="19.5" hidden="1" customHeight="1" outlineLevel="1" x14ac:dyDescent="0.25">
      <c r="A16939" s="46">
        <v>9353</v>
      </c>
      <c r="B16939" s="4" t="s">
        <v>44</v>
      </c>
      <c r="C16939" s="22" t="s">
        <v>517</v>
      </c>
      <c r="D16939" s="18">
        <v>2021</v>
      </c>
      <c r="E16939" s="18"/>
      <c r="F16939" s="4">
        <v>3</v>
      </c>
      <c r="G16939" s="4">
        <v>30</v>
      </c>
      <c r="H16939" s="4">
        <v>63</v>
      </c>
      <c r="I16939" s="201"/>
      <c r="J16939" s="201"/>
    </row>
    <row r="16940" spans="1:10" s="15" customFormat="1" ht="19.5" hidden="1" customHeight="1" outlineLevel="1" x14ac:dyDescent="0.25">
      <c r="A16940" s="46">
        <v>9379</v>
      </c>
      <c r="B16940" s="4" t="s">
        <v>44</v>
      </c>
      <c r="C16940" s="22" t="s">
        <v>518</v>
      </c>
      <c r="D16940" s="18">
        <v>2021</v>
      </c>
      <c r="E16940" s="18"/>
      <c r="F16940" s="4">
        <v>1</v>
      </c>
      <c r="G16940" s="4">
        <v>10</v>
      </c>
      <c r="H16940" s="4">
        <v>30</v>
      </c>
      <c r="I16940" s="201"/>
      <c r="J16940" s="201"/>
    </row>
    <row r="16941" spans="1:10" s="15" customFormat="1" ht="19.5" hidden="1" customHeight="1" outlineLevel="1" x14ac:dyDescent="0.25">
      <c r="A16941" s="46">
        <v>9649</v>
      </c>
      <c r="B16941" s="4" t="s">
        <v>44</v>
      </c>
      <c r="C16941" s="22" t="s">
        <v>519</v>
      </c>
      <c r="D16941" s="18">
        <v>2021</v>
      </c>
      <c r="E16941" s="18"/>
      <c r="F16941" s="4">
        <v>1</v>
      </c>
      <c r="G16941" s="4">
        <v>15</v>
      </c>
      <c r="H16941" s="4">
        <v>27</v>
      </c>
      <c r="I16941" s="201"/>
      <c r="J16941" s="201"/>
    </row>
    <row r="16942" spans="1:10" s="15" customFormat="1" ht="19.5" hidden="1" customHeight="1" outlineLevel="1" x14ac:dyDescent="0.25">
      <c r="A16942" s="46">
        <v>10104</v>
      </c>
      <c r="B16942" s="4" t="s">
        <v>44</v>
      </c>
      <c r="C16942" s="22" t="s">
        <v>1696</v>
      </c>
      <c r="D16942" s="18">
        <v>2021</v>
      </c>
      <c r="E16942" s="18"/>
      <c r="F16942" s="4">
        <v>1</v>
      </c>
      <c r="G16942" s="4">
        <v>15</v>
      </c>
      <c r="H16942" s="4">
        <v>27</v>
      </c>
      <c r="I16942" s="201"/>
      <c r="J16942" s="201"/>
    </row>
    <row r="16943" spans="1:10" s="15" customFormat="1" ht="19.5" hidden="1" customHeight="1" outlineLevel="1" x14ac:dyDescent="0.25">
      <c r="A16943" s="46">
        <v>9380</v>
      </c>
      <c r="B16943" s="4" t="s">
        <v>44</v>
      </c>
      <c r="C16943" s="22" t="s">
        <v>531</v>
      </c>
      <c r="D16943" s="18">
        <v>2021</v>
      </c>
      <c r="E16943" s="18"/>
      <c r="F16943" s="4">
        <v>1</v>
      </c>
      <c r="G16943" s="4">
        <v>15</v>
      </c>
      <c r="H16943" s="4">
        <v>32</v>
      </c>
      <c r="I16943" s="201"/>
      <c r="J16943" s="201"/>
    </row>
    <row r="16944" spans="1:10" s="15" customFormat="1" ht="19.5" hidden="1" customHeight="1" outlineLevel="1" x14ac:dyDescent="0.25">
      <c r="A16944" s="46">
        <v>9085</v>
      </c>
      <c r="B16944" s="4" t="s">
        <v>44</v>
      </c>
      <c r="C16944" s="22" t="s">
        <v>532</v>
      </c>
      <c r="D16944" s="18">
        <v>2021</v>
      </c>
      <c r="E16944" s="18"/>
      <c r="F16944" s="4">
        <v>1</v>
      </c>
      <c r="G16944" s="4">
        <v>15</v>
      </c>
      <c r="H16944" s="4">
        <v>29</v>
      </c>
      <c r="I16944" s="201"/>
      <c r="J16944" s="201"/>
    </row>
    <row r="16945" spans="1:10" s="15" customFormat="1" ht="19.5" hidden="1" customHeight="1" outlineLevel="1" x14ac:dyDescent="0.25">
      <c r="A16945" s="45">
        <v>373</v>
      </c>
      <c r="B16945" s="4" t="s">
        <v>44</v>
      </c>
      <c r="C16945" s="22" t="s">
        <v>535</v>
      </c>
      <c r="D16945" s="18">
        <v>2021</v>
      </c>
      <c r="E16945" s="18"/>
      <c r="F16945" s="4">
        <v>1</v>
      </c>
      <c r="G16945" s="4">
        <v>15</v>
      </c>
      <c r="H16945" s="4">
        <v>34</v>
      </c>
      <c r="I16945" s="201"/>
      <c r="J16945" s="201"/>
    </row>
    <row r="16946" spans="1:10" s="15" customFormat="1" ht="19.5" hidden="1" customHeight="1" outlineLevel="1" x14ac:dyDescent="0.25">
      <c r="A16946" s="46">
        <v>9576</v>
      </c>
      <c r="B16946" s="4" t="s">
        <v>44</v>
      </c>
      <c r="C16946" s="22" t="s">
        <v>536</v>
      </c>
      <c r="D16946" s="18">
        <v>2021</v>
      </c>
      <c r="E16946" s="18"/>
      <c r="F16946" s="4">
        <v>38</v>
      </c>
      <c r="G16946" s="4">
        <v>390</v>
      </c>
      <c r="H16946" s="4">
        <v>1625</v>
      </c>
      <c r="I16946" s="201"/>
      <c r="J16946" s="201"/>
    </row>
    <row r="16947" spans="1:10" s="15" customFormat="1" ht="19.5" hidden="1" customHeight="1" outlineLevel="1" x14ac:dyDescent="0.25">
      <c r="A16947" s="45">
        <v>374</v>
      </c>
      <c r="B16947" s="4" t="s">
        <v>44</v>
      </c>
      <c r="C16947" s="22" t="s">
        <v>537</v>
      </c>
      <c r="D16947" s="18">
        <v>2021</v>
      </c>
      <c r="E16947" s="18"/>
      <c r="F16947" s="4">
        <v>1</v>
      </c>
      <c r="G16947" s="4">
        <v>15</v>
      </c>
      <c r="H16947" s="4">
        <v>25</v>
      </c>
      <c r="I16947" s="201"/>
      <c r="J16947" s="201"/>
    </row>
    <row r="16948" spans="1:10" s="15" customFormat="1" ht="19.5" hidden="1" customHeight="1" outlineLevel="1" x14ac:dyDescent="0.25">
      <c r="A16948" s="46">
        <v>9278</v>
      </c>
      <c r="B16948" s="4" t="s">
        <v>44</v>
      </c>
      <c r="C16948" s="22" t="s">
        <v>538</v>
      </c>
      <c r="D16948" s="18">
        <v>2021</v>
      </c>
      <c r="E16948" s="18"/>
      <c r="F16948" s="4">
        <v>1</v>
      </c>
      <c r="G16948" s="4">
        <v>15</v>
      </c>
      <c r="H16948" s="4">
        <v>34</v>
      </c>
      <c r="I16948" s="201"/>
      <c r="J16948" s="201"/>
    </row>
    <row r="16949" spans="1:10" s="15" customFormat="1" ht="19.5" hidden="1" customHeight="1" outlineLevel="1" x14ac:dyDescent="0.25">
      <c r="A16949" s="46">
        <v>10063</v>
      </c>
      <c r="B16949" s="4" t="s">
        <v>44</v>
      </c>
      <c r="C16949" s="22" t="s">
        <v>1697</v>
      </c>
      <c r="D16949" s="18">
        <v>2021</v>
      </c>
      <c r="E16949" s="18"/>
      <c r="F16949" s="4">
        <v>1</v>
      </c>
      <c r="G16949" s="4">
        <v>15</v>
      </c>
      <c r="H16949" s="4">
        <v>29</v>
      </c>
      <c r="I16949" s="201"/>
      <c r="J16949" s="201"/>
    </row>
    <row r="16950" spans="1:10" s="15" customFormat="1" ht="19.5" hidden="1" customHeight="1" outlineLevel="1" x14ac:dyDescent="0.25">
      <c r="A16950" s="45">
        <v>2036</v>
      </c>
      <c r="B16950" s="4" t="s">
        <v>44</v>
      </c>
      <c r="C16950" s="22" t="s">
        <v>1698</v>
      </c>
      <c r="D16950" s="18">
        <v>2021</v>
      </c>
      <c r="E16950" s="18"/>
      <c r="F16950" s="4">
        <v>1</v>
      </c>
      <c r="G16950" s="4">
        <v>15</v>
      </c>
      <c r="H16950" s="4">
        <v>29</v>
      </c>
      <c r="I16950" s="201"/>
      <c r="J16950" s="201"/>
    </row>
    <row r="16951" spans="1:10" s="15" customFormat="1" ht="19.5" hidden="1" customHeight="1" outlineLevel="1" x14ac:dyDescent="0.25">
      <c r="A16951" s="45">
        <v>2039</v>
      </c>
      <c r="B16951" s="4" t="s">
        <v>44</v>
      </c>
      <c r="C16951" s="22" t="s">
        <v>1699</v>
      </c>
      <c r="D16951" s="18">
        <v>2021</v>
      </c>
      <c r="E16951" s="18"/>
      <c r="F16951" s="4">
        <v>1</v>
      </c>
      <c r="G16951" s="4">
        <v>15</v>
      </c>
      <c r="H16951" s="4">
        <v>32</v>
      </c>
      <c r="I16951" s="201"/>
      <c r="J16951" s="201"/>
    </row>
    <row r="16952" spans="1:10" s="15" customFormat="1" ht="19.5" hidden="1" customHeight="1" outlineLevel="1" x14ac:dyDescent="0.25">
      <c r="A16952" s="45">
        <v>2041</v>
      </c>
      <c r="B16952" s="4" t="s">
        <v>44</v>
      </c>
      <c r="C16952" s="22" t="s">
        <v>1700</v>
      </c>
      <c r="D16952" s="18">
        <v>2021</v>
      </c>
      <c r="E16952" s="18"/>
      <c r="F16952" s="4">
        <v>1</v>
      </c>
      <c r="G16952" s="4">
        <v>15</v>
      </c>
      <c r="H16952" s="4">
        <v>32</v>
      </c>
      <c r="I16952" s="201"/>
      <c r="J16952" s="201"/>
    </row>
    <row r="16953" spans="1:10" s="15" customFormat="1" ht="19.5" hidden="1" customHeight="1" outlineLevel="1" x14ac:dyDescent="0.25">
      <c r="A16953" s="46">
        <v>10069</v>
      </c>
      <c r="B16953" s="4" t="s">
        <v>44</v>
      </c>
      <c r="C16953" s="22" t="s">
        <v>1701</v>
      </c>
      <c r="D16953" s="18">
        <v>2021</v>
      </c>
      <c r="E16953" s="18"/>
      <c r="F16953" s="4">
        <v>1</v>
      </c>
      <c r="G16953" s="4">
        <v>15</v>
      </c>
      <c r="H16953" s="4">
        <v>31</v>
      </c>
      <c r="I16953" s="201"/>
      <c r="J16953" s="201"/>
    </row>
    <row r="16954" spans="1:10" s="15" customFormat="1" ht="19.5" hidden="1" customHeight="1" outlineLevel="1" x14ac:dyDescent="0.25">
      <c r="A16954" s="46">
        <v>9381</v>
      </c>
      <c r="B16954" s="4" t="s">
        <v>44</v>
      </c>
      <c r="C16954" s="22" t="s">
        <v>540</v>
      </c>
      <c r="D16954" s="18">
        <v>2021</v>
      </c>
      <c r="E16954" s="18"/>
      <c r="F16954" s="4">
        <v>1</v>
      </c>
      <c r="G16954" s="4">
        <v>8</v>
      </c>
      <c r="H16954" s="4">
        <v>35</v>
      </c>
      <c r="I16954" s="201"/>
      <c r="J16954" s="201"/>
    </row>
    <row r="16955" spans="1:10" s="15" customFormat="1" ht="19.5" hidden="1" customHeight="1" outlineLevel="1" x14ac:dyDescent="0.25">
      <c r="A16955" s="46">
        <v>9592</v>
      </c>
      <c r="B16955" s="4" t="s">
        <v>44</v>
      </c>
      <c r="C16955" s="22" t="s">
        <v>542</v>
      </c>
      <c r="D16955" s="18">
        <v>2021</v>
      </c>
      <c r="E16955" s="18"/>
      <c r="F16955" s="4">
        <v>7</v>
      </c>
      <c r="G16955" s="4">
        <v>90</v>
      </c>
      <c r="H16955" s="4">
        <v>189</v>
      </c>
      <c r="I16955" s="201"/>
      <c r="J16955" s="201"/>
    </row>
    <row r="16956" spans="1:10" s="15" customFormat="1" ht="19.5" hidden="1" customHeight="1" outlineLevel="1" x14ac:dyDescent="0.25">
      <c r="A16956" s="46">
        <v>9303</v>
      </c>
      <c r="B16956" s="4" t="s">
        <v>44</v>
      </c>
      <c r="C16956" s="22" t="s">
        <v>543</v>
      </c>
      <c r="D16956" s="18">
        <v>2021</v>
      </c>
      <c r="E16956" s="18"/>
      <c r="F16956" s="4">
        <v>1</v>
      </c>
      <c r="G16956" s="4">
        <v>15</v>
      </c>
      <c r="H16956" s="4">
        <v>23</v>
      </c>
      <c r="I16956" s="201"/>
      <c r="J16956" s="201"/>
    </row>
    <row r="16957" spans="1:10" s="15" customFormat="1" ht="19.5" hidden="1" customHeight="1" outlineLevel="1" x14ac:dyDescent="0.25">
      <c r="A16957" s="46">
        <v>9305</v>
      </c>
      <c r="B16957" s="4" t="s">
        <v>44</v>
      </c>
      <c r="C16957" s="22" t="s">
        <v>545</v>
      </c>
      <c r="D16957" s="18">
        <v>2021</v>
      </c>
      <c r="E16957" s="18"/>
      <c r="F16957" s="4">
        <v>1</v>
      </c>
      <c r="G16957" s="4">
        <v>15</v>
      </c>
      <c r="H16957" s="4">
        <v>28</v>
      </c>
      <c r="I16957" s="201"/>
      <c r="J16957" s="201"/>
    </row>
    <row r="16958" spans="1:10" s="15" customFormat="1" ht="19.5" hidden="1" customHeight="1" outlineLevel="1" x14ac:dyDescent="0.25">
      <c r="A16958" s="46">
        <v>9329</v>
      </c>
      <c r="B16958" s="4" t="s">
        <v>44</v>
      </c>
      <c r="C16958" s="22" t="s">
        <v>549</v>
      </c>
      <c r="D16958" s="18">
        <v>2021</v>
      </c>
      <c r="E16958" s="18"/>
      <c r="F16958" s="4">
        <v>1</v>
      </c>
      <c r="G16958" s="4">
        <v>15</v>
      </c>
      <c r="H16958" s="4">
        <v>26</v>
      </c>
      <c r="I16958" s="201"/>
      <c r="J16958" s="201"/>
    </row>
    <row r="16959" spans="1:10" s="15" customFormat="1" ht="19.5" hidden="1" customHeight="1" outlineLevel="1" x14ac:dyDescent="0.25">
      <c r="A16959" s="46">
        <v>9418</v>
      </c>
      <c r="B16959" s="4" t="s">
        <v>44</v>
      </c>
      <c r="C16959" s="22" t="s">
        <v>854</v>
      </c>
      <c r="D16959" s="18">
        <v>2021</v>
      </c>
      <c r="E16959" s="18"/>
      <c r="F16959" s="4">
        <v>11</v>
      </c>
      <c r="G16959" s="4">
        <v>110</v>
      </c>
      <c r="H16959" s="4">
        <v>506</v>
      </c>
      <c r="I16959" s="201"/>
      <c r="J16959" s="201"/>
    </row>
    <row r="16960" spans="1:10" s="15" customFormat="1" ht="19.5" hidden="1" customHeight="1" outlineLevel="1" x14ac:dyDescent="0.25">
      <c r="A16960" s="46">
        <v>9593</v>
      </c>
      <c r="B16960" s="4" t="s">
        <v>44</v>
      </c>
      <c r="C16960" s="22" t="s">
        <v>552</v>
      </c>
      <c r="D16960" s="18">
        <v>2021</v>
      </c>
      <c r="E16960" s="18"/>
      <c r="F16960" s="4">
        <v>1</v>
      </c>
      <c r="G16960" s="4">
        <v>15</v>
      </c>
      <c r="H16960" s="4">
        <v>22</v>
      </c>
      <c r="I16960" s="201"/>
      <c r="J16960" s="201"/>
    </row>
    <row r="16961" spans="1:10" s="15" customFormat="1" ht="19.5" hidden="1" customHeight="1" outlineLevel="1" x14ac:dyDescent="0.25">
      <c r="A16961" s="46">
        <v>9343</v>
      </c>
      <c r="B16961" s="4" t="s">
        <v>44</v>
      </c>
      <c r="C16961" s="22" t="s">
        <v>856</v>
      </c>
      <c r="D16961" s="18">
        <v>2021</v>
      </c>
      <c r="E16961" s="18"/>
      <c r="F16961" s="4">
        <v>1</v>
      </c>
      <c r="G16961" s="4">
        <v>15</v>
      </c>
      <c r="H16961" s="4">
        <v>32</v>
      </c>
      <c r="I16961" s="201"/>
      <c r="J16961" s="201"/>
    </row>
    <row r="16962" spans="1:10" s="15" customFormat="1" ht="19.5" hidden="1" customHeight="1" outlineLevel="1" x14ac:dyDescent="0.25">
      <c r="A16962" s="46">
        <v>10123</v>
      </c>
      <c r="B16962" s="4" t="s">
        <v>44</v>
      </c>
      <c r="C16962" s="22" t="s">
        <v>1702</v>
      </c>
      <c r="D16962" s="18">
        <v>2021</v>
      </c>
      <c r="E16962" s="18"/>
      <c r="F16962" s="4">
        <v>1</v>
      </c>
      <c r="G16962" s="4">
        <v>15</v>
      </c>
      <c r="H16962" s="4">
        <v>32</v>
      </c>
      <c r="I16962" s="201"/>
      <c r="J16962" s="201"/>
    </row>
    <row r="16963" spans="1:10" s="15" customFormat="1" ht="19.5" hidden="1" customHeight="1" outlineLevel="1" x14ac:dyDescent="0.25">
      <c r="A16963" s="45">
        <v>2124</v>
      </c>
      <c r="B16963" s="4" t="s">
        <v>44</v>
      </c>
      <c r="C16963" s="22" t="s">
        <v>1703</v>
      </c>
      <c r="D16963" s="18">
        <v>2021</v>
      </c>
      <c r="E16963" s="18"/>
      <c r="F16963" s="4">
        <v>1</v>
      </c>
      <c r="G16963" s="4">
        <v>15</v>
      </c>
      <c r="H16963" s="4">
        <v>32</v>
      </c>
      <c r="I16963" s="201"/>
      <c r="J16963" s="201"/>
    </row>
    <row r="16964" spans="1:10" s="15" customFormat="1" ht="19.5" hidden="1" customHeight="1" outlineLevel="1" x14ac:dyDescent="0.25">
      <c r="A16964" s="46">
        <v>9375</v>
      </c>
      <c r="B16964" s="4" t="s">
        <v>44</v>
      </c>
      <c r="C16964" s="22" t="s">
        <v>563</v>
      </c>
      <c r="D16964" s="18">
        <v>2021</v>
      </c>
      <c r="E16964" s="18"/>
      <c r="F16964" s="4">
        <v>1</v>
      </c>
      <c r="G16964" s="4">
        <v>5</v>
      </c>
      <c r="H16964" s="4">
        <v>28</v>
      </c>
      <c r="I16964" s="201"/>
      <c r="J16964" s="201"/>
    </row>
    <row r="16965" spans="1:10" s="15" customFormat="1" ht="19.5" hidden="1" customHeight="1" outlineLevel="1" x14ac:dyDescent="0.25">
      <c r="A16965" s="46">
        <v>9295</v>
      </c>
      <c r="B16965" s="4" t="s">
        <v>44</v>
      </c>
      <c r="C16965" s="22" t="s">
        <v>1704</v>
      </c>
      <c r="D16965" s="18">
        <v>2021</v>
      </c>
      <c r="E16965" s="18"/>
      <c r="F16965" s="4">
        <v>2</v>
      </c>
      <c r="G16965" s="4">
        <v>30</v>
      </c>
      <c r="H16965" s="4">
        <v>71</v>
      </c>
      <c r="I16965" s="201"/>
      <c r="J16965" s="201"/>
    </row>
    <row r="16966" spans="1:10" s="15" customFormat="1" ht="19.5" hidden="1" customHeight="1" outlineLevel="1" x14ac:dyDescent="0.25">
      <c r="A16966" s="46">
        <v>9440</v>
      </c>
      <c r="B16966" s="4" t="s">
        <v>44</v>
      </c>
      <c r="C16966" s="22" t="s">
        <v>1705</v>
      </c>
      <c r="D16966" s="18">
        <v>2021</v>
      </c>
      <c r="E16966" s="18"/>
      <c r="F16966" s="4">
        <v>3</v>
      </c>
      <c r="G16966" s="4">
        <v>45</v>
      </c>
      <c r="H16966" s="4">
        <v>110</v>
      </c>
      <c r="I16966" s="201"/>
      <c r="J16966" s="201"/>
    </row>
    <row r="16967" spans="1:10" s="15" customFormat="1" ht="19.5" hidden="1" customHeight="1" outlineLevel="1" x14ac:dyDescent="0.25">
      <c r="A16967" s="46">
        <v>9402</v>
      </c>
      <c r="B16967" s="4" t="s">
        <v>44</v>
      </c>
      <c r="C16967" s="22" t="s">
        <v>857</v>
      </c>
      <c r="D16967" s="18">
        <v>2021</v>
      </c>
      <c r="E16967" s="18"/>
      <c r="F16967" s="4">
        <v>1</v>
      </c>
      <c r="G16967" s="4">
        <v>15</v>
      </c>
      <c r="H16967" s="4">
        <v>83</v>
      </c>
      <c r="I16967" s="201"/>
      <c r="J16967" s="201"/>
    </row>
    <row r="16968" spans="1:10" s="15" customFormat="1" ht="19.5" hidden="1" customHeight="1" outlineLevel="1" x14ac:dyDescent="0.25">
      <c r="A16968" s="46">
        <v>9406</v>
      </c>
      <c r="B16968" s="4" t="s">
        <v>44</v>
      </c>
      <c r="C16968" s="22" t="s">
        <v>1706</v>
      </c>
      <c r="D16968" s="18">
        <v>2021</v>
      </c>
      <c r="E16968" s="18"/>
      <c r="F16968" s="4">
        <v>1</v>
      </c>
      <c r="G16968" s="4">
        <v>14</v>
      </c>
      <c r="H16968" s="4">
        <v>24</v>
      </c>
      <c r="I16968" s="201"/>
      <c r="J16968" s="201"/>
    </row>
    <row r="16969" spans="1:10" s="15" customFormat="1" ht="19.5" hidden="1" customHeight="1" outlineLevel="1" x14ac:dyDescent="0.25">
      <c r="A16969" s="46">
        <v>9436</v>
      </c>
      <c r="B16969" s="4" t="s">
        <v>44</v>
      </c>
      <c r="C16969" s="22" t="s">
        <v>1707</v>
      </c>
      <c r="D16969" s="18">
        <v>2021</v>
      </c>
      <c r="E16969" s="18"/>
      <c r="F16969" s="4">
        <v>1</v>
      </c>
      <c r="G16969" s="4">
        <v>15</v>
      </c>
      <c r="H16969" s="4">
        <v>27</v>
      </c>
      <c r="I16969" s="201"/>
      <c r="J16969" s="201"/>
    </row>
    <row r="16970" spans="1:10" s="15" customFormat="1" ht="19.5" hidden="1" customHeight="1" outlineLevel="1" x14ac:dyDescent="0.25">
      <c r="A16970" s="46">
        <v>9286</v>
      </c>
      <c r="B16970" s="4" t="s">
        <v>44</v>
      </c>
      <c r="C16970" s="22" t="s">
        <v>1708</v>
      </c>
      <c r="D16970" s="18">
        <v>2021</v>
      </c>
      <c r="E16970" s="18"/>
      <c r="F16970" s="4">
        <v>1</v>
      </c>
      <c r="G16970" s="4">
        <v>15</v>
      </c>
      <c r="H16970" s="4">
        <v>29</v>
      </c>
      <c r="I16970" s="201"/>
      <c r="J16970" s="201"/>
    </row>
    <row r="16971" spans="1:10" s="15" customFormat="1" ht="19.5" hidden="1" customHeight="1" outlineLevel="1" x14ac:dyDescent="0.25">
      <c r="A16971" s="46">
        <v>9322</v>
      </c>
      <c r="B16971" s="4" t="s">
        <v>44</v>
      </c>
      <c r="C16971" s="22" t="s">
        <v>1709</v>
      </c>
      <c r="D16971" s="18">
        <v>2021</v>
      </c>
      <c r="E16971" s="18"/>
      <c r="F16971" s="4">
        <v>1</v>
      </c>
      <c r="G16971" s="4">
        <v>15</v>
      </c>
      <c r="H16971" s="4">
        <v>30</v>
      </c>
      <c r="I16971" s="201"/>
      <c r="J16971" s="201"/>
    </row>
    <row r="16972" spans="1:10" s="15" customFormat="1" ht="19.5" hidden="1" customHeight="1" outlineLevel="1" x14ac:dyDescent="0.25">
      <c r="A16972" s="46">
        <v>9319</v>
      </c>
      <c r="B16972" s="4" t="s">
        <v>44</v>
      </c>
      <c r="C16972" s="22" t="s">
        <v>1710</v>
      </c>
      <c r="D16972" s="18">
        <v>2021</v>
      </c>
      <c r="E16972" s="18"/>
      <c r="F16972" s="4">
        <v>1</v>
      </c>
      <c r="G16972" s="4">
        <v>15</v>
      </c>
      <c r="H16972" s="4">
        <v>28</v>
      </c>
      <c r="I16972" s="201"/>
      <c r="J16972" s="201"/>
    </row>
    <row r="16973" spans="1:10" s="15" customFormat="1" ht="19.5" hidden="1" customHeight="1" outlineLevel="1" x14ac:dyDescent="0.25">
      <c r="A16973" s="46">
        <v>9610</v>
      </c>
      <c r="B16973" s="4" t="s">
        <v>44</v>
      </c>
      <c r="C16973" s="22" t="s">
        <v>914</v>
      </c>
      <c r="D16973" s="18">
        <v>2021</v>
      </c>
      <c r="E16973" s="18"/>
      <c r="F16973" s="4">
        <v>2</v>
      </c>
      <c r="G16973" s="4">
        <v>30</v>
      </c>
      <c r="H16973" s="4">
        <v>59</v>
      </c>
      <c r="I16973" s="201"/>
      <c r="J16973" s="201"/>
    </row>
    <row r="16974" spans="1:10" s="15" customFormat="1" ht="19.5" hidden="1" customHeight="1" outlineLevel="1" x14ac:dyDescent="0.25">
      <c r="A16974" s="46">
        <v>9292</v>
      </c>
      <c r="B16974" s="4" t="s">
        <v>44</v>
      </c>
      <c r="C16974" s="22" t="s">
        <v>1711</v>
      </c>
      <c r="D16974" s="18">
        <v>2021</v>
      </c>
      <c r="E16974" s="18"/>
      <c r="F16974" s="4">
        <v>5</v>
      </c>
      <c r="G16974" s="4">
        <v>70</v>
      </c>
      <c r="H16974" s="4">
        <v>114</v>
      </c>
      <c r="I16974" s="201"/>
      <c r="J16974" s="201"/>
    </row>
    <row r="16975" spans="1:10" s="15" customFormat="1" ht="19.5" hidden="1" customHeight="1" outlineLevel="1" x14ac:dyDescent="0.25">
      <c r="A16975" s="46">
        <v>9302</v>
      </c>
      <c r="B16975" s="4" t="s">
        <v>44</v>
      </c>
      <c r="C16975" s="22" t="s">
        <v>1712</v>
      </c>
      <c r="D16975" s="18">
        <v>2021</v>
      </c>
      <c r="E16975" s="18"/>
      <c r="F16975" s="4">
        <v>1</v>
      </c>
      <c r="G16975" s="4">
        <v>15</v>
      </c>
      <c r="H16975" s="4">
        <v>27</v>
      </c>
      <c r="I16975" s="201"/>
      <c r="J16975" s="201"/>
    </row>
    <row r="16976" spans="1:10" s="15" customFormat="1" ht="19.5" hidden="1" customHeight="1" outlineLevel="1" x14ac:dyDescent="0.25">
      <c r="A16976" s="46">
        <v>9073</v>
      </c>
      <c r="B16976" s="4" t="s">
        <v>44</v>
      </c>
      <c r="C16976" s="22" t="s">
        <v>1713</v>
      </c>
      <c r="D16976" s="18">
        <v>2021</v>
      </c>
      <c r="E16976" s="18"/>
      <c r="F16976" s="4">
        <v>1</v>
      </c>
      <c r="G16976" s="4">
        <v>15</v>
      </c>
      <c r="H16976" s="4">
        <v>24</v>
      </c>
      <c r="I16976" s="201"/>
      <c r="J16976" s="201"/>
    </row>
    <row r="16977" spans="1:10" s="15" customFormat="1" ht="19.5" hidden="1" customHeight="1" outlineLevel="1" x14ac:dyDescent="0.25">
      <c r="A16977" s="46">
        <v>9338</v>
      </c>
      <c r="B16977" s="4" t="s">
        <v>44</v>
      </c>
      <c r="C16977" s="22" t="s">
        <v>1714</v>
      </c>
      <c r="D16977" s="18">
        <v>2021</v>
      </c>
      <c r="E16977" s="18"/>
      <c r="F16977" s="4">
        <v>1</v>
      </c>
      <c r="G16977" s="4">
        <v>15</v>
      </c>
      <c r="H16977" s="4">
        <v>24</v>
      </c>
      <c r="I16977" s="201"/>
      <c r="J16977" s="201"/>
    </row>
    <row r="16978" spans="1:10" s="15" customFormat="1" ht="19.5" hidden="1" customHeight="1" outlineLevel="1" x14ac:dyDescent="0.25">
      <c r="A16978" s="45">
        <v>357</v>
      </c>
      <c r="B16978" s="4" t="s">
        <v>44</v>
      </c>
      <c r="C16978" s="22" t="s">
        <v>1715</v>
      </c>
      <c r="D16978" s="18">
        <v>2021</v>
      </c>
      <c r="E16978" s="18"/>
      <c r="F16978" s="4">
        <v>1</v>
      </c>
      <c r="G16978" s="4">
        <v>15</v>
      </c>
      <c r="H16978" s="4">
        <v>23</v>
      </c>
      <c r="I16978" s="201"/>
      <c r="J16978" s="201"/>
    </row>
    <row r="16979" spans="1:10" s="15" customFormat="1" ht="19.5" hidden="1" customHeight="1" outlineLevel="1" x14ac:dyDescent="0.25">
      <c r="A16979" s="46">
        <v>9298</v>
      </c>
      <c r="B16979" s="4" t="s">
        <v>44</v>
      </c>
      <c r="C16979" s="22" t="s">
        <v>1716</v>
      </c>
      <c r="D16979" s="18">
        <v>2021</v>
      </c>
      <c r="E16979" s="18"/>
      <c r="F16979" s="4">
        <v>1</v>
      </c>
      <c r="G16979" s="4">
        <v>15</v>
      </c>
      <c r="H16979" s="4">
        <v>30</v>
      </c>
      <c r="I16979" s="201"/>
      <c r="J16979" s="201"/>
    </row>
    <row r="16980" spans="1:10" s="15" customFormat="1" ht="19.5" hidden="1" customHeight="1" outlineLevel="1" x14ac:dyDescent="0.25">
      <c r="A16980" s="46">
        <v>9648</v>
      </c>
      <c r="B16980" s="4" t="s">
        <v>44</v>
      </c>
      <c r="C16980" s="22" t="s">
        <v>859</v>
      </c>
      <c r="D16980" s="18">
        <v>2021</v>
      </c>
      <c r="E16980" s="18"/>
      <c r="F16980" s="4">
        <v>3</v>
      </c>
      <c r="G16980" s="4">
        <v>45</v>
      </c>
      <c r="H16980" s="4">
        <v>92</v>
      </c>
      <c r="I16980" s="201"/>
      <c r="J16980" s="201"/>
    </row>
    <row r="16981" spans="1:10" s="15" customFormat="1" ht="19.5" hidden="1" customHeight="1" outlineLevel="1" x14ac:dyDescent="0.25">
      <c r="A16981" s="46">
        <v>9304</v>
      </c>
      <c r="B16981" s="4" t="s">
        <v>44</v>
      </c>
      <c r="C16981" s="22" t="s">
        <v>1717</v>
      </c>
      <c r="D16981" s="18">
        <v>2021</v>
      </c>
      <c r="E16981" s="18"/>
      <c r="F16981" s="4">
        <v>1</v>
      </c>
      <c r="G16981" s="4">
        <v>15</v>
      </c>
      <c r="H16981" s="4">
        <v>28</v>
      </c>
      <c r="I16981" s="201"/>
      <c r="J16981" s="201"/>
    </row>
    <row r="16982" spans="1:10" s="15" customFormat="1" ht="19.5" hidden="1" customHeight="1" outlineLevel="1" x14ac:dyDescent="0.25">
      <c r="A16982" s="46">
        <v>9333</v>
      </c>
      <c r="B16982" s="4" t="s">
        <v>44</v>
      </c>
      <c r="C16982" s="22" t="s">
        <v>1718</v>
      </c>
      <c r="D16982" s="18">
        <v>2021</v>
      </c>
      <c r="E16982" s="18"/>
      <c r="F16982" s="4">
        <v>1</v>
      </c>
      <c r="G16982" s="4">
        <v>15</v>
      </c>
      <c r="H16982" s="4">
        <v>31</v>
      </c>
      <c r="I16982" s="201"/>
      <c r="J16982" s="201"/>
    </row>
    <row r="16983" spans="1:10" s="15" customFormat="1" ht="19.5" hidden="1" customHeight="1" outlineLevel="1" x14ac:dyDescent="0.25">
      <c r="A16983" s="46">
        <v>9398</v>
      </c>
      <c r="B16983" s="4" t="s">
        <v>44</v>
      </c>
      <c r="C16983" s="22" t="s">
        <v>1719</v>
      </c>
      <c r="D16983" s="18">
        <v>2021</v>
      </c>
      <c r="E16983" s="18"/>
      <c r="F16983" s="4">
        <v>1</v>
      </c>
      <c r="G16983" s="4">
        <v>14</v>
      </c>
      <c r="H16983" s="4">
        <v>26</v>
      </c>
      <c r="I16983" s="201"/>
      <c r="J16983" s="201"/>
    </row>
    <row r="16984" spans="1:10" s="15" customFormat="1" ht="19.5" hidden="1" customHeight="1" outlineLevel="1" x14ac:dyDescent="0.25">
      <c r="A16984" s="46">
        <v>10337</v>
      </c>
      <c r="B16984" s="4" t="s">
        <v>44</v>
      </c>
      <c r="C16984" s="22" t="s">
        <v>1720</v>
      </c>
      <c r="D16984" s="18">
        <v>2021</v>
      </c>
      <c r="E16984" s="18"/>
      <c r="F16984" s="4">
        <v>31</v>
      </c>
      <c r="G16984" s="4">
        <v>317.7</v>
      </c>
      <c r="H16984" s="4">
        <v>692</v>
      </c>
      <c r="I16984" s="201"/>
      <c r="J16984" s="201"/>
    </row>
    <row r="16985" spans="1:10" s="15" customFormat="1" ht="19.5" hidden="1" customHeight="1" outlineLevel="1" x14ac:dyDescent="0.25">
      <c r="A16985" s="46">
        <v>9399</v>
      </c>
      <c r="B16985" s="4" t="s">
        <v>44</v>
      </c>
      <c r="C16985" s="22" t="s">
        <v>1721</v>
      </c>
      <c r="D16985" s="18">
        <v>2021</v>
      </c>
      <c r="E16985" s="18"/>
      <c r="F16985" s="4">
        <v>1</v>
      </c>
      <c r="G16985" s="4">
        <v>14</v>
      </c>
      <c r="H16985" s="4">
        <v>23</v>
      </c>
      <c r="I16985" s="201"/>
      <c r="J16985" s="201"/>
    </row>
    <row r="16986" spans="1:10" s="15" customFormat="1" ht="19.5" hidden="1" customHeight="1" outlineLevel="1" x14ac:dyDescent="0.25">
      <c r="A16986" s="46">
        <v>9311</v>
      </c>
      <c r="B16986" s="4" t="s">
        <v>44</v>
      </c>
      <c r="C16986" s="22" t="s">
        <v>1722</v>
      </c>
      <c r="D16986" s="18">
        <v>2021</v>
      </c>
      <c r="E16986" s="18"/>
      <c r="F16986" s="4">
        <v>1</v>
      </c>
      <c r="G16986" s="4">
        <v>15</v>
      </c>
      <c r="H16986" s="4">
        <v>30</v>
      </c>
      <c r="I16986" s="201"/>
      <c r="J16986" s="201"/>
    </row>
    <row r="16987" spans="1:10" s="15" customFormat="1" ht="19.5" hidden="1" customHeight="1" outlineLevel="1" x14ac:dyDescent="0.25">
      <c r="A16987" s="45">
        <v>377</v>
      </c>
      <c r="B16987" s="4" t="s">
        <v>44</v>
      </c>
      <c r="C16987" s="22" t="s">
        <v>1723</v>
      </c>
      <c r="D16987" s="18">
        <v>2021</v>
      </c>
      <c r="E16987" s="18"/>
      <c r="F16987" s="4">
        <v>1</v>
      </c>
      <c r="G16987" s="4">
        <v>15</v>
      </c>
      <c r="H16987" s="4">
        <v>27</v>
      </c>
      <c r="I16987" s="201"/>
      <c r="J16987" s="201"/>
    </row>
    <row r="16988" spans="1:10" s="15" customFormat="1" ht="19.5" hidden="1" customHeight="1" outlineLevel="1" x14ac:dyDescent="0.25">
      <c r="A16988" s="46">
        <v>9272</v>
      </c>
      <c r="B16988" s="4" t="s">
        <v>44</v>
      </c>
      <c r="C16988" s="22" t="s">
        <v>1724</v>
      </c>
      <c r="D16988" s="18">
        <v>2021</v>
      </c>
      <c r="E16988" s="18"/>
      <c r="F16988" s="4">
        <v>1</v>
      </c>
      <c r="G16988" s="4">
        <v>15</v>
      </c>
      <c r="H16988" s="4">
        <v>23</v>
      </c>
      <c r="I16988" s="201"/>
      <c r="J16988" s="201"/>
    </row>
    <row r="16989" spans="1:10" s="15" customFormat="1" ht="19.5" hidden="1" customHeight="1" outlineLevel="1" x14ac:dyDescent="0.25">
      <c r="A16989" s="46">
        <v>9273</v>
      </c>
      <c r="B16989" s="4" t="s">
        <v>44</v>
      </c>
      <c r="C16989" s="22" t="s">
        <v>1725</v>
      </c>
      <c r="D16989" s="18">
        <v>2021</v>
      </c>
      <c r="E16989" s="18"/>
      <c r="F16989" s="4">
        <v>1</v>
      </c>
      <c r="G16989" s="4">
        <v>15</v>
      </c>
      <c r="H16989" s="4">
        <v>23</v>
      </c>
      <c r="I16989" s="201"/>
      <c r="J16989" s="201"/>
    </row>
    <row r="16990" spans="1:10" s="15" customFormat="1" ht="19.5" hidden="1" customHeight="1" outlineLevel="1" x14ac:dyDescent="0.25">
      <c r="A16990" s="46">
        <v>9315</v>
      </c>
      <c r="B16990" s="4" t="s">
        <v>44</v>
      </c>
      <c r="C16990" s="22" t="s">
        <v>1726</v>
      </c>
      <c r="D16990" s="18">
        <v>2021</v>
      </c>
      <c r="E16990" s="18"/>
      <c r="F16990" s="4">
        <v>1</v>
      </c>
      <c r="G16990" s="4">
        <v>15</v>
      </c>
      <c r="H16990" s="4">
        <v>22</v>
      </c>
      <c r="I16990" s="201"/>
      <c r="J16990" s="201"/>
    </row>
    <row r="16991" spans="1:10" s="15" customFormat="1" ht="19.5" hidden="1" customHeight="1" outlineLevel="1" x14ac:dyDescent="0.25">
      <c r="A16991" s="46">
        <v>9654</v>
      </c>
      <c r="B16991" s="4" t="s">
        <v>44</v>
      </c>
      <c r="C16991" s="22" t="s">
        <v>903</v>
      </c>
      <c r="D16991" s="18">
        <v>2021</v>
      </c>
      <c r="E16991" s="18"/>
      <c r="F16991" s="4">
        <v>1</v>
      </c>
      <c r="G16991" s="4">
        <v>15</v>
      </c>
      <c r="H16991" s="4">
        <v>21</v>
      </c>
      <c r="I16991" s="201"/>
      <c r="J16991" s="201"/>
    </row>
    <row r="16992" spans="1:10" s="15" customFormat="1" ht="19.5" hidden="1" customHeight="1" outlineLevel="1" x14ac:dyDescent="0.25">
      <c r="A16992" s="46">
        <v>10254</v>
      </c>
      <c r="B16992" s="4" t="s">
        <v>44</v>
      </c>
      <c r="C16992" s="22" t="s">
        <v>1727</v>
      </c>
      <c r="D16992" s="18">
        <v>2021</v>
      </c>
      <c r="E16992" s="18"/>
      <c r="F16992" s="4">
        <v>1</v>
      </c>
      <c r="G16992" s="4">
        <v>15</v>
      </c>
      <c r="H16992" s="4">
        <v>25</v>
      </c>
      <c r="I16992" s="201"/>
      <c r="J16992" s="201"/>
    </row>
    <row r="16993" spans="1:10" s="15" customFormat="1" ht="19.5" hidden="1" customHeight="1" outlineLevel="1" x14ac:dyDescent="0.25">
      <c r="A16993" s="46">
        <v>10064</v>
      </c>
      <c r="B16993" s="4" t="s">
        <v>44</v>
      </c>
      <c r="C16993" s="22" t="s">
        <v>1728</v>
      </c>
      <c r="D16993" s="18">
        <v>2021</v>
      </c>
      <c r="E16993" s="18"/>
      <c r="F16993" s="4">
        <v>1</v>
      </c>
      <c r="G16993" s="4">
        <v>15</v>
      </c>
      <c r="H16993" s="4">
        <v>26</v>
      </c>
      <c r="I16993" s="201"/>
      <c r="J16993" s="201"/>
    </row>
    <row r="16994" spans="1:10" s="15" customFormat="1" ht="19.5" hidden="1" customHeight="1" outlineLevel="1" x14ac:dyDescent="0.25">
      <c r="A16994" s="46">
        <v>10090</v>
      </c>
      <c r="B16994" s="4" t="s">
        <v>44</v>
      </c>
      <c r="C16994" s="22" t="s">
        <v>1729</v>
      </c>
      <c r="D16994" s="18">
        <v>2021</v>
      </c>
      <c r="E16994" s="18"/>
      <c r="F16994" s="4">
        <v>1</v>
      </c>
      <c r="G16994" s="4">
        <v>15</v>
      </c>
      <c r="H16994" s="4">
        <v>26</v>
      </c>
      <c r="I16994" s="201"/>
      <c r="J16994" s="201"/>
    </row>
    <row r="16995" spans="1:10" s="15" customFormat="1" ht="19.5" hidden="1" customHeight="1" outlineLevel="1" x14ac:dyDescent="0.25">
      <c r="A16995" s="46">
        <v>10065</v>
      </c>
      <c r="B16995" s="4" t="s">
        <v>44</v>
      </c>
      <c r="C16995" s="22" t="s">
        <v>1730</v>
      </c>
      <c r="D16995" s="18">
        <v>2021</v>
      </c>
      <c r="E16995" s="18"/>
      <c r="F16995" s="4">
        <v>1</v>
      </c>
      <c r="G16995" s="4">
        <v>15</v>
      </c>
      <c r="H16995" s="4">
        <v>26</v>
      </c>
      <c r="I16995" s="201"/>
      <c r="J16995" s="201"/>
    </row>
    <row r="16996" spans="1:10" s="15" customFormat="1" ht="19.5" hidden="1" customHeight="1" outlineLevel="1" x14ac:dyDescent="0.25">
      <c r="A16996" s="46">
        <v>10067</v>
      </c>
      <c r="B16996" s="4" t="s">
        <v>44</v>
      </c>
      <c r="C16996" s="22" t="s">
        <v>1731</v>
      </c>
      <c r="D16996" s="18">
        <v>2021</v>
      </c>
      <c r="E16996" s="18"/>
      <c r="F16996" s="4">
        <v>1</v>
      </c>
      <c r="G16996" s="4">
        <v>15</v>
      </c>
      <c r="H16996" s="4">
        <v>25</v>
      </c>
      <c r="I16996" s="201"/>
      <c r="J16996" s="201"/>
    </row>
    <row r="16997" spans="1:10" s="15" customFormat="1" ht="19.5" hidden="1" customHeight="1" outlineLevel="1" x14ac:dyDescent="0.25">
      <c r="A16997" s="46">
        <v>10147</v>
      </c>
      <c r="B16997" s="4" t="s">
        <v>44</v>
      </c>
      <c r="C16997" s="22" t="s">
        <v>1732</v>
      </c>
      <c r="D16997" s="18">
        <v>2021</v>
      </c>
      <c r="E16997" s="18"/>
      <c r="F16997" s="4">
        <v>1</v>
      </c>
      <c r="G16997" s="4">
        <v>15</v>
      </c>
      <c r="H16997" s="4">
        <v>25</v>
      </c>
      <c r="I16997" s="201"/>
      <c r="J16997" s="201"/>
    </row>
    <row r="16998" spans="1:10" s="15" customFormat="1" ht="19.5" hidden="1" customHeight="1" outlineLevel="1" x14ac:dyDescent="0.25">
      <c r="A16998" s="46">
        <v>10070</v>
      </c>
      <c r="B16998" s="4" t="s">
        <v>44</v>
      </c>
      <c r="C16998" s="22" t="s">
        <v>1733</v>
      </c>
      <c r="D16998" s="18">
        <v>2021</v>
      </c>
      <c r="E16998" s="18"/>
      <c r="F16998" s="4">
        <v>1</v>
      </c>
      <c r="G16998" s="4">
        <v>15</v>
      </c>
      <c r="H16998" s="4">
        <v>25</v>
      </c>
      <c r="I16998" s="201"/>
      <c r="J16998" s="201"/>
    </row>
    <row r="16999" spans="1:10" s="15" customFormat="1" ht="19.5" hidden="1" customHeight="1" outlineLevel="1" x14ac:dyDescent="0.25">
      <c r="A16999" s="46">
        <v>10071</v>
      </c>
      <c r="B16999" s="4" t="s">
        <v>44</v>
      </c>
      <c r="C16999" s="22" t="s">
        <v>1734</v>
      </c>
      <c r="D16999" s="18">
        <v>2021</v>
      </c>
      <c r="E16999" s="18"/>
      <c r="F16999" s="4">
        <v>1</v>
      </c>
      <c r="G16999" s="4">
        <v>15</v>
      </c>
      <c r="H16999" s="4">
        <v>25</v>
      </c>
      <c r="I16999" s="201"/>
      <c r="J16999" s="201"/>
    </row>
    <row r="17000" spans="1:10" s="15" customFormat="1" ht="19.5" hidden="1" customHeight="1" outlineLevel="1" x14ac:dyDescent="0.25">
      <c r="A17000" s="46">
        <v>10075</v>
      </c>
      <c r="B17000" s="4" t="s">
        <v>44</v>
      </c>
      <c r="C17000" s="22" t="s">
        <v>1735</v>
      </c>
      <c r="D17000" s="18">
        <v>2021</v>
      </c>
      <c r="E17000" s="18"/>
      <c r="F17000" s="4">
        <v>1</v>
      </c>
      <c r="G17000" s="4">
        <v>15</v>
      </c>
      <c r="H17000" s="4">
        <v>25</v>
      </c>
      <c r="I17000" s="201"/>
      <c r="J17000" s="201"/>
    </row>
    <row r="17001" spans="1:10" s="15" customFormat="1" ht="19.5" hidden="1" customHeight="1" outlineLevel="1" x14ac:dyDescent="0.25">
      <c r="A17001" s="46">
        <v>10076</v>
      </c>
      <c r="B17001" s="4" t="s">
        <v>44</v>
      </c>
      <c r="C17001" s="22" t="s">
        <v>1736</v>
      </c>
      <c r="D17001" s="18">
        <v>2021</v>
      </c>
      <c r="E17001" s="18"/>
      <c r="F17001" s="4">
        <v>1</v>
      </c>
      <c r="G17001" s="4">
        <v>15</v>
      </c>
      <c r="H17001" s="4">
        <v>25</v>
      </c>
      <c r="I17001" s="201"/>
      <c r="J17001" s="201"/>
    </row>
    <row r="17002" spans="1:10" s="15" customFormat="1" ht="19.5" hidden="1" customHeight="1" outlineLevel="1" x14ac:dyDescent="0.25">
      <c r="A17002" s="46">
        <v>10082</v>
      </c>
      <c r="B17002" s="4" t="s">
        <v>44</v>
      </c>
      <c r="C17002" s="22" t="s">
        <v>1737</v>
      </c>
      <c r="D17002" s="18">
        <v>2021</v>
      </c>
      <c r="E17002" s="18"/>
      <c r="F17002" s="4">
        <v>1</v>
      </c>
      <c r="G17002" s="4">
        <v>15</v>
      </c>
      <c r="H17002" s="4">
        <v>25</v>
      </c>
      <c r="I17002" s="201"/>
      <c r="J17002" s="201"/>
    </row>
    <row r="17003" spans="1:10" s="15" customFormat="1" ht="19.5" hidden="1" customHeight="1" outlineLevel="1" x14ac:dyDescent="0.25">
      <c r="A17003" s="46">
        <v>10083</v>
      </c>
      <c r="B17003" s="4" t="s">
        <v>44</v>
      </c>
      <c r="C17003" s="22" t="s">
        <v>1738</v>
      </c>
      <c r="D17003" s="18">
        <v>2021</v>
      </c>
      <c r="E17003" s="18"/>
      <c r="F17003" s="4">
        <v>1</v>
      </c>
      <c r="G17003" s="4">
        <v>15</v>
      </c>
      <c r="H17003" s="4">
        <v>25</v>
      </c>
      <c r="I17003" s="201"/>
      <c r="J17003" s="201"/>
    </row>
    <row r="17004" spans="1:10" s="15" customFormat="1" ht="19.5" hidden="1" customHeight="1" outlineLevel="1" x14ac:dyDescent="0.25">
      <c r="A17004" s="46">
        <v>10086</v>
      </c>
      <c r="B17004" s="4" t="s">
        <v>44</v>
      </c>
      <c r="C17004" s="22" t="s">
        <v>1739</v>
      </c>
      <c r="D17004" s="18">
        <v>2021</v>
      </c>
      <c r="E17004" s="18"/>
      <c r="F17004" s="4">
        <v>1</v>
      </c>
      <c r="G17004" s="4">
        <v>15</v>
      </c>
      <c r="H17004" s="4">
        <v>25</v>
      </c>
      <c r="I17004" s="201"/>
      <c r="J17004" s="201"/>
    </row>
    <row r="17005" spans="1:10" s="15" customFormat="1" ht="19.5" hidden="1" customHeight="1" outlineLevel="1" x14ac:dyDescent="0.25">
      <c r="A17005" s="46">
        <v>10062</v>
      </c>
      <c r="B17005" s="4" t="s">
        <v>44</v>
      </c>
      <c r="C17005" s="22" t="s">
        <v>1740</v>
      </c>
      <c r="D17005" s="18">
        <v>2021</v>
      </c>
      <c r="E17005" s="18"/>
      <c r="F17005" s="4">
        <v>1</v>
      </c>
      <c r="G17005" s="4">
        <v>15</v>
      </c>
      <c r="H17005" s="4">
        <v>25</v>
      </c>
      <c r="I17005" s="201"/>
      <c r="J17005" s="201"/>
    </row>
    <row r="17006" spans="1:10" s="15" customFormat="1" ht="19.5" hidden="1" customHeight="1" outlineLevel="1" x14ac:dyDescent="0.25">
      <c r="A17006" s="46">
        <v>10101</v>
      </c>
      <c r="B17006" s="4" t="s">
        <v>44</v>
      </c>
      <c r="C17006" s="22" t="s">
        <v>1741</v>
      </c>
      <c r="D17006" s="18">
        <v>2021</v>
      </c>
      <c r="E17006" s="18"/>
      <c r="F17006" s="4">
        <v>1</v>
      </c>
      <c r="G17006" s="4">
        <v>10</v>
      </c>
      <c r="H17006" s="4">
        <v>25</v>
      </c>
      <c r="I17006" s="201"/>
      <c r="J17006" s="201"/>
    </row>
    <row r="17007" spans="1:10" s="15" customFormat="1" ht="19.5" hidden="1" customHeight="1" outlineLevel="1" x14ac:dyDescent="0.25">
      <c r="A17007" s="46">
        <v>10102</v>
      </c>
      <c r="B17007" s="4" t="s">
        <v>44</v>
      </c>
      <c r="C17007" s="22" t="s">
        <v>1742</v>
      </c>
      <c r="D17007" s="18">
        <v>2021</v>
      </c>
      <c r="E17007" s="18"/>
      <c r="F17007" s="4">
        <v>1</v>
      </c>
      <c r="G17007" s="4">
        <v>35</v>
      </c>
      <c r="H17007" s="4">
        <v>27</v>
      </c>
      <c r="I17007" s="201"/>
      <c r="J17007" s="201"/>
    </row>
    <row r="17008" spans="1:10" s="15" customFormat="1" ht="19.5" hidden="1" customHeight="1" outlineLevel="1" x14ac:dyDescent="0.25">
      <c r="A17008" s="45">
        <v>2057</v>
      </c>
      <c r="B17008" s="4" t="s">
        <v>44</v>
      </c>
      <c r="C17008" s="22" t="s">
        <v>1743</v>
      </c>
      <c r="D17008" s="18">
        <v>2021</v>
      </c>
      <c r="E17008" s="18"/>
      <c r="F17008" s="4">
        <v>1</v>
      </c>
      <c r="G17008" s="4">
        <v>7</v>
      </c>
      <c r="H17008" s="4">
        <v>26</v>
      </c>
      <c r="I17008" s="201"/>
      <c r="J17008" s="201"/>
    </row>
    <row r="17009" spans="1:10" s="15" customFormat="1" ht="19.5" hidden="1" customHeight="1" outlineLevel="1" x14ac:dyDescent="0.25">
      <c r="A17009" s="46">
        <v>9407</v>
      </c>
      <c r="B17009" s="4" t="s">
        <v>44</v>
      </c>
      <c r="C17009" s="22" t="s">
        <v>1744</v>
      </c>
      <c r="D17009" s="18">
        <v>2021</v>
      </c>
      <c r="E17009" s="18"/>
      <c r="F17009" s="4">
        <v>1</v>
      </c>
      <c r="G17009" s="4">
        <v>15</v>
      </c>
      <c r="H17009" s="4">
        <v>26</v>
      </c>
      <c r="I17009" s="201"/>
      <c r="J17009" s="201"/>
    </row>
    <row r="17010" spans="1:10" s="15" customFormat="1" ht="19.5" hidden="1" customHeight="1" outlineLevel="1" x14ac:dyDescent="0.25">
      <c r="A17010" s="46">
        <v>9330</v>
      </c>
      <c r="B17010" s="4" t="s">
        <v>44</v>
      </c>
      <c r="C17010" s="22" t="s">
        <v>1745</v>
      </c>
      <c r="D17010" s="18">
        <v>2021</v>
      </c>
      <c r="E17010" s="18"/>
      <c r="F17010" s="4">
        <v>1</v>
      </c>
      <c r="G17010" s="4">
        <v>15</v>
      </c>
      <c r="H17010" s="4">
        <v>28</v>
      </c>
      <c r="I17010" s="201"/>
      <c r="J17010" s="201"/>
    </row>
    <row r="17011" spans="1:10" s="15" customFormat="1" ht="19.5" hidden="1" customHeight="1" outlineLevel="1" x14ac:dyDescent="0.25">
      <c r="A17011" s="46">
        <v>9281</v>
      </c>
      <c r="B17011" s="4" t="s">
        <v>44</v>
      </c>
      <c r="C17011" s="22" t="s">
        <v>1746</v>
      </c>
      <c r="D17011" s="18">
        <v>2021</v>
      </c>
      <c r="E17011" s="18"/>
      <c r="F17011" s="4">
        <v>3</v>
      </c>
      <c r="G17011" s="4">
        <v>45</v>
      </c>
      <c r="H17011" s="4">
        <v>71</v>
      </c>
      <c r="I17011" s="201"/>
      <c r="J17011" s="201"/>
    </row>
    <row r="17012" spans="1:10" s="15" customFormat="1" ht="19.5" hidden="1" customHeight="1" outlineLevel="1" x14ac:dyDescent="0.25">
      <c r="A17012" s="45">
        <v>352</v>
      </c>
      <c r="B17012" s="4" t="s">
        <v>44</v>
      </c>
      <c r="C17012" s="22" t="s">
        <v>1747</v>
      </c>
      <c r="D17012" s="18">
        <v>2021</v>
      </c>
      <c r="E17012" s="18"/>
      <c r="F17012" s="4">
        <v>1</v>
      </c>
      <c r="G17012" s="4">
        <v>15</v>
      </c>
      <c r="H17012" s="4">
        <v>27</v>
      </c>
      <c r="I17012" s="201"/>
      <c r="J17012" s="201"/>
    </row>
    <row r="17013" spans="1:10" s="15" customFormat="1" ht="19.5" hidden="1" customHeight="1" outlineLevel="1" x14ac:dyDescent="0.25">
      <c r="A17013" s="46">
        <v>9075</v>
      </c>
      <c r="B17013" s="4" t="s">
        <v>44</v>
      </c>
      <c r="C17013" s="22" t="s">
        <v>1748</v>
      </c>
      <c r="D17013" s="18">
        <v>2021</v>
      </c>
      <c r="E17013" s="18"/>
      <c r="F17013" s="4">
        <v>1</v>
      </c>
      <c r="G17013" s="4">
        <v>15</v>
      </c>
      <c r="H17013" s="4">
        <v>27</v>
      </c>
      <c r="I17013" s="201"/>
      <c r="J17013" s="201"/>
    </row>
    <row r="17014" spans="1:10" s="15" customFormat="1" ht="19.5" hidden="1" customHeight="1" outlineLevel="1" x14ac:dyDescent="0.25">
      <c r="A17014" s="46">
        <v>9340</v>
      </c>
      <c r="B17014" s="4" t="s">
        <v>44</v>
      </c>
      <c r="C17014" s="22" t="s">
        <v>1749</v>
      </c>
      <c r="D17014" s="18">
        <v>2021</v>
      </c>
      <c r="E17014" s="18"/>
      <c r="F17014" s="4">
        <v>1</v>
      </c>
      <c r="G17014" s="4">
        <v>15</v>
      </c>
      <c r="H17014" s="4">
        <v>28</v>
      </c>
      <c r="I17014" s="201"/>
      <c r="J17014" s="201"/>
    </row>
    <row r="17015" spans="1:10" s="15" customFormat="1" ht="19.5" hidden="1" customHeight="1" outlineLevel="1" x14ac:dyDescent="0.25">
      <c r="A17015" s="46">
        <v>9611</v>
      </c>
      <c r="B17015" s="4" t="s">
        <v>44</v>
      </c>
      <c r="C17015" s="22" t="s">
        <v>751</v>
      </c>
      <c r="D17015" s="18">
        <v>2021</v>
      </c>
      <c r="E17015" s="18"/>
      <c r="F17015" s="4">
        <v>1</v>
      </c>
      <c r="G17015" s="4">
        <v>15</v>
      </c>
      <c r="H17015" s="4">
        <v>28</v>
      </c>
      <c r="I17015" s="201"/>
      <c r="J17015" s="201"/>
    </row>
    <row r="17016" spans="1:10" s="15" customFormat="1" ht="19.5" hidden="1" customHeight="1" outlineLevel="1" x14ac:dyDescent="0.25">
      <c r="A17016" s="46">
        <v>9301</v>
      </c>
      <c r="B17016" s="4" t="s">
        <v>44</v>
      </c>
      <c r="C17016" s="22" t="s">
        <v>1750</v>
      </c>
      <c r="D17016" s="18">
        <v>2021</v>
      </c>
      <c r="E17016" s="18"/>
      <c r="F17016" s="4">
        <v>1</v>
      </c>
      <c r="G17016" s="4">
        <v>15</v>
      </c>
      <c r="H17016" s="4">
        <v>25</v>
      </c>
      <c r="I17016" s="201"/>
      <c r="J17016" s="201"/>
    </row>
    <row r="17017" spans="1:10" s="15" customFormat="1" ht="19.5" hidden="1" customHeight="1" outlineLevel="1" x14ac:dyDescent="0.25">
      <c r="A17017" s="46">
        <v>9325</v>
      </c>
      <c r="B17017" s="4" t="s">
        <v>44</v>
      </c>
      <c r="C17017" s="22" t="s">
        <v>1751</v>
      </c>
      <c r="D17017" s="18">
        <v>2021</v>
      </c>
      <c r="E17017" s="18"/>
      <c r="F17017" s="4">
        <v>1</v>
      </c>
      <c r="G17017" s="4">
        <v>15</v>
      </c>
      <c r="H17017" s="4">
        <v>24</v>
      </c>
      <c r="I17017" s="201"/>
      <c r="J17017" s="201"/>
    </row>
    <row r="17018" spans="1:10" s="15" customFormat="1" ht="19.5" hidden="1" customHeight="1" outlineLevel="1" x14ac:dyDescent="0.25">
      <c r="A17018" s="46">
        <v>9299</v>
      </c>
      <c r="B17018" s="4" t="s">
        <v>44</v>
      </c>
      <c r="C17018" s="22" t="s">
        <v>1752</v>
      </c>
      <c r="D17018" s="18">
        <v>2021</v>
      </c>
      <c r="E17018" s="18"/>
      <c r="F17018" s="4">
        <v>1</v>
      </c>
      <c r="G17018" s="4">
        <v>15</v>
      </c>
      <c r="H17018" s="4">
        <v>22</v>
      </c>
      <c r="I17018" s="201"/>
      <c r="J17018" s="201"/>
    </row>
    <row r="17019" spans="1:10" s="15" customFormat="1" ht="19.5" hidden="1" customHeight="1" outlineLevel="1" x14ac:dyDescent="0.25">
      <c r="A17019" s="45">
        <v>379</v>
      </c>
      <c r="B17019" s="4" t="s">
        <v>44</v>
      </c>
      <c r="C17019" s="22" t="s">
        <v>1753</v>
      </c>
      <c r="D17019" s="18">
        <v>2021</v>
      </c>
      <c r="E17019" s="18"/>
      <c r="F17019" s="4">
        <v>1</v>
      </c>
      <c r="G17019" s="4">
        <v>15</v>
      </c>
      <c r="H17019" s="4">
        <v>24</v>
      </c>
      <c r="I17019" s="201"/>
      <c r="J17019" s="201"/>
    </row>
    <row r="17020" spans="1:10" s="15" customFormat="1" ht="19.5" hidden="1" customHeight="1" outlineLevel="1" x14ac:dyDescent="0.25">
      <c r="A17020" s="46">
        <v>9420</v>
      </c>
      <c r="B17020" s="4" t="s">
        <v>44</v>
      </c>
      <c r="C17020" s="22" t="s">
        <v>1754</v>
      </c>
      <c r="D17020" s="18">
        <v>2021</v>
      </c>
      <c r="E17020" s="18"/>
      <c r="F17020" s="4">
        <v>1</v>
      </c>
      <c r="G17020" s="4">
        <v>150</v>
      </c>
      <c r="H17020" s="4">
        <v>27</v>
      </c>
      <c r="I17020" s="201"/>
      <c r="J17020" s="201"/>
    </row>
    <row r="17021" spans="1:10" s="15" customFormat="1" ht="19.5" hidden="1" customHeight="1" outlineLevel="1" x14ac:dyDescent="0.25">
      <c r="A17021" s="46">
        <v>9439</v>
      </c>
      <c r="B17021" s="4" t="s">
        <v>44</v>
      </c>
      <c r="C17021" s="22" t="s">
        <v>1755</v>
      </c>
      <c r="D17021" s="18">
        <v>2021</v>
      </c>
      <c r="E17021" s="18"/>
      <c r="F17021" s="4">
        <v>1</v>
      </c>
      <c r="G17021" s="4">
        <v>15</v>
      </c>
      <c r="H17021" s="4">
        <v>29</v>
      </c>
      <c r="I17021" s="201"/>
      <c r="J17021" s="201"/>
    </row>
    <row r="17022" spans="1:10" s="15" customFormat="1" ht="19.5" hidden="1" customHeight="1" outlineLevel="1" x14ac:dyDescent="0.25">
      <c r="A17022" s="46">
        <v>10214</v>
      </c>
      <c r="B17022" s="4" t="s">
        <v>44</v>
      </c>
      <c r="C17022" s="22" t="s">
        <v>1756</v>
      </c>
      <c r="D17022" s="18">
        <v>2021</v>
      </c>
      <c r="E17022" s="18"/>
      <c r="F17022" s="4">
        <v>1</v>
      </c>
      <c r="G17022" s="4">
        <v>15</v>
      </c>
      <c r="H17022" s="4">
        <v>24</v>
      </c>
      <c r="I17022" s="201"/>
      <c r="J17022" s="201"/>
    </row>
    <row r="17023" spans="1:10" s="15" customFormat="1" ht="19.5" hidden="1" customHeight="1" outlineLevel="1" x14ac:dyDescent="0.25">
      <c r="A17023" s="46">
        <v>10068</v>
      </c>
      <c r="B17023" s="4" t="s">
        <v>44</v>
      </c>
      <c r="C17023" s="22" t="s">
        <v>1757</v>
      </c>
      <c r="D17023" s="18">
        <v>2021</v>
      </c>
      <c r="E17023" s="18"/>
      <c r="F17023" s="4">
        <v>1</v>
      </c>
      <c r="G17023" s="4">
        <v>15</v>
      </c>
      <c r="H17023" s="4">
        <v>25</v>
      </c>
      <c r="I17023" s="201"/>
      <c r="J17023" s="201"/>
    </row>
    <row r="17024" spans="1:10" s="15" customFormat="1" ht="19.5" hidden="1" customHeight="1" outlineLevel="1" x14ac:dyDescent="0.25">
      <c r="A17024" s="46">
        <v>10073</v>
      </c>
      <c r="B17024" s="4" t="s">
        <v>44</v>
      </c>
      <c r="C17024" s="22" t="s">
        <v>1758</v>
      </c>
      <c r="D17024" s="18">
        <v>2021</v>
      </c>
      <c r="E17024" s="18"/>
      <c r="F17024" s="4">
        <v>1</v>
      </c>
      <c r="G17024" s="4">
        <v>15</v>
      </c>
      <c r="H17024" s="4">
        <v>24</v>
      </c>
      <c r="I17024" s="201"/>
      <c r="J17024" s="201"/>
    </row>
    <row r="17025" spans="1:10" s="15" customFormat="1" ht="19.5" hidden="1" customHeight="1" outlineLevel="1" x14ac:dyDescent="0.25">
      <c r="A17025" s="46">
        <v>10080</v>
      </c>
      <c r="B17025" s="4" t="s">
        <v>44</v>
      </c>
      <c r="C17025" s="22" t="s">
        <v>1759</v>
      </c>
      <c r="D17025" s="18">
        <v>2021</v>
      </c>
      <c r="E17025" s="18"/>
      <c r="F17025" s="4">
        <v>1</v>
      </c>
      <c r="G17025" s="4">
        <v>15</v>
      </c>
      <c r="H17025" s="4">
        <v>24</v>
      </c>
      <c r="I17025" s="201"/>
      <c r="J17025" s="201"/>
    </row>
    <row r="17026" spans="1:10" s="15" customFormat="1" ht="19.5" hidden="1" customHeight="1" outlineLevel="1" x14ac:dyDescent="0.25">
      <c r="A17026" s="46">
        <v>10215</v>
      </c>
      <c r="B17026" s="4" t="s">
        <v>44</v>
      </c>
      <c r="C17026" s="22" t="s">
        <v>1760</v>
      </c>
      <c r="D17026" s="18">
        <v>2021</v>
      </c>
      <c r="E17026" s="18"/>
      <c r="F17026" s="4">
        <v>1</v>
      </c>
      <c r="G17026" s="4">
        <v>15</v>
      </c>
      <c r="H17026" s="4">
        <v>24</v>
      </c>
      <c r="I17026" s="201"/>
      <c r="J17026" s="201"/>
    </row>
    <row r="17027" spans="1:10" s="15" customFormat="1" ht="19.5" hidden="1" customHeight="1" outlineLevel="1" x14ac:dyDescent="0.25">
      <c r="A17027" s="46">
        <v>10085</v>
      </c>
      <c r="B17027" s="4" t="s">
        <v>44</v>
      </c>
      <c r="C17027" s="22" t="s">
        <v>1761</v>
      </c>
      <c r="D17027" s="18">
        <v>2021</v>
      </c>
      <c r="E17027" s="18"/>
      <c r="F17027" s="4">
        <v>1</v>
      </c>
      <c r="G17027" s="4">
        <v>15</v>
      </c>
      <c r="H17027" s="4">
        <v>25</v>
      </c>
      <c r="I17027" s="201"/>
      <c r="J17027" s="201"/>
    </row>
    <row r="17028" spans="1:10" s="15" customFormat="1" ht="19.5" hidden="1" customHeight="1" outlineLevel="1" x14ac:dyDescent="0.25">
      <c r="A17028" s="46">
        <v>10183</v>
      </c>
      <c r="B17028" s="4" t="s">
        <v>44</v>
      </c>
      <c r="C17028" s="22" t="s">
        <v>1762</v>
      </c>
      <c r="D17028" s="18">
        <v>2021</v>
      </c>
      <c r="E17028" s="18"/>
      <c r="F17028" s="4">
        <v>1</v>
      </c>
      <c r="G17028" s="4">
        <v>15</v>
      </c>
      <c r="H17028" s="4">
        <v>25</v>
      </c>
      <c r="I17028" s="201"/>
      <c r="J17028" s="201"/>
    </row>
    <row r="17029" spans="1:10" s="15" customFormat="1" ht="19.5" hidden="1" customHeight="1" outlineLevel="1" x14ac:dyDescent="0.25">
      <c r="A17029" s="46">
        <v>10209</v>
      </c>
      <c r="B17029" s="4" t="s">
        <v>44</v>
      </c>
      <c r="C17029" s="22" t="s">
        <v>1763</v>
      </c>
      <c r="D17029" s="18">
        <v>2021</v>
      </c>
      <c r="E17029" s="18"/>
      <c r="F17029" s="4">
        <v>1</v>
      </c>
      <c r="G17029" s="4">
        <v>15</v>
      </c>
      <c r="H17029" s="4">
        <v>25</v>
      </c>
      <c r="I17029" s="201"/>
      <c r="J17029" s="201"/>
    </row>
    <row r="17030" spans="1:10" s="15" customFormat="1" ht="19.5" hidden="1" customHeight="1" outlineLevel="1" x14ac:dyDescent="0.25">
      <c r="A17030" s="46">
        <v>10197</v>
      </c>
      <c r="B17030" s="4" t="s">
        <v>44</v>
      </c>
      <c r="C17030" s="22" t="s">
        <v>1764</v>
      </c>
      <c r="D17030" s="18">
        <v>2021</v>
      </c>
      <c r="E17030" s="18"/>
      <c r="F17030" s="4">
        <v>1</v>
      </c>
      <c r="G17030" s="4">
        <v>15</v>
      </c>
      <c r="H17030" s="4">
        <v>25</v>
      </c>
      <c r="I17030" s="201"/>
      <c r="J17030" s="201"/>
    </row>
    <row r="17031" spans="1:10" s="15" customFormat="1" ht="19.5" hidden="1" customHeight="1" outlineLevel="1" x14ac:dyDescent="0.25">
      <c r="A17031" s="46">
        <v>10091</v>
      </c>
      <c r="B17031" s="4" t="s">
        <v>44</v>
      </c>
      <c r="C17031" s="22" t="s">
        <v>1765</v>
      </c>
      <c r="D17031" s="18">
        <v>2021</v>
      </c>
      <c r="E17031" s="18"/>
      <c r="F17031" s="4">
        <v>1</v>
      </c>
      <c r="G17031" s="4">
        <v>15</v>
      </c>
      <c r="H17031" s="4">
        <v>31</v>
      </c>
      <c r="I17031" s="201"/>
      <c r="J17031" s="201"/>
    </row>
    <row r="17032" spans="1:10" s="15" customFormat="1" ht="19.5" hidden="1" customHeight="1" outlineLevel="1" x14ac:dyDescent="0.25">
      <c r="A17032" s="46">
        <v>9408</v>
      </c>
      <c r="B17032" s="4" t="s">
        <v>44</v>
      </c>
      <c r="C17032" s="22" t="s">
        <v>1766</v>
      </c>
      <c r="D17032" s="18">
        <v>2021</v>
      </c>
      <c r="E17032" s="18"/>
      <c r="F17032" s="4">
        <v>1</v>
      </c>
      <c r="G17032" s="4">
        <v>8</v>
      </c>
      <c r="H17032" s="4">
        <v>23</v>
      </c>
      <c r="I17032" s="201"/>
      <c r="J17032" s="201"/>
    </row>
    <row r="17033" spans="1:10" s="15" customFormat="1" ht="19.5" hidden="1" customHeight="1" outlineLevel="1" x14ac:dyDescent="0.25">
      <c r="A17033" s="46">
        <v>9076</v>
      </c>
      <c r="B17033" s="4" t="s">
        <v>44</v>
      </c>
      <c r="C17033" s="22" t="s">
        <v>463</v>
      </c>
      <c r="D17033" s="18">
        <v>2021</v>
      </c>
      <c r="E17033" s="18"/>
      <c r="F17033" s="4">
        <v>1</v>
      </c>
      <c r="G17033" s="4">
        <v>15</v>
      </c>
      <c r="H17033" s="4">
        <v>51</v>
      </c>
      <c r="I17033" s="201"/>
      <c r="J17033" s="201"/>
    </row>
    <row r="17034" spans="1:10" s="15" customFormat="1" ht="19.5" hidden="1" customHeight="1" outlineLevel="1" x14ac:dyDescent="0.25">
      <c r="A17034" s="46">
        <v>10351</v>
      </c>
      <c r="B17034" s="4" t="s">
        <v>44</v>
      </c>
      <c r="C17034" s="22" t="s">
        <v>1767</v>
      </c>
      <c r="D17034" s="18">
        <v>2021</v>
      </c>
      <c r="E17034" s="18"/>
      <c r="F17034" s="4">
        <v>1</v>
      </c>
      <c r="G17034" s="4">
        <v>15</v>
      </c>
      <c r="H17034" s="4">
        <v>73.894689999999997</v>
      </c>
      <c r="I17034" s="201"/>
      <c r="J17034" s="201"/>
    </row>
    <row r="17035" spans="1:10" s="15" customFormat="1" ht="19.5" hidden="1" customHeight="1" outlineLevel="1" x14ac:dyDescent="0.25">
      <c r="A17035" s="45">
        <v>472</v>
      </c>
      <c r="B17035" s="4" t="s">
        <v>44</v>
      </c>
      <c r="C17035" s="22" t="s">
        <v>1768</v>
      </c>
      <c r="D17035" s="18">
        <v>2021</v>
      </c>
      <c r="E17035" s="18"/>
      <c r="F17035" s="4">
        <v>1</v>
      </c>
      <c r="G17035" s="4">
        <v>10</v>
      </c>
      <c r="H17035" s="4">
        <v>84.661550000000005</v>
      </c>
      <c r="I17035" s="201"/>
      <c r="J17035" s="201"/>
    </row>
    <row r="17036" spans="1:10" s="15" customFormat="1" ht="19.5" hidden="1" customHeight="1" outlineLevel="1" x14ac:dyDescent="0.25">
      <c r="A17036" s="45">
        <v>461</v>
      </c>
      <c r="B17036" s="4" t="s">
        <v>44</v>
      </c>
      <c r="C17036" s="22" t="s">
        <v>1769</v>
      </c>
      <c r="D17036" s="18">
        <v>2021</v>
      </c>
      <c r="E17036" s="18"/>
      <c r="F17036" s="4">
        <v>1</v>
      </c>
      <c r="G17036" s="4">
        <v>15</v>
      </c>
      <c r="H17036" s="4">
        <v>83.717740000000006</v>
      </c>
      <c r="I17036" s="201"/>
      <c r="J17036" s="201"/>
    </row>
    <row r="17037" spans="1:10" s="15" customFormat="1" ht="19.5" hidden="1" customHeight="1" outlineLevel="1" x14ac:dyDescent="0.25">
      <c r="A17037" s="45">
        <v>3803</v>
      </c>
      <c r="B17037" s="4" t="s">
        <v>44</v>
      </c>
      <c r="C17037" s="22" t="s">
        <v>1770</v>
      </c>
      <c r="D17037" s="18">
        <v>2021</v>
      </c>
      <c r="E17037" s="18"/>
      <c r="F17037" s="4">
        <v>1</v>
      </c>
      <c r="G17037" s="4">
        <v>15</v>
      </c>
      <c r="H17037" s="4">
        <v>87.223129999999998</v>
      </c>
      <c r="I17037" s="201"/>
      <c r="J17037" s="201"/>
    </row>
    <row r="17038" spans="1:10" s="15" customFormat="1" ht="19.5" hidden="1" customHeight="1" outlineLevel="1" x14ac:dyDescent="0.25">
      <c r="A17038" s="46">
        <v>9001</v>
      </c>
      <c r="B17038" s="4" t="s">
        <v>44</v>
      </c>
      <c r="C17038" s="22" t="s">
        <v>1771</v>
      </c>
      <c r="D17038" s="18">
        <v>2021</v>
      </c>
      <c r="E17038" s="18"/>
      <c r="F17038" s="4">
        <v>1</v>
      </c>
      <c r="G17038" s="4">
        <v>90</v>
      </c>
      <c r="H17038" s="4">
        <v>78</v>
      </c>
      <c r="I17038" s="201"/>
      <c r="J17038" s="201"/>
    </row>
    <row r="17039" spans="1:10" s="15" customFormat="1" ht="19.5" hidden="1" customHeight="1" outlineLevel="1" x14ac:dyDescent="0.25">
      <c r="A17039" s="46">
        <v>10353</v>
      </c>
      <c r="B17039" s="4" t="s">
        <v>44</v>
      </c>
      <c r="C17039" s="22" t="s">
        <v>1772</v>
      </c>
      <c r="D17039" s="18">
        <v>2021</v>
      </c>
      <c r="E17039" s="18"/>
      <c r="F17039" s="4">
        <v>1</v>
      </c>
      <c r="G17039" s="4">
        <v>14.5</v>
      </c>
      <c r="H17039" s="4">
        <v>90.318539999999999</v>
      </c>
      <c r="I17039" s="201"/>
      <c r="J17039" s="201"/>
    </row>
    <row r="17040" spans="1:10" s="15" customFormat="1" ht="19.5" hidden="1" customHeight="1" outlineLevel="1" x14ac:dyDescent="0.25">
      <c r="A17040" s="46">
        <v>9000</v>
      </c>
      <c r="B17040" s="4" t="s">
        <v>44</v>
      </c>
      <c r="C17040" s="22" t="s">
        <v>1773</v>
      </c>
      <c r="D17040" s="18">
        <v>2021</v>
      </c>
      <c r="E17040" s="18"/>
      <c r="F17040" s="4">
        <v>1</v>
      </c>
      <c r="G17040" s="4">
        <v>10</v>
      </c>
      <c r="H17040" s="4">
        <v>36.792430000000003</v>
      </c>
      <c r="I17040" s="201"/>
      <c r="J17040" s="201"/>
    </row>
    <row r="17041" spans="1:10" s="15" customFormat="1" ht="19.5" hidden="1" customHeight="1" outlineLevel="1" x14ac:dyDescent="0.25">
      <c r="A17041" s="46">
        <v>10366</v>
      </c>
      <c r="B17041" s="4" t="s">
        <v>44</v>
      </c>
      <c r="C17041" s="22" t="s">
        <v>1774</v>
      </c>
      <c r="D17041" s="18">
        <v>2021</v>
      </c>
      <c r="E17041" s="18"/>
      <c r="F17041" s="4">
        <v>1</v>
      </c>
      <c r="G17041" s="4">
        <v>17.100000000000001</v>
      </c>
      <c r="H17041" s="4">
        <v>54.092550000000003</v>
      </c>
      <c r="I17041" s="201"/>
      <c r="J17041" s="201"/>
    </row>
    <row r="17042" spans="1:10" s="15" customFormat="1" ht="19.5" hidden="1" customHeight="1" outlineLevel="1" x14ac:dyDescent="0.25">
      <c r="A17042" s="46">
        <v>9081</v>
      </c>
      <c r="B17042" s="4" t="s">
        <v>44</v>
      </c>
      <c r="C17042" s="22" t="s">
        <v>1775</v>
      </c>
      <c r="D17042" s="18">
        <v>2021</v>
      </c>
      <c r="E17042" s="18"/>
      <c r="F17042" s="4">
        <v>1</v>
      </c>
      <c r="G17042" s="4">
        <v>15</v>
      </c>
      <c r="H17042" s="4">
        <v>37.832569999999997</v>
      </c>
      <c r="I17042" s="201"/>
      <c r="J17042" s="201"/>
    </row>
    <row r="17043" spans="1:10" s="15" customFormat="1" ht="19.5" hidden="1" customHeight="1" outlineLevel="1" x14ac:dyDescent="0.25">
      <c r="A17043" s="46">
        <v>9133</v>
      </c>
      <c r="B17043" s="4" t="s">
        <v>44</v>
      </c>
      <c r="C17043" s="22" t="s">
        <v>1776</v>
      </c>
      <c r="D17043" s="18">
        <v>2021</v>
      </c>
      <c r="E17043" s="18"/>
      <c r="F17043" s="4">
        <v>1</v>
      </c>
      <c r="G17043" s="4">
        <v>5</v>
      </c>
      <c r="H17043" s="4">
        <v>29.97043</v>
      </c>
      <c r="I17043" s="201"/>
      <c r="J17043" s="201"/>
    </row>
    <row r="17044" spans="1:10" s="15" customFormat="1" ht="19.5" hidden="1" customHeight="1" outlineLevel="1" x14ac:dyDescent="0.25">
      <c r="A17044" s="46">
        <v>10371</v>
      </c>
      <c r="B17044" s="4" t="s">
        <v>44</v>
      </c>
      <c r="C17044" s="22" t="s">
        <v>1777</v>
      </c>
      <c r="D17044" s="18">
        <v>2021</v>
      </c>
      <c r="E17044" s="18"/>
      <c r="F17044" s="4">
        <v>1</v>
      </c>
      <c r="G17044" s="4">
        <v>10</v>
      </c>
      <c r="H17044" s="4">
        <v>38.346489999999996</v>
      </c>
      <c r="I17044" s="201"/>
      <c r="J17044" s="201"/>
    </row>
    <row r="17045" spans="1:10" s="15" customFormat="1" ht="19.5" hidden="1" customHeight="1" outlineLevel="1" x14ac:dyDescent="0.25">
      <c r="A17045" s="46">
        <v>9687</v>
      </c>
      <c r="B17045" s="4" t="s">
        <v>44</v>
      </c>
      <c r="C17045" s="22" t="s">
        <v>1778</v>
      </c>
      <c r="D17045" s="18">
        <v>2021</v>
      </c>
      <c r="E17045" s="18"/>
      <c r="F17045" s="4">
        <v>1</v>
      </c>
      <c r="G17045" s="4">
        <v>15</v>
      </c>
      <c r="H17045" s="4">
        <v>34.906779999999998</v>
      </c>
      <c r="I17045" s="201"/>
      <c r="J17045" s="201"/>
    </row>
    <row r="17046" spans="1:10" s="15" customFormat="1" ht="19.5" hidden="1" customHeight="1" outlineLevel="1" x14ac:dyDescent="0.25">
      <c r="A17046" s="45">
        <v>2526</v>
      </c>
      <c r="B17046" s="4" t="s">
        <v>44</v>
      </c>
      <c r="C17046" s="22" t="s">
        <v>1779</v>
      </c>
      <c r="D17046" s="18">
        <v>2021</v>
      </c>
      <c r="E17046" s="18"/>
      <c r="F17046" s="4">
        <v>1</v>
      </c>
      <c r="G17046" s="4">
        <v>15</v>
      </c>
      <c r="H17046" s="4">
        <v>27.020409999999998</v>
      </c>
      <c r="I17046" s="201"/>
      <c r="J17046" s="201"/>
    </row>
    <row r="17047" spans="1:10" s="15" customFormat="1" ht="19.5" hidden="1" customHeight="1" outlineLevel="1" x14ac:dyDescent="0.25">
      <c r="A17047" s="46">
        <v>10363</v>
      </c>
      <c r="B17047" s="4" t="s">
        <v>44</v>
      </c>
      <c r="C17047" s="22" t="s">
        <v>1780</v>
      </c>
      <c r="D17047" s="18">
        <v>2021</v>
      </c>
      <c r="E17047" s="18"/>
      <c r="F17047" s="4">
        <v>1</v>
      </c>
      <c r="G17047" s="4">
        <v>10</v>
      </c>
      <c r="H17047" s="4">
        <v>24.484249999999999</v>
      </c>
      <c r="I17047" s="201"/>
      <c r="J17047" s="201"/>
    </row>
    <row r="17048" spans="1:10" s="15" customFormat="1" ht="19.5" hidden="1" customHeight="1" outlineLevel="1" x14ac:dyDescent="0.25">
      <c r="A17048" s="46">
        <v>10348</v>
      </c>
      <c r="B17048" s="4" t="s">
        <v>44</v>
      </c>
      <c r="C17048" s="22" t="s">
        <v>1781</v>
      </c>
      <c r="D17048" s="18">
        <v>2021</v>
      </c>
      <c r="E17048" s="18"/>
      <c r="F17048" s="4">
        <v>1</v>
      </c>
      <c r="G17048" s="4">
        <v>12</v>
      </c>
      <c r="H17048" s="4">
        <v>30.703900000000001</v>
      </c>
      <c r="I17048" s="201"/>
      <c r="J17048" s="201"/>
    </row>
    <row r="17049" spans="1:10" s="15" customFormat="1" ht="19.5" hidden="1" customHeight="1" outlineLevel="1" x14ac:dyDescent="0.25">
      <c r="A17049" s="46">
        <v>10349</v>
      </c>
      <c r="B17049" s="4" t="s">
        <v>44</v>
      </c>
      <c r="C17049" s="22" t="s">
        <v>1782</v>
      </c>
      <c r="D17049" s="18">
        <v>2021</v>
      </c>
      <c r="E17049" s="18"/>
      <c r="F17049" s="4">
        <v>1</v>
      </c>
      <c r="G17049" s="4">
        <v>13</v>
      </c>
      <c r="H17049" s="4">
        <v>29.726830000000003</v>
      </c>
      <c r="I17049" s="201"/>
      <c r="J17049" s="201"/>
    </row>
    <row r="17050" spans="1:10" s="15" customFormat="1" ht="19.5" hidden="1" customHeight="1" outlineLevel="1" x14ac:dyDescent="0.25">
      <c r="A17050" s="46">
        <v>10345</v>
      </c>
      <c r="B17050" s="4" t="s">
        <v>44</v>
      </c>
      <c r="C17050" s="22" t="s">
        <v>1783</v>
      </c>
      <c r="D17050" s="18">
        <v>2021</v>
      </c>
      <c r="E17050" s="18"/>
      <c r="F17050" s="4">
        <v>1</v>
      </c>
      <c r="G17050" s="4">
        <v>7.5</v>
      </c>
      <c r="H17050" s="4">
        <v>27.87444</v>
      </c>
      <c r="I17050" s="201"/>
      <c r="J17050" s="201"/>
    </row>
    <row r="17051" spans="1:10" s="15" customFormat="1" ht="19.5" hidden="1" customHeight="1" outlineLevel="1" x14ac:dyDescent="0.25">
      <c r="A17051" s="46">
        <v>10368</v>
      </c>
      <c r="B17051" s="4" t="s">
        <v>44</v>
      </c>
      <c r="C17051" s="22" t="s">
        <v>1784</v>
      </c>
      <c r="D17051" s="18">
        <v>2021</v>
      </c>
      <c r="E17051" s="18"/>
      <c r="F17051" s="4">
        <v>1</v>
      </c>
      <c r="G17051" s="4">
        <v>14</v>
      </c>
      <c r="H17051" s="4">
        <v>26.509360000000001</v>
      </c>
      <c r="I17051" s="201"/>
      <c r="J17051" s="201"/>
    </row>
    <row r="17052" spans="1:10" s="15" customFormat="1" ht="19.5" hidden="1" customHeight="1" outlineLevel="1" x14ac:dyDescent="0.25">
      <c r="A17052" s="46">
        <v>10355</v>
      </c>
      <c r="B17052" s="4" t="s">
        <v>44</v>
      </c>
      <c r="C17052" s="22" t="s">
        <v>1785</v>
      </c>
      <c r="D17052" s="18">
        <v>2021</v>
      </c>
      <c r="E17052" s="18"/>
      <c r="F17052" s="4">
        <v>1</v>
      </c>
      <c r="G17052" s="4">
        <v>10</v>
      </c>
      <c r="H17052" s="4">
        <v>28.789159999999999</v>
      </c>
      <c r="I17052" s="201"/>
      <c r="J17052" s="201"/>
    </row>
    <row r="17053" spans="1:10" s="15" customFormat="1" ht="19.5" hidden="1" customHeight="1" outlineLevel="1" x14ac:dyDescent="0.25">
      <c r="A17053" s="46">
        <v>9386</v>
      </c>
      <c r="B17053" s="4" t="s">
        <v>44</v>
      </c>
      <c r="C17053" s="22" t="s">
        <v>1786</v>
      </c>
      <c r="D17053" s="18">
        <v>2021</v>
      </c>
      <c r="E17053" s="18"/>
      <c r="F17053" s="4">
        <v>1</v>
      </c>
      <c r="G17053" s="4">
        <v>15</v>
      </c>
      <c r="H17053" s="4">
        <v>32.733200000000004</v>
      </c>
      <c r="I17053" s="201"/>
      <c r="J17053" s="201"/>
    </row>
    <row r="17054" spans="1:10" s="15" customFormat="1" ht="19.5" hidden="1" customHeight="1" outlineLevel="1" x14ac:dyDescent="0.25">
      <c r="A17054" s="46">
        <v>9120</v>
      </c>
      <c r="B17054" s="4" t="s">
        <v>44</v>
      </c>
      <c r="C17054" s="22" t="s">
        <v>1787</v>
      </c>
      <c r="D17054" s="18">
        <v>2021</v>
      </c>
      <c r="E17054" s="18"/>
      <c r="F17054" s="4">
        <v>1</v>
      </c>
      <c r="G17054" s="4">
        <v>15</v>
      </c>
      <c r="H17054" s="4">
        <v>29.053169999999998</v>
      </c>
      <c r="I17054" s="201"/>
      <c r="J17054" s="201"/>
    </row>
    <row r="17055" spans="1:10" s="15" customFormat="1" ht="19.5" hidden="1" customHeight="1" outlineLevel="1" x14ac:dyDescent="0.25">
      <c r="A17055" s="46">
        <v>10359</v>
      </c>
      <c r="B17055" s="4" t="s">
        <v>44</v>
      </c>
      <c r="C17055" s="22" t="s">
        <v>1788</v>
      </c>
      <c r="D17055" s="18">
        <v>2021</v>
      </c>
      <c r="E17055" s="18"/>
      <c r="F17055" s="4">
        <v>1</v>
      </c>
      <c r="G17055" s="4">
        <v>8</v>
      </c>
      <c r="H17055" s="4">
        <v>27.30303</v>
      </c>
      <c r="I17055" s="201"/>
      <c r="J17055" s="201"/>
    </row>
    <row r="17056" spans="1:10" s="15" customFormat="1" ht="19.5" hidden="1" customHeight="1" outlineLevel="1" x14ac:dyDescent="0.25">
      <c r="A17056" s="46">
        <v>9124</v>
      </c>
      <c r="B17056" s="4" t="s">
        <v>44</v>
      </c>
      <c r="C17056" s="22" t="s">
        <v>1789</v>
      </c>
      <c r="D17056" s="18">
        <v>2021</v>
      </c>
      <c r="E17056" s="18"/>
      <c r="F17056" s="4">
        <v>1</v>
      </c>
      <c r="G17056" s="4">
        <v>15</v>
      </c>
      <c r="H17056" s="4">
        <v>29.961299999999998</v>
      </c>
      <c r="I17056" s="201"/>
      <c r="J17056" s="201"/>
    </row>
    <row r="17057" spans="1:10" s="15" customFormat="1" ht="19.5" hidden="1" customHeight="1" outlineLevel="1" x14ac:dyDescent="0.25">
      <c r="A17057" s="46">
        <v>10374</v>
      </c>
      <c r="B17057" s="4" t="s">
        <v>44</v>
      </c>
      <c r="C17057" s="22" t="s">
        <v>1790</v>
      </c>
      <c r="D17057" s="18">
        <v>2021</v>
      </c>
      <c r="E17057" s="18"/>
      <c r="F17057" s="4">
        <v>1</v>
      </c>
      <c r="G17057" s="4">
        <v>15</v>
      </c>
      <c r="H17057" s="4">
        <v>29.961299999999998</v>
      </c>
      <c r="I17057" s="201"/>
      <c r="J17057" s="201"/>
    </row>
    <row r="17058" spans="1:10" s="15" customFormat="1" ht="19.5" hidden="1" customHeight="1" outlineLevel="1" x14ac:dyDescent="0.25">
      <c r="A17058" s="45">
        <v>2553</v>
      </c>
      <c r="B17058" s="4" t="s">
        <v>44</v>
      </c>
      <c r="C17058" s="22" t="s">
        <v>1791</v>
      </c>
      <c r="D17058" s="18">
        <v>2021</v>
      </c>
      <c r="E17058" s="18"/>
      <c r="F17058" s="4">
        <v>1</v>
      </c>
      <c r="G17058" s="4">
        <v>13</v>
      </c>
      <c r="H17058" s="4">
        <v>30.265049999999999</v>
      </c>
      <c r="I17058" s="201"/>
      <c r="J17058" s="201"/>
    </row>
    <row r="17059" spans="1:10" s="15" customFormat="1" ht="19.5" hidden="1" customHeight="1" outlineLevel="1" x14ac:dyDescent="0.25">
      <c r="A17059" s="46">
        <v>9111</v>
      </c>
      <c r="B17059" s="4" t="s">
        <v>44</v>
      </c>
      <c r="C17059" s="22" t="s">
        <v>1792</v>
      </c>
      <c r="D17059" s="18">
        <v>2021</v>
      </c>
      <c r="E17059" s="18"/>
      <c r="F17059" s="4">
        <v>1</v>
      </c>
      <c r="G17059" s="4">
        <v>15</v>
      </c>
      <c r="H17059" s="4">
        <v>27.162290000000002</v>
      </c>
      <c r="I17059" s="201"/>
      <c r="J17059" s="201"/>
    </row>
    <row r="17060" spans="1:10" s="15" customFormat="1" ht="19.5" hidden="1" customHeight="1" outlineLevel="1" x14ac:dyDescent="0.25">
      <c r="A17060" s="45">
        <v>2559</v>
      </c>
      <c r="B17060" s="4" t="s">
        <v>44</v>
      </c>
      <c r="C17060" s="22" t="s">
        <v>1793</v>
      </c>
      <c r="D17060" s="18">
        <v>2021</v>
      </c>
      <c r="E17060" s="18"/>
      <c r="F17060" s="4">
        <v>1</v>
      </c>
      <c r="G17060" s="4">
        <v>9.9</v>
      </c>
      <c r="H17060" s="4">
        <v>26.507249999999999</v>
      </c>
      <c r="I17060" s="201"/>
      <c r="J17060" s="201"/>
    </row>
    <row r="17061" spans="1:10" s="15" customFormat="1" ht="19.5" hidden="1" customHeight="1" outlineLevel="1" x14ac:dyDescent="0.25">
      <c r="A17061" s="46">
        <v>10361</v>
      </c>
      <c r="B17061" s="4" t="s">
        <v>44</v>
      </c>
      <c r="C17061" s="22" t="s">
        <v>1794</v>
      </c>
      <c r="D17061" s="18">
        <v>2021</v>
      </c>
      <c r="E17061" s="18"/>
      <c r="F17061" s="4">
        <v>1</v>
      </c>
      <c r="G17061" s="4">
        <v>14.6</v>
      </c>
      <c r="H17061" s="4">
        <v>28.813749999999999</v>
      </c>
      <c r="I17061" s="201"/>
      <c r="J17061" s="201"/>
    </row>
    <row r="17062" spans="1:10" s="15" customFormat="1" ht="19.5" hidden="1" customHeight="1" outlineLevel="1" x14ac:dyDescent="0.25">
      <c r="A17062" s="46">
        <v>9041</v>
      </c>
      <c r="B17062" s="4" t="s">
        <v>44</v>
      </c>
      <c r="C17062" s="22" t="s">
        <v>1795</v>
      </c>
      <c r="D17062" s="18">
        <v>2021</v>
      </c>
      <c r="E17062" s="18"/>
      <c r="F17062" s="4">
        <v>1</v>
      </c>
      <c r="G17062" s="4">
        <v>11.1</v>
      </c>
      <c r="H17062" s="4">
        <v>25.710909999999998</v>
      </c>
      <c r="I17062" s="201"/>
      <c r="J17062" s="201"/>
    </row>
    <row r="17063" spans="1:10" s="15" customFormat="1" ht="19.5" hidden="1" customHeight="1" outlineLevel="1" x14ac:dyDescent="0.25">
      <c r="A17063" s="46">
        <v>9071</v>
      </c>
      <c r="B17063" s="4" t="s">
        <v>44</v>
      </c>
      <c r="C17063" s="22" t="s">
        <v>1796</v>
      </c>
      <c r="D17063" s="18">
        <v>2021</v>
      </c>
      <c r="E17063" s="18"/>
      <c r="F17063" s="4">
        <v>1</v>
      </c>
      <c r="G17063" s="4">
        <v>15</v>
      </c>
      <c r="H17063" s="4">
        <v>26.633880000000001</v>
      </c>
      <c r="I17063" s="201"/>
      <c r="J17063" s="201"/>
    </row>
    <row r="17064" spans="1:10" s="15" customFormat="1" ht="19.5" hidden="1" customHeight="1" outlineLevel="1" x14ac:dyDescent="0.25">
      <c r="A17064" s="46">
        <v>9022</v>
      </c>
      <c r="B17064" s="4" t="s">
        <v>44</v>
      </c>
      <c r="C17064" s="22" t="s">
        <v>1797</v>
      </c>
      <c r="D17064" s="18">
        <v>2021</v>
      </c>
      <c r="E17064" s="18"/>
      <c r="F17064" s="4">
        <v>1</v>
      </c>
      <c r="G17064" s="4">
        <v>15</v>
      </c>
      <c r="H17064" s="4">
        <v>83.935559999999995</v>
      </c>
      <c r="I17064" s="201"/>
      <c r="J17064" s="201"/>
    </row>
    <row r="17065" spans="1:10" s="15" customFormat="1" ht="19.5" hidden="1" customHeight="1" outlineLevel="1" x14ac:dyDescent="0.25">
      <c r="A17065" s="46">
        <v>9107</v>
      </c>
      <c r="B17065" s="4" t="s">
        <v>44</v>
      </c>
      <c r="C17065" s="22" t="s">
        <v>1798</v>
      </c>
      <c r="D17065" s="18">
        <v>2021</v>
      </c>
      <c r="E17065" s="18"/>
      <c r="F17065" s="4">
        <v>1</v>
      </c>
      <c r="G17065" s="4">
        <v>15</v>
      </c>
      <c r="H17065" s="4">
        <v>25.08202</v>
      </c>
      <c r="I17065" s="201"/>
      <c r="J17065" s="201"/>
    </row>
    <row r="17066" spans="1:10" s="15" customFormat="1" ht="19.5" hidden="1" customHeight="1" outlineLevel="1" x14ac:dyDescent="0.25">
      <c r="A17066" s="46">
        <v>9105</v>
      </c>
      <c r="B17066" s="4" t="s">
        <v>44</v>
      </c>
      <c r="C17066" s="22" t="s">
        <v>1799</v>
      </c>
      <c r="D17066" s="18">
        <v>2021</v>
      </c>
      <c r="E17066" s="18"/>
      <c r="F17066" s="4">
        <v>1</v>
      </c>
      <c r="G17066" s="4">
        <v>7.5</v>
      </c>
      <c r="H17066" s="4">
        <v>33.98545</v>
      </c>
      <c r="I17066" s="201"/>
      <c r="J17066" s="201"/>
    </row>
    <row r="17067" spans="1:10" s="15" customFormat="1" ht="19.5" hidden="1" customHeight="1" outlineLevel="1" x14ac:dyDescent="0.25">
      <c r="A17067" s="46">
        <v>9104</v>
      </c>
      <c r="B17067" s="4" t="s">
        <v>44</v>
      </c>
      <c r="C17067" s="22" t="s">
        <v>1800</v>
      </c>
      <c r="D17067" s="18">
        <v>2021</v>
      </c>
      <c r="E17067" s="18"/>
      <c r="F17067" s="4">
        <v>1</v>
      </c>
      <c r="G17067" s="4">
        <v>7.5</v>
      </c>
      <c r="H17067" s="4">
        <v>25.146180000000001</v>
      </c>
      <c r="I17067" s="201"/>
      <c r="J17067" s="201"/>
    </row>
    <row r="17068" spans="1:10" s="15" customFormat="1" ht="19.5" hidden="1" customHeight="1" outlineLevel="1" x14ac:dyDescent="0.25">
      <c r="A17068" s="46">
        <v>9048</v>
      </c>
      <c r="B17068" s="4" t="s">
        <v>44</v>
      </c>
      <c r="C17068" s="22" t="s">
        <v>1801</v>
      </c>
      <c r="D17068" s="18">
        <v>2021</v>
      </c>
      <c r="E17068" s="18"/>
      <c r="F17068" s="4">
        <v>1</v>
      </c>
      <c r="G17068" s="4">
        <v>14</v>
      </c>
      <c r="H17068" s="4">
        <v>26.445730000000001</v>
      </c>
      <c r="I17068" s="201"/>
      <c r="J17068" s="201"/>
    </row>
    <row r="17069" spans="1:10" s="15" customFormat="1" ht="19.5" hidden="1" customHeight="1" outlineLevel="1" x14ac:dyDescent="0.25">
      <c r="A17069" s="46">
        <v>9106</v>
      </c>
      <c r="B17069" s="4" t="s">
        <v>44</v>
      </c>
      <c r="C17069" s="22" t="s">
        <v>1802</v>
      </c>
      <c r="D17069" s="18">
        <v>2021</v>
      </c>
      <c r="E17069" s="18"/>
      <c r="F17069" s="4">
        <v>1</v>
      </c>
      <c r="G17069" s="4">
        <v>7</v>
      </c>
      <c r="H17069" s="4">
        <v>17.65352</v>
      </c>
      <c r="I17069" s="201"/>
      <c r="J17069" s="201"/>
    </row>
    <row r="17070" spans="1:10" s="15" customFormat="1" ht="19.5" hidden="1" customHeight="1" outlineLevel="1" x14ac:dyDescent="0.25">
      <c r="A17070" s="46">
        <v>9122</v>
      </c>
      <c r="B17070" s="4" t="s">
        <v>44</v>
      </c>
      <c r="C17070" s="22" t="s">
        <v>1803</v>
      </c>
      <c r="D17070" s="18">
        <v>2021</v>
      </c>
      <c r="E17070" s="18"/>
      <c r="F17070" s="4">
        <v>1</v>
      </c>
      <c r="G17070" s="4">
        <v>15</v>
      </c>
      <c r="H17070" s="4">
        <v>25.347330000000003</v>
      </c>
      <c r="I17070" s="201"/>
      <c r="J17070" s="201"/>
    </row>
    <row r="17071" spans="1:10" s="15" customFormat="1" ht="19.5" hidden="1" customHeight="1" outlineLevel="1" x14ac:dyDescent="0.25">
      <c r="A17071" s="46">
        <v>10373</v>
      </c>
      <c r="B17071" s="4" t="s">
        <v>44</v>
      </c>
      <c r="C17071" s="22" t="s">
        <v>1804</v>
      </c>
      <c r="D17071" s="18">
        <v>2021</v>
      </c>
      <c r="E17071" s="18"/>
      <c r="F17071" s="4">
        <v>1</v>
      </c>
      <c r="G17071" s="4">
        <v>15</v>
      </c>
      <c r="H17071" s="4">
        <v>25.52778</v>
      </c>
      <c r="I17071" s="201"/>
      <c r="J17071" s="201"/>
    </row>
    <row r="17072" spans="1:10" s="15" customFormat="1" ht="19.5" hidden="1" customHeight="1" outlineLevel="1" x14ac:dyDescent="0.25">
      <c r="A17072" s="46">
        <v>9117</v>
      </c>
      <c r="B17072" s="4" t="s">
        <v>44</v>
      </c>
      <c r="C17072" s="22" t="s">
        <v>1805</v>
      </c>
      <c r="D17072" s="18">
        <v>2021</v>
      </c>
      <c r="E17072" s="18"/>
      <c r="F17072" s="4">
        <v>1</v>
      </c>
      <c r="G17072" s="4">
        <v>14.5</v>
      </c>
      <c r="H17072" s="4">
        <v>28.47504</v>
      </c>
      <c r="I17072" s="201"/>
      <c r="J17072" s="201"/>
    </row>
    <row r="17073" spans="1:10" s="15" customFormat="1" ht="19.5" hidden="1" customHeight="1" outlineLevel="1" x14ac:dyDescent="0.25">
      <c r="A17073" s="46">
        <v>9045</v>
      </c>
      <c r="B17073" s="4" t="s">
        <v>44</v>
      </c>
      <c r="C17073" s="22" t="s">
        <v>1806</v>
      </c>
      <c r="D17073" s="18">
        <v>2021</v>
      </c>
      <c r="E17073" s="18"/>
      <c r="F17073" s="4">
        <v>1</v>
      </c>
      <c r="G17073" s="4">
        <v>9.1999999999999993</v>
      </c>
      <c r="H17073" s="4">
        <v>29.710259999999998</v>
      </c>
      <c r="I17073" s="201"/>
      <c r="J17073" s="201"/>
    </row>
    <row r="17074" spans="1:10" s="15" customFormat="1" ht="19.5" hidden="1" customHeight="1" outlineLevel="1" x14ac:dyDescent="0.25">
      <c r="A17074" s="46">
        <v>9049</v>
      </c>
      <c r="B17074" s="4" t="s">
        <v>44</v>
      </c>
      <c r="C17074" s="22" t="s">
        <v>1807</v>
      </c>
      <c r="D17074" s="18">
        <v>2021</v>
      </c>
      <c r="E17074" s="18"/>
      <c r="F17074" s="4">
        <v>1</v>
      </c>
      <c r="G17074" s="4">
        <v>12</v>
      </c>
      <c r="H17074" s="4">
        <v>26.361810000000002</v>
      </c>
      <c r="I17074" s="201"/>
      <c r="J17074" s="201"/>
    </row>
    <row r="17075" spans="1:10" s="15" customFormat="1" ht="19.5" hidden="1" customHeight="1" outlineLevel="1" x14ac:dyDescent="0.25">
      <c r="A17075" s="46">
        <v>9021</v>
      </c>
      <c r="B17075" s="4" t="s">
        <v>44</v>
      </c>
      <c r="C17075" s="22" t="s">
        <v>1808</v>
      </c>
      <c r="D17075" s="18">
        <v>2021</v>
      </c>
      <c r="E17075" s="18"/>
      <c r="F17075" s="4">
        <v>1</v>
      </c>
      <c r="G17075" s="4">
        <v>15</v>
      </c>
      <c r="H17075" s="4">
        <v>34.906779999999998</v>
      </c>
      <c r="I17075" s="201"/>
      <c r="J17075" s="201"/>
    </row>
    <row r="17076" spans="1:10" s="15" customFormat="1" ht="19.5" hidden="1" customHeight="1" outlineLevel="1" x14ac:dyDescent="0.25">
      <c r="A17076" s="46">
        <v>9047</v>
      </c>
      <c r="B17076" s="4" t="s">
        <v>44</v>
      </c>
      <c r="C17076" s="22" t="s">
        <v>1809</v>
      </c>
      <c r="D17076" s="18">
        <v>2021</v>
      </c>
      <c r="E17076" s="18"/>
      <c r="F17076" s="4">
        <v>1</v>
      </c>
      <c r="G17076" s="4">
        <v>10</v>
      </c>
      <c r="H17076" s="4">
        <v>26.234540000000003</v>
      </c>
      <c r="I17076" s="201"/>
      <c r="J17076" s="201"/>
    </row>
    <row r="17077" spans="1:10" s="15" customFormat="1" ht="19.5" hidden="1" customHeight="1" outlineLevel="1" x14ac:dyDescent="0.25">
      <c r="A17077" s="46">
        <v>10367</v>
      </c>
      <c r="B17077" s="4" t="s">
        <v>44</v>
      </c>
      <c r="C17077" s="22" t="s">
        <v>1810</v>
      </c>
      <c r="D17077" s="18">
        <v>2021</v>
      </c>
      <c r="E17077" s="18"/>
      <c r="F17077" s="4">
        <v>1</v>
      </c>
      <c r="G17077" s="4">
        <v>15</v>
      </c>
      <c r="H17077" s="4">
        <v>26.122310000000002</v>
      </c>
      <c r="I17077" s="201"/>
      <c r="J17077" s="201"/>
    </row>
    <row r="17078" spans="1:10" s="15" customFormat="1" ht="19.5" hidden="1" customHeight="1" outlineLevel="1" x14ac:dyDescent="0.25">
      <c r="A17078" s="46">
        <v>9027</v>
      </c>
      <c r="B17078" s="4" t="s">
        <v>44</v>
      </c>
      <c r="C17078" s="22" t="s">
        <v>1811</v>
      </c>
      <c r="D17078" s="18">
        <v>2021</v>
      </c>
      <c r="E17078" s="18"/>
      <c r="F17078" s="4">
        <v>1</v>
      </c>
      <c r="G17078" s="4">
        <v>12</v>
      </c>
      <c r="H17078" s="4">
        <v>26.290140000000001</v>
      </c>
      <c r="I17078" s="201"/>
      <c r="J17078" s="201"/>
    </row>
    <row r="17079" spans="1:10" s="15" customFormat="1" ht="19.5" hidden="1" customHeight="1" outlineLevel="1" x14ac:dyDescent="0.25">
      <c r="A17079" s="46">
        <v>9026</v>
      </c>
      <c r="B17079" s="4" t="s">
        <v>44</v>
      </c>
      <c r="C17079" s="22" t="s">
        <v>1812</v>
      </c>
      <c r="D17079" s="18">
        <v>2021</v>
      </c>
      <c r="E17079" s="18"/>
      <c r="F17079" s="4">
        <v>1</v>
      </c>
      <c r="G17079" s="4">
        <v>15</v>
      </c>
      <c r="H17079" s="4">
        <v>25.955970000000001</v>
      </c>
      <c r="I17079" s="201"/>
      <c r="J17079" s="201"/>
    </row>
    <row r="17080" spans="1:10" s="15" customFormat="1" ht="19.5" hidden="1" customHeight="1" outlineLevel="1" x14ac:dyDescent="0.25">
      <c r="A17080" s="46">
        <v>9064</v>
      </c>
      <c r="B17080" s="4" t="s">
        <v>44</v>
      </c>
      <c r="C17080" s="22" t="s">
        <v>1813</v>
      </c>
      <c r="D17080" s="18">
        <v>2021</v>
      </c>
      <c r="E17080" s="18"/>
      <c r="F17080" s="4">
        <v>1</v>
      </c>
      <c r="G17080" s="4">
        <v>15</v>
      </c>
      <c r="H17080" s="4">
        <v>28.719810000000003</v>
      </c>
      <c r="I17080" s="201"/>
      <c r="J17080" s="201"/>
    </row>
    <row r="17081" spans="1:10" s="15" customFormat="1" ht="19.5" hidden="1" customHeight="1" outlineLevel="1" x14ac:dyDescent="0.25">
      <c r="A17081" s="46">
        <v>9058</v>
      </c>
      <c r="B17081" s="4" t="s">
        <v>44</v>
      </c>
      <c r="C17081" s="22" t="s">
        <v>1814</v>
      </c>
      <c r="D17081" s="18">
        <v>2021</v>
      </c>
      <c r="E17081" s="18"/>
      <c r="F17081" s="4">
        <v>1</v>
      </c>
      <c r="G17081" s="4">
        <v>15</v>
      </c>
      <c r="H17081" s="4">
        <v>39.283910000000006</v>
      </c>
      <c r="I17081" s="201"/>
      <c r="J17081" s="201"/>
    </row>
    <row r="17082" spans="1:10" s="15" customFormat="1" ht="19.5" hidden="1" customHeight="1" outlineLevel="1" x14ac:dyDescent="0.25">
      <c r="A17082" s="46">
        <v>9060</v>
      </c>
      <c r="B17082" s="4" t="s">
        <v>44</v>
      </c>
      <c r="C17082" s="22" t="s">
        <v>1815</v>
      </c>
      <c r="D17082" s="18">
        <v>2021</v>
      </c>
      <c r="E17082" s="18"/>
      <c r="F17082" s="4">
        <v>1</v>
      </c>
      <c r="G17082" s="4">
        <v>15</v>
      </c>
      <c r="H17082" s="4">
        <v>26.802340000000001</v>
      </c>
      <c r="I17082" s="201"/>
      <c r="J17082" s="201"/>
    </row>
    <row r="17083" spans="1:10" s="15" customFormat="1" ht="19.5" hidden="1" customHeight="1" outlineLevel="1" x14ac:dyDescent="0.25">
      <c r="A17083" s="46">
        <v>9059</v>
      </c>
      <c r="B17083" s="4" t="s">
        <v>44</v>
      </c>
      <c r="C17083" s="22" t="s">
        <v>1816</v>
      </c>
      <c r="D17083" s="18">
        <v>2021</v>
      </c>
      <c r="E17083" s="18"/>
      <c r="F17083" s="4">
        <v>1</v>
      </c>
      <c r="G17083" s="4">
        <v>15</v>
      </c>
      <c r="H17083" s="4">
        <v>28.57403</v>
      </c>
      <c r="I17083" s="201"/>
      <c r="J17083" s="201"/>
    </row>
    <row r="17084" spans="1:10" s="15" customFormat="1" ht="19.5" hidden="1" customHeight="1" outlineLevel="1" x14ac:dyDescent="0.25">
      <c r="A17084" s="46">
        <v>9132</v>
      </c>
      <c r="B17084" s="4" t="s">
        <v>44</v>
      </c>
      <c r="C17084" s="22" t="s">
        <v>1817</v>
      </c>
      <c r="D17084" s="18">
        <v>2021</v>
      </c>
      <c r="E17084" s="18"/>
      <c r="F17084" s="4">
        <v>1</v>
      </c>
      <c r="G17084" s="4">
        <v>15</v>
      </c>
      <c r="H17084" s="4">
        <v>36.689730000000004</v>
      </c>
      <c r="I17084" s="201"/>
      <c r="J17084" s="201"/>
    </row>
    <row r="17085" spans="1:10" s="15" customFormat="1" ht="19.5" hidden="1" customHeight="1" outlineLevel="1" x14ac:dyDescent="0.25">
      <c r="A17085" s="46">
        <v>9061</v>
      </c>
      <c r="B17085" s="4" t="s">
        <v>44</v>
      </c>
      <c r="C17085" s="22" t="s">
        <v>1818</v>
      </c>
      <c r="D17085" s="18">
        <v>2021</v>
      </c>
      <c r="E17085" s="18"/>
      <c r="F17085" s="4">
        <v>1</v>
      </c>
      <c r="G17085" s="4">
        <v>15</v>
      </c>
      <c r="H17085" s="4">
        <v>29.11149</v>
      </c>
      <c r="I17085" s="201"/>
      <c r="J17085" s="201"/>
    </row>
    <row r="17086" spans="1:10" s="15" customFormat="1" ht="19.5" hidden="1" customHeight="1" outlineLevel="1" x14ac:dyDescent="0.25">
      <c r="A17086" s="46">
        <v>9062</v>
      </c>
      <c r="B17086" s="4" t="s">
        <v>44</v>
      </c>
      <c r="C17086" s="22" t="s">
        <v>1819</v>
      </c>
      <c r="D17086" s="18">
        <v>2021</v>
      </c>
      <c r="E17086" s="18"/>
      <c r="F17086" s="4">
        <v>1</v>
      </c>
      <c r="G17086" s="4">
        <v>15</v>
      </c>
      <c r="H17086" s="4">
        <v>36.79063</v>
      </c>
      <c r="I17086" s="201"/>
      <c r="J17086" s="201"/>
    </row>
    <row r="17087" spans="1:10" s="15" customFormat="1" ht="19.5" hidden="1" customHeight="1" outlineLevel="1" x14ac:dyDescent="0.25">
      <c r="A17087" s="46">
        <v>9121</v>
      </c>
      <c r="B17087" s="4" t="s">
        <v>44</v>
      </c>
      <c r="C17087" s="22" t="s">
        <v>1820</v>
      </c>
      <c r="D17087" s="18">
        <v>2021</v>
      </c>
      <c r="E17087" s="18"/>
      <c r="F17087" s="4">
        <v>1</v>
      </c>
      <c r="G17087" s="4">
        <v>15</v>
      </c>
      <c r="H17087" s="4">
        <v>28.121689999999997</v>
      </c>
      <c r="I17087" s="201"/>
      <c r="J17087" s="201"/>
    </row>
    <row r="17088" spans="1:10" s="15" customFormat="1" ht="19.5" hidden="1" customHeight="1" outlineLevel="1" x14ac:dyDescent="0.25">
      <c r="A17088" s="46">
        <v>9063</v>
      </c>
      <c r="B17088" s="4" t="s">
        <v>44</v>
      </c>
      <c r="C17088" s="22" t="s">
        <v>1821</v>
      </c>
      <c r="D17088" s="18">
        <v>2021</v>
      </c>
      <c r="E17088" s="18"/>
      <c r="F17088" s="4">
        <v>1</v>
      </c>
      <c r="G17088" s="4">
        <v>15</v>
      </c>
      <c r="H17088" s="4">
        <v>31.09328</v>
      </c>
      <c r="I17088" s="201"/>
      <c r="J17088" s="201"/>
    </row>
    <row r="17089" spans="1:10" s="15" customFormat="1" ht="19.5" hidden="1" customHeight="1" outlineLevel="1" x14ac:dyDescent="0.25">
      <c r="A17089" s="46">
        <v>9050</v>
      </c>
      <c r="B17089" s="4" t="s">
        <v>44</v>
      </c>
      <c r="C17089" s="22" t="s">
        <v>1822</v>
      </c>
      <c r="D17089" s="18">
        <v>2021</v>
      </c>
      <c r="E17089" s="18"/>
      <c r="F17089" s="4">
        <v>1</v>
      </c>
      <c r="G17089" s="4">
        <v>14.5</v>
      </c>
      <c r="H17089" s="4">
        <v>44.557650000000002</v>
      </c>
      <c r="I17089" s="201"/>
      <c r="J17089" s="201"/>
    </row>
    <row r="17090" spans="1:10" s="15" customFormat="1" ht="19.5" hidden="1" customHeight="1" outlineLevel="1" x14ac:dyDescent="0.25">
      <c r="A17090" s="45">
        <v>2532</v>
      </c>
      <c r="B17090" s="4" t="s">
        <v>44</v>
      </c>
      <c r="C17090" s="22" t="s">
        <v>1823</v>
      </c>
      <c r="D17090" s="18">
        <v>2021</v>
      </c>
      <c r="E17090" s="18"/>
      <c r="F17090" s="4">
        <v>1</v>
      </c>
      <c r="G17090" s="4">
        <v>8</v>
      </c>
      <c r="H17090" s="4">
        <v>24.872990000000001</v>
      </c>
      <c r="I17090" s="201"/>
      <c r="J17090" s="201"/>
    </row>
    <row r="17091" spans="1:10" s="15" customFormat="1" ht="19.5" hidden="1" customHeight="1" outlineLevel="1" x14ac:dyDescent="0.25">
      <c r="A17091" s="46">
        <v>9031</v>
      </c>
      <c r="B17091" s="4" t="s">
        <v>44</v>
      </c>
      <c r="C17091" s="22" t="s">
        <v>1824</v>
      </c>
      <c r="D17091" s="18">
        <v>2021</v>
      </c>
      <c r="E17091" s="18"/>
      <c r="F17091" s="4">
        <v>1</v>
      </c>
      <c r="G17091" s="4">
        <v>15</v>
      </c>
      <c r="H17091" s="4">
        <v>26.812000000000001</v>
      </c>
      <c r="I17091" s="201"/>
      <c r="J17091" s="201"/>
    </row>
    <row r="17092" spans="1:10" s="15" customFormat="1" ht="19.5" hidden="1" customHeight="1" outlineLevel="1" x14ac:dyDescent="0.25">
      <c r="A17092" s="46">
        <v>9131</v>
      </c>
      <c r="B17092" s="4" t="s">
        <v>44</v>
      </c>
      <c r="C17092" s="22" t="s">
        <v>1825</v>
      </c>
      <c r="D17092" s="18">
        <v>2021</v>
      </c>
      <c r="E17092" s="18"/>
      <c r="F17092" s="4">
        <v>1</v>
      </c>
      <c r="G17092" s="4">
        <v>15</v>
      </c>
      <c r="H17092" s="4">
        <v>34.339700000000001</v>
      </c>
      <c r="I17092" s="201"/>
      <c r="J17092" s="201"/>
    </row>
    <row r="17093" spans="1:10" s="15" customFormat="1" ht="19.5" hidden="1" customHeight="1" outlineLevel="1" x14ac:dyDescent="0.25">
      <c r="A17093" s="46">
        <v>9068</v>
      </c>
      <c r="B17093" s="4" t="s">
        <v>44</v>
      </c>
      <c r="C17093" s="22" t="s">
        <v>1826</v>
      </c>
      <c r="D17093" s="18">
        <v>2021</v>
      </c>
      <c r="E17093" s="18"/>
      <c r="F17093" s="4">
        <v>1</v>
      </c>
      <c r="G17093" s="4">
        <v>15</v>
      </c>
      <c r="H17093" s="4">
        <v>24.76004</v>
      </c>
      <c r="I17093" s="201"/>
      <c r="J17093" s="201"/>
    </row>
    <row r="17094" spans="1:10" s="15" customFormat="1" ht="19.5" hidden="1" customHeight="1" outlineLevel="1" x14ac:dyDescent="0.25">
      <c r="A17094" s="46">
        <v>9116</v>
      </c>
      <c r="B17094" s="4" t="s">
        <v>44</v>
      </c>
      <c r="C17094" s="22" t="s">
        <v>1827</v>
      </c>
      <c r="D17094" s="18">
        <v>2021</v>
      </c>
      <c r="E17094" s="18"/>
      <c r="F17094" s="4">
        <v>1</v>
      </c>
      <c r="G17094" s="4">
        <v>8</v>
      </c>
      <c r="H17094" s="4">
        <v>26.832270000000001</v>
      </c>
      <c r="I17094" s="201"/>
      <c r="J17094" s="201"/>
    </row>
    <row r="17095" spans="1:10" s="15" customFormat="1" ht="19.5" hidden="1" customHeight="1" outlineLevel="1" x14ac:dyDescent="0.25">
      <c r="A17095" s="46">
        <v>9070</v>
      </c>
      <c r="B17095" s="4" t="s">
        <v>44</v>
      </c>
      <c r="C17095" s="22" t="s">
        <v>1828</v>
      </c>
      <c r="D17095" s="18">
        <v>2021</v>
      </c>
      <c r="E17095" s="18"/>
      <c r="F17095" s="4">
        <v>1</v>
      </c>
      <c r="G17095" s="4">
        <v>15</v>
      </c>
      <c r="H17095" s="4">
        <v>48.438279999999999</v>
      </c>
      <c r="I17095" s="201"/>
      <c r="J17095" s="201"/>
    </row>
    <row r="17096" spans="1:10" s="15" customFormat="1" ht="19.5" hidden="1" customHeight="1" outlineLevel="1" x14ac:dyDescent="0.25">
      <c r="A17096" s="46">
        <v>9112</v>
      </c>
      <c r="B17096" s="4" t="s">
        <v>44</v>
      </c>
      <c r="C17096" s="22" t="s">
        <v>1829</v>
      </c>
      <c r="D17096" s="18">
        <v>2021</v>
      </c>
      <c r="E17096" s="18"/>
      <c r="F17096" s="4">
        <v>1</v>
      </c>
      <c r="G17096" s="4">
        <v>8.9</v>
      </c>
      <c r="H17096" s="4">
        <v>25.647580000000001</v>
      </c>
      <c r="I17096" s="201"/>
      <c r="J17096" s="201"/>
    </row>
    <row r="17097" spans="1:10" s="15" customFormat="1" ht="19.5" hidden="1" customHeight="1" outlineLevel="1" x14ac:dyDescent="0.25">
      <c r="A17097" s="46">
        <v>9032</v>
      </c>
      <c r="B17097" s="4" t="s">
        <v>44</v>
      </c>
      <c r="C17097" s="22" t="s">
        <v>1830</v>
      </c>
      <c r="D17097" s="18">
        <v>2021</v>
      </c>
      <c r="E17097" s="18"/>
      <c r="F17097" s="4">
        <v>1</v>
      </c>
      <c r="G17097" s="4">
        <v>15</v>
      </c>
      <c r="H17097" s="4">
        <v>26.523330000000001</v>
      </c>
      <c r="I17097" s="201"/>
      <c r="J17097" s="201"/>
    </row>
    <row r="17098" spans="1:10" s="15" customFormat="1" ht="19.5" hidden="1" customHeight="1" outlineLevel="1" x14ac:dyDescent="0.25">
      <c r="A17098" s="46">
        <v>9113</v>
      </c>
      <c r="B17098" s="4" t="s">
        <v>44</v>
      </c>
      <c r="C17098" s="22" t="s">
        <v>1831</v>
      </c>
      <c r="D17098" s="18">
        <v>2021</v>
      </c>
      <c r="E17098" s="18"/>
      <c r="F17098" s="4">
        <v>1</v>
      </c>
      <c r="G17098" s="4">
        <v>11</v>
      </c>
      <c r="H17098" s="4">
        <v>25.64716</v>
      </c>
      <c r="I17098" s="201"/>
      <c r="J17098" s="201"/>
    </row>
    <row r="17099" spans="1:10" s="15" customFormat="1" ht="19.5" hidden="1" customHeight="1" outlineLevel="1" x14ac:dyDescent="0.25">
      <c r="A17099" s="46">
        <v>9057</v>
      </c>
      <c r="B17099" s="4" t="s">
        <v>44</v>
      </c>
      <c r="C17099" s="22" t="s">
        <v>1832</v>
      </c>
      <c r="D17099" s="18">
        <v>2021</v>
      </c>
      <c r="E17099" s="18"/>
      <c r="F17099" s="4">
        <v>1</v>
      </c>
      <c r="G17099" s="4">
        <v>15</v>
      </c>
      <c r="H17099" s="4">
        <v>25.617240000000002</v>
      </c>
      <c r="I17099" s="201"/>
      <c r="J17099" s="201"/>
    </row>
    <row r="17100" spans="1:10" s="15" customFormat="1" ht="19.5" hidden="1" customHeight="1" outlineLevel="1" x14ac:dyDescent="0.25">
      <c r="A17100" s="46">
        <v>9126</v>
      </c>
      <c r="B17100" s="4" t="s">
        <v>44</v>
      </c>
      <c r="C17100" s="22" t="s">
        <v>1833</v>
      </c>
      <c r="D17100" s="18">
        <v>2021</v>
      </c>
      <c r="E17100" s="18"/>
      <c r="F17100" s="4">
        <v>1</v>
      </c>
      <c r="G17100" s="4">
        <v>15</v>
      </c>
      <c r="H17100" s="4">
        <v>30.078859999999999</v>
      </c>
      <c r="I17100" s="201"/>
      <c r="J17100" s="201"/>
    </row>
    <row r="17101" spans="1:10" s="15" customFormat="1" ht="19.5" hidden="1" customHeight="1" outlineLevel="1" x14ac:dyDescent="0.25">
      <c r="A17101" s="46">
        <v>9034</v>
      </c>
      <c r="B17101" s="4" t="s">
        <v>44</v>
      </c>
      <c r="C17101" s="22" t="s">
        <v>1834</v>
      </c>
      <c r="D17101" s="18">
        <v>2021</v>
      </c>
      <c r="E17101" s="18"/>
      <c r="F17101" s="4">
        <v>1</v>
      </c>
      <c r="G17101" s="4">
        <v>15</v>
      </c>
      <c r="H17101" s="4">
        <v>24.87275</v>
      </c>
      <c r="I17101" s="201"/>
      <c r="J17101" s="201"/>
    </row>
    <row r="17102" spans="1:10" s="15" customFormat="1" ht="19.5" hidden="1" customHeight="1" outlineLevel="1" x14ac:dyDescent="0.25">
      <c r="A17102" s="46">
        <v>9039</v>
      </c>
      <c r="B17102" s="4" t="s">
        <v>44</v>
      </c>
      <c r="C17102" s="22" t="s">
        <v>1835</v>
      </c>
      <c r="D17102" s="18">
        <v>2021</v>
      </c>
      <c r="E17102" s="18"/>
      <c r="F17102" s="4">
        <v>1</v>
      </c>
      <c r="G17102" s="4">
        <v>15</v>
      </c>
      <c r="H17102" s="4">
        <v>24.435110000000002</v>
      </c>
      <c r="I17102" s="201"/>
      <c r="J17102" s="201"/>
    </row>
    <row r="17103" spans="1:10" s="15" customFormat="1" ht="19.5" hidden="1" customHeight="1" outlineLevel="1" x14ac:dyDescent="0.25">
      <c r="A17103" s="46">
        <v>9065</v>
      </c>
      <c r="B17103" s="4" t="s">
        <v>44</v>
      </c>
      <c r="C17103" s="22" t="s">
        <v>1836</v>
      </c>
      <c r="D17103" s="18">
        <v>2021</v>
      </c>
      <c r="E17103" s="18"/>
      <c r="F17103" s="4">
        <v>1</v>
      </c>
      <c r="G17103" s="4">
        <v>15</v>
      </c>
      <c r="H17103" s="4">
        <v>29.03078</v>
      </c>
      <c r="I17103" s="201"/>
      <c r="J17103" s="201"/>
    </row>
    <row r="17104" spans="1:10" s="15" customFormat="1" ht="19.5" hidden="1" customHeight="1" outlineLevel="1" x14ac:dyDescent="0.25">
      <c r="A17104" s="46">
        <v>9066</v>
      </c>
      <c r="B17104" s="4" t="s">
        <v>44</v>
      </c>
      <c r="C17104" s="22" t="s">
        <v>1837</v>
      </c>
      <c r="D17104" s="18">
        <v>2021</v>
      </c>
      <c r="E17104" s="18"/>
      <c r="F17104" s="4">
        <v>1</v>
      </c>
      <c r="G17104" s="4">
        <v>15</v>
      </c>
      <c r="H17104" s="4">
        <v>25.303009999999997</v>
      </c>
      <c r="I17104" s="201"/>
      <c r="J17104" s="201"/>
    </row>
    <row r="17105" spans="1:10" s="15" customFormat="1" ht="19.5" hidden="1" customHeight="1" outlineLevel="1" x14ac:dyDescent="0.25">
      <c r="A17105" s="46">
        <v>9035</v>
      </c>
      <c r="B17105" s="4" t="s">
        <v>44</v>
      </c>
      <c r="C17105" s="22" t="s">
        <v>1838</v>
      </c>
      <c r="D17105" s="18">
        <v>2021</v>
      </c>
      <c r="E17105" s="18"/>
      <c r="F17105" s="4">
        <v>1</v>
      </c>
      <c r="G17105" s="4">
        <v>9</v>
      </c>
      <c r="H17105" s="4">
        <v>24.852689999999999</v>
      </c>
      <c r="I17105" s="201"/>
      <c r="J17105" s="201"/>
    </row>
    <row r="17106" spans="1:10" s="15" customFormat="1" ht="19.5" hidden="1" customHeight="1" outlineLevel="1" x14ac:dyDescent="0.25">
      <c r="A17106" s="46">
        <v>9129</v>
      </c>
      <c r="B17106" s="4" t="s">
        <v>44</v>
      </c>
      <c r="C17106" s="22" t="s">
        <v>1839</v>
      </c>
      <c r="D17106" s="18">
        <v>2021</v>
      </c>
      <c r="E17106" s="18"/>
      <c r="F17106" s="4">
        <v>1</v>
      </c>
      <c r="G17106" s="4">
        <v>15</v>
      </c>
      <c r="H17106" s="4">
        <v>32.175080000000001</v>
      </c>
      <c r="I17106" s="201"/>
      <c r="J17106" s="201"/>
    </row>
    <row r="17107" spans="1:10" s="15" customFormat="1" ht="19.5" hidden="1" customHeight="1" outlineLevel="1" x14ac:dyDescent="0.25">
      <c r="A17107" s="46">
        <v>9051</v>
      </c>
      <c r="B17107" s="4" t="s">
        <v>44</v>
      </c>
      <c r="C17107" s="22" t="s">
        <v>1840</v>
      </c>
      <c r="D17107" s="18">
        <v>2021</v>
      </c>
      <c r="E17107" s="18"/>
      <c r="F17107" s="4">
        <v>1</v>
      </c>
      <c r="G17107" s="4">
        <v>10</v>
      </c>
      <c r="H17107" s="4">
        <v>26.52328</v>
      </c>
      <c r="I17107" s="201"/>
      <c r="J17107" s="201"/>
    </row>
    <row r="17108" spans="1:10" s="15" customFormat="1" ht="19.5" hidden="1" customHeight="1" outlineLevel="1" x14ac:dyDescent="0.25">
      <c r="A17108" s="46">
        <v>9003</v>
      </c>
      <c r="B17108" s="4" t="s">
        <v>44</v>
      </c>
      <c r="C17108" s="22" t="s">
        <v>1841</v>
      </c>
      <c r="D17108" s="18">
        <v>2021</v>
      </c>
      <c r="E17108" s="18"/>
      <c r="F17108" s="4">
        <v>1</v>
      </c>
      <c r="G17108" s="4">
        <v>15</v>
      </c>
      <c r="H17108" s="4">
        <v>28.914210000000001</v>
      </c>
      <c r="I17108" s="201"/>
      <c r="J17108" s="201"/>
    </row>
    <row r="17109" spans="1:10" s="15" customFormat="1" ht="19.5" hidden="1" customHeight="1" outlineLevel="1" x14ac:dyDescent="0.25">
      <c r="A17109" s="46">
        <v>9033</v>
      </c>
      <c r="B17109" s="4" t="s">
        <v>44</v>
      </c>
      <c r="C17109" s="22" t="s">
        <v>1842</v>
      </c>
      <c r="D17109" s="18">
        <v>2021</v>
      </c>
      <c r="E17109" s="18"/>
      <c r="F17109" s="4">
        <v>1</v>
      </c>
      <c r="G17109" s="4">
        <v>15</v>
      </c>
      <c r="H17109" s="4">
        <v>24.852689999999999</v>
      </c>
      <c r="I17109" s="201"/>
      <c r="J17109" s="201"/>
    </row>
    <row r="17110" spans="1:10" s="15" customFormat="1" ht="19.5" hidden="1" customHeight="1" outlineLevel="1" x14ac:dyDescent="0.25">
      <c r="A17110" s="46">
        <v>9036</v>
      </c>
      <c r="B17110" s="4" t="s">
        <v>44</v>
      </c>
      <c r="C17110" s="22" t="s">
        <v>1843</v>
      </c>
      <c r="D17110" s="18">
        <v>2021</v>
      </c>
      <c r="E17110" s="18"/>
      <c r="F17110" s="4">
        <v>1</v>
      </c>
      <c r="G17110" s="4">
        <v>15</v>
      </c>
      <c r="H17110" s="4">
        <v>31.540650000000003</v>
      </c>
      <c r="I17110" s="201"/>
      <c r="J17110" s="201"/>
    </row>
    <row r="17111" spans="1:10" s="15" customFormat="1" ht="19.5" hidden="1" customHeight="1" outlineLevel="1" x14ac:dyDescent="0.25">
      <c r="A17111" s="46">
        <v>9044</v>
      </c>
      <c r="B17111" s="4" t="s">
        <v>44</v>
      </c>
      <c r="C17111" s="22" t="s">
        <v>1844</v>
      </c>
      <c r="D17111" s="18">
        <v>2021</v>
      </c>
      <c r="E17111" s="18"/>
      <c r="F17111" s="4">
        <v>1</v>
      </c>
      <c r="G17111" s="4">
        <v>11.5</v>
      </c>
      <c r="H17111" s="4">
        <v>26.515979999999999</v>
      </c>
      <c r="I17111" s="201"/>
      <c r="J17111" s="201"/>
    </row>
    <row r="17112" spans="1:10" s="15" customFormat="1" ht="19.5" hidden="1" customHeight="1" outlineLevel="1" x14ac:dyDescent="0.25">
      <c r="A17112" s="45">
        <v>1325</v>
      </c>
      <c r="B17112" s="4" t="s">
        <v>44</v>
      </c>
      <c r="C17112" s="22" t="s">
        <v>132</v>
      </c>
      <c r="D17112" s="18">
        <v>2021</v>
      </c>
      <c r="E17112" s="18"/>
      <c r="F17112" s="4">
        <v>1</v>
      </c>
      <c r="G17112" s="4">
        <v>8.5</v>
      </c>
      <c r="H17112" s="4">
        <v>36</v>
      </c>
      <c r="I17112" s="201"/>
      <c r="J17112" s="201"/>
    </row>
    <row r="17113" spans="1:10" s="15" customFormat="1" ht="19.5" hidden="1" customHeight="1" outlineLevel="1" x14ac:dyDescent="0.25">
      <c r="A17113" s="46">
        <v>9067</v>
      </c>
      <c r="B17113" s="4" t="s">
        <v>44</v>
      </c>
      <c r="C17113" s="22" t="s">
        <v>1845</v>
      </c>
      <c r="D17113" s="18">
        <v>2021</v>
      </c>
      <c r="E17113" s="18"/>
      <c r="F17113" s="4">
        <v>1</v>
      </c>
      <c r="G17113" s="4">
        <v>15</v>
      </c>
      <c r="H17113" s="4">
        <v>24.682130000000001</v>
      </c>
      <c r="I17113" s="201"/>
      <c r="J17113" s="201"/>
    </row>
    <row r="17114" spans="1:10" s="15" customFormat="1" ht="19.5" hidden="1" customHeight="1" outlineLevel="1" x14ac:dyDescent="0.25">
      <c r="A17114" s="46">
        <v>9125</v>
      </c>
      <c r="B17114" s="4" t="s">
        <v>44</v>
      </c>
      <c r="C17114" s="22" t="s">
        <v>1846</v>
      </c>
      <c r="D17114" s="18">
        <v>2021</v>
      </c>
      <c r="E17114" s="18"/>
      <c r="F17114" s="4">
        <v>1</v>
      </c>
      <c r="G17114" s="4">
        <v>15</v>
      </c>
      <c r="H17114" s="4">
        <v>32.718139999999998</v>
      </c>
      <c r="I17114" s="201"/>
      <c r="J17114" s="201"/>
    </row>
    <row r="17115" spans="1:10" s="15" customFormat="1" ht="19.5" hidden="1" customHeight="1" outlineLevel="1" x14ac:dyDescent="0.25">
      <c r="A17115" s="46">
        <v>9069</v>
      </c>
      <c r="B17115" s="4" t="s">
        <v>44</v>
      </c>
      <c r="C17115" s="22" t="s">
        <v>1847</v>
      </c>
      <c r="D17115" s="18">
        <v>2021</v>
      </c>
      <c r="E17115" s="18"/>
      <c r="F17115" s="4">
        <v>1</v>
      </c>
      <c r="G17115" s="4">
        <v>15</v>
      </c>
      <c r="H17115" s="4">
        <v>24.91553</v>
      </c>
      <c r="I17115" s="201"/>
      <c r="J17115" s="201"/>
    </row>
    <row r="17116" spans="1:10" s="15" customFormat="1" ht="19.5" hidden="1" customHeight="1" outlineLevel="1" x14ac:dyDescent="0.25">
      <c r="A17116" s="46">
        <v>9072</v>
      </c>
      <c r="B17116" s="4" t="s">
        <v>44</v>
      </c>
      <c r="C17116" s="22" t="s">
        <v>1848</v>
      </c>
      <c r="D17116" s="18">
        <v>2021</v>
      </c>
      <c r="E17116" s="18"/>
      <c r="F17116" s="4">
        <v>1</v>
      </c>
      <c r="G17116" s="4">
        <v>15</v>
      </c>
      <c r="H17116" s="4">
        <v>24.915759999999999</v>
      </c>
      <c r="I17116" s="201"/>
      <c r="J17116" s="201"/>
    </row>
    <row r="17117" spans="1:10" s="15" customFormat="1" ht="19.5" hidden="1" customHeight="1" outlineLevel="1" x14ac:dyDescent="0.25">
      <c r="A17117" s="46">
        <v>9109</v>
      </c>
      <c r="B17117" s="4" t="s">
        <v>44</v>
      </c>
      <c r="C17117" s="22" t="s">
        <v>1849</v>
      </c>
      <c r="D17117" s="18">
        <v>2021</v>
      </c>
      <c r="E17117" s="18"/>
      <c r="F17117" s="4">
        <v>1</v>
      </c>
      <c r="G17117" s="4">
        <v>15</v>
      </c>
      <c r="H17117" s="4">
        <v>25.508890000000001</v>
      </c>
      <c r="I17117" s="201"/>
      <c r="J17117" s="201"/>
    </row>
    <row r="17118" spans="1:10" s="15" customFormat="1" ht="19.5" hidden="1" customHeight="1" outlineLevel="1" x14ac:dyDescent="0.25">
      <c r="A17118" s="45">
        <v>2552</v>
      </c>
      <c r="B17118" s="4" t="s">
        <v>44</v>
      </c>
      <c r="C17118" s="22" t="s">
        <v>1850</v>
      </c>
      <c r="D17118" s="18">
        <v>2021</v>
      </c>
      <c r="E17118" s="18"/>
      <c r="F17118" s="4">
        <v>1</v>
      </c>
      <c r="G17118" s="4">
        <v>15</v>
      </c>
      <c r="H17118" s="4">
        <v>25.597060000000003</v>
      </c>
      <c r="I17118" s="201"/>
      <c r="J17118" s="201"/>
    </row>
    <row r="17119" spans="1:10" s="15" customFormat="1" ht="19.5" hidden="1" customHeight="1" outlineLevel="1" x14ac:dyDescent="0.25">
      <c r="A17119" s="46">
        <v>9127</v>
      </c>
      <c r="B17119" s="4" t="s">
        <v>44</v>
      </c>
      <c r="C17119" s="22" t="s">
        <v>1851</v>
      </c>
      <c r="D17119" s="18">
        <v>2021</v>
      </c>
      <c r="E17119" s="18"/>
      <c r="F17119" s="4">
        <v>1</v>
      </c>
      <c r="G17119" s="4">
        <v>15</v>
      </c>
      <c r="H17119" s="4">
        <v>29</v>
      </c>
      <c r="I17119" s="201"/>
      <c r="J17119" s="201"/>
    </row>
    <row r="17120" spans="1:10" s="15" customFormat="1" ht="19.5" hidden="1" customHeight="1" outlineLevel="1" x14ac:dyDescent="0.25">
      <c r="A17120" s="46">
        <v>9130</v>
      </c>
      <c r="B17120" s="4" t="s">
        <v>44</v>
      </c>
      <c r="C17120" s="22" t="s">
        <v>1852</v>
      </c>
      <c r="D17120" s="18">
        <v>2021</v>
      </c>
      <c r="E17120" s="18"/>
      <c r="F17120" s="4">
        <v>1</v>
      </c>
      <c r="G17120" s="4">
        <v>15</v>
      </c>
      <c r="H17120" s="4">
        <v>30.078869999999998</v>
      </c>
      <c r="I17120" s="201"/>
      <c r="J17120" s="201"/>
    </row>
    <row r="17121" spans="1:10" s="15" customFormat="1" ht="19.5" hidden="1" customHeight="1" outlineLevel="1" x14ac:dyDescent="0.25">
      <c r="A17121" s="46">
        <v>9128</v>
      </c>
      <c r="B17121" s="4" t="s">
        <v>44</v>
      </c>
      <c r="C17121" s="22" t="s">
        <v>1853</v>
      </c>
      <c r="D17121" s="18">
        <v>2021</v>
      </c>
      <c r="E17121" s="18"/>
      <c r="F17121" s="4">
        <v>1</v>
      </c>
      <c r="G17121" s="4">
        <v>15</v>
      </c>
      <c r="H17121" s="4">
        <v>28.836369999999999</v>
      </c>
      <c r="I17121" s="201"/>
      <c r="J17121" s="201"/>
    </row>
    <row r="17122" spans="1:10" s="15" customFormat="1" ht="19.5" hidden="1" customHeight="1" outlineLevel="1" x14ac:dyDescent="0.25">
      <c r="A17122" s="46">
        <v>9020</v>
      </c>
      <c r="B17122" s="4" t="s">
        <v>44</v>
      </c>
      <c r="C17122" s="22" t="s">
        <v>1854</v>
      </c>
      <c r="D17122" s="18">
        <v>2021</v>
      </c>
      <c r="E17122" s="18"/>
      <c r="F17122" s="4">
        <v>1</v>
      </c>
      <c r="G17122" s="4">
        <v>15</v>
      </c>
      <c r="H17122" s="4">
        <v>24.82696</v>
      </c>
      <c r="I17122" s="201"/>
      <c r="J17122" s="201"/>
    </row>
    <row r="17123" spans="1:10" s="15" customFormat="1" ht="19.5" hidden="1" customHeight="1" outlineLevel="1" x14ac:dyDescent="0.25">
      <c r="A17123" s="46">
        <v>9019</v>
      </c>
      <c r="B17123" s="4" t="s">
        <v>44</v>
      </c>
      <c r="C17123" s="22" t="s">
        <v>1855</v>
      </c>
      <c r="D17123" s="18">
        <v>2021</v>
      </c>
      <c r="E17123" s="18"/>
      <c r="F17123" s="4">
        <v>1</v>
      </c>
      <c r="G17123" s="4">
        <v>15</v>
      </c>
      <c r="H17123" s="4">
        <v>24.596490000000003</v>
      </c>
      <c r="I17123" s="201"/>
      <c r="J17123" s="201"/>
    </row>
    <row r="17124" spans="1:10" s="15" customFormat="1" ht="19.5" hidden="1" customHeight="1" outlineLevel="1" x14ac:dyDescent="0.25">
      <c r="A17124" s="46">
        <v>9023</v>
      </c>
      <c r="B17124" s="4" t="s">
        <v>44</v>
      </c>
      <c r="C17124" s="22" t="s">
        <v>1856</v>
      </c>
      <c r="D17124" s="18">
        <v>2021</v>
      </c>
      <c r="E17124" s="18"/>
      <c r="F17124" s="4">
        <v>1</v>
      </c>
      <c r="G17124" s="4">
        <v>13</v>
      </c>
      <c r="H17124" s="4">
        <v>24.82714</v>
      </c>
      <c r="I17124" s="201"/>
      <c r="J17124" s="201"/>
    </row>
    <row r="17125" spans="1:10" s="15" customFormat="1" ht="19.5" hidden="1" customHeight="1" outlineLevel="1" x14ac:dyDescent="0.25">
      <c r="A17125" s="46">
        <v>9110</v>
      </c>
      <c r="B17125" s="4" t="s">
        <v>44</v>
      </c>
      <c r="C17125" s="22" t="s">
        <v>1857</v>
      </c>
      <c r="D17125" s="18">
        <v>2021</v>
      </c>
      <c r="E17125" s="18"/>
      <c r="F17125" s="4">
        <v>1</v>
      </c>
      <c r="G17125" s="4">
        <v>12</v>
      </c>
      <c r="H17125" s="4">
        <v>24.80846</v>
      </c>
      <c r="I17125" s="201"/>
      <c r="J17125" s="201"/>
    </row>
    <row r="17126" spans="1:10" s="15" customFormat="1" ht="19.5" hidden="1" customHeight="1" outlineLevel="1" x14ac:dyDescent="0.25">
      <c r="A17126" s="46">
        <v>9118</v>
      </c>
      <c r="B17126" s="4" t="s">
        <v>44</v>
      </c>
      <c r="C17126" s="22" t="s">
        <v>1858</v>
      </c>
      <c r="D17126" s="18">
        <v>2021</v>
      </c>
      <c r="E17126" s="18"/>
      <c r="F17126" s="4">
        <v>1</v>
      </c>
      <c r="G17126" s="4">
        <v>10</v>
      </c>
      <c r="H17126" s="4">
        <v>24.753400000000003</v>
      </c>
      <c r="I17126" s="201"/>
      <c r="J17126" s="201"/>
    </row>
    <row r="17127" spans="1:10" s="15" customFormat="1" ht="19.5" hidden="1" customHeight="1" outlineLevel="1" x14ac:dyDescent="0.25">
      <c r="A17127" s="46">
        <v>9016</v>
      </c>
      <c r="B17127" s="4" t="s">
        <v>44</v>
      </c>
      <c r="C17127" s="22" t="s">
        <v>1859</v>
      </c>
      <c r="D17127" s="18">
        <v>2021</v>
      </c>
      <c r="E17127" s="18"/>
      <c r="F17127" s="4">
        <v>1</v>
      </c>
      <c r="G17127" s="4">
        <v>8</v>
      </c>
      <c r="H17127" s="4">
        <v>36.446809999999999</v>
      </c>
      <c r="I17127" s="201"/>
      <c r="J17127" s="201"/>
    </row>
    <row r="17128" spans="1:10" s="15" customFormat="1" ht="19.5" hidden="1" customHeight="1" outlineLevel="1" x14ac:dyDescent="0.25">
      <c r="A17128" s="46">
        <v>9028</v>
      </c>
      <c r="B17128" s="4" t="s">
        <v>44</v>
      </c>
      <c r="C17128" s="22" t="s">
        <v>1860</v>
      </c>
      <c r="D17128" s="18">
        <v>2021</v>
      </c>
      <c r="E17128" s="18"/>
      <c r="F17128" s="4">
        <v>1</v>
      </c>
      <c r="G17128" s="4">
        <v>15</v>
      </c>
      <c r="H17128" s="4">
        <v>24.800789999999999</v>
      </c>
      <c r="I17128" s="201"/>
      <c r="J17128" s="201"/>
    </row>
    <row r="17129" spans="1:10" s="15" customFormat="1" ht="19.5" hidden="1" customHeight="1" outlineLevel="1" x14ac:dyDescent="0.25">
      <c r="A17129" s="46">
        <v>9025</v>
      </c>
      <c r="B17129" s="4" t="s">
        <v>44</v>
      </c>
      <c r="C17129" s="22" t="s">
        <v>1861</v>
      </c>
      <c r="D17129" s="18">
        <v>2021</v>
      </c>
      <c r="E17129" s="18"/>
      <c r="F17129" s="4">
        <v>1</v>
      </c>
      <c r="G17129" s="4">
        <v>15</v>
      </c>
      <c r="H17129" s="4">
        <v>24.768740000000001</v>
      </c>
      <c r="I17129" s="201"/>
      <c r="J17129" s="201"/>
    </row>
    <row r="17130" spans="1:10" s="15" customFormat="1" ht="19.5" hidden="1" customHeight="1" outlineLevel="1" x14ac:dyDescent="0.25">
      <c r="A17130" s="46">
        <v>9046</v>
      </c>
      <c r="B17130" s="4" t="s">
        <v>44</v>
      </c>
      <c r="C17130" s="22" t="s">
        <v>1862</v>
      </c>
      <c r="D17130" s="18">
        <v>2021</v>
      </c>
      <c r="E17130" s="18"/>
      <c r="F17130" s="4">
        <v>1</v>
      </c>
      <c r="G17130" s="4">
        <v>80</v>
      </c>
      <c r="H17130" s="4">
        <v>57.527769999999997</v>
      </c>
      <c r="I17130" s="201"/>
      <c r="J17130" s="201"/>
    </row>
    <row r="17131" spans="1:10" s="15" customFormat="1" ht="19.5" hidden="1" customHeight="1" outlineLevel="1" x14ac:dyDescent="0.25">
      <c r="A17131" s="46">
        <v>9052</v>
      </c>
      <c r="B17131" s="4" t="s">
        <v>44</v>
      </c>
      <c r="C17131" s="22" t="s">
        <v>1863</v>
      </c>
      <c r="D17131" s="18">
        <v>2021</v>
      </c>
      <c r="E17131" s="18"/>
      <c r="F17131" s="4">
        <v>1</v>
      </c>
      <c r="G17131" s="4">
        <v>12</v>
      </c>
      <c r="H17131" s="4">
        <v>24.82723</v>
      </c>
      <c r="I17131" s="201"/>
      <c r="J17131" s="201"/>
    </row>
    <row r="17132" spans="1:10" s="15" customFormat="1" ht="19.5" hidden="1" customHeight="1" outlineLevel="1" x14ac:dyDescent="0.25">
      <c r="A17132" s="46">
        <v>9018</v>
      </c>
      <c r="B17132" s="4" t="s">
        <v>44</v>
      </c>
      <c r="C17132" s="22" t="s">
        <v>1864</v>
      </c>
      <c r="D17132" s="18">
        <v>2021</v>
      </c>
      <c r="E17132" s="18"/>
      <c r="F17132" s="4">
        <v>1</v>
      </c>
      <c r="G17132" s="4">
        <v>15</v>
      </c>
      <c r="H17132" s="4">
        <v>24.827240000000003</v>
      </c>
      <c r="I17132" s="201"/>
      <c r="J17132" s="201"/>
    </row>
    <row r="17133" spans="1:10" s="15" customFormat="1" ht="19.5" hidden="1" customHeight="1" outlineLevel="1" x14ac:dyDescent="0.25">
      <c r="A17133" s="46">
        <v>9029</v>
      </c>
      <c r="B17133" s="4" t="s">
        <v>44</v>
      </c>
      <c r="C17133" s="22" t="s">
        <v>1865</v>
      </c>
      <c r="D17133" s="18">
        <v>2021</v>
      </c>
      <c r="E17133" s="18"/>
      <c r="F17133" s="4">
        <v>1</v>
      </c>
      <c r="G17133" s="4">
        <v>15</v>
      </c>
      <c r="H17133" s="4">
        <v>24.799509999999998</v>
      </c>
      <c r="I17133" s="201"/>
      <c r="J17133" s="201"/>
    </row>
    <row r="17134" spans="1:10" s="15" customFormat="1" ht="19.5" hidden="1" customHeight="1" outlineLevel="1" x14ac:dyDescent="0.25">
      <c r="A17134" s="46">
        <v>9108</v>
      </c>
      <c r="B17134" s="4" t="s">
        <v>44</v>
      </c>
      <c r="C17134" s="22" t="s">
        <v>1866</v>
      </c>
      <c r="D17134" s="18">
        <v>2021</v>
      </c>
      <c r="E17134" s="18"/>
      <c r="F17134" s="4">
        <v>1</v>
      </c>
      <c r="G17134" s="4">
        <v>15</v>
      </c>
      <c r="H17134" s="4">
        <v>24.768619999999999</v>
      </c>
      <c r="I17134" s="201"/>
      <c r="J17134" s="201"/>
    </row>
    <row r="17135" spans="1:10" s="15" customFormat="1" ht="19.5" hidden="1" customHeight="1" outlineLevel="1" x14ac:dyDescent="0.25">
      <c r="A17135" s="46">
        <v>9024</v>
      </c>
      <c r="B17135" s="4" t="s">
        <v>44</v>
      </c>
      <c r="C17135" s="22" t="s">
        <v>1867</v>
      </c>
      <c r="D17135" s="18">
        <v>2021</v>
      </c>
      <c r="E17135" s="18"/>
      <c r="F17135" s="4">
        <v>1</v>
      </c>
      <c r="G17135" s="4">
        <v>15</v>
      </c>
      <c r="H17135" s="4">
        <v>24.827120000000001</v>
      </c>
      <c r="I17135" s="201"/>
      <c r="J17135" s="201"/>
    </row>
    <row r="17136" spans="1:10" s="15" customFormat="1" ht="19.5" hidden="1" customHeight="1" outlineLevel="1" x14ac:dyDescent="0.25">
      <c r="A17136" s="46">
        <v>9030</v>
      </c>
      <c r="B17136" s="4" t="s">
        <v>44</v>
      </c>
      <c r="C17136" s="22" t="s">
        <v>1868</v>
      </c>
      <c r="D17136" s="18">
        <v>2021</v>
      </c>
      <c r="E17136" s="18"/>
      <c r="F17136" s="4">
        <v>1</v>
      </c>
      <c r="G17136" s="4">
        <v>12</v>
      </c>
      <c r="H17136" s="4">
        <v>24.806750000000001</v>
      </c>
      <c r="I17136" s="201"/>
      <c r="J17136" s="201"/>
    </row>
    <row r="17137" spans="1:10" s="15" customFormat="1" ht="19.5" hidden="1" customHeight="1" outlineLevel="1" x14ac:dyDescent="0.25">
      <c r="A17137" s="45">
        <v>1193</v>
      </c>
      <c r="B17137" s="4" t="s">
        <v>44</v>
      </c>
      <c r="C17137" s="22" t="s">
        <v>1869</v>
      </c>
      <c r="D17137" s="18">
        <v>2021</v>
      </c>
      <c r="E17137" s="18"/>
      <c r="F17137" s="4">
        <v>1</v>
      </c>
      <c r="G17137" s="4">
        <v>15</v>
      </c>
      <c r="H17137" s="4">
        <v>47.769660000000002</v>
      </c>
      <c r="I17137" s="201"/>
      <c r="J17137" s="201"/>
    </row>
    <row r="17138" spans="1:10" s="15" customFormat="1" ht="19.5" hidden="1" customHeight="1" outlineLevel="1" x14ac:dyDescent="0.25">
      <c r="A17138" s="46">
        <v>10370</v>
      </c>
      <c r="B17138" s="4" t="s">
        <v>44</v>
      </c>
      <c r="C17138" s="22" t="s">
        <v>1870</v>
      </c>
      <c r="D17138" s="18">
        <v>2021</v>
      </c>
      <c r="E17138" s="18"/>
      <c r="F17138" s="4">
        <v>1</v>
      </c>
      <c r="G17138" s="4">
        <v>15</v>
      </c>
      <c r="H17138" s="4">
        <v>29.211480000000002</v>
      </c>
      <c r="I17138" s="201"/>
      <c r="J17138" s="201"/>
    </row>
    <row r="17139" spans="1:10" s="15" customFormat="1" ht="19.5" hidden="1" customHeight="1" outlineLevel="1" x14ac:dyDescent="0.25">
      <c r="A17139" s="46">
        <v>9432</v>
      </c>
      <c r="B17139" s="4" t="s">
        <v>44</v>
      </c>
      <c r="C17139" s="22" t="s">
        <v>1871</v>
      </c>
      <c r="D17139" s="18">
        <v>2021</v>
      </c>
      <c r="E17139" s="18"/>
      <c r="F17139" s="4">
        <v>1</v>
      </c>
      <c r="G17139" s="4">
        <v>15</v>
      </c>
      <c r="H17139" s="4">
        <v>53.493000000000002</v>
      </c>
      <c r="I17139" s="201"/>
      <c r="J17139" s="201"/>
    </row>
    <row r="17140" spans="1:10" s="15" customFormat="1" ht="19.5" hidden="1" customHeight="1" outlineLevel="1" x14ac:dyDescent="0.25">
      <c r="A17140" s="45">
        <v>494</v>
      </c>
      <c r="B17140" s="4" t="s">
        <v>44</v>
      </c>
      <c r="C17140" s="22" t="s">
        <v>157</v>
      </c>
      <c r="D17140" s="18">
        <v>2021</v>
      </c>
      <c r="E17140" s="18"/>
      <c r="F17140" s="4">
        <v>1</v>
      </c>
      <c r="G17140" s="4">
        <v>15</v>
      </c>
      <c r="H17140" s="4">
        <v>50.180999999999997</v>
      </c>
      <c r="I17140" s="201"/>
      <c r="J17140" s="201"/>
    </row>
    <row r="17141" spans="1:10" s="15" customFormat="1" ht="19.5" hidden="1" customHeight="1" outlineLevel="1" x14ac:dyDescent="0.25">
      <c r="A17141" s="45">
        <v>477</v>
      </c>
      <c r="B17141" s="4" t="s">
        <v>44</v>
      </c>
      <c r="C17141" s="22" t="s">
        <v>156</v>
      </c>
      <c r="D17141" s="18">
        <v>2021</v>
      </c>
      <c r="E17141" s="18"/>
      <c r="F17141" s="4">
        <v>1</v>
      </c>
      <c r="G17141" s="4">
        <v>15</v>
      </c>
      <c r="H17141" s="4">
        <v>52.234000000000002</v>
      </c>
      <c r="I17141" s="201"/>
      <c r="J17141" s="201"/>
    </row>
    <row r="17142" spans="1:10" s="15" customFormat="1" ht="19.5" hidden="1" customHeight="1" outlineLevel="1" x14ac:dyDescent="0.25">
      <c r="A17142" s="45">
        <v>482</v>
      </c>
      <c r="B17142" s="4" t="s">
        <v>44</v>
      </c>
      <c r="C17142" s="22" t="s">
        <v>158</v>
      </c>
      <c r="D17142" s="18">
        <v>2021</v>
      </c>
      <c r="E17142" s="18"/>
      <c r="F17142" s="4">
        <v>1</v>
      </c>
      <c r="G17142" s="4">
        <v>15</v>
      </c>
      <c r="H17142" s="4">
        <v>52.612000000000002</v>
      </c>
      <c r="I17142" s="201"/>
      <c r="J17142" s="201"/>
    </row>
    <row r="17143" spans="1:10" s="15" customFormat="1" ht="19.5" hidden="1" customHeight="1" outlineLevel="1" x14ac:dyDescent="0.25">
      <c r="A17143" s="45">
        <v>492</v>
      </c>
      <c r="B17143" s="4" t="s">
        <v>44</v>
      </c>
      <c r="C17143" s="22" t="s">
        <v>159</v>
      </c>
      <c r="D17143" s="18">
        <v>2021</v>
      </c>
      <c r="E17143" s="18"/>
      <c r="F17143" s="4">
        <v>1</v>
      </c>
      <c r="G17143" s="4">
        <v>15</v>
      </c>
      <c r="H17143" s="4">
        <v>57.673000000000002</v>
      </c>
      <c r="I17143" s="201"/>
      <c r="J17143" s="201"/>
    </row>
    <row r="17144" spans="1:10" s="15" customFormat="1" ht="19.5" hidden="1" customHeight="1" outlineLevel="1" x14ac:dyDescent="0.25">
      <c r="A17144" s="45">
        <v>347</v>
      </c>
      <c r="B17144" s="4" t="s">
        <v>44</v>
      </c>
      <c r="C17144" s="22" t="s">
        <v>160</v>
      </c>
      <c r="D17144" s="18">
        <v>2021</v>
      </c>
      <c r="E17144" s="18"/>
      <c r="F17144" s="4">
        <v>1</v>
      </c>
      <c r="G17144" s="4">
        <v>15</v>
      </c>
      <c r="H17144" s="4">
        <v>42.777000000000001</v>
      </c>
      <c r="I17144" s="201"/>
      <c r="J17144" s="201"/>
    </row>
    <row r="17145" spans="1:10" s="15" customFormat="1" ht="19.5" hidden="1" customHeight="1" outlineLevel="1" x14ac:dyDescent="0.25">
      <c r="A17145" s="46">
        <v>9350</v>
      </c>
      <c r="B17145" s="4" t="s">
        <v>44</v>
      </c>
      <c r="C17145" s="22" t="s">
        <v>161</v>
      </c>
      <c r="D17145" s="18">
        <v>2021</v>
      </c>
      <c r="E17145" s="18"/>
      <c r="F17145" s="4">
        <v>1</v>
      </c>
      <c r="G17145" s="4">
        <v>15</v>
      </c>
      <c r="H17145" s="4">
        <v>34.451000000000001</v>
      </c>
      <c r="I17145" s="201"/>
      <c r="J17145" s="201"/>
    </row>
    <row r="17146" spans="1:10" s="15" customFormat="1" ht="19.5" hidden="1" customHeight="1" outlineLevel="1" x14ac:dyDescent="0.25">
      <c r="A17146" s="45">
        <v>3712</v>
      </c>
      <c r="B17146" s="4" t="s">
        <v>44</v>
      </c>
      <c r="C17146" s="22" t="s">
        <v>201</v>
      </c>
      <c r="D17146" s="18">
        <v>2021</v>
      </c>
      <c r="E17146" s="18"/>
      <c r="F17146" s="4">
        <v>1</v>
      </c>
      <c r="G17146" s="4">
        <v>80</v>
      </c>
      <c r="H17146" s="4">
        <v>13.074999999999999</v>
      </c>
      <c r="I17146" s="201"/>
      <c r="J17146" s="201"/>
    </row>
    <row r="17147" spans="1:10" s="15" customFormat="1" ht="19.5" hidden="1" customHeight="1" outlineLevel="1" x14ac:dyDescent="0.25">
      <c r="A17147" s="46">
        <v>9276</v>
      </c>
      <c r="B17147" s="4" t="s">
        <v>44</v>
      </c>
      <c r="C17147" s="22" t="s">
        <v>164</v>
      </c>
      <c r="D17147" s="18">
        <v>2021</v>
      </c>
      <c r="E17147" s="18"/>
      <c r="F17147" s="4">
        <v>1</v>
      </c>
      <c r="G17147" s="4">
        <v>15</v>
      </c>
      <c r="H17147" s="4">
        <v>28.015000000000001</v>
      </c>
      <c r="I17147" s="201"/>
      <c r="J17147" s="201"/>
    </row>
    <row r="17148" spans="1:10" s="15" customFormat="1" ht="19.5" hidden="1" customHeight="1" outlineLevel="1" x14ac:dyDescent="0.25">
      <c r="A17148" s="46">
        <v>9355</v>
      </c>
      <c r="B17148" s="4" t="s">
        <v>44</v>
      </c>
      <c r="C17148" s="22" t="s">
        <v>173</v>
      </c>
      <c r="D17148" s="18">
        <v>2021</v>
      </c>
      <c r="E17148" s="18"/>
      <c r="F17148" s="4">
        <v>1</v>
      </c>
      <c r="G17148" s="4">
        <v>50</v>
      </c>
      <c r="H17148" s="4">
        <v>83.225999999999999</v>
      </c>
      <c r="I17148" s="201"/>
      <c r="J17148" s="201"/>
    </row>
    <row r="17149" spans="1:10" s="15" customFormat="1" ht="19.5" hidden="1" customHeight="1" outlineLevel="1" x14ac:dyDescent="0.25">
      <c r="A17149" s="45">
        <v>428</v>
      </c>
      <c r="B17149" s="4" t="s">
        <v>44</v>
      </c>
      <c r="C17149" s="22" t="s">
        <v>174</v>
      </c>
      <c r="D17149" s="18">
        <v>2021</v>
      </c>
      <c r="E17149" s="18"/>
      <c r="F17149" s="4">
        <v>1</v>
      </c>
      <c r="G17149" s="4">
        <v>200</v>
      </c>
      <c r="H17149" s="4">
        <v>121.24299999999999</v>
      </c>
      <c r="I17149" s="201"/>
      <c r="J17149" s="201"/>
    </row>
    <row r="17150" spans="1:10" s="15" customFormat="1" ht="19.5" hidden="1" customHeight="1" outlineLevel="1" x14ac:dyDescent="0.25">
      <c r="A17150" s="45">
        <v>478</v>
      </c>
      <c r="B17150" s="4" t="s">
        <v>44</v>
      </c>
      <c r="C17150" s="22" t="s">
        <v>175</v>
      </c>
      <c r="D17150" s="18">
        <v>2021</v>
      </c>
      <c r="E17150" s="18"/>
      <c r="F17150" s="4">
        <v>2</v>
      </c>
      <c r="G17150" s="4">
        <v>30</v>
      </c>
      <c r="H17150" s="4">
        <v>90.936000000000007</v>
      </c>
      <c r="I17150" s="201"/>
      <c r="J17150" s="201"/>
    </row>
    <row r="17151" spans="1:10" s="15" customFormat="1" ht="19.5" hidden="1" customHeight="1" outlineLevel="1" x14ac:dyDescent="0.25">
      <c r="A17151" s="45">
        <v>565</v>
      </c>
      <c r="B17151" s="4" t="s">
        <v>44</v>
      </c>
      <c r="C17151" s="22" t="s">
        <v>176</v>
      </c>
      <c r="D17151" s="18">
        <v>2021</v>
      </c>
      <c r="E17151" s="18"/>
      <c r="F17151" s="4">
        <v>1</v>
      </c>
      <c r="G17151" s="4">
        <v>135</v>
      </c>
      <c r="H17151" s="4">
        <v>62.566000000000003</v>
      </c>
      <c r="I17151" s="201"/>
      <c r="J17151" s="201"/>
    </row>
    <row r="17152" spans="1:10" s="15" customFormat="1" ht="19.5" hidden="1" customHeight="1" outlineLevel="1" x14ac:dyDescent="0.25">
      <c r="A17152" s="46">
        <v>9372</v>
      </c>
      <c r="B17152" s="4" t="s">
        <v>44</v>
      </c>
      <c r="C17152" s="22" t="s">
        <v>205</v>
      </c>
      <c r="D17152" s="18">
        <v>2021</v>
      </c>
      <c r="E17152" s="18"/>
      <c r="F17152" s="4">
        <v>1</v>
      </c>
      <c r="G17152" s="4">
        <v>210</v>
      </c>
      <c r="H17152" s="4">
        <v>70.040999999999997</v>
      </c>
      <c r="I17152" s="201"/>
      <c r="J17152" s="201"/>
    </row>
    <row r="17153" spans="1:10" s="15" customFormat="1" ht="19.5" hidden="1" customHeight="1" outlineLevel="1" x14ac:dyDescent="0.25">
      <c r="A17153" s="46">
        <v>9370</v>
      </c>
      <c r="B17153" s="4" t="s">
        <v>44</v>
      </c>
      <c r="C17153" s="22" t="s">
        <v>275</v>
      </c>
      <c r="D17153" s="18">
        <v>2021</v>
      </c>
      <c r="E17153" s="18"/>
      <c r="F17153" s="4">
        <v>1</v>
      </c>
      <c r="G17153" s="4">
        <v>15</v>
      </c>
      <c r="H17153" s="4">
        <v>87.334999999999994</v>
      </c>
      <c r="I17153" s="201"/>
      <c r="J17153" s="201"/>
    </row>
    <row r="17154" spans="1:10" s="15" customFormat="1" ht="19.5" hidden="1" customHeight="1" outlineLevel="1" x14ac:dyDescent="0.25">
      <c r="A17154" s="46">
        <v>9279</v>
      </c>
      <c r="B17154" s="4" t="s">
        <v>44</v>
      </c>
      <c r="C17154" s="22" t="s">
        <v>184</v>
      </c>
      <c r="D17154" s="18">
        <v>2021</v>
      </c>
      <c r="E17154" s="18"/>
      <c r="F17154" s="4">
        <v>1</v>
      </c>
      <c r="G17154" s="4">
        <v>15</v>
      </c>
      <c r="H17154" s="4">
        <v>60.66</v>
      </c>
      <c r="I17154" s="201"/>
      <c r="J17154" s="201"/>
    </row>
    <row r="17155" spans="1:10" s="15" customFormat="1" ht="19.5" hidden="1" customHeight="1" outlineLevel="1" x14ac:dyDescent="0.25">
      <c r="A17155" s="46">
        <v>9280</v>
      </c>
      <c r="B17155" s="4" t="s">
        <v>44</v>
      </c>
      <c r="C17155" s="22" t="s">
        <v>186</v>
      </c>
      <c r="D17155" s="18">
        <v>2021</v>
      </c>
      <c r="E17155" s="18"/>
      <c r="F17155" s="4">
        <v>2</v>
      </c>
      <c r="G17155" s="4">
        <v>30</v>
      </c>
      <c r="H17155" s="4">
        <v>101.48399999999999</v>
      </c>
      <c r="I17155" s="201"/>
      <c r="J17155" s="201"/>
    </row>
    <row r="17156" spans="1:10" s="15" customFormat="1" ht="19.5" hidden="1" customHeight="1" outlineLevel="1" x14ac:dyDescent="0.25">
      <c r="A17156" s="45">
        <v>563</v>
      </c>
      <c r="B17156" s="4" t="s">
        <v>44</v>
      </c>
      <c r="C17156" s="22" t="s">
        <v>276</v>
      </c>
      <c r="D17156" s="18">
        <v>2021</v>
      </c>
      <c r="E17156" s="18"/>
      <c r="F17156" s="4">
        <v>1</v>
      </c>
      <c r="G17156" s="4">
        <v>150</v>
      </c>
      <c r="H17156" s="4">
        <v>59.003</v>
      </c>
      <c r="I17156" s="201"/>
      <c r="J17156" s="201"/>
    </row>
    <row r="17157" spans="1:10" s="15" customFormat="1" ht="19.5" hidden="1" customHeight="1" outlineLevel="1" x14ac:dyDescent="0.25">
      <c r="A17157" s="46">
        <v>9422</v>
      </c>
      <c r="B17157" s="4" t="s">
        <v>44</v>
      </c>
      <c r="C17157" s="22" t="s">
        <v>187</v>
      </c>
      <c r="D17157" s="18">
        <v>2021</v>
      </c>
      <c r="E17157" s="18"/>
      <c r="F17157" s="4">
        <v>1</v>
      </c>
      <c r="G17157" s="4">
        <v>75</v>
      </c>
      <c r="H17157" s="4">
        <v>94.334999999999994</v>
      </c>
      <c r="I17157" s="201"/>
      <c r="J17157" s="201"/>
    </row>
    <row r="17158" spans="1:10" s="15" customFormat="1" ht="19.5" hidden="1" customHeight="1" outlineLevel="1" x14ac:dyDescent="0.25">
      <c r="A17158" s="46">
        <v>10380</v>
      </c>
      <c r="B17158" s="4" t="s">
        <v>44</v>
      </c>
      <c r="C17158" s="22" t="s">
        <v>1872</v>
      </c>
      <c r="D17158" s="18">
        <v>2021</v>
      </c>
      <c r="E17158" s="18"/>
      <c r="F17158" s="4">
        <v>1</v>
      </c>
      <c r="G17158" s="4">
        <v>2</v>
      </c>
      <c r="H17158" s="4">
        <v>39.500999999999998</v>
      </c>
      <c r="I17158" s="201"/>
      <c r="J17158" s="201"/>
    </row>
    <row r="17159" spans="1:10" s="15" customFormat="1" ht="19.5" hidden="1" customHeight="1" outlineLevel="1" x14ac:dyDescent="0.25">
      <c r="A17159" s="46">
        <v>10377</v>
      </c>
      <c r="B17159" s="4" t="s">
        <v>44</v>
      </c>
      <c r="C17159" s="22" t="s">
        <v>1873</v>
      </c>
      <c r="D17159" s="18">
        <v>2021</v>
      </c>
      <c r="E17159" s="18"/>
      <c r="F17159" s="4">
        <v>1</v>
      </c>
      <c r="G17159" s="4">
        <v>2</v>
      </c>
      <c r="H17159" s="4">
        <v>39.548999999999999</v>
      </c>
      <c r="I17159" s="201"/>
      <c r="J17159" s="201"/>
    </row>
    <row r="17160" spans="1:10" s="15" customFormat="1" ht="19.5" hidden="1" customHeight="1" outlineLevel="1" x14ac:dyDescent="0.25">
      <c r="A17160" s="46">
        <v>10378</v>
      </c>
      <c r="B17160" s="4" t="s">
        <v>44</v>
      </c>
      <c r="C17160" s="22" t="s">
        <v>1874</v>
      </c>
      <c r="D17160" s="18">
        <v>2021</v>
      </c>
      <c r="E17160" s="18"/>
      <c r="F17160" s="4">
        <v>1</v>
      </c>
      <c r="G17160" s="4">
        <v>2</v>
      </c>
      <c r="H17160" s="4">
        <v>39.485999999999997</v>
      </c>
      <c r="I17160" s="201"/>
      <c r="J17160" s="201"/>
    </row>
    <row r="17161" spans="1:10" s="15" customFormat="1" ht="19.5" hidden="1" customHeight="1" outlineLevel="1" x14ac:dyDescent="0.25">
      <c r="A17161" s="46">
        <v>10379</v>
      </c>
      <c r="B17161" s="4" t="s">
        <v>44</v>
      </c>
      <c r="C17161" s="22" t="s">
        <v>1875</v>
      </c>
      <c r="D17161" s="18">
        <v>2021</v>
      </c>
      <c r="E17161" s="18"/>
      <c r="F17161" s="4">
        <v>1</v>
      </c>
      <c r="G17161" s="4">
        <v>2</v>
      </c>
      <c r="H17161" s="4">
        <v>40.134</v>
      </c>
      <c r="I17161" s="201"/>
      <c r="J17161" s="201"/>
    </row>
    <row r="17162" spans="1:10" s="15" customFormat="1" ht="19.5" hidden="1" customHeight="1" outlineLevel="1" x14ac:dyDescent="0.25">
      <c r="A17162" s="46">
        <v>10382</v>
      </c>
      <c r="B17162" s="4" t="s">
        <v>44</v>
      </c>
      <c r="C17162" s="22" t="s">
        <v>1876</v>
      </c>
      <c r="D17162" s="18">
        <v>2021</v>
      </c>
      <c r="E17162" s="18"/>
      <c r="F17162" s="4">
        <v>1</v>
      </c>
      <c r="G17162" s="4">
        <v>2</v>
      </c>
      <c r="H17162" s="4">
        <v>38.796999999999997</v>
      </c>
      <c r="I17162" s="201"/>
      <c r="J17162" s="201"/>
    </row>
    <row r="17163" spans="1:10" s="15" customFormat="1" ht="19.5" hidden="1" customHeight="1" outlineLevel="1" x14ac:dyDescent="0.25">
      <c r="A17163" s="46">
        <v>10381</v>
      </c>
      <c r="B17163" s="4" t="s">
        <v>44</v>
      </c>
      <c r="C17163" s="22" t="s">
        <v>1877</v>
      </c>
      <c r="D17163" s="18">
        <v>2021</v>
      </c>
      <c r="E17163" s="18"/>
      <c r="F17163" s="4">
        <v>1</v>
      </c>
      <c r="G17163" s="4">
        <v>2</v>
      </c>
      <c r="H17163" s="4">
        <v>39.523000000000003</v>
      </c>
      <c r="I17163" s="201"/>
      <c r="J17163" s="201"/>
    </row>
    <row r="17164" spans="1:10" s="15" customFormat="1" ht="19.5" hidden="1" customHeight="1" outlineLevel="1" x14ac:dyDescent="0.25">
      <c r="A17164" s="46">
        <v>10383</v>
      </c>
      <c r="B17164" s="4" t="s">
        <v>44</v>
      </c>
      <c r="C17164" s="22" t="s">
        <v>1878</v>
      </c>
      <c r="D17164" s="18">
        <v>2021</v>
      </c>
      <c r="E17164" s="18"/>
      <c r="F17164" s="4">
        <v>1</v>
      </c>
      <c r="G17164" s="4">
        <v>3</v>
      </c>
      <c r="H17164" s="4">
        <v>38.811</v>
      </c>
      <c r="I17164" s="201"/>
      <c r="J17164" s="201"/>
    </row>
    <row r="17165" spans="1:10" s="15" customFormat="1" ht="19.5" hidden="1" customHeight="1" outlineLevel="1" x14ac:dyDescent="0.25">
      <c r="A17165" s="46">
        <v>9925</v>
      </c>
      <c r="B17165" s="4" t="s">
        <v>44</v>
      </c>
      <c r="C17165" s="22" t="s">
        <v>1879</v>
      </c>
      <c r="D17165" s="18">
        <v>2021</v>
      </c>
      <c r="E17165" s="18"/>
      <c r="F17165" s="4">
        <v>1</v>
      </c>
      <c r="G17165" s="4">
        <v>15</v>
      </c>
      <c r="H17165" s="4">
        <v>46.993470000000002</v>
      </c>
      <c r="I17165" s="201"/>
      <c r="J17165" s="201"/>
    </row>
    <row r="17166" spans="1:10" s="15" customFormat="1" ht="19.5" hidden="1" customHeight="1" outlineLevel="1" x14ac:dyDescent="0.25">
      <c r="A17166" s="46">
        <v>9929</v>
      </c>
      <c r="B17166" s="4" t="s">
        <v>44</v>
      </c>
      <c r="C17166" s="22" t="s">
        <v>1880</v>
      </c>
      <c r="D17166" s="18">
        <v>2021</v>
      </c>
      <c r="E17166" s="18"/>
      <c r="F17166" s="4">
        <v>1</v>
      </c>
      <c r="G17166" s="4">
        <v>10</v>
      </c>
      <c r="H17166" s="4">
        <v>40.82376</v>
      </c>
      <c r="I17166" s="201"/>
      <c r="J17166" s="201"/>
    </row>
    <row r="17167" spans="1:10" s="15" customFormat="1" ht="19.5" hidden="1" customHeight="1" outlineLevel="1" x14ac:dyDescent="0.25">
      <c r="A17167" s="45">
        <v>1465</v>
      </c>
      <c r="B17167" s="4" t="s">
        <v>44</v>
      </c>
      <c r="C17167" s="22" t="s">
        <v>595</v>
      </c>
      <c r="D17167" s="18">
        <v>2021</v>
      </c>
      <c r="E17167" s="18"/>
      <c r="F17167" s="4">
        <v>1</v>
      </c>
      <c r="G17167" s="4">
        <v>15</v>
      </c>
      <c r="H17167" s="4">
        <v>51.183399999999999</v>
      </c>
      <c r="I17167" s="201"/>
      <c r="J17167" s="201"/>
    </row>
    <row r="17168" spans="1:10" s="15" customFormat="1" ht="19.5" hidden="1" customHeight="1" outlineLevel="1" x14ac:dyDescent="0.25">
      <c r="A17168" s="46">
        <v>9920</v>
      </c>
      <c r="B17168" s="4" t="s">
        <v>44</v>
      </c>
      <c r="C17168" s="22" t="s">
        <v>1881</v>
      </c>
      <c r="D17168" s="18">
        <v>2021</v>
      </c>
      <c r="E17168" s="18"/>
      <c r="F17168" s="4">
        <v>1</v>
      </c>
      <c r="G17168" s="4">
        <v>15</v>
      </c>
      <c r="H17168" s="4">
        <v>54.440910000000002</v>
      </c>
      <c r="I17168" s="201"/>
      <c r="J17168" s="201"/>
    </row>
    <row r="17169" spans="1:10" s="15" customFormat="1" ht="19.5" hidden="1" customHeight="1" outlineLevel="1" x14ac:dyDescent="0.25">
      <c r="A17169" s="46">
        <v>9924</v>
      </c>
      <c r="B17169" s="4" t="s">
        <v>44</v>
      </c>
      <c r="C17169" s="22" t="s">
        <v>1882</v>
      </c>
      <c r="D17169" s="18">
        <v>2021</v>
      </c>
      <c r="E17169" s="18"/>
      <c r="F17169" s="4">
        <v>1</v>
      </c>
      <c r="G17169" s="4">
        <v>15</v>
      </c>
      <c r="H17169" s="4">
        <v>88.800049999999999</v>
      </c>
      <c r="I17169" s="201"/>
      <c r="J17169" s="201"/>
    </row>
    <row r="17170" spans="1:10" s="15" customFormat="1" ht="19.5" hidden="1" customHeight="1" outlineLevel="1" x14ac:dyDescent="0.25">
      <c r="A17170" s="46">
        <v>9915</v>
      </c>
      <c r="B17170" s="4" t="s">
        <v>44</v>
      </c>
      <c r="C17170" s="22" t="s">
        <v>1883</v>
      </c>
      <c r="D17170" s="18">
        <v>2021</v>
      </c>
      <c r="E17170" s="18"/>
      <c r="F17170" s="4">
        <v>1</v>
      </c>
      <c r="G17170" s="4">
        <v>15</v>
      </c>
      <c r="H17170" s="4">
        <v>96.552080000000004</v>
      </c>
      <c r="I17170" s="201"/>
      <c r="J17170" s="201"/>
    </row>
    <row r="17171" spans="1:10" s="15" customFormat="1" ht="19.5" hidden="1" customHeight="1" outlineLevel="1" x14ac:dyDescent="0.25">
      <c r="A17171" s="45">
        <v>1619</v>
      </c>
      <c r="B17171" s="4" t="s">
        <v>44</v>
      </c>
      <c r="C17171" s="22" t="s">
        <v>1884</v>
      </c>
      <c r="D17171" s="18">
        <v>2021</v>
      </c>
      <c r="E17171" s="18"/>
      <c r="F17171" s="4">
        <v>1</v>
      </c>
      <c r="G17171" s="4">
        <v>15</v>
      </c>
      <c r="H17171" s="4">
        <v>69.982320000000001</v>
      </c>
      <c r="I17171" s="201"/>
      <c r="J17171" s="201"/>
    </row>
    <row r="17172" spans="1:10" s="15" customFormat="1" ht="19.5" hidden="1" customHeight="1" outlineLevel="1" x14ac:dyDescent="0.25">
      <c r="A17172" s="46">
        <v>9940</v>
      </c>
      <c r="B17172" s="4" t="s">
        <v>44</v>
      </c>
      <c r="C17172" s="22" t="s">
        <v>1885</v>
      </c>
      <c r="D17172" s="18">
        <v>2021</v>
      </c>
      <c r="E17172" s="18"/>
      <c r="F17172" s="4">
        <v>1</v>
      </c>
      <c r="G17172" s="4">
        <v>15</v>
      </c>
      <c r="H17172" s="4">
        <v>74.526219999999995</v>
      </c>
      <c r="I17172" s="201"/>
      <c r="J17172" s="201"/>
    </row>
    <row r="17173" spans="1:10" s="15" customFormat="1" ht="19.5" hidden="1" customHeight="1" outlineLevel="1" x14ac:dyDescent="0.25">
      <c r="A17173" s="46">
        <v>9946</v>
      </c>
      <c r="B17173" s="4" t="s">
        <v>44</v>
      </c>
      <c r="C17173" s="22" t="s">
        <v>1886</v>
      </c>
      <c r="D17173" s="18">
        <v>2021</v>
      </c>
      <c r="E17173" s="18"/>
      <c r="F17173" s="4">
        <v>1</v>
      </c>
      <c r="G17173" s="4">
        <v>10</v>
      </c>
      <c r="H17173" s="4">
        <v>65.922579999999996</v>
      </c>
      <c r="I17173" s="201"/>
      <c r="J17173" s="201"/>
    </row>
    <row r="17174" spans="1:10" s="15" customFormat="1" ht="19.5" hidden="1" customHeight="1" outlineLevel="1" x14ac:dyDescent="0.25">
      <c r="A17174" s="46">
        <v>9947</v>
      </c>
      <c r="B17174" s="4" t="s">
        <v>44</v>
      </c>
      <c r="C17174" s="22" t="s">
        <v>1887</v>
      </c>
      <c r="D17174" s="18">
        <v>2021</v>
      </c>
      <c r="E17174" s="18"/>
      <c r="F17174" s="4">
        <v>1</v>
      </c>
      <c r="G17174" s="4">
        <v>10</v>
      </c>
      <c r="H17174" s="4">
        <v>65.955600000000004</v>
      </c>
      <c r="I17174" s="201"/>
      <c r="J17174" s="201"/>
    </row>
    <row r="17175" spans="1:10" s="15" customFormat="1" ht="19.5" hidden="1" customHeight="1" outlineLevel="1" x14ac:dyDescent="0.25">
      <c r="A17175" s="46">
        <v>9933</v>
      </c>
      <c r="B17175" s="4" t="s">
        <v>44</v>
      </c>
      <c r="C17175" s="22" t="s">
        <v>1888</v>
      </c>
      <c r="D17175" s="18">
        <v>2021</v>
      </c>
      <c r="E17175" s="18"/>
      <c r="F17175" s="4">
        <v>1</v>
      </c>
      <c r="G17175" s="4">
        <v>15</v>
      </c>
      <c r="H17175" s="4">
        <v>66.737170000000006</v>
      </c>
      <c r="I17175" s="201"/>
      <c r="J17175" s="201"/>
    </row>
    <row r="17176" spans="1:10" s="15" customFormat="1" ht="19.5" hidden="1" customHeight="1" outlineLevel="1" x14ac:dyDescent="0.25">
      <c r="A17176" s="45">
        <v>1490</v>
      </c>
      <c r="B17176" s="4" t="s">
        <v>44</v>
      </c>
      <c r="C17176" s="22" t="s">
        <v>605</v>
      </c>
      <c r="D17176" s="18">
        <v>2021</v>
      </c>
      <c r="E17176" s="18"/>
      <c r="F17176" s="4">
        <v>1</v>
      </c>
      <c r="G17176" s="4">
        <v>15</v>
      </c>
      <c r="H17176" s="4">
        <v>45.742730000000002</v>
      </c>
      <c r="I17176" s="201"/>
      <c r="J17176" s="201"/>
    </row>
    <row r="17177" spans="1:10" s="15" customFormat="1" ht="19.5" hidden="1" customHeight="1" outlineLevel="1" x14ac:dyDescent="0.25">
      <c r="A17177" s="46">
        <v>9958</v>
      </c>
      <c r="B17177" s="4" t="s">
        <v>44</v>
      </c>
      <c r="C17177" s="22" t="s">
        <v>1889</v>
      </c>
      <c r="D17177" s="18">
        <v>2021</v>
      </c>
      <c r="E17177" s="18"/>
      <c r="F17177" s="4">
        <v>2</v>
      </c>
      <c r="G17177" s="4">
        <v>20</v>
      </c>
      <c r="H17177" s="4">
        <v>94.839860000000002</v>
      </c>
      <c r="I17177" s="201"/>
      <c r="J17177" s="201"/>
    </row>
    <row r="17178" spans="1:10" s="15" customFormat="1" ht="19.5" hidden="1" customHeight="1" outlineLevel="1" x14ac:dyDescent="0.25">
      <c r="A17178" s="46">
        <v>9978</v>
      </c>
      <c r="B17178" s="4" t="s">
        <v>44</v>
      </c>
      <c r="C17178" s="22" t="s">
        <v>1890</v>
      </c>
      <c r="D17178" s="18">
        <v>2021</v>
      </c>
      <c r="E17178" s="18"/>
      <c r="F17178" s="4">
        <v>1</v>
      </c>
      <c r="G17178" s="4">
        <v>15</v>
      </c>
      <c r="H17178" s="4">
        <v>76.757890000000003</v>
      </c>
      <c r="I17178" s="201"/>
      <c r="J17178" s="201"/>
    </row>
    <row r="17179" spans="1:10" s="15" customFormat="1" ht="19.5" hidden="1" customHeight="1" outlineLevel="1" x14ac:dyDescent="0.25">
      <c r="A17179" s="45">
        <v>1794</v>
      </c>
      <c r="B17179" s="4" t="s">
        <v>44</v>
      </c>
      <c r="C17179" s="22" t="s">
        <v>1891</v>
      </c>
      <c r="D17179" s="18">
        <v>2021</v>
      </c>
      <c r="E17179" s="18"/>
      <c r="F17179" s="4">
        <v>1</v>
      </c>
      <c r="G17179" s="4">
        <v>15</v>
      </c>
      <c r="H17179" s="4">
        <v>76.548199999999994</v>
      </c>
      <c r="I17179" s="201"/>
      <c r="J17179" s="201"/>
    </row>
    <row r="17180" spans="1:10" s="15" customFormat="1" ht="19.5" hidden="1" customHeight="1" outlineLevel="1" x14ac:dyDescent="0.25">
      <c r="A17180" s="46">
        <v>9972</v>
      </c>
      <c r="B17180" s="4" t="s">
        <v>44</v>
      </c>
      <c r="C17180" s="22" t="s">
        <v>1892</v>
      </c>
      <c r="D17180" s="18">
        <v>2021</v>
      </c>
      <c r="E17180" s="18"/>
      <c r="F17180" s="4">
        <v>1</v>
      </c>
      <c r="G17180" s="4">
        <v>15</v>
      </c>
      <c r="H17180" s="4">
        <v>90.330550000000002</v>
      </c>
      <c r="I17180" s="201"/>
      <c r="J17180" s="201"/>
    </row>
    <row r="17181" spans="1:10" s="15" customFormat="1" ht="19.5" hidden="1" customHeight="1" outlineLevel="1" x14ac:dyDescent="0.25">
      <c r="A17181" s="46">
        <v>9981</v>
      </c>
      <c r="B17181" s="4" t="s">
        <v>44</v>
      </c>
      <c r="C17181" s="22" t="s">
        <v>1893</v>
      </c>
      <c r="D17181" s="18">
        <v>2021</v>
      </c>
      <c r="E17181" s="18"/>
      <c r="F17181" s="4">
        <v>1</v>
      </c>
      <c r="G17181" s="4">
        <v>15</v>
      </c>
      <c r="H17181" s="4">
        <v>95.076689999999999</v>
      </c>
      <c r="I17181" s="201"/>
      <c r="J17181" s="201"/>
    </row>
    <row r="17182" spans="1:10" s="15" customFormat="1" ht="19.5" hidden="1" customHeight="1" outlineLevel="1" x14ac:dyDescent="0.25">
      <c r="A17182" s="46">
        <v>9980</v>
      </c>
      <c r="B17182" s="4" t="s">
        <v>44</v>
      </c>
      <c r="C17182" s="22" t="s">
        <v>1894</v>
      </c>
      <c r="D17182" s="18">
        <v>2021</v>
      </c>
      <c r="E17182" s="18"/>
      <c r="F17182" s="4">
        <v>1</v>
      </c>
      <c r="G17182" s="4">
        <v>15</v>
      </c>
      <c r="H17182" s="4">
        <v>87.467939999999999</v>
      </c>
      <c r="I17182" s="201"/>
      <c r="J17182" s="201"/>
    </row>
    <row r="17183" spans="1:10" s="15" customFormat="1" ht="19.5" hidden="1" customHeight="1" outlineLevel="1" x14ac:dyDescent="0.25">
      <c r="A17183" s="46">
        <v>9833</v>
      </c>
      <c r="B17183" s="4" t="s">
        <v>44</v>
      </c>
      <c r="C17183" s="22" t="s">
        <v>1895</v>
      </c>
      <c r="D17183" s="18">
        <v>2021</v>
      </c>
      <c r="E17183" s="18"/>
      <c r="F17183" s="4">
        <v>1</v>
      </c>
      <c r="G17183" s="4">
        <v>15</v>
      </c>
      <c r="H17183" s="4">
        <v>30.558050000000001</v>
      </c>
      <c r="I17183" s="201"/>
      <c r="J17183" s="201"/>
    </row>
    <row r="17184" spans="1:10" s="15" customFormat="1" ht="19.5" hidden="1" customHeight="1" outlineLevel="1" x14ac:dyDescent="0.25">
      <c r="A17184" s="45">
        <v>2286</v>
      </c>
      <c r="B17184" s="4" t="s">
        <v>44</v>
      </c>
      <c r="C17184" s="22" t="s">
        <v>1896</v>
      </c>
      <c r="D17184" s="18">
        <v>2021</v>
      </c>
      <c r="E17184" s="18"/>
      <c r="F17184" s="4">
        <v>4</v>
      </c>
      <c r="G17184" s="4">
        <v>15</v>
      </c>
      <c r="H17184" s="4">
        <v>104.96984999999999</v>
      </c>
      <c r="I17184" s="201"/>
      <c r="J17184" s="201"/>
    </row>
    <row r="17185" spans="1:10" s="15" customFormat="1" ht="19.5" hidden="1" customHeight="1" outlineLevel="1" x14ac:dyDescent="0.25">
      <c r="A17185" s="46">
        <v>9636</v>
      </c>
      <c r="B17185" s="4" t="s">
        <v>44</v>
      </c>
      <c r="C17185" s="22" t="s">
        <v>1897</v>
      </c>
      <c r="D17185" s="18">
        <v>2021</v>
      </c>
      <c r="E17185" s="18"/>
      <c r="F17185" s="4">
        <v>1</v>
      </c>
      <c r="G17185" s="4">
        <v>10</v>
      </c>
      <c r="H17185" s="4">
        <v>38.539340000000003</v>
      </c>
      <c r="I17185" s="201"/>
      <c r="J17185" s="201"/>
    </row>
    <row r="17186" spans="1:10" s="15" customFormat="1" ht="19.5" hidden="1" customHeight="1" outlineLevel="1" x14ac:dyDescent="0.25">
      <c r="A17186" s="18">
        <v>2240</v>
      </c>
      <c r="B17186" s="4" t="s">
        <v>44</v>
      </c>
      <c r="C17186" s="22" t="s">
        <v>1262</v>
      </c>
      <c r="D17186" s="18">
        <v>2021</v>
      </c>
      <c r="E17186" s="18"/>
      <c r="F17186" s="4">
        <v>2</v>
      </c>
      <c r="G17186" s="4">
        <v>30</v>
      </c>
      <c r="H17186" s="4">
        <v>67.112202999999994</v>
      </c>
      <c r="I17186" s="201"/>
      <c r="J17186" s="201"/>
    </row>
    <row r="17187" spans="1:10" s="15" customFormat="1" ht="19.5" hidden="1" customHeight="1" outlineLevel="1" x14ac:dyDescent="0.25">
      <c r="A17187" s="46">
        <v>9907</v>
      </c>
      <c r="B17187" s="4" t="s">
        <v>44</v>
      </c>
      <c r="C17187" s="22" t="s">
        <v>1898</v>
      </c>
      <c r="D17187" s="18">
        <v>2021</v>
      </c>
      <c r="E17187" s="18"/>
      <c r="F17187" s="4">
        <v>1</v>
      </c>
      <c r="G17187" s="4">
        <v>15</v>
      </c>
      <c r="H17187" s="4">
        <v>43.750689999999999</v>
      </c>
      <c r="I17187" s="201"/>
      <c r="J17187" s="201"/>
    </row>
    <row r="17188" spans="1:10" s="15" customFormat="1" ht="19.5" hidden="1" customHeight="1" outlineLevel="1" x14ac:dyDescent="0.25">
      <c r="A17188" s="46">
        <v>9894</v>
      </c>
      <c r="B17188" s="4" t="s">
        <v>44</v>
      </c>
      <c r="C17188" s="22" t="s">
        <v>1899</v>
      </c>
      <c r="D17188" s="18">
        <v>2021</v>
      </c>
      <c r="E17188" s="18"/>
      <c r="F17188" s="4">
        <v>3</v>
      </c>
      <c r="G17188" s="4">
        <v>15</v>
      </c>
      <c r="H17188" s="4">
        <v>105.65118</v>
      </c>
      <c r="I17188" s="201"/>
      <c r="J17188" s="201"/>
    </row>
    <row r="17189" spans="1:10" s="15" customFormat="1" ht="19.5" hidden="1" customHeight="1" outlineLevel="1" x14ac:dyDescent="0.25">
      <c r="A17189" s="46">
        <v>9892</v>
      </c>
      <c r="B17189" s="4" t="s">
        <v>44</v>
      </c>
      <c r="C17189" s="22" t="s">
        <v>1900</v>
      </c>
      <c r="D17189" s="18">
        <v>2021</v>
      </c>
      <c r="E17189" s="18"/>
      <c r="F17189" s="4">
        <v>3</v>
      </c>
      <c r="G17189" s="4">
        <v>10</v>
      </c>
      <c r="H17189" s="4">
        <v>93.894760000000005</v>
      </c>
      <c r="I17189" s="201"/>
      <c r="J17189" s="201"/>
    </row>
    <row r="17190" spans="1:10" s="15" customFormat="1" ht="19.5" hidden="1" customHeight="1" outlineLevel="1" x14ac:dyDescent="0.25">
      <c r="A17190" s="45">
        <v>9814</v>
      </c>
      <c r="B17190" s="4" t="s">
        <v>44</v>
      </c>
      <c r="C17190" s="22" t="s">
        <v>1901</v>
      </c>
      <c r="D17190" s="18">
        <v>2021</v>
      </c>
      <c r="E17190" s="18"/>
      <c r="F17190" s="4">
        <v>1</v>
      </c>
      <c r="G17190" s="4">
        <v>15</v>
      </c>
      <c r="H17190" s="4">
        <v>49.23254</v>
      </c>
      <c r="I17190" s="201"/>
      <c r="J17190" s="201"/>
    </row>
    <row r="17191" spans="1:10" s="15" customFormat="1" ht="19.5" hidden="1" customHeight="1" outlineLevel="1" x14ac:dyDescent="0.25">
      <c r="A17191" s="45">
        <v>9813</v>
      </c>
      <c r="B17191" s="4" t="s">
        <v>44</v>
      </c>
      <c r="C17191" s="22" t="s">
        <v>1902</v>
      </c>
      <c r="D17191" s="18">
        <v>2021</v>
      </c>
      <c r="E17191" s="18"/>
      <c r="F17191" s="4">
        <v>1</v>
      </c>
      <c r="G17191" s="4">
        <v>15</v>
      </c>
      <c r="H17191" s="4">
        <v>70.113612000000003</v>
      </c>
      <c r="I17191" s="201"/>
      <c r="J17191" s="201"/>
    </row>
    <row r="17192" spans="1:10" s="15" customFormat="1" ht="19.5" hidden="1" customHeight="1" outlineLevel="1" x14ac:dyDescent="0.25">
      <c r="A17192" s="46">
        <v>9820</v>
      </c>
      <c r="B17192" s="4" t="s">
        <v>44</v>
      </c>
      <c r="C17192" s="22" t="s">
        <v>1903</v>
      </c>
      <c r="D17192" s="18">
        <v>2021</v>
      </c>
      <c r="E17192" s="18"/>
      <c r="F17192" s="4">
        <v>1</v>
      </c>
      <c r="G17192" s="4">
        <v>15</v>
      </c>
      <c r="H17192" s="4">
        <v>48.20082</v>
      </c>
      <c r="I17192" s="201"/>
      <c r="J17192" s="201"/>
    </row>
    <row r="17193" spans="1:10" s="15" customFormat="1" ht="19.5" hidden="1" customHeight="1" outlineLevel="1" x14ac:dyDescent="0.25">
      <c r="A17193" s="46">
        <v>9837</v>
      </c>
      <c r="B17193" s="4" t="s">
        <v>44</v>
      </c>
      <c r="C17193" s="22" t="s">
        <v>1904</v>
      </c>
      <c r="D17193" s="18">
        <v>2021</v>
      </c>
      <c r="E17193" s="18"/>
      <c r="F17193" s="4">
        <v>1</v>
      </c>
      <c r="G17193" s="4">
        <v>15</v>
      </c>
      <c r="H17193" s="4">
        <v>48.160780000000003</v>
      </c>
      <c r="I17193" s="201"/>
      <c r="J17193" s="201"/>
    </row>
    <row r="17194" spans="1:10" s="15" customFormat="1" ht="19.5" hidden="1" customHeight="1" outlineLevel="1" x14ac:dyDescent="0.25">
      <c r="A17194" s="18">
        <v>2380</v>
      </c>
      <c r="B17194" s="4" t="s">
        <v>44</v>
      </c>
      <c r="C17194" s="22" t="s">
        <v>1265</v>
      </c>
      <c r="D17194" s="18">
        <v>2021</v>
      </c>
      <c r="E17194" s="18"/>
      <c r="F17194" s="4">
        <v>4</v>
      </c>
      <c r="G17194" s="4">
        <v>60</v>
      </c>
      <c r="H17194" s="4">
        <v>103.90075</v>
      </c>
      <c r="I17194" s="201"/>
      <c r="J17194" s="201"/>
    </row>
    <row r="17195" spans="1:10" s="15" customFormat="1" ht="19.5" hidden="1" customHeight="1" outlineLevel="1" x14ac:dyDescent="0.25">
      <c r="A17195" s="46">
        <v>9904</v>
      </c>
      <c r="B17195" s="4" t="s">
        <v>44</v>
      </c>
      <c r="C17195" s="22" t="s">
        <v>1905</v>
      </c>
      <c r="D17195" s="18">
        <v>2021</v>
      </c>
      <c r="E17195" s="18"/>
      <c r="F17195" s="4">
        <v>2</v>
      </c>
      <c r="G17195" s="4">
        <v>15</v>
      </c>
      <c r="H17195" s="4">
        <v>53.57217</v>
      </c>
      <c r="I17195" s="201"/>
      <c r="J17195" s="201"/>
    </row>
    <row r="17196" spans="1:10" s="15" customFormat="1" ht="19.5" hidden="1" customHeight="1" outlineLevel="1" x14ac:dyDescent="0.25">
      <c r="A17196" s="46">
        <v>9098</v>
      </c>
      <c r="B17196" s="4" t="s">
        <v>44</v>
      </c>
      <c r="C17196" s="22" t="s">
        <v>615</v>
      </c>
      <c r="D17196" s="18">
        <v>2021</v>
      </c>
      <c r="E17196" s="18"/>
      <c r="F17196" s="4">
        <v>1</v>
      </c>
      <c r="G17196" s="4">
        <v>15</v>
      </c>
      <c r="H17196" s="4">
        <v>48.316654</v>
      </c>
      <c r="I17196" s="201"/>
      <c r="J17196" s="201"/>
    </row>
    <row r="17197" spans="1:10" s="15" customFormat="1" ht="19.5" hidden="1" customHeight="1" outlineLevel="1" x14ac:dyDescent="0.25">
      <c r="A17197" s="46">
        <v>9809</v>
      </c>
      <c r="B17197" s="4" t="s">
        <v>44</v>
      </c>
      <c r="C17197" s="22" t="s">
        <v>1906</v>
      </c>
      <c r="D17197" s="18">
        <v>2021</v>
      </c>
      <c r="E17197" s="18"/>
      <c r="F17197" s="4">
        <v>1</v>
      </c>
      <c r="G17197" s="4">
        <v>10</v>
      </c>
      <c r="H17197" s="4">
        <v>45.372160000000001</v>
      </c>
      <c r="I17197" s="201"/>
      <c r="J17197" s="201"/>
    </row>
    <row r="17198" spans="1:10" s="15" customFormat="1" ht="19.5" hidden="1" customHeight="1" outlineLevel="1" x14ac:dyDescent="0.25">
      <c r="A17198" s="46">
        <v>9867</v>
      </c>
      <c r="B17198" s="4" t="s">
        <v>44</v>
      </c>
      <c r="C17198" s="22" t="s">
        <v>1907</v>
      </c>
      <c r="D17198" s="18">
        <v>2021</v>
      </c>
      <c r="E17198" s="18"/>
      <c r="F17198" s="4">
        <v>1</v>
      </c>
      <c r="G17198" s="4">
        <v>33</v>
      </c>
      <c r="H17198" s="4">
        <v>67.881749999999997</v>
      </c>
      <c r="I17198" s="201"/>
      <c r="J17198" s="201"/>
    </row>
    <row r="17199" spans="1:10" s="15" customFormat="1" ht="19.5" hidden="1" customHeight="1" outlineLevel="1" x14ac:dyDescent="0.25">
      <c r="A17199" s="46">
        <v>9834</v>
      </c>
      <c r="B17199" s="4" t="s">
        <v>44</v>
      </c>
      <c r="C17199" s="22" t="s">
        <v>618</v>
      </c>
      <c r="D17199" s="18">
        <v>2021</v>
      </c>
      <c r="E17199" s="18"/>
      <c r="F17199" s="4">
        <v>1</v>
      </c>
      <c r="G17199" s="4">
        <v>15</v>
      </c>
      <c r="H17199" s="4">
        <v>75.251459999999994</v>
      </c>
      <c r="I17199" s="201"/>
      <c r="J17199" s="201"/>
    </row>
    <row r="17200" spans="1:10" s="15" customFormat="1" ht="19.5" hidden="1" customHeight="1" outlineLevel="1" x14ac:dyDescent="0.25">
      <c r="A17200" s="46">
        <v>9852</v>
      </c>
      <c r="B17200" s="4" t="s">
        <v>44</v>
      </c>
      <c r="C17200" s="22" t="s">
        <v>1908</v>
      </c>
      <c r="D17200" s="18">
        <v>2021</v>
      </c>
      <c r="E17200" s="18"/>
      <c r="F17200" s="4">
        <v>1</v>
      </c>
      <c r="G17200" s="4">
        <v>15</v>
      </c>
      <c r="H17200" s="4">
        <v>76.793549999999996</v>
      </c>
      <c r="I17200" s="201"/>
      <c r="J17200" s="201"/>
    </row>
    <row r="17201" spans="1:10" s="15" customFormat="1" ht="19.5" hidden="1" customHeight="1" outlineLevel="1" x14ac:dyDescent="0.25">
      <c r="A17201" s="45">
        <v>9802</v>
      </c>
      <c r="B17201" s="4" t="s">
        <v>44</v>
      </c>
      <c r="C17201" s="22" t="s">
        <v>1909</v>
      </c>
      <c r="D17201" s="18">
        <v>2021</v>
      </c>
      <c r="E17201" s="18"/>
      <c r="F17201" s="4">
        <v>1</v>
      </c>
      <c r="G17201" s="4">
        <v>15</v>
      </c>
      <c r="H17201" s="4">
        <v>91.573369999999997</v>
      </c>
      <c r="I17201" s="201"/>
      <c r="J17201" s="201"/>
    </row>
    <row r="17202" spans="1:10" s="15" customFormat="1" ht="19.5" hidden="1" customHeight="1" outlineLevel="1" x14ac:dyDescent="0.25">
      <c r="A17202" s="45">
        <v>9808</v>
      </c>
      <c r="B17202" s="4" t="s">
        <v>44</v>
      </c>
      <c r="C17202" s="22" t="s">
        <v>1910</v>
      </c>
      <c r="D17202" s="18">
        <v>2021</v>
      </c>
      <c r="E17202" s="18"/>
      <c r="F17202" s="4">
        <v>1</v>
      </c>
      <c r="G17202" s="4">
        <v>15</v>
      </c>
      <c r="H17202" s="4">
        <v>48.729889999999997</v>
      </c>
      <c r="I17202" s="201"/>
      <c r="J17202" s="201"/>
    </row>
    <row r="17203" spans="1:10" s="15" customFormat="1" ht="19.5" hidden="1" customHeight="1" outlineLevel="1" x14ac:dyDescent="0.25">
      <c r="A17203" s="45">
        <v>1468</v>
      </c>
      <c r="B17203" s="4" t="s">
        <v>44</v>
      </c>
      <c r="C17203" s="22" t="s">
        <v>872</v>
      </c>
      <c r="D17203" s="18">
        <v>2021</v>
      </c>
      <c r="E17203" s="18"/>
      <c r="F17203" s="4">
        <v>1</v>
      </c>
      <c r="G17203" s="4">
        <v>15</v>
      </c>
      <c r="H17203" s="4">
        <v>78.288906999999995</v>
      </c>
      <c r="I17203" s="201"/>
      <c r="J17203" s="201"/>
    </row>
    <row r="17204" spans="1:10" s="15" customFormat="1" ht="19.5" hidden="1" customHeight="1" outlineLevel="1" x14ac:dyDescent="0.25">
      <c r="A17204" s="45">
        <v>1517</v>
      </c>
      <c r="B17204" s="4" t="s">
        <v>44</v>
      </c>
      <c r="C17204" s="22" t="s">
        <v>1911</v>
      </c>
      <c r="D17204" s="18">
        <v>2021</v>
      </c>
      <c r="E17204" s="18"/>
      <c r="F17204" s="4">
        <v>1</v>
      </c>
      <c r="G17204" s="4">
        <v>10</v>
      </c>
      <c r="H17204" s="4">
        <v>33.942830000000001</v>
      </c>
      <c r="I17204" s="201"/>
      <c r="J17204" s="201"/>
    </row>
    <row r="17205" spans="1:10" s="15" customFormat="1" ht="19.5" hidden="1" customHeight="1" outlineLevel="1" x14ac:dyDescent="0.25">
      <c r="A17205" s="46">
        <v>9623</v>
      </c>
      <c r="B17205" s="4" t="s">
        <v>44</v>
      </c>
      <c r="C17205" s="22" t="s">
        <v>773</v>
      </c>
      <c r="D17205" s="18">
        <v>2021</v>
      </c>
      <c r="E17205" s="18"/>
      <c r="F17205" s="4">
        <v>1</v>
      </c>
      <c r="G17205" s="4">
        <v>9.5</v>
      </c>
      <c r="H17205" s="4">
        <v>87.846699999999998</v>
      </c>
      <c r="I17205" s="201"/>
      <c r="J17205" s="201"/>
    </row>
    <row r="17206" spans="1:10" s="15" customFormat="1" ht="19.5" hidden="1" customHeight="1" outlineLevel="1" x14ac:dyDescent="0.25">
      <c r="A17206" s="46">
        <v>9976</v>
      </c>
      <c r="B17206" s="4" t="s">
        <v>44</v>
      </c>
      <c r="C17206" s="22" t="s">
        <v>1912</v>
      </c>
      <c r="D17206" s="18">
        <v>2021</v>
      </c>
      <c r="E17206" s="18"/>
      <c r="F17206" s="4">
        <v>1</v>
      </c>
      <c r="G17206" s="4">
        <v>15</v>
      </c>
      <c r="H17206" s="4">
        <v>85.012990000000002</v>
      </c>
      <c r="I17206" s="201"/>
      <c r="J17206" s="201"/>
    </row>
    <row r="17207" spans="1:10" s="15" customFormat="1" ht="19.5" hidden="1" customHeight="1" outlineLevel="1" x14ac:dyDescent="0.25">
      <c r="A17207" s="46">
        <v>9975</v>
      </c>
      <c r="B17207" s="4" t="s">
        <v>44</v>
      </c>
      <c r="C17207" s="22" t="s">
        <v>1913</v>
      </c>
      <c r="D17207" s="18">
        <v>2021</v>
      </c>
      <c r="E17207" s="18"/>
      <c r="F17207" s="4">
        <v>1</v>
      </c>
      <c r="G17207" s="4">
        <v>15</v>
      </c>
      <c r="H17207" s="4">
        <v>63.682560000000002</v>
      </c>
      <c r="I17207" s="201"/>
      <c r="J17207" s="201"/>
    </row>
    <row r="17208" spans="1:10" s="15" customFormat="1" ht="19.5" hidden="1" customHeight="1" outlineLevel="1" x14ac:dyDescent="0.25">
      <c r="A17208" s="45">
        <v>726</v>
      </c>
      <c r="B17208" s="4" t="s">
        <v>44</v>
      </c>
      <c r="C17208" s="22" t="s">
        <v>774</v>
      </c>
      <c r="D17208" s="18">
        <v>2021</v>
      </c>
      <c r="E17208" s="18"/>
      <c r="F17208" s="4">
        <v>1</v>
      </c>
      <c r="G17208" s="4">
        <v>15</v>
      </c>
      <c r="H17208" s="4">
        <v>28.294630000000002</v>
      </c>
      <c r="I17208" s="201"/>
      <c r="J17208" s="201"/>
    </row>
    <row r="17209" spans="1:10" s="15" customFormat="1" ht="19.5" hidden="1" customHeight="1" outlineLevel="1" x14ac:dyDescent="0.25">
      <c r="A17209" s="46">
        <v>9844</v>
      </c>
      <c r="B17209" s="4" t="s">
        <v>44</v>
      </c>
      <c r="C17209" s="22" t="s">
        <v>1914</v>
      </c>
      <c r="D17209" s="18">
        <v>2021</v>
      </c>
      <c r="E17209" s="18"/>
      <c r="F17209" s="4">
        <v>1</v>
      </c>
      <c r="G17209" s="4">
        <v>15</v>
      </c>
      <c r="H17209" s="4">
        <v>38.927509999999998</v>
      </c>
      <c r="I17209" s="201"/>
      <c r="J17209" s="201"/>
    </row>
    <row r="17210" spans="1:10" s="15" customFormat="1" ht="19.5" hidden="1" customHeight="1" outlineLevel="1" x14ac:dyDescent="0.25">
      <c r="A17210" s="45">
        <v>9843</v>
      </c>
      <c r="B17210" s="4" t="s">
        <v>44</v>
      </c>
      <c r="C17210" s="22" t="s">
        <v>1915</v>
      </c>
      <c r="D17210" s="18">
        <v>2021</v>
      </c>
      <c r="E17210" s="18"/>
      <c r="F17210" s="4">
        <v>1</v>
      </c>
      <c r="G17210" s="4">
        <v>15</v>
      </c>
      <c r="H17210" s="4">
        <v>54.852919999999997</v>
      </c>
      <c r="I17210" s="201"/>
      <c r="J17210" s="201"/>
    </row>
    <row r="17211" spans="1:10" s="15" customFormat="1" ht="19.5" hidden="1" customHeight="1" outlineLevel="1" x14ac:dyDescent="0.25">
      <c r="A17211" s="46">
        <v>9492</v>
      </c>
      <c r="B17211" s="4" t="s">
        <v>44</v>
      </c>
      <c r="C17211" s="22" t="s">
        <v>775</v>
      </c>
      <c r="D17211" s="18">
        <v>2021</v>
      </c>
      <c r="E17211" s="18"/>
      <c r="F17211" s="4">
        <v>1</v>
      </c>
      <c r="G17211" s="4">
        <v>60</v>
      </c>
      <c r="H17211" s="4">
        <v>36.065719999999999</v>
      </c>
      <c r="I17211" s="201"/>
      <c r="J17211" s="201"/>
    </row>
    <row r="17212" spans="1:10" s="15" customFormat="1" ht="19.5" hidden="1" customHeight="1" outlineLevel="1" x14ac:dyDescent="0.25">
      <c r="A17212" s="45">
        <v>1606</v>
      </c>
      <c r="B17212" s="4" t="s">
        <v>44</v>
      </c>
      <c r="C17212" s="22" t="s">
        <v>1916</v>
      </c>
      <c r="D17212" s="18">
        <v>2021</v>
      </c>
      <c r="E17212" s="18"/>
      <c r="F17212" s="4">
        <v>1</v>
      </c>
      <c r="G17212" s="4">
        <v>15</v>
      </c>
      <c r="H17212" s="4">
        <v>76.042519999999996</v>
      </c>
      <c r="I17212" s="201"/>
      <c r="J17212" s="201"/>
    </row>
    <row r="17213" spans="1:10" s="15" customFormat="1" ht="19.5" hidden="1" customHeight="1" outlineLevel="1" x14ac:dyDescent="0.25">
      <c r="A17213" s="46">
        <v>9923</v>
      </c>
      <c r="B17213" s="4" t="s">
        <v>44</v>
      </c>
      <c r="C17213" s="22" t="s">
        <v>1917</v>
      </c>
      <c r="D17213" s="18">
        <v>2021</v>
      </c>
      <c r="E17213" s="18"/>
      <c r="F17213" s="4">
        <v>1</v>
      </c>
      <c r="G17213" s="4">
        <v>15</v>
      </c>
      <c r="H17213" s="4">
        <v>75.574799999999996</v>
      </c>
      <c r="I17213" s="201"/>
      <c r="J17213" s="201"/>
    </row>
    <row r="17214" spans="1:10" s="15" customFormat="1" ht="19.5" hidden="1" customHeight="1" outlineLevel="1" x14ac:dyDescent="0.25">
      <c r="A17214" s="46">
        <v>9939</v>
      </c>
      <c r="B17214" s="4" t="s">
        <v>44</v>
      </c>
      <c r="C17214" s="22" t="s">
        <v>1918</v>
      </c>
      <c r="D17214" s="18">
        <v>2021</v>
      </c>
      <c r="E17214" s="18"/>
      <c r="F17214" s="4">
        <v>1</v>
      </c>
      <c r="G17214" s="4">
        <v>15</v>
      </c>
      <c r="H17214" s="4">
        <v>75.574510000000004</v>
      </c>
      <c r="I17214" s="201"/>
      <c r="J17214" s="201"/>
    </row>
    <row r="17215" spans="1:10" s="15" customFormat="1" ht="19.5" hidden="1" customHeight="1" outlineLevel="1" x14ac:dyDescent="0.25">
      <c r="A17215" s="45">
        <v>1593</v>
      </c>
      <c r="B17215" s="4" t="s">
        <v>44</v>
      </c>
      <c r="C17215" s="22" t="s">
        <v>1919</v>
      </c>
      <c r="D17215" s="18">
        <v>2021</v>
      </c>
      <c r="E17215" s="18"/>
      <c r="F17215" s="4">
        <v>1</v>
      </c>
      <c r="G17215" s="4">
        <v>15</v>
      </c>
      <c r="H17215" s="4">
        <v>90.863500000000002</v>
      </c>
      <c r="I17215" s="201"/>
      <c r="J17215" s="201"/>
    </row>
    <row r="17216" spans="1:10" s="15" customFormat="1" ht="19.5" hidden="1" customHeight="1" outlineLevel="1" x14ac:dyDescent="0.25">
      <c r="A17216" s="46">
        <v>9949</v>
      </c>
      <c r="B17216" s="4" t="s">
        <v>44</v>
      </c>
      <c r="C17216" s="22" t="s">
        <v>1920</v>
      </c>
      <c r="D17216" s="18">
        <v>2021</v>
      </c>
      <c r="E17216" s="18"/>
      <c r="F17216" s="4">
        <v>1</v>
      </c>
      <c r="G17216" s="4">
        <v>15</v>
      </c>
      <c r="H17216" s="4">
        <v>85.718289999999996</v>
      </c>
      <c r="I17216" s="201"/>
      <c r="J17216" s="201"/>
    </row>
    <row r="17217" spans="1:10" s="15" customFormat="1" ht="19.5" hidden="1" customHeight="1" outlineLevel="1" x14ac:dyDescent="0.25">
      <c r="A17217" s="45">
        <v>9807</v>
      </c>
      <c r="B17217" s="4" t="s">
        <v>44</v>
      </c>
      <c r="C17217" s="22" t="s">
        <v>1921</v>
      </c>
      <c r="D17217" s="18">
        <v>2021</v>
      </c>
      <c r="E17217" s="18"/>
      <c r="F17217" s="4">
        <v>1</v>
      </c>
      <c r="G17217" s="4">
        <v>30</v>
      </c>
      <c r="H17217" s="4">
        <v>28.526620000000001</v>
      </c>
      <c r="I17217" s="201"/>
      <c r="J17217" s="201"/>
    </row>
    <row r="17218" spans="1:10" s="15" customFormat="1" ht="19.5" hidden="1" customHeight="1" outlineLevel="1" x14ac:dyDescent="0.25">
      <c r="A17218" s="46">
        <v>9828</v>
      </c>
      <c r="B17218" s="4" t="s">
        <v>44</v>
      </c>
      <c r="C17218" s="22" t="s">
        <v>636</v>
      </c>
      <c r="D17218" s="18">
        <v>2021</v>
      </c>
      <c r="E17218" s="18"/>
      <c r="F17218" s="4">
        <v>1</v>
      </c>
      <c r="G17218" s="4">
        <v>15</v>
      </c>
      <c r="H17218" s="4">
        <v>30.827929999999999</v>
      </c>
      <c r="I17218" s="201"/>
      <c r="J17218" s="201"/>
    </row>
    <row r="17219" spans="1:10" s="15" customFormat="1" ht="19.5" hidden="1" customHeight="1" outlineLevel="1" x14ac:dyDescent="0.25">
      <c r="A17219" s="45">
        <v>1613</v>
      </c>
      <c r="B17219" s="4" t="s">
        <v>44</v>
      </c>
      <c r="C17219" s="22" t="s">
        <v>1922</v>
      </c>
      <c r="D17219" s="18">
        <v>2021</v>
      </c>
      <c r="E17219" s="18"/>
      <c r="F17219" s="4">
        <v>1</v>
      </c>
      <c r="G17219" s="4">
        <v>10</v>
      </c>
      <c r="H17219" s="4">
        <v>70.297849999999997</v>
      </c>
      <c r="I17219" s="201"/>
      <c r="J17219" s="201"/>
    </row>
    <row r="17220" spans="1:10" s="15" customFormat="1" ht="19.5" hidden="1" customHeight="1" outlineLevel="1" x14ac:dyDescent="0.25">
      <c r="A17220" s="46">
        <v>9948</v>
      </c>
      <c r="B17220" s="4" t="s">
        <v>44</v>
      </c>
      <c r="C17220" s="22" t="s">
        <v>1923</v>
      </c>
      <c r="D17220" s="18">
        <v>2021</v>
      </c>
      <c r="E17220" s="18"/>
      <c r="F17220" s="4">
        <v>1</v>
      </c>
      <c r="G17220" s="4">
        <v>15</v>
      </c>
      <c r="H17220" s="4">
        <v>72.595780000000005</v>
      </c>
      <c r="I17220" s="201"/>
      <c r="J17220" s="201"/>
    </row>
    <row r="17221" spans="1:10" s="15" customFormat="1" ht="19.5" hidden="1" customHeight="1" outlineLevel="1" x14ac:dyDescent="0.25">
      <c r="A17221" s="45">
        <v>1600</v>
      </c>
      <c r="B17221" s="4" t="s">
        <v>44</v>
      </c>
      <c r="C17221" s="22" t="s">
        <v>1924</v>
      </c>
      <c r="D17221" s="18">
        <v>2021</v>
      </c>
      <c r="E17221" s="18"/>
      <c r="F17221" s="4">
        <v>1</v>
      </c>
      <c r="G17221" s="4">
        <v>15</v>
      </c>
      <c r="H17221" s="4">
        <v>75.996279999999999</v>
      </c>
      <c r="I17221" s="201"/>
      <c r="J17221" s="201"/>
    </row>
    <row r="17222" spans="1:10" s="15" customFormat="1" ht="19.5" hidden="1" customHeight="1" outlineLevel="1" x14ac:dyDescent="0.25">
      <c r="A17222" s="46">
        <v>9945</v>
      </c>
      <c r="B17222" s="4" t="s">
        <v>44</v>
      </c>
      <c r="C17222" s="22" t="s">
        <v>1925</v>
      </c>
      <c r="D17222" s="18">
        <v>2021</v>
      </c>
      <c r="E17222" s="18"/>
      <c r="F17222" s="4">
        <v>1</v>
      </c>
      <c r="G17222" s="4">
        <v>15</v>
      </c>
      <c r="H17222" s="4">
        <v>85.929360000000003</v>
      </c>
      <c r="I17222" s="201"/>
      <c r="J17222" s="201"/>
    </row>
    <row r="17223" spans="1:10" s="15" customFormat="1" ht="19.5" hidden="1" customHeight="1" outlineLevel="1" x14ac:dyDescent="0.25">
      <c r="A17223" s="46">
        <v>9909</v>
      </c>
      <c r="B17223" s="4" t="s">
        <v>44</v>
      </c>
      <c r="C17223" s="22" t="s">
        <v>1926</v>
      </c>
      <c r="D17223" s="18">
        <v>2021</v>
      </c>
      <c r="E17223" s="18"/>
      <c r="F17223" s="4">
        <v>1</v>
      </c>
      <c r="G17223" s="4">
        <v>15</v>
      </c>
      <c r="H17223" s="4">
        <v>85.247</v>
      </c>
      <c r="I17223" s="201"/>
      <c r="J17223" s="201"/>
    </row>
    <row r="17224" spans="1:10" s="15" customFormat="1" ht="19.5" hidden="1" customHeight="1" outlineLevel="1" x14ac:dyDescent="0.25">
      <c r="A17224" s="46">
        <v>9747</v>
      </c>
      <c r="B17224" s="4" t="s">
        <v>44</v>
      </c>
      <c r="C17224" s="22" t="s">
        <v>1927</v>
      </c>
      <c r="D17224" s="18">
        <v>2021</v>
      </c>
      <c r="E17224" s="18"/>
      <c r="F17224" s="4">
        <v>1</v>
      </c>
      <c r="G17224" s="4">
        <v>15</v>
      </c>
      <c r="H17224" s="4">
        <v>56.04363</v>
      </c>
      <c r="I17224" s="201"/>
      <c r="J17224" s="201"/>
    </row>
    <row r="17225" spans="1:10" s="15" customFormat="1" ht="19.5" hidden="1" customHeight="1" outlineLevel="1" x14ac:dyDescent="0.25">
      <c r="A17225" s="46">
        <v>10318</v>
      </c>
      <c r="B17225" s="4" t="s">
        <v>44</v>
      </c>
      <c r="C17225" s="22" t="s">
        <v>1928</v>
      </c>
      <c r="D17225" s="18">
        <v>2021</v>
      </c>
      <c r="E17225" s="18"/>
      <c r="F17225" s="4">
        <v>2</v>
      </c>
      <c r="G17225" s="4">
        <v>15</v>
      </c>
      <c r="H17225" s="4">
        <v>64.24521</v>
      </c>
      <c r="I17225" s="201"/>
      <c r="J17225" s="201"/>
    </row>
    <row r="17226" spans="1:10" s="15" customFormat="1" ht="19.5" hidden="1" customHeight="1" outlineLevel="1" x14ac:dyDescent="0.25">
      <c r="A17226" s="46">
        <v>9799</v>
      </c>
      <c r="B17226" s="4" t="s">
        <v>44</v>
      </c>
      <c r="C17226" s="22" t="s">
        <v>1929</v>
      </c>
      <c r="D17226" s="18">
        <v>2021</v>
      </c>
      <c r="E17226" s="18"/>
      <c r="F17226" s="4">
        <v>1</v>
      </c>
      <c r="G17226" s="4">
        <v>15</v>
      </c>
      <c r="H17226" s="4">
        <v>40.010350000000003</v>
      </c>
      <c r="I17226" s="201"/>
      <c r="J17226" s="201"/>
    </row>
    <row r="17227" spans="1:10" s="15" customFormat="1" ht="19.5" hidden="1" customHeight="1" outlineLevel="1" x14ac:dyDescent="0.25">
      <c r="A17227" s="46">
        <v>9818</v>
      </c>
      <c r="B17227" s="4" t="s">
        <v>44</v>
      </c>
      <c r="C17227" s="22" t="s">
        <v>1930</v>
      </c>
      <c r="D17227" s="18">
        <v>2021</v>
      </c>
      <c r="E17227" s="18"/>
      <c r="F17227" s="4">
        <v>1</v>
      </c>
      <c r="G17227" s="4">
        <v>15</v>
      </c>
      <c r="H17227" s="4">
        <v>30.14865</v>
      </c>
      <c r="I17227" s="201"/>
      <c r="J17227" s="201"/>
    </row>
    <row r="17228" spans="1:10" s="15" customFormat="1" ht="19.5" hidden="1" customHeight="1" outlineLevel="1" x14ac:dyDescent="0.25">
      <c r="A17228" s="46">
        <v>9865</v>
      </c>
      <c r="B17228" s="4" t="s">
        <v>44</v>
      </c>
      <c r="C17228" s="22" t="s">
        <v>639</v>
      </c>
      <c r="D17228" s="18">
        <v>2021</v>
      </c>
      <c r="E17228" s="18"/>
      <c r="F17228" s="4">
        <v>1</v>
      </c>
      <c r="G17228" s="4">
        <v>15</v>
      </c>
      <c r="H17228" s="4">
        <v>27.987410000000001</v>
      </c>
      <c r="I17228" s="201"/>
      <c r="J17228" s="201"/>
    </row>
    <row r="17229" spans="1:10" s="15" customFormat="1" ht="19.5" hidden="1" customHeight="1" outlineLevel="1" x14ac:dyDescent="0.25">
      <c r="A17229" s="46">
        <v>9957</v>
      </c>
      <c r="B17229" s="4" t="s">
        <v>44</v>
      </c>
      <c r="C17229" s="22" t="s">
        <v>1931</v>
      </c>
      <c r="D17229" s="18">
        <v>2021</v>
      </c>
      <c r="E17229" s="18"/>
      <c r="F17229" s="4">
        <v>1</v>
      </c>
      <c r="G17229" s="4">
        <v>40</v>
      </c>
      <c r="H17229" s="4">
        <v>83.175070000000005</v>
      </c>
      <c r="I17229" s="201"/>
      <c r="J17229" s="201"/>
    </row>
    <row r="17230" spans="1:10" s="15" customFormat="1" ht="19.5" hidden="1" customHeight="1" outlineLevel="1" x14ac:dyDescent="0.25">
      <c r="A17230" s="45">
        <v>2279</v>
      </c>
      <c r="B17230" s="4" t="s">
        <v>44</v>
      </c>
      <c r="C17230" s="22" t="s">
        <v>1287</v>
      </c>
      <c r="D17230" s="18">
        <v>2021</v>
      </c>
      <c r="E17230" s="18"/>
      <c r="F17230" s="4">
        <v>1</v>
      </c>
      <c r="G17230" s="4">
        <v>15</v>
      </c>
      <c r="H17230" s="4">
        <v>34.671329999999998</v>
      </c>
      <c r="I17230" s="201"/>
      <c r="J17230" s="201"/>
    </row>
    <row r="17231" spans="1:10" s="15" customFormat="1" ht="19.5" hidden="1" customHeight="1" outlineLevel="1" x14ac:dyDescent="0.25">
      <c r="A17231" s="46">
        <v>9988</v>
      </c>
      <c r="B17231" s="4" t="s">
        <v>44</v>
      </c>
      <c r="C17231" s="22" t="s">
        <v>1932</v>
      </c>
      <c r="D17231" s="18">
        <v>2021</v>
      </c>
      <c r="E17231" s="18"/>
      <c r="F17231" s="4">
        <v>1</v>
      </c>
      <c r="G17231" s="4">
        <v>15</v>
      </c>
      <c r="H17231" s="4">
        <v>37.668329999999997</v>
      </c>
      <c r="I17231" s="201"/>
      <c r="J17231" s="201"/>
    </row>
    <row r="17232" spans="1:10" s="15" customFormat="1" ht="19.5" hidden="1" customHeight="1" outlineLevel="1" x14ac:dyDescent="0.25">
      <c r="A17232" s="45">
        <v>1801</v>
      </c>
      <c r="B17232" s="4" t="s">
        <v>44</v>
      </c>
      <c r="C17232" s="22" t="s">
        <v>1933</v>
      </c>
      <c r="D17232" s="18">
        <v>2021</v>
      </c>
      <c r="E17232" s="18"/>
      <c r="F17232" s="4">
        <v>1</v>
      </c>
      <c r="G17232" s="4">
        <v>15</v>
      </c>
      <c r="H17232" s="4">
        <v>29.418369999999999</v>
      </c>
      <c r="I17232" s="201"/>
      <c r="J17232" s="201"/>
    </row>
    <row r="17233" spans="1:10" s="15" customFormat="1" ht="19.5" hidden="1" customHeight="1" outlineLevel="1" x14ac:dyDescent="0.25">
      <c r="A17233" s="46">
        <v>10311</v>
      </c>
      <c r="B17233" s="4" t="s">
        <v>44</v>
      </c>
      <c r="C17233" s="22" t="s">
        <v>1934</v>
      </c>
      <c r="D17233" s="18">
        <v>2021</v>
      </c>
      <c r="E17233" s="18"/>
      <c r="F17233" s="4">
        <v>3</v>
      </c>
      <c r="G17233" s="4">
        <v>45</v>
      </c>
      <c r="H17233" s="4">
        <v>86.675550000000001</v>
      </c>
      <c r="I17233" s="201"/>
      <c r="J17233" s="201"/>
    </row>
    <row r="17234" spans="1:10" s="15" customFormat="1" ht="19.5" hidden="1" customHeight="1" outlineLevel="1" x14ac:dyDescent="0.25">
      <c r="A17234" s="45">
        <v>1863</v>
      </c>
      <c r="B17234" s="4" t="s">
        <v>44</v>
      </c>
      <c r="C17234" s="22" t="s">
        <v>1935</v>
      </c>
      <c r="D17234" s="18">
        <v>2021</v>
      </c>
      <c r="E17234" s="18"/>
      <c r="F17234" s="4">
        <v>1</v>
      </c>
      <c r="G17234" s="4">
        <v>15</v>
      </c>
      <c r="H17234" s="4">
        <v>39.308619999999998</v>
      </c>
      <c r="I17234" s="201"/>
      <c r="J17234" s="201"/>
    </row>
    <row r="17235" spans="1:10" s="15" customFormat="1" ht="19.5" hidden="1" customHeight="1" outlineLevel="1" x14ac:dyDescent="0.25">
      <c r="A17235" s="46">
        <v>10018</v>
      </c>
      <c r="B17235" s="4" t="s">
        <v>44</v>
      </c>
      <c r="C17235" s="22" t="s">
        <v>1936</v>
      </c>
      <c r="D17235" s="18">
        <v>2021</v>
      </c>
      <c r="E17235" s="18"/>
      <c r="F17235" s="4">
        <v>1</v>
      </c>
      <c r="G17235" s="4">
        <v>15</v>
      </c>
      <c r="H17235" s="4">
        <v>33.671619999999997</v>
      </c>
      <c r="I17235" s="201"/>
      <c r="J17235" s="201"/>
    </row>
    <row r="17236" spans="1:10" s="15" customFormat="1" ht="19.5" hidden="1" customHeight="1" outlineLevel="1" x14ac:dyDescent="0.25">
      <c r="A17236" s="46">
        <v>10012</v>
      </c>
      <c r="B17236" s="4" t="s">
        <v>44</v>
      </c>
      <c r="C17236" s="22" t="s">
        <v>1937</v>
      </c>
      <c r="D17236" s="18">
        <v>2021</v>
      </c>
      <c r="E17236" s="18"/>
      <c r="F17236" s="4">
        <v>1</v>
      </c>
      <c r="G17236" s="4">
        <v>15</v>
      </c>
      <c r="H17236" s="4">
        <v>34.150759999999998</v>
      </c>
      <c r="I17236" s="201"/>
      <c r="J17236" s="201"/>
    </row>
    <row r="17237" spans="1:10" s="15" customFormat="1" ht="19.5" hidden="1" customHeight="1" outlineLevel="1" x14ac:dyDescent="0.25">
      <c r="A17237" s="46">
        <v>9841</v>
      </c>
      <c r="B17237" s="4" t="s">
        <v>44</v>
      </c>
      <c r="C17237" s="22" t="s">
        <v>1938</v>
      </c>
      <c r="D17237" s="18">
        <v>2021</v>
      </c>
      <c r="E17237" s="18"/>
      <c r="F17237" s="4">
        <v>1</v>
      </c>
      <c r="G17237" s="4">
        <v>15</v>
      </c>
      <c r="H17237" s="4">
        <v>65.104960000000005</v>
      </c>
      <c r="I17237" s="201"/>
      <c r="J17237" s="201"/>
    </row>
    <row r="17238" spans="1:10" s="15" customFormat="1" ht="19.5" hidden="1" customHeight="1" outlineLevel="1" x14ac:dyDescent="0.25">
      <c r="A17238" s="46">
        <v>9934</v>
      </c>
      <c r="B17238" s="4" t="s">
        <v>44</v>
      </c>
      <c r="C17238" s="22" t="s">
        <v>1939</v>
      </c>
      <c r="D17238" s="18">
        <v>2021</v>
      </c>
      <c r="E17238" s="18"/>
      <c r="F17238" s="4">
        <v>1</v>
      </c>
      <c r="G17238" s="4">
        <v>15</v>
      </c>
      <c r="H17238" s="4">
        <v>76.024900000000002</v>
      </c>
      <c r="I17238" s="201"/>
      <c r="J17238" s="201"/>
    </row>
    <row r="17239" spans="1:10" s="15" customFormat="1" ht="19.5" hidden="1" customHeight="1" outlineLevel="1" x14ac:dyDescent="0.25">
      <c r="A17239" s="46">
        <v>9944</v>
      </c>
      <c r="B17239" s="4" t="s">
        <v>44</v>
      </c>
      <c r="C17239" s="22" t="s">
        <v>1940</v>
      </c>
      <c r="D17239" s="18">
        <v>2021</v>
      </c>
      <c r="E17239" s="18"/>
      <c r="F17239" s="4">
        <v>1</v>
      </c>
      <c r="G17239" s="4">
        <v>15</v>
      </c>
      <c r="H17239" s="4">
        <v>78.925910000000002</v>
      </c>
      <c r="I17239" s="201"/>
      <c r="J17239" s="201"/>
    </row>
    <row r="17240" spans="1:10" s="15" customFormat="1" ht="19.5" hidden="1" customHeight="1" outlineLevel="1" x14ac:dyDescent="0.25">
      <c r="A17240" s="46">
        <v>9931</v>
      </c>
      <c r="B17240" s="4" t="s">
        <v>44</v>
      </c>
      <c r="C17240" s="22" t="s">
        <v>1941</v>
      </c>
      <c r="D17240" s="18">
        <v>2021</v>
      </c>
      <c r="E17240" s="18"/>
      <c r="F17240" s="4">
        <v>1</v>
      </c>
      <c r="G17240" s="4">
        <v>15</v>
      </c>
      <c r="H17240" s="4">
        <v>71.906859999999995</v>
      </c>
      <c r="I17240" s="201"/>
      <c r="J17240" s="201"/>
    </row>
    <row r="17241" spans="1:10" s="15" customFormat="1" ht="19.5" hidden="1" customHeight="1" outlineLevel="1" x14ac:dyDescent="0.25">
      <c r="A17241" s="46">
        <v>9850</v>
      </c>
      <c r="B17241" s="4" t="s">
        <v>44</v>
      </c>
      <c r="C17241" s="22" t="s">
        <v>1942</v>
      </c>
      <c r="D17241" s="18">
        <v>2021</v>
      </c>
      <c r="E17241" s="18"/>
      <c r="F17241" s="4">
        <v>1</v>
      </c>
      <c r="G17241" s="4">
        <v>45</v>
      </c>
      <c r="H17241" s="4">
        <v>32.372680000000003</v>
      </c>
      <c r="I17241" s="201"/>
      <c r="J17241" s="201"/>
    </row>
    <row r="17242" spans="1:10" s="15" customFormat="1" ht="19.5" hidden="1" customHeight="1" outlineLevel="1" x14ac:dyDescent="0.25">
      <c r="A17242" s="46">
        <v>9856</v>
      </c>
      <c r="B17242" s="4" t="s">
        <v>44</v>
      </c>
      <c r="C17242" s="22" t="s">
        <v>1943</v>
      </c>
      <c r="D17242" s="18">
        <v>2021</v>
      </c>
      <c r="E17242" s="18"/>
      <c r="F17242" s="4">
        <v>2</v>
      </c>
      <c r="G17242" s="4">
        <v>30</v>
      </c>
      <c r="H17242" s="4">
        <v>49.564700000000002</v>
      </c>
      <c r="I17242" s="201"/>
      <c r="J17242" s="201"/>
    </row>
    <row r="17243" spans="1:10" s="15" customFormat="1" ht="19.5" hidden="1" customHeight="1" outlineLevel="1" x14ac:dyDescent="0.25">
      <c r="A17243" s="46">
        <v>9868</v>
      </c>
      <c r="B17243" s="4" t="s">
        <v>44</v>
      </c>
      <c r="C17243" s="22" t="s">
        <v>643</v>
      </c>
      <c r="D17243" s="18">
        <v>2021</v>
      </c>
      <c r="E17243" s="18"/>
      <c r="F17243" s="4">
        <v>2</v>
      </c>
      <c r="G17243" s="4">
        <v>30</v>
      </c>
      <c r="H17243" s="4">
        <v>44.275869999999998</v>
      </c>
      <c r="I17243" s="201"/>
      <c r="J17243" s="201"/>
    </row>
    <row r="17244" spans="1:10" s="15" customFormat="1" ht="19.5" hidden="1" customHeight="1" outlineLevel="1" x14ac:dyDescent="0.25">
      <c r="A17244" s="46">
        <v>9757</v>
      </c>
      <c r="B17244" s="4" t="s">
        <v>44</v>
      </c>
      <c r="C17244" s="22" t="s">
        <v>1944</v>
      </c>
      <c r="D17244" s="18">
        <v>2021</v>
      </c>
      <c r="E17244" s="18"/>
      <c r="F17244" s="4">
        <v>1</v>
      </c>
      <c r="G17244" s="4">
        <v>15</v>
      </c>
      <c r="H17244" s="4">
        <v>26.988150000000001</v>
      </c>
      <c r="I17244" s="201"/>
      <c r="J17244" s="201"/>
    </row>
    <row r="17245" spans="1:10" s="15" customFormat="1" ht="19.5" hidden="1" customHeight="1" outlineLevel="1" x14ac:dyDescent="0.25">
      <c r="A17245" s="45">
        <v>2451</v>
      </c>
      <c r="B17245" s="4" t="s">
        <v>44</v>
      </c>
      <c r="C17245" s="22" t="s">
        <v>1296</v>
      </c>
      <c r="D17245" s="18">
        <v>2021</v>
      </c>
      <c r="E17245" s="18"/>
      <c r="F17245" s="4">
        <v>2</v>
      </c>
      <c r="G17245" s="4">
        <v>15</v>
      </c>
      <c r="H17245" s="4">
        <v>66.380499999999998</v>
      </c>
      <c r="I17245" s="201"/>
      <c r="J17245" s="201"/>
    </row>
    <row r="17246" spans="1:10" s="15" customFormat="1" ht="19.5" hidden="1" customHeight="1" outlineLevel="1" x14ac:dyDescent="0.25">
      <c r="A17246" s="46">
        <v>9991</v>
      </c>
      <c r="B17246" s="4" t="s">
        <v>44</v>
      </c>
      <c r="C17246" s="22" t="s">
        <v>1945</v>
      </c>
      <c r="D17246" s="18">
        <v>2021</v>
      </c>
      <c r="E17246" s="18"/>
      <c r="F17246" s="4">
        <v>1</v>
      </c>
      <c r="G17246" s="4">
        <v>15</v>
      </c>
      <c r="H17246" s="4">
        <v>33.701030000000003</v>
      </c>
      <c r="I17246" s="201"/>
      <c r="J17246" s="201"/>
    </row>
    <row r="17247" spans="1:10" s="15" customFormat="1" ht="19.5" hidden="1" customHeight="1" outlineLevel="1" x14ac:dyDescent="0.25">
      <c r="A17247" s="45">
        <v>1824</v>
      </c>
      <c r="B17247" s="4" t="s">
        <v>44</v>
      </c>
      <c r="C17247" s="22" t="s">
        <v>1946</v>
      </c>
      <c r="D17247" s="18">
        <v>2021</v>
      </c>
      <c r="E17247" s="18"/>
      <c r="F17247" s="4">
        <v>1</v>
      </c>
      <c r="G17247" s="4">
        <v>15</v>
      </c>
      <c r="H17247" s="4">
        <v>40.416589999999999</v>
      </c>
      <c r="I17247" s="201"/>
      <c r="J17247" s="201"/>
    </row>
    <row r="17248" spans="1:10" s="15" customFormat="1" ht="19.5" hidden="1" customHeight="1" outlineLevel="1" x14ac:dyDescent="0.25">
      <c r="A17248" s="46">
        <v>9527</v>
      </c>
      <c r="B17248" s="4" t="s">
        <v>44</v>
      </c>
      <c r="C17248" s="22" t="s">
        <v>776</v>
      </c>
      <c r="D17248" s="18">
        <v>2021</v>
      </c>
      <c r="E17248" s="18"/>
      <c r="F17248" s="4">
        <v>1</v>
      </c>
      <c r="G17248" s="4">
        <v>15</v>
      </c>
      <c r="H17248" s="4">
        <v>93.410330000000002</v>
      </c>
      <c r="I17248" s="201"/>
      <c r="J17248" s="201"/>
    </row>
    <row r="17249" spans="1:10" s="15" customFormat="1" ht="19.5" hidden="1" customHeight="1" outlineLevel="1" x14ac:dyDescent="0.25">
      <c r="A17249" s="46">
        <v>9982</v>
      </c>
      <c r="B17249" s="4" t="s">
        <v>44</v>
      </c>
      <c r="C17249" s="22" t="s">
        <v>1947</v>
      </c>
      <c r="D17249" s="18">
        <v>2021</v>
      </c>
      <c r="E17249" s="18"/>
      <c r="F17249" s="4">
        <v>1</v>
      </c>
      <c r="G17249" s="4">
        <v>15</v>
      </c>
      <c r="H17249" s="4">
        <v>42.485619999999997</v>
      </c>
      <c r="I17249" s="201"/>
      <c r="J17249" s="201"/>
    </row>
    <row r="17250" spans="1:10" s="15" customFormat="1" ht="19.5" hidden="1" customHeight="1" outlineLevel="1" x14ac:dyDescent="0.25">
      <c r="A17250" s="46">
        <v>9973</v>
      </c>
      <c r="B17250" s="4" t="s">
        <v>44</v>
      </c>
      <c r="C17250" s="22" t="s">
        <v>1948</v>
      </c>
      <c r="D17250" s="18">
        <v>2021</v>
      </c>
      <c r="E17250" s="18"/>
      <c r="F17250" s="4">
        <v>1</v>
      </c>
      <c r="G17250" s="4">
        <v>15</v>
      </c>
      <c r="H17250" s="4">
        <v>36.31653</v>
      </c>
      <c r="I17250" s="201"/>
      <c r="J17250" s="201"/>
    </row>
    <row r="17251" spans="1:10" s="15" customFormat="1" ht="19.5" hidden="1" customHeight="1" outlineLevel="1" x14ac:dyDescent="0.25">
      <c r="A17251" s="46">
        <v>9974</v>
      </c>
      <c r="B17251" s="4" t="s">
        <v>44</v>
      </c>
      <c r="C17251" s="22" t="s">
        <v>1949</v>
      </c>
      <c r="D17251" s="18">
        <v>2021</v>
      </c>
      <c r="E17251" s="18"/>
      <c r="F17251" s="4">
        <v>1</v>
      </c>
      <c r="G17251" s="4">
        <v>15</v>
      </c>
      <c r="H17251" s="4">
        <v>94.923839999999998</v>
      </c>
      <c r="I17251" s="201"/>
      <c r="J17251" s="201"/>
    </row>
    <row r="17252" spans="1:10" s="15" customFormat="1" ht="19.5" hidden="1" customHeight="1" outlineLevel="1" x14ac:dyDescent="0.25">
      <c r="A17252" s="46">
        <v>10313</v>
      </c>
      <c r="B17252" s="4" t="s">
        <v>44</v>
      </c>
      <c r="C17252" s="22" t="s">
        <v>1950</v>
      </c>
      <c r="D17252" s="18">
        <v>2021</v>
      </c>
      <c r="E17252" s="18"/>
      <c r="F17252" s="4">
        <v>2</v>
      </c>
      <c r="G17252" s="4">
        <v>15</v>
      </c>
      <c r="H17252" s="4">
        <v>80.189629999999994</v>
      </c>
      <c r="I17252" s="201"/>
      <c r="J17252" s="201"/>
    </row>
    <row r="17253" spans="1:10" s="15" customFormat="1" ht="19.5" hidden="1" customHeight="1" outlineLevel="1" x14ac:dyDescent="0.25">
      <c r="A17253" s="46">
        <v>10025</v>
      </c>
      <c r="B17253" s="4" t="s">
        <v>44</v>
      </c>
      <c r="C17253" s="22" t="s">
        <v>1951</v>
      </c>
      <c r="D17253" s="18">
        <v>2021</v>
      </c>
      <c r="E17253" s="18"/>
      <c r="F17253" s="4">
        <v>1</v>
      </c>
      <c r="G17253" s="4">
        <v>5</v>
      </c>
      <c r="H17253" s="4">
        <v>42.604170000000003</v>
      </c>
      <c r="I17253" s="201"/>
      <c r="J17253" s="201"/>
    </row>
    <row r="17254" spans="1:10" s="15" customFormat="1" ht="19.5" hidden="1" customHeight="1" outlineLevel="1" x14ac:dyDescent="0.25">
      <c r="A17254" s="46">
        <v>10317</v>
      </c>
      <c r="B17254" s="4" t="s">
        <v>44</v>
      </c>
      <c r="C17254" s="22" t="s">
        <v>1952</v>
      </c>
      <c r="D17254" s="18">
        <v>2021</v>
      </c>
      <c r="E17254" s="18"/>
      <c r="F17254" s="4">
        <v>1</v>
      </c>
      <c r="G17254" s="4">
        <v>15</v>
      </c>
      <c r="H17254" s="4">
        <v>35.068429999999999</v>
      </c>
      <c r="I17254" s="201"/>
      <c r="J17254" s="201"/>
    </row>
    <row r="17255" spans="1:10" s="15" customFormat="1" ht="19.5" hidden="1" customHeight="1" outlineLevel="1" x14ac:dyDescent="0.25">
      <c r="A17255" s="46">
        <v>10316</v>
      </c>
      <c r="B17255" s="4" t="s">
        <v>44</v>
      </c>
      <c r="C17255" s="22" t="s">
        <v>1953</v>
      </c>
      <c r="D17255" s="18">
        <v>2021</v>
      </c>
      <c r="E17255" s="18"/>
      <c r="F17255" s="4">
        <v>2</v>
      </c>
      <c r="G17255" s="4">
        <v>15</v>
      </c>
      <c r="H17255" s="4">
        <v>75.975700000000003</v>
      </c>
      <c r="I17255" s="201"/>
      <c r="J17255" s="201"/>
    </row>
    <row r="17256" spans="1:10" s="15" customFormat="1" ht="19.5" hidden="1" customHeight="1" outlineLevel="1" x14ac:dyDescent="0.25">
      <c r="A17256" s="46">
        <v>9840</v>
      </c>
      <c r="B17256" s="4" t="s">
        <v>44</v>
      </c>
      <c r="C17256" s="22" t="s">
        <v>1954</v>
      </c>
      <c r="D17256" s="18">
        <v>2021</v>
      </c>
      <c r="E17256" s="18"/>
      <c r="F17256" s="4">
        <v>1</v>
      </c>
      <c r="G17256" s="4">
        <v>20</v>
      </c>
      <c r="H17256" s="4">
        <v>37.592280000000002</v>
      </c>
      <c r="I17256" s="201"/>
      <c r="J17256" s="201"/>
    </row>
    <row r="17257" spans="1:10" s="15" customFormat="1" ht="19.5" hidden="1" customHeight="1" outlineLevel="1" x14ac:dyDescent="0.25">
      <c r="A17257" s="46">
        <v>9754</v>
      </c>
      <c r="B17257" s="4" t="s">
        <v>44</v>
      </c>
      <c r="C17257" s="22" t="s">
        <v>649</v>
      </c>
      <c r="D17257" s="18">
        <v>2021</v>
      </c>
      <c r="E17257" s="18"/>
      <c r="F17257" s="4">
        <v>1</v>
      </c>
      <c r="G17257" s="4">
        <v>15</v>
      </c>
      <c r="H17257" s="4">
        <v>30.95609</v>
      </c>
      <c r="I17257" s="201"/>
      <c r="J17257" s="201"/>
    </row>
    <row r="17258" spans="1:10" s="15" customFormat="1" ht="19.5" hidden="1" customHeight="1" outlineLevel="1" x14ac:dyDescent="0.25">
      <c r="A17258" s="46">
        <v>9750</v>
      </c>
      <c r="B17258" s="4" t="s">
        <v>44</v>
      </c>
      <c r="C17258" s="22" t="s">
        <v>1955</v>
      </c>
      <c r="D17258" s="18">
        <v>2021</v>
      </c>
      <c r="E17258" s="18"/>
      <c r="F17258" s="4">
        <v>1</v>
      </c>
      <c r="G17258" s="4">
        <v>15</v>
      </c>
      <c r="H17258" s="4">
        <v>32.635010000000001</v>
      </c>
      <c r="I17258" s="201"/>
      <c r="J17258" s="201"/>
    </row>
    <row r="17259" spans="1:10" s="15" customFormat="1" ht="19.5" hidden="1" customHeight="1" outlineLevel="1" x14ac:dyDescent="0.25">
      <c r="A17259" s="46">
        <v>9989</v>
      </c>
      <c r="B17259" s="4" t="s">
        <v>44</v>
      </c>
      <c r="C17259" s="22" t="s">
        <v>1956</v>
      </c>
      <c r="D17259" s="18">
        <v>2021</v>
      </c>
      <c r="E17259" s="18"/>
      <c r="F17259" s="4">
        <v>1</v>
      </c>
      <c r="G17259" s="4">
        <v>15</v>
      </c>
      <c r="H17259" s="4">
        <v>37.237180000000002</v>
      </c>
      <c r="I17259" s="201"/>
      <c r="J17259" s="201"/>
    </row>
    <row r="17260" spans="1:10" s="15" customFormat="1" ht="19.5" hidden="1" customHeight="1" outlineLevel="1" x14ac:dyDescent="0.25">
      <c r="A17260" s="46">
        <v>9999</v>
      </c>
      <c r="B17260" s="4" t="s">
        <v>44</v>
      </c>
      <c r="C17260" s="22" t="s">
        <v>1957</v>
      </c>
      <c r="D17260" s="18">
        <v>2021</v>
      </c>
      <c r="E17260" s="18"/>
      <c r="F17260" s="4">
        <v>1</v>
      </c>
      <c r="G17260" s="4">
        <v>15</v>
      </c>
      <c r="H17260" s="4">
        <v>37.634480000000003</v>
      </c>
      <c r="I17260" s="201"/>
      <c r="J17260" s="201"/>
    </row>
    <row r="17261" spans="1:10" s="15" customFormat="1" ht="19.5" hidden="1" customHeight="1" outlineLevel="1" x14ac:dyDescent="0.25">
      <c r="A17261" s="46">
        <v>10010</v>
      </c>
      <c r="B17261" s="4" t="s">
        <v>44</v>
      </c>
      <c r="C17261" s="22" t="s">
        <v>1958</v>
      </c>
      <c r="D17261" s="18">
        <v>2021</v>
      </c>
      <c r="E17261" s="18"/>
      <c r="F17261" s="4">
        <v>1</v>
      </c>
      <c r="G17261" s="4">
        <v>15</v>
      </c>
      <c r="H17261" s="4">
        <v>37.996029999999998</v>
      </c>
      <c r="I17261" s="201"/>
      <c r="J17261" s="201"/>
    </row>
    <row r="17262" spans="1:10" s="15" customFormat="1" ht="19.5" hidden="1" customHeight="1" outlineLevel="1" x14ac:dyDescent="0.25">
      <c r="A17262" s="46">
        <v>9984</v>
      </c>
      <c r="B17262" s="4" t="s">
        <v>44</v>
      </c>
      <c r="C17262" s="22" t="s">
        <v>1959</v>
      </c>
      <c r="D17262" s="18">
        <v>2021</v>
      </c>
      <c r="E17262" s="18"/>
      <c r="F17262" s="4">
        <v>1</v>
      </c>
      <c r="G17262" s="4">
        <v>15</v>
      </c>
      <c r="H17262" s="4">
        <v>45.553539999999998</v>
      </c>
      <c r="I17262" s="201"/>
      <c r="J17262" s="201"/>
    </row>
    <row r="17263" spans="1:10" s="15" customFormat="1" ht="19.5" hidden="1" customHeight="1" outlineLevel="1" x14ac:dyDescent="0.25">
      <c r="A17263" s="45">
        <v>1877</v>
      </c>
      <c r="B17263" s="4" t="s">
        <v>44</v>
      </c>
      <c r="C17263" s="22" t="s">
        <v>1960</v>
      </c>
      <c r="D17263" s="18">
        <v>2021</v>
      </c>
      <c r="E17263" s="18"/>
      <c r="F17263" s="4">
        <v>1</v>
      </c>
      <c r="G17263" s="4">
        <v>15</v>
      </c>
      <c r="H17263" s="4">
        <v>37.249339999999997</v>
      </c>
      <c r="I17263" s="201"/>
      <c r="J17263" s="201"/>
    </row>
    <row r="17264" spans="1:10" s="15" customFormat="1" ht="19.5" hidden="1" customHeight="1" outlineLevel="1" x14ac:dyDescent="0.25">
      <c r="A17264" s="45">
        <v>9627</v>
      </c>
      <c r="B17264" s="4" t="s">
        <v>44</v>
      </c>
      <c r="C17264" s="22" t="s">
        <v>1961</v>
      </c>
      <c r="D17264" s="18">
        <v>2021</v>
      </c>
      <c r="E17264" s="18"/>
      <c r="F17264" s="4">
        <v>1</v>
      </c>
      <c r="G17264" s="4">
        <v>150</v>
      </c>
      <c r="H17264" s="4">
        <v>66.840410000000006</v>
      </c>
      <c r="I17264" s="201"/>
      <c r="J17264" s="201"/>
    </row>
    <row r="17265" spans="1:10" s="15" customFormat="1" ht="19.5" hidden="1" customHeight="1" outlineLevel="1" x14ac:dyDescent="0.25">
      <c r="A17265" s="46">
        <v>9853</v>
      </c>
      <c r="B17265" s="4" t="s">
        <v>44</v>
      </c>
      <c r="C17265" s="22" t="s">
        <v>1962</v>
      </c>
      <c r="D17265" s="18">
        <v>2021</v>
      </c>
      <c r="E17265" s="18"/>
      <c r="F17265" s="4">
        <v>2</v>
      </c>
      <c r="G17265" s="4">
        <v>30</v>
      </c>
      <c r="H17265" s="4">
        <v>57.82582</v>
      </c>
      <c r="I17265" s="201"/>
      <c r="J17265" s="201"/>
    </row>
    <row r="17266" spans="1:10" s="15" customFormat="1" ht="19.5" hidden="1" customHeight="1" outlineLevel="1" x14ac:dyDescent="0.25">
      <c r="A17266" s="45">
        <v>1358</v>
      </c>
      <c r="B17266" s="4" t="s">
        <v>44</v>
      </c>
      <c r="C17266" s="22" t="s">
        <v>656</v>
      </c>
      <c r="D17266" s="18">
        <v>2021</v>
      </c>
      <c r="E17266" s="18"/>
      <c r="F17266" s="4">
        <v>1</v>
      </c>
      <c r="G17266" s="4">
        <v>15</v>
      </c>
      <c r="H17266" s="4">
        <v>28.021350000000002</v>
      </c>
      <c r="I17266" s="201"/>
      <c r="J17266" s="201"/>
    </row>
    <row r="17267" spans="1:10" s="15" customFormat="1" ht="19.5" hidden="1" customHeight="1" outlineLevel="1" x14ac:dyDescent="0.25">
      <c r="A17267" s="46">
        <v>10001</v>
      </c>
      <c r="B17267" s="4" t="s">
        <v>44</v>
      </c>
      <c r="C17267" s="22" t="s">
        <v>1963</v>
      </c>
      <c r="D17267" s="18">
        <v>2021</v>
      </c>
      <c r="E17267" s="18"/>
      <c r="F17267" s="4">
        <v>1</v>
      </c>
      <c r="G17267" s="4">
        <v>13</v>
      </c>
      <c r="H17267" s="4">
        <v>41.968269999999997</v>
      </c>
      <c r="I17267" s="201"/>
      <c r="J17267" s="201"/>
    </row>
    <row r="17268" spans="1:10" s="15" customFormat="1" ht="19.5" hidden="1" customHeight="1" outlineLevel="1" x14ac:dyDescent="0.25">
      <c r="A17268" s="46">
        <v>10024</v>
      </c>
      <c r="B17268" s="4" t="s">
        <v>44</v>
      </c>
      <c r="C17268" s="22" t="s">
        <v>1964</v>
      </c>
      <c r="D17268" s="18">
        <v>2021</v>
      </c>
      <c r="E17268" s="18"/>
      <c r="F17268" s="4">
        <v>1</v>
      </c>
      <c r="G17268" s="4">
        <v>15</v>
      </c>
      <c r="H17268" s="4">
        <v>38.338349999999998</v>
      </c>
      <c r="I17268" s="201"/>
      <c r="J17268" s="201"/>
    </row>
    <row r="17269" spans="1:10" s="15" customFormat="1" ht="19.5" hidden="1" customHeight="1" outlineLevel="1" x14ac:dyDescent="0.25">
      <c r="A17269" s="46">
        <v>9987</v>
      </c>
      <c r="B17269" s="4" t="s">
        <v>44</v>
      </c>
      <c r="C17269" s="22" t="s">
        <v>1965</v>
      </c>
      <c r="D17269" s="18">
        <v>2021</v>
      </c>
      <c r="E17269" s="18"/>
      <c r="F17269" s="4">
        <v>1</v>
      </c>
      <c r="G17269" s="4">
        <v>15</v>
      </c>
      <c r="H17269" s="4">
        <v>31.817530000000001</v>
      </c>
      <c r="I17269" s="201"/>
      <c r="J17269" s="201"/>
    </row>
    <row r="17270" spans="1:10" s="15" customFormat="1" ht="19.5" hidden="1" customHeight="1" outlineLevel="1" x14ac:dyDescent="0.25">
      <c r="A17270" s="46">
        <v>10004</v>
      </c>
      <c r="B17270" s="4" t="s">
        <v>44</v>
      </c>
      <c r="C17270" s="22" t="s">
        <v>1966</v>
      </c>
      <c r="D17270" s="18">
        <v>2021</v>
      </c>
      <c r="E17270" s="18"/>
      <c r="F17270" s="4">
        <v>1</v>
      </c>
      <c r="G17270" s="4">
        <v>15</v>
      </c>
      <c r="H17270" s="4">
        <v>39.079680000000003</v>
      </c>
      <c r="I17270" s="201"/>
      <c r="J17270" s="201"/>
    </row>
    <row r="17271" spans="1:10" s="15" customFormat="1" ht="19.5" hidden="1" customHeight="1" outlineLevel="1" x14ac:dyDescent="0.25">
      <c r="A17271" s="46">
        <v>9994</v>
      </c>
      <c r="B17271" s="4" t="s">
        <v>44</v>
      </c>
      <c r="C17271" s="22" t="s">
        <v>1967</v>
      </c>
      <c r="D17271" s="18">
        <v>2021</v>
      </c>
      <c r="E17271" s="18"/>
      <c r="F17271" s="4">
        <v>1</v>
      </c>
      <c r="G17271" s="4">
        <v>15</v>
      </c>
      <c r="H17271" s="4">
        <v>35.673389999999998</v>
      </c>
      <c r="I17271" s="201"/>
      <c r="J17271" s="201"/>
    </row>
    <row r="17272" spans="1:10" s="15" customFormat="1" ht="19.5" hidden="1" customHeight="1" outlineLevel="1" x14ac:dyDescent="0.25">
      <c r="A17272" s="46">
        <v>9529</v>
      </c>
      <c r="B17272" s="4" t="s">
        <v>44</v>
      </c>
      <c r="C17272" s="22" t="s">
        <v>662</v>
      </c>
      <c r="D17272" s="18">
        <v>2021</v>
      </c>
      <c r="E17272" s="18"/>
      <c r="F17272" s="4">
        <v>1</v>
      </c>
      <c r="G17272" s="4">
        <v>30</v>
      </c>
      <c r="H17272" s="4">
        <v>33.536740000000002</v>
      </c>
      <c r="I17272" s="201"/>
      <c r="J17272" s="201"/>
    </row>
    <row r="17273" spans="1:10" s="15" customFormat="1" ht="19.5" hidden="1" customHeight="1" outlineLevel="1" x14ac:dyDescent="0.25">
      <c r="A17273" s="45">
        <v>2357</v>
      </c>
      <c r="B17273" s="4" t="s">
        <v>44</v>
      </c>
      <c r="C17273" s="22" t="s">
        <v>1309</v>
      </c>
      <c r="D17273" s="18">
        <v>2021</v>
      </c>
      <c r="E17273" s="18"/>
      <c r="F17273" s="4">
        <v>2</v>
      </c>
      <c r="G17273" s="4">
        <v>55</v>
      </c>
      <c r="H17273" s="4">
        <v>70.225999999999999</v>
      </c>
      <c r="I17273" s="201"/>
      <c r="J17273" s="201"/>
    </row>
    <row r="17274" spans="1:10" s="15" customFormat="1" ht="19.5" hidden="1" customHeight="1" outlineLevel="1" x14ac:dyDescent="0.25">
      <c r="A17274" s="45">
        <v>2303</v>
      </c>
      <c r="B17274" s="4" t="s">
        <v>44</v>
      </c>
      <c r="C17274" s="22" t="s">
        <v>1968</v>
      </c>
      <c r="D17274" s="18">
        <v>2021</v>
      </c>
      <c r="E17274" s="18"/>
      <c r="F17274" s="4">
        <v>1</v>
      </c>
      <c r="G17274" s="4">
        <v>5</v>
      </c>
      <c r="H17274" s="4">
        <v>60.48471</v>
      </c>
      <c r="I17274" s="201"/>
      <c r="J17274" s="201"/>
    </row>
    <row r="17275" spans="1:10" s="15" customFormat="1" ht="19.5" hidden="1" customHeight="1" outlineLevel="1" x14ac:dyDescent="0.25">
      <c r="A17275" s="46">
        <v>10320</v>
      </c>
      <c r="B17275" s="4" t="s">
        <v>44</v>
      </c>
      <c r="C17275" s="22" t="s">
        <v>1969</v>
      </c>
      <c r="D17275" s="18">
        <v>2021</v>
      </c>
      <c r="E17275" s="18"/>
      <c r="F17275" s="4">
        <v>1</v>
      </c>
      <c r="G17275" s="4">
        <v>15</v>
      </c>
      <c r="H17275" s="4">
        <v>39.652230000000003</v>
      </c>
      <c r="I17275" s="201"/>
      <c r="J17275" s="201"/>
    </row>
    <row r="17276" spans="1:10" s="15" customFormat="1" ht="19.5" hidden="1" customHeight="1" outlineLevel="1" x14ac:dyDescent="0.25">
      <c r="A17276" s="45">
        <v>1852</v>
      </c>
      <c r="B17276" s="4" t="s">
        <v>44</v>
      </c>
      <c r="C17276" s="22" t="s">
        <v>1970</v>
      </c>
      <c r="D17276" s="18">
        <v>2021</v>
      </c>
      <c r="E17276" s="18"/>
      <c r="F17276" s="4">
        <v>1</v>
      </c>
      <c r="G17276" s="4">
        <v>15</v>
      </c>
      <c r="H17276" s="4">
        <v>38.358370000000001</v>
      </c>
      <c r="I17276" s="201"/>
      <c r="J17276" s="201"/>
    </row>
    <row r="17277" spans="1:10" s="15" customFormat="1" ht="19.5" hidden="1" customHeight="1" outlineLevel="1" x14ac:dyDescent="0.25">
      <c r="A17277" s="46">
        <v>9614</v>
      </c>
      <c r="B17277" s="4" t="s">
        <v>44</v>
      </c>
      <c r="C17277" s="22" t="s">
        <v>876</v>
      </c>
      <c r="D17277" s="18">
        <v>2021</v>
      </c>
      <c r="E17277" s="18"/>
      <c r="F17277" s="4">
        <v>1</v>
      </c>
      <c r="G17277" s="4">
        <v>150</v>
      </c>
      <c r="H17277" s="4">
        <v>32.029339999999998</v>
      </c>
      <c r="I17277" s="201"/>
      <c r="J17277" s="201"/>
    </row>
    <row r="17278" spans="1:10" s="15" customFormat="1" ht="19.5" hidden="1" customHeight="1" outlineLevel="1" x14ac:dyDescent="0.25">
      <c r="A17278" s="46">
        <v>9827</v>
      </c>
      <c r="B17278" s="4" t="s">
        <v>44</v>
      </c>
      <c r="C17278" s="22" t="s">
        <v>663</v>
      </c>
      <c r="D17278" s="18">
        <v>2021</v>
      </c>
      <c r="E17278" s="18"/>
      <c r="F17278" s="4">
        <v>1</v>
      </c>
      <c r="G17278" s="4">
        <v>50</v>
      </c>
      <c r="H17278" s="4">
        <v>30.99841</v>
      </c>
      <c r="I17278" s="201"/>
      <c r="J17278" s="201"/>
    </row>
    <row r="17279" spans="1:10" s="15" customFormat="1" ht="19.5" hidden="1" customHeight="1" outlineLevel="1" x14ac:dyDescent="0.25">
      <c r="A17279" s="45">
        <v>1841</v>
      </c>
      <c r="B17279" s="4" t="s">
        <v>44</v>
      </c>
      <c r="C17279" s="22" t="s">
        <v>1971</v>
      </c>
      <c r="D17279" s="18">
        <v>2021</v>
      </c>
      <c r="E17279" s="18"/>
      <c r="F17279" s="4">
        <v>1</v>
      </c>
      <c r="G17279" s="4">
        <v>15</v>
      </c>
      <c r="H17279" s="4">
        <v>42.183369999999996</v>
      </c>
      <c r="I17279" s="201"/>
      <c r="J17279" s="201"/>
    </row>
    <row r="17280" spans="1:10" s="15" customFormat="1" ht="19.5" hidden="1" customHeight="1" outlineLevel="1" x14ac:dyDescent="0.25">
      <c r="A17280" s="45">
        <v>1859</v>
      </c>
      <c r="B17280" s="4" t="s">
        <v>44</v>
      </c>
      <c r="C17280" s="22" t="s">
        <v>1972</v>
      </c>
      <c r="D17280" s="18">
        <v>2021</v>
      </c>
      <c r="E17280" s="18"/>
      <c r="F17280" s="4">
        <v>1</v>
      </c>
      <c r="G17280" s="4">
        <v>15</v>
      </c>
      <c r="H17280" s="4">
        <v>42.182600000000001</v>
      </c>
      <c r="I17280" s="201"/>
      <c r="J17280" s="201"/>
    </row>
    <row r="17281" spans="1:10" s="15" customFormat="1" ht="19.5" hidden="1" customHeight="1" outlineLevel="1" x14ac:dyDescent="0.25">
      <c r="A17281" s="45">
        <v>1855</v>
      </c>
      <c r="B17281" s="4" t="s">
        <v>44</v>
      </c>
      <c r="C17281" s="22" t="s">
        <v>1973</v>
      </c>
      <c r="D17281" s="18">
        <v>2021</v>
      </c>
      <c r="E17281" s="18"/>
      <c r="F17281" s="4">
        <v>1</v>
      </c>
      <c r="G17281" s="4">
        <v>15</v>
      </c>
      <c r="H17281" s="4">
        <v>49.439279999999997</v>
      </c>
      <c r="I17281" s="201"/>
      <c r="J17281" s="201"/>
    </row>
    <row r="17282" spans="1:10" s="15" customFormat="1" ht="19.5" hidden="1" customHeight="1" outlineLevel="1" x14ac:dyDescent="0.25">
      <c r="A17282" s="46">
        <v>9486</v>
      </c>
      <c r="B17282" s="4" t="s">
        <v>44</v>
      </c>
      <c r="C17282" s="22" t="s">
        <v>664</v>
      </c>
      <c r="D17282" s="18">
        <v>2021</v>
      </c>
      <c r="E17282" s="18"/>
      <c r="F17282" s="4">
        <v>1</v>
      </c>
      <c r="G17282" s="4">
        <v>15</v>
      </c>
      <c r="H17282" s="4">
        <v>52.113630000000001</v>
      </c>
      <c r="I17282" s="201"/>
      <c r="J17282" s="201"/>
    </row>
    <row r="17283" spans="1:10" s="15" customFormat="1" ht="19.5" hidden="1" customHeight="1" outlineLevel="1" x14ac:dyDescent="0.25">
      <c r="A17283" s="46">
        <v>9767</v>
      </c>
      <c r="B17283" s="4" t="s">
        <v>44</v>
      </c>
      <c r="C17283" s="22" t="s">
        <v>665</v>
      </c>
      <c r="D17283" s="18">
        <v>2021</v>
      </c>
      <c r="E17283" s="18"/>
      <c r="F17283" s="4">
        <v>1</v>
      </c>
      <c r="G17283" s="4">
        <v>15</v>
      </c>
      <c r="H17283" s="4">
        <v>40.444609999999997</v>
      </c>
      <c r="I17283" s="201"/>
      <c r="J17283" s="201"/>
    </row>
    <row r="17284" spans="1:10" s="15" customFormat="1" ht="19.5" hidden="1" customHeight="1" outlineLevel="1" x14ac:dyDescent="0.25">
      <c r="A17284" s="46">
        <v>9765</v>
      </c>
      <c r="B17284" s="4" t="s">
        <v>44</v>
      </c>
      <c r="C17284" s="22" t="s">
        <v>666</v>
      </c>
      <c r="D17284" s="18">
        <v>2021</v>
      </c>
      <c r="E17284" s="18"/>
      <c r="F17284" s="4">
        <v>1</v>
      </c>
      <c r="G17284" s="4">
        <v>15</v>
      </c>
      <c r="H17284" s="4">
        <v>26.387989999999999</v>
      </c>
      <c r="I17284" s="201"/>
      <c r="J17284" s="201"/>
    </row>
    <row r="17285" spans="1:10" s="15" customFormat="1" ht="19.5" hidden="1" customHeight="1" outlineLevel="1" x14ac:dyDescent="0.25">
      <c r="A17285" s="46">
        <v>9761</v>
      </c>
      <c r="B17285" s="4" t="s">
        <v>44</v>
      </c>
      <c r="C17285" s="22" t="s">
        <v>667</v>
      </c>
      <c r="D17285" s="18">
        <v>2021</v>
      </c>
      <c r="E17285" s="18"/>
      <c r="F17285" s="4">
        <v>1</v>
      </c>
      <c r="G17285" s="4">
        <v>15</v>
      </c>
      <c r="H17285" s="4">
        <v>23.469439999999999</v>
      </c>
      <c r="I17285" s="201"/>
      <c r="J17285" s="201"/>
    </row>
    <row r="17286" spans="1:10" s="15" customFormat="1" ht="19.5" hidden="1" customHeight="1" outlineLevel="1" x14ac:dyDescent="0.25">
      <c r="A17286" s="45">
        <v>1347</v>
      </c>
      <c r="B17286" s="4" t="s">
        <v>44</v>
      </c>
      <c r="C17286" s="22" t="s">
        <v>1974</v>
      </c>
      <c r="D17286" s="18">
        <v>2021</v>
      </c>
      <c r="E17286" s="18"/>
      <c r="F17286" s="4">
        <v>1</v>
      </c>
      <c r="G17286" s="4">
        <v>15</v>
      </c>
      <c r="H17286" s="4">
        <v>27.89113</v>
      </c>
      <c r="I17286" s="201"/>
      <c r="J17286" s="201"/>
    </row>
    <row r="17287" spans="1:10" s="15" customFormat="1" ht="19.5" hidden="1" customHeight="1" outlineLevel="1" x14ac:dyDescent="0.25">
      <c r="A17287" s="45">
        <v>1908</v>
      </c>
      <c r="B17287" s="4" t="s">
        <v>44</v>
      </c>
      <c r="C17287" s="22" t="s">
        <v>1975</v>
      </c>
      <c r="D17287" s="18">
        <v>2021</v>
      </c>
      <c r="E17287" s="18"/>
      <c r="F17287" s="4">
        <v>1</v>
      </c>
      <c r="G17287" s="4">
        <v>15</v>
      </c>
      <c r="H17287" s="4">
        <v>38.072830000000003</v>
      </c>
      <c r="I17287" s="201"/>
      <c r="J17287" s="201"/>
    </row>
    <row r="17288" spans="1:10" s="15" customFormat="1" ht="19.5" hidden="1" customHeight="1" outlineLevel="1" x14ac:dyDescent="0.25">
      <c r="A17288" s="45">
        <v>1834</v>
      </c>
      <c r="B17288" s="4" t="s">
        <v>44</v>
      </c>
      <c r="C17288" s="22" t="s">
        <v>1976</v>
      </c>
      <c r="D17288" s="18">
        <v>2021</v>
      </c>
      <c r="E17288" s="18"/>
      <c r="F17288" s="4">
        <v>1</v>
      </c>
      <c r="G17288" s="4">
        <v>15</v>
      </c>
      <c r="H17288" s="4">
        <v>57.68562</v>
      </c>
      <c r="I17288" s="201"/>
      <c r="J17288" s="201"/>
    </row>
    <row r="17289" spans="1:10" s="15" customFormat="1" ht="19.5" hidden="1" customHeight="1" outlineLevel="1" x14ac:dyDescent="0.25">
      <c r="A17289" s="46">
        <v>9995</v>
      </c>
      <c r="B17289" s="4" t="s">
        <v>44</v>
      </c>
      <c r="C17289" s="22" t="s">
        <v>1977</v>
      </c>
      <c r="D17289" s="18">
        <v>2021</v>
      </c>
      <c r="E17289" s="18"/>
      <c r="F17289" s="4">
        <v>1</v>
      </c>
      <c r="G17289" s="4">
        <v>5</v>
      </c>
      <c r="H17289" s="4">
        <v>44.859630000000003</v>
      </c>
      <c r="I17289" s="201"/>
      <c r="J17289" s="201"/>
    </row>
    <row r="17290" spans="1:10" s="15" customFormat="1" ht="19.5" hidden="1" customHeight="1" outlineLevel="1" x14ac:dyDescent="0.25">
      <c r="A17290" s="45">
        <v>1880</v>
      </c>
      <c r="B17290" s="4" t="s">
        <v>44</v>
      </c>
      <c r="C17290" s="22" t="s">
        <v>1978</v>
      </c>
      <c r="D17290" s="18">
        <v>2021</v>
      </c>
      <c r="E17290" s="18"/>
      <c r="F17290" s="4">
        <v>1</v>
      </c>
      <c r="G17290" s="4">
        <v>15</v>
      </c>
      <c r="H17290" s="4">
        <v>41.853540000000002</v>
      </c>
      <c r="I17290" s="201"/>
      <c r="J17290" s="201"/>
    </row>
    <row r="17291" spans="1:10" s="15" customFormat="1" ht="19.5" hidden="1" customHeight="1" outlineLevel="1" x14ac:dyDescent="0.25">
      <c r="A17291" s="45">
        <v>781</v>
      </c>
      <c r="B17291" s="4" t="s">
        <v>44</v>
      </c>
      <c r="C17291" s="22" t="s">
        <v>671</v>
      </c>
      <c r="D17291" s="18">
        <v>2021</v>
      </c>
      <c r="E17291" s="18"/>
      <c r="F17291" s="4">
        <v>1</v>
      </c>
      <c r="G17291" s="4">
        <v>15</v>
      </c>
      <c r="H17291" s="4">
        <v>106.94925000000001</v>
      </c>
      <c r="I17291" s="201"/>
      <c r="J17291" s="201"/>
    </row>
    <row r="17292" spans="1:10" s="15" customFormat="1" ht="19.5" hidden="1" customHeight="1" outlineLevel="1" x14ac:dyDescent="0.25">
      <c r="A17292" s="46">
        <v>9866</v>
      </c>
      <c r="B17292" s="4" t="s">
        <v>44</v>
      </c>
      <c r="C17292" s="22" t="s">
        <v>875</v>
      </c>
      <c r="D17292" s="18">
        <v>2021</v>
      </c>
      <c r="E17292" s="18"/>
      <c r="F17292" s="4">
        <v>1</v>
      </c>
      <c r="G17292" s="4">
        <v>15</v>
      </c>
      <c r="H17292" s="4">
        <v>29.371600000000001</v>
      </c>
      <c r="I17292" s="201"/>
      <c r="J17292" s="201"/>
    </row>
    <row r="17293" spans="1:10" s="15" customFormat="1" ht="19.5" hidden="1" customHeight="1" outlineLevel="1" x14ac:dyDescent="0.25">
      <c r="A17293" s="45">
        <v>1521</v>
      </c>
      <c r="B17293" s="4" t="s">
        <v>44</v>
      </c>
      <c r="C17293" s="22" t="s">
        <v>672</v>
      </c>
      <c r="D17293" s="18">
        <v>2021</v>
      </c>
      <c r="E17293" s="18"/>
      <c r="F17293" s="4">
        <v>1</v>
      </c>
      <c r="G17293" s="4">
        <v>15</v>
      </c>
      <c r="H17293" s="4">
        <v>33.515659999999997</v>
      </c>
      <c r="I17293" s="201"/>
      <c r="J17293" s="201"/>
    </row>
    <row r="17294" spans="1:10" s="15" customFormat="1" ht="19.5" hidden="1" customHeight="1" outlineLevel="1" x14ac:dyDescent="0.25">
      <c r="A17294" s="45">
        <v>1773</v>
      </c>
      <c r="B17294" s="4" t="s">
        <v>44</v>
      </c>
      <c r="C17294" s="22" t="s">
        <v>1979</v>
      </c>
      <c r="D17294" s="18">
        <v>2021</v>
      </c>
      <c r="E17294" s="18"/>
      <c r="F17294" s="4">
        <v>1</v>
      </c>
      <c r="G17294" s="4">
        <v>15</v>
      </c>
      <c r="H17294" s="4">
        <v>35.529969999999999</v>
      </c>
      <c r="I17294" s="201"/>
      <c r="J17294" s="201"/>
    </row>
    <row r="17295" spans="1:10" s="15" customFormat="1" ht="19.5" hidden="1" customHeight="1" outlineLevel="1" x14ac:dyDescent="0.25">
      <c r="A17295" s="45">
        <v>1776</v>
      </c>
      <c r="B17295" s="4" t="s">
        <v>44</v>
      </c>
      <c r="C17295" s="22" t="s">
        <v>1980</v>
      </c>
      <c r="D17295" s="18">
        <v>2021</v>
      </c>
      <c r="E17295" s="18"/>
      <c r="F17295" s="4">
        <v>1</v>
      </c>
      <c r="G17295" s="4">
        <v>15</v>
      </c>
      <c r="H17295" s="4">
        <v>49.741019999999999</v>
      </c>
      <c r="I17295" s="201"/>
      <c r="J17295" s="201"/>
    </row>
    <row r="17296" spans="1:10" s="15" customFormat="1" ht="19.5" hidden="1" customHeight="1" outlineLevel="1" x14ac:dyDescent="0.25">
      <c r="A17296" s="45">
        <v>1788</v>
      </c>
      <c r="B17296" s="4" t="s">
        <v>44</v>
      </c>
      <c r="C17296" s="22" t="s">
        <v>1981</v>
      </c>
      <c r="D17296" s="18">
        <v>2021</v>
      </c>
      <c r="E17296" s="18"/>
      <c r="F17296" s="4">
        <v>1</v>
      </c>
      <c r="G17296" s="4">
        <v>15</v>
      </c>
      <c r="H17296" s="4">
        <v>49.480989999999998</v>
      </c>
      <c r="I17296" s="201"/>
      <c r="J17296" s="201"/>
    </row>
    <row r="17297" spans="1:10" s="15" customFormat="1" ht="19.5" hidden="1" customHeight="1" outlineLevel="1" x14ac:dyDescent="0.25">
      <c r="A17297" s="45">
        <v>1489</v>
      </c>
      <c r="B17297" s="4" t="s">
        <v>44</v>
      </c>
      <c r="C17297" s="22" t="s">
        <v>673</v>
      </c>
      <c r="D17297" s="18">
        <v>2021</v>
      </c>
      <c r="E17297" s="18"/>
      <c r="F17297" s="4">
        <v>1</v>
      </c>
      <c r="G17297" s="4">
        <v>15</v>
      </c>
      <c r="H17297" s="4">
        <v>48.815849999999998</v>
      </c>
      <c r="I17297" s="201"/>
      <c r="J17297" s="201"/>
    </row>
    <row r="17298" spans="1:10" s="15" customFormat="1" ht="19.5" hidden="1" customHeight="1" outlineLevel="1" x14ac:dyDescent="0.25">
      <c r="A17298" s="46">
        <v>10314</v>
      </c>
      <c r="B17298" s="4" t="s">
        <v>44</v>
      </c>
      <c r="C17298" s="22" t="s">
        <v>1320</v>
      </c>
      <c r="D17298" s="18">
        <v>2021</v>
      </c>
      <c r="E17298" s="18"/>
      <c r="F17298" s="4">
        <v>2</v>
      </c>
      <c r="G17298" s="4">
        <v>30</v>
      </c>
      <c r="H17298" s="4">
        <v>64.214380000000006</v>
      </c>
      <c r="I17298" s="201"/>
      <c r="J17298" s="201"/>
    </row>
    <row r="17299" spans="1:10" s="15" customFormat="1" ht="19.5" hidden="1" customHeight="1" outlineLevel="1" x14ac:dyDescent="0.25">
      <c r="A17299" s="45">
        <v>2306</v>
      </c>
      <c r="B17299" s="4" t="s">
        <v>44</v>
      </c>
      <c r="C17299" s="22" t="s">
        <v>1982</v>
      </c>
      <c r="D17299" s="18">
        <v>2021</v>
      </c>
      <c r="E17299" s="18"/>
      <c r="F17299" s="4">
        <v>3</v>
      </c>
      <c r="G17299" s="4">
        <v>15</v>
      </c>
      <c r="H17299" s="4">
        <v>113.31865000000001</v>
      </c>
      <c r="I17299" s="201"/>
      <c r="J17299" s="201"/>
    </row>
    <row r="17300" spans="1:10" s="15" customFormat="1" ht="19.5" hidden="1" customHeight="1" outlineLevel="1" x14ac:dyDescent="0.25">
      <c r="A17300" s="45">
        <v>2412</v>
      </c>
      <c r="B17300" s="4" t="s">
        <v>44</v>
      </c>
      <c r="C17300" s="22" t="s">
        <v>1322</v>
      </c>
      <c r="D17300" s="18">
        <v>2021</v>
      </c>
      <c r="E17300" s="18"/>
      <c r="F17300" s="4">
        <v>2</v>
      </c>
      <c r="G17300" s="4">
        <v>25</v>
      </c>
      <c r="H17300" s="4">
        <v>65.427580000000006</v>
      </c>
      <c r="I17300" s="201"/>
      <c r="J17300" s="201"/>
    </row>
    <row r="17301" spans="1:10" s="15" customFormat="1" ht="19.5" hidden="1" customHeight="1" outlineLevel="1" x14ac:dyDescent="0.25">
      <c r="A17301" s="45">
        <v>2368</v>
      </c>
      <c r="B17301" s="4" t="s">
        <v>44</v>
      </c>
      <c r="C17301" s="22" t="s">
        <v>1983</v>
      </c>
      <c r="D17301" s="18">
        <v>2021</v>
      </c>
      <c r="E17301" s="18"/>
      <c r="F17301" s="4">
        <v>3</v>
      </c>
      <c r="G17301" s="4">
        <v>45</v>
      </c>
      <c r="H17301" s="4">
        <v>101.71357999999999</v>
      </c>
      <c r="I17301" s="201"/>
      <c r="J17301" s="201"/>
    </row>
    <row r="17302" spans="1:10" s="15" customFormat="1" ht="19.5" hidden="1" customHeight="1" outlineLevel="1" x14ac:dyDescent="0.25">
      <c r="A17302" s="45">
        <v>2302</v>
      </c>
      <c r="B17302" s="4" t="s">
        <v>44</v>
      </c>
      <c r="C17302" s="22" t="s">
        <v>1323</v>
      </c>
      <c r="D17302" s="18">
        <v>2021</v>
      </c>
      <c r="E17302" s="18"/>
      <c r="F17302" s="4">
        <v>1</v>
      </c>
      <c r="G17302" s="4">
        <v>15</v>
      </c>
      <c r="H17302" s="4">
        <v>18.893090000000001</v>
      </c>
      <c r="I17302" s="201"/>
      <c r="J17302" s="201"/>
    </row>
    <row r="17303" spans="1:10" s="15" customFormat="1" ht="19.5" hidden="1" customHeight="1" outlineLevel="1" x14ac:dyDescent="0.25">
      <c r="A17303" s="45">
        <v>1806</v>
      </c>
      <c r="B17303" s="4" t="s">
        <v>44</v>
      </c>
      <c r="C17303" s="22" t="s">
        <v>1984</v>
      </c>
      <c r="D17303" s="18">
        <v>2021</v>
      </c>
      <c r="E17303" s="18"/>
      <c r="F17303" s="4">
        <v>1</v>
      </c>
      <c r="G17303" s="4">
        <v>15</v>
      </c>
      <c r="H17303" s="4">
        <v>38.562359999999998</v>
      </c>
      <c r="I17303" s="201"/>
      <c r="J17303" s="201"/>
    </row>
    <row r="17304" spans="1:10" s="15" customFormat="1" ht="19.5" hidden="1" customHeight="1" outlineLevel="1" x14ac:dyDescent="0.25">
      <c r="A17304" s="45">
        <v>1808</v>
      </c>
      <c r="B17304" s="4" t="s">
        <v>44</v>
      </c>
      <c r="C17304" s="22" t="s">
        <v>1985</v>
      </c>
      <c r="D17304" s="18">
        <v>2021</v>
      </c>
      <c r="E17304" s="18"/>
      <c r="F17304" s="4">
        <v>1</v>
      </c>
      <c r="G17304" s="4">
        <v>15</v>
      </c>
      <c r="H17304" s="4">
        <v>35.062080000000002</v>
      </c>
      <c r="I17304" s="201"/>
      <c r="J17304" s="201"/>
    </row>
    <row r="17305" spans="1:10" s="15" customFormat="1" ht="19.5" hidden="1" customHeight="1" outlineLevel="1" x14ac:dyDescent="0.25">
      <c r="A17305" s="45">
        <v>1851</v>
      </c>
      <c r="B17305" s="4" t="s">
        <v>44</v>
      </c>
      <c r="C17305" s="22" t="s">
        <v>1986</v>
      </c>
      <c r="D17305" s="18">
        <v>2021</v>
      </c>
      <c r="E17305" s="18"/>
      <c r="F17305" s="4">
        <v>1</v>
      </c>
      <c r="G17305" s="4">
        <v>15</v>
      </c>
      <c r="H17305" s="4">
        <v>37.626690000000004</v>
      </c>
      <c r="I17305" s="201"/>
      <c r="J17305" s="201"/>
    </row>
    <row r="17306" spans="1:10" s="15" customFormat="1" ht="19.5" hidden="1" customHeight="1" outlineLevel="1" x14ac:dyDescent="0.25">
      <c r="A17306" s="45">
        <v>1918</v>
      </c>
      <c r="B17306" s="4" t="s">
        <v>44</v>
      </c>
      <c r="C17306" s="22" t="s">
        <v>1987</v>
      </c>
      <c r="D17306" s="18">
        <v>2021</v>
      </c>
      <c r="E17306" s="18"/>
      <c r="F17306" s="4">
        <v>1</v>
      </c>
      <c r="G17306" s="4">
        <v>15</v>
      </c>
      <c r="H17306" s="4">
        <v>33.585610000000003</v>
      </c>
      <c r="I17306" s="201"/>
      <c r="J17306" s="201"/>
    </row>
    <row r="17307" spans="1:10" s="15" customFormat="1" ht="19.5" hidden="1" customHeight="1" outlineLevel="1" x14ac:dyDescent="0.25">
      <c r="A17307" s="46">
        <v>10017</v>
      </c>
      <c r="B17307" s="4" t="s">
        <v>44</v>
      </c>
      <c r="C17307" s="22" t="s">
        <v>1988</v>
      </c>
      <c r="D17307" s="18">
        <v>2021</v>
      </c>
      <c r="E17307" s="18"/>
      <c r="F17307" s="4">
        <v>1</v>
      </c>
      <c r="G17307" s="4">
        <v>15</v>
      </c>
      <c r="H17307" s="4">
        <v>33.580190000000002</v>
      </c>
      <c r="I17307" s="201"/>
      <c r="J17307" s="201"/>
    </row>
    <row r="17308" spans="1:10" s="15" customFormat="1" ht="19.5" hidden="1" customHeight="1" outlineLevel="1" x14ac:dyDescent="0.25">
      <c r="A17308" s="45">
        <v>1805</v>
      </c>
      <c r="B17308" s="4" t="s">
        <v>44</v>
      </c>
      <c r="C17308" s="22" t="s">
        <v>1989</v>
      </c>
      <c r="D17308" s="18">
        <v>2021</v>
      </c>
      <c r="E17308" s="18"/>
      <c r="F17308" s="4">
        <v>1</v>
      </c>
      <c r="G17308" s="4">
        <v>10</v>
      </c>
      <c r="H17308" s="4">
        <v>43.535110000000003</v>
      </c>
      <c r="I17308" s="201"/>
      <c r="J17308" s="201"/>
    </row>
    <row r="17309" spans="1:10" s="15" customFormat="1" ht="19.5" hidden="1" customHeight="1" outlineLevel="1" x14ac:dyDescent="0.25">
      <c r="A17309" s="45">
        <v>1842</v>
      </c>
      <c r="B17309" s="4" t="s">
        <v>44</v>
      </c>
      <c r="C17309" s="22" t="s">
        <v>1990</v>
      </c>
      <c r="D17309" s="18">
        <v>2021</v>
      </c>
      <c r="E17309" s="18"/>
      <c r="F17309" s="4">
        <v>1</v>
      </c>
      <c r="G17309" s="4">
        <v>15</v>
      </c>
      <c r="H17309" s="4">
        <v>34.411850000000001</v>
      </c>
      <c r="I17309" s="201"/>
      <c r="J17309" s="201"/>
    </row>
    <row r="17310" spans="1:10" s="15" customFormat="1" ht="19.5" hidden="1" customHeight="1" outlineLevel="1" x14ac:dyDescent="0.25">
      <c r="A17310" s="46">
        <v>9996</v>
      </c>
      <c r="B17310" s="4" t="s">
        <v>44</v>
      </c>
      <c r="C17310" s="22" t="s">
        <v>1991</v>
      </c>
      <c r="D17310" s="18">
        <v>2021</v>
      </c>
      <c r="E17310" s="18"/>
      <c r="F17310" s="4">
        <v>1</v>
      </c>
      <c r="G17310" s="4">
        <v>15</v>
      </c>
      <c r="H17310" s="4">
        <v>35.121299999999998</v>
      </c>
      <c r="I17310" s="201"/>
      <c r="J17310" s="201"/>
    </row>
    <row r="17311" spans="1:10" s="15" customFormat="1" ht="19.5" hidden="1" customHeight="1" outlineLevel="1" x14ac:dyDescent="0.25">
      <c r="A17311" s="46">
        <v>10000</v>
      </c>
      <c r="B17311" s="4" t="s">
        <v>44</v>
      </c>
      <c r="C17311" s="22" t="s">
        <v>1992</v>
      </c>
      <c r="D17311" s="18">
        <v>2021</v>
      </c>
      <c r="E17311" s="18"/>
      <c r="F17311" s="4">
        <v>1</v>
      </c>
      <c r="G17311" s="4">
        <v>15</v>
      </c>
      <c r="H17311" s="4">
        <v>47.544490000000003</v>
      </c>
      <c r="I17311" s="201"/>
      <c r="J17311" s="201"/>
    </row>
    <row r="17312" spans="1:10" s="15" customFormat="1" ht="19.5" hidden="1" customHeight="1" outlineLevel="1" x14ac:dyDescent="0.25">
      <c r="A17312" s="45">
        <v>1871</v>
      </c>
      <c r="B17312" s="4" t="s">
        <v>44</v>
      </c>
      <c r="C17312" s="22" t="s">
        <v>1993</v>
      </c>
      <c r="D17312" s="18">
        <v>2021</v>
      </c>
      <c r="E17312" s="18"/>
      <c r="F17312" s="4">
        <v>1</v>
      </c>
      <c r="G17312" s="4">
        <v>15</v>
      </c>
      <c r="H17312" s="4">
        <v>32.226959999999998</v>
      </c>
      <c r="I17312" s="201"/>
      <c r="J17312" s="201"/>
    </row>
    <row r="17313" spans="1:10" s="15" customFormat="1" ht="19.5" hidden="1" customHeight="1" outlineLevel="1" x14ac:dyDescent="0.25">
      <c r="A17313" s="45">
        <v>1893</v>
      </c>
      <c r="B17313" s="4" t="s">
        <v>44</v>
      </c>
      <c r="C17313" s="22" t="s">
        <v>1994</v>
      </c>
      <c r="D17313" s="18">
        <v>2021</v>
      </c>
      <c r="E17313" s="18"/>
      <c r="F17313" s="4">
        <v>1</v>
      </c>
      <c r="G17313" s="4">
        <v>15</v>
      </c>
      <c r="H17313" s="4">
        <v>36.713929999999998</v>
      </c>
      <c r="I17313" s="201"/>
      <c r="J17313" s="201"/>
    </row>
    <row r="17314" spans="1:10" s="15" customFormat="1" ht="19.5" hidden="1" customHeight="1" outlineLevel="1" x14ac:dyDescent="0.25">
      <c r="A17314" s="45">
        <v>1896</v>
      </c>
      <c r="B17314" s="4" t="s">
        <v>44</v>
      </c>
      <c r="C17314" s="22" t="s">
        <v>1995</v>
      </c>
      <c r="D17314" s="18">
        <v>2021</v>
      </c>
      <c r="E17314" s="18"/>
      <c r="F17314" s="4">
        <v>1</v>
      </c>
      <c r="G17314" s="4">
        <v>15</v>
      </c>
      <c r="H17314" s="4">
        <v>34.355980000000002</v>
      </c>
      <c r="I17314" s="201"/>
      <c r="J17314" s="201"/>
    </row>
    <row r="17315" spans="1:10" s="15" customFormat="1" ht="19.5" hidden="1" customHeight="1" outlineLevel="1" x14ac:dyDescent="0.25">
      <c r="A17315" s="45">
        <v>1625</v>
      </c>
      <c r="B17315" s="4" t="s">
        <v>44</v>
      </c>
      <c r="C17315" s="22" t="s">
        <v>1996</v>
      </c>
      <c r="D17315" s="18">
        <v>2021</v>
      </c>
      <c r="E17315" s="18"/>
      <c r="F17315" s="4">
        <v>1</v>
      </c>
      <c r="G17315" s="4">
        <v>15</v>
      </c>
      <c r="H17315" s="4">
        <v>32.808799999999998</v>
      </c>
      <c r="I17315" s="201"/>
      <c r="J17315" s="201"/>
    </row>
    <row r="17316" spans="1:10" s="15" customFormat="1" ht="19.5" hidden="1" customHeight="1" outlineLevel="1" x14ac:dyDescent="0.25">
      <c r="A17316" s="45">
        <v>1594</v>
      </c>
      <c r="B17316" s="4" t="s">
        <v>44</v>
      </c>
      <c r="C17316" s="22" t="s">
        <v>1997</v>
      </c>
      <c r="D17316" s="18">
        <v>2021</v>
      </c>
      <c r="E17316" s="18"/>
      <c r="F17316" s="4">
        <v>1</v>
      </c>
      <c r="G17316" s="4">
        <v>15</v>
      </c>
      <c r="H17316" s="4">
        <v>35.161819999999999</v>
      </c>
      <c r="I17316" s="201"/>
      <c r="J17316" s="201"/>
    </row>
    <row r="17317" spans="1:10" s="15" customFormat="1" ht="19.5" hidden="1" customHeight="1" outlineLevel="1" x14ac:dyDescent="0.25">
      <c r="A17317" s="46">
        <v>9932</v>
      </c>
      <c r="B17317" s="4" t="s">
        <v>44</v>
      </c>
      <c r="C17317" s="22" t="s">
        <v>1998</v>
      </c>
      <c r="D17317" s="18">
        <v>2021</v>
      </c>
      <c r="E17317" s="18"/>
      <c r="F17317" s="4">
        <v>1</v>
      </c>
      <c r="G17317" s="4">
        <v>15</v>
      </c>
      <c r="H17317" s="4">
        <v>30.564419999999998</v>
      </c>
      <c r="I17317" s="201"/>
      <c r="J17317" s="201"/>
    </row>
    <row r="17318" spans="1:10" s="15" customFormat="1" ht="19.5" hidden="1" customHeight="1" outlineLevel="1" x14ac:dyDescent="0.25">
      <c r="A17318" s="45">
        <v>1618</v>
      </c>
      <c r="B17318" s="4" t="s">
        <v>44</v>
      </c>
      <c r="C17318" s="22" t="s">
        <v>1999</v>
      </c>
      <c r="D17318" s="18">
        <v>2021</v>
      </c>
      <c r="E17318" s="18"/>
      <c r="F17318" s="4">
        <v>1</v>
      </c>
      <c r="G17318" s="4">
        <v>15</v>
      </c>
      <c r="H17318" s="4">
        <v>32.597029999999997</v>
      </c>
      <c r="I17318" s="201"/>
      <c r="J17318" s="201"/>
    </row>
    <row r="17319" spans="1:10" s="15" customFormat="1" ht="19.5" hidden="1" customHeight="1" outlineLevel="1" x14ac:dyDescent="0.25">
      <c r="A17319" s="45">
        <v>1802</v>
      </c>
      <c r="B17319" s="4" t="s">
        <v>44</v>
      </c>
      <c r="C17319" s="22" t="s">
        <v>2000</v>
      </c>
      <c r="D17319" s="18">
        <v>2021</v>
      </c>
      <c r="E17319" s="18"/>
      <c r="F17319" s="4">
        <v>1</v>
      </c>
      <c r="G17319" s="4">
        <v>15</v>
      </c>
      <c r="H17319" s="4">
        <v>68.858459999999994</v>
      </c>
      <c r="I17319" s="201"/>
      <c r="J17319" s="201"/>
    </row>
    <row r="17320" spans="1:10" s="15" customFormat="1" ht="19.5" hidden="1" customHeight="1" outlineLevel="1" x14ac:dyDescent="0.25">
      <c r="A17320" s="46">
        <v>9447</v>
      </c>
      <c r="B17320" s="4" t="s">
        <v>44</v>
      </c>
      <c r="C17320" s="22" t="s">
        <v>676</v>
      </c>
      <c r="D17320" s="18">
        <v>2021</v>
      </c>
      <c r="E17320" s="18"/>
      <c r="F17320" s="4">
        <v>1</v>
      </c>
      <c r="G17320" s="4">
        <v>10</v>
      </c>
      <c r="H17320" s="4">
        <v>17.491879999999998</v>
      </c>
      <c r="I17320" s="201"/>
      <c r="J17320" s="201"/>
    </row>
    <row r="17321" spans="1:10" s="15" customFormat="1" ht="19.5" hidden="1" customHeight="1" outlineLevel="1" x14ac:dyDescent="0.25">
      <c r="A17321" s="45">
        <v>1355</v>
      </c>
      <c r="B17321" s="4" t="s">
        <v>44</v>
      </c>
      <c r="C17321" s="22" t="s">
        <v>677</v>
      </c>
      <c r="D17321" s="18">
        <v>2021</v>
      </c>
      <c r="E17321" s="18"/>
      <c r="F17321" s="4">
        <v>1</v>
      </c>
      <c r="G17321" s="4">
        <v>15</v>
      </c>
      <c r="H17321" s="4">
        <v>24.349589999999999</v>
      </c>
      <c r="I17321" s="201"/>
      <c r="J17321" s="201"/>
    </row>
    <row r="17322" spans="1:10" s="15" customFormat="1" ht="19.5" hidden="1" customHeight="1" outlineLevel="1" x14ac:dyDescent="0.25">
      <c r="A17322" s="46">
        <v>9954</v>
      </c>
      <c r="B17322" s="4" t="s">
        <v>44</v>
      </c>
      <c r="C17322" s="22" t="s">
        <v>2001</v>
      </c>
      <c r="D17322" s="18">
        <v>2021</v>
      </c>
      <c r="E17322" s="18"/>
      <c r="F17322" s="4">
        <v>1</v>
      </c>
      <c r="G17322" s="4">
        <v>15</v>
      </c>
      <c r="H17322" s="4">
        <v>31.400749999999999</v>
      </c>
      <c r="I17322" s="201"/>
      <c r="J17322" s="201"/>
    </row>
    <row r="17323" spans="1:10" s="15" customFormat="1" ht="19.5" hidden="1" customHeight="1" outlineLevel="1" x14ac:dyDescent="0.25">
      <c r="A17323" s="46">
        <v>9638</v>
      </c>
      <c r="B17323" s="4" t="s">
        <v>44</v>
      </c>
      <c r="C17323" s="22" t="s">
        <v>2002</v>
      </c>
      <c r="D17323" s="18">
        <v>2021</v>
      </c>
      <c r="E17323" s="18"/>
      <c r="F17323" s="4">
        <v>1</v>
      </c>
      <c r="G17323" s="4">
        <v>55</v>
      </c>
      <c r="H17323" s="4">
        <v>63.756729999999997</v>
      </c>
      <c r="I17323" s="201"/>
      <c r="J17323" s="201"/>
    </row>
    <row r="17324" spans="1:10" s="15" customFormat="1" ht="19.5" hidden="1" customHeight="1" outlineLevel="1" x14ac:dyDescent="0.25">
      <c r="A17324" s="46">
        <v>9908</v>
      </c>
      <c r="B17324" s="4" t="s">
        <v>44</v>
      </c>
      <c r="C17324" s="22" t="s">
        <v>2003</v>
      </c>
      <c r="D17324" s="18">
        <v>2021</v>
      </c>
      <c r="E17324" s="18"/>
      <c r="F17324" s="4">
        <v>1</v>
      </c>
      <c r="G17324" s="4">
        <v>120</v>
      </c>
      <c r="H17324" s="4">
        <v>49.672229999999999</v>
      </c>
      <c r="I17324" s="201"/>
      <c r="J17324" s="201"/>
    </row>
    <row r="17325" spans="1:10" s="15" customFormat="1" ht="19.5" hidden="1" customHeight="1" outlineLevel="1" x14ac:dyDescent="0.25">
      <c r="A17325" s="46">
        <v>10315</v>
      </c>
      <c r="B17325" s="4" t="s">
        <v>44</v>
      </c>
      <c r="C17325" s="22" t="s">
        <v>1332</v>
      </c>
      <c r="D17325" s="18">
        <v>2021</v>
      </c>
      <c r="E17325" s="18"/>
      <c r="F17325" s="4">
        <v>2</v>
      </c>
      <c r="G17325" s="4">
        <v>45</v>
      </c>
      <c r="H17325" s="4">
        <v>64.719809999999995</v>
      </c>
      <c r="I17325" s="201"/>
      <c r="J17325" s="201"/>
    </row>
    <row r="17326" spans="1:10" s="15" customFormat="1" ht="19.5" hidden="1" customHeight="1" outlineLevel="1" x14ac:dyDescent="0.25">
      <c r="A17326" s="46">
        <v>9456</v>
      </c>
      <c r="B17326" s="4" t="s">
        <v>44</v>
      </c>
      <c r="C17326" s="22" t="s">
        <v>678</v>
      </c>
      <c r="D17326" s="18">
        <v>2021</v>
      </c>
      <c r="E17326" s="18"/>
      <c r="F17326" s="4">
        <v>1</v>
      </c>
      <c r="G17326" s="4">
        <v>15</v>
      </c>
      <c r="H17326" s="4">
        <v>22.914929999999998</v>
      </c>
      <c r="I17326" s="201"/>
      <c r="J17326" s="201"/>
    </row>
    <row r="17327" spans="1:10" s="15" customFormat="1" ht="19.5" hidden="1" customHeight="1" outlineLevel="1" x14ac:dyDescent="0.25">
      <c r="A17327" s="45">
        <v>1861</v>
      </c>
      <c r="B17327" s="4" t="s">
        <v>44</v>
      </c>
      <c r="C17327" s="22" t="s">
        <v>2004</v>
      </c>
      <c r="D17327" s="18">
        <v>2021</v>
      </c>
      <c r="E17327" s="18"/>
      <c r="F17327" s="4">
        <v>1</v>
      </c>
      <c r="G17327" s="4">
        <v>10</v>
      </c>
      <c r="H17327" s="4">
        <v>32.079149999999998</v>
      </c>
      <c r="I17327" s="201"/>
      <c r="J17327" s="201"/>
    </row>
    <row r="17328" spans="1:10" s="15" customFormat="1" ht="19.5" hidden="1" customHeight="1" outlineLevel="1" x14ac:dyDescent="0.25">
      <c r="A17328" s="45">
        <v>1356</v>
      </c>
      <c r="B17328" s="4" t="s">
        <v>44</v>
      </c>
      <c r="C17328" s="22" t="s">
        <v>680</v>
      </c>
      <c r="D17328" s="18">
        <v>2021</v>
      </c>
      <c r="E17328" s="18"/>
      <c r="F17328" s="4">
        <v>1</v>
      </c>
      <c r="G17328" s="4">
        <v>15</v>
      </c>
      <c r="H17328" s="4">
        <v>29.333680000000001</v>
      </c>
      <c r="I17328" s="201"/>
      <c r="J17328" s="201"/>
    </row>
    <row r="17329" spans="1:10" s="15" customFormat="1" ht="19.5" hidden="1" customHeight="1" outlineLevel="1" x14ac:dyDescent="0.25">
      <c r="A17329" s="45">
        <v>2312</v>
      </c>
      <c r="B17329" s="4" t="s">
        <v>44</v>
      </c>
      <c r="C17329" s="22" t="s">
        <v>2005</v>
      </c>
      <c r="D17329" s="18">
        <v>2021</v>
      </c>
      <c r="E17329" s="18"/>
      <c r="F17329" s="4">
        <v>3</v>
      </c>
      <c r="G17329" s="4">
        <v>15</v>
      </c>
      <c r="H17329" s="4">
        <v>125.92418000000001</v>
      </c>
      <c r="I17329" s="201"/>
      <c r="J17329" s="201"/>
    </row>
    <row r="17330" spans="1:10" s="15" customFormat="1" ht="19.5" hidden="1" customHeight="1" outlineLevel="1" x14ac:dyDescent="0.25">
      <c r="A17330" s="45">
        <v>2464</v>
      </c>
      <c r="B17330" s="4" t="s">
        <v>44</v>
      </c>
      <c r="C17330" s="22" t="s">
        <v>2006</v>
      </c>
      <c r="D17330" s="18">
        <v>2021</v>
      </c>
      <c r="E17330" s="18"/>
      <c r="F17330" s="4">
        <v>1</v>
      </c>
      <c r="G17330" s="4">
        <v>15</v>
      </c>
      <c r="H17330" s="4">
        <v>42.797980000000003</v>
      </c>
      <c r="I17330" s="201"/>
      <c r="J17330" s="201"/>
    </row>
    <row r="17331" spans="1:10" s="15" customFormat="1" ht="19.5" hidden="1" customHeight="1" outlineLevel="1" x14ac:dyDescent="0.25">
      <c r="A17331" s="46">
        <v>9956</v>
      </c>
      <c r="B17331" s="4" t="s">
        <v>44</v>
      </c>
      <c r="C17331" s="22" t="s">
        <v>2007</v>
      </c>
      <c r="D17331" s="18">
        <v>2021</v>
      </c>
      <c r="E17331" s="18"/>
      <c r="F17331" s="4">
        <v>1</v>
      </c>
      <c r="G17331" s="4">
        <v>70</v>
      </c>
      <c r="H17331" s="4">
        <v>79.033510000000007</v>
      </c>
      <c r="I17331" s="201"/>
      <c r="J17331" s="201"/>
    </row>
    <row r="17332" spans="1:10" s="15" customFormat="1" ht="19.5" hidden="1" customHeight="1" outlineLevel="1" x14ac:dyDescent="0.25">
      <c r="A17332" s="45">
        <v>1843</v>
      </c>
      <c r="B17332" s="4" t="s">
        <v>44</v>
      </c>
      <c r="C17332" s="22" t="s">
        <v>2008</v>
      </c>
      <c r="D17332" s="18">
        <v>2021</v>
      </c>
      <c r="E17332" s="18"/>
      <c r="F17332" s="4">
        <v>1</v>
      </c>
      <c r="G17332" s="4">
        <v>15</v>
      </c>
      <c r="H17332" s="4">
        <v>34.774839999999998</v>
      </c>
      <c r="I17332" s="201"/>
      <c r="J17332" s="201"/>
    </row>
    <row r="17333" spans="1:10" s="15" customFormat="1" ht="19.5" hidden="1" customHeight="1" outlineLevel="1" x14ac:dyDescent="0.25">
      <c r="A17333" s="45">
        <v>1900</v>
      </c>
      <c r="B17333" s="4" t="s">
        <v>44</v>
      </c>
      <c r="C17333" s="22" t="s">
        <v>2009</v>
      </c>
      <c r="D17333" s="18">
        <v>2021</v>
      </c>
      <c r="E17333" s="18"/>
      <c r="F17333" s="4">
        <v>1</v>
      </c>
      <c r="G17333" s="4">
        <v>15</v>
      </c>
      <c r="H17333" s="4">
        <v>37.072049999999997</v>
      </c>
      <c r="I17333" s="201"/>
      <c r="J17333" s="201"/>
    </row>
    <row r="17334" spans="1:10" s="15" customFormat="1" ht="19.5" hidden="1" customHeight="1" outlineLevel="1" x14ac:dyDescent="0.25">
      <c r="A17334" s="45">
        <v>663</v>
      </c>
      <c r="B17334" s="4" t="s">
        <v>44</v>
      </c>
      <c r="C17334" s="22" t="s">
        <v>783</v>
      </c>
      <c r="D17334" s="18">
        <v>2021</v>
      </c>
      <c r="E17334" s="18"/>
      <c r="F17334" s="4">
        <v>1</v>
      </c>
      <c r="G17334" s="4">
        <v>15</v>
      </c>
      <c r="H17334" s="4">
        <v>35.899679999999996</v>
      </c>
      <c r="I17334" s="201"/>
      <c r="J17334" s="201"/>
    </row>
    <row r="17335" spans="1:10" s="15" customFormat="1" ht="19.5" hidden="1" customHeight="1" outlineLevel="1" x14ac:dyDescent="0.25">
      <c r="A17335" s="46">
        <v>9766</v>
      </c>
      <c r="B17335" s="4" t="s">
        <v>44</v>
      </c>
      <c r="C17335" s="22" t="s">
        <v>681</v>
      </c>
      <c r="D17335" s="18">
        <v>2021</v>
      </c>
      <c r="E17335" s="18"/>
      <c r="F17335" s="4">
        <v>1</v>
      </c>
      <c r="G17335" s="4">
        <v>15</v>
      </c>
      <c r="H17335" s="4">
        <v>23.669429999999998</v>
      </c>
      <c r="I17335" s="201"/>
      <c r="J17335" s="201"/>
    </row>
    <row r="17336" spans="1:10" s="15" customFormat="1" ht="19.5" hidden="1" customHeight="1" outlineLevel="1" x14ac:dyDescent="0.25">
      <c r="A17336" s="45">
        <v>2373</v>
      </c>
      <c r="B17336" s="4" t="s">
        <v>44</v>
      </c>
      <c r="C17336" s="22" t="s">
        <v>2010</v>
      </c>
      <c r="D17336" s="18">
        <v>2021</v>
      </c>
      <c r="E17336" s="18"/>
      <c r="F17336" s="4">
        <v>2</v>
      </c>
      <c r="G17336" s="4">
        <v>15</v>
      </c>
      <c r="H17336" s="4">
        <v>81.826570000000004</v>
      </c>
      <c r="I17336" s="201"/>
      <c r="J17336" s="201"/>
    </row>
    <row r="17337" spans="1:10" s="15" customFormat="1" ht="19.5" hidden="1" customHeight="1" outlineLevel="1" x14ac:dyDescent="0.25">
      <c r="A17337" s="45">
        <v>1839</v>
      </c>
      <c r="B17337" s="4" t="s">
        <v>44</v>
      </c>
      <c r="C17337" s="22" t="s">
        <v>2011</v>
      </c>
      <c r="D17337" s="18">
        <v>2021</v>
      </c>
      <c r="E17337" s="18"/>
      <c r="F17337" s="4">
        <v>1</v>
      </c>
      <c r="G17337" s="4">
        <v>10</v>
      </c>
      <c r="H17337" s="4">
        <v>27.366409999999998</v>
      </c>
      <c r="I17337" s="201"/>
      <c r="J17337" s="201"/>
    </row>
    <row r="17338" spans="1:10" s="15" customFormat="1" ht="19.5" hidden="1" customHeight="1" outlineLevel="1" x14ac:dyDescent="0.25">
      <c r="A17338" s="45">
        <v>1868</v>
      </c>
      <c r="B17338" s="4" t="s">
        <v>44</v>
      </c>
      <c r="C17338" s="22" t="s">
        <v>2012</v>
      </c>
      <c r="D17338" s="18">
        <v>2021</v>
      </c>
      <c r="E17338" s="18"/>
      <c r="F17338" s="4">
        <v>1</v>
      </c>
      <c r="G17338" s="4">
        <v>15</v>
      </c>
      <c r="H17338" s="4">
        <v>44.982520000000001</v>
      </c>
      <c r="I17338" s="201"/>
      <c r="J17338" s="201"/>
    </row>
    <row r="17339" spans="1:10" s="15" customFormat="1" ht="19.5" hidden="1" customHeight="1" outlineLevel="1" x14ac:dyDescent="0.25">
      <c r="A17339" s="45">
        <v>1887</v>
      </c>
      <c r="B17339" s="4" t="s">
        <v>44</v>
      </c>
      <c r="C17339" s="22" t="s">
        <v>2013</v>
      </c>
      <c r="D17339" s="18">
        <v>2021</v>
      </c>
      <c r="E17339" s="18"/>
      <c r="F17339" s="4">
        <v>1</v>
      </c>
      <c r="G17339" s="4">
        <v>15</v>
      </c>
      <c r="H17339" s="4">
        <v>38.619509999999998</v>
      </c>
      <c r="I17339" s="201"/>
      <c r="J17339" s="201"/>
    </row>
    <row r="17340" spans="1:10" s="15" customFormat="1" ht="19.5" hidden="1" customHeight="1" outlineLevel="1" x14ac:dyDescent="0.25">
      <c r="A17340" s="45">
        <v>1888</v>
      </c>
      <c r="B17340" s="4" t="s">
        <v>44</v>
      </c>
      <c r="C17340" s="22" t="s">
        <v>2014</v>
      </c>
      <c r="D17340" s="18">
        <v>2021</v>
      </c>
      <c r="E17340" s="18"/>
      <c r="F17340" s="4">
        <v>1</v>
      </c>
      <c r="G17340" s="4">
        <v>15</v>
      </c>
      <c r="H17340" s="4">
        <v>45.284500000000001</v>
      </c>
      <c r="I17340" s="201"/>
      <c r="J17340" s="201"/>
    </row>
    <row r="17341" spans="1:10" s="15" customFormat="1" ht="19.5" hidden="1" customHeight="1" outlineLevel="1" x14ac:dyDescent="0.25">
      <c r="A17341" s="45">
        <v>1921</v>
      </c>
      <c r="B17341" s="4" t="s">
        <v>44</v>
      </c>
      <c r="C17341" s="22" t="s">
        <v>2015</v>
      </c>
      <c r="D17341" s="18">
        <v>2021</v>
      </c>
      <c r="E17341" s="18"/>
      <c r="F17341" s="4">
        <v>1</v>
      </c>
      <c r="G17341" s="4">
        <v>15</v>
      </c>
      <c r="H17341" s="4">
        <v>37.362160000000003</v>
      </c>
      <c r="I17341" s="201"/>
      <c r="J17341" s="201"/>
    </row>
    <row r="17342" spans="1:10" s="15" customFormat="1" ht="19.5" hidden="1" customHeight="1" outlineLevel="1" x14ac:dyDescent="0.25">
      <c r="A17342" s="45">
        <v>1341</v>
      </c>
      <c r="B17342" s="4" t="s">
        <v>44</v>
      </c>
      <c r="C17342" s="22" t="s">
        <v>682</v>
      </c>
      <c r="D17342" s="18">
        <v>2021</v>
      </c>
      <c r="E17342" s="18"/>
      <c r="F17342" s="4">
        <v>2</v>
      </c>
      <c r="G17342" s="4">
        <v>29</v>
      </c>
      <c r="H17342" s="4">
        <v>51.179389999999998</v>
      </c>
      <c r="I17342" s="201"/>
      <c r="J17342" s="201"/>
    </row>
    <row r="17343" spans="1:10" s="15" customFormat="1" ht="19.5" hidden="1" customHeight="1" outlineLevel="1" x14ac:dyDescent="0.25">
      <c r="A17343" s="45">
        <v>1798</v>
      </c>
      <c r="B17343" s="4" t="s">
        <v>44</v>
      </c>
      <c r="C17343" s="22" t="s">
        <v>2016</v>
      </c>
      <c r="D17343" s="18">
        <v>2021</v>
      </c>
      <c r="E17343" s="18"/>
      <c r="F17343" s="4">
        <v>1</v>
      </c>
      <c r="G17343" s="4">
        <v>15</v>
      </c>
      <c r="H17343" s="4">
        <v>44.308010000000003</v>
      </c>
      <c r="I17343" s="201"/>
      <c r="J17343" s="201"/>
    </row>
    <row r="17344" spans="1:10" s="15" customFormat="1" ht="19.5" hidden="1" customHeight="1" outlineLevel="1" x14ac:dyDescent="0.25">
      <c r="A17344" s="45">
        <v>1809</v>
      </c>
      <c r="B17344" s="4" t="s">
        <v>44</v>
      </c>
      <c r="C17344" s="22" t="s">
        <v>2017</v>
      </c>
      <c r="D17344" s="18">
        <v>2021</v>
      </c>
      <c r="E17344" s="18"/>
      <c r="F17344" s="4">
        <v>1</v>
      </c>
      <c r="G17344" s="4">
        <v>15</v>
      </c>
      <c r="H17344" s="4">
        <v>35.217179999999999</v>
      </c>
      <c r="I17344" s="201"/>
      <c r="J17344" s="201"/>
    </row>
    <row r="17345" spans="1:10" s="15" customFormat="1" ht="19.5" hidden="1" customHeight="1" outlineLevel="1" x14ac:dyDescent="0.25">
      <c r="A17345" s="45">
        <v>1820</v>
      </c>
      <c r="B17345" s="4" t="s">
        <v>44</v>
      </c>
      <c r="C17345" s="22" t="s">
        <v>2018</v>
      </c>
      <c r="D17345" s="18">
        <v>2021</v>
      </c>
      <c r="E17345" s="18"/>
      <c r="F17345" s="4">
        <v>1</v>
      </c>
      <c r="G17345" s="4">
        <v>15</v>
      </c>
      <c r="H17345" s="4">
        <v>39.086100000000002</v>
      </c>
      <c r="I17345" s="201"/>
      <c r="J17345" s="201"/>
    </row>
    <row r="17346" spans="1:10" s="15" customFormat="1" ht="19.5" hidden="1" customHeight="1" outlineLevel="1" x14ac:dyDescent="0.25">
      <c r="A17346" s="45">
        <v>1833</v>
      </c>
      <c r="B17346" s="4" t="s">
        <v>44</v>
      </c>
      <c r="C17346" s="22" t="s">
        <v>2019</v>
      </c>
      <c r="D17346" s="18">
        <v>2021</v>
      </c>
      <c r="E17346" s="18"/>
      <c r="F17346" s="4">
        <v>1</v>
      </c>
      <c r="G17346" s="4">
        <v>15</v>
      </c>
      <c r="H17346" s="4">
        <v>42.036250000000003</v>
      </c>
      <c r="I17346" s="201"/>
      <c r="J17346" s="201"/>
    </row>
    <row r="17347" spans="1:10" s="15" customFormat="1" ht="19.5" hidden="1" customHeight="1" outlineLevel="1" x14ac:dyDescent="0.25">
      <c r="A17347" s="45">
        <v>1837</v>
      </c>
      <c r="B17347" s="4" t="s">
        <v>44</v>
      </c>
      <c r="C17347" s="22" t="s">
        <v>2020</v>
      </c>
      <c r="D17347" s="18">
        <v>2021</v>
      </c>
      <c r="E17347" s="18"/>
      <c r="F17347" s="4">
        <v>1</v>
      </c>
      <c r="G17347" s="4">
        <v>15</v>
      </c>
      <c r="H17347" s="4">
        <v>36.693980000000003</v>
      </c>
      <c r="I17347" s="201"/>
      <c r="J17347" s="201"/>
    </row>
    <row r="17348" spans="1:10" s="15" customFormat="1" ht="19.5" hidden="1" customHeight="1" outlineLevel="1" x14ac:dyDescent="0.25">
      <c r="A17348" s="45">
        <v>1866</v>
      </c>
      <c r="B17348" s="4" t="s">
        <v>44</v>
      </c>
      <c r="C17348" s="22" t="s">
        <v>2021</v>
      </c>
      <c r="D17348" s="18">
        <v>2021</v>
      </c>
      <c r="E17348" s="18"/>
      <c r="F17348" s="4">
        <v>1</v>
      </c>
      <c r="G17348" s="4">
        <v>15</v>
      </c>
      <c r="H17348" s="4">
        <v>39.158639999999998</v>
      </c>
      <c r="I17348" s="201"/>
      <c r="J17348" s="201"/>
    </row>
    <row r="17349" spans="1:10" s="15" customFormat="1" ht="19.5" hidden="1" customHeight="1" outlineLevel="1" x14ac:dyDescent="0.25">
      <c r="A17349" s="46">
        <v>10005</v>
      </c>
      <c r="B17349" s="4" t="s">
        <v>44</v>
      </c>
      <c r="C17349" s="22" t="s">
        <v>2022</v>
      </c>
      <c r="D17349" s="18">
        <v>2021</v>
      </c>
      <c r="E17349" s="18"/>
      <c r="F17349" s="4">
        <v>1</v>
      </c>
      <c r="G17349" s="4">
        <v>10</v>
      </c>
      <c r="H17349" s="4">
        <v>29.915099999999999</v>
      </c>
      <c r="I17349" s="201"/>
      <c r="J17349" s="201"/>
    </row>
    <row r="17350" spans="1:10" s="15" customFormat="1" ht="19.5" hidden="1" customHeight="1" outlineLevel="1" x14ac:dyDescent="0.25">
      <c r="A17350" s="45">
        <v>1870</v>
      </c>
      <c r="B17350" s="4" t="s">
        <v>44</v>
      </c>
      <c r="C17350" s="22" t="s">
        <v>2023</v>
      </c>
      <c r="D17350" s="18">
        <v>2021</v>
      </c>
      <c r="E17350" s="18"/>
      <c r="F17350" s="4">
        <v>1</v>
      </c>
      <c r="G17350" s="4">
        <v>15</v>
      </c>
      <c r="H17350" s="4">
        <v>43.387810000000002</v>
      </c>
      <c r="I17350" s="201"/>
      <c r="J17350" s="201"/>
    </row>
    <row r="17351" spans="1:10" s="15" customFormat="1" ht="19.5" hidden="1" customHeight="1" outlineLevel="1" x14ac:dyDescent="0.25">
      <c r="A17351" s="45">
        <v>1874</v>
      </c>
      <c r="B17351" s="4" t="s">
        <v>44</v>
      </c>
      <c r="C17351" s="22" t="s">
        <v>2024</v>
      </c>
      <c r="D17351" s="18">
        <v>2021</v>
      </c>
      <c r="E17351" s="18"/>
      <c r="F17351" s="4">
        <v>1</v>
      </c>
      <c r="G17351" s="4">
        <v>15</v>
      </c>
      <c r="H17351" s="4">
        <v>37.959159999999997</v>
      </c>
      <c r="I17351" s="201"/>
      <c r="J17351" s="201"/>
    </row>
    <row r="17352" spans="1:10" s="15" customFormat="1" ht="19.5" hidden="1" customHeight="1" outlineLevel="1" x14ac:dyDescent="0.25">
      <c r="A17352" s="45">
        <v>1885</v>
      </c>
      <c r="B17352" s="4" t="s">
        <v>44</v>
      </c>
      <c r="C17352" s="22" t="s">
        <v>2025</v>
      </c>
      <c r="D17352" s="18">
        <v>2021</v>
      </c>
      <c r="E17352" s="18"/>
      <c r="F17352" s="4">
        <v>1</v>
      </c>
      <c r="G17352" s="4">
        <v>15</v>
      </c>
      <c r="H17352" s="4">
        <v>47.65061</v>
      </c>
      <c r="I17352" s="201"/>
      <c r="J17352" s="201"/>
    </row>
    <row r="17353" spans="1:10" s="15" customFormat="1" ht="19.5" hidden="1" customHeight="1" outlineLevel="1" x14ac:dyDescent="0.25">
      <c r="A17353" s="45">
        <v>1932</v>
      </c>
      <c r="B17353" s="4" t="s">
        <v>44</v>
      </c>
      <c r="C17353" s="22" t="s">
        <v>2026</v>
      </c>
      <c r="D17353" s="18">
        <v>2021</v>
      </c>
      <c r="E17353" s="18"/>
      <c r="F17353" s="4">
        <v>1</v>
      </c>
      <c r="G17353" s="4">
        <v>15</v>
      </c>
      <c r="H17353" s="4">
        <v>37.448909999999998</v>
      </c>
      <c r="I17353" s="201"/>
      <c r="J17353" s="201"/>
    </row>
    <row r="17354" spans="1:10" s="15" customFormat="1" ht="19.5" hidden="1" customHeight="1" outlineLevel="1" x14ac:dyDescent="0.25">
      <c r="A17354" s="46">
        <v>10319</v>
      </c>
      <c r="B17354" s="4" t="s">
        <v>44</v>
      </c>
      <c r="C17354" s="22" t="s">
        <v>2027</v>
      </c>
      <c r="D17354" s="18">
        <v>2021</v>
      </c>
      <c r="E17354" s="18"/>
      <c r="F17354" s="4">
        <v>1</v>
      </c>
      <c r="G17354" s="4">
        <v>15</v>
      </c>
      <c r="H17354" s="4">
        <v>42.189540000000001</v>
      </c>
      <c r="I17354" s="201"/>
      <c r="J17354" s="201"/>
    </row>
    <row r="17355" spans="1:10" s="15" customFormat="1" ht="19.5" hidden="1" customHeight="1" outlineLevel="1" x14ac:dyDescent="0.25">
      <c r="A17355" s="46">
        <v>9873</v>
      </c>
      <c r="B17355" s="4" t="s">
        <v>44</v>
      </c>
      <c r="C17355" s="22" t="s">
        <v>684</v>
      </c>
      <c r="D17355" s="18">
        <v>2021</v>
      </c>
      <c r="E17355" s="18"/>
      <c r="F17355" s="4">
        <v>1</v>
      </c>
      <c r="G17355" s="4">
        <v>10</v>
      </c>
      <c r="H17355" s="4">
        <v>31.405729999999998</v>
      </c>
      <c r="I17355" s="201"/>
      <c r="J17355" s="201"/>
    </row>
    <row r="17356" spans="1:10" s="15" customFormat="1" ht="19.5" hidden="1" customHeight="1" outlineLevel="1" x14ac:dyDescent="0.25">
      <c r="A17356" s="46">
        <v>9812</v>
      </c>
      <c r="B17356" s="4" t="s">
        <v>44</v>
      </c>
      <c r="C17356" s="22" t="s">
        <v>878</v>
      </c>
      <c r="D17356" s="18">
        <v>2021</v>
      </c>
      <c r="E17356" s="18"/>
      <c r="F17356" s="4">
        <v>1</v>
      </c>
      <c r="G17356" s="4">
        <v>15</v>
      </c>
      <c r="H17356" s="4">
        <v>141.60095000000001</v>
      </c>
      <c r="I17356" s="201"/>
      <c r="J17356" s="201"/>
    </row>
    <row r="17357" spans="1:10" s="15" customFormat="1" ht="19.5" hidden="1" customHeight="1" outlineLevel="1" x14ac:dyDescent="0.25">
      <c r="A17357" s="46">
        <v>9616</v>
      </c>
      <c r="B17357" s="4" t="s">
        <v>44</v>
      </c>
      <c r="C17357" s="22" t="s">
        <v>785</v>
      </c>
      <c r="D17357" s="18">
        <v>2021</v>
      </c>
      <c r="E17357" s="18"/>
      <c r="F17357" s="4">
        <v>1</v>
      </c>
      <c r="G17357" s="4">
        <v>150</v>
      </c>
      <c r="H17357" s="4">
        <v>20.370419999999999</v>
      </c>
      <c r="I17357" s="201"/>
      <c r="J17357" s="201"/>
    </row>
    <row r="17358" spans="1:10" s="15" customFormat="1" ht="19.5" hidden="1" customHeight="1" outlineLevel="1" x14ac:dyDescent="0.25">
      <c r="A17358" s="45">
        <v>1775</v>
      </c>
      <c r="B17358" s="4" t="s">
        <v>44</v>
      </c>
      <c r="C17358" s="22" t="s">
        <v>2028</v>
      </c>
      <c r="D17358" s="18">
        <v>2021</v>
      </c>
      <c r="E17358" s="18"/>
      <c r="F17358" s="4">
        <v>1</v>
      </c>
      <c r="G17358" s="4">
        <v>15</v>
      </c>
      <c r="H17358" s="4">
        <v>43.968699999999998</v>
      </c>
      <c r="I17358" s="201"/>
      <c r="J17358" s="201"/>
    </row>
    <row r="17359" spans="1:10" s="15" customFormat="1" ht="19.5" hidden="1" customHeight="1" outlineLevel="1" x14ac:dyDescent="0.25">
      <c r="A17359" s="46">
        <v>9446</v>
      </c>
      <c r="B17359" s="4" t="s">
        <v>44</v>
      </c>
      <c r="C17359" s="22" t="s">
        <v>786</v>
      </c>
      <c r="D17359" s="18">
        <v>2021</v>
      </c>
      <c r="E17359" s="18"/>
      <c r="F17359" s="4">
        <v>1</v>
      </c>
      <c r="G17359" s="4">
        <v>150</v>
      </c>
      <c r="H17359" s="4">
        <v>22.662559999999999</v>
      </c>
      <c r="I17359" s="201"/>
      <c r="J17359" s="201"/>
    </row>
    <row r="17360" spans="1:10" s="15" customFormat="1" ht="19.5" hidden="1" customHeight="1" outlineLevel="1" x14ac:dyDescent="0.25">
      <c r="A17360" s="46">
        <v>10312</v>
      </c>
      <c r="B17360" s="4" t="s">
        <v>44</v>
      </c>
      <c r="C17360" s="22" t="s">
        <v>2029</v>
      </c>
      <c r="D17360" s="18">
        <v>2021</v>
      </c>
      <c r="E17360" s="18"/>
      <c r="F17360" s="4">
        <v>3</v>
      </c>
      <c r="G17360" s="4">
        <v>5</v>
      </c>
      <c r="H17360" s="4">
        <v>95.581050000000005</v>
      </c>
      <c r="I17360" s="201"/>
      <c r="J17360" s="201"/>
    </row>
    <row r="17361" spans="1:10" s="15" customFormat="1" ht="19.5" hidden="1" customHeight="1" outlineLevel="1" x14ac:dyDescent="0.25">
      <c r="A17361" s="45">
        <v>2305</v>
      </c>
      <c r="B17361" s="4" t="s">
        <v>44</v>
      </c>
      <c r="C17361" s="22" t="s">
        <v>2030</v>
      </c>
      <c r="D17361" s="18">
        <v>2021</v>
      </c>
      <c r="E17361" s="18"/>
      <c r="F17361" s="4">
        <v>3</v>
      </c>
      <c r="G17361" s="4">
        <v>15</v>
      </c>
      <c r="H17361" s="4">
        <v>95.540430000000001</v>
      </c>
      <c r="I17361" s="201"/>
      <c r="J17361" s="201"/>
    </row>
    <row r="17362" spans="1:10" s="15" customFormat="1" ht="19.5" hidden="1" customHeight="1" outlineLevel="1" x14ac:dyDescent="0.25">
      <c r="A17362" s="45">
        <v>2311</v>
      </c>
      <c r="B17362" s="4" t="s">
        <v>44</v>
      </c>
      <c r="C17362" s="22" t="s">
        <v>2031</v>
      </c>
      <c r="D17362" s="18">
        <v>2021</v>
      </c>
      <c r="E17362" s="18"/>
      <c r="F17362" s="4">
        <v>2</v>
      </c>
      <c r="G17362" s="4">
        <v>15</v>
      </c>
      <c r="H17362" s="4">
        <v>63.374809999999997</v>
      </c>
      <c r="I17362" s="201"/>
      <c r="J17362" s="201"/>
    </row>
    <row r="17363" spans="1:10" s="15" customFormat="1" ht="19.5" hidden="1" customHeight="1" outlineLevel="1" x14ac:dyDescent="0.25">
      <c r="A17363" s="46">
        <v>10014</v>
      </c>
      <c r="B17363" s="4" t="s">
        <v>44</v>
      </c>
      <c r="C17363" s="22" t="s">
        <v>2032</v>
      </c>
      <c r="D17363" s="18">
        <v>2021</v>
      </c>
      <c r="E17363" s="18"/>
      <c r="F17363" s="4">
        <v>1</v>
      </c>
      <c r="G17363" s="4">
        <v>5.5</v>
      </c>
      <c r="H17363" s="4">
        <v>34.326709999999999</v>
      </c>
      <c r="I17363" s="201"/>
      <c r="J17363" s="201"/>
    </row>
    <row r="17364" spans="1:10" s="15" customFormat="1" ht="19.5" hidden="1" customHeight="1" outlineLevel="1" x14ac:dyDescent="0.25">
      <c r="A17364" s="45">
        <v>1832</v>
      </c>
      <c r="B17364" s="4" t="s">
        <v>44</v>
      </c>
      <c r="C17364" s="22" t="s">
        <v>2033</v>
      </c>
      <c r="D17364" s="18">
        <v>2021</v>
      </c>
      <c r="E17364" s="18"/>
      <c r="F17364" s="4">
        <v>1</v>
      </c>
      <c r="G17364" s="4">
        <v>15</v>
      </c>
      <c r="H17364" s="4">
        <v>36.588949999999997</v>
      </c>
      <c r="I17364" s="201"/>
      <c r="J17364" s="201"/>
    </row>
    <row r="17365" spans="1:10" s="15" customFormat="1" ht="19.5" hidden="1" customHeight="1" outlineLevel="1" x14ac:dyDescent="0.25">
      <c r="A17365" s="45">
        <v>1813</v>
      </c>
      <c r="B17365" s="4" t="s">
        <v>44</v>
      </c>
      <c r="C17365" s="22" t="s">
        <v>2034</v>
      </c>
      <c r="D17365" s="18">
        <v>2021</v>
      </c>
      <c r="E17365" s="18"/>
      <c r="F17365" s="4">
        <v>1</v>
      </c>
      <c r="G17365" s="4">
        <v>15</v>
      </c>
      <c r="H17365" s="4">
        <v>42.258719999999997</v>
      </c>
      <c r="I17365" s="201"/>
      <c r="J17365" s="201"/>
    </row>
    <row r="17366" spans="1:10" s="15" customFormat="1" ht="19.5" hidden="1" customHeight="1" outlineLevel="1" x14ac:dyDescent="0.25">
      <c r="A17366" s="46">
        <v>9986</v>
      </c>
      <c r="B17366" s="4" t="s">
        <v>44</v>
      </c>
      <c r="C17366" s="22" t="s">
        <v>2035</v>
      </c>
      <c r="D17366" s="18">
        <v>2021</v>
      </c>
      <c r="E17366" s="18"/>
      <c r="F17366" s="4">
        <v>1</v>
      </c>
      <c r="G17366" s="4">
        <v>15</v>
      </c>
      <c r="H17366" s="4">
        <v>41.429299999999998</v>
      </c>
      <c r="I17366" s="201"/>
      <c r="J17366" s="201"/>
    </row>
    <row r="17367" spans="1:10" s="15" customFormat="1" ht="19.5" hidden="1" customHeight="1" outlineLevel="1" x14ac:dyDescent="0.25">
      <c r="A17367" s="46">
        <v>9990</v>
      </c>
      <c r="B17367" s="4" t="s">
        <v>44</v>
      </c>
      <c r="C17367" s="22" t="s">
        <v>2036</v>
      </c>
      <c r="D17367" s="18">
        <v>2021</v>
      </c>
      <c r="E17367" s="18"/>
      <c r="F17367" s="4">
        <v>1</v>
      </c>
      <c r="G17367" s="4">
        <v>15</v>
      </c>
      <c r="H17367" s="4">
        <v>31.762111999999998</v>
      </c>
      <c r="I17367" s="201"/>
      <c r="J17367" s="201"/>
    </row>
    <row r="17368" spans="1:10" s="15" customFormat="1" ht="19.5" hidden="1" customHeight="1" outlineLevel="1" x14ac:dyDescent="0.25">
      <c r="A17368" s="45">
        <v>1799</v>
      </c>
      <c r="B17368" s="4" t="s">
        <v>44</v>
      </c>
      <c r="C17368" s="22" t="s">
        <v>2037</v>
      </c>
      <c r="D17368" s="18">
        <v>2021</v>
      </c>
      <c r="E17368" s="18"/>
      <c r="F17368" s="4">
        <v>1</v>
      </c>
      <c r="G17368" s="4">
        <v>8</v>
      </c>
      <c r="H17368" s="4">
        <v>43.07255</v>
      </c>
      <c r="I17368" s="201"/>
      <c r="J17368" s="201"/>
    </row>
    <row r="17369" spans="1:10" s="15" customFormat="1" ht="19.5" hidden="1" customHeight="1" outlineLevel="1" x14ac:dyDescent="0.25">
      <c r="A17369" s="46">
        <v>9985</v>
      </c>
      <c r="B17369" s="4" t="s">
        <v>44</v>
      </c>
      <c r="C17369" s="22" t="s">
        <v>2038</v>
      </c>
      <c r="D17369" s="18">
        <v>2021</v>
      </c>
      <c r="E17369" s="18"/>
      <c r="F17369" s="4">
        <v>1</v>
      </c>
      <c r="G17369" s="4">
        <v>15</v>
      </c>
      <c r="H17369" s="4">
        <v>39.850029999999997</v>
      </c>
      <c r="I17369" s="201"/>
      <c r="J17369" s="201"/>
    </row>
    <row r="17370" spans="1:10" s="15" customFormat="1" ht="19.5" hidden="1" customHeight="1" outlineLevel="1" x14ac:dyDescent="0.25">
      <c r="A17370" s="45">
        <v>1914</v>
      </c>
      <c r="B17370" s="4" t="s">
        <v>44</v>
      </c>
      <c r="C17370" s="22" t="s">
        <v>2039</v>
      </c>
      <c r="D17370" s="18">
        <v>2021</v>
      </c>
      <c r="E17370" s="18"/>
      <c r="F17370" s="4">
        <v>1</v>
      </c>
      <c r="G17370" s="4">
        <v>15</v>
      </c>
      <c r="H17370" s="4">
        <v>35.200229999999998</v>
      </c>
      <c r="I17370" s="201"/>
      <c r="J17370" s="201"/>
    </row>
    <row r="17371" spans="1:10" s="15" customFormat="1" ht="19.5" hidden="1" customHeight="1" outlineLevel="1" x14ac:dyDescent="0.25">
      <c r="A17371" s="46">
        <v>10021</v>
      </c>
      <c r="B17371" s="4" t="s">
        <v>44</v>
      </c>
      <c r="C17371" s="22" t="s">
        <v>2040</v>
      </c>
      <c r="D17371" s="18">
        <v>2021</v>
      </c>
      <c r="E17371" s="18"/>
      <c r="F17371" s="4">
        <v>1</v>
      </c>
      <c r="G17371" s="4">
        <v>15</v>
      </c>
      <c r="H17371" s="4">
        <v>35.490940000000002</v>
      </c>
      <c r="I17371" s="201"/>
      <c r="J17371" s="201"/>
    </row>
    <row r="17372" spans="1:10" s="15" customFormat="1" ht="19.5" hidden="1" customHeight="1" outlineLevel="1" x14ac:dyDescent="0.25">
      <c r="A17372" s="46">
        <v>9491</v>
      </c>
      <c r="B17372" s="4" t="s">
        <v>44</v>
      </c>
      <c r="C17372" s="22" t="s">
        <v>687</v>
      </c>
      <c r="D17372" s="18">
        <v>2021</v>
      </c>
      <c r="E17372" s="18"/>
      <c r="F17372" s="4">
        <v>1</v>
      </c>
      <c r="G17372" s="4">
        <v>10</v>
      </c>
      <c r="H17372" s="4">
        <v>82.671589999999995</v>
      </c>
      <c r="I17372" s="201"/>
      <c r="J17372" s="201"/>
    </row>
    <row r="17373" spans="1:10" s="15" customFormat="1" ht="19.5" hidden="1" customHeight="1" outlineLevel="1" x14ac:dyDescent="0.25">
      <c r="A17373" s="45">
        <v>722</v>
      </c>
      <c r="B17373" s="4" t="s">
        <v>44</v>
      </c>
      <c r="C17373" s="22" t="s">
        <v>688</v>
      </c>
      <c r="D17373" s="18">
        <v>2021</v>
      </c>
      <c r="E17373" s="18"/>
      <c r="F17373" s="4">
        <v>1</v>
      </c>
      <c r="G17373" s="4">
        <v>15</v>
      </c>
      <c r="H17373" s="4">
        <v>35.550350000000002</v>
      </c>
      <c r="I17373" s="201"/>
      <c r="J17373" s="201"/>
    </row>
    <row r="17374" spans="1:10" s="15" customFormat="1" ht="19.5" hidden="1" customHeight="1" outlineLevel="1" x14ac:dyDescent="0.25">
      <c r="A17374" s="46">
        <v>9269</v>
      </c>
      <c r="B17374" s="4" t="s">
        <v>44</v>
      </c>
      <c r="C17374" s="22" t="s">
        <v>689</v>
      </c>
      <c r="D17374" s="18">
        <v>2021</v>
      </c>
      <c r="E17374" s="18"/>
      <c r="F17374" s="4">
        <v>1</v>
      </c>
      <c r="G17374" s="4">
        <v>15</v>
      </c>
      <c r="H17374" s="4">
        <v>34.822130000000001</v>
      </c>
      <c r="I17374" s="201"/>
      <c r="J17374" s="201"/>
    </row>
    <row r="17375" spans="1:10" s="15" customFormat="1" ht="19.5" hidden="1" customHeight="1" outlineLevel="1" x14ac:dyDescent="0.25">
      <c r="A17375" s="46">
        <v>9768</v>
      </c>
      <c r="B17375" s="4" t="s">
        <v>44</v>
      </c>
      <c r="C17375" s="22" t="s">
        <v>879</v>
      </c>
      <c r="D17375" s="18">
        <v>2021</v>
      </c>
      <c r="E17375" s="18"/>
      <c r="F17375" s="4">
        <v>1</v>
      </c>
      <c r="G17375" s="4">
        <v>98</v>
      </c>
      <c r="H17375" s="4">
        <v>35.262630000000001</v>
      </c>
      <c r="I17375" s="201"/>
      <c r="J17375" s="201"/>
    </row>
    <row r="17376" spans="1:10" s="15" customFormat="1" ht="19.5" hidden="1" customHeight="1" outlineLevel="1" x14ac:dyDescent="0.25">
      <c r="A17376" s="45">
        <v>1592</v>
      </c>
      <c r="B17376" s="4" t="s">
        <v>44</v>
      </c>
      <c r="C17376" s="22" t="s">
        <v>2041</v>
      </c>
      <c r="D17376" s="18">
        <v>2021</v>
      </c>
      <c r="E17376" s="18"/>
      <c r="F17376" s="4">
        <v>1</v>
      </c>
      <c r="G17376" s="4">
        <v>15</v>
      </c>
      <c r="H17376" s="4">
        <v>42.335329999999999</v>
      </c>
      <c r="I17376" s="201"/>
      <c r="J17376" s="201"/>
    </row>
    <row r="17377" spans="1:10" s="15" customFormat="1" ht="19.5" hidden="1" customHeight="1" outlineLevel="1" x14ac:dyDescent="0.25">
      <c r="A17377" s="45">
        <v>2256</v>
      </c>
      <c r="B17377" s="4" t="s">
        <v>44</v>
      </c>
      <c r="C17377" s="22" t="s">
        <v>2042</v>
      </c>
      <c r="D17377" s="18">
        <v>2021</v>
      </c>
      <c r="E17377" s="18"/>
      <c r="F17377" s="4">
        <v>3</v>
      </c>
      <c r="G17377" s="4">
        <v>15</v>
      </c>
      <c r="H17377" s="4">
        <v>129.29483999999999</v>
      </c>
      <c r="I17377" s="201"/>
      <c r="J17377" s="201"/>
    </row>
    <row r="17378" spans="1:10" s="15" customFormat="1" ht="19.5" hidden="1" customHeight="1" outlineLevel="1" x14ac:dyDescent="0.25">
      <c r="A17378" s="45">
        <v>1879</v>
      </c>
      <c r="B17378" s="4" t="s">
        <v>44</v>
      </c>
      <c r="C17378" s="22" t="s">
        <v>2043</v>
      </c>
      <c r="D17378" s="18">
        <v>2021</v>
      </c>
      <c r="E17378" s="18"/>
      <c r="F17378" s="4">
        <v>1</v>
      </c>
      <c r="G17378" s="4">
        <v>15</v>
      </c>
      <c r="H17378" s="4">
        <v>44.3949</v>
      </c>
      <c r="I17378" s="201"/>
      <c r="J17378" s="201"/>
    </row>
    <row r="17379" spans="1:10" s="15" customFormat="1" ht="19.5" hidden="1" customHeight="1" outlineLevel="1" x14ac:dyDescent="0.25">
      <c r="A17379" s="46">
        <v>9755</v>
      </c>
      <c r="B17379" s="4" t="s">
        <v>44</v>
      </c>
      <c r="C17379" s="22" t="s">
        <v>692</v>
      </c>
      <c r="D17379" s="18">
        <v>2021</v>
      </c>
      <c r="E17379" s="18"/>
      <c r="F17379" s="4">
        <v>1</v>
      </c>
      <c r="G17379" s="4">
        <v>15</v>
      </c>
      <c r="H17379" s="4">
        <v>31.244689999999999</v>
      </c>
      <c r="I17379" s="201"/>
      <c r="J17379" s="201"/>
    </row>
    <row r="17380" spans="1:10" s="15" customFormat="1" ht="19.5" hidden="1" customHeight="1" outlineLevel="1" x14ac:dyDescent="0.25">
      <c r="A17380" s="45">
        <v>1922</v>
      </c>
      <c r="B17380" s="4" t="s">
        <v>44</v>
      </c>
      <c r="C17380" s="22" t="s">
        <v>2044</v>
      </c>
      <c r="D17380" s="18">
        <v>2021</v>
      </c>
      <c r="E17380" s="18"/>
      <c r="F17380" s="4">
        <v>1</v>
      </c>
      <c r="G17380" s="4">
        <v>15</v>
      </c>
      <c r="H17380" s="4">
        <v>41.561950000000003</v>
      </c>
      <c r="I17380" s="201"/>
      <c r="J17380" s="201"/>
    </row>
    <row r="17381" spans="1:10" s="15" customFormat="1" ht="19.5" hidden="1" customHeight="1" outlineLevel="1" x14ac:dyDescent="0.25">
      <c r="A17381" s="45">
        <v>1884</v>
      </c>
      <c r="B17381" s="4" t="s">
        <v>44</v>
      </c>
      <c r="C17381" s="22" t="s">
        <v>2045</v>
      </c>
      <c r="D17381" s="18">
        <v>2021</v>
      </c>
      <c r="E17381" s="18"/>
      <c r="F17381" s="4">
        <v>1</v>
      </c>
      <c r="G17381" s="4">
        <v>15</v>
      </c>
      <c r="H17381" s="4">
        <v>57.458660000000002</v>
      </c>
      <c r="I17381" s="201"/>
      <c r="J17381" s="201"/>
    </row>
    <row r="17382" spans="1:10" s="15" customFormat="1" ht="19.5" hidden="1" customHeight="1" outlineLevel="1" x14ac:dyDescent="0.25">
      <c r="A17382" s="45">
        <v>1903</v>
      </c>
      <c r="B17382" s="4" t="s">
        <v>44</v>
      </c>
      <c r="C17382" s="22" t="s">
        <v>2046</v>
      </c>
      <c r="D17382" s="18">
        <v>2021</v>
      </c>
      <c r="E17382" s="18"/>
      <c r="F17382" s="4">
        <v>1</v>
      </c>
      <c r="G17382" s="4">
        <v>15</v>
      </c>
      <c r="H17382" s="4">
        <v>39.756430000000002</v>
      </c>
      <c r="I17382" s="201"/>
      <c r="J17382" s="201"/>
    </row>
    <row r="17383" spans="1:10" s="15" customFormat="1" ht="19.5" hidden="1" customHeight="1" outlineLevel="1" x14ac:dyDescent="0.25">
      <c r="A17383" s="45">
        <v>1917</v>
      </c>
      <c r="B17383" s="4" t="s">
        <v>44</v>
      </c>
      <c r="C17383" s="22" t="s">
        <v>2047</v>
      </c>
      <c r="D17383" s="18">
        <v>2021</v>
      </c>
      <c r="E17383" s="18"/>
      <c r="F17383" s="4">
        <v>1</v>
      </c>
      <c r="G17383" s="4">
        <v>15</v>
      </c>
      <c r="H17383" s="4">
        <v>40.103499999999997</v>
      </c>
      <c r="I17383" s="201"/>
      <c r="J17383" s="201"/>
    </row>
    <row r="17384" spans="1:10" s="15" customFormat="1" ht="19.5" hidden="1" customHeight="1" outlineLevel="1" x14ac:dyDescent="0.25">
      <c r="A17384" s="45">
        <v>1803</v>
      </c>
      <c r="B17384" s="4" t="s">
        <v>44</v>
      </c>
      <c r="C17384" s="22" t="s">
        <v>2048</v>
      </c>
      <c r="D17384" s="18">
        <v>2021</v>
      </c>
      <c r="E17384" s="18"/>
      <c r="F17384" s="4">
        <v>1</v>
      </c>
      <c r="G17384" s="4">
        <v>15</v>
      </c>
      <c r="H17384" s="4">
        <v>50.799250000000001</v>
      </c>
      <c r="I17384" s="201"/>
      <c r="J17384" s="201"/>
    </row>
    <row r="17385" spans="1:10" s="15" customFormat="1" ht="19.5" hidden="1" customHeight="1" outlineLevel="1" x14ac:dyDescent="0.25">
      <c r="A17385" s="45">
        <v>1822</v>
      </c>
      <c r="B17385" s="4" t="s">
        <v>44</v>
      </c>
      <c r="C17385" s="22" t="s">
        <v>2049</v>
      </c>
      <c r="D17385" s="18">
        <v>2021</v>
      </c>
      <c r="E17385" s="18"/>
      <c r="F17385" s="4">
        <v>1</v>
      </c>
      <c r="G17385" s="4">
        <v>15</v>
      </c>
      <c r="H17385" s="4">
        <v>46.711030000000001</v>
      </c>
      <c r="I17385" s="201"/>
      <c r="J17385" s="201"/>
    </row>
    <row r="17386" spans="1:10" s="15" customFormat="1" ht="19.5" hidden="1" customHeight="1" outlineLevel="1" x14ac:dyDescent="0.25">
      <c r="A17386" s="45">
        <v>1831</v>
      </c>
      <c r="B17386" s="4" t="s">
        <v>44</v>
      </c>
      <c r="C17386" s="22" t="s">
        <v>2050</v>
      </c>
      <c r="D17386" s="18">
        <v>2021</v>
      </c>
      <c r="E17386" s="18"/>
      <c r="F17386" s="4">
        <v>1</v>
      </c>
      <c r="G17386" s="4">
        <v>15</v>
      </c>
      <c r="H17386" s="4">
        <v>44.521419999999999</v>
      </c>
      <c r="I17386" s="201"/>
      <c r="J17386" s="201"/>
    </row>
    <row r="17387" spans="1:10" s="15" customFormat="1" ht="19.5" hidden="1" customHeight="1" outlineLevel="1" x14ac:dyDescent="0.25">
      <c r="A17387" s="18">
        <v>10907</v>
      </c>
      <c r="B17387" s="4" t="s">
        <v>44</v>
      </c>
      <c r="C17387" s="22" t="s">
        <v>2051</v>
      </c>
      <c r="D17387" s="18">
        <v>2021</v>
      </c>
      <c r="E17387" s="18"/>
      <c r="F17387" s="4">
        <v>1</v>
      </c>
      <c r="G17387" s="4">
        <v>15</v>
      </c>
      <c r="H17387" s="4">
        <v>39.395560000000003</v>
      </c>
      <c r="I17387" s="201"/>
      <c r="J17387" s="201"/>
    </row>
    <row r="17388" spans="1:10" s="15" customFormat="1" ht="19.5" hidden="1" customHeight="1" outlineLevel="1" x14ac:dyDescent="0.25">
      <c r="A17388" s="45">
        <v>1848</v>
      </c>
      <c r="B17388" s="4" t="s">
        <v>44</v>
      </c>
      <c r="C17388" s="22" t="s">
        <v>2052</v>
      </c>
      <c r="D17388" s="18">
        <v>2021</v>
      </c>
      <c r="E17388" s="18"/>
      <c r="F17388" s="4">
        <v>1</v>
      </c>
      <c r="G17388" s="4">
        <v>15</v>
      </c>
      <c r="H17388" s="4">
        <v>42.899500000000003</v>
      </c>
      <c r="I17388" s="201"/>
      <c r="J17388" s="201"/>
    </row>
    <row r="17389" spans="1:10" s="15" customFormat="1" ht="19.5" hidden="1" customHeight="1" outlineLevel="1" x14ac:dyDescent="0.25">
      <c r="A17389" s="45">
        <v>1882</v>
      </c>
      <c r="B17389" s="4" t="s">
        <v>44</v>
      </c>
      <c r="C17389" s="22" t="s">
        <v>2053</v>
      </c>
      <c r="D17389" s="18">
        <v>2021</v>
      </c>
      <c r="E17389" s="18"/>
      <c r="F17389" s="4">
        <v>1</v>
      </c>
      <c r="G17389" s="4">
        <v>10</v>
      </c>
      <c r="H17389" s="4">
        <v>36.528750000000002</v>
      </c>
      <c r="I17389" s="201"/>
      <c r="J17389" s="201"/>
    </row>
    <row r="17390" spans="1:10" s="15" customFormat="1" ht="19.5" hidden="1" customHeight="1" outlineLevel="1" x14ac:dyDescent="0.25">
      <c r="A17390" s="45">
        <v>1883</v>
      </c>
      <c r="B17390" s="4" t="s">
        <v>44</v>
      </c>
      <c r="C17390" s="22" t="s">
        <v>2054</v>
      </c>
      <c r="D17390" s="18">
        <v>2021</v>
      </c>
      <c r="E17390" s="18"/>
      <c r="F17390" s="4">
        <v>1</v>
      </c>
      <c r="G17390" s="4">
        <v>15</v>
      </c>
      <c r="H17390" s="4">
        <v>48.844099999999997</v>
      </c>
      <c r="I17390" s="201"/>
      <c r="J17390" s="201"/>
    </row>
    <row r="17391" spans="1:10" s="15" customFormat="1" ht="19.5" hidden="1" customHeight="1" outlineLevel="1" x14ac:dyDescent="0.25">
      <c r="A17391" s="45">
        <v>1886</v>
      </c>
      <c r="B17391" s="4" t="s">
        <v>44</v>
      </c>
      <c r="C17391" s="22" t="s">
        <v>2055</v>
      </c>
      <c r="D17391" s="18">
        <v>2021</v>
      </c>
      <c r="E17391" s="18"/>
      <c r="F17391" s="4">
        <v>1</v>
      </c>
      <c r="G17391" s="4">
        <v>15</v>
      </c>
      <c r="H17391" s="4">
        <v>46.043489999999998</v>
      </c>
      <c r="I17391" s="201"/>
      <c r="J17391" s="201"/>
    </row>
    <row r="17392" spans="1:10" s="15" customFormat="1" ht="19.5" hidden="1" customHeight="1" outlineLevel="1" x14ac:dyDescent="0.25">
      <c r="A17392" s="46">
        <v>9756</v>
      </c>
      <c r="B17392" s="4" t="s">
        <v>44</v>
      </c>
      <c r="C17392" s="22" t="s">
        <v>693</v>
      </c>
      <c r="D17392" s="18">
        <v>2021</v>
      </c>
      <c r="E17392" s="18"/>
      <c r="F17392" s="4">
        <v>1</v>
      </c>
      <c r="G17392" s="4">
        <v>15</v>
      </c>
      <c r="H17392" s="4">
        <v>92.773579999999995</v>
      </c>
      <c r="I17392" s="201"/>
      <c r="J17392" s="201"/>
    </row>
    <row r="17393" spans="1:10" s="15" customFormat="1" ht="19.5" hidden="1" customHeight="1" outlineLevel="1" x14ac:dyDescent="0.25">
      <c r="A17393" s="46">
        <v>9876</v>
      </c>
      <c r="B17393" s="4" t="s">
        <v>44</v>
      </c>
      <c r="C17393" s="22" t="s">
        <v>694</v>
      </c>
      <c r="D17393" s="18">
        <v>2021</v>
      </c>
      <c r="E17393" s="18"/>
      <c r="F17393" s="4">
        <v>3</v>
      </c>
      <c r="G17393" s="4">
        <v>15</v>
      </c>
      <c r="H17393" s="4">
        <v>126.19851</v>
      </c>
      <c r="I17393" s="201"/>
      <c r="J17393" s="201"/>
    </row>
    <row r="17394" spans="1:10" s="15" customFormat="1" ht="19.5" hidden="1" customHeight="1" outlineLevel="1" x14ac:dyDescent="0.25">
      <c r="A17394" s="46">
        <v>9448</v>
      </c>
      <c r="B17394" s="4" t="s">
        <v>44</v>
      </c>
      <c r="C17394" s="22" t="s">
        <v>696</v>
      </c>
      <c r="D17394" s="18">
        <v>2021</v>
      </c>
      <c r="E17394" s="18"/>
      <c r="F17394" s="4">
        <v>1</v>
      </c>
      <c r="G17394" s="4">
        <v>15</v>
      </c>
      <c r="H17394" s="4">
        <v>115.03149000000001</v>
      </c>
      <c r="I17394" s="201"/>
      <c r="J17394" s="201"/>
    </row>
    <row r="17395" spans="1:10" s="15" customFormat="1" ht="19.5" hidden="1" customHeight="1" outlineLevel="1" x14ac:dyDescent="0.25">
      <c r="A17395" s="46">
        <v>9861</v>
      </c>
      <c r="B17395" s="4" t="s">
        <v>44</v>
      </c>
      <c r="C17395" s="22" t="s">
        <v>880</v>
      </c>
      <c r="D17395" s="18">
        <v>2021</v>
      </c>
      <c r="E17395" s="18"/>
      <c r="F17395" s="4">
        <v>1</v>
      </c>
      <c r="G17395" s="4">
        <v>15</v>
      </c>
      <c r="H17395" s="4">
        <v>40.71163</v>
      </c>
      <c r="I17395" s="201"/>
      <c r="J17395" s="201"/>
    </row>
    <row r="17396" spans="1:10" s="15" customFormat="1" ht="19.5" hidden="1" customHeight="1" outlineLevel="1" x14ac:dyDescent="0.25">
      <c r="A17396" s="46">
        <v>9877</v>
      </c>
      <c r="B17396" s="4" t="s">
        <v>44</v>
      </c>
      <c r="C17396" s="22" t="s">
        <v>881</v>
      </c>
      <c r="D17396" s="18">
        <v>2021</v>
      </c>
      <c r="E17396" s="18"/>
      <c r="F17396" s="4">
        <v>1</v>
      </c>
      <c r="G17396" s="4">
        <v>15</v>
      </c>
      <c r="H17396" s="4">
        <v>36.875399999999999</v>
      </c>
      <c r="I17396" s="201"/>
      <c r="J17396" s="201"/>
    </row>
    <row r="17397" spans="1:10" s="15" customFormat="1" ht="19.5" hidden="1" customHeight="1" outlineLevel="1" x14ac:dyDescent="0.25">
      <c r="A17397" s="45">
        <v>1487</v>
      </c>
      <c r="B17397" s="4" t="s">
        <v>44</v>
      </c>
      <c r="C17397" s="22" t="s">
        <v>697</v>
      </c>
      <c r="D17397" s="18">
        <v>2021</v>
      </c>
      <c r="E17397" s="18"/>
      <c r="F17397" s="4">
        <v>1</v>
      </c>
      <c r="G17397" s="4">
        <v>15</v>
      </c>
      <c r="H17397" s="4">
        <v>63.310920000000003</v>
      </c>
      <c r="I17397" s="201"/>
      <c r="J17397" s="201"/>
    </row>
    <row r="17398" spans="1:10" s="15" customFormat="1" ht="19.5" hidden="1" customHeight="1" outlineLevel="1" x14ac:dyDescent="0.25">
      <c r="A17398" s="46">
        <v>9836</v>
      </c>
      <c r="B17398" s="4" t="s">
        <v>44</v>
      </c>
      <c r="C17398" s="22" t="s">
        <v>698</v>
      </c>
      <c r="D17398" s="18">
        <v>2021</v>
      </c>
      <c r="E17398" s="18"/>
      <c r="F17398" s="4">
        <v>2</v>
      </c>
      <c r="G17398" s="4">
        <v>29</v>
      </c>
      <c r="H17398" s="4">
        <v>112.77504</v>
      </c>
      <c r="I17398" s="201"/>
      <c r="J17398" s="201"/>
    </row>
    <row r="17399" spans="1:10" s="15" customFormat="1" ht="19.5" hidden="1" customHeight="1" outlineLevel="1" x14ac:dyDescent="0.25">
      <c r="A17399" s="45">
        <v>1438</v>
      </c>
      <c r="B17399" s="4" t="s">
        <v>44</v>
      </c>
      <c r="C17399" s="22" t="s">
        <v>2056</v>
      </c>
      <c r="D17399" s="18">
        <v>2021</v>
      </c>
      <c r="E17399" s="18"/>
      <c r="F17399" s="4">
        <v>1</v>
      </c>
      <c r="G17399" s="4">
        <v>7</v>
      </c>
      <c r="H17399" s="4">
        <v>56.159680000000002</v>
      </c>
      <c r="I17399" s="201"/>
      <c r="J17399" s="201"/>
    </row>
    <row r="17400" spans="1:10" s="15" customFormat="1" ht="19.5" hidden="1" customHeight="1" outlineLevel="1" x14ac:dyDescent="0.25">
      <c r="A17400" s="45">
        <v>963</v>
      </c>
      <c r="B17400" s="4" t="s">
        <v>44</v>
      </c>
      <c r="C17400" s="22" t="s">
        <v>787</v>
      </c>
      <c r="D17400" s="18">
        <v>2021</v>
      </c>
      <c r="E17400" s="18"/>
      <c r="F17400" s="4">
        <v>1</v>
      </c>
      <c r="G17400" s="4">
        <v>45</v>
      </c>
      <c r="H17400" s="4">
        <v>92.333370000000002</v>
      </c>
      <c r="I17400" s="201"/>
      <c r="J17400" s="201"/>
    </row>
    <row r="17401" spans="1:10" s="15" customFormat="1" ht="19.5" hidden="1" customHeight="1" outlineLevel="1" x14ac:dyDescent="0.25">
      <c r="A17401" s="46">
        <v>9847</v>
      </c>
      <c r="B17401" s="4" t="s">
        <v>44</v>
      </c>
      <c r="C17401" s="22" t="s">
        <v>700</v>
      </c>
      <c r="D17401" s="18">
        <v>2021</v>
      </c>
      <c r="E17401" s="18"/>
      <c r="F17401" s="4">
        <v>1</v>
      </c>
      <c r="G17401" s="4">
        <v>15</v>
      </c>
      <c r="H17401" s="4">
        <v>55.822130000000001</v>
      </c>
      <c r="I17401" s="201"/>
      <c r="J17401" s="201"/>
    </row>
    <row r="17402" spans="1:10" s="15" customFormat="1" ht="19.5" hidden="1" customHeight="1" outlineLevel="1" x14ac:dyDescent="0.25">
      <c r="A17402" s="46">
        <v>9815</v>
      </c>
      <c r="B17402" s="4" t="s">
        <v>44</v>
      </c>
      <c r="C17402" s="22" t="s">
        <v>701</v>
      </c>
      <c r="D17402" s="18">
        <v>2021</v>
      </c>
      <c r="E17402" s="18"/>
      <c r="F17402" s="4">
        <v>1</v>
      </c>
      <c r="G17402" s="4">
        <v>15</v>
      </c>
      <c r="H17402" s="4">
        <v>38.628250000000001</v>
      </c>
      <c r="I17402" s="201"/>
      <c r="J17402" s="201"/>
    </row>
    <row r="17403" spans="1:10" s="15" customFormat="1" ht="19.5" hidden="1" customHeight="1" outlineLevel="1" x14ac:dyDescent="0.25">
      <c r="A17403" s="46">
        <v>9918</v>
      </c>
      <c r="B17403" s="4" t="s">
        <v>44</v>
      </c>
      <c r="C17403" s="22" t="s">
        <v>2057</v>
      </c>
      <c r="D17403" s="18">
        <v>2021</v>
      </c>
      <c r="E17403" s="18"/>
      <c r="F17403" s="4">
        <v>1</v>
      </c>
      <c r="G17403" s="4">
        <v>15</v>
      </c>
      <c r="H17403" s="4">
        <v>86.432069999999996</v>
      </c>
      <c r="I17403" s="201"/>
      <c r="J17403" s="201"/>
    </row>
    <row r="17404" spans="1:10" s="15" customFormat="1" ht="19.5" hidden="1" customHeight="1" outlineLevel="1" x14ac:dyDescent="0.25">
      <c r="A17404" s="46">
        <v>9824</v>
      </c>
      <c r="B17404" s="4" t="s">
        <v>44</v>
      </c>
      <c r="C17404" s="22" t="s">
        <v>708</v>
      </c>
      <c r="D17404" s="18">
        <v>2021</v>
      </c>
      <c r="E17404" s="18"/>
      <c r="F17404" s="4">
        <v>1</v>
      </c>
      <c r="G17404" s="4">
        <v>15</v>
      </c>
      <c r="H17404" s="4">
        <v>51.034939999999999</v>
      </c>
      <c r="I17404" s="201"/>
      <c r="J17404" s="201"/>
    </row>
    <row r="17405" spans="1:10" s="15" customFormat="1" ht="34.5" hidden="1" customHeight="1" outlineLevel="1" x14ac:dyDescent="0.25">
      <c r="A17405" s="46">
        <v>9823</v>
      </c>
      <c r="B17405" s="4" t="s">
        <v>44</v>
      </c>
      <c r="C17405" s="22" t="s">
        <v>2058</v>
      </c>
      <c r="D17405" s="18">
        <v>2021</v>
      </c>
      <c r="E17405" s="18"/>
      <c r="F17405" s="4">
        <v>2</v>
      </c>
      <c r="G17405" s="4">
        <v>24</v>
      </c>
      <c r="H17405" s="4">
        <v>42.103470000000002</v>
      </c>
      <c r="I17405" s="201"/>
      <c r="J17405" s="201"/>
    </row>
    <row r="17406" spans="1:10" s="15" customFormat="1" ht="24.75" hidden="1" customHeight="1" outlineLevel="1" x14ac:dyDescent="0.25">
      <c r="A17406" s="46">
        <v>9955</v>
      </c>
      <c r="B17406" s="4" t="s">
        <v>44</v>
      </c>
      <c r="C17406" s="22" t="s">
        <v>2059</v>
      </c>
      <c r="D17406" s="18">
        <v>2021</v>
      </c>
      <c r="E17406" s="18"/>
      <c r="F17406" s="4">
        <v>1</v>
      </c>
      <c r="G17406" s="4">
        <v>15</v>
      </c>
      <c r="H17406" s="4">
        <v>90.506129999999999</v>
      </c>
      <c r="I17406" s="201"/>
      <c r="J17406" s="201"/>
    </row>
    <row r="17407" spans="1:10" s="15" customFormat="1" ht="19.5" hidden="1" customHeight="1" outlineLevel="1" x14ac:dyDescent="0.25">
      <c r="A17407" s="46">
        <v>9857</v>
      </c>
      <c r="B17407" s="4" t="s">
        <v>44</v>
      </c>
      <c r="C17407" s="22" t="s">
        <v>707</v>
      </c>
      <c r="D17407" s="18">
        <v>2021</v>
      </c>
      <c r="E17407" s="18"/>
      <c r="F17407" s="4">
        <v>1</v>
      </c>
      <c r="G17407" s="4">
        <v>15</v>
      </c>
      <c r="H17407" s="4">
        <v>31.599589999999999</v>
      </c>
      <c r="I17407" s="201"/>
      <c r="J17407" s="201"/>
    </row>
    <row r="17408" spans="1:10" s="15" customFormat="1" ht="19.5" hidden="1" customHeight="1" outlineLevel="1" x14ac:dyDescent="0.25">
      <c r="A17408" s="46">
        <v>10013</v>
      </c>
      <c r="B17408" s="4" t="s">
        <v>44</v>
      </c>
      <c r="C17408" s="22" t="s">
        <v>2060</v>
      </c>
      <c r="D17408" s="18">
        <v>2021</v>
      </c>
      <c r="E17408" s="18"/>
      <c r="F17408" s="4">
        <v>1</v>
      </c>
      <c r="G17408" s="4">
        <v>15</v>
      </c>
      <c r="H17408" s="4">
        <v>41.327739999999999</v>
      </c>
      <c r="I17408" s="201"/>
      <c r="J17408" s="201"/>
    </row>
    <row r="17409" spans="1:36" s="15" customFormat="1" ht="19.5" hidden="1" customHeight="1" outlineLevel="1" x14ac:dyDescent="0.25">
      <c r="A17409" s="46">
        <v>9764</v>
      </c>
      <c r="B17409" s="4" t="s">
        <v>44</v>
      </c>
      <c r="C17409" s="22" t="s">
        <v>2061</v>
      </c>
      <c r="D17409" s="18">
        <v>2021</v>
      </c>
      <c r="E17409" s="18"/>
      <c r="F17409" s="4">
        <v>1</v>
      </c>
      <c r="G17409" s="4">
        <v>15</v>
      </c>
      <c r="H17409" s="4">
        <v>29.767119999999998</v>
      </c>
      <c r="I17409" s="201"/>
      <c r="J17409" s="201"/>
    </row>
    <row r="17410" spans="1:36" s="15" customFormat="1" ht="19.5" hidden="1" customHeight="1" outlineLevel="1" x14ac:dyDescent="0.25">
      <c r="A17410" s="45">
        <v>1352</v>
      </c>
      <c r="B17410" s="4" t="s">
        <v>44</v>
      </c>
      <c r="C17410" s="22" t="s">
        <v>2062</v>
      </c>
      <c r="D17410" s="18">
        <v>2021</v>
      </c>
      <c r="E17410" s="18"/>
      <c r="F17410" s="4">
        <v>2</v>
      </c>
      <c r="G17410" s="4">
        <v>30</v>
      </c>
      <c r="H17410" s="4">
        <v>60.32396</v>
      </c>
      <c r="I17410" s="201"/>
      <c r="J17410" s="201"/>
    </row>
    <row r="17411" spans="1:36" s="15" customFormat="1" ht="19.5" hidden="1" customHeight="1" outlineLevel="1" x14ac:dyDescent="0.25">
      <c r="A17411" s="45">
        <v>1897</v>
      </c>
      <c r="B17411" s="4" t="s">
        <v>44</v>
      </c>
      <c r="C17411" s="22" t="s">
        <v>2063</v>
      </c>
      <c r="D17411" s="18">
        <v>2021</v>
      </c>
      <c r="E17411" s="18"/>
      <c r="F17411" s="4">
        <v>1</v>
      </c>
      <c r="G17411" s="4">
        <v>15</v>
      </c>
      <c r="H17411" s="4">
        <v>38.467750000000002</v>
      </c>
      <c r="I17411" s="201"/>
      <c r="J17411" s="201"/>
    </row>
    <row r="17412" spans="1:36" s="15" customFormat="1" ht="19.5" hidden="1" customHeight="1" outlineLevel="1" x14ac:dyDescent="0.25">
      <c r="A17412" s="46">
        <v>9749</v>
      </c>
      <c r="B17412" s="4" t="s">
        <v>44</v>
      </c>
      <c r="C17412" s="22" t="s">
        <v>715</v>
      </c>
      <c r="D17412" s="18">
        <v>2021</v>
      </c>
      <c r="E17412" s="18"/>
      <c r="F17412" s="4">
        <v>1</v>
      </c>
      <c r="G17412" s="4">
        <v>15</v>
      </c>
      <c r="H17412" s="4">
        <v>32.44511</v>
      </c>
      <c r="I17412" s="201"/>
      <c r="J17412" s="201"/>
    </row>
    <row r="17413" spans="1:36" s="15" customFormat="1" ht="19.5" hidden="1" customHeight="1" outlineLevel="1" x14ac:dyDescent="0.25">
      <c r="A17413" s="45">
        <v>1872</v>
      </c>
      <c r="B17413" s="4" t="s">
        <v>44</v>
      </c>
      <c r="C17413" s="22" t="s">
        <v>2064</v>
      </c>
      <c r="D17413" s="18">
        <v>2021</v>
      </c>
      <c r="E17413" s="18"/>
      <c r="F17413" s="4">
        <v>1</v>
      </c>
      <c r="G17413" s="4">
        <v>15</v>
      </c>
      <c r="H17413" s="4">
        <v>39.416260000000001</v>
      </c>
      <c r="I17413" s="201"/>
      <c r="J17413" s="201"/>
    </row>
    <row r="17414" spans="1:36" s="15" customFormat="1" ht="19.5" hidden="1" customHeight="1" outlineLevel="1" x14ac:dyDescent="0.25">
      <c r="A17414" s="46">
        <v>9874</v>
      </c>
      <c r="B17414" s="4" t="s">
        <v>44</v>
      </c>
      <c r="C17414" s="22" t="s">
        <v>882</v>
      </c>
      <c r="D17414" s="18">
        <v>2021</v>
      </c>
      <c r="E17414" s="18"/>
      <c r="F17414" s="4">
        <v>1</v>
      </c>
      <c r="G17414" s="4">
        <v>12</v>
      </c>
      <c r="H17414" s="4">
        <v>43.172409999999999</v>
      </c>
      <c r="I17414" s="201"/>
      <c r="J17414" s="201"/>
    </row>
    <row r="17415" spans="1:36" s="15" customFormat="1" ht="15.75" collapsed="1" x14ac:dyDescent="0.25">
      <c r="A17415" s="342"/>
      <c r="B17415" s="319" t="s">
        <v>44</v>
      </c>
      <c r="C17415" s="327" t="s">
        <v>2123</v>
      </c>
      <c r="D17415" s="319"/>
      <c r="E17415" s="319" t="s">
        <v>45</v>
      </c>
      <c r="F17415" s="319"/>
      <c r="G17415" s="319"/>
      <c r="H17415" s="319"/>
      <c r="I17415" s="218"/>
      <c r="J17415" s="218"/>
    </row>
    <row r="17416" spans="1:36" s="16" customFormat="1" ht="16.5" customHeight="1" x14ac:dyDescent="0.25">
      <c r="A17416" s="343"/>
      <c r="B17416" s="320"/>
      <c r="C17416" s="326"/>
      <c r="D17416" s="320"/>
      <c r="E17416" s="320" t="s">
        <v>45</v>
      </c>
      <c r="F17416" s="320"/>
      <c r="G17416" s="320"/>
      <c r="H17416" s="320"/>
      <c r="I17416" s="219"/>
      <c r="J17416" s="219"/>
      <c r="K17416" s="15"/>
      <c r="L17416" s="15"/>
      <c r="M17416" s="15"/>
      <c r="N17416" s="15"/>
      <c r="O17416" s="15"/>
      <c r="P17416" s="15"/>
      <c r="Q17416" s="15"/>
      <c r="R17416" s="15"/>
      <c r="S17416" s="15"/>
      <c r="T17416" s="15"/>
      <c r="U17416" s="15"/>
      <c r="V17416" s="15"/>
      <c r="W17416" s="15"/>
      <c r="X17416" s="15"/>
      <c r="Y17416" s="15"/>
      <c r="Z17416" s="15"/>
      <c r="AA17416" s="15"/>
      <c r="AB17416" s="15"/>
      <c r="AC17416" s="15"/>
      <c r="AD17416" s="15"/>
      <c r="AE17416" s="15"/>
      <c r="AF17416" s="15"/>
      <c r="AG17416" s="15"/>
      <c r="AH17416" s="15"/>
      <c r="AI17416" s="15"/>
      <c r="AJ17416" s="15"/>
    </row>
    <row r="17417" spans="1:36" s="16" customFormat="1" ht="15.75" customHeight="1" x14ac:dyDescent="0.25">
      <c r="A17417" s="18"/>
      <c r="B17417" s="11" t="s">
        <v>44</v>
      </c>
      <c r="C17417" s="12" t="s">
        <v>57</v>
      </c>
      <c r="D17417" s="20">
        <v>2021</v>
      </c>
      <c r="E17417" s="20" t="s">
        <v>45</v>
      </c>
      <c r="F17417" s="14">
        <f ca="1">SUMIF($D$17420:$H$17502,$D$17417,$F$17420:$F$17502)</f>
        <v>0</v>
      </c>
      <c r="G17417" s="14">
        <f ca="1">SUMIF($D$17420:$H$17502,$D$17417,$G$17420:$G$17502)</f>
        <v>0</v>
      </c>
      <c r="H17417" s="14">
        <f ca="1">SUMIF($D$17420:$H$17502,$D$17417,$H$17420:$H$17502)</f>
        <v>0</v>
      </c>
      <c r="I17417" s="220"/>
      <c r="J17417" s="220"/>
      <c r="K17417" s="15"/>
      <c r="L17417" s="15"/>
      <c r="M17417" s="15"/>
      <c r="N17417" s="15"/>
      <c r="O17417" s="15"/>
      <c r="P17417" s="15"/>
      <c r="Q17417" s="15"/>
      <c r="R17417" s="15"/>
      <c r="S17417" s="15"/>
      <c r="T17417" s="15"/>
      <c r="U17417" s="15"/>
      <c r="V17417" s="15"/>
      <c r="W17417" s="15"/>
      <c r="X17417" s="15"/>
      <c r="Y17417" s="15"/>
      <c r="Z17417" s="15"/>
      <c r="AA17417" s="15"/>
      <c r="AB17417" s="15"/>
      <c r="AC17417" s="15"/>
      <c r="AD17417" s="15"/>
      <c r="AE17417" s="15"/>
      <c r="AF17417" s="15"/>
      <c r="AG17417" s="15"/>
      <c r="AH17417" s="15"/>
      <c r="AI17417" s="15"/>
      <c r="AJ17417" s="15"/>
    </row>
    <row r="17418" spans="1:36" s="27" customFormat="1" ht="16.5" customHeight="1" x14ac:dyDescent="0.25">
      <c r="A17418" s="18"/>
      <c r="B17418" s="11" t="s">
        <v>44</v>
      </c>
      <c r="C17418" s="12" t="s">
        <v>57</v>
      </c>
      <c r="D17418" s="20">
        <v>2022</v>
      </c>
      <c r="E17418" s="20" t="s">
        <v>45</v>
      </c>
      <c r="F17418" s="14">
        <f ca="1">SUMIF($D$17420:$H$17502,$D$17418,$F$17420:$F$17502)</f>
        <v>11</v>
      </c>
      <c r="G17418" s="14">
        <f ca="1">SUMIF($D$17420:$H$17502,$D$17418,$G$17420:$G$17502)</f>
        <v>2606.6</v>
      </c>
      <c r="H17418" s="14">
        <f ca="1">SUMIF($D$17420:$H$17502,$D$17418,$H$17420:$H$17502)</f>
        <v>5015.7260000000006</v>
      </c>
      <c r="I17418" s="220"/>
      <c r="J17418" s="220"/>
      <c r="K17418" s="15"/>
      <c r="L17418" s="15"/>
      <c r="M17418" s="15"/>
      <c r="N17418" s="15"/>
      <c r="O17418" s="15"/>
      <c r="P17418" s="15"/>
      <c r="Q17418" s="15"/>
      <c r="R17418" s="15"/>
      <c r="S17418" s="15"/>
      <c r="T17418" s="15"/>
      <c r="U17418" s="15"/>
      <c r="V17418" s="15"/>
      <c r="W17418" s="15"/>
      <c r="X17418" s="15"/>
      <c r="Y17418" s="15"/>
      <c r="Z17418" s="15"/>
      <c r="AA17418" s="15"/>
      <c r="AB17418" s="15"/>
      <c r="AC17418" s="15"/>
      <c r="AD17418" s="15"/>
      <c r="AE17418" s="15"/>
      <c r="AF17418" s="15"/>
      <c r="AG17418" s="15"/>
      <c r="AH17418" s="15"/>
      <c r="AI17418" s="15"/>
      <c r="AJ17418" s="15"/>
    </row>
    <row r="17419" spans="1:36" s="15" customFormat="1" ht="15.75" x14ac:dyDescent="0.25">
      <c r="A17419" s="18"/>
      <c r="B17419" s="11" t="s">
        <v>44</v>
      </c>
      <c r="C17419" s="12" t="s">
        <v>57</v>
      </c>
      <c r="D17419" s="20">
        <v>2023</v>
      </c>
      <c r="E17419" s="20" t="s">
        <v>45</v>
      </c>
      <c r="F17419" s="14">
        <f>SUMIF($D$17420:$D$17502,$D$17419,$F$17420:$F$17502)</f>
        <v>72</v>
      </c>
      <c r="G17419" s="14">
        <f>SUMIF($D$17420:$D$17502,$D$17419,$G$17420:$G$17502)</f>
        <v>13543.179999999998</v>
      </c>
      <c r="H17419" s="14">
        <f>SUMIF($D$17420:$D$17502,$D$17419,$H$17420:$H$17502)</f>
        <v>38903.901489999989</v>
      </c>
      <c r="I17419" s="220"/>
      <c r="J17419" s="220"/>
    </row>
    <row r="17420" spans="1:36" s="15" customFormat="1" ht="33.75" hidden="1" customHeight="1" outlineLevel="1" x14ac:dyDescent="0.25">
      <c r="A17420" s="18">
        <v>5418</v>
      </c>
      <c r="B17420" s="4" t="s">
        <v>44</v>
      </c>
      <c r="C17420" s="38" t="s">
        <v>3115</v>
      </c>
      <c r="D17420" s="18">
        <v>2022</v>
      </c>
      <c r="E17420" s="36" t="s">
        <v>45</v>
      </c>
      <c r="F17420" s="4">
        <v>1</v>
      </c>
      <c r="G17420" s="41">
        <v>287</v>
      </c>
      <c r="H17420" s="121">
        <v>460.726</v>
      </c>
      <c r="I17420" s="237"/>
      <c r="J17420" s="237"/>
    </row>
    <row r="17421" spans="1:36" s="15" customFormat="1" ht="33.75" hidden="1" customHeight="1" outlineLevel="1" x14ac:dyDescent="0.25">
      <c r="A17421" s="18">
        <v>6</v>
      </c>
      <c r="B17421" s="4" t="s">
        <v>44</v>
      </c>
      <c r="C17421" s="38" t="s">
        <v>8021</v>
      </c>
      <c r="D17421" s="18">
        <v>2022</v>
      </c>
      <c r="E17421" s="36" t="s">
        <v>45</v>
      </c>
      <c r="F17421" s="4">
        <v>1</v>
      </c>
      <c r="G17421" s="41">
        <v>380</v>
      </c>
      <c r="H17421" s="121">
        <v>442</v>
      </c>
      <c r="I17421" s="237"/>
      <c r="J17421" s="237"/>
    </row>
    <row r="17422" spans="1:36" s="15" customFormat="1" ht="33.75" hidden="1" customHeight="1" outlineLevel="1" x14ac:dyDescent="0.25">
      <c r="A17422" s="18">
        <v>410</v>
      </c>
      <c r="B17422" s="4" t="s">
        <v>44</v>
      </c>
      <c r="C17422" s="38" t="s">
        <v>8022</v>
      </c>
      <c r="D17422" s="18">
        <v>2022</v>
      </c>
      <c r="E17422" s="36" t="s">
        <v>45</v>
      </c>
      <c r="F17422" s="4">
        <v>1</v>
      </c>
      <c r="G17422" s="41">
        <v>60</v>
      </c>
      <c r="H17422" s="121">
        <v>458</v>
      </c>
      <c r="I17422" s="237"/>
      <c r="J17422" s="237"/>
    </row>
    <row r="17423" spans="1:36" s="15" customFormat="1" ht="33.75" hidden="1" customHeight="1" outlineLevel="1" x14ac:dyDescent="0.25">
      <c r="A17423" s="18">
        <v>4</v>
      </c>
      <c r="B17423" s="4" t="s">
        <v>44</v>
      </c>
      <c r="C17423" s="38" t="s">
        <v>8023</v>
      </c>
      <c r="D17423" s="18">
        <v>2022</v>
      </c>
      <c r="E17423" s="36" t="s">
        <v>45</v>
      </c>
      <c r="F17423" s="4">
        <v>1</v>
      </c>
      <c r="G17423" s="41">
        <v>300</v>
      </c>
      <c r="H17423" s="121">
        <v>442</v>
      </c>
      <c r="I17423" s="237"/>
      <c r="J17423" s="237"/>
    </row>
    <row r="17424" spans="1:36" s="15" customFormat="1" ht="33.75" hidden="1" customHeight="1" outlineLevel="1" x14ac:dyDescent="0.25">
      <c r="A17424" s="18">
        <v>7</v>
      </c>
      <c r="B17424" s="4" t="s">
        <v>44</v>
      </c>
      <c r="C17424" s="38" t="s">
        <v>8024</v>
      </c>
      <c r="D17424" s="18">
        <v>2022</v>
      </c>
      <c r="E17424" s="36" t="s">
        <v>45</v>
      </c>
      <c r="F17424" s="4">
        <v>1</v>
      </c>
      <c r="G17424" s="41">
        <v>105</v>
      </c>
      <c r="H17424" s="121">
        <v>458</v>
      </c>
      <c r="I17424" s="237"/>
      <c r="J17424" s="237"/>
    </row>
    <row r="17425" spans="1:10" s="15" customFormat="1" ht="33.75" hidden="1" customHeight="1" outlineLevel="1" x14ac:dyDescent="0.25">
      <c r="A17425" s="18">
        <v>5</v>
      </c>
      <c r="B17425" s="4" t="s">
        <v>44</v>
      </c>
      <c r="C17425" s="38" t="s">
        <v>8025</v>
      </c>
      <c r="D17425" s="18">
        <v>2022</v>
      </c>
      <c r="E17425" s="36" t="s">
        <v>45</v>
      </c>
      <c r="F17425" s="4">
        <v>1</v>
      </c>
      <c r="G17425" s="41">
        <v>400</v>
      </c>
      <c r="H17425" s="121">
        <v>442</v>
      </c>
      <c r="I17425" s="237"/>
      <c r="J17425" s="237"/>
    </row>
    <row r="17426" spans="1:10" s="15" customFormat="1" ht="33.75" hidden="1" customHeight="1" outlineLevel="1" x14ac:dyDescent="0.25">
      <c r="A17426" s="18">
        <v>13</v>
      </c>
      <c r="B17426" s="4" t="s">
        <v>44</v>
      </c>
      <c r="C17426" s="38" t="s">
        <v>8026</v>
      </c>
      <c r="D17426" s="18">
        <v>2022</v>
      </c>
      <c r="E17426" s="36" t="s">
        <v>45</v>
      </c>
      <c r="F17426" s="4">
        <v>1</v>
      </c>
      <c r="G17426" s="41">
        <v>485</v>
      </c>
      <c r="H17426" s="121">
        <v>459</v>
      </c>
      <c r="I17426" s="237"/>
      <c r="J17426" s="237"/>
    </row>
    <row r="17427" spans="1:10" s="15" customFormat="1" ht="33.75" hidden="1" customHeight="1" outlineLevel="1" x14ac:dyDescent="0.25">
      <c r="A17427" s="18">
        <v>435</v>
      </c>
      <c r="B17427" s="4" t="s">
        <v>44</v>
      </c>
      <c r="C17427" s="38" t="s">
        <v>8027</v>
      </c>
      <c r="D17427" s="18">
        <v>2022</v>
      </c>
      <c r="E17427" s="36" t="s">
        <v>45</v>
      </c>
      <c r="F17427" s="4">
        <v>1</v>
      </c>
      <c r="G17427" s="151">
        <v>108.6</v>
      </c>
      <c r="H17427" s="121">
        <v>466</v>
      </c>
      <c r="I17427" s="237"/>
      <c r="J17427" s="237"/>
    </row>
    <row r="17428" spans="1:10" s="15" customFormat="1" ht="33.75" hidden="1" customHeight="1" outlineLevel="1" x14ac:dyDescent="0.25">
      <c r="A17428" s="18">
        <v>436</v>
      </c>
      <c r="B17428" s="4" t="s">
        <v>44</v>
      </c>
      <c r="C17428" s="38" t="s">
        <v>8028</v>
      </c>
      <c r="D17428" s="18">
        <v>2022</v>
      </c>
      <c r="E17428" s="36" t="s">
        <v>45</v>
      </c>
      <c r="F17428" s="4">
        <v>1</v>
      </c>
      <c r="G17428" s="41">
        <v>106</v>
      </c>
      <c r="H17428" s="121">
        <v>466</v>
      </c>
      <c r="I17428" s="237"/>
      <c r="J17428" s="237"/>
    </row>
    <row r="17429" spans="1:10" s="15" customFormat="1" ht="33.75" hidden="1" customHeight="1" outlineLevel="1" x14ac:dyDescent="0.25">
      <c r="A17429" s="18">
        <v>14</v>
      </c>
      <c r="B17429" s="4" t="s">
        <v>44</v>
      </c>
      <c r="C17429" s="38" t="s">
        <v>8029</v>
      </c>
      <c r="D17429" s="18">
        <v>2022</v>
      </c>
      <c r="E17429" s="36" t="s">
        <v>45</v>
      </c>
      <c r="F17429" s="4">
        <v>1</v>
      </c>
      <c r="G17429" s="41">
        <v>25</v>
      </c>
      <c r="H17429" s="121">
        <v>462</v>
      </c>
      <c r="I17429" s="237"/>
      <c r="J17429" s="237"/>
    </row>
    <row r="17430" spans="1:10" s="15" customFormat="1" ht="33.75" hidden="1" customHeight="1" outlineLevel="1" x14ac:dyDescent="0.25">
      <c r="A17430" s="18">
        <v>12</v>
      </c>
      <c r="B17430" s="4" t="s">
        <v>44</v>
      </c>
      <c r="C17430" s="38" t="s">
        <v>8030</v>
      </c>
      <c r="D17430" s="18">
        <v>2022</v>
      </c>
      <c r="E17430" s="36" t="s">
        <v>45</v>
      </c>
      <c r="F17430" s="4">
        <v>1</v>
      </c>
      <c r="G17430" s="41">
        <v>350</v>
      </c>
      <c r="H17430" s="121">
        <v>460</v>
      </c>
      <c r="I17430" s="237"/>
      <c r="J17430" s="237"/>
    </row>
    <row r="17431" spans="1:10" s="15" customFormat="1" ht="30.75" hidden="1" customHeight="1" outlineLevel="1" x14ac:dyDescent="0.25">
      <c r="A17431" s="18">
        <v>4016</v>
      </c>
      <c r="B17431" s="6" t="s">
        <v>44</v>
      </c>
      <c r="C17431" s="38" t="s">
        <v>13522</v>
      </c>
      <c r="D17431" s="23">
        <v>2023</v>
      </c>
      <c r="E17431" s="23" t="s">
        <v>45</v>
      </c>
      <c r="F17431" s="40">
        <v>1</v>
      </c>
      <c r="G17431" s="40">
        <v>50</v>
      </c>
      <c r="H17431" s="40">
        <v>343.15143999999998</v>
      </c>
      <c r="I17431" s="212"/>
      <c r="J17431" s="212"/>
    </row>
    <row r="17432" spans="1:10" s="15" customFormat="1" ht="30.75" hidden="1" customHeight="1" outlineLevel="1" x14ac:dyDescent="0.25">
      <c r="A17432" s="18">
        <v>4023</v>
      </c>
      <c r="B17432" s="6" t="s">
        <v>44</v>
      </c>
      <c r="C17432" s="38" t="s">
        <v>13523</v>
      </c>
      <c r="D17432" s="23">
        <v>2023</v>
      </c>
      <c r="E17432" s="23" t="s">
        <v>45</v>
      </c>
      <c r="F17432" s="40">
        <v>1</v>
      </c>
      <c r="G17432" s="40">
        <v>20</v>
      </c>
      <c r="H17432" s="40">
        <v>502.74123000000003</v>
      </c>
      <c r="I17432" s="212"/>
      <c r="J17432" s="212"/>
    </row>
    <row r="17433" spans="1:10" s="15" customFormat="1" ht="30.75" hidden="1" customHeight="1" outlineLevel="1" x14ac:dyDescent="0.25">
      <c r="A17433" s="18">
        <v>4100</v>
      </c>
      <c r="B17433" s="6" t="s">
        <v>44</v>
      </c>
      <c r="C17433" s="38" t="s">
        <v>13524</v>
      </c>
      <c r="D17433" s="23">
        <v>2023</v>
      </c>
      <c r="E17433" s="23" t="s">
        <v>45</v>
      </c>
      <c r="F17433" s="40">
        <v>1</v>
      </c>
      <c r="G17433" s="40">
        <v>100</v>
      </c>
      <c r="H17433" s="40">
        <v>474.58094</v>
      </c>
      <c r="I17433" s="212"/>
      <c r="J17433" s="212"/>
    </row>
    <row r="17434" spans="1:10" s="15" customFormat="1" ht="30.75" hidden="1" customHeight="1" outlineLevel="1" x14ac:dyDescent="0.25">
      <c r="A17434" s="18">
        <v>4109</v>
      </c>
      <c r="B17434" s="6" t="s">
        <v>44</v>
      </c>
      <c r="C17434" s="38" t="s">
        <v>13525</v>
      </c>
      <c r="D17434" s="23">
        <v>2023</v>
      </c>
      <c r="E17434" s="23" t="s">
        <v>45</v>
      </c>
      <c r="F17434" s="40">
        <v>1</v>
      </c>
      <c r="G17434" s="40">
        <v>60</v>
      </c>
      <c r="H17434" s="40">
        <v>509.62507999999997</v>
      </c>
      <c r="I17434" s="212"/>
      <c r="J17434" s="212"/>
    </row>
    <row r="17435" spans="1:10" s="15" customFormat="1" ht="30.75" hidden="1" customHeight="1" outlineLevel="1" x14ac:dyDescent="0.25">
      <c r="A17435" s="18">
        <v>533</v>
      </c>
      <c r="B17435" s="6" t="s">
        <v>44</v>
      </c>
      <c r="C17435" s="38" t="s">
        <v>13526</v>
      </c>
      <c r="D17435" s="23">
        <v>2023</v>
      </c>
      <c r="E17435" s="23" t="s">
        <v>45</v>
      </c>
      <c r="F17435" s="40">
        <v>1</v>
      </c>
      <c r="G17435" s="40">
        <v>15</v>
      </c>
      <c r="H17435" s="40">
        <v>536.82078000000001</v>
      </c>
      <c r="I17435" s="212"/>
      <c r="J17435" s="212"/>
    </row>
    <row r="17436" spans="1:10" s="15" customFormat="1" ht="30.75" hidden="1" customHeight="1" outlineLevel="1" x14ac:dyDescent="0.25">
      <c r="A17436" s="18">
        <v>4015</v>
      </c>
      <c r="B17436" s="6" t="s">
        <v>44</v>
      </c>
      <c r="C17436" s="38" t="s">
        <v>13527</v>
      </c>
      <c r="D17436" s="23">
        <v>2023</v>
      </c>
      <c r="E17436" s="23" t="s">
        <v>45</v>
      </c>
      <c r="F17436" s="40">
        <v>1</v>
      </c>
      <c r="G17436" s="40">
        <v>15</v>
      </c>
      <c r="H17436" s="40">
        <v>458.20233000000002</v>
      </c>
      <c r="I17436" s="212"/>
      <c r="J17436" s="212"/>
    </row>
    <row r="17437" spans="1:10" s="15" customFormat="1" ht="30.75" hidden="1" customHeight="1" outlineLevel="1" x14ac:dyDescent="0.25">
      <c r="A17437" s="18">
        <v>4019</v>
      </c>
      <c r="B17437" s="6" t="s">
        <v>44</v>
      </c>
      <c r="C17437" s="38" t="s">
        <v>13528</v>
      </c>
      <c r="D17437" s="23">
        <v>2023</v>
      </c>
      <c r="E17437" s="23" t="s">
        <v>45</v>
      </c>
      <c r="F17437" s="40">
        <v>1</v>
      </c>
      <c r="G17437" s="40">
        <v>500</v>
      </c>
      <c r="H17437" s="40">
        <v>604.75177000000008</v>
      </c>
      <c r="I17437" s="212"/>
      <c r="J17437" s="212"/>
    </row>
    <row r="17438" spans="1:10" s="15" customFormat="1" ht="30.75" hidden="1" customHeight="1" outlineLevel="1" x14ac:dyDescent="0.25">
      <c r="A17438" s="18">
        <v>4124</v>
      </c>
      <c r="B17438" s="6" t="s">
        <v>44</v>
      </c>
      <c r="C17438" s="38" t="s">
        <v>13529</v>
      </c>
      <c r="D17438" s="23">
        <v>2023</v>
      </c>
      <c r="E17438" s="23" t="s">
        <v>45</v>
      </c>
      <c r="F17438" s="40">
        <v>1</v>
      </c>
      <c r="G17438" s="152">
        <v>46.6</v>
      </c>
      <c r="H17438" s="40">
        <v>561.87894000000006</v>
      </c>
      <c r="I17438" s="212"/>
      <c r="J17438" s="212"/>
    </row>
    <row r="17439" spans="1:10" s="15" customFormat="1" ht="30.75" hidden="1" customHeight="1" outlineLevel="1" x14ac:dyDescent="0.25">
      <c r="A17439" s="18">
        <v>4811</v>
      </c>
      <c r="B17439" s="4" t="s">
        <v>44</v>
      </c>
      <c r="C17439" s="38" t="s">
        <v>9342</v>
      </c>
      <c r="D17439" s="18">
        <v>2023</v>
      </c>
      <c r="E17439" s="18" t="s">
        <v>45</v>
      </c>
      <c r="F17439" s="41">
        <v>2</v>
      </c>
      <c r="G17439" s="41">
        <v>563.98</v>
      </c>
      <c r="H17439" s="41">
        <v>1184.8330000000001</v>
      </c>
      <c r="I17439" s="221"/>
      <c r="J17439" s="221"/>
    </row>
    <row r="17440" spans="1:10" s="15" customFormat="1" ht="30.75" hidden="1" customHeight="1" outlineLevel="1" x14ac:dyDescent="0.25">
      <c r="A17440" s="18">
        <v>4814</v>
      </c>
      <c r="B17440" s="4" t="s">
        <v>44</v>
      </c>
      <c r="C17440" s="38" t="s">
        <v>9357</v>
      </c>
      <c r="D17440" s="18">
        <v>2023</v>
      </c>
      <c r="E17440" s="18" t="s">
        <v>45</v>
      </c>
      <c r="F17440" s="41">
        <v>1</v>
      </c>
      <c r="G17440" s="41">
        <v>253</v>
      </c>
      <c r="H17440" s="41">
        <v>463.334</v>
      </c>
      <c r="I17440" s="221"/>
      <c r="J17440" s="221"/>
    </row>
    <row r="17441" spans="1:10" s="15" customFormat="1" ht="30.75" hidden="1" customHeight="1" outlineLevel="1" x14ac:dyDescent="0.25">
      <c r="A17441" s="18">
        <v>4815</v>
      </c>
      <c r="B17441" s="4" t="s">
        <v>44</v>
      </c>
      <c r="C17441" s="38" t="s">
        <v>9326</v>
      </c>
      <c r="D17441" s="18">
        <v>2023</v>
      </c>
      <c r="E17441" s="18" t="s">
        <v>45</v>
      </c>
      <c r="F17441" s="41">
        <v>1</v>
      </c>
      <c r="G17441" s="41">
        <v>130</v>
      </c>
      <c r="H17441" s="41">
        <v>523.74800000000005</v>
      </c>
      <c r="I17441" s="221"/>
      <c r="J17441" s="221"/>
    </row>
    <row r="17442" spans="1:10" s="15" customFormat="1" ht="30.75" hidden="1" customHeight="1" outlineLevel="1" x14ac:dyDescent="0.25">
      <c r="A17442" s="18">
        <v>4868</v>
      </c>
      <c r="B17442" s="4" t="s">
        <v>44</v>
      </c>
      <c r="C17442" s="38" t="s">
        <v>9344</v>
      </c>
      <c r="D17442" s="18">
        <v>2023</v>
      </c>
      <c r="E17442" s="18" t="s">
        <v>45</v>
      </c>
      <c r="F17442" s="41">
        <v>1</v>
      </c>
      <c r="G17442" s="41">
        <v>150</v>
      </c>
      <c r="H17442" s="41">
        <v>514.68700000000001</v>
      </c>
      <c r="I17442" s="221"/>
      <c r="J17442" s="221"/>
    </row>
    <row r="17443" spans="1:10" s="15" customFormat="1" ht="30.75" hidden="1" customHeight="1" outlineLevel="1" x14ac:dyDescent="0.25">
      <c r="A17443" s="18">
        <v>4893</v>
      </c>
      <c r="B17443" s="4" t="s">
        <v>44</v>
      </c>
      <c r="C17443" s="38" t="s">
        <v>9345</v>
      </c>
      <c r="D17443" s="18">
        <v>2023</v>
      </c>
      <c r="E17443" s="18" t="s">
        <v>45</v>
      </c>
      <c r="F17443" s="41">
        <v>1</v>
      </c>
      <c r="G17443" s="41">
        <v>13.57</v>
      </c>
      <c r="H17443" s="41">
        <v>546.57100000000003</v>
      </c>
      <c r="I17443" s="221"/>
      <c r="J17443" s="221"/>
    </row>
    <row r="17444" spans="1:10" s="15" customFormat="1" ht="30.75" hidden="1" customHeight="1" outlineLevel="1" x14ac:dyDescent="0.25">
      <c r="A17444" s="18">
        <v>4894</v>
      </c>
      <c r="B17444" s="4" t="s">
        <v>44</v>
      </c>
      <c r="C17444" s="38" t="s">
        <v>9346</v>
      </c>
      <c r="D17444" s="18">
        <v>2023</v>
      </c>
      <c r="E17444" s="18" t="s">
        <v>45</v>
      </c>
      <c r="F17444" s="41">
        <v>1</v>
      </c>
      <c r="G17444" s="41">
        <v>12.67</v>
      </c>
      <c r="H17444" s="41">
        <v>546.77499999999998</v>
      </c>
      <c r="I17444" s="221"/>
      <c r="J17444" s="221"/>
    </row>
    <row r="17445" spans="1:10" s="15" customFormat="1" ht="30.75" hidden="1" customHeight="1" outlineLevel="1" x14ac:dyDescent="0.25">
      <c r="A17445" s="18">
        <v>4895</v>
      </c>
      <c r="B17445" s="4" t="s">
        <v>44</v>
      </c>
      <c r="C17445" s="38" t="s">
        <v>9347</v>
      </c>
      <c r="D17445" s="18">
        <v>2023</v>
      </c>
      <c r="E17445" s="18" t="s">
        <v>45</v>
      </c>
      <c r="F17445" s="41">
        <v>1</v>
      </c>
      <c r="G17445" s="41">
        <v>23.8</v>
      </c>
      <c r="H17445" s="41">
        <v>547.52599999999995</v>
      </c>
      <c r="I17445" s="221"/>
      <c r="J17445" s="221"/>
    </row>
    <row r="17446" spans="1:10" s="15" customFormat="1" ht="30.75" hidden="1" customHeight="1" outlineLevel="1" x14ac:dyDescent="0.25">
      <c r="A17446" s="18">
        <v>4916</v>
      </c>
      <c r="B17446" s="4" t="s">
        <v>44</v>
      </c>
      <c r="C17446" s="38" t="s">
        <v>9348</v>
      </c>
      <c r="D17446" s="18">
        <v>2023</v>
      </c>
      <c r="E17446" s="18" t="s">
        <v>45</v>
      </c>
      <c r="F17446" s="41">
        <v>1</v>
      </c>
      <c r="G17446" s="41">
        <v>22.67</v>
      </c>
      <c r="H17446" s="41">
        <v>640.03200000000004</v>
      </c>
      <c r="I17446" s="221"/>
      <c r="J17446" s="221"/>
    </row>
    <row r="17447" spans="1:10" s="15" customFormat="1" ht="30.75" hidden="1" customHeight="1" outlineLevel="1" x14ac:dyDescent="0.25">
      <c r="A17447" s="18">
        <v>4917</v>
      </c>
      <c r="B17447" s="4" t="s">
        <v>44</v>
      </c>
      <c r="C17447" s="38" t="s">
        <v>9343</v>
      </c>
      <c r="D17447" s="18">
        <v>2023</v>
      </c>
      <c r="E17447" s="18" t="s">
        <v>45</v>
      </c>
      <c r="F17447" s="41">
        <v>1</v>
      </c>
      <c r="G17447" s="41">
        <v>15.34</v>
      </c>
      <c r="H17447" s="41">
        <v>634.06399999999996</v>
      </c>
      <c r="I17447" s="221"/>
      <c r="J17447" s="221"/>
    </row>
    <row r="17448" spans="1:10" s="15" customFormat="1" ht="30.75" hidden="1" customHeight="1" outlineLevel="1" x14ac:dyDescent="0.25">
      <c r="A17448" s="18">
        <v>4918</v>
      </c>
      <c r="B17448" s="4" t="s">
        <v>44</v>
      </c>
      <c r="C17448" s="38" t="s">
        <v>9349</v>
      </c>
      <c r="D17448" s="18">
        <v>2023</v>
      </c>
      <c r="E17448" s="18" t="s">
        <v>45</v>
      </c>
      <c r="F17448" s="41">
        <v>1</v>
      </c>
      <c r="G17448" s="41">
        <v>22.89</v>
      </c>
      <c r="H17448" s="41">
        <v>627.53499999999997</v>
      </c>
      <c r="I17448" s="221"/>
      <c r="J17448" s="221"/>
    </row>
    <row r="17449" spans="1:10" s="15" customFormat="1" ht="30.75" hidden="1" customHeight="1" outlineLevel="1" x14ac:dyDescent="0.25">
      <c r="A17449" s="18">
        <v>4919</v>
      </c>
      <c r="B17449" s="4" t="s">
        <v>44</v>
      </c>
      <c r="C17449" s="38" t="s">
        <v>9350</v>
      </c>
      <c r="D17449" s="18">
        <v>2023</v>
      </c>
      <c r="E17449" s="18" t="s">
        <v>45</v>
      </c>
      <c r="F17449" s="41">
        <v>1</v>
      </c>
      <c r="G17449" s="41">
        <v>59.23</v>
      </c>
      <c r="H17449" s="41">
        <v>635.572</v>
      </c>
      <c r="I17449" s="221"/>
      <c r="J17449" s="221"/>
    </row>
    <row r="17450" spans="1:10" s="15" customFormat="1" ht="30.75" hidden="1" customHeight="1" outlineLevel="1" x14ac:dyDescent="0.25">
      <c r="A17450" s="18">
        <v>4613</v>
      </c>
      <c r="B17450" s="4" t="s">
        <v>44</v>
      </c>
      <c r="C17450" s="38" t="s">
        <v>13530</v>
      </c>
      <c r="D17450" s="18">
        <v>2023</v>
      </c>
      <c r="E17450" s="18" t="s">
        <v>45</v>
      </c>
      <c r="F17450" s="41">
        <v>1</v>
      </c>
      <c r="G17450" s="41">
        <v>10</v>
      </c>
      <c r="H17450" s="41">
        <v>497.00699999999995</v>
      </c>
      <c r="I17450" s="221"/>
      <c r="J17450" s="221"/>
    </row>
    <row r="17451" spans="1:10" s="15" customFormat="1" ht="30.75" hidden="1" customHeight="1" outlineLevel="1" x14ac:dyDescent="0.25">
      <c r="A17451" s="18">
        <v>4623</v>
      </c>
      <c r="B17451" s="4" t="s">
        <v>44</v>
      </c>
      <c r="C17451" s="38" t="s">
        <v>13531</v>
      </c>
      <c r="D17451" s="18">
        <v>2023</v>
      </c>
      <c r="E17451" s="18" t="s">
        <v>45</v>
      </c>
      <c r="F17451" s="41">
        <v>1</v>
      </c>
      <c r="G17451" s="41">
        <v>900</v>
      </c>
      <c r="H17451" s="41">
        <v>460.68099999999998</v>
      </c>
      <c r="I17451" s="221"/>
      <c r="J17451" s="221"/>
    </row>
    <row r="17452" spans="1:10" s="15" customFormat="1" ht="30.75" hidden="1" customHeight="1" outlineLevel="1" x14ac:dyDescent="0.25">
      <c r="A17452" s="18">
        <v>4704</v>
      </c>
      <c r="B17452" s="4" t="s">
        <v>44</v>
      </c>
      <c r="C17452" s="38" t="s">
        <v>13532</v>
      </c>
      <c r="D17452" s="18">
        <v>2023</v>
      </c>
      <c r="E17452" s="18" t="s">
        <v>45</v>
      </c>
      <c r="F17452" s="41">
        <v>1</v>
      </c>
      <c r="G17452" s="41">
        <v>150</v>
      </c>
      <c r="H17452" s="41">
        <v>470.73099999999999</v>
      </c>
      <c r="I17452" s="221"/>
      <c r="J17452" s="221"/>
    </row>
    <row r="17453" spans="1:10" s="15" customFormat="1" ht="30.75" hidden="1" customHeight="1" outlineLevel="1" x14ac:dyDescent="0.25">
      <c r="A17453" s="18">
        <v>4705</v>
      </c>
      <c r="B17453" s="4" t="s">
        <v>44</v>
      </c>
      <c r="C17453" s="38" t="s">
        <v>13533</v>
      </c>
      <c r="D17453" s="18">
        <v>2023</v>
      </c>
      <c r="E17453" s="18" t="s">
        <v>45</v>
      </c>
      <c r="F17453" s="41">
        <v>1</v>
      </c>
      <c r="G17453" s="41">
        <v>350</v>
      </c>
      <c r="H17453" s="41">
        <v>460.78999999999996</v>
      </c>
      <c r="I17453" s="221"/>
      <c r="J17453" s="221"/>
    </row>
    <row r="17454" spans="1:10" s="15" customFormat="1" ht="30.75" hidden="1" customHeight="1" outlineLevel="1" x14ac:dyDescent="0.25">
      <c r="A17454" s="18">
        <v>1007</v>
      </c>
      <c r="B17454" s="4" t="s">
        <v>44</v>
      </c>
      <c r="C17454" s="38" t="s">
        <v>13534</v>
      </c>
      <c r="D17454" s="18">
        <v>2023</v>
      </c>
      <c r="E17454" s="18" t="s">
        <v>45</v>
      </c>
      <c r="F17454" s="41">
        <v>1</v>
      </c>
      <c r="G17454" s="41">
        <v>15</v>
      </c>
      <c r="H17454" s="41">
        <v>497.83600000000001</v>
      </c>
      <c r="I17454" s="221"/>
      <c r="J17454" s="221"/>
    </row>
    <row r="17455" spans="1:10" s="15" customFormat="1" ht="30.75" hidden="1" customHeight="1" outlineLevel="1" x14ac:dyDescent="0.25">
      <c r="A17455" s="18">
        <v>4731</v>
      </c>
      <c r="B17455" s="4" t="s">
        <v>44</v>
      </c>
      <c r="C17455" s="38" t="s">
        <v>13535</v>
      </c>
      <c r="D17455" s="18">
        <v>2023</v>
      </c>
      <c r="E17455" s="18" t="s">
        <v>45</v>
      </c>
      <c r="F17455" s="41">
        <v>1</v>
      </c>
      <c r="G17455" s="41">
        <v>300</v>
      </c>
      <c r="H17455" s="41">
        <v>471.45300000000003</v>
      </c>
      <c r="I17455" s="221"/>
      <c r="J17455" s="221"/>
    </row>
    <row r="17456" spans="1:10" s="15" customFormat="1" ht="30.75" hidden="1" customHeight="1" outlineLevel="1" x14ac:dyDescent="0.25">
      <c r="A17456" s="18">
        <v>4728</v>
      </c>
      <c r="B17456" s="4" t="s">
        <v>44</v>
      </c>
      <c r="C17456" s="38" t="s">
        <v>13536</v>
      </c>
      <c r="D17456" s="18">
        <v>2023</v>
      </c>
      <c r="E17456" s="18" t="s">
        <v>45</v>
      </c>
      <c r="F17456" s="41">
        <v>1</v>
      </c>
      <c r="G17456" s="41">
        <v>90</v>
      </c>
      <c r="H17456" s="41">
        <v>500.34100000000001</v>
      </c>
      <c r="I17456" s="221"/>
      <c r="J17456" s="221"/>
    </row>
    <row r="17457" spans="1:10" s="15" customFormat="1" ht="30.75" hidden="1" customHeight="1" outlineLevel="1" x14ac:dyDescent="0.25">
      <c r="A17457" s="18">
        <v>4694</v>
      </c>
      <c r="B17457" s="4" t="s">
        <v>44</v>
      </c>
      <c r="C17457" s="38" t="s">
        <v>9232</v>
      </c>
      <c r="D17457" s="18">
        <v>2023</v>
      </c>
      <c r="E17457" s="18" t="s">
        <v>45</v>
      </c>
      <c r="F17457" s="41">
        <v>1</v>
      </c>
      <c r="G17457" s="41">
        <v>421.4</v>
      </c>
      <c r="H17457" s="41">
        <v>516.13299999999992</v>
      </c>
      <c r="I17457" s="221"/>
      <c r="J17457" s="221"/>
    </row>
    <row r="17458" spans="1:10" s="15" customFormat="1" ht="30.75" hidden="1" customHeight="1" outlineLevel="1" x14ac:dyDescent="0.25">
      <c r="A17458" s="18">
        <v>4743</v>
      </c>
      <c r="B17458" s="4" t="s">
        <v>44</v>
      </c>
      <c r="C17458" s="38" t="s">
        <v>9351</v>
      </c>
      <c r="D17458" s="18">
        <v>2023</v>
      </c>
      <c r="E17458" s="18" t="s">
        <v>45</v>
      </c>
      <c r="F17458" s="41">
        <v>1</v>
      </c>
      <c r="G17458" s="41">
        <v>235</v>
      </c>
      <c r="H17458" s="41">
        <v>490.82094999999998</v>
      </c>
      <c r="I17458" s="221"/>
      <c r="J17458" s="221"/>
    </row>
    <row r="17459" spans="1:10" s="15" customFormat="1" ht="30.75" hidden="1" customHeight="1" outlineLevel="1" x14ac:dyDescent="0.25">
      <c r="A17459" s="18">
        <v>4771</v>
      </c>
      <c r="B17459" s="4" t="s">
        <v>44</v>
      </c>
      <c r="C17459" s="38" t="s">
        <v>13537</v>
      </c>
      <c r="D17459" s="18">
        <v>2023</v>
      </c>
      <c r="E17459" s="18" t="s">
        <v>45</v>
      </c>
      <c r="F17459" s="41">
        <v>1</v>
      </c>
      <c r="G17459" s="41">
        <v>590</v>
      </c>
      <c r="H17459" s="41">
        <v>419.32900000000001</v>
      </c>
      <c r="I17459" s="221"/>
      <c r="J17459" s="221"/>
    </row>
    <row r="17460" spans="1:10" s="15" customFormat="1" ht="30.75" hidden="1" customHeight="1" outlineLevel="1" x14ac:dyDescent="0.25">
      <c r="A17460" s="18">
        <v>4810</v>
      </c>
      <c r="B17460" s="4" t="s">
        <v>44</v>
      </c>
      <c r="C17460" s="38" t="s">
        <v>13538</v>
      </c>
      <c r="D17460" s="18">
        <v>2023</v>
      </c>
      <c r="E17460" s="18" t="s">
        <v>45</v>
      </c>
      <c r="F17460" s="41">
        <v>1</v>
      </c>
      <c r="G17460" s="41">
        <v>136.19999999999999</v>
      </c>
      <c r="H17460" s="41">
        <v>504.65499999999997</v>
      </c>
      <c r="I17460" s="221"/>
      <c r="J17460" s="221"/>
    </row>
    <row r="17461" spans="1:10" s="15" customFormat="1" ht="30.75" hidden="1" customHeight="1" outlineLevel="1" x14ac:dyDescent="0.25">
      <c r="A17461" s="18">
        <v>3044</v>
      </c>
      <c r="B17461" s="4" t="s">
        <v>44</v>
      </c>
      <c r="C17461" s="38" t="s">
        <v>9365</v>
      </c>
      <c r="D17461" s="18">
        <v>2023</v>
      </c>
      <c r="E17461" s="18" t="s">
        <v>45</v>
      </c>
      <c r="F17461" s="41">
        <v>1</v>
      </c>
      <c r="G17461" s="41">
        <v>150</v>
      </c>
      <c r="H17461" s="41">
        <v>520.0078299999999</v>
      </c>
      <c r="I17461" s="221"/>
      <c r="J17461" s="221"/>
    </row>
    <row r="17462" spans="1:10" s="15" customFormat="1" ht="30.75" hidden="1" customHeight="1" outlineLevel="1" x14ac:dyDescent="0.25">
      <c r="A17462" s="18">
        <v>5153</v>
      </c>
      <c r="B17462" s="4" t="s">
        <v>44</v>
      </c>
      <c r="C17462" s="38" t="s">
        <v>13539</v>
      </c>
      <c r="D17462" s="18">
        <v>2023</v>
      </c>
      <c r="E17462" s="18" t="s">
        <v>45</v>
      </c>
      <c r="F17462" s="41">
        <v>1</v>
      </c>
      <c r="G17462" s="41">
        <v>70</v>
      </c>
      <c r="H17462" s="41">
        <v>299.70008000000001</v>
      </c>
      <c r="I17462" s="221"/>
      <c r="J17462" s="221"/>
    </row>
    <row r="17463" spans="1:10" s="15" customFormat="1" ht="30.75" hidden="1" customHeight="1" outlineLevel="1" x14ac:dyDescent="0.25">
      <c r="A17463" s="18">
        <v>5156</v>
      </c>
      <c r="B17463" s="4" t="s">
        <v>44</v>
      </c>
      <c r="C17463" s="38" t="s">
        <v>13540</v>
      </c>
      <c r="D17463" s="18">
        <v>2023</v>
      </c>
      <c r="E17463" s="18" t="s">
        <v>45</v>
      </c>
      <c r="F17463" s="41">
        <v>1</v>
      </c>
      <c r="G17463" s="41">
        <v>130</v>
      </c>
      <c r="H17463" s="41">
        <v>484.33972999999997</v>
      </c>
      <c r="I17463" s="221"/>
      <c r="J17463" s="221"/>
    </row>
    <row r="17464" spans="1:10" s="15" customFormat="1" ht="30.75" hidden="1" customHeight="1" outlineLevel="1" x14ac:dyDescent="0.25">
      <c r="A17464" s="18">
        <v>2982</v>
      </c>
      <c r="B17464" s="4" t="s">
        <v>44</v>
      </c>
      <c r="C17464" s="38" t="s">
        <v>9237</v>
      </c>
      <c r="D17464" s="18">
        <v>2023</v>
      </c>
      <c r="E17464" s="18" t="s">
        <v>45</v>
      </c>
      <c r="F17464" s="41">
        <v>1</v>
      </c>
      <c r="G17464" s="41">
        <v>150</v>
      </c>
      <c r="H17464" s="41">
        <v>773</v>
      </c>
      <c r="I17464" s="221"/>
      <c r="J17464" s="221"/>
    </row>
    <row r="17465" spans="1:10" s="15" customFormat="1" ht="30.75" hidden="1" customHeight="1" outlineLevel="1" x14ac:dyDescent="0.25">
      <c r="A17465" s="18">
        <v>5033</v>
      </c>
      <c r="B17465" s="4" t="s">
        <v>44</v>
      </c>
      <c r="C17465" s="38" t="s">
        <v>13541</v>
      </c>
      <c r="D17465" s="18">
        <v>2023</v>
      </c>
      <c r="E17465" s="18" t="s">
        <v>45</v>
      </c>
      <c r="F17465" s="41">
        <v>1</v>
      </c>
      <c r="G17465" s="41">
        <v>100</v>
      </c>
      <c r="H17465" s="41">
        <v>503.05781999999999</v>
      </c>
      <c r="I17465" s="221"/>
      <c r="J17465" s="221"/>
    </row>
    <row r="17466" spans="1:10" s="15" customFormat="1" ht="30.75" hidden="1" customHeight="1" outlineLevel="1" x14ac:dyDescent="0.25">
      <c r="A17466" s="18">
        <v>3432</v>
      </c>
      <c r="B17466" s="4" t="s">
        <v>44</v>
      </c>
      <c r="C17466" s="38" t="s">
        <v>13542</v>
      </c>
      <c r="D17466" s="18">
        <v>2023</v>
      </c>
      <c r="E17466" s="18" t="s">
        <v>45</v>
      </c>
      <c r="F17466" s="41">
        <v>1</v>
      </c>
      <c r="G17466" s="41">
        <v>150</v>
      </c>
      <c r="H17466" s="41">
        <v>490.55615999999998</v>
      </c>
      <c r="I17466" s="221"/>
      <c r="J17466" s="221"/>
    </row>
    <row r="17467" spans="1:10" s="15" customFormat="1" ht="30.75" hidden="1" customHeight="1" outlineLevel="1" x14ac:dyDescent="0.25">
      <c r="A17467" s="18">
        <v>5508</v>
      </c>
      <c r="B17467" s="4" t="s">
        <v>44</v>
      </c>
      <c r="C17467" s="38" t="s">
        <v>13543</v>
      </c>
      <c r="D17467" s="18">
        <v>2023</v>
      </c>
      <c r="E17467" s="18" t="s">
        <v>45</v>
      </c>
      <c r="F17467" s="41">
        <v>1</v>
      </c>
      <c r="G17467" s="41">
        <v>110</v>
      </c>
      <c r="H17467" s="41">
        <v>483.67806000000002</v>
      </c>
      <c r="I17467" s="221"/>
      <c r="J17467" s="221"/>
    </row>
    <row r="17468" spans="1:10" s="15" customFormat="1" ht="30.75" hidden="1" customHeight="1" outlineLevel="1" x14ac:dyDescent="0.25">
      <c r="A17468" s="18">
        <v>5613</v>
      </c>
      <c r="B17468" s="4" t="s">
        <v>44</v>
      </c>
      <c r="C17468" s="38" t="s">
        <v>13544</v>
      </c>
      <c r="D17468" s="18">
        <v>2023</v>
      </c>
      <c r="E17468" s="18" t="s">
        <v>45</v>
      </c>
      <c r="F17468" s="41">
        <v>1</v>
      </c>
      <c r="G17468" s="41">
        <v>150</v>
      </c>
      <c r="H17468" s="41">
        <v>481.13683000000003</v>
      </c>
      <c r="I17468" s="221"/>
      <c r="J17468" s="221"/>
    </row>
    <row r="17469" spans="1:10" s="15" customFormat="1" ht="30.75" hidden="1" customHeight="1" outlineLevel="1" x14ac:dyDescent="0.25">
      <c r="A17469" s="18">
        <v>5614</v>
      </c>
      <c r="B17469" s="4" t="s">
        <v>44</v>
      </c>
      <c r="C17469" s="38" t="s">
        <v>13545</v>
      </c>
      <c r="D17469" s="18">
        <v>2023</v>
      </c>
      <c r="E17469" s="18" t="s">
        <v>45</v>
      </c>
      <c r="F17469" s="41">
        <v>1</v>
      </c>
      <c r="G17469" s="41">
        <v>150</v>
      </c>
      <c r="H17469" s="41">
        <v>481.13671000000005</v>
      </c>
      <c r="I17469" s="221"/>
      <c r="J17469" s="221"/>
    </row>
    <row r="17470" spans="1:10" s="15" customFormat="1" ht="30.75" hidden="1" customHeight="1" outlineLevel="1" x14ac:dyDescent="0.25">
      <c r="A17470" s="18">
        <v>5615</v>
      </c>
      <c r="B17470" s="4" t="s">
        <v>44</v>
      </c>
      <c r="C17470" s="38" t="s">
        <v>13546</v>
      </c>
      <c r="D17470" s="18">
        <v>2023</v>
      </c>
      <c r="E17470" s="18" t="s">
        <v>45</v>
      </c>
      <c r="F17470" s="41">
        <v>1</v>
      </c>
      <c r="G17470" s="41">
        <v>150</v>
      </c>
      <c r="H17470" s="41">
        <v>481.13683000000003</v>
      </c>
      <c r="I17470" s="221"/>
      <c r="J17470" s="221"/>
    </row>
    <row r="17471" spans="1:10" s="15" customFormat="1" ht="30.75" hidden="1" customHeight="1" outlineLevel="1" x14ac:dyDescent="0.25">
      <c r="A17471" s="18">
        <v>5616</v>
      </c>
      <c r="B17471" s="4" t="s">
        <v>44</v>
      </c>
      <c r="C17471" s="38" t="s">
        <v>13547</v>
      </c>
      <c r="D17471" s="18">
        <v>2023</v>
      </c>
      <c r="E17471" s="18" t="s">
        <v>45</v>
      </c>
      <c r="F17471" s="41">
        <v>1</v>
      </c>
      <c r="G17471" s="41">
        <v>150</v>
      </c>
      <c r="H17471" s="41">
        <v>482.06972999999999</v>
      </c>
      <c r="I17471" s="221"/>
      <c r="J17471" s="221"/>
    </row>
    <row r="17472" spans="1:10" s="15" customFormat="1" ht="30.75" hidden="1" customHeight="1" outlineLevel="1" x14ac:dyDescent="0.25">
      <c r="A17472" s="18">
        <v>5617</v>
      </c>
      <c r="B17472" s="4" t="s">
        <v>44</v>
      </c>
      <c r="C17472" s="38" t="s">
        <v>13548</v>
      </c>
      <c r="D17472" s="18">
        <v>2023</v>
      </c>
      <c r="E17472" s="18" t="s">
        <v>45</v>
      </c>
      <c r="F17472" s="41">
        <v>1</v>
      </c>
      <c r="G17472" s="41">
        <v>150</v>
      </c>
      <c r="H17472" s="41">
        <v>482.06972999999999</v>
      </c>
      <c r="I17472" s="221"/>
      <c r="J17472" s="221"/>
    </row>
    <row r="17473" spans="1:10" s="15" customFormat="1" ht="30.75" hidden="1" customHeight="1" outlineLevel="1" x14ac:dyDescent="0.25">
      <c r="A17473" s="18">
        <v>5618</v>
      </c>
      <c r="B17473" s="4" t="s">
        <v>44</v>
      </c>
      <c r="C17473" s="38" t="s">
        <v>13549</v>
      </c>
      <c r="D17473" s="18">
        <v>2023</v>
      </c>
      <c r="E17473" s="18" t="s">
        <v>45</v>
      </c>
      <c r="F17473" s="41">
        <v>1</v>
      </c>
      <c r="G17473" s="41">
        <v>150</v>
      </c>
      <c r="H17473" s="41">
        <v>481.13677000000001</v>
      </c>
      <c r="I17473" s="221"/>
      <c r="J17473" s="221"/>
    </row>
    <row r="17474" spans="1:10" s="15" customFormat="1" ht="30.75" hidden="1" customHeight="1" outlineLevel="1" x14ac:dyDescent="0.25">
      <c r="A17474" s="18">
        <v>5619</v>
      </c>
      <c r="B17474" s="4" t="s">
        <v>44</v>
      </c>
      <c r="C17474" s="38" t="s">
        <v>13550</v>
      </c>
      <c r="D17474" s="18">
        <v>2023</v>
      </c>
      <c r="E17474" s="18" t="s">
        <v>45</v>
      </c>
      <c r="F17474" s="41">
        <v>1</v>
      </c>
      <c r="G17474" s="41">
        <v>150</v>
      </c>
      <c r="H17474" s="41">
        <v>481.13683000000003</v>
      </c>
      <c r="I17474" s="221"/>
      <c r="J17474" s="221"/>
    </row>
    <row r="17475" spans="1:10" s="15" customFormat="1" ht="30.75" hidden="1" customHeight="1" outlineLevel="1" x14ac:dyDescent="0.25">
      <c r="A17475" s="18">
        <v>5620</v>
      </c>
      <c r="B17475" s="4" t="s">
        <v>44</v>
      </c>
      <c r="C17475" s="38" t="s">
        <v>13551</v>
      </c>
      <c r="D17475" s="18">
        <v>2023</v>
      </c>
      <c r="E17475" s="18" t="s">
        <v>45</v>
      </c>
      <c r="F17475" s="41">
        <v>1</v>
      </c>
      <c r="G17475" s="41">
        <v>150</v>
      </c>
      <c r="H17475" s="41">
        <v>481.13682</v>
      </c>
      <c r="I17475" s="221"/>
      <c r="J17475" s="221"/>
    </row>
    <row r="17476" spans="1:10" s="15" customFormat="1" ht="30.75" hidden="1" customHeight="1" outlineLevel="1" x14ac:dyDescent="0.25">
      <c r="A17476" s="18">
        <v>5742</v>
      </c>
      <c r="B17476" s="4" t="s">
        <v>44</v>
      </c>
      <c r="C17476" s="38" t="s">
        <v>13552</v>
      </c>
      <c r="D17476" s="18">
        <v>2023</v>
      </c>
      <c r="E17476" s="18" t="s">
        <v>45</v>
      </c>
      <c r="F17476" s="41">
        <v>1</v>
      </c>
      <c r="G17476" s="41">
        <v>150</v>
      </c>
      <c r="H17476" s="41">
        <v>494.34734000000003</v>
      </c>
      <c r="I17476" s="221"/>
      <c r="J17476" s="221"/>
    </row>
    <row r="17477" spans="1:10" s="15" customFormat="1" ht="30.75" hidden="1" customHeight="1" outlineLevel="1" x14ac:dyDescent="0.25">
      <c r="A17477" s="18">
        <v>5743</v>
      </c>
      <c r="B17477" s="4" t="s">
        <v>44</v>
      </c>
      <c r="C17477" s="38" t="s">
        <v>13553</v>
      </c>
      <c r="D17477" s="18">
        <v>2023</v>
      </c>
      <c r="E17477" s="18" t="s">
        <v>45</v>
      </c>
      <c r="F17477" s="41">
        <v>1</v>
      </c>
      <c r="G17477" s="41">
        <v>40</v>
      </c>
      <c r="H17477" s="41">
        <v>494.34734000000003</v>
      </c>
      <c r="I17477" s="221"/>
      <c r="J17477" s="221"/>
    </row>
    <row r="17478" spans="1:10" s="15" customFormat="1" ht="30.75" hidden="1" customHeight="1" outlineLevel="1" x14ac:dyDescent="0.25">
      <c r="A17478" s="18">
        <v>5744</v>
      </c>
      <c r="B17478" s="4" t="s">
        <v>44</v>
      </c>
      <c r="C17478" s="38" t="s">
        <v>13554</v>
      </c>
      <c r="D17478" s="18">
        <v>2023</v>
      </c>
      <c r="E17478" s="18" t="s">
        <v>45</v>
      </c>
      <c r="F17478" s="41">
        <v>1</v>
      </c>
      <c r="G17478" s="41">
        <v>150</v>
      </c>
      <c r="H17478" s="41">
        <v>476.72775999999999</v>
      </c>
      <c r="I17478" s="221"/>
      <c r="J17478" s="221"/>
    </row>
    <row r="17479" spans="1:10" s="15" customFormat="1" ht="30.75" hidden="1" customHeight="1" outlineLevel="1" x14ac:dyDescent="0.25">
      <c r="A17479" s="18">
        <v>3419</v>
      </c>
      <c r="B17479" s="4" t="s">
        <v>44</v>
      </c>
      <c r="C17479" s="38" t="s">
        <v>13555</v>
      </c>
      <c r="D17479" s="18">
        <v>2023</v>
      </c>
      <c r="E17479" s="18" t="s">
        <v>45</v>
      </c>
      <c r="F17479" s="41">
        <v>1</v>
      </c>
      <c r="G17479" s="41">
        <v>11.33</v>
      </c>
      <c r="H17479" s="41">
        <v>328.16737999999998</v>
      </c>
      <c r="I17479" s="221"/>
      <c r="J17479" s="221"/>
    </row>
    <row r="17480" spans="1:10" s="15" customFormat="1" ht="30.75" hidden="1" customHeight="1" outlineLevel="1" x14ac:dyDescent="0.25">
      <c r="A17480" s="18">
        <v>5747</v>
      </c>
      <c r="B17480" s="4" t="s">
        <v>44</v>
      </c>
      <c r="C17480" s="38" t="s">
        <v>13556</v>
      </c>
      <c r="D17480" s="18">
        <v>2023</v>
      </c>
      <c r="E17480" s="18" t="s">
        <v>45</v>
      </c>
      <c r="F17480" s="41">
        <v>1</v>
      </c>
      <c r="G17480" s="41">
        <v>150</v>
      </c>
      <c r="H17480" s="41">
        <v>487.05092000000002</v>
      </c>
      <c r="I17480" s="221"/>
      <c r="J17480" s="221"/>
    </row>
    <row r="17481" spans="1:10" s="15" customFormat="1" ht="30.75" hidden="1" customHeight="1" outlineLevel="1" x14ac:dyDescent="0.25">
      <c r="A17481" s="18">
        <v>5748</v>
      </c>
      <c r="B17481" s="4" t="s">
        <v>44</v>
      </c>
      <c r="C17481" s="38" t="s">
        <v>13557</v>
      </c>
      <c r="D17481" s="18">
        <v>2023</v>
      </c>
      <c r="E17481" s="18" t="s">
        <v>45</v>
      </c>
      <c r="F17481" s="41">
        <v>1</v>
      </c>
      <c r="G17481" s="41">
        <v>150</v>
      </c>
      <c r="H17481" s="41">
        <v>487.05092000000002</v>
      </c>
      <c r="I17481" s="221"/>
      <c r="J17481" s="221"/>
    </row>
    <row r="17482" spans="1:10" s="15" customFormat="1" ht="30.75" hidden="1" customHeight="1" outlineLevel="1" x14ac:dyDescent="0.25">
      <c r="A17482" s="18">
        <v>5749</v>
      </c>
      <c r="B17482" s="4" t="s">
        <v>44</v>
      </c>
      <c r="C17482" s="38" t="s">
        <v>13558</v>
      </c>
      <c r="D17482" s="18">
        <v>2023</v>
      </c>
      <c r="E17482" s="18" t="s">
        <v>45</v>
      </c>
      <c r="F17482" s="41">
        <v>1</v>
      </c>
      <c r="G17482" s="41">
        <v>12</v>
      </c>
      <c r="H17482" s="41">
        <v>487.05002000000002</v>
      </c>
      <c r="I17482" s="221"/>
      <c r="J17482" s="221"/>
    </row>
    <row r="17483" spans="1:10" s="15" customFormat="1" ht="30.75" hidden="1" customHeight="1" outlineLevel="1" x14ac:dyDescent="0.25">
      <c r="A17483" s="18">
        <v>5750</v>
      </c>
      <c r="B17483" s="4" t="s">
        <v>44</v>
      </c>
      <c r="C17483" s="38" t="s">
        <v>13559</v>
      </c>
      <c r="D17483" s="18">
        <v>2023</v>
      </c>
      <c r="E17483" s="18" t="s">
        <v>45</v>
      </c>
      <c r="F17483" s="41">
        <v>1</v>
      </c>
      <c r="G17483" s="41">
        <v>150</v>
      </c>
      <c r="H17483" s="41">
        <v>477.18840999999998</v>
      </c>
      <c r="I17483" s="221"/>
      <c r="J17483" s="221"/>
    </row>
    <row r="17484" spans="1:10" s="15" customFormat="1" ht="30.75" hidden="1" customHeight="1" outlineLevel="1" x14ac:dyDescent="0.25">
      <c r="A17484" s="18">
        <v>3422</v>
      </c>
      <c r="B17484" s="4" t="s">
        <v>44</v>
      </c>
      <c r="C17484" s="38" t="s">
        <v>13560</v>
      </c>
      <c r="D17484" s="18">
        <v>2023</v>
      </c>
      <c r="E17484" s="18" t="s">
        <v>45</v>
      </c>
      <c r="F17484" s="41">
        <v>1</v>
      </c>
      <c r="G17484" s="41">
        <v>300</v>
      </c>
      <c r="H17484" s="41">
        <v>978.5157099999999</v>
      </c>
      <c r="I17484" s="221"/>
      <c r="J17484" s="221"/>
    </row>
    <row r="17485" spans="1:10" s="15" customFormat="1" ht="30.75" hidden="1" customHeight="1" outlineLevel="1" x14ac:dyDescent="0.25">
      <c r="A17485" s="18">
        <v>5751</v>
      </c>
      <c r="B17485" s="4" t="s">
        <v>44</v>
      </c>
      <c r="C17485" s="38" t="s">
        <v>13561</v>
      </c>
      <c r="D17485" s="18">
        <v>2023</v>
      </c>
      <c r="E17485" s="18" t="s">
        <v>45</v>
      </c>
      <c r="F17485" s="41">
        <v>1</v>
      </c>
      <c r="G17485" s="41">
        <v>98.9</v>
      </c>
      <c r="H17485" s="41">
        <v>486.86577000000005</v>
      </c>
      <c r="I17485" s="221"/>
      <c r="J17485" s="221"/>
    </row>
    <row r="17486" spans="1:10" s="15" customFormat="1" ht="30.75" hidden="1" customHeight="1" outlineLevel="1" x14ac:dyDescent="0.25">
      <c r="A17486" s="18">
        <v>3421</v>
      </c>
      <c r="B17486" s="4" t="s">
        <v>44</v>
      </c>
      <c r="C17486" s="38" t="s">
        <v>13562</v>
      </c>
      <c r="D17486" s="18">
        <v>2023</v>
      </c>
      <c r="E17486" s="18" t="s">
        <v>45</v>
      </c>
      <c r="F17486" s="41">
        <v>1</v>
      </c>
      <c r="G17486" s="41">
        <v>300</v>
      </c>
      <c r="H17486" s="41">
        <v>1131.16832</v>
      </c>
      <c r="I17486" s="221"/>
      <c r="J17486" s="221"/>
    </row>
    <row r="17487" spans="1:10" s="15" customFormat="1" ht="30.75" hidden="1" customHeight="1" outlineLevel="1" x14ac:dyDescent="0.25">
      <c r="A17487" s="18">
        <v>5513</v>
      </c>
      <c r="B17487" s="4" t="s">
        <v>44</v>
      </c>
      <c r="C17487" s="38" t="s">
        <v>13563</v>
      </c>
      <c r="D17487" s="18">
        <v>2023</v>
      </c>
      <c r="E17487" s="18" t="s">
        <v>45</v>
      </c>
      <c r="F17487" s="41">
        <v>1</v>
      </c>
      <c r="G17487" s="41">
        <v>550</v>
      </c>
      <c r="H17487" s="41">
        <v>974.87566000000004</v>
      </c>
      <c r="I17487" s="221"/>
      <c r="J17487" s="221"/>
    </row>
    <row r="17488" spans="1:10" s="15" customFormat="1" ht="30" hidden="1" customHeight="1" outlineLevel="1" x14ac:dyDescent="0.25">
      <c r="A17488" s="128">
        <v>4500</v>
      </c>
      <c r="B17488" s="4" t="s">
        <v>44</v>
      </c>
      <c r="C17488" s="38" t="s">
        <v>9114</v>
      </c>
      <c r="D17488" s="18">
        <v>2023</v>
      </c>
      <c r="E17488" s="18" t="s">
        <v>24</v>
      </c>
      <c r="F17488" s="4">
        <v>1</v>
      </c>
      <c r="G17488" s="4">
        <v>119.8</v>
      </c>
      <c r="H17488" s="41">
        <v>797.05283000000009</v>
      </c>
      <c r="I17488" s="221"/>
      <c r="J17488" s="221"/>
    </row>
    <row r="17489" spans="1:36" s="15" customFormat="1" ht="30" hidden="1" customHeight="1" outlineLevel="1" x14ac:dyDescent="0.25">
      <c r="A17489" s="128">
        <v>4502</v>
      </c>
      <c r="B17489" s="4" t="s">
        <v>44</v>
      </c>
      <c r="C17489" s="38" t="s">
        <v>9115</v>
      </c>
      <c r="D17489" s="18">
        <v>2023</v>
      </c>
      <c r="E17489" s="18" t="s">
        <v>24</v>
      </c>
      <c r="F17489" s="4">
        <v>1</v>
      </c>
      <c r="G17489" s="4">
        <v>109.8</v>
      </c>
      <c r="H17489" s="41">
        <v>779.30266999999992</v>
      </c>
      <c r="I17489" s="221"/>
      <c r="J17489" s="221"/>
    </row>
    <row r="17490" spans="1:36" s="15" customFormat="1" ht="30" hidden="1" customHeight="1" outlineLevel="1" x14ac:dyDescent="0.25">
      <c r="A17490" s="128">
        <v>4418</v>
      </c>
      <c r="B17490" s="4" t="s">
        <v>44</v>
      </c>
      <c r="C17490" s="38" t="s">
        <v>9239</v>
      </c>
      <c r="D17490" s="23">
        <v>2023</v>
      </c>
      <c r="E17490" s="23" t="s">
        <v>24</v>
      </c>
      <c r="F17490" s="6">
        <v>1</v>
      </c>
      <c r="G17490" s="6">
        <v>1000</v>
      </c>
      <c r="H17490" s="40">
        <v>871.74856999999997</v>
      </c>
      <c r="I17490" s="212"/>
      <c r="J17490" s="212"/>
    </row>
    <row r="17491" spans="1:36" s="15" customFormat="1" ht="30.75" hidden="1" customHeight="1" outlineLevel="1" x14ac:dyDescent="0.25">
      <c r="A17491" s="18">
        <v>5960</v>
      </c>
      <c r="B17491" s="4" t="s">
        <v>44</v>
      </c>
      <c r="C17491" s="38" t="s">
        <v>13564</v>
      </c>
      <c r="D17491" s="18">
        <v>2023</v>
      </c>
      <c r="E17491" s="18" t="s">
        <v>45</v>
      </c>
      <c r="F17491" s="41">
        <v>1</v>
      </c>
      <c r="G17491" s="41">
        <v>550</v>
      </c>
      <c r="H17491" s="41">
        <v>513.5790300000001</v>
      </c>
      <c r="I17491" s="221"/>
      <c r="J17491" s="221"/>
    </row>
    <row r="17492" spans="1:36" s="15" customFormat="1" ht="30.75" hidden="1" customHeight="1" outlineLevel="1" x14ac:dyDescent="0.25">
      <c r="A17492" s="18">
        <v>5961</v>
      </c>
      <c r="B17492" s="4" t="s">
        <v>44</v>
      </c>
      <c r="C17492" s="38" t="s">
        <v>13565</v>
      </c>
      <c r="D17492" s="18">
        <v>2023</v>
      </c>
      <c r="E17492" s="18" t="s">
        <v>45</v>
      </c>
      <c r="F17492" s="41">
        <v>1</v>
      </c>
      <c r="G17492" s="41">
        <v>150</v>
      </c>
      <c r="H17492" s="41">
        <v>513.5790300000001</v>
      </c>
      <c r="I17492" s="221"/>
      <c r="J17492" s="221"/>
    </row>
    <row r="17493" spans="1:36" s="15" customFormat="1" ht="30.75" hidden="1" customHeight="1" outlineLevel="1" x14ac:dyDescent="0.25">
      <c r="A17493" s="18">
        <v>5962</v>
      </c>
      <c r="B17493" s="4" t="s">
        <v>44</v>
      </c>
      <c r="C17493" s="38" t="s">
        <v>13566</v>
      </c>
      <c r="D17493" s="18">
        <v>2023</v>
      </c>
      <c r="E17493" s="18" t="s">
        <v>45</v>
      </c>
      <c r="F17493" s="41">
        <v>1</v>
      </c>
      <c r="G17493" s="41">
        <v>500</v>
      </c>
      <c r="H17493" s="41">
        <v>513.5790300000001</v>
      </c>
      <c r="I17493" s="221"/>
      <c r="J17493" s="221"/>
    </row>
    <row r="17494" spans="1:36" s="15" customFormat="1" ht="30.75" hidden="1" customHeight="1" outlineLevel="1" x14ac:dyDescent="0.25">
      <c r="A17494" s="18">
        <v>5963</v>
      </c>
      <c r="B17494" s="4" t="s">
        <v>44</v>
      </c>
      <c r="C17494" s="38" t="s">
        <v>13567</v>
      </c>
      <c r="D17494" s="18">
        <v>2023</v>
      </c>
      <c r="E17494" s="18" t="s">
        <v>45</v>
      </c>
      <c r="F17494" s="41">
        <v>1</v>
      </c>
      <c r="G17494" s="41">
        <v>420</v>
      </c>
      <c r="H17494" s="41">
        <v>513.5790300000001</v>
      </c>
      <c r="I17494" s="221"/>
      <c r="J17494" s="221"/>
    </row>
    <row r="17495" spans="1:36" s="15" customFormat="1" ht="30.75" hidden="1" customHeight="1" outlineLevel="1" x14ac:dyDescent="0.25">
      <c r="A17495" s="18">
        <v>5964</v>
      </c>
      <c r="B17495" s="4" t="s">
        <v>44</v>
      </c>
      <c r="C17495" s="38" t="s">
        <v>13568</v>
      </c>
      <c r="D17495" s="18">
        <v>2023</v>
      </c>
      <c r="E17495" s="18" t="s">
        <v>45</v>
      </c>
      <c r="F17495" s="41">
        <v>1</v>
      </c>
      <c r="G17495" s="41">
        <v>400</v>
      </c>
      <c r="H17495" s="41">
        <v>513.5790300000001</v>
      </c>
      <c r="I17495" s="221"/>
      <c r="J17495" s="221"/>
    </row>
    <row r="17496" spans="1:36" s="15" customFormat="1" ht="30.75" hidden="1" customHeight="1" outlineLevel="1" x14ac:dyDescent="0.25">
      <c r="A17496" s="18">
        <v>6028</v>
      </c>
      <c r="B17496" s="4" t="s">
        <v>44</v>
      </c>
      <c r="C17496" s="38" t="s">
        <v>13569</v>
      </c>
      <c r="D17496" s="18">
        <v>2023</v>
      </c>
      <c r="E17496" s="18" t="s">
        <v>45</v>
      </c>
      <c r="F17496" s="41">
        <v>1</v>
      </c>
      <c r="G17496" s="41">
        <v>150</v>
      </c>
      <c r="H17496" s="41">
        <v>505.50671999999997</v>
      </c>
      <c r="I17496" s="221"/>
      <c r="J17496" s="221"/>
    </row>
    <row r="17497" spans="1:36" s="15" customFormat="1" ht="30.75" hidden="1" customHeight="1" outlineLevel="1" x14ac:dyDescent="0.25">
      <c r="A17497" s="18">
        <v>6029</v>
      </c>
      <c r="B17497" s="4" t="s">
        <v>44</v>
      </c>
      <c r="C17497" s="38" t="s">
        <v>13570</v>
      </c>
      <c r="D17497" s="18">
        <v>2023</v>
      </c>
      <c r="E17497" s="18" t="s">
        <v>45</v>
      </c>
      <c r="F17497" s="41">
        <v>1</v>
      </c>
      <c r="G17497" s="41">
        <v>150</v>
      </c>
      <c r="H17497" s="41">
        <v>505.50671999999997</v>
      </c>
      <c r="I17497" s="221"/>
      <c r="J17497" s="221"/>
    </row>
    <row r="17498" spans="1:36" s="15" customFormat="1" ht="30.75" hidden="1" customHeight="1" outlineLevel="1" x14ac:dyDescent="0.25">
      <c r="A17498" s="18">
        <v>6030</v>
      </c>
      <c r="B17498" s="4" t="s">
        <v>44</v>
      </c>
      <c r="C17498" s="38" t="s">
        <v>13571</v>
      </c>
      <c r="D17498" s="18">
        <v>2023</v>
      </c>
      <c r="E17498" s="18" t="s">
        <v>45</v>
      </c>
      <c r="F17498" s="41">
        <v>1</v>
      </c>
      <c r="G17498" s="41">
        <v>150</v>
      </c>
      <c r="H17498" s="41">
        <v>505.50671999999997</v>
      </c>
      <c r="I17498" s="221"/>
      <c r="J17498" s="221"/>
    </row>
    <row r="17499" spans="1:36" s="15" customFormat="1" ht="30.75" hidden="1" customHeight="1" outlineLevel="1" x14ac:dyDescent="0.25">
      <c r="A17499" s="18">
        <v>6031</v>
      </c>
      <c r="B17499" s="4" t="s">
        <v>44</v>
      </c>
      <c r="C17499" s="38" t="s">
        <v>13572</v>
      </c>
      <c r="D17499" s="18">
        <v>2023</v>
      </c>
      <c r="E17499" s="18" t="s">
        <v>45</v>
      </c>
      <c r="F17499" s="41">
        <v>1</v>
      </c>
      <c r="G17499" s="41">
        <v>150</v>
      </c>
      <c r="H17499" s="41">
        <v>505.50671999999997</v>
      </c>
      <c r="I17499" s="221"/>
      <c r="J17499" s="221"/>
    </row>
    <row r="17500" spans="1:36" s="15" customFormat="1" ht="30.75" hidden="1" customHeight="1" outlineLevel="1" x14ac:dyDescent="0.25">
      <c r="A17500" s="18">
        <v>6032</v>
      </c>
      <c r="B17500" s="4" t="s">
        <v>44</v>
      </c>
      <c r="C17500" s="38" t="s">
        <v>13573</v>
      </c>
      <c r="D17500" s="18">
        <v>2023</v>
      </c>
      <c r="E17500" s="18" t="s">
        <v>45</v>
      </c>
      <c r="F17500" s="41">
        <v>1</v>
      </c>
      <c r="G17500" s="41">
        <v>150</v>
      </c>
      <c r="H17500" s="41">
        <v>505.50673</v>
      </c>
      <c r="I17500" s="221"/>
      <c r="J17500" s="221"/>
    </row>
    <row r="17501" spans="1:36" s="15" customFormat="1" ht="30.75" hidden="1" customHeight="1" outlineLevel="1" x14ac:dyDescent="0.25">
      <c r="A17501" s="18">
        <v>6033</v>
      </c>
      <c r="B17501" s="4" t="s">
        <v>44</v>
      </c>
      <c r="C17501" s="38" t="s">
        <v>13574</v>
      </c>
      <c r="D17501" s="18">
        <v>2023</v>
      </c>
      <c r="E17501" s="18" t="s">
        <v>45</v>
      </c>
      <c r="F17501" s="41">
        <v>1</v>
      </c>
      <c r="G17501" s="41">
        <v>150</v>
      </c>
      <c r="H17501" s="41">
        <v>505.50671999999997</v>
      </c>
      <c r="I17501" s="221"/>
      <c r="J17501" s="221"/>
    </row>
    <row r="17502" spans="1:36" s="15" customFormat="1" ht="15.75" hidden="1" outlineLevel="1" x14ac:dyDescent="0.25">
      <c r="A17502" s="18"/>
      <c r="B17502" s="4" t="s">
        <v>44</v>
      </c>
      <c r="C17502" s="38"/>
      <c r="D17502" s="18">
        <v>2021</v>
      </c>
      <c r="E17502" s="36" t="s">
        <v>45</v>
      </c>
      <c r="F17502" s="4"/>
      <c r="G17502" s="41"/>
      <c r="H17502" s="121"/>
      <c r="I17502" s="237"/>
      <c r="J17502" s="237"/>
    </row>
    <row r="17503" spans="1:36" s="15" customFormat="1" ht="31.5" collapsed="1" x14ac:dyDescent="0.25">
      <c r="A17503" s="18"/>
      <c r="B17503" s="60" t="s">
        <v>51</v>
      </c>
      <c r="C17503" s="80" t="s">
        <v>2124</v>
      </c>
      <c r="D17503" s="67"/>
      <c r="E17503" s="68" t="s">
        <v>0</v>
      </c>
      <c r="F17503" s="60"/>
      <c r="G17503" s="60"/>
      <c r="H17503" s="60"/>
      <c r="I17503" s="214"/>
      <c r="J17503" s="214"/>
    </row>
    <row r="17504" spans="1:36" s="21" customFormat="1" ht="15.75" customHeight="1" x14ac:dyDescent="0.25">
      <c r="A17504" s="18"/>
      <c r="B17504" s="7" t="s">
        <v>51</v>
      </c>
      <c r="C17504" s="8" t="s">
        <v>57</v>
      </c>
      <c r="D17504" s="19">
        <v>2021</v>
      </c>
      <c r="E17504" s="19" t="s">
        <v>0</v>
      </c>
      <c r="F17504" s="7">
        <f>SUMIF($D$17507:$D$17685,$D$17504,$F$17507:$F$17685)</f>
        <v>38</v>
      </c>
      <c r="G17504" s="7">
        <f>SUMIF($D$17507:$D$17685,$D$17504,$G$17507:$G$17685)</f>
        <v>3557</v>
      </c>
      <c r="H17504" s="10">
        <f>SUMIF($D$17507:$D$17685,$D$17504,$H$17507:$H$17685)</f>
        <v>2053.3974200000002</v>
      </c>
      <c r="I17504" s="205"/>
      <c r="J17504" s="205"/>
      <c r="K17504" s="15"/>
      <c r="L17504" s="15"/>
      <c r="M17504" s="15"/>
      <c r="N17504" s="15"/>
      <c r="O17504" s="15"/>
      <c r="P17504" s="15"/>
      <c r="Q17504" s="15"/>
      <c r="R17504" s="15"/>
      <c r="S17504" s="15"/>
      <c r="T17504" s="15"/>
      <c r="U17504" s="15"/>
      <c r="V17504" s="15"/>
      <c r="W17504" s="15"/>
      <c r="X17504" s="15"/>
      <c r="Y17504" s="15"/>
      <c r="Z17504" s="15"/>
      <c r="AA17504" s="15"/>
      <c r="AB17504" s="15"/>
      <c r="AC17504" s="15"/>
      <c r="AD17504" s="15"/>
      <c r="AE17504" s="15"/>
      <c r="AF17504" s="15"/>
      <c r="AG17504" s="15"/>
      <c r="AH17504" s="15"/>
      <c r="AI17504" s="15"/>
      <c r="AJ17504" s="15"/>
    </row>
    <row r="17505" spans="1:36" s="27" customFormat="1" ht="15.75" x14ac:dyDescent="0.25">
      <c r="A17505" s="18"/>
      <c r="B17505" s="7" t="s">
        <v>51</v>
      </c>
      <c r="C17505" s="8" t="s">
        <v>57</v>
      </c>
      <c r="D17505" s="19">
        <v>2022</v>
      </c>
      <c r="E17505" s="19" t="s">
        <v>0</v>
      </c>
      <c r="F17505" s="7">
        <f>SUMIF($D$17507:$D$17685,$D$17505,$F$17507:$F$17685)</f>
        <v>53</v>
      </c>
      <c r="G17505" s="7">
        <f>SUMIF($D$17507:$D$17685,$D$17505,$G$17507:$G$17685)</f>
        <v>2966.6</v>
      </c>
      <c r="H17505" s="10">
        <f>SUMIF($D$17507:$D$17685,$D$17505,$H$17507:$H$17685)</f>
        <v>4094.3437400000003</v>
      </c>
      <c r="I17505" s="205"/>
      <c r="J17505" s="205"/>
      <c r="K17505" s="15"/>
      <c r="L17505" s="15"/>
      <c r="M17505" s="15"/>
      <c r="N17505" s="15"/>
      <c r="O17505" s="15"/>
      <c r="P17505" s="15"/>
      <c r="Q17505" s="15"/>
      <c r="R17505" s="15"/>
      <c r="S17505" s="15"/>
      <c r="T17505" s="15"/>
      <c r="U17505" s="15"/>
      <c r="V17505" s="15"/>
      <c r="W17505" s="15"/>
      <c r="X17505" s="15"/>
      <c r="Y17505" s="15"/>
      <c r="Z17505" s="15"/>
      <c r="AA17505" s="15"/>
      <c r="AB17505" s="15"/>
      <c r="AC17505" s="15"/>
      <c r="AD17505" s="15"/>
      <c r="AE17505" s="15"/>
      <c r="AF17505" s="15"/>
      <c r="AG17505" s="15"/>
      <c r="AH17505" s="15"/>
      <c r="AI17505" s="15"/>
      <c r="AJ17505" s="15"/>
    </row>
    <row r="17506" spans="1:36" s="27" customFormat="1" ht="15.75" x14ac:dyDescent="0.25">
      <c r="A17506" s="90"/>
      <c r="B17506" s="7" t="s">
        <v>51</v>
      </c>
      <c r="C17506" s="8" t="s">
        <v>57</v>
      </c>
      <c r="D17506" s="19">
        <v>2023</v>
      </c>
      <c r="E17506" s="19" t="s">
        <v>0</v>
      </c>
      <c r="F17506" s="7">
        <f>SUMIF($D$17507:$D$17685,$D$17506,$F$17507:$F$17685)</f>
        <v>131</v>
      </c>
      <c r="G17506" s="10">
        <f>SUMIF($D$17507:$D$17685,$D$17506,$G$17507:$G$17685)</f>
        <v>15949.900000000001</v>
      </c>
      <c r="H17506" s="10">
        <f>SUMIF($D$17507:$D$17685,$D$17506,$H$17507:$H$17685)</f>
        <v>13238.941589999993</v>
      </c>
      <c r="I17506" s="205"/>
      <c r="J17506" s="205"/>
      <c r="K17506" s="15"/>
      <c r="L17506" s="15"/>
      <c r="M17506" s="15"/>
      <c r="N17506" s="15"/>
      <c r="O17506" s="15"/>
      <c r="P17506" s="15"/>
      <c r="Q17506" s="15"/>
      <c r="R17506" s="15"/>
      <c r="S17506" s="15"/>
      <c r="T17506" s="15"/>
      <c r="U17506" s="15"/>
      <c r="V17506" s="15"/>
      <c r="W17506" s="15"/>
      <c r="X17506" s="15"/>
      <c r="Y17506" s="15"/>
      <c r="Z17506" s="15"/>
      <c r="AA17506" s="15"/>
      <c r="AB17506" s="15"/>
      <c r="AC17506" s="15"/>
      <c r="AD17506" s="15"/>
      <c r="AE17506" s="15"/>
      <c r="AF17506" s="15"/>
      <c r="AG17506" s="15"/>
      <c r="AH17506" s="15"/>
      <c r="AI17506" s="15"/>
      <c r="AJ17506" s="15"/>
    </row>
    <row r="17507" spans="1:36" s="15" customFormat="1" ht="22.5" hidden="1" customHeight="1" outlineLevel="1" x14ac:dyDescent="0.25">
      <c r="A17507" s="18">
        <v>449</v>
      </c>
      <c r="B17507" s="4" t="s">
        <v>51</v>
      </c>
      <c r="C17507" s="38" t="s">
        <v>2835</v>
      </c>
      <c r="D17507" s="18">
        <v>2022</v>
      </c>
      <c r="E17507" s="18" t="s">
        <v>0</v>
      </c>
      <c r="F17507" s="4">
        <v>2</v>
      </c>
      <c r="G17507" s="41">
        <v>149</v>
      </c>
      <c r="H17507" s="41">
        <v>190.03334000000001</v>
      </c>
      <c r="I17507" s="221"/>
      <c r="J17507" s="221"/>
    </row>
    <row r="17508" spans="1:36" s="15" customFormat="1" ht="22.5" hidden="1" customHeight="1" outlineLevel="1" x14ac:dyDescent="0.25">
      <c r="A17508" s="18">
        <v>451</v>
      </c>
      <c r="B17508" s="4" t="s">
        <v>51</v>
      </c>
      <c r="C17508" s="38" t="s">
        <v>2836</v>
      </c>
      <c r="D17508" s="18">
        <v>2022</v>
      </c>
      <c r="E17508" s="18" t="s">
        <v>0</v>
      </c>
      <c r="F17508" s="4">
        <v>2</v>
      </c>
      <c r="G17508" s="41">
        <v>150</v>
      </c>
      <c r="H17508" s="41">
        <v>266.27516000000003</v>
      </c>
      <c r="I17508" s="221"/>
      <c r="J17508" s="221"/>
    </row>
    <row r="17509" spans="1:36" s="15" customFormat="1" ht="22.5" hidden="1" customHeight="1" outlineLevel="1" x14ac:dyDescent="0.25">
      <c r="A17509" s="18">
        <v>454</v>
      </c>
      <c r="B17509" s="4" t="s">
        <v>51</v>
      </c>
      <c r="C17509" s="38" t="s">
        <v>2905</v>
      </c>
      <c r="D17509" s="18">
        <v>2022</v>
      </c>
      <c r="E17509" s="18" t="s">
        <v>0</v>
      </c>
      <c r="F17509" s="4">
        <v>1</v>
      </c>
      <c r="G17509" s="41">
        <v>150</v>
      </c>
      <c r="H17509" s="41">
        <v>63.871459999999999</v>
      </c>
      <c r="I17509" s="221"/>
      <c r="J17509" s="221"/>
    </row>
    <row r="17510" spans="1:36" s="15" customFormat="1" ht="22.5" hidden="1" customHeight="1" outlineLevel="1" x14ac:dyDescent="0.25">
      <c r="A17510" s="18">
        <v>455</v>
      </c>
      <c r="B17510" s="4" t="s">
        <v>51</v>
      </c>
      <c r="C17510" s="38" t="s">
        <v>2908</v>
      </c>
      <c r="D17510" s="18">
        <v>2022</v>
      </c>
      <c r="E17510" s="18" t="s">
        <v>0</v>
      </c>
      <c r="F17510" s="4">
        <v>1</v>
      </c>
      <c r="G17510" s="41">
        <v>100</v>
      </c>
      <c r="H17510" s="41">
        <v>55.652929999999998</v>
      </c>
      <c r="I17510" s="221"/>
      <c r="J17510" s="221"/>
    </row>
    <row r="17511" spans="1:36" s="15" customFormat="1" ht="22.5" hidden="1" customHeight="1" outlineLevel="1" x14ac:dyDescent="0.25">
      <c r="A17511" s="18">
        <v>456</v>
      </c>
      <c r="B17511" s="4" t="s">
        <v>51</v>
      </c>
      <c r="C17511" s="38" t="s">
        <v>2909</v>
      </c>
      <c r="D17511" s="18">
        <v>2022</v>
      </c>
      <c r="E17511" s="18" t="s">
        <v>0</v>
      </c>
      <c r="F17511" s="4">
        <v>1</v>
      </c>
      <c r="G17511" s="41">
        <v>15</v>
      </c>
      <c r="H17511" s="41">
        <v>42.841709999999999</v>
      </c>
      <c r="I17511" s="221"/>
      <c r="J17511" s="221"/>
    </row>
    <row r="17512" spans="1:36" s="15" customFormat="1" ht="22.5" hidden="1" customHeight="1" outlineLevel="1" x14ac:dyDescent="0.25">
      <c r="A17512" s="18">
        <v>458</v>
      </c>
      <c r="B17512" s="4" t="s">
        <v>51</v>
      </c>
      <c r="C17512" s="38" t="s">
        <v>2438</v>
      </c>
      <c r="D17512" s="18">
        <v>2022</v>
      </c>
      <c r="E17512" s="18" t="s">
        <v>0</v>
      </c>
      <c r="F17512" s="4">
        <v>2</v>
      </c>
      <c r="G17512" s="41">
        <v>10</v>
      </c>
      <c r="H17512" s="41">
        <v>114.85038</v>
      </c>
      <c r="I17512" s="221"/>
      <c r="J17512" s="221"/>
    </row>
    <row r="17513" spans="1:36" s="15" customFormat="1" ht="22.5" hidden="1" customHeight="1" outlineLevel="1" x14ac:dyDescent="0.25">
      <c r="A17513" s="18">
        <v>459</v>
      </c>
      <c r="B17513" s="4" t="s">
        <v>51</v>
      </c>
      <c r="C17513" s="38" t="s">
        <v>2439</v>
      </c>
      <c r="D17513" s="18">
        <v>2022</v>
      </c>
      <c r="E17513" s="18" t="s">
        <v>0</v>
      </c>
      <c r="F17513" s="4">
        <v>2</v>
      </c>
      <c r="G17513" s="41">
        <v>150</v>
      </c>
      <c r="H17513" s="41">
        <v>327.69360999999998</v>
      </c>
      <c r="I17513" s="221"/>
      <c r="J17513" s="221"/>
    </row>
    <row r="17514" spans="1:36" s="15" customFormat="1" ht="22.5" hidden="1" customHeight="1" outlineLevel="1" x14ac:dyDescent="0.25">
      <c r="A17514" s="18">
        <v>837</v>
      </c>
      <c r="B17514" s="4" t="s">
        <v>51</v>
      </c>
      <c r="C17514" s="38" t="s">
        <v>8031</v>
      </c>
      <c r="D17514" s="18">
        <v>2022</v>
      </c>
      <c r="E17514" s="18" t="s">
        <v>0</v>
      </c>
      <c r="F17514" s="4">
        <v>1</v>
      </c>
      <c r="G17514" s="41">
        <v>10</v>
      </c>
      <c r="H17514" s="41">
        <v>65.624309999999994</v>
      </c>
      <c r="I17514" s="221"/>
      <c r="J17514" s="221"/>
    </row>
    <row r="17515" spans="1:36" s="15" customFormat="1" ht="22.5" hidden="1" customHeight="1" outlineLevel="1" x14ac:dyDescent="0.25">
      <c r="A17515" s="18">
        <v>461</v>
      </c>
      <c r="B17515" s="4" t="s">
        <v>51</v>
      </c>
      <c r="C17515" s="38" t="s">
        <v>2839</v>
      </c>
      <c r="D17515" s="18">
        <v>2022</v>
      </c>
      <c r="E17515" s="18" t="s">
        <v>0</v>
      </c>
      <c r="F17515" s="4">
        <v>10</v>
      </c>
      <c r="G17515" s="41">
        <v>87</v>
      </c>
      <c r="H17515" s="41">
        <v>576.28480999999999</v>
      </c>
      <c r="I17515" s="221"/>
      <c r="J17515" s="221"/>
    </row>
    <row r="17516" spans="1:36" s="15" customFormat="1" ht="22.5" hidden="1" customHeight="1" outlineLevel="1" x14ac:dyDescent="0.25">
      <c r="A17516" s="18">
        <v>462</v>
      </c>
      <c r="B17516" s="4" t="s">
        <v>51</v>
      </c>
      <c r="C17516" s="38" t="s">
        <v>2450</v>
      </c>
      <c r="D17516" s="18">
        <v>2022</v>
      </c>
      <c r="E17516" s="18" t="s">
        <v>0</v>
      </c>
      <c r="F17516" s="4">
        <v>2</v>
      </c>
      <c r="G17516" s="41">
        <v>15</v>
      </c>
      <c r="H17516" s="41">
        <v>77.480940000000004</v>
      </c>
      <c r="I17516" s="221"/>
      <c r="J17516" s="221"/>
    </row>
    <row r="17517" spans="1:36" s="15" customFormat="1" ht="22.5" hidden="1" customHeight="1" outlineLevel="1" x14ac:dyDescent="0.25">
      <c r="A17517" s="18">
        <v>463</v>
      </c>
      <c r="B17517" s="4" t="s">
        <v>51</v>
      </c>
      <c r="C17517" s="38" t="s">
        <v>2452</v>
      </c>
      <c r="D17517" s="18">
        <v>2022</v>
      </c>
      <c r="E17517" s="18" t="s">
        <v>0</v>
      </c>
      <c r="F17517" s="4">
        <v>2</v>
      </c>
      <c r="G17517" s="41">
        <v>50</v>
      </c>
      <c r="H17517" s="41">
        <v>195.61016000000001</v>
      </c>
      <c r="I17517" s="221"/>
      <c r="J17517" s="221"/>
    </row>
    <row r="17518" spans="1:36" s="15" customFormat="1" ht="22.5" hidden="1" customHeight="1" outlineLevel="1" x14ac:dyDescent="0.25">
      <c r="A17518" s="18">
        <v>464</v>
      </c>
      <c r="B17518" s="4" t="s">
        <v>51</v>
      </c>
      <c r="C17518" s="38" t="s">
        <v>2914</v>
      </c>
      <c r="D17518" s="18">
        <v>2022</v>
      </c>
      <c r="E17518" s="18" t="s">
        <v>0</v>
      </c>
      <c r="F17518" s="4">
        <v>2</v>
      </c>
      <c r="G17518" s="41">
        <v>150</v>
      </c>
      <c r="H17518" s="41">
        <v>127.63611</v>
      </c>
      <c r="I17518" s="221"/>
      <c r="J17518" s="221"/>
    </row>
    <row r="17519" spans="1:36" s="15" customFormat="1" ht="22.5" hidden="1" customHeight="1" outlineLevel="1" x14ac:dyDescent="0.25">
      <c r="A17519" s="18">
        <v>467</v>
      </c>
      <c r="B17519" s="4" t="s">
        <v>51</v>
      </c>
      <c r="C17519" s="38" t="s">
        <v>2455</v>
      </c>
      <c r="D17519" s="18">
        <v>2022</v>
      </c>
      <c r="E17519" s="18" t="s">
        <v>0</v>
      </c>
      <c r="F17519" s="4">
        <v>2</v>
      </c>
      <c r="G17519" s="41">
        <v>15</v>
      </c>
      <c r="H17519" s="41">
        <v>276.89328999999998</v>
      </c>
      <c r="I17519" s="221"/>
      <c r="J17519" s="221"/>
    </row>
    <row r="17520" spans="1:36" s="15" customFormat="1" ht="22.5" hidden="1" customHeight="1" outlineLevel="1" x14ac:dyDescent="0.25">
      <c r="A17520" s="18">
        <v>470</v>
      </c>
      <c r="B17520" s="4" t="s">
        <v>51</v>
      </c>
      <c r="C17520" s="38" t="s">
        <v>2462</v>
      </c>
      <c r="D17520" s="18">
        <v>2022</v>
      </c>
      <c r="E17520" s="18" t="s">
        <v>0</v>
      </c>
      <c r="F17520" s="4">
        <v>2</v>
      </c>
      <c r="G17520" s="41">
        <v>15</v>
      </c>
      <c r="H17520" s="41">
        <v>94.501400000000004</v>
      </c>
      <c r="I17520" s="221"/>
      <c r="J17520" s="221"/>
    </row>
    <row r="17521" spans="1:10" s="15" customFormat="1" ht="22.5" hidden="1" customHeight="1" outlineLevel="1" x14ac:dyDescent="0.25">
      <c r="A17521" s="18">
        <v>471</v>
      </c>
      <c r="B17521" s="4" t="s">
        <v>51</v>
      </c>
      <c r="C17521" s="38" t="s">
        <v>2915</v>
      </c>
      <c r="D17521" s="18">
        <v>2022</v>
      </c>
      <c r="E17521" s="18" t="s">
        <v>0</v>
      </c>
      <c r="F17521" s="4">
        <v>1</v>
      </c>
      <c r="G17521" s="41">
        <v>150</v>
      </c>
      <c r="H17521" s="41">
        <v>81.478020000000001</v>
      </c>
      <c r="I17521" s="221"/>
      <c r="J17521" s="221"/>
    </row>
    <row r="17522" spans="1:10" s="15" customFormat="1" ht="22.5" hidden="1" customHeight="1" outlineLevel="1" x14ac:dyDescent="0.25">
      <c r="A17522" s="18">
        <v>472</v>
      </c>
      <c r="B17522" s="4" t="s">
        <v>51</v>
      </c>
      <c r="C17522" s="38" t="s">
        <v>2916</v>
      </c>
      <c r="D17522" s="18">
        <v>2022</v>
      </c>
      <c r="E17522" s="18" t="s">
        <v>0</v>
      </c>
      <c r="F17522" s="4">
        <v>1</v>
      </c>
      <c r="G17522" s="41">
        <v>100</v>
      </c>
      <c r="H17522" s="41">
        <v>172.44685000000001</v>
      </c>
      <c r="I17522" s="221"/>
      <c r="J17522" s="221"/>
    </row>
    <row r="17523" spans="1:10" s="15" customFormat="1" ht="22.5" hidden="1" customHeight="1" outlineLevel="1" x14ac:dyDescent="0.25">
      <c r="A17523" s="18">
        <v>473</v>
      </c>
      <c r="B17523" s="4" t="s">
        <v>51</v>
      </c>
      <c r="C17523" s="38" t="s">
        <v>2469</v>
      </c>
      <c r="D17523" s="18">
        <v>2022</v>
      </c>
      <c r="E17523" s="18" t="s">
        <v>0</v>
      </c>
      <c r="F17523" s="4">
        <v>2</v>
      </c>
      <c r="G17523" s="41">
        <v>15</v>
      </c>
      <c r="H17523" s="41">
        <v>152.22559999999999</v>
      </c>
      <c r="I17523" s="221"/>
      <c r="J17523" s="221"/>
    </row>
    <row r="17524" spans="1:10" s="15" customFormat="1" ht="22.5" hidden="1" customHeight="1" outlineLevel="1" x14ac:dyDescent="0.25">
      <c r="A17524" s="18">
        <v>460</v>
      </c>
      <c r="B17524" s="4" t="s">
        <v>51</v>
      </c>
      <c r="C17524" s="38" t="s">
        <v>3140</v>
      </c>
      <c r="D17524" s="18">
        <v>2022</v>
      </c>
      <c r="E17524" s="18" t="s">
        <v>0</v>
      </c>
      <c r="F17524" s="4">
        <v>1</v>
      </c>
      <c r="G17524" s="41">
        <v>150</v>
      </c>
      <c r="H17524" s="41">
        <v>72.491950000000003</v>
      </c>
      <c r="I17524" s="221"/>
      <c r="J17524" s="221"/>
    </row>
    <row r="17525" spans="1:10" s="15" customFormat="1" ht="22.5" hidden="1" customHeight="1" outlineLevel="1" x14ac:dyDescent="0.25">
      <c r="A17525" s="18">
        <v>532</v>
      </c>
      <c r="B17525" s="4" t="s">
        <v>51</v>
      </c>
      <c r="C17525" s="38" t="s">
        <v>2490</v>
      </c>
      <c r="D17525" s="18">
        <v>2022</v>
      </c>
      <c r="E17525" s="18" t="s">
        <v>0</v>
      </c>
      <c r="F17525" s="4">
        <v>1</v>
      </c>
      <c r="G17525" s="41">
        <v>15</v>
      </c>
      <c r="H17525" s="41">
        <v>41.121110000000002</v>
      </c>
      <c r="I17525" s="221"/>
      <c r="J17525" s="221"/>
    </row>
    <row r="17526" spans="1:10" s="15" customFormat="1" ht="22.5" hidden="1" customHeight="1" outlineLevel="1" x14ac:dyDescent="0.25">
      <c r="A17526" s="18">
        <v>4878</v>
      </c>
      <c r="B17526" s="4" t="s">
        <v>51</v>
      </c>
      <c r="C17526" s="38" t="s">
        <v>2852</v>
      </c>
      <c r="D17526" s="18">
        <v>2022</v>
      </c>
      <c r="E17526" s="18" t="s">
        <v>0</v>
      </c>
      <c r="F17526" s="4">
        <v>1</v>
      </c>
      <c r="G17526" s="41">
        <v>90</v>
      </c>
      <c r="H17526" s="41">
        <v>69</v>
      </c>
      <c r="I17526" s="221"/>
      <c r="J17526" s="221"/>
    </row>
    <row r="17527" spans="1:10" s="15" customFormat="1" ht="22.5" hidden="1" customHeight="1" outlineLevel="1" x14ac:dyDescent="0.25">
      <c r="A17527" s="18">
        <v>4570</v>
      </c>
      <c r="B17527" s="4" t="s">
        <v>51</v>
      </c>
      <c r="C17527" s="38" t="s">
        <v>2953</v>
      </c>
      <c r="D17527" s="18">
        <v>2022</v>
      </c>
      <c r="E17527" s="18" t="s">
        <v>0</v>
      </c>
      <c r="F17527" s="4">
        <v>1</v>
      </c>
      <c r="G17527" s="41">
        <v>139.4</v>
      </c>
      <c r="H17527" s="41">
        <v>67</v>
      </c>
      <c r="I17527" s="221"/>
      <c r="J17527" s="221"/>
    </row>
    <row r="17528" spans="1:10" s="15" customFormat="1" ht="22.5" hidden="1" customHeight="1" outlineLevel="1" x14ac:dyDescent="0.25">
      <c r="A17528" s="18">
        <v>4580</v>
      </c>
      <c r="B17528" s="4" t="s">
        <v>51</v>
      </c>
      <c r="C17528" s="38" t="s">
        <v>2954</v>
      </c>
      <c r="D17528" s="18">
        <v>2022</v>
      </c>
      <c r="E17528" s="18" t="s">
        <v>0</v>
      </c>
      <c r="F17528" s="4">
        <v>1</v>
      </c>
      <c r="G17528" s="41">
        <v>134.5</v>
      </c>
      <c r="H17528" s="41">
        <v>64</v>
      </c>
      <c r="I17528" s="221"/>
      <c r="J17528" s="221"/>
    </row>
    <row r="17529" spans="1:10" s="15" customFormat="1" ht="22.5" hidden="1" customHeight="1" outlineLevel="1" x14ac:dyDescent="0.25">
      <c r="A17529" s="18">
        <v>4764</v>
      </c>
      <c r="B17529" s="4" t="s">
        <v>51</v>
      </c>
      <c r="C17529" s="38" t="s">
        <v>8032</v>
      </c>
      <c r="D17529" s="18">
        <v>2022</v>
      </c>
      <c r="E17529" s="18" t="s">
        <v>0</v>
      </c>
      <c r="F17529" s="4">
        <v>1</v>
      </c>
      <c r="G17529" s="41">
        <v>45</v>
      </c>
      <c r="H17529" s="41">
        <v>45</v>
      </c>
      <c r="I17529" s="221"/>
      <c r="J17529" s="221"/>
    </row>
    <row r="17530" spans="1:10" s="15" customFormat="1" ht="22.5" hidden="1" customHeight="1" outlineLevel="1" x14ac:dyDescent="0.25">
      <c r="A17530" s="18">
        <v>4616</v>
      </c>
      <c r="B17530" s="4" t="s">
        <v>51</v>
      </c>
      <c r="C17530" s="38" t="s">
        <v>2856</v>
      </c>
      <c r="D17530" s="18">
        <v>2022</v>
      </c>
      <c r="E17530" s="18" t="s">
        <v>0</v>
      </c>
      <c r="F17530" s="4">
        <v>1</v>
      </c>
      <c r="G17530" s="41">
        <v>100</v>
      </c>
      <c r="H17530" s="41">
        <v>116.8</v>
      </c>
      <c r="I17530" s="221"/>
      <c r="J17530" s="221"/>
    </row>
    <row r="17531" spans="1:10" s="15" customFormat="1" ht="22.5" hidden="1" customHeight="1" outlineLevel="1" x14ac:dyDescent="0.25">
      <c r="A17531" s="18">
        <v>4702</v>
      </c>
      <c r="B17531" s="4" t="s">
        <v>51</v>
      </c>
      <c r="C17531" s="38" t="s">
        <v>3010</v>
      </c>
      <c r="D17531" s="18">
        <v>2022</v>
      </c>
      <c r="E17531" s="18" t="s">
        <v>0</v>
      </c>
      <c r="F17531" s="4">
        <v>1</v>
      </c>
      <c r="G17531" s="41">
        <v>100</v>
      </c>
      <c r="H17531" s="41">
        <v>51.270999999999994</v>
      </c>
      <c r="I17531" s="221"/>
      <c r="J17531" s="221"/>
    </row>
    <row r="17532" spans="1:10" s="15" customFormat="1" ht="22.5" hidden="1" customHeight="1" outlineLevel="1" x14ac:dyDescent="0.25">
      <c r="A17532" s="18">
        <v>4853</v>
      </c>
      <c r="B17532" s="4" t="s">
        <v>51</v>
      </c>
      <c r="C17532" s="38" t="s">
        <v>3105</v>
      </c>
      <c r="D17532" s="18">
        <v>2022</v>
      </c>
      <c r="E17532" s="18" t="s">
        <v>0</v>
      </c>
      <c r="F17532" s="4">
        <v>1</v>
      </c>
      <c r="G17532" s="41">
        <v>150</v>
      </c>
      <c r="H17532" s="41">
        <v>82.249600000000001</v>
      </c>
      <c r="I17532" s="221"/>
      <c r="J17532" s="221"/>
    </row>
    <row r="17533" spans="1:10" s="15" customFormat="1" ht="22.5" hidden="1" customHeight="1" outlineLevel="1" x14ac:dyDescent="0.25">
      <c r="A17533" s="18">
        <v>5048</v>
      </c>
      <c r="B17533" s="4" t="s">
        <v>51</v>
      </c>
      <c r="C17533" s="38" t="s">
        <v>2858</v>
      </c>
      <c r="D17533" s="18">
        <v>2022</v>
      </c>
      <c r="E17533" s="18" t="s">
        <v>0</v>
      </c>
      <c r="F17533" s="4">
        <v>1</v>
      </c>
      <c r="G17533" s="41">
        <v>150</v>
      </c>
      <c r="H17533" s="41">
        <v>82.168000000000006</v>
      </c>
      <c r="I17533" s="221"/>
      <c r="J17533" s="221"/>
    </row>
    <row r="17534" spans="1:10" s="15" customFormat="1" ht="22.5" hidden="1" customHeight="1" outlineLevel="1" x14ac:dyDescent="0.25">
      <c r="A17534" s="18">
        <v>5419</v>
      </c>
      <c r="B17534" s="4" t="s">
        <v>51</v>
      </c>
      <c r="C17534" s="38" t="s">
        <v>2501</v>
      </c>
      <c r="D17534" s="18">
        <v>2022</v>
      </c>
      <c r="E17534" s="18" t="s">
        <v>0</v>
      </c>
      <c r="F17534" s="4">
        <v>1</v>
      </c>
      <c r="G17534" s="41">
        <v>100</v>
      </c>
      <c r="H17534" s="41">
        <v>93.992000000000004</v>
      </c>
      <c r="I17534" s="221"/>
      <c r="J17534" s="221"/>
    </row>
    <row r="17535" spans="1:10" s="15" customFormat="1" ht="22.5" hidden="1" customHeight="1" outlineLevel="1" x14ac:dyDescent="0.25">
      <c r="A17535" s="18">
        <v>5421</v>
      </c>
      <c r="B17535" s="4" t="s">
        <v>51</v>
      </c>
      <c r="C17535" s="38" t="s">
        <v>2918</v>
      </c>
      <c r="D17535" s="18">
        <v>2022</v>
      </c>
      <c r="E17535" s="18" t="s">
        <v>0</v>
      </c>
      <c r="F17535" s="4">
        <v>1</v>
      </c>
      <c r="G17535" s="41">
        <v>130</v>
      </c>
      <c r="H17535" s="41">
        <v>118.37</v>
      </c>
      <c r="I17535" s="221"/>
      <c r="J17535" s="221"/>
    </row>
    <row r="17536" spans="1:10" s="15" customFormat="1" ht="22.5" hidden="1" customHeight="1" outlineLevel="1" x14ac:dyDescent="0.25">
      <c r="A17536" s="18">
        <v>5417</v>
      </c>
      <c r="B17536" s="4" t="s">
        <v>51</v>
      </c>
      <c r="C17536" s="38" t="s">
        <v>2859</v>
      </c>
      <c r="D17536" s="18">
        <v>2022</v>
      </c>
      <c r="E17536" s="18" t="s">
        <v>0</v>
      </c>
      <c r="F17536" s="4">
        <v>2</v>
      </c>
      <c r="G17536" s="41">
        <v>159.69999999999999</v>
      </c>
      <c r="H17536" s="41">
        <v>61.281999999999996</v>
      </c>
      <c r="I17536" s="221"/>
      <c r="J17536" s="221"/>
    </row>
    <row r="17537" spans="1:10" s="15" customFormat="1" ht="22.5" hidden="1" customHeight="1" outlineLevel="1" x14ac:dyDescent="0.25">
      <c r="A17537" s="18">
        <v>5835</v>
      </c>
      <c r="B17537" s="4" t="s">
        <v>51</v>
      </c>
      <c r="C17537" s="38" t="s">
        <v>2529</v>
      </c>
      <c r="D17537" s="18">
        <v>2022</v>
      </c>
      <c r="E17537" s="18" t="s">
        <v>0</v>
      </c>
      <c r="F17537" s="4">
        <v>1</v>
      </c>
      <c r="G17537" s="41">
        <v>15</v>
      </c>
      <c r="H17537" s="41">
        <v>52.784999999999997</v>
      </c>
      <c r="I17537" s="221"/>
      <c r="J17537" s="221"/>
    </row>
    <row r="17538" spans="1:10" s="15" customFormat="1" ht="22.5" hidden="1" customHeight="1" outlineLevel="1" x14ac:dyDescent="0.25">
      <c r="A17538" s="18">
        <v>5848</v>
      </c>
      <c r="B17538" s="4" t="s">
        <v>51</v>
      </c>
      <c r="C17538" s="38" t="s">
        <v>8033</v>
      </c>
      <c r="D17538" s="18">
        <v>2022</v>
      </c>
      <c r="E17538" s="18" t="s">
        <v>0</v>
      </c>
      <c r="F17538" s="4">
        <v>1</v>
      </c>
      <c r="G17538" s="41">
        <v>95</v>
      </c>
      <c r="H17538" s="41">
        <v>43.713000000000001</v>
      </c>
      <c r="I17538" s="221"/>
      <c r="J17538" s="221"/>
    </row>
    <row r="17539" spans="1:10" s="15" customFormat="1" ht="22.5" hidden="1" customHeight="1" outlineLevel="1" x14ac:dyDescent="0.25">
      <c r="A17539" s="18">
        <v>5768</v>
      </c>
      <c r="B17539" s="4" t="s">
        <v>51</v>
      </c>
      <c r="C17539" s="38" t="s">
        <v>2560</v>
      </c>
      <c r="D17539" s="18">
        <v>2022</v>
      </c>
      <c r="E17539" s="18" t="s">
        <v>0</v>
      </c>
      <c r="F17539" s="4">
        <v>1</v>
      </c>
      <c r="G17539" s="41">
        <v>62</v>
      </c>
      <c r="H17539" s="41">
        <v>151.69999999999999</v>
      </c>
      <c r="I17539" s="221"/>
      <c r="J17539" s="221"/>
    </row>
    <row r="17540" spans="1:10" s="15" customFormat="1" ht="22.5" hidden="1" customHeight="1" outlineLevel="1" x14ac:dyDescent="0.25">
      <c r="A17540" s="90">
        <v>3013</v>
      </c>
      <c r="B17540" s="4" t="s">
        <v>51</v>
      </c>
      <c r="C17540" s="38" t="s">
        <v>9017</v>
      </c>
      <c r="D17540" s="18">
        <v>2023</v>
      </c>
      <c r="E17540" s="18" t="s">
        <v>0</v>
      </c>
      <c r="F17540" s="4">
        <v>1</v>
      </c>
      <c r="G17540" s="41">
        <v>135</v>
      </c>
      <c r="H17540" s="41">
        <v>135.53100000000001</v>
      </c>
      <c r="I17540" s="221"/>
      <c r="J17540" s="221"/>
    </row>
    <row r="17541" spans="1:10" s="15" customFormat="1" ht="22.5" hidden="1" customHeight="1" outlineLevel="1" x14ac:dyDescent="0.25">
      <c r="A17541" s="90">
        <v>3032</v>
      </c>
      <c r="B17541" s="4" t="s">
        <v>51</v>
      </c>
      <c r="C17541" s="38" t="s">
        <v>9018</v>
      </c>
      <c r="D17541" s="18">
        <v>2023</v>
      </c>
      <c r="E17541" s="18" t="s">
        <v>0</v>
      </c>
      <c r="F17541" s="4">
        <v>1</v>
      </c>
      <c r="G17541" s="41">
        <v>150</v>
      </c>
      <c r="H17541" s="41">
        <v>282.77799999999996</v>
      </c>
      <c r="I17541" s="221"/>
      <c r="J17541" s="221"/>
    </row>
    <row r="17542" spans="1:10" s="15" customFormat="1" ht="22.5" hidden="1" customHeight="1" outlineLevel="1" x14ac:dyDescent="0.25">
      <c r="A17542" s="90">
        <v>2991</v>
      </c>
      <c r="B17542" s="4" t="s">
        <v>51</v>
      </c>
      <c r="C17542" s="38" t="s">
        <v>8049</v>
      </c>
      <c r="D17542" s="18">
        <v>2023</v>
      </c>
      <c r="E17542" s="18" t="s">
        <v>0</v>
      </c>
      <c r="F17542" s="4">
        <v>2</v>
      </c>
      <c r="G17542" s="41">
        <v>155</v>
      </c>
      <c r="H17542" s="41">
        <v>241.79999999999998</v>
      </c>
      <c r="I17542" s="221"/>
      <c r="J17542" s="221"/>
    </row>
    <row r="17543" spans="1:10" s="15" customFormat="1" ht="22.5" hidden="1" customHeight="1" outlineLevel="1" x14ac:dyDescent="0.25">
      <c r="A17543" s="90">
        <v>6170</v>
      </c>
      <c r="B17543" s="4" t="s">
        <v>51</v>
      </c>
      <c r="C17543" s="38" t="s">
        <v>8050</v>
      </c>
      <c r="D17543" s="18">
        <v>2023</v>
      </c>
      <c r="E17543" s="18" t="s">
        <v>0</v>
      </c>
      <c r="F17543" s="4">
        <v>1</v>
      </c>
      <c r="G17543" s="41">
        <v>150</v>
      </c>
      <c r="H17543" s="41">
        <v>125.663</v>
      </c>
      <c r="I17543" s="221"/>
      <c r="J17543" s="221"/>
    </row>
    <row r="17544" spans="1:10" s="15" customFormat="1" ht="22.5" hidden="1" customHeight="1" outlineLevel="1" x14ac:dyDescent="0.25">
      <c r="A17544" s="90">
        <v>3020</v>
      </c>
      <c r="B17544" s="4" t="s">
        <v>51</v>
      </c>
      <c r="C17544" s="38" t="s">
        <v>9020</v>
      </c>
      <c r="D17544" s="18">
        <v>2023</v>
      </c>
      <c r="E17544" s="18" t="s">
        <v>0</v>
      </c>
      <c r="F17544" s="4">
        <v>1</v>
      </c>
      <c r="G17544" s="41">
        <v>150</v>
      </c>
      <c r="H17544" s="41">
        <v>18.399999999999999</v>
      </c>
      <c r="I17544" s="221"/>
      <c r="J17544" s="221"/>
    </row>
    <row r="17545" spans="1:10" s="15" customFormat="1" ht="22.5" hidden="1" customHeight="1" outlineLevel="1" x14ac:dyDescent="0.25">
      <c r="A17545" s="90">
        <v>3362</v>
      </c>
      <c r="B17545" s="4" t="s">
        <v>51</v>
      </c>
      <c r="C17545" s="38" t="s">
        <v>9021</v>
      </c>
      <c r="D17545" s="18">
        <v>2023</v>
      </c>
      <c r="E17545" s="18" t="s">
        <v>0</v>
      </c>
      <c r="F17545" s="4">
        <v>1</v>
      </c>
      <c r="G17545" s="41">
        <v>150</v>
      </c>
      <c r="H17545" s="41">
        <v>136.43099999999998</v>
      </c>
      <c r="I17545" s="221"/>
      <c r="J17545" s="221"/>
    </row>
    <row r="17546" spans="1:10" s="15" customFormat="1" ht="22.5" hidden="1" customHeight="1" outlineLevel="1" x14ac:dyDescent="0.25">
      <c r="A17546" s="90">
        <v>3006</v>
      </c>
      <c r="B17546" s="4" t="s">
        <v>51</v>
      </c>
      <c r="C17546" s="38" t="s">
        <v>9022</v>
      </c>
      <c r="D17546" s="18">
        <v>2023</v>
      </c>
      <c r="E17546" s="18" t="s">
        <v>0</v>
      </c>
      <c r="F17546" s="4">
        <v>1</v>
      </c>
      <c r="G17546" s="41">
        <v>150</v>
      </c>
      <c r="H17546" s="41">
        <v>111.14</v>
      </c>
      <c r="I17546" s="221"/>
      <c r="J17546" s="221"/>
    </row>
    <row r="17547" spans="1:10" s="15" customFormat="1" ht="22.5" hidden="1" customHeight="1" outlineLevel="1" x14ac:dyDescent="0.25">
      <c r="A17547" s="90">
        <v>3057</v>
      </c>
      <c r="B17547" s="4" t="s">
        <v>51</v>
      </c>
      <c r="C17547" s="38" t="s">
        <v>9024</v>
      </c>
      <c r="D17547" s="18">
        <v>2023</v>
      </c>
      <c r="E17547" s="18" t="s">
        <v>0</v>
      </c>
      <c r="F17547" s="4">
        <v>1</v>
      </c>
      <c r="G17547" s="41">
        <v>150</v>
      </c>
      <c r="H17547" s="41">
        <v>127.194</v>
      </c>
      <c r="I17547" s="221"/>
      <c r="J17547" s="221"/>
    </row>
    <row r="17548" spans="1:10" s="15" customFormat="1" ht="22.5" hidden="1" customHeight="1" outlineLevel="1" x14ac:dyDescent="0.25">
      <c r="A17548" s="90">
        <v>6242</v>
      </c>
      <c r="B17548" s="4" t="s">
        <v>51</v>
      </c>
      <c r="C17548" s="38" t="s">
        <v>9328</v>
      </c>
      <c r="D17548" s="18">
        <v>2023</v>
      </c>
      <c r="E17548" s="18" t="s">
        <v>0</v>
      </c>
      <c r="F17548" s="4">
        <v>1</v>
      </c>
      <c r="G17548" s="41">
        <v>85</v>
      </c>
      <c r="H17548" s="41">
        <v>96.25200000000001</v>
      </c>
      <c r="I17548" s="221"/>
      <c r="J17548" s="221"/>
    </row>
    <row r="17549" spans="1:10" s="15" customFormat="1" ht="22.5" hidden="1" customHeight="1" outlineLevel="1" x14ac:dyDescent="0.25">
      <c r="A17549" s="90">
        <v>3021</v>
      </c>
      <c r="B17549" s="4" t="s">
        <v>51</v>
      </c>
      <c r="C17549" s="38" t="s">
        <v>9025</v>
      </c>
      <c r="D17549" s="18">
        <v>2023</v>
      </c>
      <c r="E17549" s="18" t="s">
        <v>0</v>
      </c>
      <c r="F17549" s="4">
        <v>1</v>
      </c>
      <c r="G17549" s="41">
        <v>150</v>
      </c>
      <c r="H17549" s="41">
        <v>127.12200000000001</v>
      </c>
      <c r="I17549" s="221"/>
      <c r="J17549" s="221"/>
    </row>
    <row r="17550" spans="1:10" s="15" customFormat="1" ht="22.5" hidden="1" customHeight="1" outlineLevel="1" x14ac:dyDescent="0.25">
      <c r="A17550" s="90">
        <v>3011</v>
      </c>
      <c r="B17550" s="4" t="s">
        <v>51</v>
      </c>
      <c r="C17550" s="38" t="s">
        <v>8061</v>
      </c>
      <c r="D17550" s="18">
        <v>2023</v>
      </c>
      <c r="E17550" s="18" t="s">
        <v>0</v>
      </c>
      <c r="F17550" s="4">
        <v>1</v>
      </c>
      <c r="G17550" s="41">
        <v>150</v>
      </c>
      <c r="H17550" s="41">
        <v>119.675</v>
      </c>
      <c r="I17550" s="221"/>
      <c r="J17550" s="221"/>
    </row>
    <row r="17551" spans="1:10" s="15" customFormat="1" ht="22.5" hidden="1" customHeight="1" outlineLevel="1" x14ac:dyDescent="0.25">
      <c r="A17551" s="90">
        <v>3075</v>
      </c>
      <c r="B17551" s="4" t="s">
        <v>51</v>
      </c>
      <c r="C17551" s="38" t="s">
        <v>8068</v>
      </c>
      <c r="D17551" s="18">
        <v>2023</v>
      </c>
      <c r="E17551" s="18" t="s">
        <v>0</v>
      </c>
      <c r="F17551" s="4">
        <v>1</v>
      </c>
      <c r="G17551" s="41">
        <v>100</v>
      </c>
      <c r="H17551" s="41">
        <v>158.89500000000001</v>
      </c>
      <c r="I17551" s="221"/>
      <c r="J17551" s="221"/>
    </row>
    <row r="17552" spans="1:10" s="15" customFormat="1" ht="22.5" hidden="1" customHeight="1" outlineLevel="1" x14ac:dyDescent="0.25">
      <c r="A17552" s="90">
        <v>3034</v>
      </c>
      <c r="B17552" s="4" t="s">
        <v>51</v>
      </c>
      <c r="C17552" s="38" t="s">
        <v>8082</v>
      </c>
      <c r="D17552" s="18">
        <v>2023</v>
      </c>
      <c r="E17552" s="18" t="s">
        <v>0</v>
      </c>
      <c r="F17552" s="4">
        <v>1</v>
      </c>
      <c r="G17552" s="41">
        <v>150</v>
      </c>
      <c r="H17552" s="41">
        <v>125.2</v>
      </c>
      <c r="I17552" s="221"/>
      <c r="J17552" s="221"/>
    </row>
    <row r="17553" spans="1:10" s="15" customFormat="1" ht="22.5" hidden="1" customHeight="1" outlineLevel="1" x14ac:dyDescent="0.25">
      <c r="A17553" s="90">
        <v>3363</v>
      </c>
      <c r="B17553" s="4" t="s">
        <v>51</v>
      </c>
      <c r="C17553" s="38" t="s">
        <v>9026</v>
      </c>
      <c r="D17553" s="18">
        <v>2023</v>
      </c>
      <c r="E17553" s="18" t="s">
        <v>0</v>
      </c>
      <c r="F17553" s="4">
        <v>1</v>
      </c>
      <c r="G17553" s="41">
        <v>150</v>
      </c>
      <c r="H17553" s="41">
        <v>148.583</v>
      </c>
      <c r="I17553" s="221"/>
      <c r="J17553" s="221"/>
    </row>
    <row r="17554" spans="1:10" s="15" customFormat="1" ht="22.5" hidden="1" customHeight="1" outlineLevel="1" x14ac:dyDescent="0.25">
      <c r="A17554" s="90">
        <v>3068</v>
      </c>
      <c r="B17554" s="4" t="s">
        <v>51</v>
      </c>
      <c r="C17554" s="38" t="s">
        <v>9028</v>
      </c>
      <c r="D17554" s="18">
        <v>2023</v>
      </c>
      <c r="E17554" s="18" t="s">
        <v>0</v>
      </c>
      <c r="F17554" s="4">
        <v>1</v>
      </c>
      <c r="G17554" s="41">
        <v>135</v>
      </c>
      <c r="H17554" s="41">
        <v>173.82</v>
      </c>
      <c r="I17554" s="221"/>
      <c r="J17554" s="221"/>
    </row>
    <row r="17555" spans="1:10" s="15" customFormat="1" ht="22.5" hidden="1" customHeight="1" outlineLevel="1" x14ac:dyDescent="0.25">
      <c r="A17555" s="90">
        <v>3026</v>
      </c>
      <c r="B17555" s="4" t="s">
        <v>51</v>
      </c>
      <c r="C17555" s="38" t="s">
        <v>8100</v>
      </c>
      <c r="D17555" s="18">
        <v>2023</v>
      </c>
      <c r="E17555" s="18" t="s">
        <v>0</v>
      </c>
      <c r="F17555" s="4">
        <v>1</v>
      </c>
      <c r="G17555" s="41">
        <v>80</v>
      </c>
      <c r="H17555" s="41">
        <v>124.16000000000001</v>
      </c>
      <c r="I17555" s="221"/>
      <c r="J17555" s="221"/>
    </row>
    <row r="17556" spans="1:10" s="15" customFormat="1" ht="22.5" hidden="1" customHeight="1" outlineLevel="1" x14ac:dyDescent="0.25">
      <c r="A17556" s="90">
        <v>3059</v>
      </c>
      <c r="B17556" s="4" t="s">
        <v>51</v>
      </c>
      <c r="C17556" s="38" t="s">
        <v>9330</v>
      </c>
      <c r="D17556" s="18">
        <v>2023</v>
      </c>
      <c r="E17556" s="18" t="s">
        <v>0</v>
      </c>
      <c r="F17556" s="4">
        <v>1</v>
      </c>
      <c r="G17556" s="41">
        <v>150</v>
      </c>
      <c r="H17556" s="41">
        <v>88.079000000000008</v>
      </c>
      <c r="I17556" s="221"/>
      <c r="J17556" s="221"/>
    </row>
    <row r="17557" spans="1:10" s="15" customFormat="1" ht="22.5" hidden="1" customHeight="1" outlineLevel="1" x14ac:dyDescent="0.25">
      <c r="A17557" s="90">
        <v>3110</v>
      </c>
      <c r="B17557" s="4" t="s">
        <v>51</v>
      </c>
      <c r="C17557" s="38" t="s">
        <v>9029</v>
      </c>
      <c r="D17557" s="18">
        <v>2023</v>
      </c>
      <c r="E17557" s="18" t="s">
        <v>0</v>
      </c>
      <c r="F17557" s="4">
        <v>1</v>
      </c>
      <c r="G17557" s="41">
        <v>150</v>
      </c>
      <c r="H17557" s="41">
        <v>170.88200000000001</v>
      </c>
      <c r="I17557" s="221"/>
      <c r="J17557" s="221"/>
    </row>
    <row r="17558" spans="1:10" s="15" customFormat="1" ht="22.5" hidden="1" customHeight="1" outlineLevel="1" x14ac:dyDescent="0.25">
      <c r="A17558" s="90">
        <v>3024</v>
      </c>
      <c r="B17558" s="4" t="s">
        <v>51</v>
      </c>
      <c r="C17558" s="38" t="s">
        <v>8147</v>
      </c>
      <c r="D17558" s="18">
        <v>2023</v>
      </c>
      <c r="E17558" s="18" t="s">
        <v>0</v>
      </c>
      <c r="F17558" s="4">
        <v>2</v>
      </c>
      <c r="G17558" s="41">
        <v>80</v>
      </c>
      <c r="H17558" s="41">
        <v>121.938</v>
      </c>
      <c r="I17558" s="221"/>
      <c r="J17558" s="221"/>
    </row>
    <row r="17559" spans="1:10" s="15" customFormat="1" ht="22.5" hidden="1" customHeight="1" outlineLevel="1" x14ac:dyDescent="0.25">
      <c r="A17559" s="90">
        <v>3072</v>
      </c>
      <c r="B17559" s="4" t="s">
        <v>51</v>
      </c>
      <c r="C17559" s="38" t="s">
        <v>8155</v>
      </c>
      <c r="D17559" s="18">
        <v>2023</v>
      </c>
      <c r="E17559" s="18" t="s">
        <v>0</v>
      </c>
      <c r="F17559" s="4">
        <v>1</v>
      </c>
      <c r="G17559" s="41">
        <v>137</v>
      </c>
      <c r="H17559" s="41">
        <v>48.369</v>
      </c>
      <c r="I17559" s="221"/>
      <c r="J17559" s="221"/>
    </row>
    <row r="17560" spans="1:10" s="15" customFormat="1" ht="22.5" hidden="1" customHeight="1" outlineLevel="1" x14ac:dyDescent="0.25">
      <c r="A17560" s="90">
        <v>3096</v>
      </c>
      <c r="B17560" s="4" t="s">
        <v>51</v>
      </c>
      <c r="C17560" s="38" t="s">
        <v>9031</v>
      </c>
      <c r="D17560" s="18">
        <v>2023</v>
      </c>
      <c r="E17560" s="18" t="s">
        <v>0</v>
      </c>
      <c r="F17560" s="4">
        <v>2</v>
      </c>
      <c r="G17560" s="41">
        <v>150</v>
      </c>
      <c r="H17560" s="41">
        <v>117.652</v>
      </c>
      <c r="I17560" s="221"/>
      <c r="J17560" s="221"/>
    </row>
    <row r="17561" spans="1:10" s="15" customFormat="1" ht="22.5" hidden="1" customHeight="1" outlineLevel="1" x14ac:dyDescent="0.25">
      <c r="A17561" s="90">
        <v>3095</v>
      </c>
      <c r="B17561" s="4" t="s">
        <v>51</v>
      </c>
      <c r="C17561" s="38" t="s">
        <v>9032</v>
      </c>
      <c r="D17561" s="18">
        <v>2023</v>
      </c>
      <c r="E17561" s="18" t="s">
        <v>0</v>
      </c>
      <c r="F17561" s="4">
        <v>2</v>
      </c>
      <c r="G17561" s="41">
        <v>300</v>
      </c>
      <c r="H17561" s="41">
        <v>127.08579999999999</v>
      </c>
      <c r="I17561" s="221"/>
      <c r="J17561" s="221"/>
    </row>
    <row r="17562" spans="1:10" s="15" customFormat="1" ht="22.5" hidden="1" customHeight="1" outlineLevel="1" x14ac:dyDescent="0.25">
      <c r="A17562" s="90">
        <v>6490</v>
      </c>
      <c r="B17562" s="4" t="s">
        <v>51</v>
      </c>
      <c r="C17562" s="38" t="s">
        <v>9034</v>
      </c>
      <c r="D17562" s="18">
        <v>2023</v>
      </c>
      <c r="E17562" s="18" t="s">
        <v>0</v>
      </c>
      <c r="F17562" s="4">
        <v>1</v>
      </c>
      <c r="G17562" s="41">
        <v>150</v>
      </c>
      <c r="H17562" s="41">
        <v>138.18595999999999</v>
      </c>
      <c r="I17562" s="221"/>
      <c r="J17562" s="221"/>
    </row>
    <row r="17563" spans="1:10" s="15" customFormat="1" ht="22.5" hidden="1" customHeight="1" outlineLevel="1" x14ac:dyDescent="0.25">
      <c r="A17563" s="90">
        <v>3134</v>
      </c>
      <c r="B17563" s="4" t="s">
        <v>51</v>
      </c>
      <c r="C17563" s="38" t="s">
        <v>9035</v>
      </c>
      <c r="D17563" s="18">
        <v>2023</v>
      </c>
      <c r="E17563" s="18" t="s">
        <v>0</v>
      </c>
      <c r="F17563" s="4">
        <v>1</v>
      </c>
      <c r="G17563" s="41">
        <v>150</v>
      </c>
      <c r="H17563" s="41">
        <v>153.47848999999999</v>
      </c>
      <c r="I17563" s="221"/>
      <c r="J17563" s="221"/>
    </row>
    <row r="17564" spans="1:10" s="15" customFormat="1" ht="22.5" hidden="1" customHeight="1" outlineLevel="1" x14ac:dyDescent="0.25">
      <c r="A17564" s="90">
        <v>3016</v>
      </c>
      <c r="B17564" s="4" t="s">
        <v>51</v>
      </c>
      <c r="C17564" s="38" t="s">
        <v>8181</v>
      </c>
      <c r="D17564" s="18">
        <v>2023</v>
      </c>
      <c r="E17564" s="18" t="s">
        <v>0</v>
      </c>
      <c r="F17564" s="4">
        <v>1</v>
      </c>
      <c r="G17564" s="41">
        <v>60</v>
      </c>
      <c r="H17564" s="41">
        <v>46.387999999999998</v>
      </c>
      <c r="I17564" s="221"/>
      <c r="J17564" s="221"/>
    </row>
    <row r="17565" spans="1:10" s="15" customFormat="1" ht="22.5" hidden="1" customHeight="1" outlineLevel="1" x14ac:dyDescent="0.25">
      <c r="A17565" s="90">
        <v>3133</v>
      </c>
      <c r="B17565" s="4" t="s">
        <v>51</v>
      </c>
      <c r="C17565" s="38" t="s">
        <v>9036</v>
      </c>
      <c r="D17565" s="18">
        <v>2023</v>
      </c>
      <c r="E17565" s="18" t="s">
        <v>0</v>
      </c>
      <c r="F17565" s="4">
        <v>1</v>
      </c>
      <c r="G17565" s="41">
        <v>150</v>
      </c>
      <c r="H17565" s="41">
        <v>58.607999999999997</v>
      </c>
      <c r="I17565" s="221"/>
      <c r="J17565" s="221"/>
    </row>
    <row r="17566" spans="1:10" s="15" customFormat="1" ht="22.5" hidden="1" customHeight="1" outlineLevel="1" x14ac:dyDescent="0.25">
      <c r="A17566" s="90">
        <v>3122</v>
      </c>
      <c r="B17566" s="4" t="s">
        <v>51</v>
      </c>
      <c r="C17566" s="38" t="s">
        <v>9037</v>
      </c>
      <c r="D17566" s="18">
        <v>2023</v>
      </c>
      <c r="E17566" s="18" t="s">
        <v>0</v>
      </c>
      <c r="F17566" s="4">
        <v>1</v>
      </c>
      <c r="G17566" s="41">
        <v>150</v>
      </c>
      <c r="H17566" s="41">
        <v>109.06649</v>
      </c>
      <c r="I17566" s="221"/>
      <c r="J17566" s="221"/>
    </row>
    <row r="17567" spans="1:10" s="15" customFormat="1" ht="22.5" hidden="1" customHeight="1" outlineLevel="1" x14ac:dyDescent="0.25">
      <c r="A17567" s="90">
        <v>3146</v>
      </c>
      <c r="B17567" s="4" t="s">
        <v>51</v>
      </c>
      <c r="C17567" s="38" t="s">
        <v>9038</v>
      </c>
      <c r="D17567" s="18">
        <v>2023</v>
      </c>
      <c r="E17567" s="18" t="s">
        <v>0</v>
      </c>
      <c r="F17567" s="4">
        <v>1</v>
      </c>
      <c r="G17567" s="41">
        <v>150</v>
      </c>
      <c r="H17567" s="41">
        <v>178.12900000000002</v>
      </c>
      <c r="I17567" s="221"/>
      <c r="J17567" s="221"/>
    </row>
    <row r="17568" spans="1:10" s="15" customFormat="1" ht="22.5" hidden="1" customHeight="1" outlineLevel="1" x14ac:dyDescent="0.25">
      <c r="A17568" s="90">
        <v>3086</v>
      </c>
      <c r="B17568" s="4" t="s">
        <v>51</v>
      </c>
      <c r="C17568" s="38" t="s">
        <v>9039</v>
      </c>
      <c r="D17568" s="18">
        <v>2023</v>
      </c>
      <c r="E17568" s="18" t="s">
        <v>0</v>
      </c>
      <c r="F17568" s="4">
        <v>1</v>
      </c>
      <c r="G17568" s="41">
        <v>150</v>
      </c>
      <c r="H17568" s="41">
        <v>66.97699999999999</v>
      </c>
      <c r="I17568" s="221"/>
      <c r="J17568" s="221"/>
    </row>
    <row r="17569" spans="1:10" s="15" customFormat="1" ht="22.5" hidden="1" customHeight="1" outlineLevel="1" x14ac:dyDescent="0.25">
      <c r="A17569" s="90">
        <v>3039</v>
      </c>
      <c r="B17569" s="4" t="s">
        <v>51</v>
      </c>
      <c r="C17569" s="38" t="s">
        <v>8197</v>
      </c>
      <c r="D17569" s="18">
        <v>2023</v>
      </c>
      <c r="E17569" s="18" t="s">
        <v>0</v>
      </c>
      <c r="F17569" s="4">
        <v>1</v>
      </c>
      <c r="G17569" s="41">
        <v>65</v>
      </c>
      <c r="H17569" s="41">
        <v>86.278400000000005</v>
      </c>
      <c r="I17569" s="221"/>
      <c r="J17569" s="221"/>
    </row>
    <row r="17570" spans="1:10" s="15" customFormat="1" ht="22.5" hidden="1" customHeight="1" outlineLevel="1" x14ac:dyDescent="0.25">
      <c r="A17570" s="90">
        <v>3071</v>
      </c>
      <c r="B17570" s="4" t="s">
        <v>51</v>
      </c>
      <c r="C17570" s="38" t="s">
        <v>9040</v>
      </c>
      <c r="D17570" s="18">
        <v>2023</v>
      </c>
      <c r="E17570" s="18" t="s">
        <v>0</v>
      </c>
      <c r="F17570" s="4">
        <v>1</v>
      </c>
      <c r="G17570" s="41">
        <v>150</v>
      </c>
      <c r="H17570" s="41">
        <v>106.06160000000001</v>
      </c>
      <c r="I17570" s="221"/>
      <c r="J17570" s="221"/>
    </row>
    <row r="17571" spans="1:10" s="15" customFormat="1" ht="22.5" hidden="1" customHeight="1" outlineLevel="1" x14ac:dyDescent="0.25">
      <c r="A17571" s="90">
        <v>3150</v>
      </c>
      <c r="B17571" s="4" t="s">
        <v>51</v>
      </c>
      <c r="C17571" s="38" t="s">
        <v>8199</v>
      </c>
      <c r="D17571" s="18">
        <v>2023</v>
      </c>
      <c r="E17571" s="18" t="s">
        <v>0</v>
      </c>
      <c r="F17571" s="4">
        <v>1</v>
      </c>
      <c r="G17571" s="41">
        <v>100</v>
      </c>
      <c r="H17571" s="41">
        <v>233.07400000000001</v>
      </c>
      <c r="I17571" s="221"/>
      <c r="J17571" s="221"/>
    </row>
    <row r="17572" spans="1:10" s="15" customFormat="1" ht="22.5" hidden="1" customHeight="1" outlineLevel="1" x14ac:dyDescent="0.25">
      <c r="A17572" s="90">
        <v>3138</v>
      </c>
      <c r="B17572" s="4" t="s">
        <v>51</v>
      </c>
      <c r="C17572" s="38" t="s">
        <v>9041</v>
      </c>
      <c r="D17572" s="18">
        <v>2023</v>
      </c>
      <c r="E17572" s="18" t="s">
        <v>0</v>
      </c>
      <c r="F17572" s="4">
        <v>1</v>
      </c>
      <c r="G17572" s="41">
        <v>140</v>
      </c>
      <c r="H17572" s="41">
        <v>150.95699999999999</v>
      </c>
      <c r="I17572" s="221"/>
      <c r="J17572" s="221"/>
    </row>
    <row r="17573" spans="1:10" s="15" customFormat="1" ht="22.5" hidden="1" customHeight="1" outlineLevel="1" x14ac:dyDescent="0.25">
      <c r="A17573" s="90">
        <v>3031</v>
      </c>
      <c r="B17573" s="4" t="s">
        <v>51</v>
      </c>
      <c r="C17573" s="38" t="s">
        <v>9333</v>
      </c>
      <c r="D17573" s="18">
        <v>2023</v>
      </c>
      <c r="E17573" s="18" t="s">
        <v>0</v>
      </c>
      <c r="F17573" s="4">
        <v>2</v>
      </c>
      <c r="G17573" s="41">
        <v>300</v>
      </c>
      <c r="H17573" s="41">
        <v>197.708</v>
      </c>
      <c r="I17573" s="221"/>
      <c r="J17573" s="221"/>
    </row>
    <row r="17574" spans="1:10" s="15" customFormat="1" ht="22.5" hidden="1" customHeight="1" outlineLevel="1" x14ac:dyDescent="0.25">
      <c r="A17574" s="90">
        <v>3065</v>
      </c>
      <c r="B17574" s="4" t="s">
        <v>51</v>
      </c>
      <c r="C17574" s="38" t="s">
        <v>9042</v>
      </c>
      <c r="D17574" s="18">
        <v>2023</v>
      </c>
      <c r="E17574" s="18" t="s">
        <v>0</v>
      </c>
      <c r="F17574" s="4">
        <v>1</v>
      </c>
      <c r="G17574" s="41">
        <v>150</v>
      </c>
      <c r="H17574" s="41">
        <v>72.804999999999993</v>
      </c>
      <c r="I17574" s="221"/>
      <c r="J17574" s="221"/>
    </row>
    <row r="17575" spans="1:10" s="15" customFormat="1" ht="22.5" hidden="1" customHeight="1" outlineLevel="1" x14ac:dyDescent="0.25">
      <c r="A17575" s="90">
        <v>3069</v>
      </c>
      <c r="B17575" s="4" t="s">
        <v>51</v>
      </c>
      <c r="C17575" s="38" t="s">
        <v>9043</v>
      </c>
      <c r="D17575" s="18">
        <v>2023</v>
      </c>
      <c r="E17575" s="18" t="s">
        <v>0</v>
      </c>
      <c r="F17575" s="4">
        <v>1</v>
      </c>
      <c r="G17575" s="41">
        <v>150</v>
      </c>
      <c r="H17575" s="41">
        <v>63.911999999999999</v>
      </c>
      <c r="I17575" s="221"/>
      <c r="J17575" s="221"/>
    </row>
    <row r="17576" spans="1:10" s="15" customFormat="1" ht="22.5" hidden="1" customHeight="1" outlineLevel="1" x14ac:dyDescent="0.25">
      <c r="A17576" s="90">
        <v>3008</v>
      </c>
      <c r="B17576" s="4" t="s">
        <v>51</v>
      </c>
      <c r="C17576" s="38" t="s">
        <v>9044</v>
      </c>
      <c r="D17576" s="18">
        <v>2023</v>
      </c>
      <c r="E17576" s="18" t="s">
        <v>0</v>
      </c>
      <c r="F17576" s="4">
        <v>1</v>
      </c>
      <c r="G17576" s="41">
        <v>150</v>
      </c>
      <c r="H17576" s="41">
        <v>62.805700000000009</v>
      </c>
      <c r="I17576" s="221"/>
      <c r="J17576" s="221"/>
    </row>
    <row r="17577" spans="1:10" s="15" customFormat="1" ht="22.5" hidden="1" customHeight="1" outlineLevel="1" x14ac:dyDescent="0.25">
      <c r="A17577" s="90">
        <v>6636</v>
      </c>
      <c r="B17577" s="4" t="s">
        <v>51</v>
      </c>
      <c r="C17577" s="38" t="s">
        <v>9045</v>
      </c>
      <c r="D17577" s="18">
        <v>2023</v>
      </c>
      <c r="E17577" s="18" t="s">
        <v>0</v>
      </c>
      <c r="F17577" s="4">
        <v>1</v>
      </c>
      <c r="G17577" s="41">
        <v>100</v>
      </c>
      <c r="H17577" s="41">
        <v>92.507000000000005</v>
      </c>
      <c r="I17577" s="221"/>
      <c r="J17577" s="221"/>
    </row>
    <row r="17578" spans="1:10" s="15" customFormat="1" ht="22.5" hidden="1" customHeight="1" outlineLevel="1" x14ac:dyDescent="0.25">
      <c r="A17578" s="90">
        <v>6637</v>
      </c>
      <c r="B17578" s="4" t="s">
        <v>51</v>
      </c>
      <c r="C17578" s="38" t="s">
        <v>9334</v>
      </c>
      <c r="D17578" s="18">
        <v>2023</v>
      </c>
      <c r="E17578" s="18" t="s">
        <v>0</v>
      </c>
      <c r="F17578" s="4">
        <v>1</v>
      </c>
      <c r="G17578" s="41">
        <v>130</v>
      </c>
      <c r="H17578" s="41">
        <v>197.87289999999999</v>
      </c>
      <c r="I17578" s="221"/>
      <c r="J17578" s="221"/>
    </row>
    <row r="17579" spans="1:10" s="15" customFormat="1" ht="22.5" hidden="1" customHeight="1" outlineLevel="1" x14ac:dyDescent="0.25">
      <c r="A17579" s="90">
        <v>3153</v>
      </c>
      <c r="B17579" s="4" t="s">
        <v>51</v>
      </c>
      <c r="C17579" s="38" t="s">
        <v>9335</v>
      </c>
      <c r="D17579" s="18">
        <v>2023</v>
      </c>
      <c r="E17579" s="18" t="s">
        <v>0</v>
      </c>
      <c r="F17579" s="4">
        <v>1</v>
      </c>
      <c r="G17579" s="41">
        <v>150</v>
      </c>
      <c r="H17579" s="41">
        <v>197.24099999999999</v>
      </c>
      <c r="I17579" s="221"/>
      <c r="J17579" s="221"/>
    </row>
    <row r="17580" spans="1:10" s="15" customFormat="1" ht="22.5" hidden="1" customHeight="1" outlineLevel="1" x14ac:dyDescent="0.25">
      <c r="A17580" s="90">
        <v>3165</v>
      </c>
      <c r="B17580" s="4" t="s">
        <v>51</v>
      </c>
      <c r="C17580" s="38" t="s">
        <v>9046</v>
      </c>
      <c r="D17580" s="18">
        <v>2023</v>
      </c>
      <c r="E17580" s="18" t="s">
        <v>0</v>
      </c>
      <c r="F17580" s="4">
        <v>4</v>
      </c>
      <c r="G17580" s="41">
        <v>600</v>
      </c>
      <c r="H17580" s="41">
        <v>691.6223</v>
      </c>
      <c r="I17580" s="221"/>
      <c r="J17580" s="221"/>
    </row>
    <row r="17581" spans="1:10" s="15" customFormat="1" ht="22.5" hidden="1" customHeight="1" outlineLevel="1" x14ac:dyDescent="0.25">
      <c r="A17581" s="90">
        <v>3159</v>
      </c>
      <c r="B17581" s="4" t="s">
        <v>51</v>
      </c>
      <c r="C17581" s="38" t="s">
        <v>8215</v>
      </c>
      <c r="D17581" s="18">
        <v>2023</v>
      </c>
      <c r="E17581" s="18" t="s">
        <v>0</v>
      </c>
      <c r="F17581" s="4">
        <v>1</v>
      </c>
      <c r="G17581" s="41">
        <v>90</v>
      </c>
      <c r="H17581" s="41">
        <v>140.44</v>
      </c>
      <c r="I17581" s="221"/>
      <c r="J17581" s="221"/>
    </row>
    <row r="17582" spans="1:10" s="15" customFormat="1" ht="22.5" hidden="1" customHeight="1" outlineLevel="1" x14ac:dyDescent="0.25">
      <c r="A17582" s="90">
        <v>3131</v>
      </c>
      <c r="B17582" s="4" t="s">
        <v>51</v>
      </c>
      <c r="C17582" s="38" t="s">
        <v>9329</v>
      </c>
      <c r="D17582" s="18">
        <v>2023</v>
      </c>
      <c r="E17582" s="18" t="s">
        <v>0</v>
      </c>
      <c r="F17582" s="4">
        <v>1</v>
      </c>
      <c r="G17582" s="41">
        <v>150</v>
      </c>
      <c r="H17582" s="41">
        <v>138.49700000000001</v>
      </c>
      <c r="I17582" s="221"/>
      <c r="J17582" s="221"/>
    </row>
    <row r="17583" spans="1:10" s="15" customFormat="1" ht="22.5" hidden="1" customHeight="1" outlineLevel="1" x14ac:dyDescent="0.25">
      <c r="A17583" s="90">
        <v>3079</v>
      </c>
      <c r="B17583" s="4" t="s">
        <v>51</v>
      </c>
      <c r="C17583" s="38" t="s">
        <v>9027</v>
      </c>
      <c r="D17583" s="18">
        <v>2023</v>
      </c>
      <c r="E17583" s="18" t="s">
        <v>0</v>
      </c>
      <c r="F17583" s="4">
        <v>1</v>
      </c>
      <c r="G17583" s="41">
        <v>100</v>
      </c>
      <c r="H17583" s="41">
        <v>113.61</v>
      </c>
      <c r="I17583" s="221"/>
      <c r="J17583" s="221"/>
    </row>
    <row r="17584" spans="1:10" s="15" customFormat="1" ht="22.5" hidden="1" customHeight="1" outlineLevel="1" x14ac:dyDescent="0.25">
      <c r="A17584" s="90">
        <v>3132</v>
      </c>
      <c r="B17584" s="4" t="s">
        <v>51</v>
      </c>
      <c r="C17584" s="38" t="s">
        <v>8319</v>
      </c>
      <c r="D17584" s="18">
        <v>2023</v>
      </c>
      <c r="E17584" s="18" t="s">
        <v>0</v>
      </c>
      <c r="F17584" s="4">
        <v>1</v>
      </c>
      <c r="G17584" s="41">
        <v>30</v>
      </c>
      <c r="H17584" s="41">
        <v>45.753979999999999</v>
      </c>
      <c r="I17584" s="221"/>
      <c r="J17584" s="221"/>
    </row>
    <row r="17585" spans="1:10" s="15" customFormat="1" ht="22.5" hidden="1" customHeight="1" outlineLevel="1" x14ac:dyDescent="0.25">
      <c r="A17585" s="90">
        <v>4028</v>
      </c>
      <c r="B17585" s="4" t="s">
        <v>51</v>
      </c>
      <c r="C17585" s="38" t="s">
        <v>8361</v>
      </c>
      <c r="D17585" s="18">
        <v>2023</v>
      </c>
      <c r="E17585" s="18" t="s">
        <v>0</v>
      </c>
      <c r="F17585" s="4">
        <v>1</v>
      </c>
      <c r="G17585" s="41">
        <v>75</v>
      </c>
      <c r="H17585" s="41">
        <v>38.169670000000004</v>
      </c>
      <c r="I17585" s="221"/>
      <c r="J17585" s="221"/>
    </row>
    <row r="17586" spans="1:10" s="15" customFormat="1" ht="22.5" hidden="1" customHeight="1" outlineLevel="1" x14ac:dyDescent="0.25">
      <c r="A17586" s="90">
        <v>3090</v>
      </c>
      <c r="B17586" s="4" t="s">
        <v>51</v>
      </c>
      <c r="C17586" s="38" t="s">
        <v>9049</v>
      </c>
      <c r="D17586" s="18">
        <v>2023</v>
      </c>
      <c r="E17586" s="18" t="s">
        <v>0</v>
      </c>
      <c r="F17586" s="4">
        <v>1</v>
      </c>
      <c r="G17586" s="41">
        <v>150</v>
      </c>
      <c r="H17586" s="41">
        <v>66.954949999999997</v>
      </c>
      <c r="I17586" s="221"/>
      <c r="J17586" s="221"/>
    </row>
    <row r="17587" spans="1:10" s="15" customFormat="1" ht="22.5" hidden="1" customHeight="1" outlineLevel="1" x14ac:dyDescent="0.25">
      <c r="A17587" s="90">
        <v>4162</v>
      </c>
      <c r="B17587" s="4" t="s">
        <v>51</v>
      </c>
      <c r="C17587" s="38" t="s">
        <v>9116</v>
      </c>
      <c r="D17587" s="18">
        <v>2023</v>
      </c>
      <c r="E17587" s="18" t="s">
        <v>0</v>
      </c>
      <c r="F17587" s="4">
        <v>1</v>
      </c>
      <c r="G17587" s="41">
        <v>140.5</v>
      </c>
      <c r="H17587" s="41">
        <v>67.585539999999995</v>
      </c>
      <c r="I17587" s="221"/>
      <c r="J17587" s="221"/>
    </row>
    <row r="17588" spans="1:10" s="15" customFormat="1" ht="22.5" hidden="1" customHeight="1" outlineLevel="1" x14ac:dyDescent="0.25">
      <c r="A17588" s="90">
        <v>3038</v>
      </c>
      <c r="B17588" s="4" t="s">
        <v>51</v>
      </c>
      <c r="C17588" s="38" t="s">
        <v>9117</v>
      </c>
      <c r="D17588" s="18">
        <v>2023</v>
      </c>
      <c r="E17588" s="18" t="s">
        <v>0</v>
      </c>
      <c r="F17588" s="4">
        <v>1</v>
      </c>
      <c r="G17588" s="41">
        <v>150</v>
      </c>
      <c r="H17588" s="41">
        <v>59.077570000000001</v>
      </c>
      <c r="I17588" s="221"/>
      <c r="J17588" s="221"/>
    </row>
    <row r="17589" spans="1:10" s="15" customFormat="1" ht="22.5" hidden="1" customHeight="1" outlineLevel="1" x14ac:dyDescent="0.25">
      <c r="A17589" s="90">
        <v>3083</v>
      </c>
      <c r="B17589" s="4" t="s">
        <v>51</v>
      </c>
      <c r="C17589" s="38" t="s">
        <v>9118</v>
      </c>
      <c r="D17589" s="18">
        <v>2023</v>
      </c>
      <c r="E17589" s="18" t="s">
        <v>0</v>
      </c>
      <c r="F17589" s="4">
        <v>1</v>
      </c>
      <c r="G17589" s="41">
        <v>150</v>
      </c>
      <c r="H17589" s="41">
        <v>79.306179999999998</v>
      </c>
      <c r="I17589" s="221"/>
      <c r="J17589" s="221"/>
    </row>
    <row r="17590" spans="1:10" s="15" customFormat="1" ht="22.5" hidden="1" customHeight="1" outlineLevel="1" x14ac:dyDescent="0.25">
      <c r="A17590" s="90">
        <v>4158</v>
      </c>
      <c r="B17590" s="4" t="s">
        <v>51</v>
      </c>
      <c r="C17590" s="38" t="s">
        <v>13575</v>
      </c>
      <c r="D17590" s="18">
        <v>2023</v>
      </c>
      <c r="E17590" s="18" t="s">
        <v>0</v>
      </c>
      <c r="F17590" s="4">
        <v>1</v>
      </c>
      <c r="G17590" s="41">
        <v>100</v>
      </c>
      <c r="H17590" s="41">
        <v>50.166319999999999</v>
      </c>
      <c r="I17590" s="221"/>
      <c r="J17590" s="221"/>
    </row>
    <row r="17591" spans="1:10" s="15" customFormat="1" ht="22.5" hidden="1" customHeight="1" outlineLevel="1" x14ac:dyDescent="0.25">
      <c r="A17591" s="90">
        <v>4201</v>
      </c>
      <c r="B17591" s="4" t="s">
        <v>51</v>
      </c>
      <c r="C17591" s="38" t="s">
        <v>13576</v>
      </c>
      <c r="D17591" s="18">
        <v>2023</v>
      </c>
      <c r="E17591" s="18" t="s">
        <v>0</v>
      </c>
      <c r="F17591" s="4">
        <v>1</v>
      </c>
      <c r="G17591" s="41">
        <v>150</v>
      </c>
      <c r="H17591" s="41">
        <v>69.727680000000007</v>
      </c>
      <c r="I17591" s="221"/>
      <c r="J17591" s="221"/>
    </row>
    <row r="17592" spans="1:10" s="15" customFormat="1" ht="22.5" hidden="1" customHeight="1" outlineLevel="1" x14ac:dyDescent="0.25">
      <c r="A17592" s="90">
        <v>3082</v>
      </c>
      <c r="B17592" s="6" t="s">
        <v>51</v>
      </c>
      <c r="C17592" s="38" t="s">
        <v>9120</v>
      </c>
      <c r="D17592" s="23">
        <v>2023</v>
      </c>
      <c r="E17592" s="18" t="s">
        <v>0</v>
      </c>
      <c r="F17592" s="4">
        <v>2</v>
      </c>
      <c r="G17592" s="41">
        <v>200</v>
      </c>
      <c r="H17592" s="41">
        <v>89.685000000000002</v>
      </c>
      <c r="I17592" s="221"/>
      <c r="J17592" s="221"/>
    </row>
    <row r="17593" spans="1:10" s="15" customFormat="1" ht="22.5" hidden="1" customHeight="1" outlineLevel="1" x14ac:dyDescent="0.25">
      <c r="A17593" s="90">
        <v>3066</v>
      </c>
      <c r="B17593" s="6" t="s">
        <v>51</v>
      </c>
      <c r="C17593" s="38" t="s">
        <v>9123</v>
      </c>
      <c r="D17593" s="23">
        <v>2023</v>
      </c>
      <c r="E17593" s="18" t="s">
        <v>0</v>
      </c>
      <c r="F17593" s="4">
        <v>1</v>
      </c>
      <c r="G17593" s="41">
        <v>150</v>
      </c>
      <c r="H17593" s="41">
        <v>145.93199999999999</v>
      </c>
      <c r="I17593" s="221"/>
      <c r="J17593" s="221"/>
    </row>
    <row r="17594" spans="1:10" s="15" customFormat="1" ht="22.5" hidden="1" customHeight="1" outlineLevel="1" x14ac:dyDescent="0.25">
      <c r="A17594" s="90">
        <v>3070</v>
      </c>
      <c r="B17594" s="6" t="s">
        <v>51</v>
      </c>
      <c r="C17594" s="38" t="s">
        <v>9124</v>
      </c>
      <c r="D17594" s="23">
        <v>2023</v>
      </c>
      <c r="E17594" s="18" t="s">
        <v>0</v>
      </c>
      <c r="F17594" s="4">
        <v>1</v>
      </c>
      <c r="G17594" s="41">
        <v>150</v>
      </c>
      <c r="H17594" s="41">
        <v>97.658000000000001</v>
      </c>
      <c r="I17594" s="221"/>
      <c r="J17594" s="221"/>
    </row>
    <row r="17595" spans="1:10" s="15" customFormat="1" ht="22.5" hidden="1" customHeight="1" outlineLevel="1" x14ac:dyDescent="0.25">
      <c r="A17595" s="90">
        <v>3084</v>
      </c>
      <c r="B17595" s="6" t="s">
        <v>51</v>
      </c>
      <c r="C17595" s="38" t="s">
        <v>9125</v>
      </c>
      <c r="D17595" s="23">
        <v>2023</v>
      </c>
      <c r="E17595" s="18" t="s">
        <v>0</v>
      </c>
      <c r="F17595" s="4">
        <v>1</v>
      </c>
      <c r="G17595" s="41">
        <v>150</v>
      </c>
      <c r="H17595" s="41">
        <v>127.25</v>
      </c>
      <c r="I17595" s="221"/>
      <c r="J17595" s="221"/>
    </row>
    <row r="17596" spans="1:10" s="15" customFormat="1" ht="22.5" hidden="1" customHeight="1" outlineLevel="1" x14ac:dyDescent="0.25">
      <c r="A17596" s="90">
        <v>3099</v>
      </c>
      <c r="B17596" s="6" t="s">
        <v>51</v>
      </c>
      <c r="C17596" s="38" t="s">
        <v>9126</v>
      </c>
      <c r="D17596" s="23">
        <v>2023</v>
      </c>
      <c r="E17596" s="18" t="s">
        <v>0</v>
      </c>
      <c r="F17596" s="4">
        <v>1</v>
      </c>
      <c r="G17596" s="41">
        <v>145</v>
      </c>
      <c r="H17596" s="41">
        <v>83.57</v>
      </c>
      <c r="I17596" s="221"/>
      <c r="J17596" s="221"/>
    </row>
    <row r="17597" spans="1:10" s="15" customFormat="1" ht="22.5" hidden="1" customHeight="1" outlineLevel="1" x14ac:dyDescent="0.25">
      <c r="A17597" s="90">
        <v>3119</v>
      </c>
      <c r="B17597" s="6" t="s">
        <v>51</v>
      </c>
      <c r="C17597" s="38" t="s">
        <v>9127</v>
      </c>
      <c r="D17597" s="23">
        <v>2023</v>
      </c>
      <c r="E17597" s="18" t="s">
        <v>0</v>
      </c>
      <c r="F17597" s="4">
        <v>1</v>
      </c>
      <c r="G17597" s="41">
        <v>150</v>
      </c>
      <c r="H17597" s="41">
        <v>60.665999999999997</v>
      </c>
      <c r="I17597" s="221"/>
      <c r="J17597" s="221"/>
    </row>
    <row r="17598" spans="1:10" s="15" customFormat="1" ht="22.5" hidden="1" customHeight="1" outlineLevel="1" x14ac:dyDescent="0.25">
      <c r="A17598" s="90">
        <v>4823</v>
      </c>
      <c r="B17598" s="6" t="s">
        <v>51</v>
      </c>
      <c r="C17598" s="38" t="s">
        <v>13577</v>
      </c>
      <c r="D17598" s="23">
        <v>2023</v>
      </c>
      <c r="E17598" s="18" t="s">
        <v>0</v>
      </c>
      <c r="F17598" s="4">
        <v>1</v>
      </c>
      <c r="G17598" s="41">
        <v>120</v>
      </c>
      <c r="H17598" s="41">
        <v>38.673000000000002</v>
      </c>
      <c r="I17598" s="221"/>
      <c r="J17598" s="221"/>
    </row>
    <row r="17599" spans="1:10" s="15" customFormat="1" ht="22.5" hidden="1" customHeight="1" outlineLevel="1" x14ac:dyDescent="0.25">
      <c r="A17599" s="90">
        <v>4833</v>
      </c>
      <c r="B17599" s="6" t="s">
        <v>51</v>
      </c>
      <c r="C17599" s="38" t="s">
        <v>9128</v>
      </c>
      <c r="D17599" s="23">
        <v>2023</v>
      </c>
      <c r="E17599" s="18" t="s">
        <v>0</v>
      </c>
      <c r="F17599" s="4">
        <v>1</v>
      </c>
      <c r="G17599" s="41">
        <v>150</v>
      </c>
      <c r="H17599" s="41">
        <v>80.045000000000002</v>
      </c>
      <c r="I17599" s="221"/>
      <c r="J17599" s="221"/>
    </row>
    <row r="17600" spans="1:10" s="15" customFormat="1" ht="22.5" hidden="1" customHeight="1" outlineLevel="1" x14ac:dyDescent="0.25">
      <c r="A17600" s="90">
        <v>4837</v>
      </c>
      <c r="B17600" s="6" t="s">
        <v>51</v>
      </c>
      <c r="C17600" s="38" t="s">
        <v>13578</v>
      </c>
      <c r="D17600" s="23">
        <v>2023</v>
      </c>
      <c r="E17600" s="18" t="s">
        <v>0</v>
      </c>
      <c r="F17600" s="4">
        <v>1</v>
      </c>
      <c r="G17600" s="41">
        <v>15</v>
      </c>
      <c r="H17600" s="41">
        <v>64.301000000000002</v>
      </c>
      <c r="I17600" s="221"/>
      <c r="J17600" s="221"/>
    </row>
    <row r="17601" spans="1:10" s="15" customFormat="1" ht="22.5" hidden="1" customHeight="1" outlineLevel="1" x14ac:dyDescent="0.25">
      <c r="A17601" s="90">
        <v>3158</v>
      </c>
      <c r="B17601" s="6" t="s">
        <v>51</v>
      </c>
      <c r="C17601" s="38" t="s">
        <v>9129</v>
      </c>
      <c r="D17601" s="23">
        <v>2023</v>
      </c>
      <c r="E17601" s="18" t="s">
        <v>0</v>
      </c>
      <c r="F17601" s="4">
        <v>1</v>
      </c>
      <c r="G17601" s="41">
        <v>150</v>
      </c>
      <c r="H17601" s="41">
        <v>89.619</v>
      </c>
      <c r="I17601" s="221"/>
      <c r="J17601" s="221"/>
    </row>
    <row r="17602" spans="1:10" s="15" customFormat="1" ht="22.5" hidden="1" customHeight="1" outlineLevel="1" x14ac:dyDescent="0.25">
      <c r="A17602" s="90">
        <v>4622</v>
      </c>
      <c r="B17602" s="6" t="s">
        <v>51</v>
      </c>
      <c r="C17602" s="38" t="s">
        <v>13579</v>
      </c>
      <c r="D17602" s="23">
        <v>2023</v>
      </c>
      <c r="E17602" s="18" t="s">
        <v>0</v>
      </c>
      <c r="F17602" s="4">
        <v>1</v>
      </c>
      <c r="G17602" s="151">
        <v>49.5</v>
      </c>
      <c r="H17602" s="41">
        <v>147.46600000000001</v>
      </c>
      <c r="I17602" s="221"/>
      <c r="J17602" s="221"/>
    </row>
    <row r="17603" spans="1:10" s="15" customFormat="1" ht="22.5" hidden="1" customHeight="1" outlineLevel="1" x14ac:dyDescent="0.25">
      <c r="A17603" s="90">
        <v>3104</v>
      </c>
      <c r="B17603" s="6" t="s">
        <v>51</v>
      </c>
      <c r="C17603" s="38" t="s">
        <v>9336</v>
      </c>
      <c r="D17603" s="23">
        <v>2023</v>
      </c>
      <c r="E17603" s="18" t="s">
        <v>0</v>
      </c>
      <c r="F17603" s="4">
        <v>1</v>
      </c>
      <c r="G17603" s="41">
        <v>150</v>
      </c>
      <c r="H17603" s="41">
        <v>156.05199999999999</v>
      </c>
      <c r="I17603" s="221"/>
      <c r="J17603" s="221"/>
    </row>
    <row r="17604" spans="1:10" s="15" customFormat="1" ht="22.5" hidden="1" customHeight="1" outlineLevel="1" x14ac:dyDescent="0.25">
      <c r="A17604" s="90">
        <v>4670</v>
      </c>
      <c r="B17604" s="6" t="s">
        <v>51</v>
      </c>
      <c r="C17604" s="38" t="s">
        <v>9254</v>
      </c>
      <c r="D17604" s="23">
        <v>2023</v>
      </c>
      <c r="E17604" s="18" t="s">
        <v>0</v>
      </c>
      <c r="F17604" s="4">
        <v>1</v>
      </c>
      <c r="G17604" s="41">
        <v>100</v>
      </c>
      <c r="H17604" s="41">
        <v>164.11600000000001</v>
      </c>
      <c r="I17604" s="221"/>
      <c r="J17604" s="221"/>
    </row>
    <row r="17605" spans="1:10" s="15" customFormat="1" ht="22.5" hidden="1" customHeight="1" outlineLevel="1" x14ac:dyDescent="0.25">
      <c r="A17605" s="90">
        <v>4684</v>
      </c>
      <c r="B17605" s="6" t="s">
        <v>51</v>
      </c>
      <c r="C17605" s="38" t="s">
        <v>9226</v>
      </c>
      <c r="D17605" s="23">
        <v>2023</v>
      </c>
      <c r="E17605" s="18" t="s">
        <v>0</v>
      </c>
      <c r="F17605" s="4">
        <v>1</v>
      </c>
      <c r="G17605" s="41">
        <v>150</v>
      </c>
      <c r="H17605" s="41">
        <v>153.40799999999999</v>
      </c>
      <c r="I17605" s="221"/>
      <c r="J17605" s="221"/>
    </row>
    <row r="17606" spans="1:10" s="15" customFormat="1" ht="22.5" hidden="1" customHeight="1" outlineLevel="1" x14ac:dyDescent="0.25">
      <c r="A17606" s="90">
        <v>4685</v>
      </c>
      <c r="B17606" s="6" t="s">
        <v>51</v>
      </c>
      <c r="C17606" s="38" t="s">
        <v>9227</v>
      </c>
      <c r="D17606" s="23">
        <v>2023</v>
      </c>
      <c r="E17606" s="18" t="s">
        <v>0</v>
      </c>
      <c r="F17606" s="4">
        <v>1</v>
      </c>
      <c r="G17606" s="41">
        <v>150</v>
      </c>
      <c r="H17606" s="41">
        <v>137.40899999999999</v>
      </c>
      <c r="I17606" s="221"/>
      <c r="J17606" s="221"/>
    </row>
    <row r="17607" spans="1:10" s="15" customFormat="1" ht="22.5" hidden="1" customHeight="1" outlineLevel="1" x14ac:dyDescent="0.25">
      <c r="A17607" s="90">
        <v>4686</v>
      </c>
      <c r="B17607" s="6" t="s">
        <v>51</v>
      </c>
      <c r="C17607" s="38" t="s">
        <v>9338</v>
      </c>
      <c r="D17607" s="23">
        <v>2023</v>
      </c>
      <c r="E17607" s="18" t="s">
        <v>0</v>
      </c>
      <c r="F17607" s="4">
        <v>1</v>
      </c>
      <c r="G17607" s="41">
        <v>147</v>
      </c>
      <c r="H17607" s="41">
        <v>149.452</v>
      </c>
      <c r="I17607" s="221"/>
      <c r="J17607" s="221"/>
    </row>
    <row r="17608" spans="1:10" s="15" customFormat="1" ht="22.5" hidden="1" customHeight="1" outlineLevel="1" x14ac:dyDescent="0.25">
      <c r="A17608" s="90">
        <v>4703</v>
      </c>
      <c r="B17608" s="6" t="s">
        <v>51</v>
      </c>
      <c r="C17608" s="38" t="s">
        <v>13580</v>
      </c>
      <c r="D17608" s="23">
        <v>2023</v>
      </c>
      <c r="E17608" s="18" t="s">
        <v>0</v>
      </c>
      <c r="F17608" s="4">
        <v>1</v>
      </c>
      <c r="G17608" s="41">
        <v>100</v>
      </c>
      <c r="H17608" s="41">
        <v>17.715999999999998</v>
      </c>
      <c r="I17608" s="221"/>
      <c r="J17608" s="221"/>
    </row>
    <row r="17609" spans="1:10" s="15" customFormat="1" ht="22.5" hidden="1" customHeight="1" outlineLevel="1" x14ac:dyDescent="0.25">
      <c r="A17609" s="90">
        <v>3120</v>
      </c>
      <c r="B17609" s="6" t="s">
        <v>51</v>
      </c>
      <c r="C17609" s="38" t="s">
        <v>9228</v>
      </c>
      <c r="D17609" s="23">
        <v>2023</v>
      </c>
      <c r="E17609" s="18" t="s">
        <v>0</v>
      </c>
      <c r="F17609" s="4">
        <v>1</v>
      </c>
      <c r="G17609" s="41">
        <v>150</v>
      </c>
      <c r="H17609" s="41">
        <v>209.13399999999999</v>
      </c>
      <c r="I17609" s="221"/>
      <c r="J17609" s="221"/>
    </row>
    <row r="17610" spans="1:10" s="15" customFormat="1" ht="22.5" hidden="1" customHeight="1" outlineLevel="1" x14ac:dyDescent="0.25">
      <c r="A17610" s="90">
        <v>4614</v>
      </c>
      <c r="B17610" s="6" t="s">
        <v>51</v>
      </c>
      <c r="C17610" s="38" t="s">
        <v>9065</v>
      </c>
      <c r="D17610" s="23">
        <v>2023</v>
      </c>
      <c r="E17610" s="18" t="s">
        <v>0</v>
      </c>
      <c r="F17610" s="4">
        <v>1</v>
      </c>
      <c r="G17610" s="41">
        <v>150</v>
      </c>
      <c r="H17610" s="41">
        <v>73.997</v>
      </c>
      <c r="I17610" s="221"/>
      <c r="J17610" s="221"/>
    </row>
    <row r="17611" spans="1:10" s="15" customFormat="1" ht="22.5" hidden="1" customHeight="1" outlineLevel="1" x14ac:dyDescent="0.25">
      <c r="A17611" s="90">
        <v>2994</v>
      </c>
      <c r="B17611" s="6" t="s">
        <v>51</v>
      </c>
      <c r="C17611" s="38" t="s">
        <v>9280</v>
      </c>
      <c r="D17611" s="23">
        <v>2023</v>
      </c>
      <c r="E17611" s="18" t="s">
        <v>0</v>
      </c>
      <c r="F17611" s="4">
        <v>1</v>
      </c>
      <c r="G17611" s="41">
        <v>100</v>
      </c>
      <c r="H17611" s="41">
        <v>105.32600000000001</v>
      </c>
      <c r="I17611" s="221"/>
      <c r="J17611" s="221"/>
    </row>
    <row r="17612" spans="1:10" s="15" customFormat="1" ht="22.5" hidden="1" customHeight="1" outlineLevel="1" x14ac:dyDescent="0.25">
      <c r="A17612" s="90">
        <v>4730</v>
      </c>
      <c r="B17612" s="6" t="s">
        <v>51</v>
      </c>
      <c r="C17612" s="38" t="s">
        <v>13581</v>
      </c>
      <c r="D17612" s="23">
        <v>2023</v>
      </c>
      <c r="E17612" s="18" t="s">
        <v>0</v>
      </c>
      <c r="F17612" s="4">
        <v>1</v>
      </c>
      <c r="G17612" s="41">
        <v>45</v>
      </c>
      <c r="H17612" s="41">
        <v>40.014000000000003</v>
      </c>
      <c r="I17612" s="221"/>
      <c r="J17612" s="221"/>
    </row>
    <row r="17613" spans="1:10" s="15" customFormat="1" ht="22.5" hidden="1" customHeight="1" outlineLevel="1" x14ac:dyDescent="0.25">
      <c r="A17613" s="90">
        <v>4737</v>
      </c>
      <c r="B17613" s="6" t="s">
        <v>51</v>
      </c>
      <c r="C17613" s="38" t="s">
        <v>13582</v>
      </c>
      <c r="D17613" s="23">
        <v>2023</v>
      </c>
      <c r="E17613" s="18" t="s">
        <v>0</v>
      </c>
      <c r="F17613" s="4">
        <v>1</v>
      </c>
      <c r="G17613" s="41">
        <v>100</v>
      </c>
      <c r="H17613" s="41">
        <v>50.48</v>
      </c>
      <c r="I17613" s="221"/>
      <c r="J17613" s="221"/>
    </row>
    <row r="17614" spans="1:10" s="15" customFormat="1" ht="22.5" hidden="1" customHeight="1" outlineLevel="1" x14ac:dyDescent="0.25">
      <c r="A17614" s="90">
        <v>4738</v>
      </c>
      <c r="B17614" s="6" t="s">
        <v>51</v>
      </c>
      <c r="C17614" s="38" t="s">
        <v>13583</v>
      </c>
      <c r="D17614" s="23">
        <v>2023</v>
      </c>
      <c r="E17614" s="18" t="s">
        <v>0</v>
      </c>
      <c r="F17614" s="4">
        <v>1</v>
      </c>
      <c r="G17614" s="41">
        <v>150</v>
      </c>
      <c r="H17614" s="41">
        <v>50.44</v>
      </c>
      <c r="I17614" s="221"/>
      <c r="J17614" s="221"/>
    </row>
    <row r="17615" spans="1:10" s="15" customFormat="1" ht="22.5" hidden="1" customHeight="1" outlineLevel="1" x14ac:dyDescent="0.25">
      <c r="A17615" s="90">
        <v>4744</v>
      </c>
      <c r="B17615" s="6" t="s">
        <v>51</v>
      </c>
      <c r="C17615" s="38" t="s">
        <v>9233</v>
      </c>
      <c r="D17615" s="23">
        <v>2023</v>
      </c>
      <c r="E17615" s="18" t="s">
        <v>0</v>
      </c>
      <c r="F17615" s="4">
        <v>1</v>
      </c>
      <c r="G17615" s="41">
        <v>100</v>
      </c>
      <c r="H17615" s="41">
        <v>144.69399999999999</v>
      </c>
      <c r="I17615" s="221"/>
      <c r="J17615" s="221"/>
    </row>
    <row r="17616" spans="1:10" s="15" customFormat="1" ht="22.5" hidden="1" customHeight="1" outlineLevel="1" x14ac:dyDescent="0.25">
      <c r="A17616" s="90">
        <v>4754</v>
      </c>
      <c r="B17616" s="6" t="s">
        <v>51</v>
      </c>
      <c r="C17616" s="38" t="s">
        <v>9234</v>
      </c>
      <c r="D17616" s="23">
        <v>2023</v>
      </c>
      <c r="E17616" s="18" t="s">
        <v>0</v>
      </c>
      <c r="F17616" s="4">
        <v>1</v>
      </c>
      <c r="G17616" s="41">
        <v>100</v>
      </c>
      <c r="H17616" s="41">
        <v>163.23099999999999</v>
      </c>
      <c r="I17616" s="221"/>
      <c r="J17616" s="221"/>
    </row>
    <row r="17617" spans="1:10" s="15" customFormat="1" ht="22.5" hidden="1" customHeight="1" outlineLevel="1" x14ac:dyDescent="0.25">
      <c r="A17617" s="90">
        <v>4809</v>
      </c>
      <c r="B17617" s="6" t="s">
        <v>51</v>
      </c>
      <c r="C17617" s="38" t="s">
        <v>1526</v>
      </c>
      <c r="D17617" s="23">
        <v>2023</v>
      </c>
      <c r="E17617" s="18" t="s">
        <v>0</v>
      </c>
      <c r="F17617" s="4">
        <v>1</v>
      </c>
      <c r="G17617" s="41">
        <v>150</v>
      </c>
      <c r="H17617" s="41">
        <v>69.536000000000001</v>
      </c>
      <c r="I17617" s="221"/>
      <c r="J17617" s="221"/>
    </row>
    <row r="17618" spans="1:10" s="15" customFormat="1" ht="22.5" hidden="1" customHeight="1" outlineLevel="1" x14ac:dyDescent="0.25">
      <c r="A17618" s="90">
        <v>3036</v>
      </c>
      <c r="B17618" s="6" t="s">
        <v>51</v>
      </c>
      <c r="C17618" s="38" t="s">
        <v>9068</v>
      </c>
      <c r="D17618" s="23">
        <v>2023</v>
      </c>
      <c r="E17618" s="18" t="s">
        <v>0</v>
      </c>
      <c r="F17618" s="4">
        <v>1</v>
      </c>
      <c r="G17618" s="41">
        <v>109.7</v>
      </c>
      <c r="H17618" s="41">
        <v>92</v>
      </c>
      <c r="I17618" s="221"/>
      <c r="J17618" s="221"/>
    </row>
    <row r="17619" spans="1:10" s="15" customFormat="1" ht="22.5" hidden="1" customHeight="1" outlineLevel="1" x14ac:dyDescent="0.25">
      <c r="A17619" s="90">
        <v>3126</v>
      </c>
      <c r="B17619" s="6" t="s">
        <v>51</v>
      </c>
      <c r="C17619" s="38" t="s">
        <v>9354</v>
      </c>
      <c r="D17619" s="23">
        <v>2023</v>
      </c>
      <c r="E17619" s="23" t="s">
        <v>0</v>
      </c>
      <c r="F17619" s="6">
        <v>1</v>
      </c>
      <c r="G17619" s="40">
        <v>72</v>
      </c>
      <c r="H17619" s="40">
        <v>43.266590000000001</v>
      </c>
      <c r="I17619" s="212"/>
      <c r="J17619" s="212"/>
    </row>
    <row r="17620" spans="1:10" s="15" customFormat="1" ht="22.5" hidden="1" customHeight="1" outlineLevel="1" x14ac:dyDescent="0.25">
      <c r="A17620" s="90">
        <v>3129</v>
      </c>
      <c r="B17620" s="6" t="s">
        <v>51</v>
      </c>
      <c r="C17620" s="38" t="s">
        <v>9177</v>
      </c>
      <c r="D17620" s="23">
        <v>2023</v>
      </c>
      <c r="E17620" s="23" t="s">
        <v>0</v>
      </c>
      <c r="F17620" s="6">
        <v>1</v>
      </c>
      <c r="G17620" s="40">
        <v>100</v>
      </c>
      <c r="H17620" s="40">
        <v>165</v>
      </c>
      <c r="I17620" s="212"/>
      <c r="J17620" s="212"/>
    </row>
    <row r="17621" spans="1:10" s="15" customFormat="1" ht="22.5" hidden="1" customHeight="1" outlineLevel="1" x14ac:dyDescent="0.25">
      <c r="A17621" s="90">
        <v>4993</v>
      </c>
      <c r="B17621" s="6" t="s">
        <v>51</v>
      </c>
      <c r="C17621" s="38" t="s">
        <v>9373</v>
      </c>
      <c r="D17621" s="23">
        <v>2023</v>
      </c>
      <c r="E17621" s="23" t="s">
        <v>0</v>
      </c>
      <c r="F17621" s="6">
        <v>1</v>
      </c>
      <c r="G17621" s="40">
        <v>95</v>
      </c>
      <c r="H17621" s="40">
        <v>213.17259000000001</v>
      </c>
      <c r="I17621" s="212"/>
      <c r="J17621" s="212"/>
    </row>
    <row r="17622" spans="1:10" s="15" customFormat="1" ht="22.5" hidden="1" customHeight="1" outlineLevel="1" x14ac:dyDescent="0.25">
      <c r="A17622" s="90">
        <v>4994</v>
      </c>
      <c r="B17622" s="6" t="s">
        <v>51</v>
      </c>
      <c r="C17622" s="38" t="s">
        <v>8790</v>
      </c>
      <c r="D17622" s="23">
        <v>2023</v>
      </c>
      <c r="E17622" s="23" t="s">
        <v>0</v>
      </c>
      <c r="F17622" s="6">
        <v>1</v>
      </c>
      <c r="G17622" s="40">
        <v>150</v>
      </c>
      <c r="H17622" s="40">
        <v>56.950330000000001</v>
      </c>
      <c r="I17622" s="212"/>
      <c r="J17622" s="212"/>
    </row>
    <row r="17623" spans="1:10" s="15" customFormat="1" ht="22.5" hidden="1" customHeight="1" outlineLevel="1" x14ac:dyDescent="0.25">
      <c r="A17623" s="90">
        <v>4996</v>
      </c>
      <c r="B17623" s="6" t="s">
        <v>51</v>
      </c>
      <c r="C17623" s="38" t="s">
        <v>9356</v>
      </c>
      <c r="D17623" s="23">
        <v>2023</v>
      </c>
      <c r="E17623" s="23" t="s">
        <v>0</v>
      </c>
      <c r="F17623" s="6">
        <v>1</v>
      </c>
      <c r="G17623" s="40">
        <v>87.2</v>
      </c>
      <c r="H17623" s="40">
        <v>63.641350000000003</v>
      </c>
      <c r="I17623" s="212"/>
      <c r="J17623" s="212"/>
    </row>
    <row r="17624" spans="1:10" s="15" customFormat="1" ht="22.5" hidden="1" customHeight="1" outlineLevel="1" x14ac:dyDescent="0.25">
      <c r="A17624" s="90">
        <v>3030</v>
      </c>
      <c r="B17624" s="6" t="s">
        <v>51</v>
      </c>
      <c r="C17624" s="38" t="s">
        <v>9180</v>
      </c>
      <c r="D17624" s="23">
        <v>2023</v>
      </c>
      <c r="E17624" s="23" t="s">
        <v>0</v>
      </c>
      <c r="F17624" s="6">
        <v>1</v>
      </c>
      <c r="G17624" s="40">
        <v>150</v>
      </c>
      <c r="H17624" s="40">
        <v>138.61997</v>
      </c>
      <c r="I17624" s="212"/>
      <c r="J17624" s="212"/>
    </row>
    <row r="17625" spans="1:10" s="15" customFormat="1" ht="22.5" hidden="1" customHeight="1" outlineLevel="1" x14ac:dyDescent="0.25">
      <c r="A17625" s="90">
        <v>3145</v>
      </c>
      <c r="B17625" s="6" t="s">
        <v>51</v>
      </c>
      <c r="C17625" s="38" t="s">
        <v>9181</v>
      </c>
      <c r="D17625" s="23">
        <v>2023</v>
      </c>
      <c r="E17625" s="23" t="s">
        <v>0</v>
      </c>
      <c r="F17625" s="6">
        <v>1</v>
      </c>
      <c r="G17625" s="40">
        <v>100</v>
      </c>
      <c r="H17625" s="40">
        <v>67.108599999999996</v>
      </c>
      <c r="I17625" s="212"/>
      <c r="J17625" s="212"/>
    </row>
    <row r="17626" spans="1:10" s="15" customFormat="1" ht="22.5" hidden="1" customHeight="1" outlineLevel="1" x14ac:dyDescent="0.25">
      <c r="A17626" s="90">
        <v>3368</v>
      </c>
      <c r="B17626" s="6" t="s">
        <v>51</v>
      </c>
      <c r="C17626" s="38" t="s">
        <v>8819</v>
      </c>
      <c r="D17626" s="23">
        <v>2023</v>
      </c>
      <c r="E17626" s="23" t="s">
        <v>0</v>
      </c>
      <c r="F17626" s="6">
        <v>1</v>
      </c>
      <c r="G17626" s="40">
        <v>100</v>
      </c>
      <c r="H17626" s="40">
        <v>115</v>
      </c>
      <c r="I17626" s="212"/>
      <c r="J17626" s="212"/>
    </row>
    <row r="17627" spans="1:10" s="15" customFormat="1" ht="22.5" hidden="1" customHeight="1" outlineLevel="1" x14ac:dyDescent="0.25">
      <c r="A17627" s="90">
        <v>3361</v>
      </c>
      <c r="B17627" s="6" t="s">
        <v>51</v>
      </c>
      <c r="C17627" s="38" t="s">
        <v>8825</v>
      </c>
      <c r="D17627" s="23">
        <v>2023</v>
      </c>
      <c r="E17627" s="23" t="s">
        <v>0</v>
      </c>
      <c r="F17627" s="6">
        <v>1</v>
      </c>
      <c r="G17627" s="40">
        <v>100</v>
      </c>
      <c r="H17627" s="40">
        <v>109</v>
      </c>
      <c r="I17627" s="212"/>
      <c r="J17627" s="212"/>
    </row>
    <row r="17628" spans="1:10" s="15" customFormat="1" ht="22.5" hidden="1" customHeight="1" outlineLevel="1" x14ac:dyDescent="0.25">
      <c r="A17628" s="90">
        <v>3007</v>
      </c>
      <c r="B17628" s="6" t="s">
        <v>51</v>
      </c>
      <c r="C17628" s="38" t="s">
        <v>8889</v>
      </c>
      <c r="D17628" s="23">
        <v>2023</v>
      </c>
      <c r="E17628" s="23" t="s">
        <v>0</v>
      </c>
      <c r="F17628" s="6">
        <v>1</v>
      </c>
      <c r="G17628" s="40">
        <v>90</v>
      </c>
      <c r="H17628" s="40">
        <v>87</v>
      </c>
      <c r="I17628" s="212"/>
      <c r="J17628" s="212"/>
    </row>
    <row r="17629" spans="1:10" s="15" customFormat="1" ht="22.5" hidden="1" customHeight="1" outlineLevel="1" x14ac:dyDescent="0.25">
      <c r="A17629" s="90">
        <v>3340</v>
      </c>
      <c r="B17629" s="6" t="s">
        <v>51</v>
      </c>
      <c r="C17629" s="38" t="s">
        <v>8949</v>
      </c>
      <c r="D17629" s="23">
        <v>2023</v>
      </c>
      <c r="E17629" s="23" t="s">
        <v>0</v>
      </c>
      <c r="F17629" s="6">
        <v>1</v>
      </c>
      <c r="G17629" s="40">
        <v>90</v>
      </c>
      <c r="H17629" s="40">
        <v>47</v>
      </c>
      <c r="I17629" s="212"/>
      <c r="J17629" s="212"/>
    </row>
    <row r="17630" spans="1:10" s="15" customFormat="1" ht="22.5" hidden="1" customHeight="1" outlineLevel="1" x14ac:dyDescent="0.25">
      <c r="A17630" s="90">
        <v>4593</v>
      </c>
      <c r="B17630" s="6" t="s">
        <v>51</v>
      </c>
      <c r="C17630" s="38" t="s">
        <v>8974</v>
      </c>
      <c r="D17630" s="23">
        <v>2023</v>
      </c>
      <c r="E17630" s="23" t="s">
        <v>0</v>
      </c>
      <c r="F17630" s="6">
        <v>1</v>
      </c>
      <c r="G17630" s="40">
        <v>140</v>
      </c>
      <c r="H17630" s="40">
        <v>82</v>
      </c>
      <c r="I17630" s="212"/>
      <c r="J17630" s="212"/>
    </row>
    <row r="17631" spans="1:10" s="15" customFormat="1" ht="22.5" hidden="1" customHeight="1" outlineLevel="1" x14ac:dyDescent="0.25">
      <c r="A17631" s="90">
        <v>3076</v>
      </c>
      <c r="B17631" s="6" t="s">
        <v>51</v>
      </c>
      <c r="C17631" s="38" t="s">
        <v>8991</v>
      </c>
      <c r="D17631" s="23">
        <v>2023</v>
      </c>
      <c r="E17631" s="23" t="s">
        <v>0</v>
      </c>
      <c r="F17631" s="6">
        <v>1</v>
      </c>
      <c r="G17631" s="40">
        <v>150</v>
      </c>
      <c r="H17631" s="40">
        <v>77</v>
      </c>
      <c r="I17631" s="212"/>
      <c r="J17631" s="212"/>
    </row>
    <row r="17632" spans="1:10" s="15" customFormat="1" ht="22.5" hidden="1" customHeight="1" outlineLevel="1" x14ac:dyDescent="0.25">
      <c r="A17632" s="90">
        <v>2998</v>
      </c>
      <c r="B17632" s="6" t="s">
        <v>51</v>
      </c>
      <c r="C17632" s="38" t="s">
        <v>9016</v>
      </c>
      <c r="D17632" s="23">
        <v>2023</v>
      </c>
      <c r="E17632" s="23" t="s">
        <v>0</v>
      </c>
      <c r="F17632" s="6">
        <v>1</v>
      </c>
      <c r="G17632" s="40">
        <v>100</v>
      </c>
      <c r="H17632" s="40">
        <v>111</v>
      </c>
      <c r="I17632" s="212"/>
      <c r="J17632" s="212"/>
    </row>
    <row r="17633" spans="1:10" s="15" customFormat="1" ht="22.5" hidden="1" customHeight="1" outlineLevel="1" x14ac:dyDescent="0.25">
      <c r="A17633" s="90">
        <v>3365</v>
      </c>
      <c r="B17633" s="6" t="s">
        <v>51</v>
      </c>
      <c r="C17633" s="38" t="s">
        <v>9093</v>
      </c>
      <c r="D17633" s="23">
        <v>2023</v>
      </c>
      <c r="E17633" s="23" t="s">
        <v>0</v>
      </c>
      <c r="F17633" s="6">
        <v>1</v>
      </c>
      <c r="G17633" s="40">
        <v>150</v>
      </c>
      <c r="H17633" s="40">
        <v>112</v>
      </c>
      <c r="I17633" s="212"/>
      <c r="J17633" s="212"/>
    </row>
    <row r="17634" spans="1:10" s="15" customFormat="1" ht="22.5" hidden="1" customHeight="1" outlineLevel="1" x14ac:dyDescent="0.25">
      <c r="A17634" s="90">
        <v>2990</v>
      </c>
      <c r="B17634" s="6" t="s">
        <v>51</v>
      </c>
      <c r="C17634" s="38" t="s">
        <v>9195</v>
      </c>
      <c r="D17634" s="23">
        <v>2023</v>
      </c>
      <c r="E17634" s="23" t="s">
        <v>0</v>
      </c>
      <c r="F17634" s="6">
        <v>1</v>
      </c>
      <c r="G17634" s="40">
        <v>150</v>
      </c>
      <c r="H17634" s="40">
        <v>123.57300000000001</v>
      </c>
      <c r="I17634" s="212"/>
      <c r="J17634" s="212"/>
    </row>
    <row r="17635" spans="1:10" s="15" customFormat="1" ht="22.5" hidden="1" customHeight="1" outlineLevel="1" x14ac:dyDescent="0.25">
      <c r="A17635" s="90">
        <v>4450</v>
      </c>
      <c r="B17635" s="6" t="s">
        <v>51</v>
      </c>
      <c r="C17635" s="38" t="s">
        <v>9095</v>
      </c>
      <c r="D17635" s="23">
        <v>2023</v>
      </c>
      <c r="E17635" s="23" t="s">
        <v>0</v>
      </c>
      <c r="F17635" s="6">
        <v>1</v>
      </c>
      <c r="G17635" s="40">
        <v>150</v>
      </c>
      <c r="H17635" s="40">
        <v>131.47</v>
      </c>
      <c r="I17635" s="212"/>
      <c r="J17635" s="212"/>
    </row>
    <row r="17636" spans="1:10" s="15" customFormat="1" ht="22.5" hidden="1" customHeight="1" outlineLevel="1" x14ac:dyDescent="0.25">
      <c r="A17636" s="90">
        <v>3062</v>
      </c>
      <c r="B17636" s="6" t="s">
        <v>51</v>
      </c>
      <c r="C17636" s="38" t="s">
        <v>9098</v>
      </c>
      <c r="D17636" s="23">
        <v>2023</v>
      </c>
      <c r="E17636" s="23" t="s">
        <v>0</v>
      </c>
      <c r="F17636" s="6">
        <v>1</v>
      </c>
      <c r="G17636" s="40">
        <v>150</v>
      </c>
      <c r="H17636" s="40">
        <v>107</v>
      </c>
      <c r="I17636" s="212"/>
      <c r="J17636" s="212"/>
    </row>
    <row r="17637" spans="1:10" s="15" customFormat="1" ht="22.5" hidden="1" customHeight="1" outlineLevel="1" x14ac:dyDescent="0.25">
      <c r="A17637" s="90">
        <v>3078</v>
      </c>
      <c r="B17637" s="6" t="s">
        <v>51</v>
      </c>
      <c r="C17637" s="38" t="s">
        <v>9101</v>
      </c>
      <c r="D17637" s="23">
        <v>2023</v>
      </c>
      <c r="E17637" s="23" t="s">
        <v>0</v>
      </c>
      <c r="F17637" s="6">
        <v>1</v>
      </c>
      <c r="G17637" s="40">
        <v>150</v>
      </c>
      <c r="H17637" s="40">
        <v>101</v>
      </c>
      <c r="I17637" s="212"/>
      <c r="J17637" s="212"/>
    </row>
    <row r="17638" spans="1:10" s="15" customFormat="1" ht="22.5" hidden="1" customHeight="1" outlineLevel="1" x14ac:dyDescent="0.25">
      <c r="A17638" s="90">
        <v>3022</v>
      </c>
      <c r="B17638" s="6" t="s">
        <v>51</v>
      </c>
      <c r="C17638" s="38" t="s">
        <v>9103</v>
      </c>
      <c r="D17638" s="23">
        <v>2023</v>
      </c>
      <c r="E17638" s="23" t="s">
        <v>0</v>
      </c>
      <c r="F17638" s="6">
        <v>1</v>
      </c>
      <c r="G17638" s="40">
        <v>165</v>
      </c>
      <c r="H17638" s="40">
        <v>165</v>
      </c>
      <c r="I17638" s="212"/>
      <c r="J17638" s="212"/>
    </row>
    <row r="17639" spans="1:10" s="15" customFormat="1" ht="22.5" hidden="1" customHeight="1" outlineLevel="1" x14ac:dyDescent="0.25">
      <c r="A17639" s="90">
        <v>4419</v>
      </c>
      <c r="B17639" s="6" t="s">
        <v>51</v>
      </c>
      <c r="C17639" s="38" t="s">
        <v>9216</v>
      </c>
      <c r="D17639" s="23">
        <v>2023</v>
      </c>
      <c r="E17639" s="23" t="s">
        <v>0</v>
      </c>
      <c r="F17639" s="6">
        <v>1</v>
      </c>
      <c r="G17639" s="40">
        <v>250</v>
      </c>
      <c r="H17639" s="40">
        <v>135</v>
      </c>
      <c r="I17639" s="212"/>
      <c r="J17639" s="212"/>
    </row>
    <row r="17640" spans="1:10" s="15" customFormat="1" ht="22.5" hidden="1" customHeight="1" outlineLevel="1" x14ac:dyDescent="0.25">
      <c r="A17640" s="90">
        <v>3118</v>
      </c>
      <c r="B17640" s="6" t="s">
        <v>51</v>
      </c>
      <c r="C17640" s="38" t="s">
        <v>9106</v>
      </c>
      <c r="D17640" s="23">
        <v>2023</v>
      </c>
      <c r="E17640" s="23" t="s">
        <v>0</v>
      </c>
      <c r="F17640" s="6">
        <v>1</v>
      </c>
      <c r="G17640" s="40">
        <v>150</v>
      </c>
      <c r="H17640" s="40">
        <v>73.692709999999991</v>
      </c>
      <c r="I17640" s="212"/>
      <c r="J17640" s="212"/>
    </row>
    <row r="17641" spans="1:10" s="15" customFormat="1" ht="22.5" hidden="1" customHeight="1" outlineLevel="1" x14ac:dyDescent="0.25">
      <c r="A17641" s="90">
        <v>3005</v>
      </c>
      <c r="B17641" s="6" t="s">
        <v>51</v>
      </c>
      <c r="C17641" s="38" t="s">
        <v>9220</v>
      </c>
      <c r="D17641" s="23">
        <v>2023</v>
      </c>
      <c r="E17641" s="23" t="s">
        <v>0</v>
      </c>
      <c r="F17641" s="6">
        <v>1</v>
      </c>
      <c r="G17641" s="40">
        <v>150</v>
      </c>
      <c r="H17641" s="40">
        <v>73.032060000000001</v>
      </c>
      <c r="I17641" s="212"/>
      <c r="J17641" s="212"/>
    </row>
    <row r="17642" spans="1:10" s="15" customFormat="1" ht="22.5" hidden="1" customHeight="1" outlineLevel="1" x14ac:dyDescent="0.25">
      <c r="A17642" s="90">
        <v>3117</v>
      </c>
      <c r="B17642" s="6" t="s">
        <v>51</v>
      </c>
      <c r="C17642" s="38" t="s">
        <v>9107</v>
      </c>
      <c r="D17642" s="23">
        <v>2023</v>
      </c>
      <c r="E17642" s="23" t="s">
        <v>0</v>
      </c>
      <c r="F17642" s="6">
        <v>1</v>
      </c>
      <c r="G17642" s="40">
        <v>150</v>
      </c>
      <c r="H17642" s="40">
        <v>75.603319999999997</v>
      </c>
      <c r="I17642" s="212"/>
      <c r="J17642" s="212"/>
    </row>
    <row r="17643" spans="1:10" s="15" customFormat="1" ht="22.5" hidden="1" customHeight="1" outlineLevel="1" x14ac:dyDescent="0.25">
      <c r="A17643" s="90">
        <v>3116</v>
      </c>
      <c r="B17643" s="6" t="s">
        <v>51</v>
      </c>
      <c r="C17643" s="38" t="s">
        <v>9221</v>
      </c>
      <c r="D17643" s="23">
        <v>2023</v>
      </c>
      <c r="E17643" s="23" t="s">
        <v>0</v>
      </c>
      <c r="F17643" s="6">
        <v>1</v>
      </c>
      <c r="G17643" s="40">
        <v>115</v>
      </c>
      <c r="H17643" s="40">
        <v>147.23665</v>
      </c>
      <c r="I17643" s="212"/>
      <c r="J17643" s="212"/>
    </row>
    <row r="17644" spans="1:10" s="15" customFormat="1" ht="22.5" hidden="1" customHeight="1" outlineLevel="1" x14ac:dyDescent="0.25">
      <c r="A17644" s="90">
        <v>660</v>
      </c>
      <c r="B17644" s="6" t="s">
        <v>51</v>
      </c>
      <c r="C17644" s="38" t="s">
        <v>9110</v>
      </c>
      <c r="D17644" s="23">
        <v>2023</v>
      </c>
      <c r="E17644" s="23" t="s">
        <v>0</v>
      </c>
      <c r="F17644" s="6">
        <v>2</v>
      </c>
      <c r="G17644" s="40">
        <v>30</v>
      </c>
      <c r="H17644" s="40">
        <v>145</v>
      </c>
      <c r="I17644" s="212"/>
      <c r="J17644" s="212"/>
    </row>
    <row r="17645" spans="1:10" s="15" customFormat="1" ht="22.5" hidden="1" customHeight="1" outlineLevel="1" x14ac:dyDescent="0.25">
      <c r="A17645" s="90">
        <v>4427</v>
      </c>
      <c r="B17645" s="6" t="s">
        <v>51</v>
      </c>
      <c r="C17645" s="38" t="s">
        <v>13584</v>
      </c>
      <c r="D17645" s="23">
        <v>2023</v>
      </c>
      <c r="E17645" s="23" t="s">
        <v>0</v>
      </c>
      <c r="F17645" s="6">
        <v>1</v>
      </c>
      <c r="G17645" s="40">
        <v>150</v>
      </c>
      <c r="H17645" s="40">
        <v>99.309209999999993</v>
      </c>
      <c r="I17645" s="212"/>
      <c r="J17645" s="212"/>
    </row>
    <row r="17646" spans="1:10" s="15" customFormat="1" ht="22.5" hidden="1" customHeight="1" outlineLevel="1" x14ac:dyDescent="0.25">
      <c r="A17646" s="90">
        <v>4426</v>
      </c>
      <c r="B17646" s="6" t="s">
        <v>51</v>
      </c>
      <c r="C17646" s="38" t="s">
        <v>13585</v>
      </c>
      <c r="D17646" s="23">
        <v>2023</v>
      </c>
      <c r="E17646" s="23" t="s">
        <v>0</v>
      </c>
      <c r="F17646" s="6">
        <v>1</v>
      </c>
      <c r="G17646" s="40">
        <v>50</v>
      </c>
      <c r="H17646" s="40">
        <v>99.888480000000001</v>
      </c>
      <c r="I17646" s="212"/>
      <c r="J17646" s="212"/>
    </row>
    <row r="17647" spans="1:10" s="15" customFormat="1" ht="22.5" hidden="1" customHeight="1" outlineLevel="1" x14ac:dyDescent="0.25">
      <c r="A17647" s="90">
        <v>4436</v>
      </c>
      <c r="B17647" s="6" t="s">
        <v>51</v>
      </c>
      <c r="C17647" s="38" t="s">
        <v>13586</v>
      </c>
      <c r="D17647" s="23">
        <v>2023</v>
      </c>
      <c r="E17647" s="23" t="s">
        <v>0</v>
      </c>
      <c r="F17647" s="6">
        <v>1</v>
      </c>
      <c r="G17647" s="40">
        <v>62</v>
      </c>
      <c r="H17647" s="40">
        <v>97.661600000000007</v>
      </c>
      <c r="I17647" s="212"/>
      <c r="J17647" s="212"/>
    </row>
    <row r="17648" spans="1:10" s="15" customFormat="1" ht="22.5" hidden="1" customHeight="1" outlineLevel="1" x14ac:dyDescent="0.25">
      <c r="A17648" s="90">
        <v>4490</v>
      </c>
      <c r="B17648" s="6" t="s">
        <v>51</v>
      </c>
      <c r="C17648" s="38" t="s">
        <v>13587</v>
      </c>
      <c r="D17648" s="23">
        <v>2023</v>
      </c>
      <c r="E17648" s="23" t="s">
        <v>0</v>
      </c>
      <c r="F17648" s="6">
        <v>2</v>
      </c>
      <c r="G17648" s="40">
        <v>100</v>
      </c>
      <c r="H17648" s="40">
        <v>94.052570000000003</v>
      </c>
      <c r="I17648" s="212"/>
      <c r="J17648" s="212"/>
    </row>
    <row r="17649" spans="1:10" s="15" customFormat="1" ht="22.5" hidden="1" customHeight="1" outlineLevel="1" x14ac:dyDescent="0.25">
      <c r="A17649" s="90">
        <v>4486</v>
      </c>
      <c r="B17649" s="6" t="s">
        <v>51</v>
      </c>
      <c r="C17649" s="38" t="s">
        <v>13588</v>
      </c>
      <c r="D17649" s="23">
        <v>2023</v>
      </c>
      <c r="E17649" s="23" t="s">
        <v>0</v>
      </c>
      <c r="F17649" s="6">
        <v>1</v>
      </c>
      <c r="G17649" s="40">
        <v>150</v>
      </c>
      <c r="H17649" s="40">
        <v>27.443909999999999</v>
      </c>
      <c r="I17649" s="212"/>
      <c r="J17649" s="212"/>
    </row>
    <row r="17650" spans="1:10" s="15" customFormat="1" ht="22.5" hidden="1" customHeight="1" outlineLevel="1" x14ac:dyDescent="0.25">
      <c r="A17650" s="90">
        <v>4470</v>
      </c>
      <c r="B17650" s="6" t="s">
        <v>51</v>
      </c>
      <c r="C17650" s="38" t="s">
        <v>13589</v>
      </c>
      <c r="D17650" s="23">
        <v>2023</v>
      </c>
      <c r="E17650" s="23" t="s">
        <v>0</v>
      </c>
      <c r="F17650" s="6">
        <v>1</v>
      </c>
      <c r="G17650" s="40">
        <v>100</v>
      </c>
      <c r="H17650" s="40">
        <v>16.292170000000002</v>
      </c>
      <c r="I17650" s="212"/>
      <c r="J17650" s="212"/>
    </row>
    <row r="17651" spans="1:10" s="15" customFormat="1" ht="22.5" hidden="1" customHeight="1" outlineLevel="1" x14ac:dyDescent="0.25">
      <c r="A17651" s="90">
        <v>4487</v>
      </c>
      <c r="B17651" s="6" t="s">
        <v>51</v>
      </c>
      <c r="C17651" s="38" t="s">
        <v>13590</v>
      </c>
      <c r="D17651" s="23">
        <v>2023</v>
      </c>
      <c r="E17651" s="23" t="s">
        <v>0</v>
      </c>
      <c r="F17651" s="6">
        <v>1</v>
      </c>
      <c r="G17651" s="40">
        <v>150</v>
      </c>
      <c r="H17651" s="40">
        <v>28.183199999999999</v>
      </c>
      <c r="I17651" s="212"/>
      <c r="J17651" s="212"/>
    </row>
    <row r="17652" spans="1:10" s="15" customFormat="1" ht="22.5" hidden="1" customHeight="1" outlineLevel="1" x14ac:dyDescent="0.25">
      <c r="A17652" s="90">
        <v>4558</v>
      </c>
      <c r="B17652" s="6" t="s">
        <v>51</v>
      </c>
      <c r="C17652" s="38" t="s">
        <v>13591</v>
      </c>
      <c r="D17652" s="23">
        <v>2023</v>
      </c>
      <c r="E17652" s="23" t="s">
        <v>0</v>
      </c>
      <c r="F17652" s="6">
        <v>1</v>
      </c>
      <c r="G17652" s="40">
        <v>80</v>
      </c>
      <c r="H17652" s="40">
        <v>49.627400000000002</v>
      </c>
      <c r="I17652" s="212"/>
      <c r="J17652" s="212"/>
    </row>
    <row r="17653" spans="1:10" s="15" customFormat="1" ht="22.5" hidden="1" customHeight="1" outlineLevel="1" x14ac:dyDescent="0.25">
      <c r="A17653" s="90">
        <v>4579</v>
      </c>
      <c r="B17653" s="6" t="s">
        <v>51</v>
      </c>
      <c r="C17653" s="38" t="s">
        <v>13592</v>
      </c>
      <c r="D17653" s="23">
        <v>2023</v>
      </c>
      <c r="E17653" s="23" t="s">
        <v>0</v>
      </c>
      <c r="F17653" s="6">
        <v>3</v>
      </c>
      <c r="G17653" s="40">
        <v>450</v>
      </c>
      <c r="H17653" s="40">
        <v>162.815</v>
      </c>
      <c r="I17653" s="212"/>
      <c r="J17653" s="212"/>
    </row>
    <row r="17654" spans="1:10" s="15" customFormat="1" ht="22.5" hidden="1" customHeight="1" outlineLevel="1" x14ac:dyDescent="0.25">
      <c r="A17654" s="90">
        <v>4577</v>
      </c>
      <c r="B17654" s="6" t="s">
        <v>51</v>
      </c>
      <c r="C17654" s="38" t="s">
        <v>13593</v>
      </c>
      <c r="D17654" s="23">
        <v>2023</v>
      </c>
      <c r="E17654" s="23" t="s">
        <v>0</v>
      </c>
      <c r="F17654" s="6">
        <v>1</v>
      </c>
      <c r="G17654" s="40">
        <v>85</v>
      </c>
      <c r="H17654" s="40">
        <v>54.115879999999997</v>
      </c>
      <c r="I17654" s="212"/>
      <c r="J17654" s="212"/>
    </row>
    <row r="17655" spans="1:10" s="15" customFormat="1" ht="22.5" hidden="1" customHeight="1" outlineLevel="1" x14ac:dyDescent="0.25">
      <c r="A17655" s="90">
        <v>4576</v>
      </c>
      <c r="B17655" s="6" t="s">
        <v>51</v>
      </c>
      <c r="C17655" s="38" t="s">
        <v>13594</v>
      </c>
      <c r="D17655" s="23">
        <v>2023</v>
      </c>
      <c r="E17655" s="23" t="s">
        <v>0</v>
      </c>
      <c r="F17655" s="6">
        <v>1</v>
      </c>
      <c r="G17655" s="40">
        <v>50</v>
      </c>
      <c r="H17655" s="40">
        <v>51.582180000000001</v>
      </c>
      <c r="I17655" s="212"/>
      <c r="J17655" s="212"/>
    </row>
    <row r="17656" spans="1:10" s="15" customFormat="1" ht="22.5" hidden="1" customHeight="1" outlineLevel="1" x14ac:dyDescent="0.25">
      <c r="A17656" s="90">
        <v>4578</v>
      </c>
      <c r="B17656" s="6" t="s">
        <v>51</v>
      </c>
      <c r="C17656" s="38" t="s">
        <v>13595</v>
      </c>
      <c r="D17656" s="23">
        <v>2023</v>
      </c>
      <c r="E17656" s="23" t="s">
        <v>0</v>
      </c>
      <c r="F17656" s="6">
        <v>1</v>
      </c>
      <c r="G17656" s="40">
        <v>150</v>
      </c>
      <c r="H17656" s="40">
        <v>54.116289999999999</v>
      </c>
      <c r="I17656" s="212"/>
      <c r="J17656" s="212"/>
    </row>
    <row r="17657" spans="1:10" s="15" customFormat="1" ht="22.5" hidden="1" customHeight="1" outlineLevel="1" x14ac:dyDescent="0.25">
      <c r="A17657" s="90">
        <v>4555</v>
      </c>
      <c r="B17657" s="6" t="s">
        <v>51</v>
      </c>
      <c r="C17657" s="38" t="s">
        <v>13596</v>
      </c>
      <c r="D17657" s="23">
        <v>2023</v>
      </c>
      <c r="E17657" s="23" t="s">
        <v>0</v>
      </c>
      <c r="F17657" s="6">
        <v>1</v>
      </c>
      <c r="G17657" s="40">
        <v>120</v>
      </c>
      <c r="H17657" s="40">
        <v>137</v>
      </c>
      <c r="I17657" s="212"/>
      <c r="J17657" s="212"/>
    </row>
    <row r="17658" spans="1:10" s="15" customFormat="1" ht="22.5" hidden="1" customHeight="1" outlineLevel="1" x14ac:dyDescent="0.25">
      <c r="A17658" s="47">
        <v>1190</v>
      </c>
      <c r="B17658" s="4" t="s">
        <v>51</v>
      </c>
      <c r="C17658" s="22" t="s">
        <v>207</v>
      </c>
      <c r="D17658" s="18">
        <v>2021</v>
      </c>
      <c r="E17658" s="18" t="s">
        <v>0</v>
      </c>
      <c r="F17658" s="4">
        <v>1</v>
      </c>
      <c r="G17658" s="4">
        <v>150</v>
      </c>
      <c r="H17658" s="4">
        <v>38.002119999999998</v>
      </c>
      <c r="I17658" s="201"/>
      <c r="J17658" s="201"/>
    </row>
    <row r="17659" spans="1:10" s="15" customFormat="1" ht="22.5" hidden="1" customHeight="1" outlineLevel="1" x14ac:dyDescent="0.25">
      <c r="A17659" s="48">
        <v>10057</v>
      </c>
      <c r="B17659" s="4" t="s">
        <v>51</v>
      </c>
      <c r="C17659" s="22" t="s">
        <v>2065</v>
      </c>
      <c r="D17659" s="18">
        <v>2021</v>
      </c>
      <c r="E17659" s="18" t="s">
        <v>0</v>
      </c>
      <c r="F17659" s="4">
        <v>1</v>
      </c>
      <c r="G17659" s="4">
        <v>60</v>
      </c>
      <c r="H17659" s="4">
        <v>29.749780000000001</v>
      </c>
      <c r="I17659" s="201"/>
      <c r="J17659" s="201"/>
    </row>
    <row r="17660" spans="1:10" s="15" customFormat="1" ht="22.5" hidden="1" customHeight="1" outlineLevel="1" x14ac:dyDescent="0.25">
      <c r="A17660" s="48">
        <v>10115</v>
      </c>
      <c r="B17660" s="4" t="s">
        <v>51</v>
      </c>
      <c r="C17660" s="22" t="s">
        <v>2066</v>
      </c>
      <c r="D17660" s="18">
        <v>2021</v>
      </c>
      <c r="E17660" s="18" t="s">
        <v>0</v>
      </c>
      <c r="F17660" s="4">
        <v>1</v>
      </c>
      <c r="G17660" s="4">
        <v>110</v>
      </c>
      <c r="H17660" s="4">
        <v>29.546420000000001</v>
      </c>
      <c r="I17660" s="201"/>
      <c r="J17660" s="201"/>
    </row>
    <row r="17661" spans="1:10" s="15" customFormat="1" ht="22.5" hidden="1" customHeight="1" outlineLevel="1" x14ac:dyDescent="0.25">
      <c r="A17661" s="49">
        <v>232</v>
      </c>
      <c r="B17661" s="4" t="s">
        <v>51</v>
      </c>
      <c r="C17661" s="22" t="s">
        <v>1070</v>
      </c>
      <c r="D17661" s="18">
        <v>2021</v>
      </c>
      <c r="E17661" s="18" t="s">
        <v>0</v>
      </c>
      <c r="F17661" s="4">
        <v>1</v>
      </c>
      <c r="G17661" s="4">
        <v>25</v>
      </c>
      <c r="H17661" s="4">
        <v>34.299999999999997</v>
      </c>
      <c r="I17661" s="201"/>
      <c r="J17661" s="201"/>
    </row>
    <row r="17662" spans="1:10" s="15" customFormat="1" ht="22.5" hidden="1" customHeight="1" outlineLevel="1" x14ac:dyDescent="0.25">
      <c r="A17662" s="48">
        <v>9464</v>
      </c>
      <c r="B17662" s="4" t="s">
        <v>51</v>
      </c>
      <c r="C17662" s="22" t="s">
        <v>428</v>
      </c>
      <c r="D17662" s="18">
        <v>2021</v>
      </c>
      <c r="E17662" s="18" t="s">
        <v>0</v>
      </c>
      <c r="F17662" s="4">
        <v>1</v>
      </c>
      <c r="G17662" s="4">
        <v>100</v>
      </c>
      <c r="H17662" s="4">
        <v>31.709</v>
      </c>
      <c r="I17662" s="201"/>
      <c r="J17662" s="201"/>
    </row>
    <row r="17663" spans="1:10" s="15" customFormat="1" ht="22.5" hidden="1" customHeight="1" outlineLevel="1" x14ac:dyDescent="0.25">
      <c r="A17663" s="48">
        <v>9516</v>
      </c>
      <c r="B17663" s="4" t="s">
        <v>51</v>
      </c>
      <c r="C17663" s="22" t="s">
        <v>433</v>
      </c>
      <c r="D17663" s="18">
        <v>2021</v>
      </c>
      <c r="E17663" s="18" t="s">
        <v>0</v>
      </c>
      <c r="F17663" s="4">
        <v>1</v>
      </c>
      <c r="G17663" s="4">
        <v>120</v>
      </c>
      <c r="H17663" s="4">
        <v>49.752000000000002</v>
      </c>
      <c r="I17663" s="201"/>
      <c r="J17663" s="201"/>
    </row>
    <row r="17664" spans="1:10" s="15" customFormat="1" ht="22.5" hidden="1" customHeight="1" outlineLevel="1" x14ac:dyDescent="0.25">
      <c r="A17664" s="48">
        <v>9498</v>
      </c>
      <c r="B17664" s="4" t="s">
        <v>51</v>
      </c>
      <c r="C17664" s="22" t="s">
        <v>457</v>
      </c>
      <c r="D17664" s="18">
        <v>2021</v>
      </c>
      <c r="E17664" s="18" t="s">
        <v>0</v>
      </c>
      <c r="F17664" s="4">
        <v>1</v>
      </c>
      <c r="G17664" s="4">
        <v>155</v>
      </c>
      <c r="H17664" s="4">
        <v>49.911999999999999</v>
      </c>
      <c r="I17664" s="201"/>
      <c r="J17664" s="201"/>
    </row>
    <row r="17665" spans="1:10" s="15" customFormat="1" ht="22.5" hidden="1" customHeight="1" outlineLevel="1" x14ac:dyDescent="0.25">
      <c r="A17665" s="48">
        <v>9524</v>
      </c>
      <c r="B17665" s="4" t="s">
        <v>51</v>
      </c>
      <c r="C17665" s="22" t="s">
        <v>458</v>
      </c>
      <c r="D17665" s="18">
        <v>2021</v>
      </c>
      <c r="E17665" s="18" t="s">
        <v>0</v>
      </c>
      <c r="F17665" s="4">
        <v>1</v>
      </c>
      <c r="G17665" s="4">
        <v>10</v>
      </c>
      <c r="H17665" s="4">
        <v>47.779000000000003</v>
      </c>
      <c r="I17665" s="201"/>
      <c r="J17665" s="201"/>
    </row>
    <row r="17666" spans="1:10" s="15" customFormat="1" ht="22.5" hidden="1" customHeight="1" outlineLevel="1" x14ac:dyDescent="0.25">
      <c r="A17666" s="48">
        <v>9594</v>
      </c>
      <c r="B17666" s="4" t="s">
        <v>51</v>
      </c>
      <c r="C17666" s="22" t="s">
        <v>541</v>
      </c>
      <c r="D17666" s="18">
        <v>2021</v>
      </c>
      <c r="E17666" s="18" t="s">
        <v>0</v>
      </c>
      <c r="F17666" s="4">
        <v>1</v>
      </c>
      <c r="G17666" s="4">
        <v>15</v>
      </c>
      <c r="H17666" s="4">
        <v>18</v>
      </c>
      <c r="I17666" s="201"/>
      <c r="J17666" s="201"/>
    </row>
    <row r="17667" spans="1:10" s="15" customFormat="1" ht="22.5" hidden="1" customHeight="1" outlineLevel="1" x14ac:dyDescent="0.25">
      <c r="A17667" s="48">
        <v>9597</v>
      </c>
      <c r="B17667" s="4" t="s">
        <v>51</v>
      </c>
      <c r="C17667" s="22" t="s">
        <v>556</v>
      </c>
      <c r="D17667" s="18">
        <v>2021</v>
      </c>
      <c r="E17667" s="18" t="s">
        <v>0</v>
      </c>
      <c r="F17667" s="4">
        <v>1</v>
      </c>
      <c r="G17667" s="4">
        <v>150</v>
      </c>
      <c r="H17667" s="4">
        <v>31</v>
      </c>
      <c r="I17667" s="201"/>
      <c r="J17667" s="201"/>
    </row>
    <row r="17668" spans="1:10" s="15" customFormat="1" ht="22.5" hidden="1" customHeight="1" outlineLevel="1" x14ac:dyDescent="0.25">
      <c r="A17668" s="46">
        <v>10047</v>
      </c>
      <c r="B17668" s="4" t="s">
        <v>51</v>
      </c>
      <c r="C17668" s="22" t="s">
        <v>1526</v>
      </c>
      <c r="D17668" s="18">
        <v>2021</v>
      </c>
      <c r="E17668" s="18" t="s">
        <v>0</v>
      </c>
      <c r="F17668" s="4">
        <v>1</v>
      </c>
      <c r="G17668" s="4" t="s">
        <v>1527</v>
      </c>
      <c r="H17668" s="4">
        <v>97</v>
      </c>
      <c r="I17668" s="201"/>
      <c r="J17668" s="201"/>
    </row>
    <row r="17669" spans="1:10" s="15" customFormat="1" ht="22.5" hidden="1" customHeight="1" outlineLevel="1" x14ac:dyDescent="0.25">
      <c r="A17669" s="46">
        <v>9578</v>
      </c>
      <c r="B17669" s="4" t="s">
        <v>51</v>
      </c>
      <c r="C17669" s="22" t="s">
        <v>534</v>
      </c>
      <c r="D17669" s="18">
        <v>2021</v>
      </c>
      <c r="E17669" s="18" t="s">
        <v>0</v>
      </c>
      <c r="F17669" s="4">
        <v>1</v>
      </c>
      <c r="G17669" s="4">
        <v>15</v>
      </c>
      <c r="H17669" s="4">
        <v>114</v>
      </c>
      <c r="I17669" s="201"/>
      <c r="J17669" s="201"/>
    </row>
    <row r="17670" spans="1:10" s="15" customFormat="1" ht="22.5" hidden="1" customHeight="1" outlineLevel="1" x14ac:dyDescent="0.25">
      <c r="A17670" s="46">
        <v>9352</v>
      </c>
      <c r="B17670" s="4" t="s">
        <v>51</v>
      </c>
      <c r="C17670" s="22" t="s">
        <v>274</v>
      </c>
      <c r="D17670" s="18">
        <v>2021</v>
      </c>
      <c r="E17670" s="18" t="s">
        <v>0</v>
      </c>
      <c r="F17670" s="4">
        <v>1</v>
      </c>
      <c r="G17670" s="4">
        <v>90</v>
      </c>
      <c r="H17670" s="41">
        <v>140.12799999999999</v>
      </c>
      <c r="I17670" s="221"/>
      <c r="J17670" s="221"/>
    </row>
    <row r="17671" spans="1:10" s="15" customFormat="1" ht="22.5" hidden="1" customHeight="1" outlineLevel="1" x14ac:dyDescent="0.25">
      <c r="A17671" s="46">
        <v>9079</v>
      </c>
      <c r="B17671" s="4" t="s">
        <v>51</v>
      </c>
      <c r="C17671" s="22" t="s">
        <v>279</v>
      </c>
      <c r="D17671" s="18">
        <v>2021</v>
      </c>
      <c r="E17671" s="18" t="s">
        <v>0</v>
      </c>
      <c r="F17671" s="4">
        <v>1</v>
      </c>
      <c r="G17671" s="4">
        <v>105</v>
      </c>
      <c r="H17671" s="41">
        <v>223.90299999999999</v>
      </c>
      <c r="I17671" s="221"/>
      <c r="J17671" s="221"/>
    </row>
    <row r="17672" spans="1:10" s="15" customFormat="1" ht="22.5" hidden="1" customHeight="1" outlineLevel="1" x14ac:dyDescent="0.25">
      <c r="A17672" s="46">
        <v>9484</v>
      </c>
      <c r="B17672" s="4" t="s">
        <v>51</v>
      </c>
      <c r="C17672" s="22" t="s">
        <v>661</v>
      </c>
      <c r="D17672" s="18">
        <v>2021</v>
      </c>
      <c r="E17672" s="18" t="s">
        <v>0</v>
      </c>
      <c r="F17672" s="4">
        <v>1</v>
      </c>
      <c r="G17672" s="4">
        <v>15</v>
      </c>
      <c r="H17672" s="41">
        <v>138.99161000000001</v>
      </c>
      <c r="I17672" s="221"/>
      <c r="J17672" s="221"/>
    </row>
    <row r="17673" spans="1:10" s="15" customFormat="1" ht="22.5" hidden="1" customHeight="1" outlineLevel="1" x14ac:dyDescent="0.25">
      <c r="A17673" s="46">
        <v>9455</v>
      </c>
      <c r="B17673" s="4" t="s">
        <v>51</v>
      </c>
      <c r="C17673" s="22" t="s">
        <v>883</v>
      </c>
      <c r="D17673" s="18">
        <v>2021</v>
      </c>
      <c r="E17673" s="18" t="s">
        <v>0</v>
      </c>
      <c r="F17673" s="4">
        <v>1</v>
      </c>
      <c r="G17673" s="4">
        <v>20</v>
      </c>
      <c r="H17673" s="41">
        <v>324.62448999999998</v>
      </c>
      <c r="I17673" s="221"/>
      <c r="J17673" s="221"/>
    </row>
    <row r="17674" spans="1:10" s="15" customFormat="1" ht="22.5" hidden="1" customHeight="1" outlineLevel="1" x14ac:dyDescent="0.25">
      <c r="A17674" s="47">
        <v>1130</v>
      </c>
      <c r="B17674" s="4" t="s">
        <v>51</v>
      </c>
      <c r="C17674" s="22" t="s">
        <v>557</v>
      </c>
      <c r="D17674" s="18">
        <v>2021</v>
      </c>
      <c r="E17674" s="18" t="s">
        <v>0</v>
      </c>
      <c r="F17674" s="4">
        <v>1</v>
      </c>
      <c r="G17674" s="4">
        <v>110</v>
      </c>
      <c r="H17674" s="41">
        <v>31</v>
      </c>
      <c r="I17674" s="221"/>
      <c r="J17674" s="221"/>
    </row>
    <row r="17675" spans="1:10" s="15" customFormat="1" ht="22.5" hidden="1" customHeight="1" outlineLevel="1" x14ac:dyDescent="0.25">
      <c r="A17675" s="48">
        <v>9671</v>
      </c>
      <c r="B17675" s="4" t="s">
        <v>51</v>
      </c>
      <c r="C17675" s="22" t="s">
        <v>743</v>
      </c>
      <c r="D17675" s="18">
        <v>2021</v>
      </c>
      <c r="E17675" s="18" t="s">
        <v>0</v>
      </c>
      <c r="F17675" s="4">
        <v>1</v>
      </c>
      <c r="G17675" s="4">
        <v>150</v>
      </c>
      <c r="H17675" s="41">
        <v>27</v>
      </c>
      <c r="I17675" s="221"/>
      <c r="J17675" s="221"/>
    </row>
    <row r="17676" spans="1:10" s="15" customFormat="1" ht="22.5" hidden="1" customHeight="1" outlineLevel="1" x14ac:dyDescent="0.25">
      <c r="A17676" s="48">
        <v>9601</v>
      </c>
      <c r="B17676" s="4" t="s">
        <v>51</v>
      </c>
      <c r="C17676" s="22" t="s">
        <v>733</v>
      </c>
      <c r="D17676" s="18">
        <v>2021</v>
      </c>
      <c r="E17676" s="18" t="s">
        <v>0</v>
      </c>
      <c r="F17676" s="4">
        <v>7</v>
      </c>
      <c r="G17676" s="4">
        <v>537</v>
      </c>
      <c r="H17676" s="41">
        <v>213</v>
      </c>
      <c r="I17676" s="221"/>
      <c r="J17676" s="221"/>
    </row>
    <row r="17677" spans="1:10" s="15" customFormat="1" ht="22.5" hidden="1" customHeight="1" outlineLevel="1" x14ac:dyDescent="0.25">
      <c r="A17677" s="48">
        <v>9404</v>
      </c>
      <c r="B17677" s="4" t="s">
        <v>51</v>
      </c>
      <c r="C17677" s="22" t="s">
        <v>2067</v>
      </c>
      <c r="D17677" s="18">
        <v>2021</v>
      </c>
      <c r="E17677" s="18" t="s">
        <v>0</v>
      </c>
      <c r="F17677" s="4">
        <v>1</v>
      </c>
      <c r="G17677" s="4">
        <v>15</v>
      </c>
      <c r="H17677" s="41">
        <v>103</v>
      </c>
      <c r="I17677" s="221"/>
      <c r="J17677" s="221"/>
    </row>
    <row r="17678" spans="1:10" s="15" customFormat="1" ht="22.5" hidden="1" customHeight="1" outlineLevel="1" x14ac:dyDescent="0.25">
      <c r="A17678" s="48">
        <v>9669</v>
      </c>
      <c r="B17678" s="4" t="s">
        <v>51</v>
      </c>
      <c r="C17678" s="22" t="s">
        <v>2068</v>
      </c>
      <c r="D17678" s="18">
        <v>2021</v>
      </c>
      <c r="E17678" s="18" t="s">
        <v>0</v>
      </c>
      <c r="F17678" s="4">
        <v>5</v>
      </c>
      <c r="G17678" s="4">
        <v>750</v>
      </c>
      <c r="H17678" s="4">
        <v>99</v>
      </c>
      <c r="I17678" s="201"/>
      <c r="J17678" s="201"/>
    </row>
    <row r="17679" spans="1:10" s="15" customFormat="1" ht="22.5" hidden="1" customHeight="1" outlineLevel="1" x14ac:dyDescent="0.25">
      <c r="A17679" s="48">
        <v>9583</v>
      </c>
      <c r="B17679" s="4" t="s">
        <v>51</v>
      </c>
      <c r="C17679" s="22" t="s">
        <v>745</v>
      </c>
      <c r="D17679" s="18">
        <v>2021</v>
      </c>
      <c r="E17679" s="18" t="s">
        <v>0</v>
      </c>
      <c r="F17679" s="4">
        <v>1</v>
      </c>
      <c r="G17679" s="4">
        <v>150</v>
      </c>
      <c r="H17679" s="4">
        <v>28</v>
      </c>
      <c r="I17679" s="201"/>
      <c r="J17679" s="201"/>
    </row>
    <row r="17680" spans="1:10" s="15" customFormat="1" ht="22.5" hidden="1" customHeight="1" outlineLevel="1" x14ac:dyDescent="0.25">
      <c r="A17680" s="48">
        <v>9652</v>
      </c>
      <c r="B17680" s="4" t="s">
        <v>51</v>
      </c>
      <c r="C17680" s="22" t="s">
        <v>746</v>
      </c>
      <c r="D17680" s="18">
        <v>2021</v>
      </c>
      <c r="E17680" s="18" t="s">
        <v>0</v>
      </c>
      <c r="F17680" s="4">
        <v>1</v>
      </c>
      <c r="G17680" s="4">
        <v>145</v>
      </c>
      <c r="H17680" s="4">
        <v>29</v>
      </c>
      <c r="I17680" s="201"/>
      <c r="J17680" s="201"/>
    </row>
    <row r="17681" spans="1:36" s="15" customFormat="1" ht="22.5" hidden="1" customHeight="1" outlineLevel="1" x14ac:dyDescent="0.25">
      <c r="A17681" s="48">
        <v>9645</v>
      </c>
      <c r="B17681" s="4" t="s">
        <v>51</v>
      </c>
      <c r="C17681" s="22" t="s">
        <v>747</v>
      </c>
      <c r="D17681" s="18">
        <v>2021</v>
      </c>
      <c r="E17681" s="18" t="s">
        <v>0</v>
      </c>
      <c r="F17681" s="4">
        <v>1</v>
      </c>
      <c r="G17681" s="4">
        <v>150</v>
      </c>
      <c r="H17681" s="4">
        <v>31</v>
      </c>
      <c r="I17681" s="201"/>
      <c r="J17681" s="201"/>
    </row>
    <row r="17682" spans="1:36" s="15" customFormat="1" ht="22.5" hidden="1" customHeight="1" outlineLevel="1" x14ac:dyDescent="0.25">
      <c r="A17682" s="48">
        <v>9646</v>
      </c>
      <c r="B17682" s="4" t="s">
        <v>51</v>
      </c>
      <c r="C17682" s="22" t="s">
        <v>750</v>
      </c>
      <c r="D17682" s="18">
        <v>2021</v>
      </c>
      <c r="E17682" s="18" t="s">
        <v>0</v>
      </c>
      <c r="F17682" s="4">
        <v>1</v>
      </c>
      <c r="G17682" s="4">
        <v>150</v>
      </c>
      <c r="H17682" s="4">
        <v>29</v>
      </c>
      <c r="I17682" s="201"/>
      <c r="J17682" s="201"/>
    </row>
    <row r="17683" spans="1:36" s="15" customFormat="1" ht="22.5" hidden="1" customHeight="1" outlineLevel="1" x14ac:dyDescent="0.25">
      <c r="A17683" s="48">
        <v>9415</v>
      </c>
      <c r="B17683" s="4" t="s">
        <v>51</v>
      </c>
      <c r="C17683" s="22" t="s">
        <v>2069</v>
      </c>
      <c r="D17683" s="18">
        <v>2021</v>
      </c>
      <c r="E17683" s="18" t="s">
        <v>0</v>
      </c>
      <c r="F17683" s="4">
        <v>1</v>
      </c>
      <c r="G17683" s="4">
        <v>145</v>
      </c>
      <c r="H17683" s="4">
        <v>29</v>
      </c>
      <c r="I17683" s="201"/>
      <c r="J17683" s="201"/>
    </row>
    <row r="17684" spans="1:36" s="15" customFormat="1" ht="22.5" hidden="1" customHeight="1" outlineLevel="1" x14ac:dyDescent="0.25">
      <c r="A17684" s="48">
        <v>9585</v>
      </c>
      <c r="B17684" s="4" t="s">
        <v>51</v>
      </c>
      <c r="C17684" s="22" t="s">
        <v>904</v>
      </c>
      <c r="D17684" s="18">
        <v>2021</v>
      </c>
      <c r="E17684" s="18" t="s">
        <v>0</v>
      </c>
      <c r="F17684" s="4">
        <v>1</v>
      </c>
      <c r="G17684" s="4">
        <v>100</v>
      </c>
      <c r="H17684" s="4">
        <v>14</v>
      </c>
      <c r="I17684" s="201"/>
      <c r="J17684" s="201"/>
    </row>
    <row r="17685" spans="1:36" s="15" customFormat="1" ht="22.5" hidden="1" customHeight="1" outlineLevel="1" x14ac:dyDescent="0.25">
      <c r="A17685" s="48">
        <v>10216</v>
      </c>
      <c r="B17685" s="4" t="s">
        <v>51</v>
      </c>
      <c r="C17685" s="22" t="s">
        <v>2070</v>
      </c>
      <c r="D17685" s="18">
        <v>2021</v>
      </c>
      <c r="E17685" s="18" t="s">
        <v>0</v>
      </c>
      <c r="F17685" s="4">
        <v>1</v>
      </c>
      <c r="G17685" s="4">
        <v>15</v>
      </c>
      <c r="H17685" s="4">
        <v>22</v>
      </c>
      <c r="I17685" s="201"/>
      <c r="J17685" s="201"/>
    </row>
    <row r="17686" spans="1:36" s="15" customFormat="1" ht="31.5" collapsed="1" x14ac:dyDescent="0.25">
      <c r="A17686" s="49"/>
      <c r="B17686" s="60" t="s">
        <v>51</v>
      </c>
      <c r="C17686" s="80" t="s">
        <v>2124</v>
      </c>
      <c r="D17686" s="67"/>
      <c r="E17686" s="68" t="s">
        <v>29</v>
      </c>
      <c r="F17686" s="60"/>
      <c r="G17686" s="60"/>
      <c r="H17686" s="60"/>
      <c r="I17686" s="214"/>
      <c r="J17686" s="214"/>
    </row>
    <row r="17687" spans="1:36" s="15" customFormat="1" ht="15.75" customHeight="1" x14ac:dyDescent="0.25">
      <c r="A17687" s="18"/>
      <c r="B17687" s="7" t="s">
        <v>51</v>
      </c>
      <c r="C17687" s="8" t="s">
        <v>57</v>
      </c>
      <c r="D17687" s="7">
        <v>2021</v>
      </c>
      <c r="E17687" s="7" t="s">
        <v>29</v>
      </c>
      <c r="F17687" s="7">
        <f>SUMIF($D$17690:$D$17707,$D$17687,$F$17690:$F$17707)</f>
        <v>2</v>
      </c>
      <c r="G17687" s="7">
        <f>SUMIF($D$17690:$D$17707,$D$17687,$G$17690:$G$17707)</f>
        <v>105</v>
      </c>
      <c r="H17687" s="10">
        <f>SUMIF($D$17690:$D$17707,$D$17687,$H$17690:$H$17707)</f>
        <v>169.88300000000001</v>
      </c>
      <c r="I17687" s="205"/>
      <c r="J17687" s="205"/>
    </row>
    <row r="17688" spans="1:36" s="27" customFormat="1" ht="15.75" x14ac:dyDescent="0.25">
      <c r="A17688" s="18"/>
      <c r="B17688" s="7" t="s">
        <v>51</v>
      </c>
      <c r="C17688" s="8" t="s">
        <v>57</v>
      </c>
      <c r="D17688" s="7">
        <v>2022</v>
      </c>
      <c r="E17688" s="7" t="s">
        <v>29</v>
      </c>
      <c r="F17688" s="7">
        <f>SUMIF($D$17690:$D$17707,$D$17688,$F$17690:$F$17707)</f>
        <v>6</v>
      </c>
      <c r="G17688" s="7">
        <f>SUMIF($D$17690:$D$17707,$D$17688,$G$17690:$G$17707)</f>
        <v>823.09</v>
      </c>
      <c r="H17688" s="10">
        <f>SUMIF($D$17690:$D$17707,$D$17688,$H$17690:$H$17707)</f>
        <v>1540</v>
      </c>
      <c r="I17688" s="205"/>
      <c r="J17688" s="205"/>
      <c r="K17688" s="15"/>
      <c r="L17688" s="15"/>
      <c r="M17688" s="15"/>
      <c r="N17688" s="15"/>
      <c r="O17688" s="15"/>
      <c r="P17688" s="15"/>
      <c r="Q17688" s="15"/>
      <c r="R17688" s="15"/>
      <c r="S17688" s="15"/>
      <c r="T17688" s="15"/>
      <c r="U17688" s="15"/>
      <c r="V17688" s="15"/>
      <c r="W17688" s="15"/>
      <c r="X17688" s="15"/>
      <c r="Y17688" s="15"/>
      <c r="Z17688" s="15"/>
      <c r="AA17688" s="15"/>
      <c r="AB17688" s="15"/>
      <c r="AC17688" s="15"/>
      <c r="AD17688" s="15"/>
      <c r="AE17688" s="15"/>
      <c r="AF17688" s="15"/>
      <c r="AG17688" s="15"/>
      <c r="AH17688" s="15"/>
      <c r="AI17688" s="15"/>
      <c r="AJ17688" s="15"/>
    </row>
    <row r="17689" spans="1:36" s="27" customFormat="1" ht="15.75" x14ac:dyDescent="0.25">
      <c r="A17689" s="90"/>
      <c r="B17689" s="7" t="s">
        <v>51</v>
      </c>
      <c r="C17689" s="8" t="s">
        <v>2811</v>
      </c>
      <c r="D17689" s="7">
        <v>2023</v>
      </c>
      <c r="E17689" s="7" t="s">
        <v>29</v>
      </c>
      <c r="F17689" s="7">
        <f>SUMIF($D$17690:$D$17707,$D$17689,$F$17690:$F$17707)</f>
        <v>11</v>
      </c>
      <c r="G17689" s="7">
        <f>SUMIF($D$17690:$D$17707,$D$17689,$G$17690:$G$17707)</f>
        <v>3864.27</v>
      </c>
      <c r="H17689" s="10">
        <f>SUMIF($D$17690:$D$17707,$D$17689,$H$17690:$H$17707)</f>
        <v>5200.3587499999994</v>
      </c>
      <c r="I17689" s="205"/>
      <c r="J17689" s="205"/>
      <c r="K17689" s="15"/>
      <c r="L17689" s="15"/>
      <c r="M17689" s="15"/>
      <c r="N17689" s="15"/>
      <c r="O17689" s="15"/>
      <c r="P17689" s="15"/>
      <c r="Q17689" s="15"/>
      <c r="R17689" s="15"/>
      <c r="S17689" s="15"/>
      <c r="T17689" s="15"/>
      <c r="U17689" s="15"/>
      <c r="V17689" s="15"/>
      <c r="W17689" s="15"/>
      <c r="X17689" s="15"/>
      <c r="Y17689" s="15"/>
      <c r="Z17689" s="15"/>
      <c r="AA17689" s="15"/>
      <c r="AB17689" s="15"/>
      <c r="AC17689" s="15"/>
      <c r="AD17689" s="15"/>
      <c r="AE17689" s="15"/>
      <c r="AF17689" s="15"/>
      <c r="AG17689" s="15"/>
      <c r="AH17689" s="15"/>
      <c r="AI17689" s="15"/>
      <c r="AJ17689" s="15"/>
    </row>
    <row r="17690" spans="1:36" s="15" customFormat="1" ht="15.75" hidden="1" outlineLevel="1" x14ac:dyDescent="0.25">
      <c r="A17690" s="90"/>
      <c r="B17690" s="4" t="s">
        <v>51</v>
      </c>
      <c r="C17690" s="38"/>
      <c r="D17690" s="4">
        <v>2022</v>
      </c>
      <c r="E17690" s="4" t="s">
        <v>29</v>
      </c>
      <c r="F17690" s="4"/>
      <c r="G17690" s="4"/>
      <c r="H17690" s="4"/>
      <c r="I17690" s="201"/>
      <c r="J17690" s="201"/>
    </row>
    <row r="17691" spans="1:36" s="15" customFormat="1" ht="24.75" hidden="1" customHeight="1" outlineLevel="1" x14ac:dyDescent="0.25">
      <c r="A17691" s="18">
        <v>1</v>
      </c>
      <c r="B17691" s="4" t="s">
        <v>51</v>
      </c>
      <c r="C17691" s="38" t="s">
        <v>8017</v>
      </c>
      <c r="D17691" s="18">
        <v>2022</v>
      </c>
      <c r="E17691" s="36" t="s">
        <v>45</v>
      </c>
      <c r="F17691" s="4">
        <v>1</v>
      </c>
      <c r="G17691" s="41">
        <v>330</v>
      </c>
      <c r="H17691" s="121">
        <v>273</v>
      </c>
      <c r="I17691" s="237"/>
      <c r="J17691" s="237"/>
    </row>
    <row r="17692" spans="1:36" s="15" customFormat="1" ht="24.75" hidden="1" customHeight="1" outlineLevel="1" x14ac:dyDescent="0.25">
      <c r="A17692" s="18">
        <v>96</v>
      </c>
      <c r="B17692" s="4" t="s">
        <v>51</v>
      </c>
      <c r="C17692" s="38" t="s">
        <v>8018</v>
      </c>
      <c r="D17692" s="18">
        <v>2022</v>
      </c>
      <c r="E17692" s="36" t="s">
        <v>45</v>
      </c>
      <c r="F17692" s="4">
        <v>1</v>
      </c>
      <c r="G17692" s="41">
        <v>150</v>
      </c>
      <c r="H17692" s="121">
        <v>258</v>
      </c>
      <c r="I17692" s="237"/>
      <c r="J17692" s="237"/>
    </row>
    <row r="17693" spans="1:36" s="15" customFormat="1" ht="24.75" hidden="1" customHeight="1" outlineLevel="1" x14ac:dyDescent="0.25">
      <c r="A17693" s="18">
        <v>99</v>
      </c>
      <c r="B17693" s="4" t="s">
        <v>51</v>
      </c>
      <c r="C17693" s="38" t="s">
        <v>8019</v>
      </c>
      <c r="D17693" s="18">
        <v>2022</v>
      </c>
      <c r="E17693" s="36" t="s">
        <v>45</v>
      </c>
      <c r="F17693" s="4">
        <v>1</v>
      </c>
      <c r="G17693" s="41">
        <v>108</v>
      </c>
      <c r="H17693" s="121">
        <v>259</v>
      </c>
      <c r="I17693" s="237"/>
      <c r="J17693" s="237"/>
    </row>
    <row r="17694" spans="1:36" s="15" customFormat="1" ht="24.75" hidden="1" customHeight="1" outlineLevel="1" x14ac:dyDescent="0.25">
      <c r="A17694" s="18">
        <v>89</v>
      </c>
      <c r="B17694" s="4" t="s">
        <v>51</v>
      </c>
      <c r="C17694" s="38" t="s">
        <v>8020</v>
      </c>
      <c r="D17694" s="18">
        <v>2022</v>
      </c>
      <c r="E17694" s="36" t="s">
        <v>45</v>
      </c>
      <c r="F17694" s="4">
        <v>1</v>
      </c>
      <c r="G17694" s="41">
        <v>135.09</v>
      </c>
      <c r="H17694" s="121">
        <v>259</v>
      </c>
      <c r="I17694" s="237"/>
      <c r="J17694" s="237"/>
    </row>
    <row r="17695" spans="1:36" s="15" customFormat="1" ht="24.75" hidden="1" customHeight="1" outlineLevel="1" x14ac:dyDescent="0.25">
      <c r="A17695" s="18">
        <v>363</v>
      </c>
      <c r="B17695" s="4" t="s">
        <v>51</v>
      </c>
      <c r="C17695" s="38" t="s">
        <v>2873</v>
      </c>
      <c r="D17695" s="18">
        <v>2022</v>
      </c>
      <c r="E17695" s="36" t="s">
        <v>45</v>
      </c>
      <c r="F17695" s="4">
        <v>2</v>
      </c>
      <c r="G17695" s="41">
        <v>100</v>
      </c>
      <c r="H17695" s="121">
        <v>491</v>
      </c>
      <c r="I17695" s="237"/>
      <c r="J17695" s="237"/>
    </row>
    <row r="17696" spans="1:36" s="15" customFormat="1" ht="24.75" hidden="1" customHeight="1" outlineLevel="1" x14ac:dyDescent="0.25">
      <c r="A17696" s="90">
        <v>6164</v>
      </c>
      <c r="B17696" s="4" t="s">
        <v>51</v>
      </c>
      <c r="C17696" s="38" t="s">
        <v>13597</v>
      </c>
      <c r="D17696" s="4">
        <v>2023</v>
      </c>
      <c r="E17696" s="4" t="s">
        <v>29</v>
      </c>
      <c r="F17696" s="6">
        <v>1</v>
      </c>
      <c r="G17696" s="4">
        <v>99</v>
      </c>
      <c r="H17696" s="4">
        <v>492.09100000000001</v>
      </c>
      <c r="I17696" s="201"/>
      <c r="J17696" s="201"/>
    </row>
    <row r="17697" spans="1:10" s="15" customFormat="1" ht="24.75" hidden="1" customHeight="1" outlineLevel="1" x14ac:dyDescent="0.25">
      <c r="A17697" s="90">
        <v>6162</v>
      </c>
      <c r="B17697" s="4" t="s">
        <v>51</v>
      </c>
      <c r="C17697" s="38" t="s">
        <v>13598</v>
      </c>
      <c r="D17697" s="4">
        <v>2023</v>
      </c>
      <c r="E17697" s="4" t="s">
        <v>29</v>
      </c>
      <c r="F17697" s="6">
        <v>1</v>
      </c>
      <c r="G17697" s="4">
        <v>365</v>
      </c>
      <c r="H17697" s="4">
        <v>482.69900000000001</v>
      </c>
      <c r="I17697" s="201"/>
      <c r="J17697" s="201"/>
    </row>
    <row r="17698" spans="1:10" s="15" customFormat="1" ht="24.75" hidden="1" customHeight="1" outlineLevel="1" x14ac:dyDescent="0.25">
      <c r="A17698" s="90">
        <v>6204</v>
      </c>
      <c r="B17698" s="4" t="s">
        <v>51</v>
      </c>
      <c r="C17698" s="38" t="s">
        <v>13599</v>
      </c>
      <c r="D17698" s="4">
        <v>2023</v>
      </c>
      <c r="E17698" s="4" t="s">
        <v>29</v>
      </c>
      <c r="F17698" s="6">
        <v>1</v>
      </c>
      <c r="G17698" s="4">
        <v>1250</v>
      </c>
      <c r="H17698" s="4">
        <v>484.10199999999998</v>
      </c>
      <c r="I17698" s="201"/>
      <c r="J17698" s="201"/>
    </row>
    <row r="17699" spans="1:10" s="15" customFormat="1" ht="24.75" hidden="1" customHeight="1" outlineLevel="1" x14ac:dyDescent="0.25">
      <c r="A17699" s="90">
        <v>6206</v>
      </c>
      <c r="B17699" s="4" t="s">
        <v>51</v>
      </c>
      <c r="C17699" s="38" t="s">
        <v>13600</v>
      </c>
      <c r="D17699" s="4">
        <v>2023</v>
      </c>
      <c r="E17699" s="4" t="s">
        <v>29</v>
      </c>
      <c r="F17699" s="6">
        <v>1</v>
      </c>
      <c r="G17699" s="4">
        <v>160.94999999999999</v>
      </c>
      <c r="H17699" s="4">
        <v>476.6397</v>
      </c>
      <c r="I17699" s="201"/>
      <c r="J17699" s="201"/>
    </row>
    <row r="17700" spans="1:10" s="15" customFormat="1" ht="24.75" hidden="1" customHeight="1" outlineLevel="1" x14ac:dyDescent="0.25">
      <c r="A17700" s="90">
        <v>6661</v>
      </c>
      <c r="B17700" s="4" t="s">
        <v>51</v>
      </c>
      <c r="C17700" s="38" t="s">
        <v>13601</v>
      </c>
      <c r="D17700" s="4">
        <v>2023</v>
      </c>
      <c r="E17700" s="4" t="s">
        <v>29</v>
      </c>
      <c r="F17700" s="6">
        <v>1</v>
      </c>
      <c r="G17700" s="4">
        <v>150</v>
      </c>
      <c r="H17700" s="4">
        <v>496.95694000000003</v>
      </c>
      <c r="I17700" s="201"/>
      <c r="J17700" s="201"/>
    </row>
    <row r="17701" spans="1:10" s="15" customFormat="1" ht="24.75" hidden="1" customHeight="1" outlineLevel="1" x14ac:dyDescent="0.25">
      <c r="A17701" s="90">
        <v>6205</v>
      </c>
      <c r="B17701" s="4" t="s">
        <v>51</v>
      </c>
      <c r="C17701" s="38" t="s">
        <v>13602</v>
      </c>
      <c r="D17701" s="4">
        <v>2023</v>
      </c>
      <c r="E17701" s="4" t="s">
        <v>29</v>
      </c>
      <c r="F17701" s="6">
        <v>1</v>
      </c>
      <c r="G17701" s="4">
        <v>500</v>
      </c>
      <c r="H17701" s="4">
        <v>521.42700000000002</v>
      </c>
      <c r="I17701" s="201"/>
      <c r="J17701" s="201"/>
    </row>
    <row r="17702" spans="1:10" s="15" customFormat="1" ht="24.75" hidden="1" customHeight="1" outlineLevel="1" x14ac:dyDescent="0.25">
      <c r="A17702" s="90">
        <v>6694</v>
      </c>
      <c r="B17702" s="4" t="s">
        <v>51</v>
      </c>
      <c r="C17702" s="38" t="s">
        <v>13603</v>
      </c>
      <c r="D17702" s="4">
        <v>2023</v>
      </c>
      <c r="E17702" s="4" t="s">
        <v>29</v>
      </c>
      <c r="F17702" s="4">
        <v>1</v>
      </c>
      <c r="G17702" s="4">
        <v>137.32</v>
      </c>
      <c r="H17702" s="4">
        <v>519.98</v>
      </c>
      <c r="I17702" s="201"/>
      <c r="J17702" s="201"/>
    </row>
    <row r="17703" spans="1:10" s="15" customFormat="1" ht="24.75" hidden="1" customHeight="1" outlineLevel="1" x14ac:dyDescent="0.25">
      <c r="A17703" s="90">
        <v>6249</v>
      </c>
      <c r="B17703" s="4" t="s">
        <v>51</v>
      </c>
      <c r="C17703" s="38" t="s">
        <v>13604</v>
      </c>
      <c r="D17703" s="4">
        <v>2023</v>
      </c>
      <c r="E17703" s="4" t="s">
        <v>29</v>
      </c>
      <c r="F17703" s="4">
        <v>1</v>
      </c>
      <c r="G17703" s="4">
        <v>670</v>
      </c>
      <c r="H17703" s="4">
        <v>293.12558000000001</v>
      </c>
      <c r="I17703" s="201"/>
      <c r="J17703" s="201"/>
    </row>
    <row r="17704" spans="1:10" s="15" customFormat="1" ht="24.75" hidden="1" customHeight="1" outlineLevel="1" x14ac:dyDescent="0.25">
      <c r="A17704" s="90">
        <v>6163</v>
      </c>
      <c r="B17704" s="4" t="s">
        <v>51</v>
      </c>
      <c r="C17704" s="38" t="s">
        <v>9019</v>
      </c>
      <c r="D17704" s="4">
        <v>2023</v>
      </c>
      <c r="E17704" s="4" t="s">
        <v>29</v>
      </c>
      <c r="F17704" s="4">
        <v>1</v>
      </c>
      <c r="G17704" s="4">
        <v>400</v>
      </c>
      <c r="H17704" s="4">
        <v>571.37400000000002</v>
      </c>
      <c r="I17704" s="201"/>
      <c r="J17704" s="201"/>
    </row>
    <row r="17705" spans="1:10" s="15" customFormat="1" ht="24.75" hidden="1" customHeight="1" outlineLevel="1" x14ac:dyDescent="0.25">
      <c r="A17705" s="90">
        <v>6711</v>
      </c>
      <c r="B17705" s="4" t="s">
        <v>51</v>
      </c>
      <c r="C17705" s="38" t="s">
        <v>9047</v>
      </c>
      <c r="D17705" s="4">
        <v>2023</v>
      </c>
      <c r="E17705" s="4" t="s">
        <v>29</v>
      </c>
      <c r="F17705" s="4">
        <v>1</v>
      </c>
      <c r="G17705" s="4">
        <v>75</v>
      </c>
      <c r="H17705" s="4">
        <v>760.48199999999997</v>
      </c>
      <c r="I17705" s="201"/>
      <c r="J17705" s="201"/>
    </row>
    <row r="17706" spans="1:10" s="15" customFormat="1" ht="24.75" hidden="1" customHeight="1" outlineLevel="1" x14ac:dyDescent="0.25">
      <c r="A17706" s="90">
        <v>4290</v>
      </c>
      <c r="B17706" s="4" t="s">
        <v>51</v>
      </c>
      <c r="C17706" s="38" t="s">
        <v>13605</v>
      </c>
      <c r="D17706" s="4">
        <v>2023</v>
      </c>
      <c r="E17706" s="4" t="s">
        <v>29</v>
      </c>
      <c r="F17706" s="4">
        <v>1</v>
      </c>
      <c r="G17706" s="4">
        <v>57</v>
      </c>
      <c r="H17706" s="4">
        <v>101.48153000000001</v>
      </c>
      <c r="I17706" s="201"/>
      <c r="J17706" s="201"/>
    </row>
    <row r="17707" spans="1:10" s="15" customFormat="1" ht="24.75" hidden="1" customHeight="1" outlineLevel="1" x14ac:dyDescent="0.25">
      <c r="A17707" s="48">
        <v>9007</v>
      </c>
      <c r="B17707" s="4" t="s">
        <v>51</v>
      </c>
      <c r="C17707" s="22" t="s">
        <v>2071</v>
      </c>
      <c r="D17707" s="18">
        <v>2021</v>
      </c>
      <c r="E17707" s="18" t="s">
        <v>29</v>
      </c>
      <c r="F17707" s="4">
        <v>2</v>
      </c>
      <c r="G17707" s="4">
        <v>105</v>
      </c>
      <c r="H17707" s="4">
        <v>169.88300000000001</v>
      </c>
      <c r="I17707" s="201"/>
      <c r="J17707" s="201"/>
    </row>
    <row r="17708" spans="1:10" s="15" customFormat="1" ht="31.5" collapsed="1" x14ac:dyDescent="0.25">
      <c r="A17708" s="141"/>
      <c r="B17708" s="72" t="s">
        <v>46</v>
      </c>
      <c r="C17708" s="81" t="s">
        <v>2125</v>
      </c>
      <c r="D17708" s="76"/>
      <c r="E17708" s="76" t="s">
        <v>24</v>
      </c>
      <c r="F17708" s="72"/>
      <c r="G17708" s="72"/>
      <c r="H17708" s="72"/>
      <c r="I17708" s="218"/>
      <c r="J17708" s="218"/>
    </row>
    <row r="17709" spans="1:10" s="15" customFormat="1" ht="15.75" x14ac:dyDescent="0.25">
      <c r="A17709" s="50"/>
      <c r="B17709" s="11" t="s">
        <v>46</v>
      </c>
      <c r="C17709" s="12" t="s">
        <v>57</v>
      </c>
      <c r="D17709" s="20">
        <v>2021</v>
      </c>
      <c r="E17709" s="20" t="s">
        <v>24</v>
      </c>
      <c r="F17709" s="11">
        <f>SUMIF($D$17712:$D$17758,$D$17709,$F$17712:$F$17758)</f>
        <v>17</v>
      </c>
      <c r="G17709" s="11">
        <f>SUMIF($D$17712:$D$17758,$D$17709,$G$17712:$G$17758)</f>
        <v>7378</v>
      </c>
      <c r="H17709" s="14">
        <f>SUMIF($D$17712:$D$17758,$D$17709,$H$17712:$H$17758)</f>
        <v>4549.3352300000006</v>
      </c>
      <c r="I17709" s="220"/>
      <c r="J17709" s="220"/>
    </row>
    <row r="17710" spans="1:10" s="15" customFormat="1" ht="21" customHeight="1" x14ac:dyDescent="0.25">
      <c r="A17710" s="50"/>
      <c r="B17710" s="11" t="s">
        <v>46</v>
      </c>
      <c r="C17710" s="12" t="s">
        <v>57</v>
      </c>
      <c r="D17710" s="20">
        <v>2022</v>
      </c>
      <c r="E17710" s="20" t="s">
        <v>24</v>
      </c>
      <c r="F17710" s="11">
        <f>SUMIF($D$17712:$D$17758,$D$17710,$F$17712:$F$17758)</f>
        <v>2</v>
      </c>
      <c r="G17710" s="11">
        <f>SUMIF($D$17712:$D$17758,$D$17710,$G$17712:$G$17758)</f>
        <v>300</v>
      </c>
      <c r="H17710" s="14">
        <f>SUMIF($D$17712:$D$17758,$D$17710,$H$17712:$H$17758)</f>
        <v>802.76700000000005</v>
      </c>
      <c r="I17710" s="220"/>
      <c r="J17710" s="220"/>
    </row>
    <row r="17711" spans="1:10" s="15" customFormat="1" ht="15.75" x14ac:dyDescent="0.25">
      <c r="A17711" s="50"/>
      <c r="B17711" s="11" t="s">
        <v>46</v>
      </c>
      <c r="C17711" s="12" t="s">
        <v>2811</v>
      </c>
      <c r="D17711" s="20">
        <v>2023</v>
      </c>
      <c r="E17711" s="20" t="s">
        <v>24</v>
      </c>
      <c r="F17711" s="11">
        <f>SUMIF($D$17712:$D$17758,$D$17711,$F$17712:$F$17758)</f>
        <v>28</v>
      </c>
      <c r="G17711" s="11">
        <f>SUMIF($D$17712:$D$17758,$D$17711,$G$17712:$G$17758)</f>
        <v>6517.3</v>
      </c>
      <c r="H17711" s="14">
        <f>SUMIF($D$17712:$D$17758,$D$17711,$H$17712:$H$17758)</f>
        <v>14124.110749999998</v>
      </c>
      <c r="I17711" s="220"/>
      <c r="J17711" s="220"/>
    </row>
    <row r="17712" spans="1:10" s="15" customFormat="1" ht="39" hidden="1" customHeight="1" outlineLevel="1" x14ac:dyDescent="0.25">
      <c r="A17712" s="18">
        <v>422</v>
      </c>
      <c r="B17712" s="4" t="s">
        <v>46</v>
      </c>
      <c r="C17712" s="38" t="s">
        <v>3125</v>
      </c>
      <c r="D17712" s="18">
        <v>2022</v>
      </c>
      <c r="E17712" s="36" t="s">
        <v>45</v>
      </c>
      <c r="F17712" s="4">
        <v>1</v>
      </c>
      <c r="G17712" s="41">
        <v>150</v>
      </c>
      <c r="H17712" s="121">
        <v>417</v>
      </c>
      <c r="I17712" s="237"/>
      <c r="J17712" s="237"/>
    </row>
    <row r="17713" spans="1:10" s="15" customFormat="1" ht="39" hidden="1" customHeight="1" outlineLevel="1" x14ac:dyDescent="0.25">
      <c r="A17713" s="18">
        <v>5667</v>
      </c>
      <c r="B17713" s="4" t="s">
        <v>46</v>
      </c>
      <c r="C17713" s="38" t="s">
        <v>3114</v>
      </c>
      <c r="D17713" s="18">
        <v>2022</v>
      </c>
      <c r="E17713" s="36" t="s">
        <v>45</v>
      </c>
      <c r="F17713" s="4">
        <v>1</v>
      </c>
      <c r="G17713" s="41">
        <v>150</v>
      </c>
      <c r="H17713" s="121">
        <v>385.767</v>
      </c>
      <c r="I17713" s="237"/>
      <c r="J17713" s="237"/>
    </row>
    <row r="17714" spans="1:10" s="15" customFormat="1" ht="30" hidden="1" customHeight="1" outlineLevel="1" x14ac:dyDescent="0.25">
      <c r="A17714" s="128">
        <v>4269</v>
      </c>
      <c r="B17714" s="6" t="s">
        <v>46</v>
      </c>
      <c r="C17714" s="38" t="s">
        <v>13606</v>
      </c>
      <c r="D17714" s="23">
        <v>2023</v>
      </c>
      <c r="E17714" s="23" t="s">
        <v>24</v>
      </c>
      <c r="F17714" s="6">
        <v>1</v>
      </c>
      <c r="G17714" s="6">
        <v>250</v>
      </c>
      <c r="H17714" s="40">
        <v>465.37234000000001</v>
      </c>
      <c r="I17714" s="212"/>
      <c r="J17714" s="212"/>
    </row>
    <row r="17715" spans="1:10" s="15" customFormat="1" ht="30" hidden="1" customHeight="1" outlineLevel="1" x14ac:dyDescent="0.25">
      <c r="A17715" s="128">
        <v>4270</v>
      </c>
      <c r="B17715" s="6" t="s">
        <v>46</v>
      </c>
      <c r="C17715" s="38" t="s">
        <v>13607</v>
      </c>
      <c r="D17715" s="23">
        <v>2023</v>
      </c>
      <c r="E17715" s="23" t="s">
        <v>24</v>
      </c>
      <c r="F17715" s="6">
        <v>1</v>
      </c>
      <c r="G17715" s="6">
        <v>150</v>
      </c>
      <c r="H17715" s="40">
        <v>469.78471000000002</v>
      </c>
      <c r="I17715" s="212"/>
      <c r="J17715" s="212"/>
    </row>
    <row r="17716" spans="1:10" s="15" customFormat="1" ht="30" hidden="1" customHeight="1" outlineLevel="1" x14ac:dyDescent="0.25">
      <c r="A17716" s="128">
        <v>4284</v>
      </c>
      <c r="B17716" s="6" t="s">
        <v>46</v>
      </c>
      <c r="C17716" s="38" t="s">
        <v>13608</v>
      </c>
      <c r="D17716" s="23">
        <v>2023</v>
      </c>
      <c r="E17716" s="23" t="s">
        <v>24</v>
      </c>
      <c r="F17716" s="6">
        <v>1</v>
      </c>
      <c r="G17716" s="6">
        <v>80</v>
      </c>
      <c r="H17716" s="40">
        <v>479.40237000000002</v>
      </c>
      <c r="I17716" s="212"/>
      <c r="J17716" s="212"/>
    </row>
    <row r="17717" spans="1:10" s="15" customFormat="1" ht="30" hidden="1" customHeight="1" outlineLevel="1" x14ac:dyDescent="0.25">
      <c r="A17717" s="128">
        <v>4268</v>
      </c>
      <c r="B17717" s="6" t="s">
        <v>46</v>
      </c>
      <c r="C17717" s="38" t="s">
        <v>13609</v>
      </c>
      <c r="D17717" s="23">
        <v>2023</v>
      </c>
      <c r="E17717" s="23" t="s">
        <v>24</v>
      </c>
      <c r="F17717" s="6">
        <v>1</v>
      </c>
      <c r="G17717" s="6">
        <v>125</v>
      </c>
      <c r="H17717" s="40">
        <v>471.28574000000003</v>
      </c>
      <c r="I17717" s="212"/>
      <c r="J17717" s="212"/>
    </row>
    <row r="17718" spans="1:10" s="15" customFormat="1" ht="30" hidden="1" customHeight="1" outlineLevel="1" x14ac:dyDescent="0.25">
      <c r="A17718" s="128">
        <v>4254</v>
      </c>
      <c r="B17718" s="6" t="s">
        <v>46</v>
      </c>
      <c r="C17718" s="38" t="s">
        <v>13610</v>
      </c>
      <c r="D17718" s="23">
        <v>2023</v>
      </c>
      <c r="E17718" s="23" t="s">
        <v>24</v>
      </c>
      <c r="F17718" s="6">
        <v>1</v>
      </c>
      <c r="G17718" s="6">
        <v>150</v>
      </c>
      <c r="H17718" s="40">
        <v>475.09699000000001</v>
      </c>
      <c r="I17718" s="212"/>
      <c r="J17718" s="212"/>
    </row>
    <row r="17719" spans="1:10" s="15" customFormat="1" ht="41.25" hidden="1" customHeight="1" outlineLevel="1" x14ac:dyDescent="0.25">
      <c r="A17719" s="128">
        <v>4009</v>
      </c>
      <c r="B17719" s="6" t="s">
        <v>46</v>
      </c>
      <c r="C17719" s="38" t="s">
        <v>9060</v>
      </c>
      <c r="D17719" s="23">
        <v>2023</v>
      </c>
      <c r="E17719" s="23" t="s">
        <v>24</v>
      </c>
      <c r="F17719" s="6">
        <v>1</v>
      </c>
      <c r="G17719" s="6">
        <v>14</v>
      </c>
      <c r="H17719" s="40">
        <v>562.29477999999995</v>
      </c>
      <c r="I17719" s="212"/>
      <c r="J17719" s="212"/>
    </row>
    <row r="17720" spans="1:10" s="15" customFormat="1" ht="30" hidden="1" customHeight="1" outlineLevel="1" x14ac:dyDescent="0.25">
      <c r="A17720" s="128">
        <v>4237</v>
      </c>
      <c r="B17720" s="6" t="s">
        <v>46</v>
      </c>
      <c r="C17720" s="38" t="s">
        <v>9130</v>
      </c>
      <c r="D17720" s="23">
        <v>2023</v>
      </c>
      <c r="E17720" s="23" t="s">
        <v>24</v>
      </c>
      <c r="F17720" s="6">
        <v>1</v>
      </c>
      <c r="G17720" s="6">
        <v>700</v>
      </c>
      <c r="H17720" s="40">
        <v>482.18369000000001</v>
      </c>
      <c r="I17720" s="212"/>
      <c r="J17720" s="212"/>
    </row>
    <row r="17721" spans="1:10" s="15" customFormat="1" ht="30.75" hidden="1" customHeight="1" outlineLevel="1" x14ac:dyDescent="0.25">
      <c r="A17721" s="18">
        <v>3043</v>
      </c>
      <c r="B17721" s="6" t="s">
        <v>46</v>
      </c>
      <c r="C17721" s="38" t="s">
        <v>9366</v>
      </c>
      <c r="D17721" s="23">
        <v>2023</v>
      </c>
      <c r="E17721" s="23" t="s">
        <v>45</v>
      </c>
      <c r="F17721" s="40">
        <v>1</v>
      </c>
      <c r="G17721" s="40">
        <v>150</v>
      </c>
      <c r="H17721" s="40">
        <v>808.16100000000006</v>
      </c>
      <c r="I17721" s="212"/>
      <c r="J17721" s="212"/>
    </row>
    <row r="17722" spans="1:10" s="15" customFormat="1" ht="30.75" hidden="1" customHeight="1" outlineLevel="1" x14ac:dyDescent="0.25">
      <c r="A17722" s="18">
        <v>3047</v>
      </c>
      <c r="B17722" s="6" t="s">
        <v>46</v>
      </c>
      <c r="C17722" s="38" t="s">
        <v>9367</v>
      </c>
      <c r="D17722" s="23">
        <v>2023</v>
      </c>
      <c r="E17722" s="23" t="s">
        <v>45</v>
      </c>
      <c r="F17722" s="40">
        <v>1</v>
      </c>
      <c r="G17722" s="40">
        <v>150</v>
      </c>
      <c r="H17722" s="40">
        <v>808.16100000000006</v>
      </c>
      <c r="I17722" s="212"/>
      <c r="J17722" s="212"/>
    </row>
    <row r="17723" spans="1:10" s="15" customFormat="1" ht="30" hidden="1" customHeight="1" outlineLevel="1" x14ac:dyDescent="0.25">
      <c r="A17723" s="128">
        <v>4929</v>
      </c>
      <c r="B17723" s="6" t="s">
        <v>46</v>
      </c>
      <c r="C17723" s="38" t="s">
        <v>13611</v>
      </c>
      <c r="D17723" s="23">
        <v>2023</v>
      </c>
      <c r="E17723" s="23" t="s">
        <v>24</v>
      </c>
      <c r="F17723" s="6">
        <v>1</v>
      </c>
      <c r="G17723" s="6">
        <v>300</v>
      </c>
      <c r="H17723" s="40">
        <v>482.91525999999999</v>
      </c>
      <c r="I17723" s="212"/>
      <c r="J17723" s="212"/>
    </row>
    <row r="17724" spans="1:10" s="15" customFormat="1" ht="30" hidden="1" customHeight="1" outlineLevel="1" x14ac:dyDescent="0.25">
      <c r="A17724" s="128">
        <v>4934</v>
      </c>
      <c r="B17724" s="6" t="s">
        <v>46</v>
      </c>
      <c r="C17724" s="38" t="s">
        <v>13612</v>
      </c>
      <c r="D17724" s="23">
        <v>2023</v>
      </c>
      <c r="E17724" s="23" t="s">
        <v>24</v>
      </c>
      <c r="F17724" s="6">
        <v>1</v>
      </c>
      <c r="G17724" s="6">
        <v>60</v>
      </c>
      <c r="H17724" s="40">
        <v>480.94999000000001</v>
      </c>
      <c r="I17724" s="212"/>
      <c r="J17724" s="212"/>
    </row>
    <row r="17725" spans="1:10" s="15" customFormat="1" ht="30" hidden="1" customHeight="1" outlineLevel="1" x14ac:dyDescent="0.25">
      <c r="A17725" s="128">
        <v>4988</v>
      </c>
      <c r="B17725" s="6" t="s">
        <v>46</v>
      </c>
      <c r="C17725" s="38" t="s">
        <v>13613</v>
      </c>
      <c r="D17725" s="23">
        <v>2023</v>
      </c>
      <c r="E17725" s="23" t="s">
        <v>24</v>
      </c>
      <c r="F17725" s="6">
        <v>1</v>
      </c>
      <c r="G17725" s="6">
        <v>600</v>
      </c>
      <c r="H17725" s="40">
        <v>471.39352000000002</v>
      </c>
      <c r="I17725" s="212"/>
      <c r="J17725" s="212"/>
    </row>
    <row r="17726" spans="1:10" s="15" customFormat="1" ht="30" hidden="1" customHeight="1" outlineLevel="1" x14ac:dyDescent="0.25">
      <c r="A17726" s="128">
        <v>3001</v>
      </c>
      <c r="B17726" s="6" t="s">
        <v>46</v>
      </c>
      <c r="C17726" s="38" t="s">
        <v>9111</v>
      </c>
      <c r="D17726" s="23">
        <v>2023</v>
      </c>
      <c r="E17726" s="23" t="s">
        <v>24</v>
      </c>
      <c r="F17726" s="6">
        <v>1</v>
      </c>
      <c r="G17726" s="6">
        <v>150</v>
      </c>
      <c r="H17726" s="40">
        <v>526.4</v>
      </c>
      <c r="I17726" s="212"/>
      <c r="J17726" s="212"/>
    </row>
    <row r="17727" spans="1:10" s="15" customFormat="1" ht="30" hidden="1" customHeight="1" outlineLevel="1" x14ac:dyDescent="0.25">
      <c r="A17727" s="128">
        <v>4432</v>
      </c>
      <c r="B17727" s="6" t="s">
        <v>46</v>
      </c>
      <c r="C17727" s="38" t="s">
        <v>13614</v>
      </c>
      <c r="D17727" s="23">
        <v>2023</v>
      </c>
      <c r="E17727" s="23" t="s">
        <v>24</v>
      </c>
      <c r="F17727" s="6">
        <v>1</v>
      </c>
      <c r="G17727" s="6">
        <v>150</v>
      </c>
      <c r="H17727" s="40">
        <v>467.41197</v>
      </c>
      <c r="I17727" s="212"/>
      <c r="J17727" s="212"/>
    </row>
    <row r="17728" spans="1:10" s="15" customFormat="1" ht="30" hidden="1" customHeight="1" outlineLevel="1" x14ac:dyDescent="0.25">
      <c r="A17728" s="128">
        <v>4431</v>
      </c>
      <c r="B17728" s="6" t="s">
        <v>46</v>
      </c>
      <c r="C17728" s="38" t="s">
        <v>13615</v>
      </c>
      <c r="D17728" s="23">
        <v>2023</v>
      </c>
      <c r="E17728" s="23" t="s">
        <v>24</v>
      </c>
      <c r="F17728" s="6">
        <v>1</v>
      </c>
      <c r="G17728" s="6">
        <v>50</v>
      </c>
      <c r="H17728" s="40">
        <v>467.41197</v>
      </c>
      <c r="I17728" s="212"/>
      <c r="J17728" s="212"/>
    </row>
    <row r="17729" spans="1:10" s="15" customFormat="1" ht="30" hidden="1" customHeight="1" outlineLevel="1" x14ac:dyDescent="0.25">
      <c r="A17729" s="128">
        <v>4433</v>
      </c>
      <c r="B17729" s="6" t="s">
        <v>46</v>
      </c>
      <c r="C17729" s="38" t="s">
        <v>13616</v>
      </c>
      <c r="D17729" s="23">
        <v>2023</v>
      </c>
      <c r="E17729" s="23" t="s">
        <v>24</v>
      </c>
      <c r="F17729" s="6">
        <v>1</v>
      </c>
      <c r="G17729" s="6">
        <v>15</v>
      </c>
      <c r="H17729" s="40">
        <v>467.93477999999999</v>
      </c>
      <c r="I17729" s="212"/>
      <c r="J17729" s="212"/>
    </row>
    <row r="17730" spans="1:10" s="15" customFormat="1" ht="30" hidden="1" customHeight="1" outlineLevel="1" x14ac:dyDescent="0.25">
      <c r="A17730" s="128">
        <v>4434</v>
      </c>
      <c r="B17730" s="6" t="s">
        <v>46</v>
      </c>
      <c r="C17730" s="38" t="s">
        <v>13617</v>
      </c>
      <c r="D17730" s="23">
        <v>2023</v>
      </c>
      <c r="E17730" s="23" t="s">
        <v>24</v>
      </c>
      <c r="F17730" s="6">
        <v>1</v>
      </c>
      <c r="G17730" s="6">
        <v>112.5</v>
      </c>
      <c r="H17730" s="40">
        <v>484.69324</v>
      </c>
      <c r="I17730" s="212"/>
      <c r="J17730" s="212"/>
    </row>
    <row r="17731" spans="1:10" s="15" customFormat="1" ht="30" hidden="1" customHeight="1" outlineLevel="1" x14ac:dyDescent="0.25">
      <c r="A17731" s="128">
        <v>4411</v>
      </c>
      <c r="B17731" s="6" t="s">
        <v>46</v>
      </c>
      <c r="C17731" s="38" t="s">
        <v>13618</v>
      </c>
      <c r="D17731" s="23">
        <v>2023</v>
      </c>
      <c r="E17731" s="23" t="s">
        <v>24</v>
      </c>
      <c r="F17731" s="6">
        <v>1</v>
      </c>
      <c r="G17731" s="6">
        <v>290</v>
      </c>
      <c r="H17731" s="40">
        <v>458.35671000000002</v>
      </c>
      <c r="I17731" s="212"/>
      <c r="J17731" s="212"/>
    </row>
    <row r="17732" spans="1:10" s="15" customFormat="1" ht="30" hidden="1" customHeight="1" outlineLevel="1" x14ac:dyDescent="0.25">
      <c r="A17732" s="128">
        <v>3051</v>
      </c>
      <c r="B17732" s="6" t="s">
        <v>46</v>
      </c>
      <c r="C17732" s="38" t="s">
        <v>9112</v>
      </c>
      <c r="D17732" s="23">
        <v>2023</v>
      </c>
      <c r="E17732" s="23" t="s">
        <v>24</v>
      </c>
      <c r="F17732" s="6">
        <v>1</v>
      </c>
      <c r="G17732" s="6">
        <v>150</v>
      </c>
      <c r="H17732" s="40">
        <v>504.58460000000002</v>
      </c>
      <c r="I17732" s="212"/>
      <c r="J17732" s="212"/>
    </row>
    <row r="17733" spans="1:10" s="15" customFormat="1" ht="30" hidden="1" customHeight="1" outlineLevel="1" x14ac:dyDescent="0.25">
      <c r="A17733" s="128">
        <v>4428</v>
      </c>
      <c r="B17733" s="6" t="s">
        <v>46</v>
      </c>
      <c r="C17733" s="38" t="s">
        <v>9113</v>
      </c>
      <c r="D17733" s="23">
        <v>2023</v>
      </c>
      <c r="E17733" s="23" t="s">
        <v>24</v>
      </c>
      <c r="F17733" s="6">
        <v>1</v>
      </c>
      <c r="G17733" s="6">
        <v>134.80000000000001</v>
      </c>
      <c r="H17733" s="40">
        <v>501.44801999999999</v>
      </c>
      <c r="I17733" s="212"/>
      <c r="J17733" s="212"/>
    </row>
    <row r="17734" spans="1:10" s="15" customFormat="1" ht="30" hidden="1" customHeight="1" outlineLevel="1" x14ac:dyDescent="0.25">
      <c r="A17734" s="128">
        <v>4413</v>
      </c>
      <c r="B17734" s="6" t="s">
        <v>46</v>
      </c>
      <c r="C17734" s="38" t="s">
        <v>13619</v>
      </c>
      <c r="D17734" s="23">
        <v>2023</v>
      </c>
      <c r="E17734" s="23" t="s">
        <v>24</v>
      </c>
      <c r="F17734" s="6">
        <v>1</v>
      </c>
      <c r="G17734" s="6">
        <v>570</v>
      </c>
      <c r="H17734" s="40">
        <v>458.03116</v>
      </c>
      <c r="I17734" s="212"/>
      <c r="J17734" s="212"/>
    </row>
    <row r="17735" spans="1:10" s="15" customFormat="1" ht="30" hidden="1" customHeight="1" outlineLevel="1" x14ac:dyDescent="0.25">
      <c r="A17735" s="128">
        <v>4412</v>
      </c>
      <c r="B17735" s="6" t="s">
        <v>46</v>
      </c>
      <c r="C17735" s="38" t="s">
        <v>13620</v>
      </c>
      <c r="D17735" s="23">
        <v>2023</v>
      </c>
      <c r="E17735" s="23" t="s">
        <v>24</v>
      </c>
      <c r="F17735" s="6">
        <v>1</v>
      </c>
      <c r="G17735" s="6">
        <v>249.8</v>
      </c>
      <c r="H17735" s="40">
        <v>458.59629999999999</v>
      </c>
      <c r="I17735" s="212"/>
      <c r="J17735" s="212"/>
    </row>
    <row r="17736" spans="1:10" s="15" customFormat="1" ht="30" hidden="1" customHeight="1" outlineLevel="1" x14ac:dyDescent="0.25">
      <c r="A17736" s="128">
        <v>4417</v>
      </c>
      <c r="B17736" s="6" t="s">
        <v>46</v>
      </c>
      <c r="C17736" s="38" t="s">
        <v>13621</v>
      </c>
      <c r="D17736" s="23">
        <v>2023</v>
      </c>
      <c r="E17736" s="23" t="s">
        <v>24</v>
      </c>
      <c r="F17736" s="6">
        <v>1</v>
      </c>
      <c r="G17736" s="6">
        <v>452.2</v>
      </c>
      <c r="H17736" s="40">
        <v>469.59037000000001</v>
      </c>
      <c r="I17736" s="212"/>
      <c r="J17736" s="212"/>
    </row>
    <row r="17737" spans="1:10" s="15" customFormat="1" ht="30" hidden="1" customHeight="1" outlineLevel="1" x14ac:dyDescent="0.25">
      <c r="A17737" s="128">
        <v>4416</v>
      </c>
      <c r="B17737" s="6" t="s">
        <v>46</v>
      </c>
      <c r="C17737" s="38" t="s">
        <v>13622</v>
      </c>
      <c r="D17737" s="23">
        <v>2023</v>
      </c>
      <c r="E17737" s="23" t="s">
        <v>24</v>
      </c>
      <c r="F17737" s="6">
        <v>1</v>
      </c>
      <c r="G17737" s="6">
        <v>600</v>
      </c>
      <c r="H17737" s="40">
        <v>469.59058999999996</v>
      </c>
      <c r="I17737" s="212"/>
      <c r="J17737" s="212"/>
    </row>
    <row r="17738" spans="1:10" s="15" customFormat="1" ht="30" hidden="1" customHeight="1" outlineLevel="1" x14ac:dyDescent="0.25">
      <c r="A17738" s="128">
        <v>4485</v>
      </c>
      <c r="B17738" s="6" t="s">
        <v>46</v>
      </c>
      <c r="C17738" s="38" t="s">
        <v>13623</v>
      </c>
      <c r="D17738" s="23">
        <v>2023</v>
      </c>
      <c r="E17738" s="23" t="s">
        <v>24</v>
      </c>
      <c r="F17738" s="6">
        <v>1</v>
      </c>
      <c r="G17738" s="6">
        <v>15</v>
      </c>
      <c r="H17738" s="40">
        <v>480.31165999999996</v>
      </c>
      <c r="I17738" s="212"/>
      <c r="J17738" s="212"/>
    </row>
    <row r="17739" spans="1:10" s="15" customFormat="1" ht="30" hidden="1" customHeight="1" outlineLevel="1" x14ac:dyDescent="0.25">
      <c r="A17739" s="128">
        <v>4554</v>
      </c>
      <c r="B17739" s="6" t="s">
        <v>46</v>
      </c>
      <c r="C17739" s="38" t="s">
        <v>13624</v>
      </c>
      <c r="D17739" s="23">
        <v>2023</v>
      </c>
      <c r="E17739" s="23" t="s">
        <v>24</v>
      </c>
      <c r="F17739" s="6">
        <v>1</v>
      </c>
      <c r="G17739" s="6">
        <v>450</v>
      </c>
      <c r="H17739" s="40">
        <v>491.47100999999998</v>
      </c>
      <c r="I17739" s="212"/>
      <c r="J17739" s="212"/>
    </row>
    <row r="17740" spans="1:10" s="15" customFormat="1" ht="30" hidden="1" customHeight="1" outlineLevel="1" x14ac:dyDescent="0.25">
      <c r="A17740" s="128">
        <v>4553</v>
      </c>
      <c r="B17740" s="6" t="s">
        <v>46</v>
      </c>
      <c r="C17740" s="38" t="s">
        <v>13625</v>
      </c>
      <c r="D17740" s="23">
        <v>2023</v>
      </c>
      <c r="E17740" s="23" t="s">
        <v>24</v>
      </c>
      <c r="F17740" s="6">
        <v>1</v>
      </c>
      <c r="G17740" s="6">
        <v>149</v>
      </c>
      <c r="H17740" s="40">
        <v>491.69677999999999</v>
      </c>
      <c r="I17740" s="212"/>
      <c r="J17740" s="212"/>
    </row>
    <row r="17741" spans="1:10" s="15" customFormat="1" ht="30" hidden="1" customHeight="1" outlineLevel="1" x14ac:dyDescent="0.25">
      <c r="A17741" s="128">
        <v>4420</v>
      </c>
      <c r="B17741" s="6" t="s">
        <v>46</v>
      </c>
      <c r="C17741" s="38" t="s">
        <v>13626</v>
      </c>
      <c r="D17741" s="23">
        <v>2023</v>
      </c>
      <c r="E17741" s="23" t="s">
        <v>24</v>
      </c>
      <c r="F17741" s="6">
        <v>1</v>
      </c>
      <c r="G17741" s="6">
        <v>250</v>
      </c>
      <c r="H17741" s="40">
        <v>469.58019999999999</v>
      </c>
      <c r="I17741" s="212"/>
      <c r="J17741" s="212"/>
    </row>
    <row r="17742" spans="1:10" s="15" customFormat="1" ht="24" hidden="1" customHeight="1" outlineLevel="1" x14ac:dyDescent="0.25">
      <c r="A17742" s="46">
        <v>9528</v>
      </c>
      <c r="B17742" s="4" t="s">
        <v>46</v>
      </c>
      <c r="C17742" s="22" t="s">
        <v>287</v>
      </c>
      <c r="D17742" s="18">
        <v>2021</v>
      </c>
      <c r="E17742" s="36" t="s">
        <v>24</v>
      </c>
      <c r="F17742" s="4">
        <v>1</v>
      </c>
      <c r="G17742" s="4">
        <v>150</v>
      </c>
      <c r="H17742" s="4">
        <v>200.69</v>
      </c>
      <c r="I17742" s="201"/>
      <c r="J17742" s="201"/>
    </row>
    <row r="17743" spans="1:10" s="15" customFormat="1" ht="24" hidden="1" customHeight="1" outlineLevel="1" x14ac:dyDescent="0.25">
      <c r="A17743" s="46">
        <v>9264</v>
      </c>
      <c r="B17743" s="4" t="s">
        <v>46</v>
      </c>
      <c r="C17743" s="22" t="s">
        <v>900</v>
      </c>
      <c r="D17743" s="18">
        <v>2021</v>
      </c>
      <c r="E17743" s="36" t="s">
        <v>24</v>
      </c>
      <c r="F17743" s="4">
        <v>1</v>
      </c>
      <c r="G17743" s="4">
        <v>100</v>
      </c>
      <c r="H17743" s="4">
        <v>313.24</v>
      </c>
      <c r="I17743" s="201"/>
      <c r="J17743" s="201"/>
    </row>
    <row r="17744" spans="1:10" s="15" customFormat="1" ht="24" hidden="1" customHeight="1" outlineLevel="1" x14ac:dyDescent="0.25">
      <c r="A17744" s="18">
        <v>660</v>
      </c>
      <c r="B17744" s="4" t="s">
        <v>46</v>
      </c>
      <c r="C17744" s="22" t="s">
        <v>850</v>
      </c>
      <c r="D17744" s="18">
        <v>2021</v>
      </c>
      <c r="E17744" s="36" t="s">
        <v>24</v>
      </c>
      <c r="F17744" s="4">
        <v>1</v>
      </c>
      <c r="G17744" s="4">
        <v>150</v>
      </c>
      <c r="H17744" s="4">
        <v>258</v>
      </c>
      <c r="I17744" s="201"/>
      <c r="J17744" s="201"/>
    </row>
    <row r="17745" spans="1:10" s="15" customFormat="1" ht="24" hidden="1" customHeight="1" outlineLevel="1" x14ac:dyDescent="0.25">
      <c r="A17745" s="46">
        <v>10342</v>
      </c>
      <c r="B17745" s="4" t="s">
        <v>46</v>
      </c>
      <c r="C17745" s="22" t="s">
        <v>2072</v>
      </c>
      <c r="D17745" s="18">
        <v>2021</v>
      </c>
      <c r="E17745" s="36" t="s">
        <v>24</v>
      </c>
      <c r="F17745" s="4">
        <v>1</v>
      </c>
      <c r="G17745" s="4">
        <v>300</v>
      </c>
      <c r="H17745" s="4">
        <v>265</v>
      </c>
      <c r="I17745" s="201"/>
      <c r="J17745" s="201"/>
    </row>
    <row r="17746" spans="1:10" s="15" customFormat="1" ht="24" hidden="1" customHeight="1" outlineLevel="1" x14ac:dyDescent="0.25">
      <c r="A17746" s="46">
        <v>10253</v>
      </c>
      <c r="B17746" s="4" t="s">
        <v>46</v>
      </c>
      <c r="C17746" s="22" t="s">
        <v>2073</v>
      </c>
      <c r="D17746" s="18">
        <v>2021</v>
      </c>
      <c r="E17746" s="36" t="s">
        <v>24</v>
      </c>
      <c r="F17746" s="4">
        <v>1</v>
      </c>
      <c r="G17746" s="4">
        <v>441</v>
      </c>
      <c r="H17746" s="4">
        <v>262</v>
      </c>
      <c r="I17746" s="201"/>
      <c r="J17746" s="201"/>
    </row>
    <row r="17747" spans="1:10" s="15" customFormat="1" ht="24" hidden="1" customHeight="1" outlineLevel="1" x14ac:dyDescent="0.25">
      <c r="A17747" s="46">
        <v>9451</v>
      </c>
      <c r="B17747" s="4" t="s">
        <v>46</v>
      </c>
      <c r="C17747" s="22" t="s">
        <v>723</v>
      </c>
      <c r="D17747" s="18">
        <v>2021</v>
      </c>
      <c r="E17747" s="36" t="s">
        <v>24</v>
      </c>
      <c r="F17747" s="4">
        <v>1</v>
      </c>
      <c r="G17747" s="4">
        <v>150</v>
      </c>
      <c r="H17747" s="4">
        <v>250</v>
      </c>
      <c r="I17747" s="201"/>
      <c r="J17747" s="201"/>
    </row>
    <row r="17748" spans="1:10" s="15" customFormat="1" ht="24" hidden="1" customHeight="1" outlineLevel="1" x14ac:dyDescent="0.25">
      <c r="A17748" s="46">
        <v>9225</v>
      </c>
      <c r="B17748" s="4" t="s">
        <v>46</v>
      </c>
      <c r="C17748" s="22" t="s">
        <v>2074</v>
      </c>
      <c r="D17748" s="18">
        <v>2021</v>
      </c>
      <c r="E17748" s="36" t="s">
        <v>24</v>
      </c>
      <c r="F17748" s="4">
        <v>1</v>
      </c>
      <c r="G17748" s="4">
        <v>300</v>
      </c>
      <c r="H17748" s="4">
        <v>261</v>
      </c>
      <c r="I17748" s="201"/>
      <c r="J17748" s="201"/>
    </row>
    <row r="17749" spans="1:10" s="15" customFormat="1" ht="24" hidden="1" customHeight="1" outlineLevel="1" x14ac:dyDescent="0.25">
      <c r="A17749" s="46">
        <v>10341</v>
      </c>
      <c r="B17749" s="4" t="s">
        <v>46</v>
      </c>
      <c r="C17749" s="22" t="s">
        <v>2075</v>
      </c>
      <c r="D17749" s="18">
        <v>2021</v>
      </c>
      <c r="E17749" s="36" t="s">
        <v>24</v>
      </c>
      <c r="F17749" s="4">
        <v>1</v>
      </c>
      <c r="G17749" s="4">
        <v>70</v>
      </c>
      <c r="H17749" s="4">
        <v>271</v>
      </c>
      <c r="I17749" s="201"/>
      <c r="J17749" s="201"/>
    </row>
    <row r="17750" spans="1:10" s="15" customFormat="1" ht="24" hidden="1" customHeight="1" outlineLevel="1" x14ac:dyDescent="0.25">
      <c r="A17750" s="46">
        <v>10338</v>
      </c>
      <c r="B17750" s="4" t="s">
        <v>46</v>
      </c>
      <c r="C17750" s="22" t="s">
        <v>2076</v>
      </c>
      <c r="D17750" s="18">
        <v>2021</v>
      </c>
      <c r="E17750" s="36" t="s">
        <v>24</v>
      </c>
      <c r="F17750" s="4">
        <v>1</v>
      </c>
      <c r="G17750" s="4">
        <v>1845</v>
      </c>
      <c r="H17750" s="4">
        <v>263</v>
      </c>
      <c r="I17750" s="201"/>
      <c r="J17750" s="201"/>
    </row>
    <row r="17751" spans="1:10" s="15" customFormat="1" ht="24" hidden="1" customHeight="1" outlineLevel="1" x14ac:dyDescent="0.25">
      <c r="A17751" s="46">
        <v>10225</v>
      </c>
      <c r="B17751" s="4" t="s">
        <v>46</v>
      </c>
      <c r="C17751" s="22" t="s">
        <v>2077</v>
      </c>
      <c r="D17751" s="18">
        <v>2021</v>
      </c>
      <c r="E17751" s="36" t="s">
        <v>24</v>
      </c>
      <c r="F17751" s="4">
        <v>1</v>
      </c>
      <c r="G17751" s="4">
        <v>630</v>
      </c>
      <c r="H17751" s="4">
        <v>261</v>
      </c>
      <c r="I17751" s="201"/>
      <c r="J17751" s="201"/>
    </row>
    <row r="17752" spans="1:10" s="15" customFormat="1" ht="24" hidden="1" customHeight="1" outlineLevel="1" x14ac:dyDescent="0.25">
      <c r="A17752" s="46">
        <v>10343</v>
      </c>
      <c r="B17752" s="4" t="s">
        <v>46</v>
      </c>
      <c r="C17752" s="22" t="s">
        <v>2078</v>
      </c>
      <c r="D17752" s="18">
        <v>2021</v>
      </c>
      <c r="E17752" s="36" t="s">
        <v>24</v>
      </c>
      <c r="F17752" s="4">
        <v>1</v>
      </c>
      <c r="G17752" s="4">
        <v>1110</v>
      </c>
      <c r="H17752" s="4">
        <v>262</v>
      </c>
      <c r="I17752" s="201"/>
      <c r="J17752" s="201"/>
    </row>
    <row r="17753" spans="1:10" s="15" customFormat="1" ht="24" hidden="1" customHeight="1" outlineLevel="1" x14ac:dyDescent="0.25">
      <c r="A17753" s="46">
        <v>10344</v>
      </c>
      <c r="B17753" s="4" t="s">
        <v>46</v>
      </c>
      <c r="C17753" s="22" t="s">
        <v>2079</v>
      </c>
      <c r="D17753" s="18">
        <v>2021</v>
      </c>
      <c r="E17753" s="36" t="s">
        <v>24</v>
      </c>
      <c r="F17753" s="4">
        <v>1</v>
      </c>
      <c r="G17753" s="4">
        <v>1300</v>
      </c>
      <c r="H17753" s="4">
        <v>261</v>
      </c>
      <c r="I17753" s="201"/>
      <c r="J17753" s="201"/>
    </row>
    <row r="17754" spans="1:10" s="15" customFormat="1" ht="28.5" hidden="1" customHeight="1" outlineLevel="1" x14ac:dyDescent="0.25">
      <c r="A17754" s="46">
        <v>10340</v>
      </c>
      <c r="B17754" s="4" t="s">
        <v>46</v>
      </c>
      <c r="C17754" s="22" t="s">
        <v>2080</v>
      </c>
      <c r="D17754" s="18">
        <v>2021</v>
      </c>
      <c r="E17754" s="36" t="s">
        <v>24</v>
      </c>
      <c r="F17754" s="4">
        <v>1</v>
      </c>
      <c r="G17754" s="4">
        <v>150</v>
      </c>
      <c r="H17754" s="4">
        <v>268</v>
      </c>
      <c r="I17754" s="201"/>
      <c r="J17754" s="201"/>
    </row>
    <row r="17755" spans="1:10" s="15" customFormat="1" ht="28.5" hidden="1" customHeight="1" outlineLevel="1" x14ac:dyDescent="0.25">
      <c r="A17755" s="46">
        <v>9454</v>
      </c>
      <c r="B17755" s="4" t="s">
        <v>46</v>
      </c>
      <c r="C17755" s="22" t="s">
        <v>741</v>
      </c>
      <c r="D17755" s="18">
        <v>2021</v>
      </c>
      <c r="E17755" s="36" t="s">
        <v>24</v>
      </c>
      <c r="F17755" s="4">
        <v>1</v>
      </c>
      <c r="G17755" s="4">
        <v>63</v>
      </c>
      <c r="H17755" s="4">
        <v>281</v>
      </c>
      <c r="I17755" s="201"/>
      <c r="J17755" s="201"/>
    </row>
    <row r="17756" spans="1:10" s="15" customFormat="1" ht="28.5" hidden="1" customHeight="1" outlineLevel="1" x14ac:dyDescent="0.25">
      <c r="A17756" s="46">
        <v>9444</v>
      </c>
      <c r="B17756" s="4" t="s">
        <v>46</v>
      </c>
      <c r="C17756" s="22" t="s">
        <v>2081</v>
      </c>
      <c r="D17756" s="18">
        <v>2021</v>
      </c>
      <c r="E17756" s="36" t="s">
        <v>24</v>
      </c>
      <c r="F17756" s="4">
        <v>1</v>
      </c>
      <c r="G17756" s="4">
        <v>149</v>
      </c>
      <c r="H17756" s="4">
        <v>287</v>
      </c>
      <c r="I17756" s="201"/>
      <c r="J17756" s="201"/>
    </row>
    <row r="17757" spans="1:10" s="15" customFormat="1" ht="28.5" hidden="1" customHeight="1" outlineLevel="1" x14ac:dyDescent="0.25">
      <c r="A17757" s="46">
        <v>10256</v>
      </c>
      <c r="B17757" s="4" t="s">
        <v>46</v>
      </c>
      <c r="C17757" s="22" t="s">
        <v>2082</v>
      </c>
      <c r="D17757" s="18">
        <v>2021</v>
      </c>
      <c r="E17757" s="36" t="s">
        <v>24</v>
      </c>
      <c r="F17757" s="4">
        <v>1</v>
      </c>
      <c r="G17757" s="4">
        <v>350</v>
      </c>
      <c r="H17757" s="4">
        <v>257</v>
      </c>
      <c r="I17757" s="201"/>
      <c r="J17757" s="201"/>
    </row>
    <row r="17758" spans="1:10" s="15" customFormat="1" ht="28.5" hidden="1" customHeight="1" outlineLevel="1" x14ac:dyDescent="0.25">
      <c r="A17758" s="46">
        <v>9017</v>
      </c>
      <c r="B17758" s="4" t="s">
        <v>46</v>
      </c>
      <c r="C17758" s="22" t="s">
        <v>2083</v>
      </c>
      <c r="D17758" s="18">
        <v>2021</v>
      </c>
      <c r="E17758" s="36" t="s">
        <v>24</v>
      </c>
      <c r="F17758" s="4">
        <v>1</v>
      </c>
      <c r="G17758" s="4">
        <v>120</v>
      </c>
      <c r="H17758" s="4">
        <v>328.40523000000002</v>
      </c>
      <c r="I17758" s="201"/>
      <c r="J17758" s="201"/>
    </row>
    <row r="17759" spans="1:10" s="15" customFormat="1" ht="31.5" collapsed="1" x14ac:dyDescent="0.25">
      <c r="A17759" s="18"/>
      <c r="B17759" s="72" t="s">
        <v>46</v>
      </c>
      <c r="C17759" s="81" t="s">
        <v>2125</v>
      </c>
      <c r="D17759" s="76"/>
      <c r="E17759" s="76" t="s">
        <v>13630</v>
      </c>
      <c r="F17759" s="72"/>
      <c r="G17759" s="72"/>
      <c r="H17759" s="72"/>
      <c r="I17759" s="218"/>
      <c r="J17759" s="218"/>
    </row>
    <row r="17760" spans="1:10" s="15" customFormat="1" ht="31.5" x14ac:dyDescent="0.25">
      <c r="A17760" s="50"/>
      <c r="B17760" s="11" t="s">
        <v>46</v>
      </c>
      <c r="C17760" s="12" t="s">
        <v>13634</v>
      </c>
      <c r="D17760" s="147" t="s">
        <v>13631</v>
      </c>
      <c r="E17760" s="20" t="s">
        <v>13630</v>
      </c>
      <c r="F17760" s="11">
        <v>1</v>
      </c>
      <c r="G17760" s="11"/>
      <c r="H17760" s="14">
        <v>144.3639</v>
      </c>
      <c r="I17760" s="220"/>
      <c r="J17760" s="220"/>
    </row>
    <row r="17761" spans="1:36" s="15" customFormat="1" ht="26.25" customHeight="1" x14ac:dyDescent="0.25">
      <c r="A17761" s="50"/>
      <c r="B17761" s="6"/>
      <c r="C17761" s="38"/>
      <c r="D17761" s="79"/>
      <c r="E17761" s="23"/>
      <c r="F17761" s="6"/>
      <c r="G17761" s="6"/>
      <c r="H17761" s="40"/>
      <c r="I17761" s="212"/>
      <c r="J17761" s="212"/>
    </row>
    <row r="17762" spans="1:36" ht="27" customHeight="1" x14ac:dyDescent="0.25">
      <c r="A17762" s="25" t="s">
        <v>58</v>
      </c>
      <c r="K17762"/>
      <c r="L17762"/>
      <c r="M17762"/>
      <c r="N17762"/>
      <c r="O17762"/>
      <c r="P17762"/>
      <c r="Q17762"/>
      <c r="R17762"/>
      <c r="S17762"/>
      <c r="T17762"/>
      <c r="U17762"/>
      <c r="V17762"/>
      <c r="W17762"/>
      <c r="X17762"/>
      <c r="Y17762"/>
      <c r="Z17762"/>
      <c r="AA17762"/>
      <c r="AB17762"/>
      <c r="AC17762"/>
      <c r="AD17762"/>
      <c r="AE17762"/>
      <c r="AF17762"/>
      <c r="AG17762"/>
      <c r="AH17762"/>
      <c r="AI17762"/>
      <c r="AJ17762"/>
    </row>
    <row r="17763" spans="1:36" ht="50.25" customHeight="1" x14ac:dyDescent="0.25"/>
    <row r="17764" spans="1:36" ht="17.25" x14ac:dyDescent="0.25">
      <c r="C17764" s="82"/>
      <c r="D17764" s="83"/>
      <c r="E17764" s="83"/>
      <c r="F17764" s="83"/>
      <c r="K17764"/>
      <c r="L17764"/>
      <c r="M17764"/>
      <c r="N17764"/>
      <c r="O17764"/>
      <c r="P17764"/>
      <c r="Q17764"/>
      <c r="R17764"/>
      <c r="S17764"/>
      <c r="T17764"/>
      <c r="U17764"/>
      <c r="V17764"/>
      <c r="W17764"/>
      <c r="X17764"/>
      <c r="Y17764"/>
      <c r="Z17764"/>
      <c r="AA17764"/>
      <c r="AB17764"/>
      <c r="AC17764"/>
      <c r="AD17764"/>
      <c r="AE17764"/>
      <c r="AF17764"/>
      <c r="AG17764"/>
      <c r="AH17764"/>
      <c r="AI17764"/>
      <c r="AJ17764"/>
    </row>
    <row r="17765" spans="1:36" ht="17.25" x14ac:dyDescent="0.25">
      <c r="C17765" s="84"/>
      <c r="D17765" s="83"/>
      <c r="E17765" s="83"/>
      <c r="F17765" s="85"/>
      <c r="G17765" s="89"/>
      <c r="K17765"/>
      <c r="L17765"/>
      <c r="M17765"/>
      <c r="N17765"/>
      <c r="O17765"/>
      <c r="P17765"/>
      <c r="Q17765"/>
      <c r="R17765"/>
      <c r="S17765"/>
      <c r="T17765"/>
      <c r="U17765"/>
      <c r="V17765"/>
      <c r="W17765"/>
      <c r="X17765"/>
      <c r="Y17765"/>
      <c r="Z17765"/>
      <c r="AA17765"/>
      <c r="AB17765"/>
      <c r="AC17765"/>
      <c r="AD17765"/>
      <c r="AE17765"/>
      <c r="AF17765"/>
      <c r="AG17765"/>
      <c r="AH17765"/>
      <c r="AI17765"/>
      <c r="AJ17765"/>
    </row>
    <row r="17766" spans="1:36" ht="17.25" x14ac:dyDescent="0.25">
      <c r="C17766" s="86"/>
      <c r="D17766" s="87"/>
      <c r="E17766" s="87"/>
      <c r="F17766" s="87"/>
      <c r="G17766" s="87"/>
      <c r="K17766"/>
      <c r="L17766"/>
      <c r="M17766"/>
      <c r="N17766"/>
      <c r="O17766"/>
      <c r="P17766"/>
      <c r="Q17766"/>
      <c r="R17766"/>
      <c r="S17766"/>
      <c r="T17766"/>
      <c r="U17766"/>
      <c r="V17766"/>
      <c r="W17766"/>
      <c r="X17766"/>
      <c r="Y17766"/>
      <c r="Z17766"/>
      <c r="AA17766"/>
      <c r="AB17766"/>
      <c r="AC17766"/>
      <c r="AD17766"/>
      <c r="AE17766"/>
      <c r="AF17766"/>
      <c r="AG17766"/>
      <c r="AH17766"/>
      <c r="AI17766"/>
      <c r="AJ17766"/>
    </row>
    <row r="17767" spans="1:36" ht="59.25" customHeight="1" x14ac:dyDescent="0.25">
      <c r="C17767" s="88"/>
      <c r="D17767" s="87"/>
      <c r="E17767" s="87"/>
      <c r="F17767" s="85"/>
      <c r="G17767" s="89"/>
      <c r="K17767"/>
      <c r="L17767"/>
      <c r="M17767"/>
      <c r="N17767"/>
      <c r="O17767"/>
      <c r="P17767"/>
      <c r="Q17767"/>
      <c r="R17767"/>
      <c r="S17767"/>
      <c r="T17767"/>
      <c r="U17767"/>
      <c r="V17767"/>
      <c r="W17767"/>
      <c r="X17767"/>
      <c r="Y17767"/>
      <c r="Z17767"/>
      <c r="AA17767"/>
      <c r="AB17767"/>
      <c r="AC17767"/>
      <c r="AD17767"/>
      <c r="AE17767"/>
      <c r="AF17767"/>
      <c r="AG17767"/>
      <c r="AH17767"/>
      <c r="AI17767"/>
      <c r="AJ17767"/>
    </row>
  </sheetData>
  <customSheetViews>
    <customSheetView guid="{DF74B1AF-8CEC-4C17-ADAB-308035899C05}" scale="70" showPageBreaks="1" printArea="1" hiddenRows="1" topLeftCell="A14">
      <pane xSplit="3" ySplit="3" topLeftCell="D19" activePane="bottomRight" state="frozen"/>
      <selection pane="bottomRight" activeCell="F2319" sqref="F2319"/>
      <rowBreaks count="7" manualBreakCount="7">
        <brk id="3663" max="10" man="1"/>
        <brk id="4273" max="10" man="1"/>
        <brk id="4341" max="10" man="1"/>
        <brk id="4461" max="10" man="1"/>
        <brk id="4483" max="10" man="1"/>
        <brk id="4767" max="10" man="1"/>
        <brk id="5391" max="10" man="1"/>
      </rowBreaks>
      <colBreaks count="1" manualBreakCount="1">
        <brk id="16" min="15" max="17780" man="1"/>
      </colBreaks>
      <pageMargins left="0" right="0" top="0.78740157480314965" bottom="0" header="0.31496062992125984" footer="0.31496062992125984"/>
      <printOptions horizontalCentered="1"/>
      <pageSetup paperSize="9" scale="60" fitToHeight="10" orientation="landscape" r:id="rId1"/>
    </customSheetView>
    <customSheetView guid="{C563ED7E-33C9-4C22-8FE6-19FD9D780A93}" scale="86" showPageBreaks="1" printArea="1" hiddenRows="1" hiddenColumns="1" topLeftCell="A14">
      <pane xSplit="3" ySplit="3" topLeftCell="D15667" activePane="bottomRight" state="frozen"/>
      <selection pane="bottomRight" activeCell="L15674" sqref="L15674"/>
      <rowBreaks count="7" manualBreakCount="7">
        <brk id="3273" max="10" man="1"/>
        <brk id="3883" max="10" man="1"/>
        <brk id="3951" max="10" man="1"/>
        <brk id="4071" max="10" man="1"/>
        <brk id="4093" max="10" man="1"/>
        <brk id="4377" max="10" man="1"/>
        <brk id="5001" max="10" man="1"/>
      </rowBreaks>
      <colBreaks count="1" manualBreakCount="1">
        <brk id="16" min="15" max="17780" man="1"/>
      </colBreaks>
      <pageMargins left="0" right="0" top="0.78740157480314965" bottom="0" header="0.31496062992125984" footer="0.31496062992125984"/>
      <printOptions horizontalCentered="1"/>
      <pageSetup paperSize="9" scale="60" fitToHeight="10" orientation="landscape" r:id="rId2"/>
    </customSheetView>
    <customSheetView guid="{D8233CC6-A6D8-43BF-AA89-3BD7450FAC38}" scale="86" hiddenRows="1" hiddenColumns="1" topLeftCell="A14">
      <pane xSplit="3" ySplit="3" topLeftCell="D14120" activePane="bottomRight" state="frozen"/>
      <selection pane="bottomRight" activeCell="F14122" sqref="F14122"/>
      <rowBreaks count="7" manualBreakCount="7">
        <brk id="3273" max="10" man="1"/>
        <brk id="3883" max="10" man="1"/>
        <brk id="3951" max="10" man="1"/>
        <brk id="4071" max="10" man="1"/>
        <brk id="4093" max="10" man="1"/>
        <brk id="4377" max="10" man="1"/>
        <brk id="5001" max="10" man="1"/>
      </rowBreaks>
      <colBreaks count="1" manualBreakCount="1">
        <brk id="16" min="15" max="17780" man="1"/>
      </colBreaks>
      <pageMargins left="0" right="0" top="0.78740157480314965" bottom="0" header="0.31496062992125984" footer="0.31496062992125984"/>
      <printOptions horizontalCentered="1"/>
      <pageSetup paperSize="9" scale="60" fitToHeight="10" orientation="landscape" r:id="rId3"/>
    </customSheetView>
    <customSheetView guid="{A12EF0AE-0022-423D-A326-9CCD72281EC5}" scale="70" printArea="1" showAutoFilter="1" hiddenRows="1" hiddenColumns="1" topLeftCell="A14">
      <pane xSplit="3" ySplit="3" topLeftCell="D12031" activePane="bottomRight" state="frozen"/>
      <selection pane="bottomRight" activeCell="F12034" sqref="F12034"/>
      <rowBreaks count="7" manualBreakCount="7">
        <brk id="3273" max="10" man="1"/>
        <brk id="3883" max="10" man="1"/>
        <brk id="3951" max="10" man="1"/>
        <brk id="4071" max="10" man="1"/>
        <brk id="4093" max="10" man="1"/>
        <brk id="4377" max="10" man="1"/>
        <brk id="5001" max="10" man="1"/>
      </rowBreaks>
      <colBreaks count="1" manualBreakCount="1">
        <brk id="16" min="15" max="17780" man="1"/>
      </colBreaks>
      <pageMargins left="0" right="0" top="0.78740157480314965" bottom="0" header="0.31496062992125984" footer="0.31496062992125984"/>
      <printOptions horizontalCentered="1"/>
      <pageSetup paperSize="9" scale="60" fitToHeight="10" orientation="landscape" r:id="rId4"/>
      <autoFilter ref="A17:BX3272">
        <filterColumn colId="16" showButton="0"/>
        <filterColumn colId="17" showButton="0"/>
        <filterColumn colId="18" showButton="0"/>
      </autoFilter>
    </customSheetView>
    <customSheetView guid="{B7FC12CE-4D81-4AFD-B466-7BD909A7D698}" scale="70" hiddenRows="1" hiddenColumns="1" topLeftCell="A14">
      <pane xSplit="3" ySplit="3" topLeftCell="D14667" activePane="bottomRight" state="frozen"/>
      <selection pane="bottomRight" activeCell="G14680" sqref="G14680"/>
      <rowBreaks count="7" manualBreakCount="7">
        <brk id="3273" max="10" man="1"/>
        <brk id="3883" max="10" man="1"/>
        <brk id="3951" max="10" man="1"/>
        <brk id="4071" max="10" man="1"/>
        <brk id="4093" max="10" man="1"/>
        <brk id="4377" max="10" man="1"/>
        <brk id="5001" max="10" man="1"/>
      </rowBreaks>
      <colBreaks count="1" manualBreakCount="1">
        <brk id="16" min="15" max="17780" man="1"/>
      </colBreaks>
      <pageMargins left="0" right="0" top="0.78740157480314965" bottom="0" header="0.31496062992125984" footer="0.31496062992125984"/>
      <printOptions horizontalCentered="1"/>
      <pageSetup paperSize="9" scale="60" fitToHeight="10" orientation="landscape" r:id="rId5"/>
    </customSheetView>
    <customSheetView guid="{F262C7DB-A251-4146-A7F5-8DA2FEEDB5F3}" scale="70" hiddenRows="1" hiddenColumns="1" topLeftCell="A14">
      <pane xSplit="3" ySplit="3" topLeftCell="D17766" activePane="bottomRight" state="frozen"/>
      <selection pane="bottomRight" activeCell="D17" sqref="D17"/>
      <rowBreaks count="7" manualBreakCount="7">
        <brk id="3273" max="10" man="1"/>
        <brk id="3883" max="10" man="1"/>
        <brk id="3951" max="10" man="1"/>
        <brk id="4071" max="10" man="1"/>
        <brk id="4093" max="10" man="1"/>
        <brk id="4377" max="10" man="1"/>
        <brk id="5001" max="10" man="1"/>
      </rowBreaks>
      <colBreaks count="1" manualBreakCount="1">
        <brk id="16" min="15" max="17780" man="1"/>
      </colBreaks>
      <pageMargins left="0" right="0" top="0.78740157480314965" bottom="0" header="0.31496062992125984" footer="0.31496062992125984"/>
      <printOptions horizontalCentered="1"/>
      <pageSetup paperSize="9" scale="60" fitToHeight="10" orientation="landscape" r:id="rId6"/>
    </customSheetView>
  </customSheetViews>
  <mergeCells count="218">
    <mergeCell ref="H3919:H3920"/>
    <mergeCell ref="F3875:F3876"/>
    <mergeCell ref="G3875:G3876"/>
    <mergeCell ref="H3875:H3876"/>
    <mergeCell ref="H3968:H3971"/>
    <mergeCell ref="H3985:H3988"/>
    <mergeCell ref="F3968:F3971"/>
    <mergeCell ref="F3705:F3708"/>
    <mergeCell ref="G3705:G3708"/>
    <mergeCell ref="B3998:B4001"/>
    <mergeCell ref="D3998:D4001"/>
    <mergeCell ref="B3268:B3271"/>
    <mergeCell ref="C3408:C3411"/>
    <mergeCell ref="B3408:B3411"/>
    <mergeCell ref="D3408:D3411"/>
    <mergeCell ref="D2582:D2584"/>
    <mergeCell ref="E2582:E2584"/>
    <mergeCell ref="D3268:D3271"/>
    <mergeCell ref="E3268:E3271"/>
    <mergeCell ref="E3985:E3988"/>
    <mergeCell ref="D3890:D3893"/>
    <mergeCell ref="B3968:B3971"/>
    <mergeCell ref="C3968:C3971"/>
    <mergeCell ref="D3968:D3971"/>
    <mergeCell ref="B3985:B3988"/>
    <mergeCell ref="E3968:E3971"/>
    <mergeCell ref="E3705:E3708"/>
    <mergeCell ref="B3879:B3880"/>
    <mergeCell ref="C3879:C3880"/>
    <mergeCell ref="D3879:D3880"/>
    <mergeCell ref="B3928:B3931"/>
    <mergeCell ref="C3919:C3920"/>
    <mergeCell ref="B3918:H3918"/>
    <mergeCell ref="G3879:G3880"/>
    <mergeCell ref="E3837:E3839"/>
    <mergeCell ref="C2582:C2584"/>
    <mergeCell ref="C3268:C3271"/>
    <mergeCell ref="E3879:E3880"/>
    <mergeCell ref="F3879:F3880"/>
    <mergeCell ref="B3941:B3944"/>
    <mergeCell ref="D3941:D3944"/>
    <mergeCell ref="F3941:F3944"/>
    <mergeCell ref="G3941:G3944"/>
    <mergeCell ref="H3941:H3944"/>
    <mergeCell ref="E3941:E3944"/>
    <mergeCell ref="B3919:B3920"/>
    <mergeCell ref="C3902:C3905"/>
    <mergeCell ref="B3875:B3876"/>
    <mergeCell ref="C3875:C3876"/>
    <mergeCell ref="A6:H6"/>
    <mergeCell ref="H3879:H3880"/>
    <mergeCell ref="F3837:F3839"/>
    <mergeCell ref="G3837:G3839"/>
    <mergeCell ref="H3837:H3839"/>
    <mergeCell ref="G3902:G3905"/>
    <mergeCell ref="H3902:H3905"/>
    <mergeCell ref="B4024:B4026"/>
    <mergeCell ref="E4024:E4026"/>
    <mergeCell ref="B9684:B9685"/>
    <mergeCell ref="C9684:C9685"/>
    <mergeCell ref="D9684:D9685"/>
    <mergeCell ref="E9684:E9685"/>
    <mergeCell ref="F9684:F9685"/>
    <mergeCell ref="G9684:G9685"/>
    <mergeCell ref="H9684:H9685"/>
    <mergeCell ref="E3639:E3642"/>
    <mergeCell ref="B3639:B3642"/>
    <mergeCell ref="C3689:C3690"/>
    <mergeCell ref="D3689:D3690"/>
    <mergeCell ref="E3689:E3690"/>
    <mergeCell ref="F3689:F3690"/>
    <mergeCell ref="G3689:G3690"/>
    <mergeCell ref="B17415:B17416"/>
    <mergeCell ref="C17415:C17416"/>
    <mergeCell ref="E17415:E17416"/>
    <mergeCell ref="D17415:D17416"/>
    <mergeCell ref="F17415:F17416"/>
    <mergeCell ref="G17415:G17416"/>
    <mergeCell ref="D4024:D4026"/>
    <mergeCell ref="E4051:E4054"/>
    <mergeCell ref="F4051:F4054"/>
    <mergeCell ref="B4982:B4983"/>
    <mergeCell ref="C4982:C4983"/>
    <mergeCell ref="D4982:D4983"/>
    <mergeCell ref="E4982:E4983"/>
    <mergeCell ref="F4982:F4983"/>
    <mergeCell ref="C4035:C4038"/>
    <mergeCell ref="B4035:B4038"/>
    <mergeCell ref="D4035:D4038"/>
    <mergeCell ref="E10:E13"/>
    <mergeCell ref="D3919:D3920"/>
    <mergeCell ref="E3919:E3920"/>
    <mergeCell ref="F3919:F3920"/>
    <mergeCell ref="G3919:G3920"/>
    <mergeCell ref="C3837:C3839"/>
    <mergeCell ref="B3837:B3839"/>
    <mergeCell ref="D3837:D3839"/>
    <mergeCell ref="E3408:E3411"/>
    <mergeCell ref="F3408:F3411"/>
    <mergeCell ref="G3408:G3411"/>
    <mergeCell ref="D3875:D3876"/>
    <mergeCell ref="E3875:E3876"/>
    <mergeCell ref="B2582:B2584"/>
    <mergeCell ref="B2570:B2572"/>
    <mergeCell ref="C2128:C2130"/>
    <mergeCell ref="D2128:D2130"/>
    <mergeCell ref="E2128:E2130"/>
    <mergeCell ref="F2128:F2130"/>
    <mergeCell ref="G2128:G2130"/>
    <mergeCell ref="G3268:G3271"/>
    <mergeCell ref="B3705:B3708"/>
    <mergeCell ref="C3705:C3708"/>
    <mergeCell ref="D3705:D3708"/>
    <mergeCell ref="B2128:B2130"/>
    <mergeCell ref="C2470:C2472"/>
    <mergeCell ref="D2470:D2472"/>
    <mergeCell ref="E2470:E2472"/>
    <mergeCell ref="F2470:F2472"/>
    <mergeCell ref="G2470:G2472"/>
    <mergeCell ref="H2470:H2472"/>
    <mergeCell ref="B2470:B2472"/>
    <mergeCell ref="B1:H1"/>
    <mergeCell ref="B2:H2"/>
    <mergeCell ref="B3:H3"/>
    <mergeCell ref="B5:H5"/>
    <mergeCell ref="B4:H4"/>
    <mergeCell ref="B9:H9"/>
    <mergeCell ref="G10:G14"/>
    <mergeCell ref="H10:H14"/>
    <mergeCell ref="B10:B14"/>
    <mergeCell ref="F10:F14"/>
    <mergeCell ref="B1761:B1764"/>
    <mergeCell ref="C10:C14"/>
    <mergeCell ref="D10:D14"/>
    <mergeCell ref="C1761:C1764"/>
    <mergeCell ref="H1761:H1764"/>
    <mergeCell ref="C2570:C2572"/>
    <mergeCell ref="D2570:D2572"/>
    <mergeCell ref="E2570:E2572"/>
    <mergeCell ref="F2570:F2572"/>
    <mergeCell ref="G2570:G2572"/>
    <mergeCell ref="D1761:D1764"/>
    <mergeCell ref="E1761:E1764"/>
    <mergeCell ref="F1761:F1764"/>
    <mergeCell ref="G1761:G1764"/>
    <mergeCell ref="H2570:H2572"/>
    <mergeCell ref="H2582:H2584"/>
    <mergeCell ref="H3268:H3270"/>
    <mergeCell ref="H2128:H2130"/>
    <mergeCell ref="H3408:H3411"/>
    <mergeCell ref="H3639:H3642"/>
    <mergeCell ref="H3689:H3690"/>
    <mergeCell ref="H3705:H3708"/>
    <mergeCell ref="H3890:H3893"/>
    <mergeCell ref="F2582:F2584"/>
    <mergeCell ref="G2582:G2584"/>
    <mergeCell ref="F3268:F3271"/>
    <mergeCell ref="A17415:A17416"/>
    <mergeCell ref="A3998:A4001"/>
    <mergeCell ref="B3954:B3957"/>
    <mergeCell ref="D3954:D3957"/>
    <mergeCell ref="E3954:E3957"/>
    <mergeCell ref="F3954:F3957"/>
    <mergeCell ref="B3890:B3893"/>
    <mergeCell ref="B3902:B3905"/>
    <mergeCell ref="C3890:C3893"/>
    <mergeCell ref="E3890:E3893"/>
    <mergeCell ref="F3890:F3893"/>
    <mergeCell ref="G3890:G3893"/>
    <mergeCell ref="E3902:E3905"/>
    <mergeCell ref="F3902:F3905"/>
    <mergeCell ref="C3985:C3988"/>
    <mergeCell ref="D3985:D3988"/>
    <mergeCell ref="F3639:F3642"/>
    <mergeCell ref="G3639:G3642"/>
    <mergeCell ref="B3689:B3690"/>
    <mergeCell ref="C3639:C3642"/>
    <mergeCell ref="D3639:D3642"/>
    <mergeCell ref="D3902:D3905"/>
    <mergeCell ref="G3954:G3957"/>
    <mergeCell ref="H3954:H3957"/>
    <mergeCell ref="C3941:C3944"/>
    <mergeCell ref="H4024:H4026"/>
    <mergeCell ref="A4981:A4985"/>
    <mergeCell ref="H4035:H4038"/>
    <mergeCell ref="B4098:H4098"/>
    <mergeCell ref="B4051:B4054"/>
    <mergeCell ref="D4051:D4054"/>
    <mergeCell ref="B4981:H4981"/>
    <mergeCell ref="G4982:G4983"/>
    <mergeCell ref="B4089:H4089"/>
    <mergeCell ref="G4051:G4054"/>
    <mergeCell ref="H4051:H4054"/>
    <mergeCell ref="H4982:H4983"/>
    <mergeCell ref="A4035:A4038"/>
    <mergeCell ref="C4051:C4054"/>
    <mergeCell ref="C4024:C4026"/>
    <mergeCell ref="E4035:E4038"/>
    <mergeCell ref="F4035:F4038"/>
    <mergeCell ref="G4035:G4038"/>
    <mergeCell ref="F4024:F4026"/>
    <mergeCell ref="G4024:G4026"/>
    <mergeCell ref="H17415:H17416"/>
    <mergeCell ref="E3998:E4001"/>
    <mergeCell ref="F3998:F4001"/>
    <mergeCell ref="G3998:G4001"/>
    <mergeCell ref="H3998:H4001"/>
    <mergeCell ref="G3968:G3971"/>
    <mergeCell ref="C3954:C3957"/>
    <mergeCell ref="H3928:H3931"/>
    <mergeCell ref="F3928:F3931"/>
    <mergeCell ref="G3928:G3931"/>
    <mergeCell ref="D3928:D3931"/>
    <mergeCell ref="E3928:E3931"/>
    <mergeCell ref="C3928:C3931"/>
    <mergeCell ref="C3998:C4001"/>
    <mergeCell ref="F3985:F3988"/>
    <mergeCell ref="G3985:G3988"/>
  </mergeCells>
  <printOptions horizontalCentered="1"/>
  <pageMargins left="0" right="0" top="0.78740157480314965" bottom="0.47244094488188981" header="0.31496062992125984" footer="0.31496062992125984"/>
  <pageSetup paperSize="9" scale="62" fitToHeight="9" orientation="landscape" r:id="rId7"/>
  <headerFooter>
    <oddFooter>Страница  &amp;P из &amp;N</oddFooter>
  </headerFooter>
  <rowBreaks count="6" manualBreakCount="6">
    <brk id="2575" max="7" man="1"/>
    <brk id="3836" max="7" man="1"/>
    <brk id="3934" max="7" man="1"/>
    <brk id="4097" max="7" man="1"/>
    <brk id="4922" max="7" man="1"/>
    <brk id="17758"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59"/>
  <sheetViews>
    <sheetView view="pageBreakPreview" zoomScale="70" zoomScaleNormal="70" zoomScaleSheetLayoutView="70" workbookViewId="0">
      <pane xSplit="2" ySplit="6" topLeftCell="C7" activePane="bottomRight" state="frozen"/>
      <selection activeCell="H3278" sqref="H3278:H3280"/>
      <selection pane="topRight" activeCell="H3278" sqref="H3278:H3280"/>
      <selection pane="bottomLeft" activeCell="H3278" sqref="H3278:H3280"/>
      <selection pane="bottomRight" activeCell="F12" sqref="F12"/>
    </sheetView>
  </sheetViews>
  <sheetFormatPr defaultRowHeight="15.75" x14ac:dyDescent="0.25"/>
  <cols>
    <col min="1" max="1" width="6.7109375" style="238" customWidth="1"/>
    <col min="2" max="2" width="56.42578125" style="238" customWidth="1"/>
    <col min="3" max="3" width="19.28515625" style="238" customWidth="1"/>
    <col min="4" max="4" width="14.7109375" style="238" customWidth="1"/>
    <col min="5" max="5" width="13.28515625" style="238" customWidth="1"/>
    <col min="6" max="6" width="14.7109375" style="238" customWidth="1"/>
    <col min="7" max="7" width="16.85546875" style="238" customWidth="1"/>
    <col min="8" max="8" width="14.42578125" style="238" customWidth="1"/>
    <col min="9" max="9" width="13.42578125" style="238" customWidth="1"/>
    <col min="10" max="10" width="15.140625" style="238" customWidth="1"/>
    <col min="11" max="11" width="17.28515625" style="238" customWidth="1"/>
    <col min="12" max="12" width="14.7109375" style="238" customWidth="1"/>
    <col min="13" max="13" width="13.7109375" style="238" customWidth="1"/>
    <col min="14" max="14" width="15" style="238" customWidth="1"/>
    <col min="15" max="15" width="16.28515625" style="238" customWidth="1"/>
    <col min="16" max="16" width="18.7109375" style="238" customWidth="1"/>
    <col min="17" max="16384" width="9.140625" style="238"/>
  </cols>
  <sheetData>
    <row r="1" spans="1:14" ht="57" customHeight="1" x14ac:dyDescent="0.25">
      <c r="C1" s="240">
        <f>C11+C13+C14</f>
        <v>169714218.78000006</v>
      </c>
      <c r="D1" s="239"/>
      <c r="E1" s="239"/>
      <c r="F1" s="239"/>
      <c r="G1" s="240">
        <f>G11+G13+G14</f>
        <v>128428914.04000001</v>
      </c>
      <c r="H1" s="239"/>
      <c r="I1" s="239"/>
      <c r="J1" s="239"/>
      <c r="K1" s="240">
        <f>124893.70741*1000</f>
        <v>124893707.41</v>
      </c>
      <c r="L1" s="370" t="s">
        <v>13640</v>
      </c>
      <c r="M1" s="371"/>
      <c r="N1" s="371"/>
    </row>
    <row r="2" spans="1:14" x14ac:dyDescent="0.25">
      <c r="C2" s="243"/>
      <c r="D2" s="243"/>
      <c r="E2" s="243"/>
      <c r="F2" s="243"/>
      <c r="G2" s="243"/>
      <c r="H2" s="243">
        <f>D11+D13+D14</f>
        <v>8624</v>
      </c>
      <c r="I2" s="243"/>
      <c r="J2" s="243"/>
      <c r="K2" s="243"/>
      <c r="L2" s="241">
        <f>H11+H13+H14</f>
        <v>15473</v>
      </c>
      <c r="M2" s="372" t="s">
        <v>13641</v>
      </c>
      <c r="N2" s="372"/>
    </row>
    <row r="3" spans="1:14" x14ac:dyDescent="0.25">
      <c r="A3" s="244"/>
      <c r="B3" s="244"/>
      <c r="C3" s="244"/>
      <c r="D3" s="244"/>
      <c r="E3" s="245"/>
      <c r="F3" s="246"/>
      <c r="G3" s="244"/>
      <c r="H3" s="244"/>
      <c r="I3" s="245"/>
      <c r="J3" s="246"/>
      <c r="K3" s="244"/>
      <c r="L3" s="244"/>
      <c r="M3" s="245"/>
    </row>
    <row r="4" spans="1:14" ht="35.1" customHeight="1" x14ac:dyDescent="0.25">
      <c r="A4" s="373" t="s">
        <v>13642</v>
      </c>
      <c r="B4" s="373"/>
      <c r="C4" s="373"/>
      <c r="D4" s="373"/>
      <c r="E4" s="373"/>
      <c r="F4" s="373"/>
      <c r="G4" s="373"/>
      <c r="H4" s="373"/>
      <c r="I4" s="373"/>
      <c r="J4" s="373"/>
      <c r="K4" s="373"/>
      <c r="L4" s="373"/>
      <c r="M4" s="373"/>
      <c r="N4" s="373"/>
    </row>
    <row r="5" spans="1:14" ht="15.75" customHeight="1" x14ac:dyDescent="0.25">
      <c r="A5" s="374"/>
      <c r="B5" s="374"/>
      <c r="C5" s="374"/>
      <c r="D5" s="374"/>
      <c r="E5" s="374"/>
      <c r="F5" s="374"/>
      <c r="G5" s="374"/>
      <c r="H5" s="374"/>
      <c r="I5" s="374"/>
      <c r="J5" s="374"/>
      <c r="K5" s="374"/>
      <c r="L5" s="374"/>
      <c r="M5" s="374"/>
      <c r="N5" s="374"/>
    </row>
    <row r="6" spans="1:14" ht="18.75" customHeight="1" x14ac:dyDescent="0.25">
      <c r="A6" s="249"/>
      <c r="B6" s="249"/>
      <c r="C6" s="249"/>
      <c r="D6" s="249"/>
      <c r="E6" s="249"/>
      <c r="F6" s="249"/>
      <c r="G6" s="249"/>
      <c r="H6" s="249"/>
      <c r="I6" s="249"/>
      <c r="J6" s="249"/>
      <c r="K6" s="249"/>
      <c r="L6" s="249"/>
      <c r="M6" s="249"/>
      <c r="N6" s="249"/>
    </row>
    <row r="7" spans="1:14" ht="25.5" customHeight="1" x14ac:dyDescent="0.25">
      <c r="A7" s="368" t="s">
        <v>13643</v>
      </c>
      <c r="B7" s="366" t="s">
        <v>13644</v>
      </c>
      <c r="C7" s="375" t="s">
        <v>13645</v>
      </c>
      <c r="D7" s="376"/>
      <c r="E7" s="376"/>
      <c r="F7" s="377"/>
      <c r="G7" s="375" t="s">
        <v>13646</v>
      </c>
      <c r="H7" s="376"/>
      <c r="I7" s="376"/>
      <c r="J7" s="376"/>
      <c r="K7" s="375" t="s">
        <v>13647</v>
      </c>
      <c r="L7" s="376"/>
      <c r="M7" s="376"/>
      <c r="N7" s="377"/>
    </row>
    <row r="8" spans="1:14" ht="63" customHeight="1" x14ac:dyDescent="0.25">
      <c r="A8" s="368"/>
      <c r="B8" s="366"/>
      <c r="C8" s="367" t="s">
        <v>13648</v>
      </c>
      <c r="D8" s="368"/>
      <c r="E8" s="368"/>
      <c r="F8" s="369" t="s">
        <v>13649</v>
      </c>
      <c r="G8" s="367" t="s">
        <v>13650</v>
      </c>
      <c r="H8" s="368"/>
      <c r="I8" s="368"/>
      <c r="J8" s="369" t="s">
        <v>13649</v>
      </c>
      <c r="K8" s="367" t="s">
        <v>13650</v>
      </c>
      <c r="L8" s="368"/>
      <c r="M8" s="368"/>
      <c r="N8" s="369" t="s">
        <v>13649</v>
      </c>
    </row>
    <row r="9" spans="1:14" ht="64.5" customHeight="1" x14ac:dyDescent="0.25">
      <c r="A9" s="368"/>
      <c r="B9" s="366"/>
      <c r="C9" s="250" t="s">
        <v>13651</v>
      </c>
      <c r="D9" s="251" t="s">
        <v>13652</v>
      </c>
      <c r="E9" s="251" t="s">
        <v>13653</v>
      </c>
      <c r="F9" s="369"/>
      <c r="G9" s="250" t="s">
        <v>13651</v>
      </c>
      <c r="H9" s="251" t="s">
        <v>13654</v>
      </c>
      <c r="I9" s="251" t="s">
        <v>13653</v>
      </c>
      <c r="J9" s="369"/>
      <c r="K9" s="250" t="s">
        <v>13651</v>
      </c>
      <c r="L9" s="251" t="s">
        <v>13654</v>
      </c>
      <c r="M9" s="251" t="s">
        <v>13653</v>
      </c>
      <c r="N9" s="369"/>
    </row>
    <row r="10" spans="1:14" s="257" customFormat="1" x14ac:dyDescent="0.25">
      <c r="A10" s="252">
        <v>1</v>
      </c>
      <c r="B10" s="253">
        <v>2</v>
      </c>
      <c r="C10" s="254">
        <v>3</v>
      </c>
      <c r="D10" s="252">
        <v>4</v>
      </c>
      <c r="E10" s="252">
        <v>5</v>
      </c>
      <c r="F10" s="255">
        <v>6</v>
      </c>
      <c r="G10" s="254">
        <v>7</v>
      </c>
      <c r="H10" s="252">
        <v>8</v>
      </c>
      <c r="I10" s="252">
        <v>9</v>
      </c>
      <c r="J10" s="255">
        <v>10</v>
      </c>
      <c r="K10" s="254">
        <v>11</v>
      </c>
      <c r="L10" s="256">
        <v>12</v>
      </c>
      <c r="M10" s="256">
        <v>13</v>
      </c>
      <c r="N10" s="380">
        <v>14</v>
      </c>
    </row>
    <row r="11" spans="1:14" s="257" customFormat="1" ht="40.5" customHeight="1" x14ac:dyDescent="0.25">
      <c r="A11" s="258" t="s">
        <v>13655</v>
      </c>
      <c r="B11" s="259" t="s">
        <v>13656</v>
      </c>
      <c r="C11" s="260">
        <v>156587336.976495</v>
      </c>
      <c r="D11" s="261">
        <v>4390</v>
      </c>
      <c r="E11" s="262">
        <v>42660.69</v>
      </c>
      <c r="F11" s="263">
        <f t="shared" ref="F11" si="0">C11/D11</f>
        <v>35669.09726116059</v>
      </c>
      <c r="G11" s="260">
        <v>99492893.152565241</v>
      </c>
      <c r="H11" s="261">
        <v>5703</v>
      </c>
      <c r="I11" s="262">
        <v>50041.57</v>
      </c>
      <c r="J11" s="264">
        <f>G11/H11</f>
        <v>17445.711582073513</v>
      </c>
      <c r="K11" s="381">
        <v>112316602.51510084</v>
      </c>
      <c r="L11" s="266">
        <v>6181</v>
      </c>
      <c r="M11" s="265">
        <v>300772.7</v>
      </c>
      <c r="N11" s="264">
        <f>K11/L11</f>
        <v>18171.267192218223</v>
      </c>
    </row>
    <row r="12" spans="1:14" s="257" customFormat="1" ht="36.75" customHeight="1" x14ac:dyDescent="0.25">
      <c r="A12" s="258" t="s">
        <v>13657</v>
      </c>
      <c r="B12" s="259" t="s">
        <v>13658</v>
      </c>
      <c r="C12" s="267" t="s">
        <v>13659</v>
      </c>
      <c r="D12" s="268" t="s">
        <v>13659</v>
      </c>
      <c r="E12" s="268" t="s">
        <v>13659</v>
      </c>
      <c r="F12" s="269" t="s">
        <v>13659</v>
      </c>
      <c r="G12" s="267" t="s">
        <v>13659</v>
      </c>
      <c r="H12" s="261" t="s">
        <v>13659</v>
      </c>
      <c r="I12" s="261" t="s">
        <v>13659</v>
      </c>
      <c r="J12" s="269" t="s">
        <v>13659</v>
      </c>
      <c r="K12" s="267" t="s">
        <v>13659</v>
      </c>
      <c r="L12" s="270" t="s">
        <v>13659</v>
      </c>
      <c r="M12" s="270" t="s">
        <v>13659</v>
      </c>
      <c r="N12" s="269" t="s">
        <v>13659</v>
      </c>
    </row>
    <row r="13" spans="1:14" s="257" customFormat="1" ht="123" customHeight="1" x14ac:dyDescent="0.25">
      <c r="A13" s="272" t="s">
        <v>13660</v>
      </c>
      <c r="B13" s="259" t="s">
        <v>13661</v>
      </c>
      <c r="C13" s="260">
        <v>11085060.0360534</v>
      </c>
      <c r="D13" s="261">
        <v>4041</v>
      </c>
      <c r="E13" s="262">
        <v>57136.829999999973</v>
      </c>
      <c r="F13" s="263">
        <f t="shared" ref="F13:F14" si="1">C13/D13</f>
        <v>2743.1477446308836</v>
      </c>
      <c r="G13" s="260">
        <v>8398421.1349619143</v>
      </c>
      <c r="H13" s="261">
        <v>7654</v>
      </c>
      <c r="I13" s="262">
        <v>107915.38800000001</v>
      </c>
      <c r="J13" s="264">
        <f>G13/H13</f>
        <v>1097.2590978523535</v>
      </c>
      <c r="K13" s="381">
        <v>7638569.2096991586</v>
      </c>
      <c r="L13" s="263">
        <v>6825</v>
      </c>
      <c r="M13" s="263">
        <v>98627.7</v>
      </c>
      <c r="N13" s="264">
        <f>K13/L13</f>
        <v>1119.2042798094005</v>
      </c>
    </row>
    <row r="14" spans="1:14" s="257" customFormat="1" ht="100.5" customHeight="1" x14ac:dyDescent="0.25">
      <c r="A14" s="273" t="s">
        <v>13662</v>
      </c>
      <c r="B14" s="259" t="s">
        <v>13663</v>
      </c>
      <c r="C14" s="260">
        <v>2041821.76745166</v>
      </c>
      <c r="D14" s="261">
        <v>193</v>
      </c>
      <c r="E14" s="262">
        <v>442074.19500000007</v>
      </c>
      <c r="F14" s="263">
        <f t="shared" si="1"/>
        <v>10579.387396122591</v>
      </c>
      <c r="G14" s="260">
        <v>20537599.752472844</v>
      </c>
      <c r="H14" s="261">
        <v>2116</v>
      </c>
      <c r="I14" s="262">
        <v>30888.62</v>
      </c>
      <c r="J14" s="264">
        <f>G14/H14</f>
        <v>9705.8599964427431</v>
      </c>
      <c r="K14" s="381">
        <v>4938535.6852000011</v>
      </c>
      <c r="L14" s="311">
        <v>494</v>
      </c>
      <c r="M14" s="263">
        <v>174063.05</v>
      </c>
      <c r="N14" s="264">
        <f>K14/L14</f>
        <v>9997.0358000000015</v>
      </c>
    </row>
    <row r="15" spans="1:14" s="257" customFormat="1" ht="42.75" customHeight="1" x14ac:dyDescent="0.25">
      <c r="A15" s="359" t="s">
        <v>13664</v>
      </c>
      <c r="B15" s="359"/>
      <c r="C15" s="359"/>
      <c r="D15" s="359"/>
      <c r="E15" s="359"/>
      <c r="F15" s="359"/>
      <c r="G15" s="359"/>
      <c r="H15" s="359"/>
      <c r="I15" s="359"/>
      <c r="J15" s="359"/>
      <c r="K15" s="359"/>
      <c r="L15" s="359"/>
      <c r="M15" s="359"/>
      <c r="N15" s="359"/>
    </row>
    <row r="16" spans="1:14" s="257" customFormat="1" ht="39.75" customHeight="1" x14ac:dyDescent="0.25">
      <c r="A16" s="360" t="s">
        <v>13665</v>
      </c>
      <c r="B16" s="360"/>
      <c r="C16" s="360"/>
      <c r="D16" s="360"/>
      <c r="E16" s="360"/>
      <c r="F16" s="360"/>
      <c r="G16" s="360"/>
      <c r="H16" s="360"/>
      <c r="I16" s="360"/>
      <c r="J16" s="360"/>
      <c r="K16" s="360"/>
      <c r="L16" s="360"/>
      <c r="M16" s="360"/>
      <c r="N16" s="360"/>
    </row>
    <row r="17" spans="1:14" s="257" customFormat="1" ht="37.5" customHeight="1" x14ac:dyDescent="0.25">
      <c r="A17" s="360" t="s">
        <v>13666</v>
      </c>
      <c r="B17" s="360"/>
      <c r="C17" s="360"/>
      <c r="D17" s="360"/>
      <c r="E17" s="360"/>
      <c r="F17" s="360"/>
      <c r="G17" s="360"/>
      <c r="H17" s="360"/>
      <c r="I17" s="360"/>
      <c r="J17" s="360"/>
      <c r="K17" s="360"/>
      <c r="L17" s="360"/>
      <c r="M17" s="360"/>
      <c r="N17" s="360"/>
    </row>
    <row r="18" spans="1:14" s="257" customFormat="1" ht="38.25" customHeight="1" x14ac:dyDescent="0.25">
      <c r="A18" s="359" t="s">
        <v>13667</v>
      </c>
      <c r="B18" s="361"/>
      <c r="C18" s="361"/>
      <c r="D18" s="361"/>
      <c r="E18" s="361"/>
      <c r="F18" s="361"/>
      <c r="G18" s="361"/>
      <c r="H18" s="361"/>
      <c r="I18" s="361"/>
      <c r="J18" s="361"/>
      <c r="K18" s="361"/>
      <c r="L18" s="361"/>
      <c r="M18" s="361"/>
      <c r="N18" s="361"/>
    </row>
    <row r="19" spans="1:14" s="257" customFormat="1" ht="34.5" hidden="1" customHeight="1" x14ac:dyDescent="0.25">
      <c r="C19" s="275">
        <v>63235482.843435876</v>
      </c>
      <c r="G19" s="276">
        <v>55279181.434259377</v>
      </c>
      <c r="H19" s="277"/>
      <c r="I19" s="277"/>
      <c r="J19" s="277"/>
      <c r="K19" s="276"/>
      <c r="L19" s="277"/>
      <c r="M19" s="277"/>
      <c r="N19" s="277"/>
    </row>
    <row r="20" spans="1:14" s="257" customFormat="1" ht="44.25" hidden="1" customHeight="1" x14ac:dyDescent="0.25">
      <c r="C20" s="278"/>
      <c r="D20" s="279"/>
      <c r="E20" s="280" t="s">
        <v>13668</v>
      </c>
      <c r="F20" s="281" t="s">
        <v>13669</v>
      </c>
      <c r="G20" s="282"/>
      <c r="H20" s="283"/>
      <c r="I20" s="284" t="s">
        <v>13668</v>
      </c>
      <c r="J20" s="285" t="s">
        <v>13669</v>
      </c>
      <c r="K20" s="282"/>
      <c r="L20" s="283"/>
      <c r="M20" s="284" t="s">
        <v>13668</v>
      </c>
      <c r="N20" s="285" t="s">
        <v>13669</v>
      </c>
    </row>
    <row r="21" spans="1:14" s="257" customFormat="1" ht="43.5" hidden="1" customHeight="1" x14ac:dyDescent="0.25">
      <c r="C21" s="286">
        <v>70087997.143960297</v>
      </c>
      <c r="D21" s="271"/>
      <c r="E21" s="287">
        <v>46.64</v>
      </c>
      <c r="F21" s="288" t="e">
        <f>70087997.1439603/#REF!</f>
        <v>#REF!</v>
      </c>
      <c r="G21" s="289">
        <v>61269510.9813179</v>
      </c>
      <c r="H21" s="290"/>
      <c r="I21" s="291">
        <v>46.64</v>
      </c>
      <c r="J21" s="292">
        <f>61269510.9813179/D13</f>
        <v>15161.967577658475</v>
      </c>
      <c r="K21" s="289"/>
      <c r="L21" s="290"/>
      <c r="M21" s="291">
        <v>46.64</v>
      </c>
      <c r="N21" s="292">
        <f>1/H13</f>
        <v>1.3065064018813691E-4</v>
      </c>
    </row>
    <row r="22" spans="1:14" s="257" customFormat="1" ht="40.5" hidden="1" customHeight="1" x14ac:dyDescent="0.25">
      <c r="C22" s="293"/>
      <c r="D22" s="271"/>
      <c r="E22" s="287">
        <v>4.5599999999999996</v>
      </c>
      <c r="F22" s="288" t="e">
        <f>F21*(E22/E21)</f>
        <v>#REF!</v>
      </c>
      <c r="G22" s="294"/>
      <c r="H22" s="290"/>
      <c r="I22" s="291">
        <v>4.5599999999999996</v>
      </c>
      <c r="J22" s="292">
        <f>J21*(I22/I21)</f>
        <v>1482.3879106801596</v>
      </c>
      <c r="K22" s="294"/>
      <c r="L22" s="290"/>
      <c r="M22" s="291">
        <v>4.5599999999999996</v>
      </c>
      <c r="N22" s="292">
        <f>N21*(M22/M21)</f>
        <v>1.2773733260246661E-5</v>
      </c>
    </row>
    <row r="23" spans="1:14" s="257" customFormat="1" ht="52.5" hidden="1" customHeight="1" x14ac:dyDescent="0.25">
      <c r="C23" s="293"/>
      <c r="D23" s="271"/>
      <c r="E23" s="271"/>
      <c r="F23" s="295"/>
      <c r="G23" s="294"/>
      <c r="H23" s="290"/>
      <c r="I23" s="290"/>
      <c r="J23" s="296"/>
      <c r="K23" s="294"/>
      <c r="L23" s="290"/>
      <c r="M23" s="290"/>
      <c r="N23" s="296"/>
    </row>
    <row r="24" spans="1:14" s="257" customFormat="1" ht="37.5" hidden="1" customHeight="1" x14ac:dyDescent="0.25">
      <c r="C24" s="293"/>
      <c r="D24" s="271"/>
      <c r="E24" s="362" t="s">
        <v>13670</v>
      </c>
      <c r="F24" s="297"/>
      <c r="G24" s="294"/>
      <c r="H24" s="290"/>
      <c r="I24" s="364" t="s">
        <v>13670</v>
      </c>
      <c r="J24" s="298"/>
      <c r="K24" s="294"/>
      <c r="L24" s="290"/>
      <c r="M24" s="364" t="s">
        <v>13670</v>
      </c>
      <c r="N24" s="298"/>
    </row>
    <row r="25" spans="1:14" s="257" customFormat="1" ht="39.75" hidden="1" customHeight="1" x14ac:dyDescent="0.25">
      <c r="C25" s="299"/>
      <c r="D25" s="300"/>
      <c r="E25" s="363"/>
      <c r="F25" s="301" t="e">
        <f>F22*#REF!</f>
        <v>#REF!</v>
      </c>
      <c r="G25" s="302"/>
      <c r="H25" s="303"/>
      <c r="I25" s="365"/>
      <c r="J25" s="304">
        <f>J22*D13</f>
        <v>5990329.5470585246</v>
      </c>
      <c r="K25" s="302"/>
      <c r="L25" s="303"/>
      <c r="M25" s="365"/>
      <c r="N25" s="304">
        <f>N22*H13</f>
        <v>9.7770154373927942E-2</v>
      </c>
    </row>
    <row r="26" spans="1:14" s="257" customFormat="1" ht="37.5" customHeight="1" x14ac:dyDescent="0.25">
      <c r="A26" s="305"/>
      <c r="B26" s="305"/>
      <c r="C26" s="305"/>
      <c r="D26" s="305"/>
      <c r="E26" s="305"/>
      <c r="F26" s="305"/>
      <c r="G26" s="305"/>
      <c r="H26" s="305"/>
      <c r="I26" s="305"/>
      <c r="J26" s="305"/>
      <c r="K26" s="305"/>
      <c r="L26" s="305"/>
      <c r="M26" s="305"/>
      <c r="N26" s="305"/>
    </row>
    <row r="27" spans="1:14" s="257" customFormat="1" ht="47.25" customHeight="1" x14ac:dyDescent="0.25">
      <c r="A27" s="274"/>
      <c r="B27" s="274"/>
      <c r="C27" s="274"/>
      <c r="D27" s="274"/>
      <c r="E27" s="274"/>
      <c r="F27" s="274"/>
      <c r="G27" s="274"/>
      <c r="H27" s="274"/>
      <c r="I27" s="274"/>
      <c r="J27" s="274"/>
      <c r="K27" s="274"/>
      <c r="L27" s="274"/>
      <c r="M27" s="274"/>
      <c r="N27" s="274"/>
    </row>
    <row r="28" spans="1:14" s="257" customFormat="1" ht="47.25" customHeight="1" x14ac:dyDescent="0.25">
      <c r="A28" s="274"/>
      <c r="B28" s="274"/>
      <c r="C28" s="306"/>
      <c r="D28" s="306"/>
      <c r="E28" s="306"/>
      <c r="F28" s="306"/>
      <c r="G28" s="306"/>
      <c r="H28" s="306"/>
      <c r="I28" s="306"/>
      <c r="J28" s="306"/>
      <c r="K28" s="306"/>
      <c r="L28" s="274"/>
      <c r="M28" s="274"/>
      <c r="N28" s="274"/>
    </row>
    <row r="29" spans="1:14" s="257" customFormat="1" ht="20.25" customHeight="1" x14ac:dyDescent="0.25">
      <c r="A29" s="274"/>
      <c r="B29" s="274"/>
      <c r="C29" s="274"/>
      <c r="D29" s="274"/>
      <c r="E29" s="274"/>
      <c r="F29" s="274"/>
      <c r="G29" s="274"/>
      <c r="H29" s="274"/>
      <c r="I29" s="274"/>
      <c r="J29" s="274"/>
      <c r="K29" s="274"/>
      <c r="L29" s="274"/>
      <c r="M29" s="274"/>
      <c r="N29" s="274"/>
    </row>
    <row r="30" spans="1:14" s="257" customFormat="1" ht="31.5" customHeight="1" x14ac:dyDescent="0.25">
      <c r="C30" s="306"/>
    </row>
    <row r="31" spans="1:14" s="257" customFormat="1" x14ac:dyDescent="0.25">
      <c r="C31" s="306"/>
    </row>
    <row r="32" spans="1:14" s="257" customFormat="1" x14ac:dyDescent="0.25">
      <c r="C32" s="306"/>
      <c r="K32" s="306"/>
    </row>
    <row r="33" s="257" customFormat="1" x14ac:dyDescent="0.25"/>
    <row r="34" s="257" customFormat="1" x14ac:dyDescent="0.25"/>
    <row r="35" s="257" customFormat="1" x14ac:dyDescent="0.25"/>
    <row r="36" s="257" customFormat="1" x14ac:dyDescent="0.25"/>
    <row r="37" s="257" customFormat="1" x14ac:dyDescent="0.25"/>
    <row r="38" s="257" customFormat="1" x14ac:dyDescent="0.25"/>
    <row r="39" s="257" customFormat="1" x14ac:dyDescent="0.25"/>
    <row r="40" s="257" customFormat="1" x14ac:dyDescent="0.25"/>
    <row r="41" s="257" customFormat="1" x14ac:dyDescent="0.25"/>
    <row r="42" s="257" customFormat="1" x14ac:dyDescent="0.25"/>
    <row r="43" s="257" customFormat="1" x14ac:dyDescent="0.25"/>
    <row r="44" s="257" customFormat="1" x14ac:dyDescent="0.25"/>
    <row r="45" s="257" customFormat="1" x14ac:dyDescent="0.25"/>
    <row r="46" s="257" customFormat="1" x14ac:dyDescent="0.25"/>
    <row r="47" s="257" customFormat="1" x14ac:dyDescent="0.25"/>
    <row r="48" s="257" customFormat="1" x14ac:dyDescent="0.25"/>
    <row r="49" s="257" customFormat="1" x14ac:dyDescent="0.25"/>
    <row r="50" s="257" customFormat="1" x14ac:dyDescent="0.25"/>
    <row r="51" s="257" customFormat="1" x14ac:dyDescent="0.25"/>
    <row r="52" s="257" customFormat="1" x14ac:dyDescent="0.25"/>
    <row r="53" s="257" customFormat="1" x14ac:dyDescent="0.25"/>
    <row r="54" s="257" customFormat="1" x14ac:dyDescent="0.25"/>
    <row r="55" s="257" customFormat="1" x14ac:dyDescent="0.25"/>
    <row r="56" s="257" customFormat="1" x14ac:dyDescent="0.25"/>
    <row r="57" s="257" customFormat="1" x14ac:dyDescent="0.25"/>
    <row r="58" s="257" customFormat="1" x14ac:dyDescent="0.25"/>
    <row r="59" s="257" customFormat="1" x14ac:dyDescent="0.25"/>
    <row r="60" s="257" customFormat="1" x14ac:dyDescent="0.25"/>
    <row r="61" s="257" customFormat="1" x14ac:dyDescent="0.25"/>
    <row r="62" s="257" customFormat="1" x14ac:dyDescent="0.25"/>
    <row r="63" s="257" customFormat="1" x14ac:dyDescent="0.25"/>
    <row r="64" s="257" customFormat="1" x14ac:dyDescent="0.25"/>
    <row r="65" s="257" customFormat="1" x14ac:dyDescent="0.25"/>
    <row r="66" s="257" customFormat="1" x14ac:dyDescent="0.25"/>
    <row r="67" s="257" customFormat="1" x14ac:dyDescent="0.25"/>
    <row r="68" s="257" customFormat="1" x14ac:dyDescent="0.25"/>
    <row r="69" s="257" customFormat="1" x14ac:dyDescent="0.25"/>
    <row r="70" s="257" customFormat="1" x14ac:dyDescent="0.25"/>
    <row r="71" s="257" customFormat="1" x14ac:dyDescent="0.25"/>
    <row r="72" s="257" customFormat="1" x14ac:dyDescent="0.25"/>
    <row r="73" s="257" customFormat="1" x14ac:dyDescent="0.25"/>
    <row r="74" s="257" customFormat="1" x14ac:dyDescent="0.25"/>
    <row r="75" s="257" customFormat="1" x14ac:dyDescent="0.25"/>
    <row r="76" s="257" customFormat="1" x14ac:dyDescent="0.25"/>
    <row r="77" s="257" customFormat="1" x14ac:dyDescent="0.25"/>
    <row r="78" s="257" customFormat="1" x14ac:dyDescent="0.25"/>
    <row r="79" s="257" customFormat="1" x14ac:dyDescent="0.25"/>
    <row r="80" s="257" customFormat="1" x14ac:dyDescent="0.25"/>
    <row r="81" s="257" customFormat="1" x14ac:dyDescent="0.25"/>
    <row r="82" s="257" customFormat="1" x14ac:dyDescent="0.25"/>
    <row r="83" s="257" customFormat="1" x14ac:dyDescent="0.25"/>
    <row r="84" s="257" customFormat="1" x14ac:dyDescent="0.25"/>
    <row r="85" s="257" customFormat="1" x14ac:dyDescent="0.25"/>
    <row r="86" s="257" customFormat="1" x14ac:dyDescent="0.25"/>
    <row r="87" s="257" customFormat="1" x14ac:dyDescent="0.25"/>
    <row r="88" s="257" customFormat="1" x14ac:dyDescent="0.25"/>
    <row r="89" s="257" customFormat="1" x14ac:dyDescent="0.25"/>
    <row r="90" s="257" customFormat="1" x14ac:dyDescent="0.25"/>
    <row r="91" s="257" customFormat="1" x14ac:dyDescent="0.25"/>
    <row r="92" s="257" customFormat="1" x14ac:dyDescent="0.25"/>
    <row r="93" s="257" customFormat="1" x14ac:dyDescent="0.25"/>
    <row r="94" s="257" customFormat="1" x14ac:dyDescent="0.25"/>
    <row r="95" s="257" customFormat="1" x14ac:dyDescent="0.25"/>
    <row r="96" s="257" customFormat="1" x14ac:dyDescent="0.25"/>
    <row r="97" s="257" customFormat="1" x14ac:dyDescent="0.25"/>
    <row r="98" s="257" customFormat="1" x14ac:dyDescent="0.25"/>
    <row r="99" s="257" customFormat="1" x14ac:dyDescent="0.25"/>
    <row r="100" s="257" customFormat="1" x14ac:dyDescent="0.25"/>
    <row r="101" s="257" customFormat="1" x14ac:dyDescent="0.25"/>
    <row r="102" s="257" customFormat="1" x14ac:dyDescent="0.25"/>
    <row r="103" s="257" customFormat="1" x14ac:dyDescent="0.25"/>
    <row r="104" s="257" customFormat="1" x14ac:dyDescent="0.25"/>
    <row r="105" s="257" customFormat="1" x14ac:dyDescent="0.25"/>
    <row r="106" s="257" customFormat="1" x14ac:dyDescent="0.25"/>
    <row r="107" s="257" customFormat="1" x14ac:dyDescent="0.25"/>
    <row r="108" s="257" customFormat="1" x14ac:dyDescent="0.25"/>
    <row r="109" s="257" customFormat="1" x14ac:dyDescent="0.25"/>
    <row r="110" s="257" customFormat="1" x14ac:dyDescent="0.25"/>
    <row r="111" s="257" customFormat="1" x14ac:dyDescent="0.25"/>
    <row r="112" s="257" customFormat="1" x14ac:dyDescent="0.25"/>
    <row r="113" s="257" customFormat="1" x14ac:dyDescent="0.25"/>
    <row r="114" s="257" customFormat="1" x14ac:dyDescent="0.25"/>
    <row r="115" s="257" customFormat="1" x14ac:dyDescent="0.25"/>
    <row r="116" s="257" customFormat="1" x14ac:dyDescent="0.25"/>
    <row r="117" s="257" customFormat="1" x14ac:dyDescent="0.25"/>
    <row r="118" s="257" customFormat="1" x14ac:dyDescent="0.25"/>
    <row r="119" s="257" customFormat="1" x14ac:dyDescent="0.25"/>
    <row r="120" s="257" customFormat="1" x14ac:dyDescent="0.25"/>
    <row r="121" s="257" customFormat="1" x14ac:dyDescent="0.25"/>
    <row r="122" s="257" customFormat="1" x14ac:dyDescent="0.25"/>
    <row r="123" s="257" customFormat="1" x14ac:dyDescent="0.25"/>
    <row r="124" s="257" customFormat="1" x14ac:dyDescent="0.25"/>
    <row r="125" s="257" customFormat="1" x14ac:dyDescent="0.25"/>
    <row r="126" s="257" customFormat="1" x14ac:dyDescent="0.25"/>
    <row r="127" s="257" customFormat="1" x14ac:dyDescent="0.25"/>
    <row r="128" s="257" customFormat="1" x14ac:dyDescent="0.25"/>
    <row r="129" s="257" customFormat="1" x14ac:dyDescent="0.25"/>
    <row r="130" s="257" customFormat="1" x14ac:dyDescent="0.25"/>
    <row r="131" s="257" customFormat="1" x14ac:dyDescent="0.25"/>
    <row r="132" s="257" customFormat="1" x14ac:dyDescent="0.25"/>
    <row r="133" s="257" customFormat="1" x14ac:dyDescent="0.25"/>
    <row r="134" s="257" customFormat="1" x14ac:dyDescent="0.25"/>
    <row r="135" s="257" customFormat="1" x14ac:dyDescent="0.25"/>
    <row r="136" s="257" customFormat="1" x14ac:dyDescent="0.25"/>
    <row r="137" s="257" customFormat="1" x14ac:dyDescent="0.25"/>
    <row r="138" s="257" customFormat="1" x14ac:dyDescent="0.25"/>
    <row r="139" s="257" customFormat="1" x14ac:dyDescent="0.25"/>
    <row r="140" s="257" customFormat="1" x14ac:dyDescent="0.25"/>
    <row r="141" s="257" customFormat="1" x14ac:dyDescent="0.25"/>
    <row r="142" s="257" customFormat="1" x14ac:dyDescent="0.25"/>
    <row r="143" s="257" customFormat="1" x14ac:dyDescent="0.25"/>
    <row r="144" s="257" customFormat="1" x14ac:dyDescent="0.25"/>
    <row r="145" s="257" customFormat="1" x14ac:dyDescent="0.25"/>
    <row r="146" s="257" customFormat="1" x14ac:dyDescent="0.25"/>
    <row r="147" s="257" customFormat="1" x14ac:dyDescent="0.25"/>
    <row r="148" s="257" customFormat="1" x14ac:dyDescent="0.25"/>
    <row r="149" s="257" customFormat="1" x14ac:dyDescent="0.25"/>
    <row r="150" s="257" customFormat="1" x14ac:dyDescent="0.25"/>
    <row r="151" s="257" customFormat="1" x14ac:dyDescent="0.25"/>
    <row r="152" s="257" customFormat="1" x14ac:dyDescent="0.25"/>
    <row r="153" s="257" customFormat="1" x14ac:dyDescent="0.25"/>
    <row r="154" s="257" customFormat="1" x14ac:dyDescent="0.25"/>
    <row r="155" s="257" customFormat="1" x14ac:dyDescent="0.25"/>
    <row r="156" s="257" customFormat="1" x14ac:dyDescent="0.25"/>
    <row r="157" s="257" customFormat="1" x14ac:dyDescent="0.25"/>
    <row r="158" s="257" customFormat="1" x14ac:dyDescent="0.25"/>
    <row r="159" s="257" customFormat="1" x14ac:dyDescent="0.25"/>
    <row r="160" s="257" customFormat="1" x14ac:dyDescent="0.25"/>
    <row r="161" s="257" customFormat="1" x14ac:dyDescent="0.25"/>
    <row r="162" s="257" customFormat="1" x14ac:dyDescent="0.25"/>
    <row r="163" s="257" customFormat="1" x14ac:dyDescent="0.25"/>
    <row r="164" s="257" customFormat="1" x14ac:dyDescent="0.25"/>
    <row r="165" s="257" customFormat="1" x14ac:dyDescent="0.25"/>
    <row r="166" s="257" customFormat="1" x14ac:dyDescent="0.25"/>
    <row r="167" s="257" customFormat="1" x14ac:dyDescent="0.25"/>
    <row r="168" s="257" customFormat="1" x14ac:dyDescent="0.25"/>
    <row r="169" s="257" customFormat="1" x14ac:dyDescent="0.25"/>
    <row r="170" s="257" customFormat="1" x14ac:dyDescent="0.25"/>
    <row r="171" s="257" customFormat="1" x14ac:dyDescent="0.25"/>
    <row r="172" s="257" customFormat="1" x14ac:dyDescent="0.25"/>
    <row r="173" s="257" customFormat="1" x14ac:dyDescent="0.25"/>
    <row r="174" s="257" customFormat="1" x14ac:dyDescent="0.25"/>
    <row r="175" s="257" customFormat="1" x14ac:dyDescent="0.25"/>
    <row r="176" s="257" customFormat="1" x14ac:dyDescent="0.25"/>
    <row r="177" s="257" customFormat="1" x14ac:dyDescent="0.25"/>
    <row r="178" s="257" customFormat="1" x14ac:dyDescent="0.25"/>
    <row r="179" s="257" customFormat="1" x14ac:dyDescent="0.25"/>
    <row r="180" s="257" customFormat="1" x14ac:dyDescent="0.25"/>
    <row r="181" s="257" customFormat="1" x14ac:dyDescent="0.25"/>
    <row r="182" s="257" customFormat="1" x14ac:dyDescent="0.25"/>
    <row r="183" s="257" customFormat="1" x14ac:dyDescent="0.25"/>
    <row r="184" s="257" customFormat="1" x14ac:dyDescent="0.25"/>
    <row r="185" s="257" customFormat="1" x14ac:dyDescent="0.25"/>
    <row r="186" s="257" customFormat="1" x14ac:dyDescent="0.25"/>
    <row r="187" s="257" customFormat="1" x14ac:dyDescent="0.25"/>
    <row r="188" s="257" customFormat="1" x14ac:dyDescent="0.25"/>
    <row r="189" s="257" customFormat="1" x14ac:dyDescent="0.25"/>
    <row r="190" s="257" customFormat="1" x14ac:dyDescent="0.25"/>
    <row r="191" s="257" customFormat="1" x14ac:dyDescent="0.25"/>
    <row r="192" s="257" customFormat="1" x14ac:dyDescent="0.25"/>
    <row r="193" s="257" customFormat="1" x14ac:dyDescent="0.25"/>
    <row r="194" s="257" customFormat="1" x14ac:dyDescent="0.25"/>
    <row r="195" s="257" customFormat="1" x14ac:dyDescent="0.25"/>
    <row r="196" s="257" customFormat="1" x14ac:dyDescent="0.25"/>
    <row r="197" s="257" customFormat="1" x14ac:dyDescent="0.25"/>
    <row r="198" s="257" customFormat="1" x14ac:dyDescent="0.25"/>
    <row r="199" s="257" customFormat="1" x14ac:dyDescent="0.25"/>
    <row r="200" s="257" customFormat="1" x14ac:dyDescent="0.25"/>
    <row r="201" s="257" customFormat="1" x14ac:dyDescent="0.25"/>
    <row r="202" s="257" customFormat="1" x14ac:dyDescent="0.25"/>
    <row r="203" s="257" customFormat="1" x14ac:dyDescent="0.25"/>
    <row r="204" s="257" customFormat="1" x14ac:dyDescent="0.25"/>
    <row r="205" s="257" customFormat="1" x14ac:dyDescent="0.25"/>
    <row r="206" s="257" customFormat="1" x14ac:dyDescent="0.25"/>
    <row r="207" s="257" customFormat="1" x14ac:dyDescent="0.25"/>
    <row r="208" s="257" customFormat="1" x14ac:dyDescent="0.25"/>
    <row r="209" s="257" customFormat="1" x14ac:dyDescent="0.25"/>
    <row r="210" s="257" customFormat="1" x14ac:dyDescent="0.25"/>
    <row r="211" s="257" customFormat="1" x14ac:dyDescent="0.25"/>
    <row r="212" s="257" customFormat="1" x14ac:dyDescent="0.25"/>
    <row r="213" s="257" customFormat="1" x14ac:dyDescent="0.25"/>
    <row r="214" s="257" customFormat="1" x14ac:dyDescent="0.25"/>
    <row r="215" s="257" customFormat="1" x14ac:dyDescent="0.25"/>
    <row r="216" s="257" customFormat="1" x14ac:dyDescent="0.25"/>
    <row r="217" s="257" customFormat="1" x14ac:dyDescent="0.25"/>
    <row r="218" s="257" customFormat="1" x14ac:dyDescent="0.25"/>
    <row r="219" s="257" customFormat="1" x14ac:dyDescent="0.25"/>
    <row r="220" s="257" customFormat="1" x14ac:dyDescent="0.25"/>
    <row r="221" s="257" customFormat="1" x14ac:dyDescent="0.25"/>
    <row r="222" s="257" customFormat="1" x14ac:dyDescent="0.25"/>
    <row r="223" s="257" customFormat="1" x14ac:dyDescent="0.25"/>
    <row r="224" s="257" customFormat="1" x14ac:dyDescent="0.25"/>
    <row r="225" s="257" customFormat="1" x14ac:dyDescent="0.25"/>
    <row r="226" s="257" customFormat="1" x14ac:dyDescent="0.25"/>
    <row r="227" s="257" customFormat="1" x14ac:dyDescent="0.25"/>
    <row r="228" s="257" customFormat="1" x14ac:dyDescent="0.25"/>
    <row r="229" s="257" customFormat="1" x14ac:dyDescent="0.25"/>
    <row r="230" s="257" customFormat="1" x14ac:dyDescent="0.25"/>
    <row r="231" s="257" customFormat="1" x14ac:dyDescent="0.25"/>
    <row r="232" s="257" customFormat="1" x14ac:dyDescent="0.25"/>
    <row r="233" s="257" customFormat="1" x14ac:dyDescent="0.25"/>
    <row r="234" s="257" customFormat="1" x14ac:dyDescent="0.25"/>
    <row r="235" s="257" customFormat="1" x14ac:dyDescent="0.25"/>
    <row r="236" s="257" customFormat="1" x14ac:dyDescent="0.25"/>
    <row r="237" s="257" customFormat="1" x14ac:dyDescent="0.25"/>
    <row r="238" s="257" customFormat="1" x14ac:dyDescent="0.25"/>
    <row r="239" s="257" customFormat="1" x14ac:dyDescent="0.25"/>
    <row r="240" s="257" customFormat="1" x14ac:dyDescent="0.25"/>
    <row r="241" s="257" customFormat="1" x14ac:dyDescent="0.25"/>
    <row r="242" s="257" customFormat="1" x14ac:dyDescent="0.25"/>
    <row r="243" s="257" customFormat="1" x14ac:dyDescent="0.25"/>
    <row r="244" s="257" customFormat="1" x14ac:dyDescent="0.25"/>
    <row r="245" s="257" customFormat="1" x14ac:dyDescent="0.25"/>
    <row r="246" s="257" customFormat="1" x14ac:dyDescent="0.25"/>
    <row r="247" s="257" customFormat="1" x14ac:dyDescent="0.25"/>
    <row r="248" s="257" customFormat="1" x14ac:dyDescent="0.25"/>
    <row r="249" s="257" customFormat="1" x14ac:dyDescent="0.25"/>
    <row r="250" s="257" customFormat="1" x14ac:dyDescent="0.25"/>
    <row r="251" s="257" customFormat="1" x14ac:dyDescent="0.25"/>
    <row r="252" s="257" customFormat="1" x14ac:dyDescent="0.25"/>
    <row r="253" s="257" customFormat="1" x14ac:dyDescent="0.25"/>
    <row r="254" s="257" customFormat="1" x14ac:dyDescent="0.25"/>
    <row r="255" s="257" customFormat="1" x14ac:dyDescent="0.25"/>
    <row r="256" s="257" customFormat="1" x14ac:dyDescent="0.25"/>
    <row r="257" s="257" customFormat="1" x14ac:dyDescent="0.25"/>
    <row r="258" s="257" customFormat="1" x14ac:dyDescent="0.25"/>
    <row r="259" s="257" customFormat="1" x14ac:dyDescent="0.25"/>
    <row r="260" s="257" customFormat="1" x14ac:dyDescent="0.25"/>
    <row r="261" s="257" customFormat="1" x14ac:dyDescent="0.25"/>
    <row r="262" s="257" customFormat="1" x14ac:dyDescent="0.25"/>
    <row r="263" s="257" customFormat="1" x14ac:dyDescent="0.25"/>
    <row r="264" s="257" customFormat="1" x14ac:dyDescent="0.25"/>
    <row r="265" s="257" customFormat="1" x14ac:dyDescent="0.25"/>
    <row r="266" s="257" customFormat="1" x14ac:dyDescent="0.25"/>
    <row r="267" s="257" customFormat="1" x14ac:dyDescent="0.25"/>
    <row r="268" s="257" customFormat="1" x14ac:dyDescent="0.25"/>
    <row r="269" s="257" customFormat="1" x14ac:dyDescent="0.25"/>
    <row r="270" s="257" customFormat="1" x14ac:dyDescent="0.25"/>
    <row r="271" s="257" customFormat="1" x14ac:dyDescent="0.25"/>
    <row r="272" s="257" customFormat="1" x14ac:dyDescent="0.25"/>
    <row r="273" s="257" customFormat="1" x14ac:dyDescent="0.25"/>
    <row r="274" s="257" customFormat="1" x14ac:dyDescent="0.25"/>
    <row r="275" s="257" customFormat="1" x14ac:dyDescent="0.25"/>
    <row r="276" s="257" customFormat="1" x14ac:dyDescent="0.25"/>
    <row r="277" s="257" customFormat="1" x14ac:dyDescent="0.25"/>
    <row r="278" s="257" customFormat="1" x14ac:dyDescent="0.25"/>
    <row r="279" s="257" customFormat="1" x14ac:dyDescent="0.25"/>
    <row r="280" s="257" customFormat="1" x14ac:dyDescent="0.25"/>
    <row r="281" s="257" customFormat="1" x14ac:dyDescent="0.25"/>
    <row r="282" s="257" customFormat="1" x14ac:dyDescent="0.25"/>
    <row r="283" s="257" customFormat="1" x14ac:dyDescent="0.25"/>
    <row r="284" s="257" customFormat="1" x14ac:dyDescent="0.25"/>
    <row r="285" s="257" customFormat="1" x14ac:dyDescent="0.25"/>
    <row r="286" s="257" customFormat="1" x14ac:dyDescent="0.25"/>
    <row r="287" s="257" customFormat="1" x14ac:dyDescent="0.25"/>
    <row r="288" s="257" customFormat="1" x14ac:dyDescent="0.25"/>
    <row r="289" s="257" customFormat="1" x14ac:dyDescent="0.25"/>
    <row r="290" s="257" customFormat="1" x14ac:dyDescent="0.25"/>
    <row r="291" s="257" customFormat="1" x14ac:dyDescent="0.25"/>
    <row r="292" s="257" customFormat="1" x14ac:dyDescent="0.25"/>
    <row r="293" s="257" customFormat="1" x14ac:dyDescent="0.25"/>
    <row r="294" s="257" customFormat="1" x14ac:dyDescent="0.25"/>
    <row r="295" s="257" customFormat="1" x14ac:dyDescent="0.25"/>
    <row r="296" s="257" customFormat="1" x14ac:dyDescent="0.25"/>
    <row r="297" s="257" customFormat="1" x14ac:dyDescent="0.25"/>
    <row r="298" s="257" customFormat="1" x14ac:dyDescent="0.25"/>
    <row r="299" s="257" customFormat="1" x14ac:dyDescent="0.25"/>
    <row r="300" s="257" customFormat="1" x14ac:dyDescent="0.25"/>
    <row r="301" s="257" customFormat="1" x14ac:dyDescent="0.25"/>
    <row r="302" s="257" customFormat="1" x14ac:dyDescent="0.25"/>
    <row r="303" s="257" customFormat="1" x14ac:dyDescent="0.25"/>
    <row r="304" s="257" customFormat="1" x14ac:dyDescent="0.25"/>
    <row r="305" s="257" customFormat="1" x14ac:dyDescent="0.25"/>
    <row r="306" s="257" customFormat="1" x14ac:dyDescent="0.25"/>
    <row r="307" s="257" customFormat="1" x14ac:dyDescent="0.25"/>
    <row r="308" s="257" customFormat="1" x14ac:dyDescent="0.25"/>
    <row r="309" s="257" customFormat="1" x14ac:dyDescent="0.25"/>
    <row r="310" s="257" customFormat="1" x14ac:dyDescent="0.25"/>
    <row r="311" s="257" customFormat="1" x14ac:dyDescent="0.25"/>
    <row r="312" s="257" customFormat="1" x14ac:dyDescent="0.25"/>
    <row r="313" s="257" customFormat="1" x14ac:dyDescent="0.25"/>
    <row r="314" s="257" customFormat="1" x14ac:dyDescent="0.25"/>
    <row r="315" s="257" customFormat="1" x14ac:dyDescent="0.25"/>
    <row r="316" s="257" customFormat="1" x14ac:dyDescent="0.25"/>
    <row r="317" s="257" customFormat="1" x14ac:dyDescent="0.25"/>
    <row r="318" s="257" customFormat="1" x14ac:dyDescent="0.25"/>
    <row r="319" s="257" customFormat="1" x14ac:dyDescent="0.25"/>
    <row r="320" s="257" customFormat="1" x14ac:dyDescent="0.25"/>
    <row r="321" s="257" customFormat="1" x14ac:dyDescent="0.25"/>
    <row r="322" s="257" customFormat="1" x14ac:dyDescent="0.25"/>
    <row r="323" s="257" customFormat="1" x14ac:dyDescent="0.25"/>
    <row r="324" s="257" customFormat="1" x14ac:dyDescent="0.25"/>
    <row r="325" s="257" customFormat="1" x14ac:dyDescent="0.25"/>
    <row r="326" s="257" customFormat="1" x14ac:dyDescent="0.25"/>
    <row r="327" s="257" customFormat="1" x14ac:dyDescent="0.25"/>
    <row r="328" s="257" customFormat="1" x14ac:dyDescent="0.25"/>
    <row r="329" s="257" customFormat="1" x14ac:dyDescent="0.25"/>
    <row r="330" s="257" customFormat="1" x14ac:dyDescent="0.25"/>
    <row r="331" s="257" customFormat="1" x14ac:dyDescent="0.25"/>
    <row r="332" s="257" customFormat="1" x14ac:dyDescent="0.25"/>
    <row r="333" s="257" customFormat="1" x14ac:dyDescent="0.25"/>
    <row r="334" s="257" customFormat="1" x14ac:dyDescent="0.25"/>
    <row r="335" s="257" customFormat="1" x14ac:dyDescent="0.25"/>
    <row r="336" s="257" customFormat="1" x14ac:dyDescent="0.25"/>
    <row r="337" s="257" customFormat="1" x14ac:dyDescent="0.25"/>
    <row r="338" s="257" customFormat="1" x14ac:dyDescent="0.25"/>
    <row r="339" s="257" customFormat="1" x14ac:dyDescent="0.25"/>
    <row r="340" s="257" customFormat="1" x14ac:dyDescent="0.25"/>
    <row r="341" s="257" customFormat="1" x14ac:dyDescent="0.25"/>
    <row r="342" s="257" customFormat="1" x14ac:dyDescent="0.25"/>
    <row r="343" s="257" customFormat="1" x14ac:dyDescent="0.25"/>
    <row r="344" s="257" customFormat="1" x14ac:dyDescent="0.25"/>
    <row r="345" s="257" customFormat="1" x14ac:dyDescent="0.25"/>
    <row r="346" s="257" customFormat="1" x14ac:dyDescent="0.25"/>
    <row r="347" s="257" customFormat="1" x14ac:dyDescent="0.25"/>
    <row r="348" s="257" customFormat="1" x14ac:dyDescent="0.25"/>
    <row r="349" s="257" customFormat="1" x14ac:dyDescent="0.25"/>
    <row r="350" s="257" customFormat="1" x14ac:dyDescent="0.25"/>
    <row r="351" s="257" customFormat="1" x14ac:dyDescent="0.25"/>
    <row r="352" s="257" customFormat="1" x14ac:dyDescent="0.25"/>
    <row r="353" s="257" customFormat="1" x14ac:dyDescent="0.25"/>
    <row r="354" s="257" customFormat="1" x14ac:dyDescent="0.25"/>
    <row r="355" s="257" customFormat="1" x14ac:dyDescent="0.25"/>
    <row r="356" s="257" customFormat="1" x14ac:dyDescent="0.25"/>
    <row r="357" s="257" customFormat="1" x14ac:dyDescent="0.25"/>
    <row r="358" s="257" customFormat="1" x14ac:dyDescent="0.25"/>
    <row r="359" s="257" customFormat="1" x14ac:dyDescent="0.25"/>
    <row r="360" s="257" customFormat="1" x14ac:dyDescent="0.25"/>
    <row r="361" s="257" customFormat="1" x14ac:dyDescent="0.25"/>
    <row r="362" s="257" customFormat="1" x14ac:dyDescent="0.25"/>
    <row r="363" s="257" customFormat="1" x14ac:dyDescent="0.25"/>
    <row r="364" s="257" customFormat="1" x14ac:dyDescent="0.25"/>
    <row r="365" s="257" customFormat="1" x14ac:dyDescent="0.25"/>
    <row r="366" s="257" customFormat="1" x14ac:dyDescent="0.25"/>
    <row r="367" s="257" customFormat="1" x14ac:dyDescent="0.25"/>
    <row r="368" s="257" customFormat="1" x14ac:dyDescent="0.25"/>
    <row r="369" s="257" customFormat="1" x14ac:dyDescent="0.25"/>
    <row r="370" s="257" customFormat="1" x14ac:dyDescent="0.25"/>
    <row r="371" s="257" customFormat="1" x14ac:dyDescent="0.25"/>
    <row r="372" s="257" customFormat="1" x14ac:dyDescent="0.25"/>
    <row r="373" s="257" customFormat="1" x14ac:dyDescent="0.25"/>
    <row r="374" s="257" customFormat="1" x14ac:dyDescent="0.25"/>
    <row r="375" s="257" customFormat="1" x14ac:dyDescent="0.25"/>
    <row r="376" s="257" customFormat="1" x14ac:dyDescent="0.25"/>
    <row r="377" s="257" customFormat="1" x14ac:dyDescent="0.25"/>
    <row r="378" s="257" customFormat="1" x14ac:dyDescent="0.25"/>
    <row r="379" s="257" customFormat="1" x14ac:dyDescent="0.25"/>
    <row r="380" s="257" customFormat="1" x14ac:dyDescent="0.25"/>
    <row r="381" s="257" customFormat="1" x14ac:dyDescent="0.25"/>
    <row r="382" s="257" customFormat="1" x14ac:dyDescent="0.25"/>
    <row r="383" s="257" customFormat="1" x14ac:dyDescent="0.25"/>
    <row r="384" s="257" customFormat="1" x14ac:dyDescent="0.25"/>
    <row r="385" s="257" customFormat="1" x14ac:dyDescent="0.25"/>
    <row r="386" s="257" customFormat="1" x14ac:dyDescent="0.25"/>
    <row r="387" s="257" customFormat="1" x14ac:dyDescent="0.25"/>
    <row r="388" s="257" customFormat="1" x14ac:dyDescent="0.25"/>
    <row r="389" s="257" customFormat="1" x14ac:dyDescent="0.25"/>
    <row r="390" s="257" customFormat="1" x14ac:dyDescent="0.25"/>
    <row r="391" s="257" customFormat="1" x14ac:dyDescent="0.25"/>
    <row r="392" s="257" customFormat="1" x14ac:dyDescent="0.25"/>
    <row r="393" s="257" customFormat="1" x14ac:dyDescent="0.25"/>
    <row r="394" s="257" customFormat="1" x14ac:dyDescent="0.25"/>
    <row r="395" s="257" customFormat="1" x14ac:dyDescent="0.25"/>
    <row r="396" s="257" customFormat="1" x14ac:dyDescent="0.25"/>
    <row r="397" s="257" customFormat="1" x14ac:dyDescent="0.25"/>
    <row r="398" s="257" customFormat="1" x14ac:dyDescent="0.25"/>
    <row r="399" s="257" customFormat="1" x14ac:dyDescent="0.25"/>
    <row r="400" s="257" customFormat="1" x14ac:dyDescent="0.25"/>
    <row r="401" s="257" customFormat="1" x14ac:dyDescent="0.25"/>
    <row r="402" s="257" customFormat="1" x14ac:dyDescent="0.25"/>
    <row r="403" s="257" customFormat="1" x14ac:dyDescent="0.25"/>
    <row r="404" s="257" customFormat="1" x14ac:dyDescent="0.25"/>
    <row r="405" s="257" customFormat="1" x14ac:dyDescent="0.25"/>
    <row r="406" s="257" customFormat="1" x14ac:dyDescent="0.25"/>
    <row r="407" s="257" customFormat="1" x14ac:dyDescent="0.25"/>
    <row r="408" s="257" customFormat="1" x14ac:dyDescent="0.25"/>
    <row r="409" s="257" customFormat="1" x14ac:dyDescent="0.25"/>
    <row r="410" s="257" customFormat="1" x14ac:dyDescent="0.25"/>
    <row r="411" s="257" customFormat="1" x14ac:dyDescent="0.25"/>
    <row r="412" s="257" customFormat="1" x14ac:dyDescent="0.25"/>
    <row r="413" s="257" customFormat="1" x14ac:dyDescent="0.25"/>
    <row r="414" s="257" customFormat="1" x14ac:dyDescent="0.25"/>
    <row r="415" s="257" customFormat="1" x14ac:dyDescent="0.25"/>
    <row r="416" s="257" customFormat="1" x14ac:dyDescent="0.25"/>
    <row r="417" s="257" customFormat="1" x14ac:dyDescent="0.25"/>
    <row r="418" s="257" customFormat="1" x14ac:dyDescent="0.25"/>
    <row r="419" s="257" customFormat="1" x14ac:dyDescent="0.25"/>
    <row r="420" s="257" customFormat="1" x14ac:dyDescent="0.25"/>
    <row r="421" s="257" customFormat="1" x14ac:dyDescent="0.25"/>
    <row r="422" s="257" customFormat="1" x14ac:dyDescent="0.25"/>
    <row r="423" s="257" customFormat="1" x14ac:dyDescent="0.25"/>
    <row r="424" s="257" customFormat="1" x14ac:dyDescent="0.25"/>
    <row r="425" s="257" customFormat="1" x14ac:dyDescent="0.25"/>
    <row r="426" s="257" customFormat="1" x14ac:dyDescent="0.25"/>
    <row r="427" s="257" customFormat="1" x14ac:dyDescent="0.25"/>
    <row r="428" s="257" customFormat="1" x14ac:dyDescent="0.25"/>
    <row r="429" s="257" customFormat="1" x14ac:dyDescent="0.25"/>
    <row r="430" s="257" customFormat="1" x14ac:dyDescent="0.25"/>
    <row r="431" s="257" customFormat="1" x14ac:dyDescent="0.25"/>
    <row r="432" s="257" customFormat="1" x14ac:dyDescent="0.25"/>
    <row r="433" s="257" customFormat="1" x14ac:dyDescent="0.25"/>
    <row r="434" s="257" customFormat="1" x14ac:dyDescent="0.25"/>
    <row r="435" s="257" customFormat="1" x14ac:dyDescent="0.25"/>
    <row r="436" s="257" customFormat="1" x14ac:dyDescent="0.25"/>
    <row r="437" s="257" customFormat="1" x14ac:dyDescent="0.25"/>
    <row r="438" s="257" customFormat="1" x14ac:dyDescent="0.25"/>
    <row r="439" s="257" customFormat="1" x14ac:dyDescent="0.25"/>
    <row r="440" s="257" customFormat="1" x14ac:dyDescent="0.25"/>
    <row r="441" s="257" customFormat="1" x14ac:dyDescent="0.25"/>
    <row r="442" s="257" customFormat="1" x14ac:dyDescent="0.25"/>
    <row r="443" s="257" customFormat="1" x14ac:dyDescent="0.25"/>
    <row r="444" s="257" customFormat="1" x14ac:dyDescent="0.25"/>
    <row r="445" s="257" customFormat="1" x14ac:dyDescent="0.25"/>
    <row r="446" s="257" customFormat="1" x14ac:dyDescent="0.25"/>
    <row r="447" s="257" customFormat="1" x14ac:dyDescent="0.25"/>
    <row r="448" s="257" customFormat="1" x14ac:dyDescent="0.25"/>
    <row r="449" s="257" customFormat="1" x14ac:dyDescent="0.25"/>
    <row r="450" s="257" customFormat="1" x14ac:dyDescent="0.25"/>
    <row r="451" s="257" customFormat="1" x14ac:dyDescent="0.25"/>
    <row r="452" s="257" customFormat="1" x14ac:dyDescent="0.25"/>
    <row r="453" s="257" customFormat="1" x14ac:dyDescent="0.25"/>
    <row r="454" s="257" customFormat="1" x14ac:dyDescent="0.25"/>
    <row r="455" s="257" customFormat="1" x14ac:dyDescent="0.25"/>
    <row r="456" s="257" customFormat="1" x14ac:dyDescent="0.25"/>
    <row r="457" s="257" customFormat="1" x14ac:dyDescent="0.25"/>
    <row r="458" s="257" customFormat="1" x14ac:dyDescent="0.25"/>
    <row r="459" s="257" customFormat="1" x14ac:dyDescent="0.25"/>
    <row r="460" s="257" customFormat="1" x14ac:dyDescent="0.25"/>
    <row r="461" s="257" customFormat="1" x14ac:dyDescent="0.25"/>
    <row r="462" s="257" customFormat="1" x14ac:dyDescent="0.25"/>
    <row r="463" s="257" customFormat="1" x14ac:dyDescent="0.25"/>
    <row r="464" s="257" customFormat="1" x14ac:dyDescent="0.25"/>
    <row r="465" s="257" customFormat="1" x14ac:dyDescent="0.25"/>
    <row r="466" s="257" customFormat="1" x14ac:dyDescent="0.25"/>
    <row r="467" s="257" customFormat="1" x14ac:dyDescent="0.25"/>
    <row r="468" s="257" customFormat="1" x14ac:dyDescent="0.25"/>
    <row r="469" s="257" customFormat="1" x14ac:dyDescent="0.25"/>
    <row r="470" s="257" customFormat="1" x14ac:dyDescent="0.25"/>
    <row r="471" s="257" customFormat="1" x14ac:dyDescent="0.25"/>
    <row r="472" s="257" customFormat="1" x14ac:dyDescent="0.25"/>
    <row r="473" s="257" customFormat="1" x14ac:dyDescent="0.25"/>
    <row r="474" s="257" customFormat="1" x14ac:dyDescent="0.25"/>
    <row r="475" s="257" customFormat="1" x14ac:dyDescent="0.25"/>
    <row r="476" s="257" customFormat="1" x14ac:dyDescent="0.25"/>
    <row r="477" s="257" customFormat="1" x14ac:dyDescent="0.25"/>
    <row r="478" s="257" customFormat="1" x14ac:dyDescent="0.25"/>
    <row r="479" s="257" customFormat="1" x14ac:dyDescent="0.25"/>
    <row r="480" s="257" customFormat="1" x14ac:dyDescent="0.25"/>
    <row r="481" s="257" customFormat="1" x14ac:dyDescent="0.25"/>
    <row r="482" s="257" customFormat="1" x14ac:dyDescent="0.25"/>
    <row r="483" s="257" customFormat="1" x14ac:dyDescent="0.25"/>
    <row r="484" s="257" customFormat="1" x14ac:dyDescent="0.25"/>
    <row r="485" s="257" customFormat="1" x14ac:dyDescent="0.25"/>
    <row r="486" s="257" customFormat="1" x14ac:dyDescent="0.25"/>
    <row r="487" s="257" customFormat="1" x14ac:dyDescent="0.25"/>
    <row r="488" s="257" customFormat="1" x14ac:dyDescent="0.25"/>
    <row r="489" s="257" customFormat="1" x14ac:dyDescent="0.25"/>
    <row r="490" s="257" customFormat="1" x14ac:dyDescent="0.25"/>
    <row r="491" s="257" customFormat="1" x14ac:dyDescent="0.25"/>
    <row r="492" s="257" customFormat="1" x14ac:dyDescent="0.25"/>
    <row r="493" s="257" customFormat="1" x14ac:dyDescent="0.25"/>
    <row r="494" s="257" customFormat="1" x14ac:dyDescent="0.25"/>
    <row r="495" s="257" customFormat="1" x14ac:dyDescent="0.25"/>
    <row r="496" s="257" customFormat="1" x14ac:dyDescent="0.25"/>
    <row r="497" s="257" customFormat="1" x14ac:dyDescent="0.25"/>
    <row r="498" s="257" customFormat="1" x14ac:dyDescent="0.25"/>
    <row r="499" s="257" customFormat="1" x14ac:dyDescent="0.25"/>
    <row r="500" s="257" customFormat="1" x14ac:dyDescent="0.25"/>
    <row r="501" s="257" customFormat="1" x14ac:dyDescent="0.25"/>
    <row r="502" s="257" customFormat="1" x14ac:dyDescent="0.25"/>
    <row r="503" s="257" customFormat="1" x14ac:dyDescent="0.25"/>
    <row r="504" s="257" customFormat="1" x14ac:dyDescent="0.25"/>
    <row r="505" s="257" customFormat="1" x14ac:dyDescent="0.25"/>
    <row r="506" s="257" customFormat="1" x14ac:dyDescent="0.25"/>
    <row r="507" s="257" customFormat="1" x14ac:dyDescent="0.25"/>
    <row r="508" s="257" customFormat="1" x14ac:dyDescent="0.25"/>
    <row r="509" s="257" customFormat="1" x14ac:dyDescent="0.25"/>
    <row r="510" s="257" customFormat="1" x14ac:dyDescent="0.25"/>
    <row r="511" s="257" customFormat="1" x14ac:dyDescent="0.25"/>
    <row r="512" s="257" customFormat="1" x14ac:dyDescent="0.25"/>
    <row r="513" s="257" customFormat="1" x14ac:dyDescent="0.25"/>
    <row r="514" s="257" customFormat="1" x14ac:dyDescent="0.25"/>
    <row r="515" s="257" customFormat="1" x14ac:dyDescent="0.25"/>
    <row r="516" s="257" customFormat="1" x14ac:dyDescent="0.25"/>
    <row r="517" s="257" customFormat="1" x14ac:dyDescent="0.25"/>
    <row r="518" s="257" customFormat="1" x14ac:dyDescent="0.25"/>
    <row r="519" s="257" customFormat="1" x14ac:dyDescent="0.25"/>
    <row r="520" s="257" customFormat="1" x14ac:dyDescent="0.25"/>
    <row r="521" s="257" customFormat="1" x14ac:dyDescent="0.25"/>
    <row r="522" s="257" customFormat="1" x14ac:dyDescent="0.25"/>
    <row r="523" s="257" customFormat="1" x14ac:dyDescent="0.25"/>
    <row r="524" s="257" customFormat="1" x14ac:dyDescent="0.25"/>
    <row r="525" s="257" customFormat="1" x14ac:dyDescent="0.25"/>
    <row r="526" s="257" customFormat="1" x14ac:dyDescent="0.25"/>
    <row r="527" s="257" customFormat="1" x14ac:dyDescent="0.25"/>
    <row r="528" s="257" customFormat="1" x14ac:dyDescent="0.25"/>
    <row r="529" s="257" customFormat="1" x14ac:dyDescent="0.25"/>
    <row r="530" s="257" customFormat="1" x14ac:dyDescent="0.25"/>
    <row r="531" s="257" customFormat="1" x14ac:dyDescent="0.25"/>
    <row r="532" s="257" customFormat="1" x14ac:dyDescent="0.25"/>
    <row r="533" s="257" customFormat="1" x14ac:dyDescent="0.25"/>
    <row r="534" s="257" customFormat="1" x14ac:dyDescent="0.25"/>
    <row r="535" s="257" customFormat="1" x14ac:dyDescent="0.25"/>
    <row r="536" s="257" customFormat="1" x14ac:dyDescent="0.25"/>
    <row r="537" s="257" customFormat="1" x14ac:dyDescent="0.25"/>
    <row r="538" s="257" customFormat="1" x14ac:dyDescent="0.25"/>
    <row r="539" s="257" customFormat="1" x14ac:dyDescent="0.25"/>
    <row r="540" s="257" customFormat="1" x14ac:dyDescent="0.25"/>
    <row r="541" s="257" customFormat="1" x14ac:dyDescent="0.25"/>
    <row r="542" s="257" customFormat="1" x14ac:dyDescent="0.25"/>
    <row r="543" s="257" customFormat="1" x14ac:dyDescent="0.25"/>
    <row r="544" s="257" customFormat="1" x14ac:dyDescent="0.25"/>
    <row r="545" s="257" customFormat="1" x14ac:dyDescent="0.25"/>
    <row r="546" s="257" customFormat="1" x14ac:dyDescent="0.25"/>
    <row r="547" s="257" customFormat="1" x14ac:dyDescent="0.25"/>
    <row r="548" s="257" customFormat="1" x14ac:dyDescent="0.25"/>
    <row r="549" s="257" customFormat="1" x14ac:dyDescent="0.25"/>
    <row r="550" s="257" customFormat="1" x14ac:dyDescent="0.25"/>
    <row r="551" s="257" customFormat="1" x14ac:dyDescent="0.25"/>
    <row r="552" s="257" customFormat="1" x14ac:dyDescent="0.25"/>
    <row r="553" s="257" customFormat="1" x14ac:dyDescent="0.25"/>
    <row r="554" s="257" customFormat="1" x14ac:dyDescent="0.25"/>
    <row r="555" s="257" customFormat="1" x14ac:dyDescent="0.25"/>
    <row r="556" s="257" customFormat="1" x14ac:dyDescent="0.25"/>
    <row r="557" s="257" customFormat="1" x14ac:dyDescent="0.25"/>
    <row r="558" s="257" customFormat="1" x14ac:dyDescent="0.25"/>
    <row r="559" s="257" customFormat="1" x14ac:dyDescent="0.25"/>
  </sheetData>
  <mergeCells count="22">
    <mergeCell ref="A7:A9"/>
    <mergeCell ref="B7:B9"/>
    <mergeCell ref="C7:F7"/>
    <mergeCell ref="G7:J7"/>
    <mergeCell ref="K7:N7"/>
    <mergeCell ref="L1:N1"/>
    <mergeCell ref="M2:N2"/>
    <mergeCell ref="A4:N4"/>
    <mergeCell ref="A5:N5"/>
    <mergeCell ref="C8:E8"/>
    <mergeCell ref="F8:F9"/>
    <mergeCell ref="G8:I8"/>
    <mergeCell ref="J8:J9"/>
    <mergeCell ref="K8:M8"/>
    <mergeCell ref="N8:N9"/>
    <mergeCell ref="A15:N15"/>
    <mergeCell ref="A16:N16"/>
    <mergeCell ref="A17:N17"/>
    <mergeCell ref="A18:N18"/>
    <mergeCell ref="E24:E25"/>
    <mergeCell ref="I24:I25"/>
    <mergeCell ref="M24:M25"/>
  </mergeCells>
  <printOptions horizontalCentered="1"/>
  <pageMargins left="0.39370078740157483" right="0.39370078740157483" top="0.59055118110236227" bottom="0.39370078740157483" header="0" footer="0"/>
  <pageSetup paperSize="9" scale="5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4"/>
  <sheetViews>
    <sheetView view="pageBreakPreview" zoomScaleNormal="90" zoomScaleSheetLayoutView="100" workbookViewId="0">
      <selection activeCell="A4" sqref="A4:F4"/>
    </sheetView>
  </sheetViews>
  <sheetFormatPr defaultRowHeight="15.75" x14ac:dyDescent="0.25"/>
  <cols>
    <col min="1" max="1" width="9.140625" style="238"/>
    <col min="2" max="2" width="53.42578125" style="238" customWidth="1"/>
    <col min="3" max="3" width="17.85546875" style="238" customWidth="1"/>
    <col min="4" max="4" width="17.7109375" style="238" customWidth="1"/>
    <col min="5" max="5" width="17.85546875" style="238" customWidth="1"/>
    <col min="6" max="6" width="7.7109375" style="238" customWidth="1"/>
    <col min="7" max="7" width="9.140625" style="238"/>
    <col min="8" max="8" width="18.28515625" style="238" customWidth="1"/>
    <col min="9" max="16384" width="9.140625" style="238"/>
  </cols>
  <sheetData>
    <row r="1" spans="1:21" ht="30.75" customHeight="1" x14ac:dyDescent="0.25">
      <c r="C1" s="242">
        <v>124893.70741</v>
      </c>
      <c r="D1" s="370" t="s">
        <v>13671</v>
      </c>
      <c r="E1" s="371"/>
      <c r="F1" s="371"/>
    </row>
    <row r="2" spans="1:21" x14ac:dyDescent="0.25">
      <c r="A2" s="238" t="s">
        <v>13672</v>
      </c>
      <c r="E2" s="372" t="s">
        <v>13641</v>
      </c>
      <c r="F2" s="378"/>
    </row>
    <row r="4" spans="1:21" ht="68.25" customHeight="1" x14ac:dyDescent="0.25">
      <c r="A4" s="373" t="s">
        <v>13673</v>
      </c>
      <c r="B4" s="373"/>
      <c r="C4" s="373"/>
      <c r="D4" s="373"/>
      <c r="E4" s="373"/>
      <c r="F4" s="373"/>
      <c r="G4" s="247"/>
      <c r="H4" s="247"/>
      <c r="T4" s="370"/>
      <c r="U4" s="370"/>
    </row>
    <row r="5" spans="1:21" ht="25.5" customHeight="1" x14ac:dyDescent="0.25">
      <c r="A5" s="379" t="s">
        <v>13674</v>
      </c>
      <c r="B5" s="379"/>
      <c r="C5" s="379"/>
      <c r="D5" s="379"/>
      <c r="E5" s="379"/>
      <c r="F5" s="379"/>
      <c r="G5" s="248"/>
      <c r="H5" s="248"/>
      <c r="T5" s="370"/>
      <c r="U5" s="370"/>
    </row>
    <row r="6" spans="1:21" x14ac:dyDescent="0.25">
      <c r="C6" s="307">
        <v>124893.70740999999</v>
      </c>
    </row>
    <row r="7" spans="1:21" ht="45" x14ac:dyDescent="0.25">
      <c r="A7" s="258" t="s">
        <v>13643</v>
      </c>
      <c r="B7" s="258" t="s">
        <v>13675</v>
      </c>
      <c r="C7" s="258" t="s">
        <v>13676</v>
      </c>
      <c r="D7" s="258" t="s">
        <v>13677</v>
      </c>
      <c r="E7" s="258" t="s">
        <v>13678</v>
      </c>
    </row>
    <row r="8" spans="1:21" x14ac:dyDescent="0.25">
      <c r="A8" s="258">
        <v>1</v>
      </c>
      <c r="B8" s="258">
        <v>2</v>
      </c>
      <c r="C8" s="258">
        <v>3</v>
      </c>
      <c r="D8" s="258">
        <v>4</v>
      </c>
      <c r="E8" s="258">
        <v>5</v>
      </c>
    </row>
    <row r="9" spans="1:21" ht="29.25" customHeight="1" x14ac:dyDescent="0.25">
      <c r="A9" s="258" t="s">
        <v>13655</v>
      </c>
      <c r="B9" s="308" t="s">
        <v>13679</v>
      </c>
      <c r="C9" s="270">
        <f t="shared" ref="C9:E9" si="0">C10+C11+C12+C13+C14+C23</f>
        <v>124893.70724</v>
      </c>
      <c r="D9" s="270">
        <f t="shared" si="0"/>
        <v>128428.91404</v>
      </c>
      <c r="E9" s="270">
        <f t="shared" si="0"/>
        <v>169714.21878</v>
      </c>
      <c r="G9" s="309"/>
      <c r="H9" s="309"/>
      <c r="J9" s="310"/>
    </row>
    <row r="10" spans="1:21" x14ac:dyDescent="0.25">
      <c r="A10" s="258" t="s">
        <v>13680</v>
      </c>
      <c r="B10" s="308" t="s">
        <v>13681</v>
      </c>
      <c r="C10" s="263">
        <v>1839.70985</v>
      </c>
      <c r="D10" s="263">
        <v>1836.43805</v>
      </c>
      <c r="E10" s="263">
        <v>3101.10583</v>
      </c>
      <c r="J10" s="310"/>
      <c r="K10" s="310"/>
    </row>
    <row r="11" spans="1:21" x14ac:dyDescent="0.25">
      <c r="A11" s="258" t="s">
        <v>13682</v>
      </c>
      <c r="B11" s="308" t="s">
        <v>13683</v>
      </c>
      <c r="C11" s="263">
        <v>1981.1980100000001</v>
      </c>
      <c r="D11" s="263">
        <v>1891.4156800000001</v>
      </c>
      <c r="E11" s="263">
        <v>3290.6770499999998</v>
      </c>
      <c r="J11" s="310"/>
    </row>
    <row r="12" spans="1:21" x14ac:dyDescent="0.25">
      <c r="A12" s="258" t="s">
        <v>13684</v>
      </c>
      <c r="B12" s="308" t="s">
        <v>13685</v>
      </c>
      <c r="C12" s="311">
        <v>63112.89774</v>
      </c>
      <c r="D12" s="263">
        <v>56538.315790000001</v>
      </c>
      <c r="E12" s="263">
        <v>60545.460059999998</v>
      </c>
      <c r="G12" s="312"/>
    </row>
    <row r="13" spans="1:21" x14ac:dyDescent="0.25">
      <c r="A13" s="258" t="s">
        <v>13686</v>
      </c>
      <c r="B13" s="308" t="s">
        <v>13687</v>
      </c>
      <c r="C13" s="263">
        <v>18648.76151</v>
      </c>
      <c r="D13" s="263">
        <v>16873.87888</v>
      </c>
      <c r="E13" s="263">
        <v>18287.754779999999</v>
      </c>
    </row>
    <row r="14" spans="1:21" x14ac:dyDescent="0.25">
      <c r="A14" s="258" t="s">
        <v>13688</v>
      </c>
      <c r="B14" s="308" t="s">
        <v>13689</v>
      </c>
      <c r="C14" s="313">
        <f t="shared" ref="C14:E14" si="1">C15+C16+C17</f>
        <v>10183.488270000009</v>
      </c>
      <c r="D14" s="313">
        <f t="shared" si="1"/>
        <v>13008.98112</v>
      </c>
      <c r="E14" s="314">
        <f t="shared" si="1"/>
        <v>46471.099069999997</v>
      </c>
    </row>
    <row r="15" spans="1:21" ht="24" customHeight="1" x14ac:dyDescent="0.25">
      <c r="A15" s="258" t="s">
        <v>13690</v>
      </c>
      <c r="B15" s="308" t="s">
        <v>13691</v>
      </c>
      <c r="C15" s="263">
        <v>3476.4946399999999</v>
      </c>
      <c r="D15" s="263">
        <v>6421.7275900000004</v>
      </c>
      <c r="E15" s="263">
        <v>6013.6410599999999</v>
      </c>
    </row>
    <row r="16" spans="1:21" ht="36" customHeight="1" x14ac:dyDescent="0.25">
      <c r="A16" s="258" t="s">
        <v>13692</v>
      </c>
      <c r="B16" s="308" t="s">
        <v>13693</v>
      </c>
      <c r="C16" s="263">
        <v>1154.463</v>
      </c>
      <c r="D16" s="263">
        <v>1040.0262299999999</v>
      </c>
      <c r="E16" s="263">
        <v>7471.7329200000004</v>
      </c>
    </row>
    <row r="17" spans="1:9" ht="33.75" customHeight="1" x14ac:dyDescent="0.25">
      <c r="A17" s="258" t="s">
        <v>13694</v>
      </c>
      <c r="B17" s="308" t="s">
        <v>13695</v>
      </c>
      <c r="C17" s="313">
        <f t="shared" ref="C17:E17" si="2">C18+C19+C20+C21+C22</f>
        <v>5552.5306300000102</v>
      </c>
      <c r="D17" s="313">
        <f t="shared" si="2"/>
        <v>5547.2273000000005</v>
      </c>
      <c r="E17" s="313">
        <f t="shared" si="2"/>
        <v>32985.725089999993</v>
      </c>
    </row>
    <row r="18" spans="1:9" x14ac:dyDescent="0.25">
      <c r="A18" s="258" t="s">
        <v>13696</v>
      </c>
      <c r="B18" s="308" t="s">
        <v>13697</v>
      </c>
      <c r="C18" s="263">
        <v>494.35926000000001</v>
      </c>
      <c r="D18" s="263">
        <v>429.06632999999999</v>
      </c>
      <c r="E18" s="263">
        <v>1551.44625</v>
      </c>
    </row>
    <row r="19" spans="1:9" ht="18.75" customHeight="1" x14ac:dyDescent="0.25">
      <c r="A19" s="258" t="s">
        <v>13698</v>
      </c>
      <c r="B19" s="308" t="s">
        <v>13699</v>
      </c>
      <c r="C19" s="263">
        <v>231.99993000000001</v>
      </c>
      <c r="D19" s="263">
        <v>199.87</v>
      </c>
      <c r="E19" s="263">
        <v>510.52897000000002</v>
      </c>
    </row>
    <row r="20" spans="1:9" ht="48.75" customHeight="1" x14ac:dyDescent="0.25">
      <c r="A20" s="258" t="s">
        <v>13700</v>
      </c>
      <c r="B20" s="308" t="s">
        <v>13701</v>
      </c>
      <c r="C20" s="263">
        <v>1270.8662400000001</v>
      </c>
      <c r="D20" s="263">
        <v>585.29866000000004</v>
      </c>
      <c r="E20" s="263">
        <v>2582.1328199999998</v>
      </c>
    </row>
    <row r="21" spans="1:9" x14ac:dyDescent="0.25">
      <c r="A21" s="258" t="s">
        <v>13702</v>
      </c>
      <c r="B21" s="308" t="s">
        <v>13703</v>
      </c>
      <c r="C21" s="262">
        <v>8.8781700000000008</v>
      </c>
      <c r="D21" s="262">
        <v>19.680579999999999</v>
      </c>
      <c r="E21" s="262">
        <v>1233.9653900000001</v>
      </c>
    </row>
    <row r="22" spans="1:9" ht="30" x14ac:dyDescent="0.25">
      <c r="A22" s="258" t="s">
        <v>13704</v>
      </c>
      <c r="B22" s="308" t="s">
        <v>13705</v>
      </c>
      <c r="C22" s="315">
        <v>3546.4270300000098</v>
      </c>
      <c r="D22" s="315">
        <v>4313.3117300000004</v>
      </c>
      <c r="E22" s="315">
        <f>38139.27448-E16-E18-E19-E20-E21+2318.18353</f>
        <v>27107.651659999996</v>
      </c>
    </row>
    <row r="23" spans="1:9" x14ac:dyDescent="0.25">
      <c r="A23" s="258" t="s">
        <v>13706</v>
      </c>
      <c r="B23" s="308" t="s">
        <v>13707</v>
      </c>
      <c r="C23" s="270">
        <f t="shared" ref="C23:E23" si="3">C24+C25+C26+C27+C28+C29</f>
        <v>29127.651859999998</v>
      </c>
      <c r="D23" s="270">
        <f t="shared" si="3"/>
        <v>38279.88452</v>
      </c>
      <c r="E23" s="270">
        <f t="shared" si="3"/>
        <v>38018.12199</v>
      </c>
      <c r="G23" s="316"/>
      <c r="H23" s="316"/>
      <c r="I23" s="316"/>
    </row>
    <row r="24" spans="1:9" x14ac:dyDescent="0.25">
      <c r="A24" s="258" t="s">
        <v>13708</v>
      </c>
      <c r="B24" s="308" t="s">
        <v>13709</v>
      </c>
      <c r="C24" s="263">
        <v>6.0550800000000002</v>
      </c>
      <c r="D24" s="263">
        <v>3.58725</v>
      </c>
      <c r="E24" s="263">
        <v>7.3888499999999997</v>
      </c>
      <c r="G24" s="243"/>
      <c r="H24" s="243"/>
    </row>
    <row r="25" spans="1:9" x14ac:dyDescent="0.25">
      <c r="A25" s="258" t="s">
        <v>13710</v>
      </c>
      <c r="B25" s="308" t="s">
        <v>13711</v>
      </c>
      <c r="C25" s="311">
        <v>0</v>
      </c>
      <c r="D25" s="263">
        <v>0</v>
      </c>
      <c r="E25" s="263">
        <v>0</v>
      </c>
    </row>
    <row r="26" spans="1:9" x14ac:dyDescent="0.25">
      <c r="A26" s="258" t="s">
        <v>13712</v>
      </c>
      <c r="B26" s="308" t="s">
        <v>13713</v>
      </c>
      <c r="C26" s="263">
        <v>22796.523000000001</v>
      </c>
      <c r="D26" s="263">
        <v>37206.058689999998</v>
      </c>
      <c r="E26" s="263">
        <v>30245.203580000001</v>
      </c>
    </row>
    <row r="27" spans="1:9" ht="35.25" customHeight="1" x14ac:dyDescent="0.25">
      <c r="A27" s="258" t="s">
        <v>13714</v>
      </c>
      <c r="B27" s="308" t="s">
        <v>13715</v>
      </c>
      <c r="C27" s="317">
        <v>4715.6647799999992</v>
      </c>
      <c r="D27" s="317">
        <v>177.79160999999999</v>
      </c>
      <c r="E27" s="317">
        <v>2926.7430100000001</v>
      </c>
    </row>
    <row r="28" spans="1:9" ht="18.75" customHeight="1" x14ac:dyDescent="0.25">
      <c r="A28" s="258" t="s">
        <v>13716</v>
      </c>
      <c r="B28" s="308" t="s">
        <v>13717</v>
      </c>
      <c r="C28" s="317">
        <v>504.94486999999998</v>
      </c>
      <c r="D28" s="317">
        <v>865.19159000000002</v>
      </c>
      <c r="E28" s="317">
        <v>4283.4525999999996</v>
      </c>
    </row>
    <row r="29" spans="1:9" ht="22.5" customHeight="1" x14ac:dyDescent="0.25">
      <c r="A29" s="258" t="s">
        <v>13718</v>
      </c>
      <c r="B29" s="308" t="s">
        <v>13719</v>
      </c>
      <c r="C29" s="317">
        <v>1104.4641300000001</v>
      </c>
      <c r="D29" s="317">
        <v>27.255379999999999</v>
      </c>
      <c r="E29" s="317">
        <v>555.33395000000007</v>
      </c>
    </row>
    <row r="31" spans="1:9" s="277" customFormat="1" x14ac:dyDescent="0.25">
      <c r="A31" s="318"/>
    </row>
    <row r="32" spans="1:9" s="277" customFormat="1" x14ac:dyDescent="0.25">
      <c r="A32" s="318"/>
    </row>
    <row r="33" spans="1:1" s="277" customFormat="1" x14ac:dyDescent="0.25">
      <c r="A33" s="318"/>
    </row>
    <row r="34" spans="1:1" s="306" customFormat="1" ht="30" customHeight="1" x14ac:dyDescent="0.25"/>
  </sheetData>
  <mergeCells count="6">
    <mergeCell ref="D1:F1"/>
    <mergeCell ref="E2:F2"/>
    <mergeCell ref="A4:F4"/>
    <mergeCell ref="T4:U4"/>
    <mergeCell ref="A5:F5"/>
    <mergeCell ref="T5:U5"/>
  </mergeCells>
  <printOptions horizontalCentered="1"/>
  <pageMargins left="0.59055118110236227" right="0.19685039370078741" top="0.59055118110236227" bottom="0.19685039370078741" header="0" footer="0"/>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C40" sqref="C40"/>
    </sheetView>
  </sheetViews>
  <sheetFormatPr defaultRowHeight="15" x14ac:dyDescent="0.25"/>
  <cols>
    <col min="2" max="2" width="22.42578125" customWidth="1"/>
    <col min="3" max="3" width="62.140625" customWidth="1"/>
    <col min="4" max="8" width="13.85546875" customWidth="1"/>
    <col min="12" max="12" width="30.5703125" customWidth="1"/>
  </cols>
  <sheetData/>
  <customSheetViews>
    <customSheetView guid="{DF74B1AF-8CEC-4C17-ADAB-308035899C05}" scale="80" state="hidden">
      <selection activeCell="C40" sqref="C40"/>
      <pageMargins left="0.7" right="0.7" top="0.75" bottom="0.75" header="0.3" footer="0.3"/>
    </customSheetView>
    <customSheetView guid="{C563ED7E-33C9-4C22-8FE6-19FD9D780A93}" scale="80" state="hidden">
      <selection activeCell="C40" sqref="C40"/>
      <pageMargins left="0.7" right="0.7" top="0.75" bottom="0.75" header="0.3" footer="0.3"/>
    </customSheetView>
    <customSheetView guid="{D8233CC6-A6D8-43BF-AA89-3BD7450FAC38}" scale="80" state="hidden">
      <selection activeCell="C40" sqref="C40"/>
      <pageMargins left="0.7" right="0.7" top="0.75" bottom="0.75" header="0.3" footer="0.3"/>
    </customSheetView>
    <customSheetView guid="{A12EF0AE-0022-423D-A326-9CCD72281EC5}" scale="80" state="hidden">
      <selection activeCell="C40" sqref="C40"/>
      <pageMargins left="0.7" right="0.7" top="0.75" bottom="0.75" header="0.3" footer="0.3"/>
    </customSheetView>
    <customSheetView guid="{B7FC12CE-4D81-4AFD-B466-7BD909A7D698}" scale="80" state="hidden">
      <selection activeCell="C40" sqref="C40"/>
      <pageMargins left="0.7" right="0.7" top="0.75" bottom="0.75" header="0.3" footer="0.3"/>
    </customSheetView>
    <customSheetView guid="{F262C7DB-A251-4146-A7F5-8DA2FEEDB5F3}" scale="80" state="hidden">
      <selection activeCell="C40" sqref="C40"/>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6</vt:i4>
      </vt:variant>
    </vt:vector>
  </HeadingPairs>
  <TitlesOfParts>
    <vt:vector size="10" baseType="lpstr">
      <vt:lpstr>Приложение 1</vt:lpstr>
      <vt:lpstr>Приложение 2</vt:lpstr>
      <vt:lpstr>Приложение 3</vt:lpstr>
      <vt:lpstr>Лист1</vt:lpstr>
      <vt:lpstr>'Приложение 1'!Заголовки_для_печати</vt:lpstr>
      <vt:lpstr>'Приложение 2'!Заголовки_для_печати</vt:lpstr>
      <vt:lpstr>'Приложение 3'!Заголовки_для_печати</vt:lpstr>
      <vt:lpstr>'Приложение 1'!Область_печати</vt:lpstr>
      <vt:lpstr>'Приложение 2'!Область_печати</vt:lpstr>
      <vt:lpstr>'Приложение 3'!Область_печати</vt:lpstr>
    </vt:vector>
  </TitlesOfParts>
  <Company>MRSK-YUGA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Бурлуцкая Евгения Вадимовна</dc:creator>
  <cp:lastModifiedBy>Латушко Вера Борисовна</cp:lastModifiedBy>
  <cp:lastPrinted>2024-08-12T11:04:00Z</cp:lastPrinted>
  <dcterms:created xsi:type="dcterms:W3CDTF">2021-10-14T05:23:46Z</dcterms:created>
  <dcterms:modified xsi:type="dcterms:W3CDTF">2024-08-16T06:02:54Z</dcterms:modified>
</cp:coreProperties>
</file>